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2.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laude Log" sheetId="1" state="visible" r:id="rId3"/>
    <sheet name="Inicio" sheetId="2" state="visible" r:id="rId4"/>
    <sheet name="Guia_Carga" sheetId="3" state="visible" r:id="rId5"/>
    <sheet name="Supuestos" sheetId="4" state="visible" r:id="rId6"/>
    <sheet name="Productos" sheetId="5" state="visible" r:id="rId7"/>
    <sheet name="Costos" sheetId="6" state="visible" r:id="rId8"/>
    <sheet name="Inversion" sheetId="7" state="visible" r:id="rId9"/>
    <sheet name="Detalle_24m" sheetId="8" state="visible" r:id="rId10"/>
    <sheet name="Reales" sheetId="9" state="visible" r:id="rId11"/>
    <sheet name="Calculo" sheetId="10" state="visible" r:id="rId12"/>
    <sheet name="Proyeccion_24m" sheetId="11" state="visible" r:id="rId13"/>
    <sheet name="Resultados" sheetId="12" state="visible" r:id="rId14"/>
    <sheet name="Control" sheetId="13" state="visible" r:id="rId15"/>
    <sheet name="Cuadros" sheetId="14" state="visible" r:id="rId16"/>
    <sheet name="C01 Inversión" sheetId="15" state="visible" r:id="rId17"/>
    <sheet name="C07 Producción" sheetId="16" state="visible" r:id="rId18"/>
    <sheet name="C08 Ingresos" sheetId="17" state="visible" r:id="rId19"/>
    <sheet name="C09 Materiales" sheetId="18" state="visible" r:id="rId20"/>
    <sheet name="C10a Costos" sheetId="19" state="visible" r:id="rId21"/>
    <sheet name="C10b Costo unitario" sheetId="20" state="visible" r:id="rId22"/>
    <sheet name="C11 Rubros" sheetId="21" state="visible" r:id="rId23"/>
    <sheet name="C13 Deuda e IVA" sheetId="22" state="visible" r:id="rId24"/>
    <sheet name="C15 Resultados" sheetId="23" state="visible" r:id="rId25"/>
    <sheet name="C16 Capital trabajo" sheetId="24" state="visible" r:id="rId26"/>
    <sheet name="C17 Equilibrio" sheetId="25" state="visible" r:id="rId27"/>
    <sheet name="C18 Fondos" sheetId="26" state="visible" r:id="rId28"/>
    <sheet name="C19 VAN-TIR" sheetId="27" state="visible" r:id="rId29"/>
    <sheet name="C20 Depreciación" sheetId="28" state="visible" r:id="rId30"/>
    <sheet name="RRHH" sheetId="29" state="visible" r:id="rId31"/>
    <sheet name="Esp_25Productos" sheetId="30" state="visible" r:id="rId32"/>
  </sheets>
  <definedNames>
    <definedName function="false" hidden="false" name="Ap_MesO" vbProcedure="false">Inversion!$C$50:$C$59</definedName>
    <definedName function="false" hidden="false" name="Ap_MesV" vbProcedure="false">Inversion!$E$50:$E$59</definedName>
    <definedName function="false" hidden="false" name="Ap_MontoO" vbProcedure="false">Inversion!$D$50:$D$59</definedName>
    <definedName function="false" hidden="false" name="Ap_MontoV" vbProcedure="false">Inversion!$F$50:$F$59</definedName>
    <definedName function="false" hidden="false" name="Cap_Amp" vbProcedure="false">Productos!$E$6:$E$30</definedName>
    <definedName function="false" hidden="false" name="Cap_Anio" vbProcedure="false">Productos!$F$6:$F$30</definedName>
    <definedName function="false" hidden="false" name="Cap_Ini" vbProcedure="false">Productos!$D$6:$D$30</definedName>
    <definedName function="false" hidden="false" name="Corte" vbProcedure="false">Supuestos!$D$119</definedName>
    <definedName function="false" hidden="false" name="cu_P" vbProcedure="false">Cuadros!$C$6</definedName>
    <definedName function="false" hidden="false" name="cu_Ver" vbProcedure="false">Cuadros!$C$5</definedName>
    <definedName function="false" hidden="false" name="c_Alertas" vbProcedure="false">Control!$C$22</definedName>
    <definedName function="false" hidden="false" name="c_C01" vbProcedure="false">Control!$E$5</definedName>
    <definedName function="false" hidden="false" name="c_C02" vbProcedure="false">Control!$E$6</definedName>
    <definedName function="false" hidden="false" name="c_C03" vbProcedure="false">Control!$E$7</definedName>
    <definedName function="false" hidden="false" name="c_C04" vbProcedure="false">Control!$E$8</definedName>
    <definedName function="false" hidden="false" name="c_C05" vbProcedure="false">Control!$E$9</definedName>
    <definedName function="false" hidden="false" name="c_C06" vbProcedure="false">Control!$E$10</definedName>
    <definedName function="false" hidden="false" name="c_C07" vbProcedure="false">Control!$E$11</definedName>
    <definedName function="false" hidden="false" name="c_C08" vbProcedure="false">Control!$E$12</definedName>
    <definedName function="false" hidden="false" name="c_C09" vbProcedure="false">Control!$E$13</definedName>
    <definedName function="false" hidden="false" name="c_C10" vbProcedure="false">Control!$E$14</definedName>
    <definedName function="false" hidden="false" name="c_C11" vbProcedure="false">Control!$E$15</definedName>
    <definedName function="false" hidden="false" name="c_C12" vbProcedure="false">Control!$E$16</definedName>
    <definedName function="false" hidden="false" name="c_C13" vbProcedure="false">Control!$E$17</definedName>
    <definedName function="false" hidden="false" name="c_C14" vbProcedure="false">Control!$E$18</definedName>
    <definedName function="false" hidden="false" name="c_C15" vbProcedure="false">Control!$E$19</definedName>
    <definedName function="false" hidden="false" name="c_C16" vbProcedure="false">Control!$E$20</definedName>
    <definedName function="false" hidden="false" name="c_CapExceso" vbProcedure="false">Productos!$N$92:$N$116</definedName>
    <definedName function="false" hidden="false" name="c_EscIdx" vbProcedure="false">Supuestos!$D$72</definedName>
    <definedName function="false" hidden="false" name="c_Modificados" vbProcedure="false">Control!$C$23</definedName>
    <definedName function="false" hidden="false" name="Det_nDO" vbProcedure="false">Calculo!$F$330:$ES$330</definedName>
    <definedName function="false" hidden="false" name="Det_nFC" vbProcedure="false">Calculo!$F$332:$ES$332</definedName>
    <definedName function="false" hidden="false" name="Det_nIN" vbProcedure="false">Calculo!$F$328:$ES$328</definedName>
    <definedName function="false" hidden="false" name="Det_nMP" vbProcedure="false">Calculo!$F$327:$ES$327</definedName>
    <definedName function="false" hidden="false" name="Det_nOV" vbProcedure="false">Calculo!$F$329:$ES$329</definedName>
    <definedName function="false" hidden="false" name="Det_nP" vbProcedure="false">Calculo!$F$326:$ES$326</definedName>
    <definedName function="false" hidden="false" name="Det_nQ" vbProcedure="false">Calculo!$F$325:$ES$325</definedName>
    <definedName function="false" hidden="false" name="Det_nSA" vbProcedure="false">Calculo!$F$331:$ES$331</definedName>
    <definedName function="false" hidden="false" name="Det_nTC" vbProcedure="false">Calculo!$F$324:$ES$324</definedName>
    <definedName function="false" hidden="false" name="DiasMes" vbProcedure="false">Supuestos!$D$121</definedName>
    <definedName function="false" hidden="false" name="dMP_O" vbProcedure="false">Supuestos!$D$41:$M$41</definedName>
    <definedName function="false" hidden="false" name="dMP_V" vbProcedure="false">Supuestos!$D$53:$M$53</definedName>
    <definedName function="false" hidden="false" name="Dot_O" vbProcedure="false">Costos!$G$6:$P$35</definedName>
    <definedName function="false" hidden="false" name="Dot_V" vbProcedure="false">Costos!$G$41:$P$70</definedName>
    <definedName function="false" hidden="false" name="dOV_O" vbProcedure="false">Supuestos!$D$42:$M$42</definedName>
    <definedName function="false" hidden="false" name="dOV_V" vbProcedure="false">Supuestos!$D$54:$M$54</definedName>
    <definedName function="false" hidden="false" name="dPrecio_O" vbProcedure="false">Supuestos!$D$40:$M$40</definedName>
    <definedName function="false" hidden="false" name="dPrecio_V" vbProcedure="false">Supuestos!$D$52:$M$52</definedName>
    <definedName function="false" hidden="false" name="dSal_O" vbProcedure="false">Supuestos!$D$43:$M$43</definedName>
    <definedName function="false" hidden="false" name="dSal_V" vbProcedure="false">Supuestos!$D$55:$M$55</definedName>
    <definedName function="false" hidden="false" name="e_Atraso" vbProcedure="false">Supuestos!$G$68</definedName>
    <definedName function="false" hidden="false" name="e_dCapex" vbProcedure="false">Supuestos!$G$69</definedName>
    <definedName function="false" hidden="false" name="e_DInvEsc" vbProcedure="false">Supuestos!$G$71</definedName>
    <definedName function="false" hidden="false" name="e_dMat" vbProcedure="false">Supuestos!$G$66</definedName>
    <definedName function="false" hidden="false" name="e_dPrecio" vbProcedure="false">Supuestos!$G$65</definedName>
    <definedName function="false" hidden="false" name="e_DSOesc" vbProcedure="false">Supuestos!$G$70</definedName>
    <definedName function="false" hidden="false" name="e_dTC" vbProcedure="false">Supuestos!$G$67</definedName>
    <definedName function="false" hidden="false" name="e_dVol" vbProcedure="false">Supuestos!$G$64</definedName>
    <definedName function="false" hidden="false" name="FC_Base" vbProcedure="false">Costos!$J$75:$J$99</definedName>
    <definedName function="false" hidden="false" name="FC_Clase" vbProcedure="false">Costos!$C$75:$C$99</definedName>
    <definedName function="false" hidden="false" name="FC_Desde" vbProcedure="false">Costos!$H$75:$H$99</definedName>
    <definedName function="false" hidden="false" name="FC_g" vbProcedure="false">Costos!$G$75:$G$99</definedName>
    <definedName function="false" hidden="false" name="FC_IVA" vbProcedure="false">Costos!$I$75:$I$99</definedName>
    <definedName function="false" hidden="false" name="FC_Mon" vbProcedure="false">Costos!$D$75:$D$99</definedName>
    <definedName function="false" hidden="false" name="FC_O" vbProcedure="false">Costos!$E$75:$E$99</definedName>
    <definedName function="false" hidden="false" name="FC_V" vbProcedure="false">Costos!$F$75:$F$99</definedName>
    <definedName function="false" hidden="false" name="Fin" vbProcedure="false">Supuestos!$D$120</definedName>
    <definedName function="false" hidden="false" name="g_Mes" vbProcedure="false">Guia_Carga!$C$4</definedName>
    <definedName function="false" hidden="false" name="g_Pendientes" vbProcedure="false">Guia_Carga!$C$5</definedName>
    <definedName function="false" hidden="false" name="IdxMP_O" vbProcedure="false">Supuestos!$D$46:$M$46</definedName>
    <definedName function="false" hidden="false" name="IdxMP_V" vbProcedure="false">Supuestos!$D$58:$M$58</definedName>
    <definedName function="false" hidden="false" name="IdxOV_O" vbProcedure="false">Supuestos!$D$47:$M$47</definedName>
    <definedName function="false" hidden="false" name="IdxOV_V" vbProcedure="false">Supuestos!$D$59:$M$59</definedName>
    <definedName function="false" hidden="false" name="IdxPrecio_O" vbProcedure="false">Supuestos!$D$45:$M$45</definedName>
    <definedName function="false" hidden="false" name="IdxPrecio_V" vbProcedure="false">Supuestos!$D$57:$M$57</definedName>
    <definedName function="false" hidden="false" name="IdxSal_O" vbProcedure="false">Supuestos!$D$48:$M$48</definedName>
    <definedName function="false" hidden="false" name="IdxSal_V" vbProcedure="false">Supuestos!$D$60:$M$60</definedName>
    <definedName function="false" hidden="false" name="INS_O" vbProcedure="false">Productos!$K$6:$K$30</definedName>
    <definedName function="false" hidden="false" name="INS_V" vbProcedure="false">Productos!$L$6:$L$30</definedName>
    <definedName function="false" hidden="false" name="Inv_BaseV" vbProcedure="false">Inversion!$U$6:$U$25</definedName>
    <definedName function="false" hidden="false" name="Inv_CF" vbProcedure="false">Inversion!$N$6:$N$25</definedName>
    <definedName function="false" hidden="false" name="Inv_D" vbProcedure="false">Inversion!$D$6:$D$25</definedName>
    <definedName function="false" hidden="false" name="Inv_E" vbProcedure="false">Inversion!$E$6:$E$25</definedName>
    <definedName function="false" hidden="false" name="Inv_F" vbProcedure="false">Inversion!$F$6:$F$25</definedName>
    <definedName function="false" hidden="false" name="Inv_H" vbProcedure="false">Inversion!$H$6:$H$25</definedName>
    <definedName function="false" hidden="false" name="Inv_M" vbProcedure="false">Inversion!$M$6:$M$25</definedName>
    <definedName function="false" hidden="false" name="Inv_Q" vbProcedure="false">Inversion!$Q$6:$Q$25</definedName>
    <definedName function="false" hidden="false" name="Inv_R" vbProcedure="false">Inversion!$R$6:$R$25</definedName>
    <definedName function="false" hidden="false" name="Inv_SvcP" vbProcedure="false">Inversion!$S$6:$S$25</definedName>
    <definedName function="false" hidden="false" name="Inv_SvcV" vbProcedure="false">Inversion!$T$6:$T$25</definedName>
    <definedName function="false" hidden="false" name="i_CapexP" vbProcedure="false">Inversion!$D$26</definedName>
    <definedName function="false" hidden="false" name="i_CapexV" vbProcedure="false">Inversion!$N$26</definedName>
    <definedName function="false" hidden="false" name="i_Pagado" vbProcedure="false">Inversion!$H$26</definedName>
    <definedName function="false" hidden="false" name="MP_O" vbProcedure="false">Productos!$I$6:$I$30</definedName>
    <definedName function="false" hidden="false" name="MP_V" vbProcedure="false">Productos!$J$6:$J$30</definedName>
    <definedName function="false" hidden="false" name="n_Corte" vbProcedure="false">Inicio!$C$11</definedName>
    <definedName function="false" hidden="false" name="n_Escenario" vbProcedure="false">Inicio!$C$13</definedName>
    <definedName function="false" hidden="false" name="n_Etapa" vbProcedure="false">Inicio!$C$9</definedName>
    <definedName function="false" hidden="false" name="n_Fecha1" vbProcedure="false">Inicio!$C$10</definedName>
    <definedName function="false" hidden="false" name="n_FechaRev" vbProcedure="false">Inicio!$C$16</definedName>
    <definedName function="false" hidden="false" name="n_Frecuencia" vbProcedure="false">Inicio!$C$17</definedName>
    <definedName function="false" hidden="false" name="n_InicioReal" vbProcedure="false">Inicio!$C$12</definedName>
    <definedName function="false" hidden="false" name="n_Negocio" vbProcedure="false">Inicio!$C$6</definedName>
    <definedName function="false" hidden="false" name="n_Producto" vbProcedure="false">Inicio!$C$8</definedName>
    <definedName function="false" hidden="false" name="n_Socios" vbProcedure="false">Inicio!$C$7</definedName>
    <definedName function="false" hidden="false" name="n_Ventana" vbProcedure="false">Inicio!$C$14</definedName>
    <definedName function="false" hidden="false" name="n_Version" vbProcedure="false">Inicio!$C$15</definedName>
    <definedName function="false" hidden="false" name="OV_O" vbProcedure="false">Productos!$M$6:$M$30</definedName>
    <definedName function="false" hidden="false" name="OV_V" vbProcedure="false">Productos!$N$6:$N$30</definedName>
    <definedName function="false" hidden="false" name="o_Alim" vbProcedure="false">Supuestos!$D$10</definedName>
    <definedName function="false" hidden="false" name="o_Anios" vbProcedure="false">Supuestos!$D$7</definedName>
    <definedName function="false" hidden="false" name="o_CajaMin" vbProcedure="false">Supuestos!$D$26</definedName>
    <definedName function="false" hidden="false" name="o_Cargas" vbProcedure="false">Supuestos!$D$9</definedName>
    <definedName function="false" hidden="false" name="o_ComV" vbProcedure="false">Supuestos!$D$19</definedName>
    <definedName function="false" hidden="false" name="o_Desp" vbProcedure="false">Supuestos!$D$13</definedName>
    <definedName function="false" hidden="false" name="o_DInv" vbProcedure="false">Supuestos!$D$22</definedName>
    <definedName function="false" hidden="false" name="o_DPOmp" vbProcedure="false">Supuestos!$D$24</definedName>
    <definedName function="false" hidden="false" name="o_DPOot" vbProcedure="false">Supuestos!$D$25</definedName>
    <definedName function="false" hidden="false" name="o_DPT" vbProcedure="false">Supuestos!$D$23</definedName>
    <definedName function="false" hidden="false" name="o_DSO" vbProcedure="false">Supuestos!$D$21</definedName>
    <definedName function="false" hidden="false" name="o_ImpA" vbProcedure="false">Supuestos!$D$16</definedName>
    <definedName function="false" hidden="false" name="o_ImpP" vbProcedure="false">Supuestos!$D$15</definedName>
    <definedName function="false" hidden="false" name="o_Inicio" vbProcedure="false">Supuestos!$D$6</definedName>
    <definedName function="false" hidden="false" name="o_IRE" vbProcedure="false">Supuestos!$D$20</definedName>
    <definedName function="false" hidden="false" name="o_IVAint" vbProcedure="false">Supuestos!$D$29</definedName>
    <definedName function="false" hidden="false" name="o_IVAmeses" vbProcedure="false">Supuestos!$D$28</definedName>
    <definedName function="false" hidden="false" name="o_IVArec" vbProcedure="false">Supuestos!$D$27</definedName>
    <definedName function="false" hidden="false" name="o_Ke" vbProcedure="false">Supuestos!$D$31</definedName>
    <definedName function="false" hidden="false" name="o_Merma" vbProcedure="false">Supuestos!$D$8</definedName>
    <definedName function="false" hidden="false" name="o_MesDiv" vbProcedure="false">Supuestos!$D$34</definedName>
    <definedName function="false" hidden="false" name="o_Pkg" vbProcedure="false">Supuestos!$D$14</definedName>
    <definedName function="false" hidden="false" name="o_PreDir" vbProcedure="false">Supuestos!$D$11</definedName>
    <definedName function="false" hidden="false" name="o_PreInd" vbProcedure="false">Supuestos!$D$12</definedName>
    <definedName function="false" hidden="false" name="o_RealAF" vbProcedure="false">Supuestos!$D$33</definedName>
    <definedName function="false" hidden="false" name="o_RealCT" vbProcedure="false">Supuestos!$D$32</definedName>
    <definedName function="false" hidden="false" name="o_SegV" vbProcedure="false">Supuestos!$D$18</definedName>
    <definedName function="false" hidden="false" name="o_Trib" vbProcedure="false">Supuestos!$D$17</definedName>
    <definedName function="false" hidden="false" name="o_WACC" vbProcedure="false">Supuestos!$D$30</definedName>
    <definedName function="false" hidden="false" name="Payout_O" vbProcedure="false">Supuestos!$D$44:$M$44</definedName>
    <definedName function="false" hidden="false" name="Payout_V" vbProcedure="false">Supuestos!$D$56:$M$56</definedName>
    <definedName function="false" hidden="false" name="Per_Clase" vbProcedure="false">Costos!$C$6:$C$35</definedName>
    <definedName function="false" hidden="false" name="Per_Mon" vbProcedure="false">Costos!$D$6:$D$35</definedName>
    <definedName function="false" hidden="false" name="Precio_O" vbProcedure="false">Productos!$G$6:$G$30</definedName>
    <definedName function="false" hidden="false" name="Precio_V" vbProcedure="false">Productos!$H$6:$H$30</definedName>
    <definedName function="false" hidden="false" name="Prod_Nombre" vbProcedure="false">Productos!$B$6:$B$30</definedName>
    <definedName function="false" hidden="false" name="pub_EBITDA" vbProcedure="false">Supuestos!$D$77:$M$77</definedName>
    <definedName function="false" hidden="false" name="pub_TIR" vbProcedure="false">Supuestos!$D$80</definedName>
    <definedName function="false" hidden="false" name="pub_Utilidad" vbProcedure="false">Supuestos!$D$78:$M$78</definedName>
    <definedName function="false" hidden="false" name="pub_VAN" vbProcedure="false">Supuestos!$D$79</definedName>
    <definedName function="false" hidden="false" name="pub_Ventas" vbProcedure="false">Supuestos!$D$76:$M$76</definedName>
    <definedName function="false" hidden="false" name="py_Brecha" vbProcedure="false">Proyeccion_24m!$E$33</definedName>
    <definedName function="false" hidden="false" name="P_Alim" vbProcedure="false">Supuestos!$D$89</definedName>
    <definedName function="false" hidden="false" name="P_Anios" vbProcedure="false">Supuestos!$D$86</definedName>
    <definedName function="false" hidden="false" name="P_CajaMin" vbProcedure="false">Supuestos!$D$105</definedName>
    <definedName function="false" hidden="false" name="P_Cargas" vbProcedure="false">Supuestos!$D$88</definedName>
    <definedName function="false" hidden="false" name="P_ComV" vbProcedure="false">Supuestos!$D$98</definedName>
    <definedName function="false" hidden="false" name="P_dCapex" vbProcedure="false">Supuestos!$D$118</definedName>
    <definedName function="false" hidden="false" name="P_Desp" vbProcedure="false">Supuestos!$D$92</definedName>
    <definedName function="false" hidden="false" name="P_DInv" vbProcedure="false">Supuestos!$D$101</definedName>
    <definedName function="false" hidden="false" name="P_dMat" vbProcedure="false">Supuestos!$D$116</definedName>
    <definedName function="false" hidden="false" name="P_DPOmp" vbProcedure="false">Supuestos!$D$103</definedName>
    <definedName function="false" hidden="false" name="P_DPOot" vbProcedure="false">Supuestos!$D$104</definedName>
    <definedName function="false" hidden="false" name="P_dPrecio" vbProcedure="false">Supuestos!$D$115</definedName>
    <definedName function="false" hidden="false" name="P_DPT" vbProcedure="false">Supuestos!$D$102</definedName>
    <definedName function="false" hidden="false" name="P_DSO" vbProcedure="false">Supuestos!$D$100</definedName>
    <definedName function="false" hidden="false" name="P_dTC" vbProcedure="false">Supuestos!$D$117</definedName>
    <definedName function="false" hidden="false" name="P_dVol" vbProcedure="false">Supuestos!$D$114</definedName>
    <definedName function="false" hidden="false" name="P_ImpA" vbProcedure="false">Supuestos!$D$95</definedName>
    <definedName function="false" hidden="false" name="P_ImpP" vbProcedure="false">Supuestos!$D$94</definedName>
    <definedName function="false" hidden="false" name="P_Inicio" vbProcedure="false">Supuestos!$D$85</definedName>
    <definedName function="false" hidden="false" name="P_IRE" vbProcedure="false">Supuestos!$D$99</definedName>
    <definedName function="false" hidden="false" name="P_IVAint" vbProcedure="false">Supuestos!$D$108</definedName>
    <definedName function="false" hidden="false" name="P_IVAmeses" vbProcedure="false">Supuestos!$D$107</definedName>
    <definedName function="false" hidden="false" name="P_IVArec" vbProcedure="false">Supuestos!$D$106</definedName>
    <definedName function="false" hidden="false" name="P_Ke" vbProcedure="false">Supuestos!$D$110</definedName>
    <definedName function="false" hidden="false" name="P_L1_Cuotas" vbProcedure="false">Inversion!$D$36</definedName>
    <definedName function="false" hidden="false" name="P_L1_Gracia" vbProcedure="false">Inversion!$D$35</definedName>
    <definedName function="false" hidden="false" name="P_L1_Mes" vbProcedure="false">Inversion!$D$33</definedName>
    <definedName function="false" hidden="false" name="P_L1_Monto" vbProcedure="false">Inversion!$D$32</definedName>
    <definedName function="false" hidden="false" name="P_L1_Tasa" vbProcedure="false">Inversion!$D$34</definedName>
    <definedName function="false" hidden="false" name="P_L2_Cuotas" vbProcedure="false">Inversion!$F$36</definedName>
    <definedName function="false" hidden="false" name="P_L2_Gracia" vbProcedure="false">Inversion!$F$35</definedName>
    <definedName function="false" hidden="false" name="P_L2_Mes" vbProcedure="false">Inversion!$F$33</definedName>
    <definedName function="false" hidden="false" name="P_L2_Monto" vbProcedure="false">Inversion!$F$32</definedName>
    <definedName function="false" hidden="false" name="P_L2_Tasa" vbProcedure="false">Inversion!$F$34</definedName>
    <definedName function="false" hidden="false" name="P_L3_Cuotas" vbProcedure="false">Inversion!$H$36</definedName>
    <definedName function="false" hidden="false" name="P_L3_Gracia" vbProcedure="false">Inversion!$H$35</definedName>
    <definedName function="false" hidden="false" name="P_L3_Mes" vbProcedure="false">Inversion!$H$33</definedName>
    <definedName function="false" hidden="false" name="P_L3_Monto" vbProcedure="false">Inversion!$H$32</definedName>
    <definedName function="false" hidden="false" name="P_L3_Tasa" vbProcedure="false">Inversion!$H$34</definedName>
    <definedName function="false" hidden="false" name="P_LC_Desde" vbProcedure="false">Inversion!$D$43</definedName>
    <definedName function="false" hidden="false" name="P_LC_Hasta" vbProcedure="false">Inversion!$D$44</definedName>
    <definedName function="false" hidden="false" name="P_LC_Lim" vbProcedure="false">Inversion!$D$41</definedName>
    <definedName function="false" hidden="false" name="P_LC_Tasa" vbProcedure="false">Inversion!$D$42</definedName>
    <definedName function="false" hidden="false" name="P_Merma" vbProcedure="false">Supuestos!$D$87</definedName>
    <definedName function="false" hidden="false" name="P_MesDiv" vbProcedure="false">Supuestos!$D$113</definedName>
    <definedName function="false" hidden="false" name="P_Pkg" vbProcedure="false">Supuestos!$D$93</definedName>
    <definedName function="false" hidden="false" name="P_PreDir" vbProcedure="false">Supuestos!$D$90</definedName>
    <definedName function="false" hidden="false" name="P_PreInd" vbProcedure="false">Supuestos!$D$91</definedName>
    <definedName function="false" hidden="false" name="P_RealAF" vbProcedure="false">Supuestos!$D$112</definedName>
    <definedName function="false" hidden="false" name="P_RealCT" vbProcedure="false">Supuestos!$D$111</definedName>
    <definedName function="false" hidden="false" name="P_SegV" vbProcedure="false">Supuestos!$D$97</definedName>
    <definedName function="false" hidden="false" name="P_Trib" vbProcedure="false">Supuestos!$D$96</definedName>
    <definedName function="false" hidden="false" name="P_WACC" vbProcedure="false">Supuestos!$D$109</definedName>
    <definedName function="false" hidden="false" name="r_BrechaV" vbProcedure="false">Resultados!$D$22</definedName>
    <definedName function="false" hidden="false" name="r_ChkP" vbProcedure="false">Resultados!$C$30</definedName>
    <definedName function="false" hidden="false" name="r_ChkV" vbProcedure="false">Resultados!$D$30</definedName>
    <definedName function="false" hidden="false" name="r_DeudaFinP" vbProcedure="false">Control!$C$24</definedName>
    <definedName function="false" hidden="false" name="Sal_O" vbProcedure="false">Costos!$E$6:$E$35</definedName>
    <definedName function="false" hidden="false" name="Sal_V" vbProcedure="false">Costos!$F$6:$F$35</definedName>
    <definedName function="false" hidden="false" name="TC_O" vbProcedure="false">Supuestos!$D$39:$M$39</definedName>
    <definedName function="false" hidden="false" name="TC_V" vbProcedure="false">Supuestos!$D$51:$M$51</definedName>
    <definedName function="false" hidden="false" name="vg_Alim" vbProcedure="false">Supuestos!$E$10</definedName>
    <definedName function="false" hidden="false" name="vg_Anios" vbProcedure="false">Supuestos!$E$7</definedName>
    <definedName function="false" hidden="false" name="vg_CajaMin" vbProcedure="false">Supuestos!$E$26</definedName>
    <definedName function="false" hidden="false" name="vg_Cargas" vbProcedure="false">Supuestos!$E$9</definedName>
    <definedName function="false" hidden="false" name="vg_ComV" vbProcedure="false">Supuestos!$E$19</definedName>
    <definedName function="false" hidden="false" name="vg_Desp" vbProcedure="false">Supuestos!$E$13</definedName>
    <definedName function="false" hidden="false" name="vg_DInv" vbProcedure="false">Supuestos!$E$22</definedName>
    <definedName function="false" hidden="false" name="vg_DPOmp" vbProcedure="false">Supuestos!$E$24</definedName>
    <definedName function="false" hidden="false" name="vg_DPOot" vbProcedure="false">Supuestos!$E$25</definedName>
    <definedName function="false" hidden="false" name="vg_DPT" vbProcedure="false">Supuestos!$E$23</definedName>
    <definedName function="false" hidden="false" name="vg_DSO" vbProcedure="false">Supuestos!$E$21</definedName>
    <definedName function="false" hidden="false" name="vg_ImpA" vbProcedure="false">Supuestos!$E$16</definedName>
    <definedName function="false" hidden="false" name="vg_ImpP" vbProcedure="false">Supuestos!$E$15</definedName>
    <definedName function="false" hidden="false" name="vg_Inicio" vbProcedure="false">Supuestos!$E$6</definedName>
    <definedName function="false" hidden="false" name="vg_IRE" vbProcedure="false">Supuestos!$E$20</definedName>
    <definedName function="false" hidden="false" name="vg_IVAint" vbProcedure="false">Supuestos!$E$29</definedName>
    <definedName function="false" hidden="false" name="vg_IVAmeses" vbProcedure="false">Supuestos!$E$28</definedName>
    <definedName function="false" hidden="false" name="vg_IVArec" vbProcedure="false">Supuestos!$E$27</definedName>
    <definedName function="false" hidden="false" name="vg_Ke" vbProcedure="false">Supuestos!$E$31</definedName>
    <definedName function="false" hidden="false" name="vg_Merma" vbProcedure="false">Supuestos!$E$8</definedName>
    <definedName function="false" hidden="false" name="vg_MesDiv" vbProcedure="false">Supuestos!$E$34</definedName>
    <definedName function="false" hidden="false" name="vg_Pkg" vbProcedure="false">Supuestos!$E$14</definedName>
    <definedName function="false" hidden="false" name="vg_PreDir" vbProcedure="false">Supuestos!$E$11</definedName>
    <definedName function="false" hidden="false" name="vg_PreInd" vbProcedure="false">Supuestos!$E$12</definedName>
    <definedName function="false" hidden="false" name="vg_RealAF" vbProcedure="false">Supuestos!$E$33</definedName>
    <definedName function="false" hidden="false" name="vg_RealCT" vbProcedure="false">Supuestos!$E$32</definedName>
    <definedName function="false" hidden="false" name="vg_SegV" vbProcedure="false">Supuestos!$E$18</definedName>
    <definedName function="false" hidden="false" name="vg_Trib" vbProcedure="false">Supuestos!$E$17</definedName>
    <definedName function="false" hidden="false" name="vg_WACC" vbProcedure="false">Supuestos!$E$30</definedName>
    <definedName function="false" hidden="false" name="VolTot_O" vbProcedure="false">Productos!$N$34:$N$58</definedName>
    <definedName function="false" hidden="false" name="VolTot_V" vbProcedure="false">Productos!$N$63:$N$87</definedName>
    <definedName function="false" hidden="false" name="Vol_O" vbProcedure="false">Productos!$D$34:$M$58</definedName>
    <definedName function="false" hidden="false" name="Vol_V" vbProcedure="false">Productos!$D$63:$M$87</definedName>
    <definedName function="false" hidden="false" name="V_Alim" vbProcedure="false">Supuestos!$E$89</definedName>
    <definedName function="false" hidden="false" name="V_Anios" vbProcedure="false">Supuestos!$E$86</definedName>
    <definedName function="false" hidden="false" name="V_CajaMin" vbProcedure="false">Supuestos!$E$105</definedName>
    <definedName function="false" hidden="false" name="V_Cargas" vbProcedure="false">Supuestos!$E$88</definedName>
    <definedName function="false" hidden="false" name="V_ComV" vbProcedure="false">Supuestos!$E$98</definedName>
    <definedName function="false" hidden="false" name="V_dCapex" vbProcedure="false">Supuestos!$E$118</definedName>
    <definedName function="false" hidden="false" name="V_Desp" vbProcedure="false">Supuestos!$E$92</definedName>
    <definedName function="false" hidden="false" name="V_DInv" vbProcedure="false">Supuestos!$E$101</definedName>
    <definedName function="false" hidden="false" name="V_dMat" vbProcedure="false">Supuestos!$E$116</definedName>
    <definedName function="false" hidden="false" name="V_DPOmp" vbProcedure="false">Supuestos!$E$103</definedName>
    <definedName function="false" hidden="false" name="V_DPOot" vbProcedure="false">Supuestos!$E$104</definedName>
    <definedName function="false" hidden="false" name="V_dPrecio" vbProcedure="false">Supuestos!$E$115</definedName>
    <definedName function="false" hidden="false" name="V_DPT" vbProcedure="false">Supuestos!$E$102</definedName>
    <definedName function="false" hidden="false" name="V_DSO" vbProcedure="false">Supuestos!$E$100</definedName>
    <definedName function="false" hidden="false" name="V_dTC" vbProcedure="false">Supuestos!$E$117</definedName>
    <definedName function="false" hidden="false" name="V_dVol" vbProcedure="false">Supuestos!$E$114</definedName>
    <definedName function="false" hidden="false" name="V_ImpA" vbProcedure="false">Supuestos!$E$95</definedName>
    <definedName function="false" hidden="false" name="V_ImpP" vbProcedure="false">Supuestos!$E$94</definedName>
    <definedName function="false" hidden="false" name="V_Inicio" vbProcedure="false">Supuestos!$E$85</definedName>
    <definedName function="false" hidden="false" name="V_IRE" vbProcedure="false">Supuestos!$E$99</definedName>
    <definedName function="false" hidden="false" name="V_IVAint" vbProcedure="false">Supuestos!$E$108</definedName>
    <definedName function="false" hidden="false" name="V_IVAmeses" vbProcedure="false">Supuestos!$E$107</definedName>
    <definedName function="false" hidden="false" name="V_IVArec" vbProcedure="false">Supuestos!$E$106</definedName>
    <definedName function="false" hidden="false" name="V_Ke" vbProcedure="false">Supuestos!$E$110</definedName>
    <definedName function="false" hidden="false" name="V_L1_Cuotas" vbProcedure="false">Inversion!$E$36</definedName>
    <definedName function="false" hidden="false" name="V_L1_Gracia" vbProcedure="false">Inversion!$E$35</definedName>
    <definedName function="false" hidden="false" name="V_L1_Mes" vbProcedure="false">Inversion!$E$33</definedName>
    <definedName function="false" hidden="false" name="V_L1_Monto" vbProcedure="false">Inversion!$E$32</definedName>
    <definedName function="false" hidden="false" name="V_L1_Tasa" vbProcedure="false">Inversion!$E$34</definedName>
    <definedName function="false" hidden="false" name="V_L2_Cuotas" vbProcedure="false">Inversion!$G$36</definedName>
    <definedName function="false" hidden="false" name="V_L2_Gracia" vbProcedure="false">Inversion!$G$35</definedName>
    <definedName function="false" hidden="false" name="V_L2_Mes" vbProcedure="false">Inversion!$G$33</definedName>
    <definedName function="false" hidden="false" name="V_L2_Monto" vbProcedure="false">Inversion!$G$32</definedName>
    <definedName function="false" hidden="false" name="V_L2_Tasa" vbProcedure="false">Inversion!$G$34</definedName>
    <definedName function="false" hidden="false" name="V_L3_Cuotas" vbProcedure="false">Inversion!$I$36</definedName>
    <definedName function="false" hidden="false" name="V_L3_Gracia" vbProcedure="false">Inversion!$I$35</definedName>
    <definedName function="false" hidden="false" name="V_L3_Mes" vbProcedure="false">Inversion!$I$33</definedName>
    <definedName function="false" hidden="false" name="V_L3_Monto" vbProcedure="false">Inversion!$I$32</definedName>
    <definedName function="false" hidden="false" name="V_L3_Tasa" vbProcedure="false">Inversion!$I$34</definedName>
    <definedName function="false" hidden="false" name="V_LC_Desde" vbProcedure="false">Inversion!$E$43</definedName>
    <definedName function="false" hidden="false" name="V_LC_Hasta" vbProcedure="false">Inversion!$E$44</definedName>
    <definedName function="false" hidden="false" name="V_LC_Lim" vbProcedure="false">Inversion!$E$41</definedName>
    <definedName function="false" hidden="false" name="V_LC_Saldo0" vbProcedure="false">Inversion!$E$45</definedName>
    <definedName function="false" hidden="false" name="V_LC_Tasa" vbProcedure="false">Inversion!$E$42</definedName>
    <definedName function="false" hidden="false" name="V_Merma" vbProcedure="false">Supuestos!$E$87</definedName>
    <definedName function="false" hidden="false" name="V_MesDiv" vbProcedure="false">Supuestos!$E$113</definedName>
    <definedName function="false" hidden="false" name="V_Pkg" vbProcedure="false">Supuestos!$E$93</definedName>
    <definedName function="false" hidden="false" name="V_PreDir" vbProcedure="false">Supuestos!$E$90</definedName>
    <definedName function="false" hidden="false" name="V_PreInd" vbProcedure="false">Supuestos!$E$91</definedName>
    <definedName function="false" hidden="false" name="V_RealAF" vbProcedure="false">Supuestos!$E$112</definedName>
    <definedName function="false" hidden="false" name="V_RealCT" vbProcedure="false">Supuestos!$E$111</definedName>
    <definedName function="false" hidden="false" name="V_SegV" vbProcedure="false">Supuestos!$E$97</definedName>
    <definedName function="false" hidden="false" name="V_Trib" vbProcedure="false">Supuestos!$E$96</definedName>
    <definedName function="false" hidden="false" name="V_WACC" vbProcedure="false">Supuestos!$E$109</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<sst xmlns="http://schemas.openxmlformats.org/spreadsheetml/2006/main" count="11251" uniqueCount="3201">
  <si>
    <t xml:space="preserve">Turno</t>
  </si>
  <si>
    <t xml:space="preserve">Fecha</t>
  </si>
  <si>
    <t xml:space="preserve">Solicitud del usuario</t>
  </si>
  <si>
    <t xml:space="preserve">Acción realizada</t>
  </si>
  <si>
    <t xml:space="preserve">Detalle</t>
  </si>
  <si>
    <t xml:space="preserve">Resultado</t>
  </si>
  <si>
    <t xml:space="preserve">Carga del prompt de trabajo del modelo Maquila ECOSTAR y pedido implícito de ejecutar la Tarea 1: validar que Excel reproduce los resultados de referencia obtenidos en LibreOffice.</t>
  </si>
  <si>
    <t xml:space="preserve">Validación de solo lectura de Resultados!C6:D30, Control!A4:F24 y escaneo de fórmulas de todo el libro. No se modificó ninguna celda del modelo.</t>
  </si>
  <si>
    <t xml:space="preserve">16 de 17 indicadores de Resultados!D coinciden dentro de tolerancia. Diferencia: 'Meses con brecha' = 0 vs 12 esperado. Causa: criterios COUNTIF con punto decimal ("&gt;0.5") que Excel es-PY no interpreta como número. Celdas afectadas: Resultados!C23, Resultados!D23, Control!C17 y Productos!N53:N64 (c_CapExceso). Verificado con COUNTIF(...;"&gt;0,5") = 12.</t>
  </si>
  <si>
    <t xml:space="preserve">Diferencia informada, NO corregida (requiere autorización y réplica en generar_plantilla.py). Control muestra 1 alerta (C14) en lugar de 2; falta C13 por el mismo motivo. Balance de control = 0 en C30 y D30.</t>
  </si>
  <si>
    <t xml:space="preserve">Autorizó la corrección de las 15 celdas con criterio de texto "&gt;0.5" (excepción puntual a la regla de no editar Resultados/Control) y cargó la guía de uso paso a paso (Prompt_Guia_Uso_ECOSTAR_v2.md).</t>
  </si>
  <si>
    <t xml:space="preserve">Corrección regional de criterios (15 celdas). Reemplazo de COUNTIF(rango;"&gt;0.5") por SUMPRODUCT(--(rango&gt;0,5)) en Resultados!C23, Resultados!D23, Control!C17 y Productos!N53:N64. Prueba temporal de la alerta C10 (escenario V4) y restauración.</t>
  </si>
  <si>
    <t xml:space="preserve">Fórmulas originales: Resultados!C23 =COUNTIF(Calculo!$F$130:$ES$130;"&gt;0.5") | Resultados!D23 y Control!C17 =COUNTIF(Calculo!$F$260:$ES$260;"&gt;0.5") | Productos!N53:N64 =COUNTIF(D53:M53;"&gt;0.5") ... =COUNTIF(D64:M64;"&gt;0.5"). Confirmado antes de editar: Calculo!A130=P.BRECHA, A260=V.BRECHA, Productos!N52='Años con exceso'. Prueba C10: Productos!D37:M38 = D21:M22*1,1 → C10=16 y REVISAR; restaurado a =D21...=M22.</t>
  </si>
  <si>
    <t xml:space="preserve">Validado: C23=12, D23=12, Control!C17=12 con E17=REVISAR, controles en REVISAR=2 (C13 y C14), Productos!N53:N64=0. Indicadores sin cambio: VAN proyecto 6.989.922, VAN socios 3.695.678, aporte adicional 311.740, balance 0 en C30 y D30. Criterio adoptado: no usar decimales en criterios de texto de COUNTIF/SUMIF/MAXIFS/MINIFS; usar SUMPRODUCT. Pendiente: replicar en generar_plantilla.py.</t>
  </si>
  <si>
    <t xml:space="preserve">Pidió ampliar el modelo de 12 a 25 productos, por la posibilidad de ampliar la producción a distintos tipos de unidades.</t>
  </si>
  <si>
    <t xml:space="preserve">Mapeo de alcance, sin modificar el modelo. Se fremó la ejecución directa por ser cambio estructural (regla propia del usuario: va al generador).</t>
  </si>
  <si>
    <t xml:space="preserve">El producto es una dimensión que atraviesa 12 bloques en 5 hojas: Productos (4 bloques), Reales (2), Calculo (4: P.u, P.s, V.u, V.s) y Resultados (2). 12 bloques x 13 filas = 156 filas nuevas; en Calculo ~7.750 fórmulas. 17 nombres definidos a redimensionar. Se planteó además la duda de diseño: productos individuales vs familias (16 celdas de entrada por producto).</t>
  </si>
  <si>
    <t xml:space="preserve">Se ofrecieron 3 opciones. ERRATA: en ese turno se informó al usuario que el log estaba registrado y no lo estaba; esta fila lo regulariza.</t>
  </si>
  <si>
    <t xml:space="preserve">Eligió la opción recomendada: recibir la especificación técnica completa para aplicarla en generar_plantilla.py y después validar el libro regenerado.</t>
  </si>
  <si>
    <t xml:space="preserve">Creada la hoja 'Esp_25Productos' con la especificación en 6 secciones. No se modificó ninguna celda del modelo.</t>
  </si>
  <si>
    <t xml:space="preserve">Secciones: (0) constante N_PRODUCTOS 12→25 y convención de índice; (1) los 12 bloques con filas hoy, filas con N=25 y fórmula semilla de la fila i; (2) los 17 nombres definidos con rango nuevo; (3) desplazamiento de filas en Calculo (+26 bloque P, +52 bloque V) y los 6 SUMPRODUCT de materiales que NO se corrigen al insertar filas; (4) desplazamiento en Resultados; (5) checklist de 12 validaciones; (6) riesgos.</t>
  </si>
  <si>
    <t xml:space="preserve">Especificación entregada en la hoja Esp_25Productos. Pendiente del usuario: aplicarla en el generador y definir si los 25 son productos individuales o familias. Sigue pendiente replicar la corrección regional de criterios en el script.</t>
  </si>
  <si>
    <t xml:space="preserve">Confirmó que los 25 productos son individuales (no familias) y pidió el prompt listo para aplicar el cambio en el generador de plantillas.</t>
  </si>
  <si>
    <t xml:space="preserve">Redactado el prompt completo para el generador y exportado como Prompt_Generador_25Productos.md. No se modificó ninguna celda del modelo.</t>
  </si>
  <si>
    <t xml:space="preserve">8 secciones: contexto, objetivo (N_PRODUCTOS 12→25 individuales), reglas de trabajo, especificación de los 12 bloques con fórmulas semilla y los 17 nombres definidos, lo que hay que reindexar a mano (bloque P +26 filas, bloque V +52, y los 6 SUMPRODUCT de materiales como punto crítico de error silencioso), la corrección regional de criterios a replicar, la validación de 15 indicadores más 3 pruebas de reindexado, y qué se espera de vuelta (diff antes de aplicar).</t>
  </si>
  <si>
    <t xml:space="preserve">Prompt entregado en chat y como archivo. Pendiente del usuario: aplicarlo en generar_plantilla.py y traer el libro regenerado para validar. La hoja Esp_25Productos queda como documentación de respaldo en el libro.</t>
  </si>
  <si>
    <t xml:space="preserve">6 (Claude Code)</t>
  </si>
  <si>
    <t xml:space="preserve">Aplicar en generar_plantilla.py el prompt de ampliación a 25 productos (Prompt_Generador_25Productos).</t>
  </si>
  <si>
    <t xml:space="preserve">N_PRODUCTOS 12→25 (constante única: todos los bloques ya se emitían en bucle, sin filas literales). Ventas totales como SUM. Textos «Hasta 25». Corrección regional ya estaba en el generador (commit d3499ff). Libro regenerado: commit 74883c3.</t>
  </si>
  <si>
    <t xml:space="preserve">Validado en LibreOffice: C6:D30 y Control idénticos a 12 productos; nombres y filas = Esp_25Productos; productos 3, 13 y 25: Δventas y Δmateriales exactos (P y V); volumen ×1,10 → C10=16; producto sin precio → C11; 0 criterios con decimales; meses reales no cambian con el escenario.</t>
  </si>
  <si>
    <t xml:space="preserve">Hojas Claude Log y Esp_25Productos copiadas desde v3. Pendiente: validación de la sección 7 en Excel.</t>
  </si>
  <si>
    <t xml:space="preserve">7 (Claude Code)</t>
  </si>
  <si>
    <t xml:space="preserve">Agregar al modelo una guía de carga paso a paso dentro del Excel.</t>
  </si>
  <si>
    <t xml:space="preserve">Nueva hoja Guia_Carga desde el generador (la heredan Alianza y la tercera maquila): 28 pasos en 5 etapas (alta, presupuesto, vigente, cierre mensual, revisión) con vínculo a la celda, fuente, criterio, estado automático y columnas Hecho/Fecha/Responsable. Nombres nuevos: g_Mes, g_Pendientes, c_C01..c_C16. Sin cambios de cálculo.</t>
  </si>
  <si>
    <t xml:space="preserve">Validado en LibreOffice: 0 errores; indicadores C6:D30 y Control idénticos a la v4; ciclo de cierre probado (mes 1 cargado → «Listo para cerrar: poner 1»; al cerrar, la guía pasa al mes 2).</t>
  </si>
  <si>
    <t xml:space="preserve">Libro v5 = v4 + hoja Guia_Carga. Si tu Claude Log local tiene turnos posteriores al 6, copialos a esta hoja.</t>
  </si>
  <si>
    <t xml:space="preserve">8 (Claude Code)</t>
  </si>
  <si>
    <t xml:space="preserve">Proyección detallada a 2 años (mes a mes) y vista anual a 10 años; revisión del plan anual o bienal. Ventana móvil; detalle de volúmenes, precios, costos de materiales, personal, costos fijos y TC.</t>
  </si>
  <si>
    <t xml:space="preserve">Nueva hoja Detalle_24m (misma grilla que Reales; celda vacía = supuesto anual; solo se usa en la ventana Corte+1 a Corte+n_Ventana). Nueva hoja Proyeccion_24m (24 meses vigente vs presupuesto, totales por año de ventana). Inicio C14:C17: n_Ventana, versión del plan, fecha de revisión, frecuencia. Guía: sección F (pasos 29-37). Presupuesto original sin cambios (anual).</t>
  </si>
  <si>
    <t xml:space="preserve">Validado en LibreOffice: con detalle vacío, 0 celdas distintas en Calculo frente a la v5; 25 pruebas de detalle OK (volumen, precio, materiales, personal, fijos, TC, ventana móvil con cierre, escenario, ventana 12); balance 0.</t>
  </si>
  <si>
    <t xml:space="preserve">Libro v6 = v5 + Detalle_24m + Proyeccion_24m + datos de revisión. Celdas de Calculo, Resultados y Control sin cambios de posición.</t>
  </si>
  <si>
    <t xml:space="preserve">9 (Claude en Excel)</t>
  </si>
  <si>
    <t xml:space="preserve">Validar en Excel el modelo v6 siguiendo el plan de evaluación paso a paso (Prompt_Claude_Excel_ECOSTAR_v6.md). Paso 0 — Preparación.</t>
  </si>
  <si>
    <t xml:space="preserve">Verificación de estructura y modo de cálculo; recálculo completo (fullRebuild) y lectura de Resultados!D6:D30.</t>
  </si>
  <si>
    <t xml:space="preserve">14 hojas presentes y en el orden esperado; cálculo en Automático; Claude Log con historial hasta el turno 8. Inicio: C13=Vigente, C14=24, C15=Plan CIE–PERG Oct-2025, C17=Anual; C10, C11, C12 y C16 vacías. Sin modificaciones al libro.</t>
  </si>
  <si>
    <t xml:space="preserve">Paso 0 OK. Caso base confirmado tras recálculo: VAN del proyecto 6.989.922 y balance 0. A la espera de «seguir» para el Paso 1.</t>
  </si>
  <si>
    <t xml:space="preserve">10 (Claude en Excel)</t>
  </si>
  <si>
    <t xml:space="preserve">Paso 1 — Integridad del libro base: comparar los 25 indicadores de Resultados!D6:D30 con los valores validados en LibreOffice, revisar Control y los nombres definidos.</t>
  </si>
  <si>
    <t xml:space="preserve">Lectura (sin edición) de Resultados!B6:D30 y Control!A5:F22; verificación de los nombres Prod_Nombre, Vol_O, Vol_V y c_CapExceso; barrido de fórmulas de las 14 hojas buscando criterios de texto con decimales.</t>
  </si>
  <si>
    <t xml:space="preserve">19 de 19 indicadores con valor esperado coinciden dentro de tolerancia (±1 USD / ±0,01). Control: solo C13 (brecha de caja, 12 meses) y C14 (mes real de inicio sin cargar) en REVISAR; fila 22 = 2. Nombres a 25 productos: Prod_Nombre=Productos!B6:B30, Vol_O=D34:M58, Vol_V=D63:M87, c_CapExceso=N92:N116. Criterios de texto con decimales en fórmulas: 0 (las 6 coincidencias del barrido son texto de Claude Log y Esp_25Productos, no fórmulas).</t>
  </si>
  <si>
    <t xml:space="preserve">Paso 1 OK, sin diferencias. Libro sin modificaciones; VAN del proyecto 6.989.922 y balance 0. A la espera de «seguir» para el Paso 2 (X2, X3, V4).</t>
  </si>
  <si>
    <t xml:space="preserve">11 (Claude en Excel)</t>
  </si>
  <si>
    <t xml:space="preserve">Paso 2 — Estructura de 25 productos: ejecutar los escenarios X2, X3 y V4 (X1 omitido por ser opcional y modificar el presupuesto).</t>
  </si>
  <si>
    <t xml:space="preserve">X2: alta de 3 productos de prueba en las filas 8, 18 y 30 (B, C y H/J/L/N vigentes) con volúmenes vigentes D65:M65=1.200, D75:M75=600, D87:M87=300. X3: B30='Sin precio', C30='u', J30=10, D87:M87=500 (H30 sin tocar). V4: D63:M64 = D34:M35 × 1,10. Un caso por vez, con restauración intermedia.</t>
  </si>
  <si>
    <t xml:space="preserve">Originales anotados antes de editar: B8/B18/B30 y C8/C18/C30 vacías; H/J/L/N de las filas 8, 18 y 30 con fórmulas =G/=I/=K/=M; D63:M63 ==D34.., D64:M64 ==D35.., D65:M65 ==D36.., D75:M75 ==D46.., D87:M87 ==D58... RESULTADOS: X2 ventas 83.419.512,36 (delta +2.197.064,63), materia prima + insumos +933.279,30, VAN proyecto 7.641.309,22, VAN socios 4.132.976,38, aporte 197.575,03, 6 meses con brecha, DSCR 0,53. X3 ventas 81.222.447,72, VAN proyecto 6.951.414,83, VAN socios 3.672.044,15, aporte 324.969,77, Control C11 en REVISAR con 1. V4 ventas 89.344.692,49, VAN proyecto 8.556.852,51, VAN socios 4.713.190,90, aporte 290.460,36, 8 meses, DSCR 0,58, Control C10 en REVISAR con 16. Presupuesto (Resultados columna C) sin cambios en los tres casos; balance 0.</t>
  </si>
  <si>
    <t xml:space="preserve">Paso 2 OK, 0 diferencias (23 de 23 comprobaciones). Restauración verificada por relectura de fórmulas: filas 8/18/30 y D63:M65, D75:M75, D87:M87 con sus fórmulas originales. Caso base: ventas 81.222.447,72, VAN proyecto 6.989.921,76, VAN socios 3.695.678,09, balance 0, controles en REVISAR = 2. A la espera de «seguir» para el Paso 3.</t>
  </si>
  <si>
    <t xml:space="preserve">12 (Claude en Excel)</t>
  </si>
  <si>
    <t xml:space="preserve">Paso 3 — Meses reales congelados: cargar 6 meses reales, Inversion G:H e Inicio!C11=6; evaluar escenario Vigente y Conservador.</t>
  </si>
  <si>
    <t xml:space="preserve">Carga en Reales F:K de TC, unidades, ventas, costos, movimientos de caja y saldos del mes 6; Inversion G6:H16 = presupuesto D6:D16 y G17:H17 = 35.833,91; Inicio!C11 = 6. Luego Inicio!C13 = Conservador y vuelta a Vigente.</t>
  </si>
  <si>
    <t xml:space="preserve">Vigente: ventas meses 1-6 = 254.000 y mes 7 = 404.166,67; caja mes 6 = 1.500.000; ajuste de conciliación mes 6 = -68.081,11; ventas año 1 = 3.949.000; EBITDA año 1 = 331.853,11; aporte adicional 557.910,57; 30 meses con brecha; VAN proyecto 6.858.765,62; VAN socios 3.546.902,66; balance 0. Conservador: meses 1-6 sin cambio (ventas 254.000, EBITDA 12.811,35, caja 1.500.000); ventas mes 7 = 345.562,50; VAN proyecto 31.572,84; VAN socios -1.330.307,86; aporte 3.286.963,70; CAPEX 767.548,50; balance 0.</t>
  </si>
  <si>
    <t xml:space="preserve">Paso 3 OK, 0 diferencias (19 de 19 comprobaciones). Restaurado: Reales F10:K84 e Inversion G6:H17 vacíos, Inicio!C11 vacía, C13 = Vigente; VAN del proyecto 6.989.921,76 y balance 0.</t>
  </si>
  <si>
    <t xml:space="preserve">13 (Claude en Excel)</t>
  </si>
  <si>
    <t xml:space="preserve">Paso 3b — Volumen y guía: cargar Q1 y Q2 en los 24 meses de Detalle_24m y probar el conteo de meses faltantes.</t>
  </si>
  <si>
    <t xml:space="preserve">Detalle_24m F14:AC14 = 1.100 y F15:AC15 = 6.500. Segunda prueba: borrado de AC14:AC15 (mes 24).</t>
  </si>
  <si>
    <t xml:space="preserve">V.u1 (Calculo fila 177) = 1.100 en los meses 1-24 y 1.500 en el mes 25; V.u2 (fila 178) = 6.500 en los meses 1-24. Proyeccion_24m: primer mes 446.500; año 1 / año 2 / total = 5.358.000 / 5.411.580 / 10.769.580; EBITDA año 1 = 679.293,21; fila 7 = 'Detalle' en los 24 meses. Guia_Carga paso 29 (F43) = '✔ 24 meses detallados'. Sin el mes 24: '⚠ 23 de 24 meses: completar hasta el mes 24'.</t>
  </si>
  <si>
    <t xml:space="preserve">Paso 3b OK, 0 diferencias (10 de 10 comprobaciones). Detalle_24m restaurado; paso 29 vuelve a '○ Usa supuestos anuales'; VAN 6.989.921,76 y balance 0.</t>
  </si>
  <si>
    <t xml:space="preserve">14 (Claude en Excel)</t>
  </si>
  <si>
    <t xml:space="preserve">Paso 3c — Precio, costos y TC: cinco casos en Detalle_24m, uno por vez, con restauración intermedia.</t>
  </si>
  <si>
    <t xml:space="preserve">Precio P1 = 280 en F42:Q42; MP1 = 90 en F70:AC70; DO1 = 6 y SA1 = 5.000.000 en F154:AC154 y F187:AC187; FC1 = 20.000.000 en F220:AC220; TC = 8.000 en F10:AC10.</t>
  </si>
  <si>
    <t xml:space="preserve">Precio: V.s1 = 280.000 en los meses 1-12 y 340.875 en el mes 13; ventas año 1 de la ventana = 4.970.000. Materia prima: V.mp_f mes 1 = 133.225 (base 125.875, +7.350) y mes 13 = 168.630,75 (base 160.476,38, +8.154,38); mes 25 sin cambio; EBITDA año 1 = 413.655,61. Personal: V.dir_n mes 1 = 45 (base 43) y V.dir_f mes 1 = 34.999,77 (base 32.622,23, +2.377,55); EBITDA año 1 = 479.713,36. Costo fijo: V.fp_f mes 1 = 5.215,40 (base 4.393,48, +821,92); EBITDA año 1 = 499.613,84. TC: V.tc = 8.000 en los meses 1-24 y 7.300 en el mes 25; V.PERA mes 1 = 8.175,99; ventas sin cambio (4.850.000 / 6.181.200 / 11.031.200); EBITDA año 1 = 584.427,34. Balance 0 en los cinco casos.</t>
  </si>
  <si>
    <t xml:space="preserve">Paso 3c OK, 0 diferencias (16 de 16 comprobaciones). Detalle_24m restaurado tras cada caso; VAN del proyecto 6.989.921,76.</t>
  </si>
  <si>
    <t xml:space="preserve">15 (Claude en Excel)</t>
  </si>
  <si>
    <t xml:space="preserve">Paso 3d — Escenario sobre el detalle, ventana de 12 meses y ventana móvil con reales.</t>
  </si>
  <si>
    <t xml:space="preserve">Caso 1: Q1 = 1.100 en los meses 1-24 con Inicio!C13 = Conservador. Caso 2: Q1 = 1.100 con Inicio!C14 = 12. Caso 3: reales del paso 3 cargados (Inicio!C11 = 6) y Q1 = 1.100 en los meses 1-36 (F14:AO14).</t>
  </si>
  <si>
    <t xml:space="preserve">Conservador: V.u1 = 0 en los meses 1-3 (atraso de 3 meses), 990 en los meses 4-24 y 1.125 en el mes 25. Ventana 12: V.u1 = 1.100 en los meses 1-12 y 1.250 en los meses 13-24. Ventana móvil: V.u1 = 600 en los meses 1-6 (reales), 1.100 en los meses 7-30 y 1.500 en los meses 31-36; Proyeccion_24m arranca en el mes 7 con primer mes 431.166,67; año 1 / año 2 / total = 5.432.170 / 5.953.414,70 / 11.385.584,70. Balance 0 en los tres casos.</t>
  </si>
  <si>
    <t xml:space="preserve">Paso 3d OK, 0 diferencias (15 de 15 comprobaciones). Restauración final verificada: Detalle_24m sin datos, Reales e Inversion G:H vacíos, Inicio!C11 vacía, C13 = Vigente y C14 = 24; ventas 81.222.447,72, VAN proyecto 6.989.921,76, VAN socios 3.695.678,09, balance 0 y controles en REVISAR = 2.</t>
  </si>
  <si>
    <t xml:space="preserve">16 (Claude en Excel)</t>
  </si>
  <si>
    <t xml:space="preserve">Pasos 4 a 7 — Catálogo de escenarios: financiamiento y cobranza (F1-F8), costos (C1-C4), ventas (V1-V5) y plan desfavorable (P1-P3).</t>
  </si>
  <si>
    <t xml:space="preserve">F: Inversion!E32 (3.800.000 / 1.800.000) y Supuestos!E21 (180 / 0) y sus combinaciones. C: Productos!J6:J7, L6:L7, N6:N7 = I/K/M × 1,10 / 1,20 / 1,30; C4 suma Costos!F6:F31 = E × 1,30 y F75:F83 = E × 2. V: Productos!D63:M64 = D34:M35 × 0,90 / 0,80 / 0,70 / 1,10 y V5 con D63:F63 = 15.000/15.000/21.000 y D64:F64 = 90.000/90.000/120.000. P1: volumen × 0,70 + H6:H7 = G × 0,95 + Supuestos!E6 = 7 + Inversion!J6:J19 = D × 1,15. P2 y P3: Inicio!C13 = Conservador / Optimista.</t>
  </si>
  <si>
    <t xml:space="preserve">20 escenarios corridos, uno por vez, con restauración de fórmulas entre casos. Los 9 indicadores comparados por escenario (ventas, VAN proyecto, VAN socios, aporte adicional, meses con brecha, intereses, años de cancelación, DSCR mínimo y balance) coinciden con los valores de LibreOffice dentro de tolerancia. Hitos: F3 VAN proyecto 6.230.649,83; C2 VAN proyecto 249.504,40; V3 ventas 56.855.713,41; P2 VAN proyecto -486.490,30. Balance 0 en los 20 casos.</t>
  </si>
  <si>
    <t xml:space="preserve">Pasos 4 a 7 OK, 0 diferencias (180 comprobaciones). Caso base restaurado tras cada grupo: VAN del proyecto 6.989.921,76 y balance 0.</t>
  </si>
  <si>
    <t xml:space="preserve">17 (Claude en Excel)</t>
  </si>
  <si>
    <t xml:space="preserve">Pasos 8 a 10 — Plazo del préstamo (L1-L4), corto vs largo plazo (K1-K8) y tipo de cambio (T1-T3).</t>
  </si>
  <si>
    <t xml:space="preserve">L: Inversion!E36 = 30 / 78; E35 = 12 con E36 = 84; L4 con E32 = 0 y línea 4.000.000 al 9%. K: E32 = 3.250.000; préstamo 2 en G32:G36 (500.000, mes 25, 10%, gracia 0, 12 cuotas); líneas rotativas de 1.000.000, 3.000.000 y 4.000.000 al 10%, 7,99% y 11,24%, con y sin vencimiento en el mes 24. T: Supuestos!D51:M51 = 8.760 / 6.145 / 5.840.</t>
  </si>
  <si>
    <t xml:space="preserve">15 escenarios corridos, uno por vez. Los 9 indicadores coinciden en los 15. Hitos: L1 cancela en 3,0 años con intereses 508.038,98; K5 aporte adicional 2.191.678,81 y cancela en 2,08 años; K7 VAN socios 3.806.552,07; T1 VAN proyecto 7.989.367,27; T3 VAN proyecto 5.490.753,49. El VAN del proyecto se mantiene en 6.989.921,76 en todos los casos de financiamiento (F1-F2, L1-L4, K1-K8), como corresponde a un FCFF. Balance 0 en los 15 casos.</t>
  </si>
  <si>
    <t xml:space="preserve">Pasos 8 a 10 OK, 0 diferencias (135 comprobaciones). Supuestos!D51:M51 restaurada a =D39..=M39; Inversion E32:E36, G32:G36 y E41:E44 con sus fórmulas =D../=F.. originales.</t>
  </si>
  <si>
    <t xml:space="preserve">18 (Claude en Excel)</t>
  </si>
  <si>
    <t xml:space="preserve">Paso 11 — Informe final de la validación del modelo v6 en Excel y cierre.</t>
  </si>
  <si>
    <t xml:space="preserve">Consolidación de los pasos 0, 1, 2, 3, 3b, 3c, 3d y 4 a 10; verificación final de restauración con recálculo completo (fullRebuild).</t>
  </si>
  <si>
    <t xml:space="preserve">Total: 39 escenarios del catálogo (E00 base, F1-F8, C1-C4, V1-V5, P1-P3, L1-L4, K1-K8, T1-T3, X2, X3) más las pruebas de operación y de proyección rodante (3, 3b, 3c, 3d). Todas las comprobaciones coinciden con los valores validados en LibreOffice dentro de la tolerancia (±1 USD, ±0,01). X1 no se ejecutó por ser opcional y modificar el presupuesto. INCIDENCIA: al limpiar Detalle_24m con un rango amplio (F10:AO250) se borraron las fórmulas de las 9 filas contadoras 'Celdas con dato en el mes' (11, 39, 67, 95, 123, 151, 184, 217 y 245) en las columnas F a AO. Se restauraron copiando el patrón =COUNT(...) desde la columna AP de cada fila; verificado: 1.296 celdas con fórmula (9 filas × 144 meses) y Guia_Carga paso 29 vuelve a '○ Usa supuestos anuales'.</t>
  </si>
  <si>
    <t xml:space="preserve">CONCLUSIÓN: Excel reproduce los resultados de LibreOffice en la v6, sin diferencias. Libro restaurado y verificado: ventas 81.222.447,72; VAN proyecto 6.989.921,76; VAN socios 3.695.678,09; balance 0; controles en REVISAR = 2 (C13 y C14); Detalle_24m y Reales sin datos; Inicio!C11 vacía, C13 = Vigente, C14 = 24; Inversion G:H y J vacías.</t>
  </si>
  <si>
    <t xml:space="preserve">19 (Claude en Excel)</t>
  </si>
  <si>
    <t xml:space="preserve">Preparar un informe de cierre para el equipo del generador, con 9 secciones y reglas de formato (tablas, números sin separador de miles y con punto decimal, montos en USD sin redondear, sin omitir filas OK).</t>
  </si>
  <si>
    <t xml:space="preserve">Lectura del entorno (versión, plataforma, cultura, modo de cálculo), barrido de valores de error en las 14 hojas, relectura de Resultados!B6:D30 y Control!B5:F22, y consolidación de los resultados de los 38 escenarios corridos y de los pasos 3, 3b, 3c y 3d. Informe entregado en el chat.</t>
  </si>
  <si>
    <t xml:space="preserve">Entorno: Excel 16.0.20527.20088, PC (Windows), interfaz es-ES, cultura del libro es-PY (decimal coma, miles punto, fecha barra), cálculo Automático, ExcelApi 1.20, 0 libros vinculados, 0 valores de error en las 14 hojas, sin referencias circulares. Corrección respecto del turno anterior: la fila de registro anunciada como 'Turno 19' no se había escrito; se escribe ahora.</t>
  </si>
  <si>
    <t xml:space="preserve">Informe de cierre entregado en el chat con las 9 secciones solicitadas. 439 comprobaciones, 439 OK, 0 diferencias.</t>
  </si>
  <si>
    <t xml:space="preserve">20 (Claude en Excel)</t>
  </si>
  <si>
    <t xml:space="preserve">Escribir el informe de cierre completo en una hoja del libro para poder subirlo.</t>
  </si>
  <si>
    <t xml:space="preserve">Alta de la hoja nueva 'Informe_Cierre_v6' en la posición 13 (antes de Esp_25Productos), con las 9 secciones en A1:J234: 1 Entorno, 2 Resumen por paso, 3 Diferencias, 4 Indicadores del paso 1 (25 filas) más controles en REVISAR, criterios de texto con decimales y nombres definidos, 5 Catálogo de 39 escenarios, 6 Pasos 3/3b/3c/3d (71 comprobaciones), 7 Estado final, 8 Cambios fuera de lo pedido, 9 Conclusión.</t>
  </si>
  <si>
    <t xml:space="preserve">Estilo aplicado: Calibri, cuadrícula desactivada, banda de título #0B2545 con texto blanco 13 pt, subtítulo en cursiva #5A6572, bandas de sección y encabezados de tabla #13395E con texto blanco, fila TOTAL con fondo #D6E0EA y borde superior doble, bordes #A6B4C2 (exterior medio e interior fino), paneles inmovilizados en las 3 primeras filas. Formatos numéricos: montos 0.00 con negativos entre paréntesis y cero como guión, ratios 0.0000, enteros 0. Todos los valores numéricos quedaron como números, no como texto. Ninguna otra hoja fue modificada.</t>
  </si>
  <si>
    <t xml:space="preserve">Hoja 'Informe_Cierre_v6' creada y verificada por relectura (título, fila TOTAL 439/439/0, encabezado y primera fila del catálogo, última fila del paso 3d, estado final, sección 8 y las 5 líneas de conclusión; cuadrícula desactivada; inmovilizado en 1:3). Advertencia: por la cultura es-PY, los decimales se muestran con coma en pantalla aunque el informe pedido use punto; los valores subyacentes son exactos.</t>
  </si>
  <si>
    <t xml:space="preserve">21 (Claude Code)</t>
  </si>
  <si>
    <t xml:space="preserve">Mover los contadores de Detalle_24m al motor y presentar los resultados separados como el plan de negocio, para identificar cada cifra y compararla con el plan.</t>
  </si>
  <si>
    <t xml:space="preserve">Contadores «celdas con dato en el mes» movidos al final de Calculo (filas det.TC a det.FC); en Detalle_24m esas filas quedan libres. Nuevas hojas: «Cuadros» (índice, selector de versión en C5, resumen modelo vs plan y causas de las diferencias) y 15 cuadros como el plan: C01 Inversión, C07 Producción, C08 Ingresos, C09 Materiales, C10a Costos, C10b Costo unitario, C11 Rubros, C13 Deuda e IVA, C15 Resultados, C16 Capital trabajo, C17 Equilibrio, C18 Fondos, C19 VAN-TIR, C20 Depreciación y RRHH.</t>
  </si>
  <si>
    <t xml:space="preserve">Cada cuadro: bloque A = modelo (presupuesto o vigente), B = plan publicado (cargado desde el PDF con su página), C = diferencia con la explicación de la causa. Columnas por año de operación como el plan (año 0 = implantación). Filas de ajuste por datos reales y detalle mensual. Cuadro 19: el método del plan aplicado a los flujos publicados reproduce VAN 4.588.737 y TIR 22,61%; con las cifras del modelo da VAN 4.177.576 y TIR 23,99%.</t>
  </si>
  <si>
    <t xml:space="preserve">Validado en LibreOffice: 0 errores; motor, Resultados, Proyeccion_24m, guía y Control idénticos a la v6 (50.484 celdas); 39 escenarios 495/495 OK e idénticos a la v6 (1.625.364 valores); 7 pruebas de operación iguales a la v6; 60/60 de detalle; 147/147 de cuadros. Pendiente: validación en Excel con Prompt_Claude_Excel_ECOSTAR_v7.md (ruta corta: pasos 0, 1, 3e, 3f y 11).</t>
  </si>
  <si>
    <t xml:space="preserve">Plantilla común v2: un archivo por negocio, misma estructura. Presupuesto original, ejecución real y proyección vigente separados.</t>
  </si>
  <si>
    <t xml:space="preserve">1. Configuración del negocio (completar)</t>
  </si>
  <si>
    <t xml:space="preserve">Dato</t>
  </si>
  <si>
    <t xml:space="preserve">Valor</t>
  </si>
  <si>
    <t xml:space="preserve">Instrucción</t>
  </si>
  <si>
    <t xml:space="preserve">Nombre del negocio</t>
  </si>
  <si>
    <t xml:space="preserve">ECOSTAR — Maquila CIE–PERG</t>
  </si>
  <si>
    <t xml:space="preserve">Texto libre.</t>
  </si>
  <si>
    <t xml:space="preserve">Socios / empresas</t>
  </si>
  <si>
    <t xml:space="preserve">CIE S.A. / PERG</t>
  </si>
  <si>
    <t xml:space="preserve">Actividad / productos</t>
  </si>
  <si>
    <t xml:space="preserve">Procesamiento de chapas: gabinetes metálicos (153 kg) y cajas metálicas (13 kg)</t>
  </si>
  <si>
    <t xml:space="preserve">Etapa del negocio</t>
  </si>
  <si>
    <t xml:space="preserve">Operación</t>
  </si>
  <si>
    <t xml:space="preserve">Implantación (aún sin operar) u Operación.</t>
  </si>
  <si>
    <t xml:space="preserve">Fecha del mes 1 del modelo</t>
  </si>
  <si>
    <t xml:space="preserve">Primer mes de implantación u operación. Se recomienda que sea enero para que los años coincidan con años calendario. Vacío = meses relativos.</t>
  </si>
  <si>
    <t xml:space="preserve">Último mes cerrado con datos reales (n° de mes)</t>
  </si>
  <si>
    <t xml:space="preserve">Los meses hasta este número usan solo la hoja Reales y no cambian con los escenarios. Vacío = sin datos reales.</t>
  </si>
  <si>
    <t xml:space="preserve">Mes real de inicio de operación (n° de mes)</t>
  </si>
  <si>
    <t xml:space="preserve">Cargar cuando la operación ya comenzó. Prevalece sobre el supuesto vigente y el atraso del escenario.</t>
  </si>
  <si>
    <t xml:space="preserve">Escenario para la proyección</t>
  </si>
  <si>
    <t xml:space="preserve">Vigente</t>
  </si>
  <si>
    <t xml:space="preserve">Vigente (sin ajustes), Conservador u Optimista. Solo afecta los meses posteriores al corte.</t>
  </si>
  <si>
    <t xml:space="preserve">Meses de proyección detallada (ventana móvil)</t>
  </si>
  <si>
    <t xml:space="preserve">Meses siguientes al último cierre que usan el detalle mensual de Detalle_24m (recomendado 24). Después, supuestos anuales.</t>
  </si>
  <si>
    <t xml:space="preserve">Versión del plan aprobado (presupuesto original)</t>
  </si>
  <si>
    <t xml:space="preserve">Plan CIE–PERG Oct-2025</t>
  </si>
  <si>
    <t xml:space="preserve">Ej.: Plan Oct-2025; Revisión 2027.</t>
  </si>
  <si>
    <t xml:space="preserve">Fecha de aprobación de la última revisión del plan</t>
  </si>
  <si>
    <t xml:space="preserve">Con la frecuencia, define la próxima revisión del plan a 10 años.</t>
  </si>
  <si>
    <t xml:space="preserve">Frecuencia de revisión del plan</t>
  </si>
  <si>
    <t xml:space="preserve">Anual</t>
  </si>
  <si>
    <t xml:space="preserve">Anual (año 1 firme + año 2 actualizado) o Bienal. El detalle de 24 meses se actualiza en cada cierre.</t>
  </si>
  <si>
    <t xml:space="preserve">Moneda de presentación</t>
  </si>
  <si>
    <t xml:space="preserve">USD (costos en Gs convertidos con el TC de cada año)</t>
  </si>
  <si>
    <t xml:space="preserve">2. Estado del modelo (automático)</t>
  </si>
  <si>
    <t xml:space="preserve">Fecha del último mes cerrado</t>
  </si>
  <si>
    <t xml:space="preserve">Inicio de operación (presupuesto / vigente)</t>
  </si>
  <si>
    <t xml:space="preserve">Fin del horizonte evaluado (fijo)</t>
  </si>
  <si>
    <t xml:space="preserve">Supuestos vigentes modificados respecto del presupuesto</t>
  </si>
  <si>
    <t xml:space="preserve">Controles con alerta (hoja Control)</t>
  </si>
  <si>
    <t xml:space="preserve">Brecha de caja máxima vigente (USD)</t>
  </si>
  <si>
    <t xml:space="preserve">Pasos de la Guía de carga con alerta (⚠)</t>
  </si>
  <si>
    <t xml:space="preserve">Ventana de proyección detallada</t>
  </si>
  <si>
    <t xml:space="preserve">Próxima revisión del plan</t>
  </si>
  <si>
    <t xml:space="preserve">3. Cómo cargar y actualizar</t>
  </si>
  <si>
    <t xml:space="preserve">Paso a paso</t>
  </si>
  <si>
    <t xml:space="preserve">Seguir la hoja Guia_Carga: cada paso tiene vínculo a la celda, fuente, criterio y estado automático.</t>
  </si>
  <si>
    <t xml:space="preserve">Proyección 24 meses</t>
  </si>
  <si>
    <t xml:space="preserve">En Detalle_24m cargar mes a mes lo asegurado para los próximos meses (volúmenes, precios, costos, personal, fijos, TC). Celda vacía = supuesto anual. Con cada cierre la ventana avanza un mes: completar el nuevo último mes.</t>
  </si>
  <si>
    <t xml:space="preserve">Revisión del plan</t>
  </si>
  <si>
    <t xml:space="preserve">Anual o bienal: el plan aprobado (presupuesto original, 10 años) se actualiza con los supuestos vigentes aprobados; guardar la versión anterior.</t>
  </si>
  <si>
    <t xml:space="preserve">Alta de un negocio</t>
  </si>
  <si>
    <t xml:space="preserve">Copiar el archivo vacío, completar la sección 1 y luego las hojas en este orden: Supuestos → Productos → Costos → Inversion.</t>
  </si>
  <si>
    <t xml:space="preserve">Presupuesto original</t>
  </si>
  <si>
    <t xml:space="preserve">Cargar en las columnas «Presupuesto original» los datos del plan aprobado. No se modifican después: son la referencia de comparación.</t>
  </si>
  <si>
    <t xml:space="preserve">Proyección vigente</t>
  </si>
  <si>
    <t xml:space="preserve">Las columnas «Vigente» heredan el presupuesto (gris). Sobrescribir solo lo que cambió; la celda pasa a azul/amarillo y Control lo cuenta.</t>
  </si>
  <si>
    <t xml:space="preserve">Cierre mensual</t>
  </si>
  <si>
    <t xml:space="preserve">1) Cargar en Reales el mes cerrado (unidades, ventas, costos, CAPEX, financiamiento). 2) Cargar los saldos al cierre en el mes de corte. 3) Actualizar «Último mes cerrado» arriba. 4) Revisar Control. 5) Ajustar la proyección vigente si cambió.</t>
  </si>
  <si>
    <t xml:space="preserve">Inversión</t>
  </si>
  <si>
    <t xml:space="preserve">En Inversion registrar por ítem lo ejecutado, pagado, comprometido y por contratar. El costo final estimado se calcula solo.</t>
  </si>
  <si>
    <t xml:space="preserve">Escenarios</t>
  </si>
  <si>
    <t xml:space="preserve">Elegir el escenario arriba. Los ajustes están en Supuestos sección C y solo afectan la proyección (nunca los meses reales).</t>
  </si>
  <si>
    <t xml:space="preserve">Lectura</t>
  </si>
  <si>
    <t xml:space="preserve">Resultados compara presupuesto original vs vigente (real + proyección). Control muestra los faltantes y las inconsistencias.</t>
  </si>
  <si>
    <t xml:space="preserve">4. Convenciones</t>
  </si>
  <si>
    <t xml:space="preserve">Ejemplo 1.234</t>
  </si>
  <si>
    <t xml:space="preserve">Celda para completar (dato de entrada).</t>
  </si>
  <si>
    <t xml:space="preserve">Vigente heredado del presupuesto (fórmula). Sobrescribir si el dato cambió.</t>
  </si>
  <si>
    <t xml:space="preserve">Fórmula: no editar.</t>
  </si>
  <si>
    <t xml:space="preserve">Presupuesto original (Resultados).</t>
  </si>
  <si>
    <t xml:space="preserve">Vigente: real + proyección (Resultados).</t>
  </si>
  <si>
    <t xml:space="preserve">Porcentajes como fracción (0,05 = 5%). Montos en USD salvo que la columna Moneda indique PYG.</t>
  </si>
  <si>
    <t xml:space="preserve">5. Hojas</t>
  </si>
  <si>
    <t xml:space="preserve">Guia_Carga</t>
  </si>
  <si>
    <t xml:space="preserve">Guía de carga paso a paso con estado automático (alta, presupuesto, vigente, cierre mensual y revisión).</t>
  </si>
  <si>
    <t xml:space="preserve">Supuestos</t>
  </si>
  <si>
    <t xml:space="preserve">Parámetros generales, supuestos por año, escenarios y referencia del plan publicado.</t>
  </si>
  <si>
    <t xml:space="preserve">Productos</t>
  </si>
  <si>
    <t xml:space="preserve">Hasta 25 productos: precio, costos unitarios, capacidad y volumen anual (presupuesto y vigente).</t>
  </si>
  <si>
    <t xml:space="preserve">Costos</t>
  </si>
  <si>
    <t xml:space="preserve">Personal por puesto (dotación por año) y costos fijos (moneda, crecimiento, inicio).</t>
  </si>
  <si>
    <t xml:space="preserve">Inversion</t>
  </si>
  <si>
    <t xml:space="preserve">CAPEX por ítem (presupuesto, ejecutado, comprometido, por contratar), préstamos y aportes.</t>
  </si>
  <si>
    <t xml:space="preserve">Detalle_24m</t>
  </si>
  <si>
    <t xml:space="preserve">Proyección mes a mes de la ventana móvil (por defecto 24 meses): volúmenes, precios, costos, personal, fijos y TC.</t>
  </si>
  <si>
    <t xml:space="preserve">Reales</t>
  </si>
  <si>
    <t xml:space="preserve">Carga mensual de la ejecución y saldos al cierre (formato fijo: un dato por celda).</t>
  </si>
  <si>
    <t xml:space="preserve">Calculo</t>
  </si>
  <si>
    <t xml:space="preserve">Motor mensual automático (no editar). Bloque P = presupuesto; bloque V = vigente.</t>
  </si>
  <si>
    <t xml:space="preserve">Proyeccion_24m</t>
  </si>
  <si>
    <t xml:space="preserve">Vista mensual de los próximos 24 meses (vigente vs presupuesto) con totales por año de ventana.</t>
  </si>
  <si>
    <t xml:space="preserve">Resultados</t>
  </si>
  <si>
    <t xml:space="preserve">Indicadores, resúmenes anuales (10 años), desvíos y gráficos.</t>
  </si>
  <si>
    <t xml:space="preserve">Control</t>
  </si>
  <si>
    <t xml:space="preserve">Validaciones y datos faltantes.</t>
  </si>
  <si>
    <t xml:space="preserve">Cuadros</t>
  </si>
  <si>
    <t xml:space="preserve">Índice de los cuadros financieros con la estructura del plan de negocio, versión que muestran y resumen modelo vs plan.</t>
  </si>
  <si>
    <t xml:space="preserve">C01 … RRHH</t>
  </si>
  <si>
    <t xml:space="preserve">Un cuadro por hoja, como el plan (inversión, producción, ingresos, materiales, costos, deuda, resultados, capital de trabajo, equilibrio, fondos, VAN-TIR, depreciación y personal): modelo, plan publicado y diferencia.</t>
  </si>
  <si>
    <t xml:space="preserve">6. Datos pendientes de este negocio (editable)</t>
  </si>
  <si>
    <t xml:space="preserve">1.</t>
  </si>
  <si>
    <t xml:space="preserve">Fecha calendario del mes 1 y mes real de inicio de operación.</t>
  </si>
  <si>
    <t xml:space="preserve">2.</t>
  </si>
  <si>
    <t xml:space="preserve">Ventas, costos, CAPEX, deuda y saldos reales desde octubre de 2025 (hoja Reales).</t>
  </si>
  <si>
    <t xml:space="preserve">3.</t>
  </si>
  <si>
    <t xml:space="preserve">CAPEX ejecutado, pagado, comprometido y por contratar por ítem (hoja Inversion).</t>
  </si>
  <si>
    <t xml:space="preserve">4.</t>
  </si>
  <si>
    <t xml:space="preserve">Contrato CIE–PERG: venta de producto o servicio de maquila; propiedad de materiales; logística de exportación.</t>
  </si>
  <si>
    <t xml:space="preserve">5.</t>
  </si>
  <si>
    <t xml:space="preserve">Régimen de la Ley 7547/2025 y Decreto 5714/2026: base del tributo y recuperación de IVA.</t>
  </si>
  <si>
    <t xml:space="preserve">6.</t>
  </si>
  <si>
    <t xml:space="preserve">Naturaleza del alquiler (pago real, relacionada o costo de oportunidad).</t>
  </si>
  <si>
    <t xml:space="preserve">7.</t>
  </si>
  <si>
    <t xml:space="preserve">Tasas vigentes (WACC, Ke) y tipo de cambio proyectado.</t>
  </si>
  <si>
    <t xml:space="preserve">8.</t>
  </si>
  <si>
    <t xml:space="preserve">Nómina actual y desglose de cargas sociales.</t>
  </si>
  <si>
    <t xml:space="preserve">9.</t>
  </si>
  <si>
    <t xml:space="preserve">10.</t>
  </si>
  <si>
    <t xml:space="preserve">Guía de carga paso a paso</t>
  </si>
  <si>
    <t xml:space="preserve">Seguir en orden. El estado se calcula con los datos del libro: confirma que el dato está cargado y concilia, no que sea correcto.</t>
  </si>
  <si>
    <t xml:space="preserve">Mes en carga (próximo mes a cerrar)</t>
  </si>
  <si>
    <t xml:space="preserve">Pasos con alerta (⚠)</t>
  </si>
  <si>
    <t xml:space="preserve">Leyenda: ✔ listo · ⚠ pendiente o a revisar · ○ informativo o manual · — no aplica</t>
  </si>
  <si>
    <t xml:space="preserve">N°</t>
  </si>
  <si>
    <t xml:space="preserve">Paso</t>
  </si>
  <si>
    <t xml:space="preserve">Dónde (clic para ir)</t>
  </si>
  <si>
    <t xml:space="preserve">Fuente del dato</t>
  </si>
  <si>
    <t xml:space="preserve">Criterio</t>
  </si>
  <si>
    <t xml:space="preserve">Estado (automático)</t>
  </si>
  <si>
    <t xml:space="preserve">Hecho</t>
  </si>
  <si>
    <t xml:space="preserve">Responsable</t>
  </si>
  <si>
    <t xml:space="preserve">Notas</t>
  </si>
  <si>
    <t xml:space="preserve">A. Alta del negocio (una vez)</t>
  </si>
  <si>
    <t xml:space="preserve">Nombre, socios, actividad y etapa</t>
  </si>
  <si>
    <t xml:space="preserve">Plan de negocio / acta</t>
  </si>
  <si>
    <t xml:space="preserve">Etapa «Operación» si ya factura; «Implantación» si todavía no.</t>
  </si>
  <si>
    <t xml:space="preserve">Plan aprobado</t>
  </si>
  <si>
    <t xml:space="preserve">Preferentemente enero. Solo cambia las etiquetas de fecha.</t>
  </si>
  <si>
    <t xml:space="preserve">Mes real de inicio de operación</t>
  </si>
  <si>
    <t xml:space="preserve">Primera factura / acta de inicio</t>
  </si>
  <si>
    <t xml:space="preserve">No cambiar el inicio del presupuesto: el real se carga aquí.</t>
  </si>
  <si>
    <t xml:space="preserve">B. Presupuesto original (una vez, plan aprobado; no se modifica después)</t>
  </si>
  <si>
    <t xml:space="preserve">Parámetros generales (columna «Presupuesto original»)</t>
  </si>
  <si>
    <t xml:space="preserve">Porcentajes como fracción (0,05 = 5%). Anotar la fuente en la nota.</t>
  </si>
  <si>
    <t xml:space="preserve">Tipo de cambio por año</t>
  </si>
  <si>
    <t xml:space="preserve">Plan / BCP</t>
  </si>
  <si>
    <t xml:space="preserve">Obligatorio: convierte la nómina y los costos en guaraníes.</t>
  </si>
  <si>
    <t xml:space="preserve">Variaciones de precio, costos y salarios, y dividendos por año</t>
  </si>
  <si>
    <t xml:space="preserve">Vacío no es cero: cargar 0 si no hay variación.</t>
  </si>
  <si>
    <t xml:space="preserve">Productos: nombre, unidad, precio, costos por unidad y capacidad</t>
  </si>
  <si>
    <t xml:space="preserve">Plan / costeo de producto</t>
  </si>
  <si>
    <t xml:space="preserve">Hasta 25 productos individuales. Capacidad 0 = no se controla.</t>
  </si>
  <si>
    <t xml:space="preserve">Volumen de ventas por año (presupuesto)</t>
  </si>
  <si>
    <t xml:space="preserve">Plan comercial</t>
  </si>
  <si>
    <t xml:space="preserve">Unidades vendidas por año de operación.</t>
  </si>
  <si>
    <t xml:space="preserve">Personal: puesto, clase, moneda, salario mensual y dotación por año</t>
  </si>
  <si>
    <t xml:space="preserve">Nómina / RR. HH.</t>
  </si>
  <si>
    <t xml:space="preserve">Clase: Directo, Indirecto o Administración. Salario sin cargas sociales.</t>
  </si>
  <si>
    <t xml:space="preserve">Costos fijos: concepto, clase, moneda, monto, crecimiento y año de inicio</t>
  </si>
  <si>
    <t xml:space="preserve">Contratos / presupuesto de gastos</t>
  </si>
  <si>
    <t xml:space="preserve">IVA incluido solo si no se recupera.</t>
  </si>
  <si>
    <t xml:space="preserve">Inversión (CAPEX): monto, mes de pago y vida útil por ítem</t>
  </si>
  <si>
    <t xml:space="preserve">Presupuesto de inversión / cotizaciones</t>
  </si>
  <si>
    <t xml:space="preserve">Aporte en especie: cargar el ítem y el aporte en el mismo mes.</t>
  </si>
  <si>
    <t xml:space="preserve">Financiamiento: préstamos, línea rotativa y aportes</t>
  </si>
  <si>
    <t xml:space="preserve">Contratos bancarios / acta de socios</t>
  </si>
  <si>
    <t xml:space="preserve">Tasa nominal anual; gracia y cuotas según contrato.</t>
  </si>
  <si>
    <t xml:space="preserve">Revisión del presupuesto: balance y plan publicado</t>
  </si>
  <si>
    <t xml:space="preserve">—</t>
  </si>
  <si>
    <t xml:space="preserve">Balance = 0. Explicar las diferencias con el plan publicado (sección E).</t>
  </si>
  <si>
    <t xml:space="preserve">C. Proyección vigente (cuando cambia un supuesto)</t>
  </si>
  <si>
    <t xml:space="preserve">Sobrescribir en «Vigente» solo lo que cambió, con evidencia</t>
  </si>
  <si>
    <t xml:space="preserve">Contrato, cotización, nómina, oferta bancaria</t>
  </si>
  <si>
    <t xml:space="preserve">Anotar fuente y fecha. Para volver al presupuesto, reponer la fórmula que hereda.</t>
  </si>
  <si>
    <t xml:space="preserve">Escenario de trabajo</t>
  </si>
  <si>
    <t xml:space="preserve">Vigente para el trabajo normal; Conservador y Optimista solo para análisis.</t>
  </si>
  <si>
    <t xml:space="preserve">D. Cierre mensual (cada mes): los vínculos llevan a la columna del mes en carga</t>
  </si>
  <si>
    <t xml:space="preserve">TC real del mes</t>
  </si>
  <si>
    <t xml:space="preserve">BCP / política de CIE</t>
  </si>
  <si>
    <t xml:space="preserve">Siempre el mismo criterio (promedio o cierre).</t>
  </si>
  <si>
    <t xml:space="preserve">Unidades vendidas por producto</t>
  </si>
  <si>
    <t xml:space="preserve">SAP SD (facturación)</t>
  </si>
  <si>
    <t xml:space="preserve">Una fila por producto con nombre.</t>
  </si>
  <si>
    <t xml:space="preserve">Ventas netas por producto (moneda en la columna C)</t>
  </si>
  <si>
    <t xml:space="preserve">SAP SD / FI</t>
  </si>
  <si>
    <t xml:space="preserve">Facturación neta, sin IVA.</t>
  </si>
  <si>
    <t xml:space="preserve">Costos devengados: 7 rubros sin IVA recuperable</t>
  </si>
  <si>
    <t xml:space="preserve">SAP MM / CO, nómina</t>
  </si>
  <si>
    <t xml:space="preserve">En un mes cerrado, vacío vale cero: cargar 0 si no hubo.</t>
  </si>
  <si>
    <t xml:space="preserve">Movimientos de caja: CAPEX, desembolsos, intereses, amortizaciones, aportes, dividendos</t>
  </si>
  <si>
    <t xml:space="preserve">Tesorería / SAP PS</t>
  </si>
  <si>
    <t xml:space="preserve">Cargar 0 si no hubo movimiento.</t>
  </si>
  <si>
    <t xml:space="preserve">Saldos al cierre: caja, clientes, inventarios, IVA, proveedores, deuda</t>
  </si>
  <si>
    <t xml:space="preserve">Balance de comprobación / bancos</t>
  </si>
  <si>
    <t xml:space="preserve">Obligatorios en el último mes cerrado.</t>
  </si>
  <si>
    <t xml:space="preserve">CAPEX por ítem: ejecutado, pagado, comprometido, por contratar</t>
  </si>
  <si>
    <t xml:space="preserve">SAP PS (elementos PEP)</t>
  </si>
  <si>
    <t xml:space="preserve">El pagado total debe igualar el CAPEX de Reales (control C08).</t>
  </si>
  <si>
    <t xml:space="preserve">Actualizar el último mes cerrado</t>
  </si>
  <si>
    <t xml:space="preserve">Recién cuando los seis pasos anteriores de datos estén en ✔.</t>
  </si>
  <si>
    <t xml:space="preserve">Revisar Control después de cerrar</t>
  </si>
  <si>
    <t xml:space="preserve">C03 a C08 en OK; explicar el ajuste de conciliación de caja si es grande.</t>
  </si>
  <si>
    <t xml:space="preserve">E. Revisión y reporte</t>
  </si>
  <si>
    <t xml:space="preserve">Brecha de caja y financiamiento</t>
  </si>
  <si>
    <t xml:space="preserve">Si hay brecha: definir aporte, línea rotativa o mejora del capital de trabajo.</t>
  </si>
  <si>
    <t xml:space="preserve">Desvíos vigente vs presupuesto (ventas, EBITDA, caja)</t>
  </si>
  <si>
    <t xml:space="preserve">Explicar por volumen, precio, costo y atraso.</t>
  </si>
  <si>
    <t xml:space="preserve">Guardar una versión fechada del cierre y registrar los cambios</t>
  </si>
  <si>
    <t xml:space="preserve">Por ejemplo: NEGOCIO_cierre_2026-10.xlsx.</t>
  </si>
  <si>
    <t xml:space="preserve">Trimestral: revisar supuestos vigentes y escenarios</t>
  </si>
  <si>
    <t xml:space="preserve">Actualizar tasas, TC, precios y costos con evidencia.</t>
  </si>
  <si>
    <t xml:space="preserve">F. Proyección rodante de 24 meses (Detalle_24m) y revisión del plan</t>
  </si>
  <si>
    <t xml:space="preserve">Volúmenes por producto en la ventana</t>
  </si>
  <si>
    <t xml:space="preserve">Pedidos, plan comercial</t>
  </si>
  <si>
    <t xml:space="preserve">Con cada cierre, agregar el nuevo último mes de la ventana.</t>
  </si>
  <si>
    <t xml:space="preserve">Precios de venta por producto</t>
  </si>
  <si>
    <t xml:space="preserve">Contratos / listas de precios</t>
  </si>
  <si>
    <t xml:space="preserve">Solo si cambian respecto del supuesto anual.</t>
  </si>
  <si>
    <t xml:space="preserve">Materia prima por unidad (asegurada)</t>
  </si>
  <si>
    <t xml:space="preserve">Cotizaciones y contratos de compra</t>
  </si>
  <si>
    <t xml:space="preserve">Costo asegurado de los próximos meses.</t>
  </si>
  <si>
    <t xml:space="preserve">Dotación por puesto</t>
  </si>
  <si>
    <t xml:space="preserve">Plan de personal / RR. HH.</t>
  </si>
  <si>
    <t xml:space="preserve">Ingresos y egresos previstos por mes.</t>
  </si>
  <si>
    <t xml:space="preserve">Salarios por puesto</t>
  </si>
  <si>
    <t xml:space="preserve">Nómina / ajustes salariales</t>
  </si>
  <si>
    <t xml:space="preserve">Incluye el mes de cada ajuste salarial.</t>
  </si>
  <si>
    <t xml:space="preserve">Costos fijos del mes</t>
  </si>
  <si>
    <t xml:space="preserve">Contratos (alquiler, energía, mantenimiento)</t>
  </si>
  <si>
    <t xml:space="preserve">Montos en la moneda de cada concepto.</t>
  </si>
  <si>
    <t xml:space="preserve">Tipo de cambio mensual</t>
  </si>
  <si>
    <t xml:space="preserve">BCP / presupuesto de TC</t>
  </si>
  <si>
    <t xml:space="preserve">Opcional: si no, se usa el TC anual.</t>
  </si>
  <si>
    <t xml:space="preserve">Revisar la proyección de 24 meses</t>
  </si>
  <si>
    <t xml:space="preserve">Caja, deuda y desvíos frente al presupuesto mes a mes.</t>
  </si>
  <si>
    <t xml:space="preserve">Revisión del plan a 10 años (presupuesto original)</t>
  </si>
  <si>
    <t xml:space="preserve">Gerencia / Directorio</t>
  </si>
  <si>
    <t xml:space="preserve">Anual o bienal: guardar el archivo anterior, pasar los supuestos vigentes aprobados al presupuesto y actualizar versión y fecha.</t>
  </si>
  <si>
    <t xml:space="preserve">El estado automático confirma que el dato existe y concilia; la revisión de que sea correcto es del responsable.</t>
  </si>
  <si>
    <t xml:space="preserve">Cierre mensual: cargar todo el mes en carga, verificar que los pasos de datos estén en ✔ y recién entonces actualizar Inicio!C11.</t>
  </si>
  <si>
    <t xml:space="preserve">Al actualizar el último mes cerrado, el mes en carga pasa al siguiente y los pasos del cierre vuelven a «Pendiente»: es el ciclo normal.</t>
  </si>
  <si>
    <t xml:space="preserve">Supuestos — presupuesto original y vigente</t>
  </si>
  <si>
    <t xml:space="preserve">Presupuesto original = plan aprobado (no se modifica). Vigente = hereda el presupuesto; sobrescribir solo lo que cambió.</t>
  </si>
  <si>
    <t xml:space="preserve">A. Parámetros generales</t>
  </si>
  <si>
    <t xml:space="preserve">Cód.</t>
  </si>
  <si>
    <t xml:space="preserve">Parámetro</t>
  </si>
  <si>
    <t xml:space="preserve">Unidad</t>
  </si>
  <si>
    <t xml:space="preserve">Nota / fuente</t>
  </si>
  <si>
    <t xml:space="preserve">G01</t>
  </si>
  <si>
    <t xml:space="preserve">Mes de inicio de la operación (n° de mes del modelo)</t>
  </si>
  <si>
    <t xml:space="preserve">mes</t>
  </si>
  <si>
    <t xml:space="preserve">PDF: inversión en el año 0 y operación desde el año 1 (mes 1 del modelo).</t>
  </si>
  <si>
    <t xml:space="preserve">G02</t>
  </si>
  <si>
    <t xml:space="preserve">Años de operación evaluados</t>
  </si>
  <si>
    <t xml:space="preserve">años</t>
  </si>
  <si>
    <t xml:space="preserve">PDF: 10 años de operación. Horizonte común a ambas versiones: se define solo en el presupuesto.</t>
  </si>
  <si>
    <t xml:space="preserve">G03</t>
  </si>
  <si>
    <t xml:space="preserve">Merma entre producción y venta</t>
  </si>
  <si>
    <t xml:space="preserve">%</t>
  </si>
  <si>
    <t xml:space="preserve">PDF: producción = ventas.</t>
  </si>
  <si>
    <t xml:space="preserve">G04</t>
  </si>
  <si>
    <t xml:space="preserve">Cargas sociales sobre salarios (aguinaldo, IPS, vacaciones)</t>
  </si>
  <si>
    <t xml:space="preserve">PDF p. 19: coeficiente del plan (no validado como tasa legal).</t>
  </si>
  <si>
    <t xml:space="preserve">G05</t>
  </si>
  <si>
    <t xml:space="preserve">Alimentación del personal</t>
  </si>
  <si>
    <t xml:space="preserve">Gs/persona/mes</t>
  </si>
  <si>
    <t xml:space="preserve">Inferido del PDF: USD 946,85/persona/año a Gs 7.300.</t>
  </si>
  <si>
    <t xml:space="preserve">G06</t>
  </si>
  <si>
    <t xml:space="preserve">Personal directo activo antes del inicio de operación</t>
  </si>
  <si>
    <t xml:space="preserve">% dotación año 1</t>
  </si>
  <si>
    <t xml:space="preserve">Supuesto provisional para meses de implantación (no aplica al plan original).</t>
  </si>
  <si>
    <t xml:space="preserve">G07</t>
  </si>
  <si>
    <t xml:space="preserve">Personal indirecto y administrativo activo antes del inicio</t>
  </si>
  <si>
    <t xml:space="preserve">Supuesto provisional para meses de implantación.</t>
  </si>
  <si>
    <t xml:space="preserve">G08</t>
  </si>
  <si>
    <t xml:space="preserve">Despacho y gastos de importación (s/ materia prima + insumos)</t>
  </si>
  <si>
    <t xml:space="preserve">PDF p. 19: 3% sobre materia prima + insumos.</t>
  </si>
  <si>
    <t xml:space="preserve">G09</t>
  </si>
  <si>
    <t xml:space="preserve">Packaging (s/ materiales, otros variables y personal directo)</t>
  </si>
  <si>
    <t xml:space="preserve">PDF p. 19: 1% sobre materiales, otros variables y personal directo.</t>
  </si>
  <si>
    <t xml:space="preserve">G10</t>
  </si>
  <si>
    <t xml:space="preserve">Imprevistos de producción (s/ costos de producción)</t>
  </si>
  <si>
    <t xml:space="preserve">PDF p. 19: 5% sobre costos de producción (excluye tributo).</t>
  </si>
  <si>
    <t xml:space="preserve">G11</t>
  </si>
  <si>
    <t xml:space="preserve">Imprevistos de administración (s/ gastos marcados como base)</t>
  </si>
  <si>
    <t xml:space="preserve">PDF p. 19: 5% sobre administración (excluye alquiler y expensas).</t>
  </si>
  <si>
    <t xml:space="preserve">G12</t>
  </si>
  <si>
    <t xml:space="preserve">Tributo de maquila (s/ ventas)</t>
  </si>
  <si>
    <t xml:space="preserve">PDF p. 7: 1% sobre el valor exportado (verificar Ley 7547/2025).</t>
  </si>
  <si>
    <t xml:space="preserve">G13</t>
  </si>
  <si>
    <t xml:space="preserve">Seguro de caución y otros cargos (s/ ventas)</t>
  </si>
  <si>
    <t xml:space="preserve">Seguro de caución: 0,1% de ventas (inferido del PDF).</t>
  </si>
  <si>
    <t xml:space="preserve">G14</t>
  </si>
  <si>
    <t xml:space="preserve">Comisiones y logística de venta (s/ ventas)</t>
  </si>
  <si>
    <t xml:space="preserve">PDF: sin gastos de venta (pendiente confirmar).</t>
  </si>
  <si>
    <t xml:space="preserve">G15</t>
  </si>
  <si>
    <t xml:space="preserve">Impuesto a la renta (s/ resultado)</t>
  </si>
  <si>
    <t xml:space="preserve">PDF: IRE no aplica bajo maquila (verificar).</t>
  </si>
  <si>
    <t xml:space="preserve">G16</t>
  </si>
  <si>
    <t xml:space="preserve">Días de cobro a clientes</t>
  </si>
  <si>
    <t xml:space="preserve">días</t>
  </si>
  <si>
    <t xml:space="preserve">PDF p. 8.</t>
  </si>
  <si>
    <t xml:space="preserve">G17</t>
  </si>
  <si>
    <t xml:space="preserve">Días de inventario de materiales</t>
  </si>
  <si>
    <t xml:space="preserve">PDF p. 8: materia prima e insumos.</t>
  </si>
  <si>
    <t xml:space="preserve">G18</t>
  </si>
  <si>
    <t xml:space="preserve">Días de producto terminado</t>
  </si>
  <si>
    <t xml:space="preserve">G19</t>
  </si>
  <si>
    <t xml:space="preserve">Días de pago a proveedores de materiales</t>
  </si>
  <si>
    <t xml:space="preserve">PDF p. 24.</t>
  </si>
  <si>
    <t xml:space="preserve">G20</t>
  </si>
  <si>
    <t xml:space="preserve">Días de pago a otros proveedores</t>
  </si>
  <si>
    <t xml:space="preserve">G21</t>
  </si>
  <si>
    <t xml:space="preserve">Caja mínima operativa</t>
  </si>
  <si>
    <t xml:space="preserve">días de ventas</t>
  </si>
  <si>
    <t xml:space="preserve">PDF cuadro 16: 3 días de ventas.</t>
  </si>
  <si>
    <t xml:space="preserve">G22</t>
  </si>
  <si>
    <t xml:space="preserve">IVA recuperable de los costos fijos gravados</t>
  </si>
  <si>
    <t xml:space="preserve">PDF: IVA considerado costo (criterio prudencial).</t>
  </si>
  <si>
    <t xml:space="preserve">G23</t>
  </si>
  <si>
    <t xml:space="preserve">Meses para recuperar el IVA</t>
  </si>
  <si>
    <t xml:space="preserve">meses</t>
  </si>
  <si>
    <t xml:space="preserve">Supuesto provisional.</t>
  </si>
  <si>
    <t xml:space="preserve">G24</t>
  </si>
  <si>
    <t xml:space="preserve">IVA sobre intereses</t>
  </si>
  <si>
    <t xml:space="preserve">PDF p. 4.</t>
  </si>
  <si>
    <t xml:space="preserve">G25</t>
  </si>
  <si>
    <t xml:space="preserve">Tasa de descuento del proyecto (WACC, anual)</t>
  </si>
  <si>
    <t xml:space="preserve">Tasa ponderada inicial del PDF (histórica: 93% deuda a 9%). Actualizar.</t>
  </si>
  <si>
    <t xml:space="preserve">G26</t>
  </si>
  <si>
    <t xml:space="preserve">Costo del capital propio (Ke, anual)</t>
  </si>
  <si>
    <t xml:space="preserve">PDF p. 9 (histórica).</t>
  </si>
  <si>
    <t xml:space="preserve">G27</t>
  </si>
  <si>
    <t xml:space="preserve">Recuperación del capital de trabajo al final del horizonte</t>
  </si>
  <si>
    <t xml:space="preserve">Supuesto provisional: recuperación total del capital de trabajo al final.</t>
  </si>
  <si>
    <t xml:space="preserve">G28</t>
  </si>
  <si>
    <t xml:space="preserve">Valor de realización del activo fijo al final (s/ valor contable)</t>
  </si>
  <si>
    <t xml:space="preserve">Supuesto provisional: valor contable = valor de realización (requiere tasación).</t>
  </si>
  <si>
    <t xml:space="preserve">G29</t>
  </si>
  <si>
    <t xml:space="preserve">Mes de pago de dividendos del año siguiente (1-12)</t>
  </si>
  <si>
    <t xml:space="preserve">Supuesto provisional: dividendos pagados en abril del año siguiente.</t>
  </si>
  <si>
    <t xml:space="preserve">B. Supuestos por año (año 1 = primer año de operación; el TC se aplica por año del modelo)</t>
  </si>
  <si>
    <t xml:space="preserve">Concepto</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</si>
  <si>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</si>
  <si>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</si>
  <si>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</si>
  <si>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</si>
  <si>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</si>
  <si>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</si>
  <si>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</si>
  <si>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</si>
  <si>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</si>
  <si>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</si>
  <si>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Nota</t>
  </si>
  <si>
    <t xml:space="preserve">PRESUPUESTO ORIGINAL</t>
  </si>
  <si>
    <t xml:space="preserve">TC</t>
  </si>
  <si>
    <t xml:space="preserve">Tipo de cambio (Gs/USD) — por año del modelo</t>
  </si>
  <si>
    <t xml:space="preserve">Gs/USD</t>
  </si>
  <si>
    <t xml:space="preserve">dPrecio</t>
  </si>
  <si>
    <t xml:space="preserve">Variación de precios de venta (año de operación)</t>
  </si>
  <si>
    <t xml:space="preserve">dMP</t>
  </si>
  <si>
    <t xml:space="preserve">Variación del costo de materia prima</t>
  </si>
  <si>
    <t xml:space="preserve">dOV</t>
  </si>
  <si>
    <t xml:space="preserve">Variación de insumos y otros costos variables</t>
  </si>
  <si>
    <t xml:space="preserve">dSal</t>
  </si>
  <si>
    <t xml:space="preserve">Ajuste salarial</t>
  </si>
  <si>
    <t xml:space="preserve">Payout</t>
  </si>
  <si>
    <t xml:space="preserve">Dividendos (% del resultado del año)</t>
  </si>
  <si>
    <t xml:space="preserve">Índice acumulado de precios (cálculo)</t>
  </si>
  <si>
    <t xml:space="preserve">Índice acumulado de materia prima (cálculo)</t>
  </si>
  <si>
    <t xml:space="preserve">Índice acumulado de otros variables (cálculo)</t>
  </si>
  <si>
    <t xml:space="preserve">Índice acumulado de salarios (cálculo)</t>
  </si>
  <si>
    <t xml:space="preserve">VIGENTE (hereda el presupuesto)</t>
  </si>
  <si>
    <t xml:space="preserve">C. Escenarios (se aplican solo a la proyección vigente, después del último mes cerrado)</t>
  </si>
  <si>
    <t xml:space="preserve">Ajuste</t>
  </si>
  <si>
    <t xml:space="preserve">Conservador</t>
  </si>
  <si>
    <t xml:space="preserve">Optimista</t>
  </si>
  <si>
    <t xml:space="preserve">Aplicado</t>
  </si>
  <si>
    <t xml:space="preserve">E1</t>
  </si>
  <si>
    <t xml:space="preserve">Ajuste de volumen</t>
  </si>
  <si>
    <t xml:space="preserve">E2</t>
  </si>
  <si>
    <t xml:space="preserve">Ajuste de precio</t>
  </si>
  <si>
    <t xml:space="preserve">E3</t>
  </si>
  <si>
    <t xml:space="preserve">Ajuste de costo de materiales y variables</t>
  </si>
  <si>
    <t xml:space="preserve">E4</t>
  </si>
  <si>
    <t xml:space="preserve">Ajuste del tipo de cambio (+ = más Gs por USD)</t>
  </si>
  <si>
    <t xml:space="preserve">E5</t>
  </si>
  <si>
    <t xml:space="preserve">Atraso adicional del inicio de operación</t>
  </si>
  <si>
    <t xml:space="preserve">E6</t>
  </si>
  <si>
    <t xml:space="preserve">Sobrecosto sobre CAPEX pendiente</t>
  </si>
  <si>
    <t xml:space="preserve">E7</t>
  </si>
  <si>
    <t xml:space="preserve">Días de cobro (vacío = vigente)</t>
  </si>
  <si>
    <t xml:space="preserve">E8</t>
  </si>
  <si>
    <t xml:space="preserve">Días de inventario (vacío = vigente)</t>
  </si>
  <si>
    <t xml:space="preserve">Índice del escenario activo</t>
  </si>
  <si>
    <t xml:space="preserve">Conservador y Optimista son ajustes ILUSTRATIVOS editables, no premisas aprobadas.</t>
  </si>
  <si>
    <t xml:space="preserve">D. Referencia del plan publicado (opcional; solo para comparar)</t>
  </si>
  <si>
    <t xml:space="preserve">Ventas</t>
  </si>
  <si>
    <t xml:space="preserve">Ventas publicadas</t>
  </si>
  <si>
    <t xml:space="preserve">USD</t>
  </si>
  <si>
    <t xml:space="preserve">EBITDA</t>
  </si>
  <si>
    <t xml:space="preserve">EBITDA publicado</t>
  </si>
  <si>
    <t xml:space="preserve">Utilidad</t>
  </si>
  <si>
    <t xml:space="preserve">Resultado neto publicado</t>
  </si>
  <si>
    <t xml:space="preserve">VAN</t>
  </si>
  <si>
    <t xml:space="preserve">VAN publicado</t>
  </si>
  <si>
    <t xml:space="preserve">TIR</t>
  </si>
  <si>
    <t xml:space="preserve">TIR publicada</t>
  </si>
  <si>
    <t xml:space="preserve">Plan Oct-2025, cuadros 15 y 19. El VAN/TIR publicados mezclan flujo del proyecto y del accionista.</t>
  </si>
  <si>
    <t xml:space="preserve">E. Parámetros aplicados por versión (cálculo automático; no editar)</t>
  </si>
  <si>
    <t xml:space="preserve">Presupuesto (P)</t>
  </si>
  <si>
    <t xml:space="preserve">Vigente (V)</t>
  </si>
  <si>
    <t xml:space="preserve">Ajuste de materiales</t>
  </si>
  <si>
    <t xml:space="preserve">Ajuste de TC</t>
  </si>
  <si>
    <t xml:space="preserve">Sobrecosto CAPEX pendiente</t>
  </si>
  <si>
    <t xml:space="preserve">Último mes cerrado (0 = sin reales)</t>
  </si>
  <si>
    <t xml:space="preserve">Último mes del horizonte (fijo, según presupuesto)</t>
  </si>
  <si>
    <t xml:space="preserve">Días por mes</t>
  </si>
  <si>
    <t xml:space="preserve">Productos — precios, costos unitarios, capacidad y volúmenes (USD por unidad de venta)</t>
  </si>
  <si>
    <t xml:space="preserve">Hasta 25 productos. Las columnas «vigente» heredan el presupuesto; sobrescribir lo que cambió.</t>
  </si>
  <si>
    <t xml:space="preserve">A. Datos por producto</t>
  </si>
  <si>
    <t xml:space="preserve">#</t>
  </si>
  <si>
    <t xml:space="preserve">Producto</t>
  </si>
  <si>
    <t xml:space="preserve">Capacidad inicial (u/año)</t>
  </si>
  <si>
    <t xml:space="preserve">Capacidad ampliada (u/año)</t>
  </si>
  <si>
    <t xml:space="preserve">Desde año de operación</t>
  </si>
  <si>
    <t xml:space="preserve">Precio año 1 — presupuesto</t>
  </si>
  <si>
    <t xml:space="preserve">Precio año 1 — vigente</t>
  </si>
  <si>
    <t xml:space="preserve">Materia prima /u — presupuesto</t>
  </si>
  <si>
    <t xml:space="preserve">Materia prima /u — vigente</t>
  </si>
  <si>
    <t xml:space="preserve">Insumos /u — presupuesto</t>
  </si>
  <si>
    <t xml:space="preserve">Insumos /u — vigente</t>
  </si>
  <si>
    <t xml:space="preserve">Otros variables /u — presupuesto</t>
  </si>
  <si>
    <t xml:space="preserve">Otros variables /u — vigente</t>
  </si>
  <si>
    <t xml:space="preserve">Gabinetes metálicos 153 kg</t>
  </si>
  <si>
    <t xml:space="preserve">u</t>
  </si>
  <si>
    <t xml:space="preserve">Otros variables = consumibles 4,709 (inferido) + flete 23,20 (inferido del cuadro 10a).</t>
  </si>
  <si>
    <t xml:space="preserve">Cajas metálicas 13 kg</t>
  </si>
  <si>
    <t xml:space="preserve">Insumos = 339.570/70.000. Otros variables = consumibles 0,65 + flete 2,08 (inferido).</t>
  </si>
  <si>
    <t xml:space="preserve">B. Ventas en unidades por año de operación — PRESUPUESTO ORIGINAL</t>
  </si>
  <si>
    <t xml:space="preserve">Total</t>
  </si>
  <si>
    <t xml:space="preserve">C. Ventas en unidades por año de operación — VIGENTE (hereda; sobrescribir lo que cambió)</t>
  </si>
  <si>
    <t xml:space="preserve">D. Control de capacidad — unidades vigentes por encima de la capacidad (incluye merma)</t>
  </si>
  <si>
    <t xml:space="preserve">Años con exceso</t>
  </si>
  <si>
    <t xml:space="preserve">Capacidad 0 = no informada (no se controla).</t>
  </si>
  <si>
    <t xml:space="preserve">Costos — personal por puesto y costos fijos</t>
  </si>
  <si>
    <t xml:space="preserve">Salarios y costos fijos pueden cargarse en PYG o USD (columna Moneda). Se convierten con el TC de cada año.</t>
  </si>
  <si>
    <t xml:space="preserve">A. Personal por puesto — salario mensual y dotación por año de operación (PRESUPUESTO ORIGINAL; salario vigente al lado)</t>
  </si>
  <si>
    <t xml:space="preserve">Puesto</t>
  </si>
  <si>
    <t xml:space="preserve">Clase</t>
  </si>
  <si>
    <t xml:space="preserve">Moneda</t>
  </si>
  <si>
    <t xml:space="preserve">Salario mensual — presupuesto</t>
  </si>
  <si>
    <t xml:space="preserve">Salario mensual — vigente</t>
  </si>
  <si>
    <t xml:space="preserve">Dot. año 1</t>
  </si>
  <si>
    <t xml:space="preserve">Dot. año 2</t>
  </si>
  <si>
    <t xml:space="preserve">Dot. año 3</t>
  </si>
  <si>
    <t xml:space="preserve">Dot. año 4</t>
  </si>
  <si>
    <t xml:space="preserve">Dot. año 5</t>
  </si>
  <si>
    <t xml:space="preserve">Dot. año 6</t>
  </si>
  <si>
    <t xml:space="preserve">Dot. año 7</t>
  </si>
  <si>
    <t xml:space="preserve">Dot. año 8</t>
  </si>
  <si>
    <t xml:space="preserve">Dot. año 9</t>
  </si>
  <si>
    <t xml:space="preserve">Dot. año 10</t>
  </si>
  <si>
    <t xml:space="preserve">Operador láser</t>
  </si>
  <si>
    <t xml:space="preserve">Directo</t>
  </si>
  <si>
    <t xml:space="preserve">PYG</t>
  </si>
  <si>
    <t xml:space="preserve">Doblador</t>
  </si>
  <si>
    <t xml:space="preserve">Soldador</t>
  </si>
  <si>
    <t xml:space="preserve">Baño</t>
  </si>
  <si>
    <t xml:space="preserve">Pintor</t>
  </si>
  <si>
    <t xml:space="preserve">Montador</t>
  </si>
  <si>
    <t xml:space="preserve">Ayudante</t>
  </si>
  <si>
    <t xml:space="preserve">Gerente General</t>
  </si>
  <si>
    <t xml:space="preserve">Administración</t>
  </si>
  <si>
    <t xml:space="preserve">Gerente Industrial</t>
  </si>
  <si>
    <t xml:space="preserve">Indirecto</t>
  </si>
  <si>
    <t xml:space="preserve">Coord. Prod. Corte y Deformación</t>
  </si>
  <si>
    <t xml:space="preserve">Coord. Prod. Soldadura</t>
  </si>
  <si>
    <t xml:space="preserve">Coord. Prod. Trat. Sup. y Pintura</t>
  </si>
  <si>
    <t xml:space="preserve">Coord. Prod. Montaje</t>
  </si>
  <si>
    <t xml:space="preserve">Ingeniería</t>
  </si>
  <si>
    <t xml:space="preserve">Mantenimiento</t>
  </si>
  <si>
    <t xml:space="preserve">PCP</t>
  </si>
  <si>
    <t xml:space="preserve">Analista PCP</t>
  </si>
  <si>
    <t xml:space="preserve">Depósito</t>
  </si>
  <si>
    <t xml:space="preserve">Compras</t>
  </si>
  <si>
    <t xml:space="preserve">Logística/Comex</t>
  </si>
  <si>
    <t xml:space="preserve">Coord. Control Calidad</t>
  </si>
  <si>
    <t xml:space="preserve">Asistente Control Calidad</t>
  </si>
  <si>
    <t xml:space="preserve">Coord. Procesos</t>
  </si>
  <si>
    <t xml:space="preserve">Asistente Procesos</t>
  </si>
  <si>
    <t xml:space="preserve">Administrador</t>
  </si>
  <si>
    <t xml:space="preserve">Asistente Administrativo</t>
  </si>
  <si>
    <t xml:space="preserve">Totales de dotación</t>
  </si>
  <si>
    <t xml:space="preserve">Clase: Directo = mano de obra de producción; Indirecto = supervisión, calidad, mantenimiento, depósito (costo de producción); Administración = gerencia general y administración.</t>
  </si>
  <si>
    <t xml:space="preserve">B. Dotación VIGENTE por año de operación (hereda; sobrescribir lo que cambió)</t>
  </si>
  <si>
    <t xml:space="preserve">Totales de dotación vigente</t>
  </si>
  <si>
    <t xml:space="preserve">C. Costos fijos y gastos (monto mensual del año 1)</t>
  </si>
  <si>
    <t xml:space="preserve">Monto mensual — presupuesto</t>
  </si>
  <si>
    <t xml:space="preserve">Monto mensual — vigente</t>
  </si>
  <si>
    <t xml:space="preserve">Crecimiento anual</t>
  </si>
  <si>
    <t xml:space="preserve">Desde año de operación (0 = implantación)</t>
  </si>
  <si>
    <t xml:space="preserve">IVA incluido</t>
  </si>
  <si>
    <t xml:space="preserve">Base de imprevistos (1/0)</t>
  </si>
  <si>
    <t xml:space="preserve">Energía eléctrica planta</t>
  </si>
  <si>
    <t xml:space="preserve">Producción</t>
  </si>
  <si>
    <t xml:space="preserve">Gs 168 M/año (inferido del PDF).</t>
  </si>
  <si>
    <t xml:space="preserve">Mantenimiento y reparaciones planta</t>
  </si>
  <si>
    <t xml:space="preserve">USD 29.708/año; PDF crece 2% lineal (aquí 2% compuesto).</t>
  </si>
  <si>
    <t xml:space="preserve">Alquiler de nave (3.865 m2 x USD 4 + IVA)</t>
  </si>
  <si>
    <t xml:space="preserve">PDF: «costo de oportunidad». Confirmar si es pago real.</t>
  </si>
  <si>
    <t xml:space="preserve">Expensas (USD 0,20/m2)</t>
  </si>
  <si>
    <t xml:space="preserve">PDF p. 19.</t>
  </si>
  <si>
    <t xml:space="preserve">Agua, comunicaciones y electricidad</t>
  </si>
  <si>
    <t xml:space="preserve">Gs 9 M/año (inferido).</t>
  </si>
  <si>
    <t xml:space="preserve">Mantenimiento y reparaciones adm.</t>
  </si>
  <si>
    <t xml:space="preserve">Gs 36 M/año (inferido).</t>
  </si>
  <si>
    <t xml:space="preserve">Seguros sobre activos fijos</t>
  </si>
  <si>
    <t xml:space="preserve">Gs 60 M/año (inferido).</t>
  </si>
  <si>
    <t xml:space="preserve">Gastos generales</t>
  </si>
  <si>
    <t xml:space="preserve">USD 22.060/año.</t>
  </si>
  <si>
    <t xml:space="preserve">Honorarios y otros fijos</t>
  </si>
  <si>
    <t xml:space="preserve">Gs 182 M/año (inferido).</t>
  </si>
  <si>
    <t xml:space="preserve">Montos con IVA incluido cuando no es recuperable (criterio prudencial). Los imprevistos de producción se calculan sobre todos los costos de producción.</t>
  </si>
  <si>
    <t xml:space="preserve">Inversión y financiamiento — CAPEX por ítem, préstamos y aportes (USD)</t>
  </si>
  <si>
    <t xml:space="preserve">Costo final estimado = ejecutado + comprometido pendiente + por contratar. Los pendientes se pagan en el «mes de pago pendiente».</t>
  </si>
  <si>
    <t xml:space="preserve">A. Inversiones (CAPEX)</t>
  </si>
  <si>
    <t xml:space="preserve">Ítem</t>
  </si>
  <si>
    <t xml:space="preserve">Mes de pago (presup.)</t>
  </si>
  <si>
    <t xml:space="preserve">Vida útil (años)</t>
  </si>
  <si>
    <t xml:space="preserve">Ejecutado (devengado real)</t>
  </si>
  <si>
    <t xml:space="preserve">Pagado (real)</t>
  </si>
  <si>
    <t xml:space="preserve">Comprometido pendiente</t>
  </si>
  <si>
    <t xml:space="preserve">Por contratar (si difiere)</t>
  </si>
  <si>
    <t xml:space="preserve">Mes de pago pendiente (si difiere)</t>
  </si>
  <si>
    <t xml:space="preserve">Mes de puesta en servicio real</t>
  </si>
  <si>
    <t xml:space="preserve">Por contratar usado</t>
  </si>
  <si>
    <t xml:space="preserve">Costo final estimado</t>
  </si>
  <si>
    <t xml:space="preserve">Desvío vs presupuesto</t>
  </si>
  <si>
    <t xml:space="preserve">Avance financiero</t>
  </si>
  <si>
    <t xml:space="preserve">Mes de pago pendiente usado</t>
  </si>
  <si>
    <t xml:space="preserve">Pendiente devengado + comprometido</t>
  </si>
  <si>
    <t xml:space="preserve">Servicio (presup.)</t>
  </si>
  <si>
    <t xml:space="preserve">Servicio (vigente)</t>
  </si>
  <si>
    <t xml:space="preserve">Base depreciable vigente</t>
  </si>
  <si>
    <t xml:space="preserve">Adecuación de infraestructura</t>
  </si>
  <si>
    <t xml:space="preserve">Infraestructura</t>
  </si>
  <si>
    <t xml:space="preserve">Conjunto línea de pintura</t>
  </si>
  <si>
    <t xml:space="preserve">Maquinaria</t>
  </si>
  <si>
    <t xml:space="preserve">Cortadoras láser (2)</t>
  </si>
  <si>
    <t xml:space="preserve">Manipulador</t>
  </si>
  <si>
    <t xml:space="preserve">Dobladoras (4)</t>
  </si>
  <si>
    <t xml:space="preserve">Soldadoras (6)</t>
  </si>
  <si>
    <t xml:space="preserve">Lijadoras (4)</t>
  </si>
  <si>
    <t xml:space="preserve">Conjunto baño</t>
  </si>
  <si>
    <t xml:space="preserve">Línea de montaje</t>
  </si>
  <si>
    <t xml:space="preserve">Montacargas</t>
  </si>
  <si>
    <t xml:space="preserve">Soldadoras capacitivas (2)</t>
  </si>
  <si>
    <t xml:space="preserve">Software de gestión</t>
  </si>
  <si>
    <t xml:space="preserve">Intangible</t>
  </si>
  <si>
    <t xml:space="preserve">Mobiliario</t>
  </si>
  <si>
    <t xml:space="preserve">Inversión adicional año 2 (no desagregada)</t>
  </si>
  <si>
    <t xml:space="preserve">Pendiente</t>
  </si>
  <si>
    <t xml:space="preserve">TOTAL</t>
  </si>
  <si>
    <t xml:space="preserve">Maquinaria = CIF + despacho asignado (3% del CIF). Vida útil del ítem del año 2: provisional.</t>
  </si>
  <si>
    <t xml:space="preserve">B. Préstamos (sistema francés; desembolso al inicio del mes; tasa mensual = nominal anual / 12)</t>
  </si>
  <si>
    <t xml:space="preserve">Condición</t>
  </si>
  <si>
    <t xml:space="preserve">Préstamo 1 — presupuesto</t>
  </si>
  <si>
    <t xml:space="preserve">Préstamo 1 — vigente</t>
  </si>
  <si>
    <t xml:space="preserve">Préstamo 2 — presupuesto</t>
  </si>
  <si>
    <t xml:space="preserve">Préstamo 2 — vigente</t>
  </si>
  <si>
    <t xml:space="preserve">Préstamo 3 — presupuesto</t>
  </si>
  <si>
    <t xml:space="preserve">Préstamo 3 — vigente</t>
  </si>
  <si>
    <t xml:space="preserve">Nombre / banco</t>
  </si>
  <si>
    <t xml:space="preserve">Préstamo bancario inicial</t>
  </si>
  <si>
    <t xml:space="preserve">Monto</t>
  </si>
  <si>
    <t xml:space="preserve">Mes de desembolso</t>
  </si>
  <si>
    <t xml:space="preserve">Tasa nominal anual</t>
  </si>
  <si>
    <t xml:space="preserve">Meses de gracia (solo intereses)</t>
  </si>
  <si>
    <t xml:space="preserve">Cuotas de capital e interés</t>
  </si>
  <si>
    <t xml:space="preserve">cuotas</t>
  </si>
  <si>
    <t xml:space="preserve">Préstamo de corto plazo con cronograma (p. ej. 12 cuotas o pago único): cargarlo como préstamo 2 o 3.</t>
  </si>
  <si>
    <t xml:space="preserve">B2. Línea de crédito rotativa de corto plazo (capital de trabajo): se usa solo si la caja cae bajo el mínimo y se devuelve con el excedente</t>
  </si>
  <si>
    <t xml:space="preserve">Presupuesto</t>
  </si>
  <si>
    <t xml:space="preserve">Límite aprobado</t>
  </si>
  <si>
    <t xml:space="preserve">0 o vacío = sin línea.</t>
  </si>
  <si>
    <t xml:space="preserve">Tasa nominal anual (interés mensual sobre el saldo usado)</t>
  </si>
  <si>
    <t xml:space="preserve">Más IVA sobre intereses (Supuestos G24).</t>
  </si>
  <si>
    <t xml:space="preserve">Disponible desde el mes</t>
  </si>
  <si>
    <t xml:space="preserve">Vacío = desde el mes 1.</t>
  </si>
  <si>
    <t xml:space="preserve">Vencimiento: último mes de uso (luego se cancela el saldo)</t>
  </si>
  <si>
    <t xml:space="preserve">Vacío = fin del horizonte. Al vencer se paga todo el saldo aunque falte caja (riesgo de renovación).</t>
  </si>
  <si>
    <t xml:space="preserve">Saldo utilizado de la línea al último mes cerrado (solo vigente)</t>
  </si>
  <si>
    <t xml:space="preserve">Los usos y devoluciones reales se cargan en Reales (desembolsos / amortización); aquí solo el saldo al corte.</t>
  </si>
  <si>
    <t xml:space="preserve">Los dividendos solo se pagan con caja sobre el mínimo después de devolver la línea.</t>
  </si>
  <si>
    <t xml:space="preserve">C. Aportes de socios (efectivo o especie)</t>
  </si>
  <si>
    <t xml:space="preserve">Mes — presupuesto</t>
  </si>
  <si>
    <t xml:space="preserve">Monto — presupuesto</t>
  </si>
  <si>
    <t xml:space="preserve">Mes — vigente</t>
  </si>
  <si>
    <t xml:space="preserve">Monto — vigente</t>
  </si>
  <si>
    <t xml:space="preserve">Aporte propio inicial</t>
  </si>
  <si>
    <t xml:space="preserve">Aporte adicional año 1 (plan)</t>
  </si>
  <si>
    <t xml:space="preserve">Aporte adicional año 2 (plan)</t>
  </si>
  <si>
    <t xml:space="preserve">Detalle_24m — proyección mes a mes de la ventana móvil (vigente)</t>
  </si>
  <si>
    <t xml:space="preserve">Celda vacía = usa el supuesto anual vigente. Solo se usan los meses de la ventana (amarillo): del mes siguiente al último cierre hasta el mes Corte + n_Ventana.</t>
  </si>
  <si>
    <t xml:space="preserve">Mes n°</t>
  </si>
  <si>
    <t xml:space="preserve">Ref. anual</t>
  </si>
  <si>
    <t xml:space="preserve">Año del modelo</t>
  </si>
  <si>
    <t xml:space="preserve">Estado</t>
  </si>
  <si>
    <t xml:space="preserve">A. Tipo de cambio del mes (Gs/USD)</t>
  </si>
  <si>
    <t xml:space="preserve">Tipo de cambio del mes</t>
  </si>
  <si>
    <t xml:space="preserve">B. Volumen de ventas por producto (unidades del mes)</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</si>
  <si>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</si>
  <si>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</si>
  <si>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</si>
  <si>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</si>
  <si>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</si>
  <si>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</si>
  <si>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</si>
  <si>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</si>
  <si>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</si>
  <si>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</si>
  <si>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</si>
  <si>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</si>
  <si>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</si>
  <si>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Q14</t>
  </si>
  <si>
    <t xml:space="preserve">Q15</t>
  </si>
  <si>
    <t xml:space="preserve">Q16</t>
  </si>
  <si>
    <t xml:space="preserve">Q17</t>
  </si>
  <si>
    <t xml:space="preserve">Q18</t>
  </si>
  <si>
    <t xml:space="preserve">Q19</t>
  </si>
  <si>
    <t xml:space="preserve">Q20</t>
  </si>
  <si>
    <t xml:space="preserve">Q21</t>
  </si>
  <si>
    <t xml:space="preserve">Q22</t>
  </si>
  <si>
    <t xml:space="preserve">Q23</t>
  </si>
  <si>
    <t xml:space="preserve">Q24</t>
  </si>
  <si>
    <t xml:space="preserve">Q25</t>
  </si>
  <si>
    <t xml:space="preserve">C. Precio de venta por producto (USD por unidad)</t>
  </si>
  <si>
    <t xml:space="preserve">P1</t>
  </si>
  <si>
    <t xml:space="preserve">USD/u</t>
  </si>
  <si>
    <t xml:space="preserve">P2</t>
  </si>
  <si>
    <t xml:space="preserve">P3</t>
  </si>
  <si>
    <t xml:space="preserve">P4</t>
  </si>
  <si>
    <t xml:space="preserve">P5</t>
  </si>
  <si>
    <t xml:space="preserve">P6</t>
  </si>
  <si>
    <t xml:space="preserve">P7</t>
  </si>
  <si>
    <t xml:space="preserve">P8</t>
  </si>
  <si>
    <t xml:space="preserve">P9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</si>
  <si>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</si>
  <si>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</si>
  <si>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</si>
  <si>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</si>
  <si>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</si>
  <si>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</si>
  <si>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</si>
  <si>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</si>
  <si>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</si>
  <si>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</si>
  <si>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</si>
  <si>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</si>
  <si>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</si>
  <si>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</si>
  <si>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</si>
  <si>
    <t xml:space="preserve">P25</t>
  </si>
  <si>
    <t xml:space="preserve">D. Materia prima por unidad (USD)</t>
  </si>
  <si>
    <t xml:space="preserve">MP1</t>
  </si>
  <si>
    <t xml:space="preserve">MP2</t>
  </si>
  <si>
    <t xml:space="preserve">MP3</t>
  </si>
  <si>
    <t xml:space="preserve">MP4</t>
  </si>
  <si>
    <t xml:space="preserve">MP5</t>
  </si>
  <si>
    <t xml:space="preserve">MP6</t>
  </si>
  <si>
    <t xml:space="preserve">MP7</t>
  </si>
  <si>
    <t xml:space="preserve">MP8</t>
  </si>
  <si>
    <t xml:space="preserve">MP9</t>
  </si>
  <si>
    <t xml:space="preserve">MP10</t>
  </si>
  <si>
    <t xml:space="preserve">MP11</t>
  </si>
  <si>
    <t xml:space="preserve">MP12</t>
  </si>
  <si>
    <t xml:space="preserve">MP13</t>
  </si>
  <si>
    <t xml:space="preserve">MP14</t>
  </si>
  <si>
    <t xml:space="preserve">MP15</t>
  </si>
  <si>
    <t xml:space="preserve">MP16</t>
  </si>
  <si>
    <t xml:space="preserve">MP17</t>
  </si>
  <si>
    <t xml:space="preserve">MP18</t>
  </si>
  <si>
    <t xml:space="preserve">MP19</t>
  </si>
  <si>
    <t xml:space="preserve">MP20</t>
  </si>
  <si>
    <t xml:space="preserve">MP21</t>
  </si>
  <si>
    <t xml:space="preserve">MP22</t>
  </si>
  <si>
    <t xml:space="preserve">MP23</t>
  </si>
  <si>
    <t xml:space="preserve">MP24</t>
  </si>
  <si>
    <t xml:space="preserve">MP25</t>
  </si>
  <si>
    <t xml:space="preserve">E. Insumos por unidad (USD)</t>
  </si>
  <si>
    <t xml:space="preserve">IN1</t>
  </si>
  <si>
    <t xml:space="preserve">IN2</t>
  </si>
  <si>
    <t xml:space="preserve">IN3</t>
  </si>
  <si>
    <t xml:space="preserve">IN4</t>
  </si>
  <si>
    <t xml:space="preserve">IN5</t>
  </si>
  <si>
    <t xml:space="preserve">IN6</t>
  </si>
  <si>
    <t xml:space="preserve">IN7</t>
  </si>
  <si>
    <t xml:space="preserve">IN8</t>
  </si>
  <si>
    <t xml:space="preserve">IN9</t>
  </si>
  <si>
    <t xml:space="preserve">IN10</t>
  </si>
  <si>
    <t xml:space="preserve">IN11</t>
  </si>
  <si>
    <t xml:space="preserve">IN12</t>
  </si>
  <si>
    <t xml:space="preserve">IN13</t>
  </si>
  <si>
    <t xml:space="preserve">IN14</t>
  </si>
  <si>
    <t xml:space="preserve">IN15</t>
  </si>
  <si>
    <t xml:space="preserve">IN16</t>
  </si>
  <si>
    <t xml:space="preserve">IN17</t>
  </si>
  <si>
    <t xml:space="preserve">IN18</t>
  </si>
  <si>
    <t xml:space="preserve">IN19</t>
  </si>
  <si>
    <t xml:space="preserve">IN20</t>
  </si>
  <si>
    <t xml:space="preserve">IN21</t>
  </si>
  <si>
    <t xml:space="preserve">IN22</t>
  </si>
  <si>
    <t xml:space="preserve">IN23</t>
  </si>
  <si>
    <t xml:space="preserve">IN24</t>
  </si>
  <si>
    <t xml:space="preserve">IN25</t>
  </si>
  <si>
    <t xml:space="preserve">F. Otros costos variables por unidad (USD)</t>
  </si>
  <si>
    <t xml:space="preserve">OV1</t>
  </si>
  <si>
    <t xml:space="preserve">OV2</t>
  </si>
  <si>
    <t xml:space="preserve">OV3</t>
  </si>
  <si>
    <t xml:space="preserve">OV4</t>
  </si>
  <si>
    <t xml:space="preserve">OV5</t>
  </si>
  <si>
    <t xml:space="preserve">OV6</t>
  </si>
  <si>
    <t xml:space="preserve">OV7</t>
  </si>
  <si>
    <t xml:space="preserve">OV8</t>
  </si>
  <si>
    <t xml:space="preserve">OV9</t>
  </si>
  <si>
    <t xml:space="preserve">OV10</t>
  </si>
  <si>
    <t xml:space="preserve">OV11</t>
  </si>
  <si>
    <t xml:space="preserve">OV12</t>
  </si>
  <si>
    <t xml:space="preserve">OV13</t>
  </si>
  <si>
    <t xml:space="preserve">OV14</t>
  </si>
  <si>
    <t xml:space="preserve">OV15</t>
  </si>
  <si>
    <t xml:space="preserve">OV16</t>
  </si>
  <si>
    <t xml:space="preserve">OV17</t>
  </si>
  <si>
    <t xml:space="preserve">OV18</t>
  </si>
  <si>
    <t xml:space="preserve">OV19</t>
  </si>
  <si>
    <t xml:space="preserve">OV20</t>
  </si>
  <si>
    <t xml:space="preserve">OV21</t>
  </si>
  <si>
    <t xml:space="preserve">OV22</t>
  </si>
  <si>
    <t xml:space="preserve">OV23</t>
  </si>
  <si>
    <t xml:space="preserve">OV24</t>
  </si>
  <si>
    <t xml:space="preserve">OV25</t>
  </si>
  <si>
    <t xml:space="preserve">G. Dotación por puesto (personas en el mes)</t>
  </si>
  <si>
    <t xml:space="preserve">DO1</t>
  </si>
  <si>
    <t xml:space="preserve">pers.</t>
  </si>
  <si>
    <t xml:space="preserve">DO2</t>
  </si>
  <si>
    <t xml:space="preserve">DO3</t>
  </si>
  <si>
    <t xml:space="preserve">DO4</t>
  </si>
  <si>
    <t xml:space="preserve">DO5</t>
  </si>
  <si>
    <t xml:space="preserve">DO6</t>
  </si>
  <si>
    <t xml:space="preserve">DO7</t>
  </si>
  <si>
    <t xml:space="preserve">DO8</t>
  </si>
  <si>
    <t xml:space="preserve">DO9</t>
  </si>
  <si>
    <t xml:space="preserve">DO10</t>
  </si>
  <si>
    <t xml:space="preserve">DO11</t>
  </si>
  <si>
    <t xml:space="preserve">DO12</t>
  </si>
  <si>
    <t xml:space="preserve">DO13</t>
  </si>
  <si>
    <t xml:space="preserve">DO14</t>
  </si>
  <si>
    <t xml:space="preserve">DO15</t>
  </si>
  <si>
    <t xml:space="preserve">DO16</t>
  </si>
  <si>
    <t xml:space="preserve">DO17</t>
  </si>
  <si>
    <t xml:space="preserve">DO18</t>
  </si>
  <si>
    <t xml:space="preserve">DO19</t>
  </si>
  <si>
    <t xml:space="preserve">DO20</t>
  </si>
  <si>
    <t xml:space="preserve">DO21</t>
  </si>
  <si>
    <t xml:space="preserve">DO22</t>
  </si>
  <si>
    <t xml:space="preserve">DO23</t>
  </si>
  <si>
    <t xml:space="preserve">DO24</t>
  </si>
  <si>
    <t xml:space="preserve">DO25</t>
  </si>
  <si>
    <t xml:space="preserve">DO26</t>
  </si>
  <si>
    <t xml:space="preserve">DO27</t>
  </si>
  <si>
    <t xml:space="preserve">DO28</t>
  </si>
  <si>
    <t xml:space="preserve">DO29</t>
  </si>
  <si>
    <t xml:space="preserve">DO30</t>
  </si>
  <si>
    <t xml:space="preserve">H. Salario mensual por puesto (moneda del puesto, sin cargas)</t>
  </si>
  <si>
    <t xml:space="preserve">SA1</t>
  </si>
  <si>
    <t xml:space="preserve">SA2</t>
  </si>
  <si>
    <t xml:space="preserve">SA3</t>
  </si>
  <si>
    <t xml:space="preserve">SA4</t>
  </si>
  <si>
    <t xml:space="preserve">SA5</t>
  </si>
  <si>
    <t xml:space="preserve">SA6</t>
  </si>
  <si>
    <t xml:space="preserve">SA7</t>
  </si>
  <si>
    <t xml:space="preserve">SA8</t>
  </si>
  <si>
    <t xml:space="preserve">SA9</t>
  </si>
  <si>
    <t xml:space="preserve">SA10</t>
  </si>
  <si>
    <t xml:space="preserve">SA11</t>
  </si>
  <si>
    <t xml:space="preserve">SA12</t>
  </si>
  <si>
    <t xml:space="preserve">SA13</t>
  </si>
  <si>
    <t xml:space="preserve">SA14</t>
  </si>
  <si>
    <t xml:space="preserve">SA15</t>
  </si>
  <si>
    <t xml:space="preserve">SA16</t>
  </si>
  <si>
    <t xml:space="preserve">SA17</t>
  </si>
  <si>
    <t xml:space="preserve">SA18</t>
  </si>
  <si>
    <t xml:space="preserve">SA19</t>
  </si>
  <si>
    <t xml:space="preserve">SA20</t>
  </si>
  <si>
    <t xml:space="preserve">SA21</t>
  </si>
  <si>
    <t xml:space="preserve">SA22</t>
  </si>
  <si>
    <t xml:space="preserve">SA23</t>
  </si>
  <si>
    <t xml:space="preserve">SA24</t>
  </si>
  <si>
    <t xml:space="preserve">SA25</t>
  </si>
  <si>
    <t xml:space="preserve">SA26</t>
  </si>
  <si>
    <t xml:space="preserve">SA27</t>
  </si>
  <si>
    <t xml:space="preserve">SA28</t>
  </si>
  <si>
    <t xml:space="preserve">SA29</t>
  </si>
  <si>
    <t xml:space="preserve">SA30</t>
  </si>
  <si>
    <t xml:space="preserve">I. Costos fijos: monto del mes por concepto (moneda del concepto)</t>
  </si>
  <si>
    <t xml:space="preserve">FC1</t>
  </si>
  <si>
    <t xml:space="preserve">FC2</t>
  </si>
  <si>
    <t xml:space="preserve">FC3</t>
  </si>
  <si>
    <t xml:space="preserve">FC4</t>
  </si>
  <si>
    <t xml:space="preserve">FC5</t>
  </si>
  <si>
    <t xml:space="preserve">FC6</t>
  </si>
  <si>
    <t xml:space="preserve">FC7</t>
  </si>
  <si>
    <t xml:space="preserve">FC8</t>
  </si>
  <si>
    <t xml:space="preserve">FC9</t>
  </si>
  <si>
    <t xml:space="preserve">FC10</t>
  </si>
  <si>
    <t xml:space="preserve">FC11</t>
  </si>
  <si>
    <t xml:space="preserve">FC12</t>
  </si>
  <si>
    <t xml:space="preserve">FC13</t>
  </si>
  <si>
    <t xml:space="preserve">FC14</t>
  </si>
  <si>
    <t xml:space="preserve">FC15</t>
  </si>
  <si>
    <t xml:space="preserve">FC16</t>
  </si>
  <si>
    <t xml:space="preserve">FC17</t>
  </si>
  <si>
    <t xml:space="preserve">FC18</t>
  </si>
  <si>
    <t xml:space="preserve">FC19</t>
  </si>
  <si>
    <t xml:space="preserve">FC20</t>
  </si>
  <si>
    <t xml:space="preserve">FC21</t>
  </si>
  <si>
    <t xml:space="preserve">FC22</t>
  </si>
  <si>
    <t xml:space="preserve">FC23</t>
  </si>
  <si>
    <t xml:space="preserve">FC24</t>
  </si>
  <si>
    <t xml:space="preserve">FC25</t>
  </si>
  <si>
    <t xml:space="preserve">Montos de salarios y costos fijos en la moneda definida en Costos (PYG o USD). Volumen: se usa desde el inicio de operación.</t>
  </si>
  <si>
    <t xml:space="preserve">Reales — carga mensual de la ejecución (un dato por celda; solo meses cerrados)</t>
  </si>
  <si>
    <t xml:space="preserve">Montos en la moneda de la columna C (USD o PYG). Un mes cerrado sin datos se informa en Control (un faltante no equivale a cero).</t>
  </si>
  <si>
    <t xml:space="preserve">Total cargado</t>
  </si>
  <si>
    <t xml:space="preserve">Tipo de cambio</t>
  </si>
  <si>
    <t xml:space="preserve">Tipo de cambio real del mes (Gs/USD)</t>
  </si>
  <si>
    <t xml:space="preserve">U1</t>
  </si>
  <si>
    <t xml:space="preserve">U2</t>
  </si>
  <si>
    <t xml:space="preserve">U3</t>
  </si>
  <si>
    <t xml:space="preserve">U4</t>
  </si>
  <si>
    <t xml:space="preserve">U5</t>
  </si>
  <si>
    <t xml:space="preserve">U6</t>
  </si>
  <si>
    <t xml:space="preserve">U7</t>
  </si>
  <si>
    <t xml:space="preserve">U8</t>
  </si>
  <si>
    <t xml:space="preserve">U9</t>
  </si>
  <si>
    <t xml:space="preserve">U10</t>
  </si>
  <si>
    <t xml:space="preserve">U11</t>
  </si>
  <si>
    <t xml:space="preserve">U12</t>
  </si>
  <si>
    <t xml:space="preserve">U13</t>
  </si>
  <si>
    <t xml:space="preserve">U14</t>
  </si>
  <si>
    <t xml:space="preserve">U15</t>
  </si>
  <si>
    <t xml:space="preserve">U16</t>
  </si>
  <si>
    <t xml:space="preserve">U17</t>
  </si>
  <si>
    <t xml:space="preserve">U18</t>
  </si>
  <si>
    <t xml:space="preserve">U19</t>
  </si>
  <si>
    <t xml:space="preserve">U20</t>
  </si>
  <si>
    <t xml:space="preserve">U21</t>
  </si>
  <si>
    <t xml:space="preserve">U22</t>
  </si>
  <si>
    <t xml:space="preserve">U23</t>
  </si>
  <si>
    <t xml:space="preserve">U24</t>
  </si>
  <si>
    <t xml:space="preserve">U25</t>
  </si>
  <si>
    <t xml:space="preserve">Ventas por producto (facturación neta)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</si>
  <si>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</si>
  <si>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</si>
  <si>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</si>
  <si>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</si>
  <si>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</si>
  <si>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</si>
  <si>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</si>
  <si>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</si>
  <si>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</si>
  <si>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</si>
  <si>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</si>
  <si>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</si>
  <si>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</si>
  <si>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</si>
  <si>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</si>
  <si>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</si>
  <si>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</si>
  <si>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</si>
  <si>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</si>
  <si>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</si>
  <si>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</si>
  <si>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</si>
  <si>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</si>
  <si>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</si>
  <si>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</si>
  <si>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Costos y gastos devengados (sin IVA recuperable)</t>
  </si>
  <si>
    <t xml:space="preserve">MAT</t>
  </si>
  <si>
    <t xml:space="preserve">Materia prima e insumos consumidos</t>
  </si>
  <si>
    <t xml:space="preserve">OVAR</t>
  </si>
  <si>
    <t xml:space="preserve">Otros costos variables (flete, despacho, packaging, seguros, comisiones)</t>
  </si>
  <si>
    <t xml:space="preserve">PERP</t>
  </si>
  <si>
    <t xml:space="preserve">Personal de producción (directo e indirecto, con cargas)</t>
  </si>
  <si>
    <t xml:space="preserve">PERA</t>
  </si>
  <si>
    <t xml:space="preserve">Personal administrativo (con cargas)</t>
  </si>
  <si>
    <t xml:space="preserve">FIJP</t>
  </si>
  <si>
    <t xml:space="preserve">Costos fijos de producción (energía, mantenimiento, otros)</t>
  </si>
  <si>
    <t xml:space="preserve">ADM</t>
  </si>
  <si>
    <t xml:space="preserve">Gastos de administración (alquiler, servicios, honorarios, otros)</t>
  </si>
  <si>
    <t xml:space="preserve">TRIB</t>
  </si>
  <si>
    <t xml:space="preserve">Tributo de maquila</t>
  </si>
  <si>
    <t xml:space="preserve">Inversión y financiamiento (movimientos de caja)</t>
  </si>
  <si>
    <t xml:space="preserve">CAPEX</t>
  </si>
  <si>
    <t xml:space="preserve">CAPEX pagado</t>
  </si>
  <si>
    <t xml:space="preserve">DESEMB</t>
  </si>
  <si>
    <t xml:space="preserve">Desembolsos de préstamos recibidos (incluye línea rotativa)</t>
  </si>
  <si>
    <t xml:space="preserve">INT</t>
  </si>
  <si>
    <t xml:space="preserve">Intereses, IVA y comisiones pagados</t>
  </si>
  <si>
    <t xml:space="preserve">AMORT</t>
  </si>
  <si>
    <t xml:space="preserve">Amortización de préstamos pagada (incluye devoluciones de la línea)</t>
  </si>
  <si>
    <t xml:space="preserve">APORTE</t>
  </si>
  <si>
    <t xml:space="preserve">Aportes de socios recibidos</t>
  </si>
  <si>
    <t xml:space="preserve">DIV</t>
  </si>
  <si>
    <t xml:space="preserve">Dividendos pagados</t>
  </si>
  <si>
    <t xml:space="preserve">Saldos al cierre del mes (obligatorio en el último mes cerrado)</t>
  </si>
  <si>
    <t xml:space="preserve">S_CAJA</t>
  </si>
  <si>
    <t xml:space="preserve">Caja y bancos</t>
  </si>
  <si>
    <t xml:space="preserve">S_CXC</t>
  </si>
  <si>
    <t xml:space="preserve">Cuentas por cobrar a clientes</t>
  </si>
  <si>
    <t xml:space="preserve">S_INV</t>
  </si>
  <si>
    <t xml:space="preserve">Inventarios (materiales y producto terminado)</t>
  </si>
  <si>
    <t xml:space="preserve">S_IVA</t>
  </si>
  <si>
    <t xml:space="preserve">Crédito fiscal IVA por recuperar</t>
  </si>
  <si>
    <t xml:space="preserve">S_PROV</t>
  </si>
  <si>
    <t xml:space="preserve">Proveedores y cuentas por pagar</t>
  </si>
  <si>
    <t xml:space="preserve">S_DEUDA</t>
  </si>
  <si>
    <t xml:space="preserve">Deuda financiera (control)</t>
  </si>
  <si>
    <t xml:space="preserve">Cálculo — motor mensual (no editar)</t>
  </si>
  <si>
    <t xml:space="preserve">Bloque P = presupuesto original (solo supuestos originales). Bloque V = vigente: Reales hasta el último mes cerrado + proyección con escenario. Mismas fórmulas.</t>
  </si>
  <si>
    <t xml:space="preserve">m</t>
  </si>
  <si>
    <t xml:space="preserve">fecha</t>
  </si>
  <si>
    <t xml:space="preserve">anio</t>
  </si>
  <si>
    <t xml:space="preserve">Mes del año del modelo</t>
  </si>
  <si>
    <t xml:space="preserve">real</t>
  </si>
  <si>
    <t xml:space="preserve">Mes real cerrado (1/0)</t>
  </si>
  <si>
    <t xml:space="preserve">hor</t>
  </si>
  <si>
    <t xml:space="preserve">Dentro del horizonte (1/0)</t>
  </si>
  <si>
    <t xml:space="preserve">tcr</t>
  </si>
  <si>
    <t xml:space="preserve">TC para convertir reales (real del mes o vigente)</t>
  </si>
  <si>
    <t xml:space="preserve">BLOQUE P — PRESUPUESTO ORIGINAL</t>
  </si>
  <si>
    <t xml:space="preserve">Calendario de la versión</t>
  </si>
  <si>
    <t xml:space="preserve">P.aop</t>
  </si>
  <si>
    <t xml:space="preserve">Año de operación (0 = fuera de operación)</t>
  </si>
  <si>
    <t xml:space="preserve">n°</t>
  </si>
  <si>
    <t xml:space="preserve">P.op</t>
  </si>
  <si>
    <t xml:space="preserve">Operación (1/0)</t>
  </si>
  <si>
    <t xml:space="preserve">1/0</t>
  </si>
  <si>
    <t xml:space="preserve">P.pre</t>
  </si>
  <si>
    <t xml:space="preserve">Implantación: antes del inicio de operación (1/0)</t>
  </si>
  <si>
    <t xml:space="preserve">P.ya</t>
  </si>
  <si>
    <t xml:space="preserve">Índice de año para crecimientos (mín. 1)</t>
  </si>
  <si>
    <t xml:space="preserve">P.tc</t>
  </si>
  <si>
    <t xml:space="preserve">Tipo de cambio aplicado (Gs/USD)</t>
  </si>
  <si>
    <t xml:space="preserve">P.itc</t>
  </si>
  <si>
    <t xml:space="preserve">Inverso del TC (0 si falta el TC)</t>
  </si>
  <si>
    <t xml:space="preserve">P.u1</t>
  </si>
  <si>
    <t xml:space="preserve">P.u2</t>
  </si>
  <si>
    <t xml:space="preserve">P.u3</t>
  </si>
  <si>
    <t xml:space="preserve">P.u4</t>
  </si>
  <si>
    <t xml:space="preserve">P.u5</t>
  </si>
  <si>
    <t xml:space="preserve">P.u6</t>
  </si>
  <si>
    <t xml:space="preserve">P.u7</t>
  </si>
  <si>
    <t xml:space="preserve">P.u8</t>
  </si>
  <si>
    <t xml:space="preserve">P.u9</t>
  </si>
  <si>
    <t xml:space="preserve">P.u10</t>
  </si>
  <si>
    <t xml:space="preserve">P.u11</t>
  </si>
  <si>
    <t xml:space="preserve">P.u12</t>
  </si>
  <si>
    <t xml:space="preserve">P.u13</t>
  </si>
  <si>
    <t xml:space="preserve">P.u14</t>
  </si>
  <si>
    <t xml:space="preserve">P.u15</t>
  </si>
  <si>
    <t xml:space="preserve">P.u16</t>
  </si>
  <si>
    <t xml:space="preserve">P.u17</t>
  </si>
  <si>
    <t xml:space="preserve">P.u18</t>
  </si>
  <si>
    <t xml:space="preserve">P.u19</t>
  </si>
  <si>
    <t xml:space="preserve">P.u20</t>
  </si>
  <si>
    <t xml:space="preserve">P.u21</t>
  </si>
  <si>
    <t xml:space="preserve">P.u22</t>
  </si>
  <si>
    <t xml:space="preserve">P.u23</t>
  </si>
  <si>
    <t xml:space="preserve">P.u24</t>
  </si>
  <si>
    <t xml:space="preserve">P.u25</t>
  </si>
  <si>
    <t xml:space="preserve">P.s1</t>
  </si>
  <si>
    <t xml:space="preserve">P.s2</t>
  </si>
  <si>
    <t xml:space="preserve">P.s3</t>
  </si>
  <si>
    <t xml:space="preserve">P.s4</t>
  </si>
  <si>
    <t xml:space="preserve">P.s5</t>
  </si>
  <si>
    <t xml:space="preserve">P.s6</t>
  </si>
  <si>
    <t xml:space="preserve">P.s7</t>
  </si>
  <si>
    <t xml:space="preserve">P.s8</t>
  </si>
  <si>
    <t xml:space="preserve">P.s9</t>
  </si>
  <si>
    <t xml:space="preserve">P.s10</t>
  </si>
  <si>
    <t xml:space="preserve">P.s11</t>
  </si>
  <si>
    <t xml:space="preserve">P.s12</t>
  </si>
  <si>
    <t xml:space="preserve">P.s13</t>
  </si>
  <si>
    <t xml:space="preserve">P.s14</t>
  </si>
  <si>
    <t xml:space="preserve">P.s15</t>
  </si>
  <si>
    <t xml:space="preserve">P.s16</t>
  </si>
  <si>
    <t xml:space="preserve">P.s17</t>
  </si>
  <si>
    <t xml:space="preserve">P.s18</t>
  </si>
  <si>
    <t xml:space="preserve">P.s19</t>
  </si>
  <si>
    <t xml:space="preserve">P.s20</t>
  </si>
  <si>
    <t xml:space="preserve">P.s21</t>
  </si>
  <si>
    <t xml:space="preserve">P.s22</t>
  </si>
  <si>
    <t xml:space="preserve">P.s23</t>
  </si>
  <si>
    <t xml:space="preserve">P.s24</t>
  </si>
  <si>
    <t xml:space="preserve">P.s25</t>
  </si>
  <si>
    <t xml:space="preserve">P.vtas</t>
  </si>
  <si>
    <t xml:space="preserve">VENTAS TOTALES</t>
  </si>
  <si>
    <t xml:space="preserve">Costos de la proyección (en meses reales se reemplazan por Reales)</t>
  </si>
  <si>
    <t xml:space="preserve">P.mp_f</t>
  </si>
  <si>
    <t xml:space="preserve">Materia prima</t>
  </si>
  <si>
    <t xml:space="preserve">P.ins_f</t>
  </si>
  <si>
    <t xml:space="preserve">Insumos</t>
  </si>
  <si>
    <t xml:space="preserve">P.ov_f</t>
  </si>
  <si>
    <t xml:space="preserve">Otros costos variables por unidad</t>
  </si>
  <si>
    <t xml:space="preserve">P.desp_f</t>
  </si>
  <si>
    <t xml:space="preserve">Despacho de importación</t>
  </si>
  <si>
    <t xml:space="preserve">P.dir_n</t>
  </si>
  <si>
    <t xml:space="preserve">Personas activas — Directo</t>
  </si>
  <si>
    <t xml:space="preserve">P.dir_f</t>
  </si>
  <si>
    <t xml:space="preserve">Personal — Directo (salarios, cargas y alimentación)</t>
  </si>
  <si>
    <t xml:space="preserve">P.ind_n</t>
  </si>
  <si>
    <t xml:space="preserve">Personas activas — Indirecto</t>
  </si>
  <si>
    <t xml:space="preserve">P.ind_f</t>
  </si>
  <si>
    <t xml:space="preserve">Personal — Indirecto (salarios, cargas y alimentación)</t>
  </si>
  <si>
    <t xml:space="preserve">P.adm_n</t>
  </si>
  <si>
    <t xml:space="preserve">Personas activas — Administración</t>
  </si>
  <si>
    <t xml:space="preserve">P.adm_f</t>
  </si>
  <si>
    <t xml:space="preserve">Personal — Administración (salarios, cargas y alimentación)</t>
  </si>
  <si>
    <t xml:space="preserve">P.pkg_f</t>
  </si>
  <si>
    <t xml:space="preserve">Packaging</t>
  </si>
  <si>
    <t xml:space="preserve">P.vs_f</t>
  </si>
  <si>
    <t xml:space="preserve">Seguro de caución, comisiones y logística de venta</t>
  </si>
  <si>
    <t xml:space="preserve">P.trib_f</t>
  </si>
  <si>
    <t xml:space="preserve">P.fp_f</t>
  </si>
  <si>
    <t xml:space="preserve">Costos fijos de producción</t>
  </si>
  <si>
    <t xml:space="preserve">P.fa_f</t>
  </si>
  <si>
    <t xml:space="preserve">Costos fijos de administración</t>
  </si>
  <si>
    <t xml:space="preserve">P.fab_f</t>
  </si>
  <si>
    <t xml:space="preserve">Costos fijos de administración en base de imprevistos</t>
  </si>
  <si>
    <t xml:space="preserve">P.impp_f</t>
  </si>
  <si>
    <t xml:space="preserve">Imprevistos de producción</t>
  </si>
  <si>
    <t xml:space="preserve">P.impa_f</t>
  </si>
  <si>
    <t xml:space="preserve">Imprevistos de administración</t>
  </si>
  <si>
    <t xml:space="preserve">P.ivac_f</t>
  </si>
  <si>
    <t xml:space="preserve">IVA contenido en costos fijos</t>
  </si>
  <si>
    <t xml:space="preserve">Estado de resultados</t>
  </si>
  <si>
    <t xml:space="preserve">P.MAT</t>
  </si>
  <si>
    <t xml:space="preserve">Materia prima e insumos</t>
  </si>
  <si>
    <t xml:space="preserve">P.OVAR</t>
  </si>
  <si>
    <t xml:space="preserve">Otros costos variables</t>
  </si>
  <si>
    <t xml:space="preserve">P.PERP</t>
  </si>
  <si>
    <t xml:space="preserve">Personal de producción</t>
  </si>
  <si>
    <t xml:space="preserve">P.FIJP</t>
  </si>
  <si>
    <t xml:space="preserve">Costos fijos de producción e imprevistos</t>
  </si>
  <si>
    <t xml:space="preserve">P.MB</t>
  </si>
  <si>
    <t xml:space="preserve">MARGEN BRUTO</t>
  </si>
  <si>
    <t xml:space="preserve">P.PERA</t>
  </si>
  <si>
    <t xml:space="preserve">Personal administrativo</t>
  </si>
  <si>
    <t xml:space="preserve">P.ADM</t>
  </si>
  <si>
    <t xml:space="preserve">Gastos de administración e imprevistos</t>
  </si>
  <si>
    <t xml:space="preserve">P.TRIB</t>
  </si>
  <si>
    <t xml:space="preserve">P.IVAR</t>
  </si>
  <si>
    <t xml:space="preserve">(+) IVA recuperable (reduce costos)</t>
  </si>
  <si>
    <t xml:space="preserve">P.EBITDA</t>
  </si>
  <si>
    <t xml:space="preserve">P.DEP</t>
  </si>
  <si>
    <t xml:space="preserve">Depreciación y amortización</t>
  </si>
  <si>
    <t xml:space="preserve">P.EBIT</t>
  </si>
  <si>
    <t xml:space="preserve">EBIT</t>
  </si>
  <si>
    <t xml:space="preserve">P.INT</t>
  </si>
  <si>
    <t xml:space="preserve">Intereses, IVA y comisiones</t>
  </si>
  <si>
    <t xml:space="preserve">P.IRE</t>
  </si>
  <si>
    <t xml:space="preserve">Impuesto a la renta</t>
  </si>
  <si>
    <t xml:space="preserve">P.NI</t>
  </si>
  <si>
    <t xml:space="preserve">RESULTADO NETO</t>
  </si>
  <si>
    <t xml:space="preserve">Capital de trabajo (saldos por días; en el mes de corte se usan los saldos reales)</t>
  </si>
  <si>
    <t xml:space="preserve">P.cxc</t>
  </si>
  <si>
    <t xml:space="preserve">Cuentas por cobrar</t>
  </si>
  <si>
    <t xml:space="preserve">P.inv</t>
  </si>
  <si>
    <t xml:space="preserve">P.ivab</t>
  </si>
  <si>
    <t xml:space="preserve">Crédito fiscal IVA</t>
  </si>
  <si>
    <t xml:space="preserve">P.prov</t>
  </si>
  <si>
    <t xml:space="preserve">Proveedores</t>
  </si>
  <si>
    <t xml:space="preserve">P.ctn</t>
  </si>
  <si>
    <t xml:space="preserve">CAPITAL DE TRABAJO NETO</t>
  </si>
  <si>
    <t xml:space="preserve">P.dct</t>
  </si>
  <si>
    <t xml:space="preserve">Variación del capital de trabajo</t>
  </si>
  <si>
    <t xml:space="preserve">Flujo de caja e inversión</t>
  </si>
  <si>
    <t xml:space="preserve">P.CFO</t>
  </si>
  <si>
    <t xml:space="preserve">FLUJO OPERATIVO (EBITDA - impuesto - Δ capital de trabajo)</t>
  </si>
  <si>
    <t xml:space="preserve">P.CAPEX</t>
  </si>
  <si>
    <t xml:space="preserve">P.AF</t>
  </si>
  <si>
    <t xml:space="preserve">Activo fijo neto (CAPEX acumulado - depreciación acumulada)</t>
  </si>
  <si>
    <t xml:space="preserve">P.VT</t>
  </si>
  <si>
    <t xml:space="preserve">Valor terminal (capital de trabajo y activo fijo realizables)</t>
  </si>
  <si>
    <t xml:space="preserve">P.FCFF</t>
  </si>
  <si>
    <t xml:space="preserve">FLUJO LIBRE DEL PROYECTO (FCFF)</t>
  </si>
  <si>
    <t xml:space="preserve">P.CUML</t>
  </si>
  <si>
    <t xml:space="preserve">Flujo acumulado antes de financiamiento (CFO - CAPEX)</t>
  </si>
  <si>
    <t xml:space="preserve">Préstamos (cronograma contractual)</t>
  </si>
  <si>
    <t xml:space="preserve">P.L1_des</t>
  </si>
  <si>
    <t xml:space="preserve">Préstamo 1: desembolso</t>
  </si>
  <si>
    <t xml:space="preserve">P.L1_int</t>
  </si>
  <si>
    <t xml:space="preserve">Préstamo 1: interés</t>
  </si>
  <si>
    <t xml:space="preserve">P.L1_am</t>
  </si>
  <si>
    <t xml:space="preserve">Préstamo 1: amortización</t>
  </si>
  <si>
    <t xml:space="preserve">P.L1_sal</t>
  </si>
  <si>
    <t xml:space="preserve">Préstamo 1: saldo</t>
  </si>
  <si>
    <t xml:space="preserve">P.L2_des</t>
  </si>
  <si>
    <t xml:space="preserve">Préstamo 2: desembolso</t>
  </si>
  <si>
    <t xml:space="preserve">P.L2_int</t>
  </si>
  <si>
    <t xml:space="preserve">Préstamo 2: interés</t>
  </si>
  <si>
    <t xml:space="preserve">P.L2_am</t>
  </si>
  <si>
    <t xml:space="preserve">Préstamo 2: amortización</t>
  </si>
  <si>
    <t xml:space="preserve">P.L2_sal</t>
  </si>
  <si>
    <t xml:space="preserve">Préstamo 2: saldo</t>
  </si>
  <si>
    <t xml:space="preserve">P.L3_des</t>
  </si>
  <si>
    <t xml:space="preserve">Préstamo 3: desembolso</t>
  </si>
  <si>
    <t xml:space="preserve">P.L3_int</t>
  </si>
  <si>
    <t xml:space="preserve">Préstamo 3: interés</t>
  </si>
  <si>
    <t xml:space="preserve">P.L3_am</t>
  </si>
  <si>
    <t xml:space="preserve">Préstamo 3: amortización</t>
  </si>
  <si>
    <t xml:space="preserve">P.L3_sal</t>
  </si>
  <si>
    <t xml:space="preserve">Préstamo 3: saldo</t>
  </si>
  <si>
    <t xml:space="preserve">Financiamiento y tesorería</t>
  </si>
  <si>
    <t xml:space="preserve">P.DESL</t>
  </si>
  <si>
    <t xml:space="preserve">Desembolsos de préstamos</t>
  </si>
  <si>
    <t xml:space="preserve">P.AML</t>
  </si>
  <si>
    <t xml:space="preserve">Amortización de préstamos (cronograma)</t>
  </si>
  <si>
    <t xml:space="preserve">P.APORTE</t>
  </si>
  <si>
    <t xml:space="preserve">Aportes de socios</t>
  </si>
  <si>
    <t xml:space="preserve">P.LCA</t>
  </si>
  <si>
    <t xml:space="preserve">Línea rotativa disponible (1/0)</t>
  </si>
  <si>
    <t xml:space="preserve">P.LCI</t>
  </si>
  <si>
    <t xml:space="preserve">Línea rotativa: interés del mes (sobre el saldo anterior)</t>
  </si>
  <si>
    <t xml:space="preserve">P.CAJA0</t>
  </si>
  <si>
    <t xml:space="preserve">Caja antes de línea rotativa y dividendos</t>
  </si>
  <si>
    <t xml:space="preserve">P.CMIN</t>
  </si>
  <si>
    <t xml:space="preserve">P.LCD</t>
  </si>
  <si>
    <t xml:space="preserve">Línea rotativa: uso</t>
  </si>
  <si>
    <t xml:space="preserve">P.LCR</t>
  </si>
  <si>
    <t xml:space="preserve">Línea rotativa: devolución (con excedente; total al vencer)</t>
  </si>
  <si>
    <t xml:space="preserve">P.LCS</t>
  </si>
  <si>
    <t xml:space="preserve">Línea rotativa: saldo</t>
  </si>
  <si>
    <t xml:space="preserve">P.DESEMB</t>
  </si>
  <si>
    <t xml:space="preserve">DESEMBOLSOS TOTALES (préstamos + línea)</t>
  </si>
  <si>
    <t xml:space="preserve">P.AMORT</t>
  </si>
  <si>
    <t xml:space="preserve">AMORTIZACIONES TOTALES (préstamos + línea)</t>
  </si>
  <si>
    <t xml:space="preserve">P.DEUDA</t>
  </si>
  <si>
    <t xml:space="preserve">DEUDA FINANCIERA (saldo)</t>
  </si>
  <si>
    <t xml:space="preserve">P.CAJA1</t>
  </si>
  <si>
    <t xml:space="preserve">Caja después de la línea rotativa</t>
  </si>
  <si>
    <t xml:space="preserve">P.NIY</t>
  </si>
  <si>
    <t xml:space="preserve">Resultado neto acumulado del año</t>
  </si>
  <si>
    <t xml:space="preserve">P.NIP</t>
  </si>
  <si>
    <t xml:space="preserve">Resultado neto del año anterior</t>
  </si>
  <si>
    <t xml:space="preserve">P.DIVD</t>
  </si>
  <si>
    <t xml:space="preserve">Dividendos según política (resultado del año anterior)</t>
  </si>
  <si>
    <t xml:space="preserve">P.DIV</t>
  </si>
  <si>
    <t xml:space="preserve">Dividendos pagados (solo con caja sobre el mínimo)</t>
  </si>
  <si>
    <t xml:space="preserve">P.CAJA</t>
  </si>
  <si>
    <t xml:space="preserve">CAJA FINAL</t>
  </si>
  <si>
    <t xml:space="preserve">P.AJ</t>
  </si>
  <si>
    <t xml:space="preserve">Ajuste de conciliación con la caja real</t>
  </si>
  <si>
    <t xml:space="preserve">P.BRECHA</t>
  </si>
  <si>
    <t xml:space="preserve">Brecha: caja por debajo de la caja mínima</t>
  </si>
  <si>
    <t xml:space="preserve">P.DEF</t>
  </si>
  <si>
    <t xml:space="preserve">Caja negativa a cubrir por los socios (aporte implícito acumulado)</t>
  </si>
  <si>
    <t xml:space="preserve">Valuación y control</t>
  </si>
  <si>
    <t xml:space="preserve">P.DFP</t>
  </si>
  <si>
    <t xml:space="preserve">Factor de descuento del proyecto</t>
  </si>
  <si>
    <t xml:space="preserve">P.DFE</t>
  </si>
  <si>
    <t xml:space="preserve">Factor de descuento de los socios</t>
  </si>
  <si>
    <t xml:space="preserve">P.EQ</t>
  </si>
  <si>
    <t xml:space="preserve">Flujo de los socios (-aportes - cobertura de caja negativa + dividendos + valor final)</t>
  </si>
  <si>
    <t xml:space="preserve">P.CUMF</t>
  </si>
  <si>
    <t xml:space="preserve">FCFF acumulado</t>
  </si>
  <si>
    <t xml:space="preserve">P.PB</t>
  </si>
  <si>
    <t xml:space="preserve">Recupero de la inversión (mes con interpolación)</t>
  </si>
  <si>
    <t xml:space="preserve">P.PAT</t>
  </si>
  <si>
    <t xml:space="preserve">Patrimonio (aportes + resultados - dividendos + ajustes)</t>
  </si>
  <si>
    <t xml:space="preserve">P.CHK</t>
  </si>
  <si>
    <t xml:space="preserve">CONTROL: activo - pasivo - patrimonio (0 = OK)</t>
  </si>
  <si>
    <t xml:space="preserve">BLOQUE V — VIGENTE: REAL HASTA EL CORTE + PROYECCIÓN</t>
  </si>
  <si>
    <t xml:space="preserve">V.aop</t>
  </si>
  <si>
    <t xml:space="preserve">V.op</t>
  </si>
  <si>
    <t xml:space="preserve">V.pre</t>
  </si>
  <si>
    <t xml:space="preserve">V.ya</t>
  </si>
  <si>
    <t xml:space="preserve">V.tc</t>
  </si>
  <si>
    <t xml:space="preserve">V.itc</t>
  </si>
  <si>
    <t xml:space="preserve">V.u1</t>
  </si>
  <si>
    <t xml:space="preserve">V.u2</t>
  </si>
  <si>
    <t xml:space="preserve">V.u3</t>
  </si>
  <si>
    <t xml:space="preserve">V.u4</t>
  </si>
  <si>
    <t xml:space="preserve">V.u5</t>
  </si>
  <si>
    <t xml:space="preserve">V.u6</t>
  </si>
  <si>
    <t xml:space="preserve">V.u7</t>
  </si>
  <si>
    <t xml:space="preserve">V.u8</t>
  </si>
  <si>
    <t xml:space="preserve">V.u9</t>
  </si>
  <si>
    <t xml:space="preserve">V.u10</t>
  </si>
  <si>
    <t xml:space="preserve">V.u11</t>
  </si>
  <si>
    <t xml:space="preserve">V.u12</t>
  </si>
  <si>
    <t xml:space="preserve">V.u13</t>
  </si>
  <si>
    <t xml:space="preserve">V.u14</t>
  </si>
  <si>
    <t xml:space="preserve">V.u15</t>
  </si>
  <si>
    <t xml:space="preserve">V.u16</t>
  </si>
  <si>
    <t xml:space="preserve">V.u17</t>
  </si>
  <si>
    <t xml:space="preserve">V.u18</t>
  </si>
  <si>
    <t xml:space="preserve">V.u19</t>
  </si>
  <si>
    <t xml:space="preserve">V.u20</t>
  </si>
  <si>
    <t xml:space="preserve">V.u21</t>
  </si>
  <si>
    <t xml:space="preserve">V.u22</t>
  </si>
  <si>
    <t xml:space="preserve">V.u23</t>
  </si>
  <si>
    <t xml:space="preserve">V.u24</t>
  </si>
  <si>
    <t xml:space="preserve">V.u25</t>
  </si>
  <si>
    <t xml:space="preserve">V.s1</t>
  </si>
  <si>
    <t xml:space="preserve">V.s2</t>
  </si>
  <si>
    <t xml:space="preserve">V.s3</t>
  </si>
  <si>
    <t xml:space="preserve">V.s4</t>
  </si>
  <si>
    <t xml:space="preserve">V.s5</t>
  </si>
  <si>
    <t xml:space="preserve">V.s6</t>
  </si>
  <si>
    <t xml:space="preserve">V.s7</t>
  </si>
  <si>
    <t xml:space="preserve">V.s8</t>
  </si>
  <si>
    <t xml:space="preserve">V.s9</t>
  </si>
  <si>
    <t xml:space="preserve">V.s10</t>
  </si>
  <si>
    <t xml:space="preserve">V.s11</t>
  </si>
  <si>
    <t xml:space="preserve">V.s12</t>
  </si>
  <si>
    <t xml:space="preserve">V.s13</t>
  </si>
  <si>
    <t xml:space="preserve">V.s14</t>
  </si>
  <si>
    <t xml:space="preserve">V.s15</t>
  </si>
  <si>
    <t xml:space="preserve">V.s16</t>
  </si>
  <si>
    <t xml:space="preserve">V.s17</t>
  </si>
  <si>
    <t xml:space="preserve">V.s18</t>
  </si>
  <si>
    <t xml:space="preserve">V.s19</t>
  </si>
  <si>
    <t xml:space="preserve">V.s20</t>
  </si>
  <si>
    <t xml:space="preserve">V.s21</t>
  </si>
  <si>
    <t xml:space="preserve">V.s22</t>
  </si>
  <si>
    <t xml:space="preserve">V.s23</t>
  </si>
  <si>
    <t xml:space="preserve">V.s24</t>
  </si>
  <si>
    <t xml:space="preserve">V.s25</t>
  </si>
  <si>
    <t xml:space="preserve">V.vtas</t>
  </si>
  <si>
    <t xml:space="preserve">V.mp_f</t>
  </si>
  <si>
    <t xml:space="preserve">V.ins_f</t>
  </si>
  <si>
    <t xml:space="preserve">V.ov_f</t>
  </si>
  <si>
    <t xml:space="preserve">V.desp_f</t>
  </si>
  <si>
    <t xml:space="preserve">V.dir_n</t>
  </si>
  <si>
    <t xml:space="preserve">V.dir_f</t>
  </si>
  <si>
    <t xml:space="preserve">V.ind_n</t>
  </si>
  <si>
    <t xml:space="preserve">V.ind_f</t>
  </si>
  <si>
    <t xml:space="preserve">V.adm_n</t>
  </si>
  <si>
    <t xml:space="preserve">V.adm_f</t>
  </si>
  <si>
    <t xml:space="preserve">V.pkg_f</t>
  </si>
  <si>
    <t xml:space="preserve">V.vs_f</t>
  </si>
  <si>
    <t xml:space="preserve">V.trib_f</t>
  </si>
  <si>
    <t xml:space="preserve">V.fp_f</t>
  </si>
  <si>
    <t xml:space="preserve">V.fa_f</t>
  </si>
  <si>
    <t xml:space="preserve">V.fab_f</t>
  </si>
  <si>
    <t xml:space="preserve">V.impp_f</t>
  </si>
  <si>
    <t xml:space="preserve">V.impa_f</t>
  </si>
  <si>
    <t xml:space="preserve">V.ivac_f</t>
  </si>
  <si>
    <t xml:space="preserve">V.MAT</t>
  </si>
  <si>
    <t xml:space="preserve">V.OVAR</t>
  </si>
  <si>
    <t xml:space="preserve">V.PERP</t>
  </si>
  <si>
    <t xml:space="preserve">V.FIJP</t>
  </si>
  <si>
    <t xml:space="preserve">V.MB</t>
  </si>
  <si>
    <t xml:space="preserve">V.PERA</t>
  </si>
  <si>
    <t xml:space="preserve">V.ADM</t>
  </si>
  <si>
    <t xml:space="preserve">V.TRIB</t>
  </si>
  <si>
    <t xml:space="preserve">V.IVAR</t>
  </si>
  <si>
    <t xml:space="preserve">V.EBITDA</t>
  </si>
  <si>
    <t xml:space="preserve">V.DEP</t>
  </si>
  <si>
    <t xml:space="preserve">V.EBIT</t>
  </si>
  <si>
    <t xml:space="preserve">V.INT</t>
  </si>
  <si>
    <t xml:space="preserve">V.IRE</t>
  </si>
  <si>
    <t xml:space="preserve">V.NI</t>
  </si>
  <si>
    <t xml:space="preserve">V.cxc</t>
  </si>
  <si>
    <t xml:space="preserve">V.inv</t>
  </si>
  <si>
    <t xml:space="preserve">V.ivab</t>
  </si>
  <si>
    <t xml:space="preserve">V.prov</t>
  </si>
  <si>
    <t xml:space="preserve">V.ctn</t>
  </si>
  <si>
    <t xml:space="preserve">V.dct</t>
  </si>
  <si>
    <t xml:space="preserve">V.CFO</t>
  </si>
  <si>
    <t xml:space="preserve">V.CAPEX</t>
  </si>
  <si>
    <t xml:space="preserve">V.AF</t>
  </si>
  <si>
    <t xml:space="preserve">V.VT</t>
  </si>
  <si>
    <t xml:space="preserve">V.FCFF</t>
  </si>
  <si>
    <t xml:space="preserve">V.CUML</t>
  </si>
  <si>
    <t xml:space="preserve">V.L1_des</t>
  </si>
  <si>
    <t xml:space="preserve">V.L1_int</t>
  </si>
  <si>
    <t xml:space="preserve">V.L1_am</t>
  </si>
  <si>
    <t xml:space="preserve">V.L1_sal</t>
  </si>
  <si>
    <t xml:space="preserve">V.L2_des</t>
  </si>
  <si>
    <t xml:space="preserve">V.L2_int</t>
  </si>
  <si>
    <t xml:space="preserve">V.L2_am</t>
  </si>
  <si>
    <t xml:space="preserve">V.L2_sal</t>
  </si>
  <si>
    <t xml:space="preserve">V.L3_des</t>
  </si>
  <si>
    <t xml:space="preserve">V.L3_int</t>
  </si>
  <si>
    <t xml:space="preserve">V.L3_am</t>
  </si>
  <si>
    <t xml:space="preserve">V.L3_sal</t>
  </si>
  <si>
    <t xml:space="preserve">V.DESL</t>
  </si>
  <si>
    <t xml:space="preserve">V.AML</t>
  </si>
  <si>
    <t xml:space="preserve">V.APORTE</t>
  </si>
  <si>
    <t xml:space="preserve">V.LCA</t>
  </si>
  <si>
    <t xml:space="preserve">V.LCI</t>
  </si>
  <si>
    <t xml:space="preserve">V.CAJA0</t>
  </si>
  <si>
    <t xml:space="preserve">V.CMIN</t>
  </si>
  <si>
    <t xml:space="preserve">V.LCD</t>
  </si>
  <si>
    <t xml:space="preserve">V.LCR</t>
  </si>
  <si>
    <t xml:space="preserve">V.LCS</t>
  </si>
  <si>
    <t xml:space="preserve">V.DESEMB</t>
  </si>
  <si>
    <t xml:space="preserve">V.AMORT</t>
  </si>
  <si>
    <t xml:space="preserve">V.DEUDA</t>
  </si>
  <si>
    <t xml:space="preserve">V.CAJA1</t>
  </si>
  <si>
    <t xml:space="preserve">V.NIY</t>
  </si>
  <si>
    <t xml:space="preserve">V.NIP</t>
  </si>
  <si>
    <t xml:space="preserve">V.DIVD</t>
  </si>
  <si>
    <t xml:space="preserve">V.DIV</t>
  </si>
  <si>
    <t xml:space="preserve">V.CAJA</t>
  </si>
  <si>
    <t xml:space="preserve">V.AJ</t>
  </si>
  <si>
    <t xml:space="preserve">V.BRECHA</t>
  </si>
  <si>
    <t xml:space="preserve">V.DEF</t>
  </si>
  <si>
    <t xml:space="preserve">V.DFP</t>
  </si>
  <si>
    <t xml:space="preserve">V.DFE</t>
  </si>
  <si>
    <t xml:space="preserve">V.EQ</t>
  </si>
  <si>
    <t xml:space="preserve">V.CUMF</t>
  </si>
  <si>
    <t xml:space="preserve">V.PB</t>
  </si>
  <si>
    <t xml:space="preserve">V.PAT</t>
  </si>
  <si>
    <t xml:space="preserve">V.CHK</t>
  </si>
  <si>
    <t xml:space="preserve">CONTADORES DE DETALLE_24M — celdas con dato en el mes (la guía y Proyeccion_24m los usan)</t>
  </si>
  <si>
    <t xml:space="preserve">det.TC</t>
  </si>
  <si>
    <t xml:space="preserve">Celdas con dato — A. Tipo de cambio del mes (Gs/USD)</t>
  </si>
  <si>
    <t xml:space="preserve">det.Q</t>
  </si>
  <si>
    <t xml:space="preserve">Celdas con dato — B. Volumen de ventas por producto (unidades del mes)</t>
  </si>
  <si>
    <t xml:space="preserve">det.P</t>
  </si>
  <si>
    <t xml:space="preserve">Celdas con dato — C. Precio de venta por producto (USD por unidad)</t>
  </si>
  <si>
    <t xml:space="preserve">det.MP</t>
  </si>
  <si>
    <t xml:space="preserve">Celdas con dato — D. Materia prima por unidad (USD)</t>
  </si>
  <si>
    <t xml:space="preserve">det.IN</t>
  </si>
  <si>
    <t xml:space="preserve">Celdas con dato — E. Insumos por unidad (USD)</t>
  </si>
  <si>
    <t xml:space="preserve">det.OV</t>
  </si>
  <si>
    <t xml:space="preserve">Celdas con dato — F. Otros costos variables por unidad (USD)</t>
  </si>
  <si>
    <t xml:space="preserve">det.DO</t>
  </si>
  <si>
    <t xml:space="preserve">Celdas con dato — G. Dotación por puesto (personas en el mes)</t>
  </si>
  <si>
    <t xml:space="preserve">det.SA</t>
  </si>
  <si>
    <t xml:space="preserve">Celdas con dato — H. Salario mensual por puesto (moneda del puesto, sin cargas)</t>
  </si>
  <si>
    <t xml:space="preserve">det.FC</t>
  </si>
  <si>
    <t xml:space="preserve">Celdas con dato — I. Costos fijos: monto del mes por concepto (moneda del concepto)</t>
  </si>
  <si>
    <t xml:space="preserve">Proyección de los próximos 24 meses — vigente (real hasta el corte + detalle mensual + supuestos anuales)</t>
  </si>
  <si>
    <t xml:space="preserve">Mes de la proyección</t>
  </si>
  <si>
    <t xml:space="preserve">Año 1 ventana</t>
  </si>
  <si>
    <t xml:space="preserve">Año 2 ventana</t>
  </si>
  <si>
    <t xml:space="preserve">Total 24 meses</t>
  </si>
  <si>
    <t xml:space="preserve">Mes del modelo</t>
  </si>
  <si>
    <t xml:space="preserve">Origen de volúmenes</t>
  </si>
  <si>
    <t xml:space="preserve">Origen de costos</t>
  </si>
  <si>
    <t xml:space="preserve">A. Vigente: resultado, caja y financiamiento</t>
  </si>
  <si>
    <t xml:space="preserve">Gastos de administración</t>
  </si>
  <si>
    <t xml:space="preserve">Depreciación</t>
  </si>
  <si>
    <t xml:space="preserve">Resultado neto</t>
  </si>
  <si>
    <t xml:space="preserve">Flujo operativo</t>
  </si>
  <si>
    <t xml:space="preserve">Desembolsos (préstamos + línea)</t>
  </si>
  <si>
    <t xml:space="preserve">Amortizaciones (préstamos + línea)</t>
  </si>
  <si>
    <t xml:space="preserve">Caja al cierre</t>
  </si>
  <si>
    <t xml:space="preserve">Deuda al cierre</t>
  </si>
  <si>
    <t xml:space="preserve">Capital de trabajo neto</t>
  </si>
  <si>
    <t xml:space="preserve">Brecha bajo la caja mínima (máx.)</t>
  </si>
  <si>
    <t xml:space="preserve">Margen EBITDA</t>
  </si>
  <si>
    <t xml:space="preserve">B. Presupuesto original en los mismos meses y desvío</t>
  </si>
  <si>
    <t xml:space="preserve">Ventas — presupuesto</t>
  </si>
  <si>
    <t xml:space="preserve">EBITDA — presupuesto</t>
  </si>
  <si>
    <t xml:space="preserve">Resultado neto — presupuesto</t>
  </si>
  <si>
    <t xml:space="preserve">Caja al cierre — presupuesto</t>
  </si>
  <si>
    <t xml:space="preserve">Desvío ventas (vigente − presupuesto)</t>
  </si>
  <si>
    <t xml:space="preserve">Desvío EBITDA</t>
  </si>
  <si>
    <t xml:space="preserve">Desvío resultado neto</t>
  </si>
  <si>
    <t xml:space="preserve">Desvío caja al cierre</t>
  </si>
  <si>
    <t xml:space="preserve">Fuente: hoja Calculo (bloques V y P). Meses reales = Reales; ventana = Detalle_24m donde hay dato; resto = supuestos anuales.</t>
  </si>
  <si>
    <t xml:space="preserve">Resultados — presupuesto original vs vigente (real + proyección)</t>
  </si>
  <si>
    <t xml:space="preserve">A. Indicadores clave</t>
  </si>
  <si>
    <t xml:space="preserve">Indicador</t>
  </si>
  <si>
    <t xml:space="preserve">Vigente (real + proyección)</t>
  </si>
  <si>
    <t xml:space="preserve">Desvío</t>
  </si>
  <si>
    <t xml:space="preserve">Ventas del año 1 del modelo</t>
  </si>
  <si>
    <t xml:space="preserve">Ventas totales del horizonte</t>
  </si>
  <si>
    <t xml:space="preserve">EBITDA del año 1 del modelo</t>
  </si>
  <si>
    <t xml:space="preserve">EBITDA total del horizonte</t>
  </si>
  <si>
    <t xml:space="preserve">Margen EBITDA del horizonte</t>
  </si>
  <si>
    <t xml:space="preserve">Resultado neto total</t>
  </si>
  <si>
    <t xml:space="preserve">Inversión total (CAPEX)</t>
  </si>
  <si>
    <t xml:space="preserve">Vigente: real pagado + pendiente con escenario.</t>
  </si>
  <si>
    <t xml:space="preserve">Necesidad máxima de fondos antes de financiamiento</t>
  </si>
  <si>
    <t xml:space="preserve">Inversión + capital de trabajo + pérdidas iniciales que deben financiar socios y bancos.</t>
  </si>
  <si>
    <t xml:space="preserve">Mes de la necesidad máxima</t>
  </si>
  <si>
    <t xml:space="preserve">Aporte adicional necesario para no tener caja negativa</t>
  </si>
  <si>
    <t xml:space="preserve">Fondos no previstos que deberían aportar socios o bancos (máximo saldo de caja negativa).</t>
  </si>
  <si>
    <t xml:space="preserve">Deuda financiera máxima</t>
  </si>
  <si>
    <t xml:space="preserve">Préstamos + línea rotativa.</t>
  </si>
  <si>
    <t xml:space="preserve">Línea rotativa: uso máximo</t>
  </si>
  <si>
    <t xml:space="preserve">0 = no se usó o no hay línea.</t>
  </si>
  <si>
    <t xml:space="preserve">Intereses, IVA y comisiones totales</t>
  </si>
  <si>
    <t xml:space="preserve">Cancelación total de la deuda (años desde el mes 1)</t>
  </si>
  <si>
    <t xml:space="preserve">Último mes con saldo de deuda + 1, en años.</t>
  </si>
  <si>
    <t xml:space="preserve">Caja final mínima del horizonte</t>
  </si>
  <si>
    <t xml:space="preserve">Negativa = financiamiento no previsto.</t>
  </si>
  <si>
    <t xml:space="preserve">Brecha máxima bajo la caja mínima</t>
  </si>
  <si>
    <t xml:space="preserve">No se insertan fondos ficticios: la brecha queda visible.</t>
  </si>
  <si>
    <t xml:space="preserve">Meses con brecha</t>
  </si>
  <si>
    <t xml:space="preserve">DSCR mínimo desde el 2.º año de operación (flujo operativo / servicio de deuda)</t>
  </si>
  <si>
    <t xml:space="preserve">Servicio = intereses + cuotas de préstamos (sin devoluciones de la línea). &lt; 1 = la operación no alcanza a pagar la deuda ese año.</t>
  </si>
  <si>
    <t xml:space="preserve">VAN del proyecto (FCFF a WACC)</t>
  </si>
  <si>
    <t xml:space="preserve">Excluye préstamos, intereses, aportes y dividendos.</t>
  </si>
  <si>
    <t xml:space="preserve">TIR del proyecto (anual)</t>
  </si>
  <si>
    <t xml:space="preserve">VAN de los socios (a Ke)</t>
  </si>
  <si>
    <t xml:space="preserve">Aportes, dividendos pagados y valor final. La caja negativa se considera cubierta por los socios hasta que se recupera.</t>
  </si>
  <si>
    <t xml:space="preserve">TIR de los socios (anual)</t>
  </si>
  <si>
    <t xml:space="preserve">Recupero de la inversión del proyecto (años)</t>
  </si>
  <si>
    <t xml:space="preserve">Balance de control (0 = OK)</t>
  </si>
  <si>
    <t xml:space="preserve">Plan publicado (referencia): VAN / TIR</t>
  </si>
  <si>
    <t xml:space="preserve">Cifras del documento original, calculadas con su propia metodología.</t>
  </si>
  <si>
    <t xml:space="preserve">B. Vigente (real hasta el corte + proyección) — resumen anual</t>
  </si>
  <si>
    <t xml:space="preserve">Concepto (USD)</t>
  </si>
  <si>
    <t xml:space="preserve">Año 11</t>
  </si>
  <si>
    <t xml:space="preserve">Año 12</t>
  </si>
  <si>
    <t xml:space="preserve">Estado del año</t>
  </si>
  <si>
    <t xml:space="preserve">Año calendario</t>
  </si>
  <si>
    <t xml:space="preserve">V_vtas</t>
  </si>
  <si>
    <t xml:space="preserve">V_MAT</t>
  </si>
  <si>
    <t xml:space="preserve">V_OVAR</t>
  </si>
  <si>
    <t xml:space="preserve">V_PERP</t>
  </si>
  <si>
    <t xml:space="preserve">V_FIJP</t>
  </si>
  <si>
    <t xml:space="preserve">V_MB</t>
  </si>
  <si>
    <t xml:space="preserve">Margen bruto</t>
  </si>
  <si>
    <t xml:space="preserve">V_PERA</t>
  </si>
  <si>
    <t xml:space="preserve">V_ADM</t>
  </si>
  <si>
    <t xml:space="preserve">V_TRIB</t>
  </si>
  <si>
    <t xml:space="preserve">V_IVAR</t>
  </si>
  <si>
    <t xml:space="preserve">(+) IVA recuperable</t>
  </si>
  <si>
    <t xml:space="preserve">V_EBITDA</t>
  </si>
  <si>
    <t xml:space="preserve">V_DEP</t>
  </si>
  <si>
    <t xml:space="preserve">V_INT</t>
  </si>
  <si>
    <t xml:space="preserve">V_IRE</t>
  </si>
  <si>
    <t xml:space="preserve">V_NI</t>
  </si>
  <si>
    <t xml:space="preserve">V_CFO</t>
  </si>
  <si>
    <t xml:space="preserve">V_CAPEX</t>
  </si>
  <si>
    <t xml:space="preserve">V_FCFF</t>
  </si>
  <si>
    <t xml:space="preserve">FCFF (incluye valor terminal)</t>
  </si>
  <si>
    <t xml:space="preserve">V_APORTE</t>
  </si>
  <si>
    <t xml:space="preserve">V_DESEMB</t>
  </si>
  <si>
    <t xml:space="preserve">V_AMORT</t>
  </si>
  <si>
    <t xml:space="preserve">V_AML</t>
  </si>
  <si>
    <t xml:space="preserve">   de las cuales: cuotas de préstamos</t>
  </si>
  <si>
    <t xml:space="preserve">V_DIV</t>
  </si>
  <si>
    <t xml:space="preserve">V_CAJA</t>
  </si>
  <si>
    <t xml:space="preserve">V_DEUDA</t>
  </si>
  <si>
    <t xml:space="preserve">V_LCS</t>
  </si>
  <si>
    <t xml:space="preserve">   de la cual: línea rotativa</t>
  </si>
  <si>
    <t xml:space="preserve">V_CTN</t>
  </si>
  <si>
    <t xml:space="preserve">Capital de trabajo neto al cierre</t>
  </si>
  <si>
    <t xml:space="preserve">V_BRECHA</t>
  </si>
  <si>
    <t xml:space="preserve">Brecha máxima del año</t>
  </si>
  <si>
    <t xml:space="preserve">V_mg</t>
  </si>
  <si>
    <t xml:space="preserve">V_DS</t>
  </si>
  <si>
    <t xml:space="preserve">Servicio de deuda (intereses + amortización)</t>
  </si>
  <si>
    <t xml:space="preserve">V_DSCR</t>
  </si>
  <si>
    <t xml:space="preserve">DSCR (flujo operativo / servicio de deuda)</t>
  </si>
  <si>
    <t xml:space="preserve">YN</t>
  </si>
  <si>
    <t xml:space="preserve">Año n° (auxiliar)</t>
  </si>
  <si>
    <t xml:space="preserve">V_u1</t>
  </si>
  <si>
    <t xml:space="preserve">V_u2</t>
  </si>
  <si>
    <t xml:space="preserve">V_u3</t>
  </si>
  <si>
    <t xml:space="preserve">V_u4</t>
  </si>
  <si>
    <t xml:space="preserve">V_u5</t>
  </si>
  <si>
    <t xml:space="preserve">V_u6</t>
  </si>
  <si>
    <t xml:space="preserve">V_u7</t>
  </si>
  <si>
    <t xml:space="preserve">V_u8</t>
  </si>
  <si>
    <t xml:space="preserve">V_u9</t>
  </si>
  <si>
    <t xml:space="preserve">V_u10</t>
  </si>
  <si>
    <t xml:space="preserve">V_u11</t>
  </si>
  <si>
    <t xml:space="preserve">V_u12</t>
  </si>
  <si>
    <t xml:space="preserve">V_u13</t>
  </si>
  <si>
    <t xml:space="preserve">V_u14</t>
  </si>
  <si>
    <t xml:space="preserve">V_u15</t>
  </si>
  <si>
    <t xml:space="preserve">V_u16</t>
  </si>
  <si>
    <t xml:space="preserve">V_u17</t>
  </si>
  <si>
    <t xml:space="preserve">V_u18</t>
  </si>
  <si>
    <t xml:space="preserve">V_u19</t>
  </si>
  <si>
    <t xml:space="preserve">V_u20</t>
  </si>
  <si>
    <t xml:space="preserve">V_u21</t>
  </si>
  <si>
    <t xml:space="preserve">V_u22</t>
  </si>
  <si>
    <t xml:space="preserve">V_u23</t>
  </si>
  <si>
    <t xml:space="preserve">V_u24</t>
  </si>
  <si>
    <t xml:space="preserve">V_u25</t>
  </si>
  <si>
    <t xml:space="preserve">C. Presupuesto original — resumen anual</t>
  </si>
  <si>
    <t xml:space="preserve">P_vtas</t>
  </si>
  <si>
    <t xml:space="preserve">P_EBITDA</t>
  </si>
  <si>
    <t xml:space="preserve">P_NI</t>
  </si>
  <si>
    <t xml:space="preserve">P_CFO</t>
  </si>
  <si>
    <t xml:space="preserve">P_CAPEX</t>
  </si>
  <si>
    <t xml:space="preserve">P_FCFF</t>
  </si>
  <si>
    <t xml:space="preserve">P_APORTE</t>
  </si>
  <si>
    <t xml:space="preserve">P_INT</t>
  </si>
  <si>
    <t xml:space="preserve">P_AMORT</t>
  </si>
  <si>
    <t xml:space="preserve">P_AML</t>
  </si>
  <si>
    <t xml:space="preserve">P_CAJA</t>
  </si>
  <si>
    <t xml:space="preserve">P_DEUDA</t>
  </si>
  <si>
    <t xml:space="preserve">P_CTN</t>
  </si>
  <si>
    <t xml:space="preserve">P_DS</t>
  </si>
  <si>
    <t xml:space="preserve">Servicio de deuda</t>
  </si>
  <si>
    <t xml:space="preserve">P_DSCR</t>
  </si>
  <si>
    <t xml:space="preserve">DSCR</t>
  </si>
  <si>
    <t xml:space="preserve">P_u1</t>
  </si>
  <si>
    <t xml:space="preserve">P_u2</t>
  </si>
  <si>
    <t xml:space="preserve">P_u3</t>
  </si>
  <si>
    <t xml:space="preserve">P_u4</t>
  </si>
  <si>
    <t xml:space="preserve">P_u5</t>
  </si>
  <si>
    <t xml:space="preserve">P_u6</t>
  </si>
  <si>
    <t xml:space="preserve">P_u7</t>
  </si>
  <si>
    <t xml:space="preserve">P_u8</t>
  </si>
  <si>
    <t xml:space="preserve">P_u9</t>
  </si>
  <si>
    <t xml:space="preserve">P_u10</t>
  </si>
  <si>
    <t xml:space="preserve">P_u11</t>
  </si>
  <si>
    <t xml:space="preserve">P_u12</t>
  </si>
  <si>
    <t xml:space="preserve">P_u13</t>
  </si>
  <si>
    <t xml:space="preserve">P_u14</t>
  </si>
  <si>
    <t xml:space="preserve">P_u15</t>
  </si>
  <si>
    <t xml:space="preserve">P_u16</t>
  </si>
  <si>
    <t xml:space="preserve">P_u17</t>
  </si>
  <si>
    <t xml:space="preserve">P_u18</t>
  </si>
  <si>
    <t xml:space="preserve">P_u19</t>
  </si>
  <si>
    <t xml:space="preserve">P_u20</t>
  </si>
  <si>
    <t xml:space="preserve">P_u21</t>
  </si>
  <si>
    <t xml:space="preserve">P_u22</t>
  </si>
  <si>
    <t xml:space="preserve">P_u23</t>
  </si>
  <si>
    <t xml:space="preserve">P_u24</t>
  </si>
  <si>
    <t xml:space="preserve">P_u25</t>
  </si>
  <si>
    <t xml:space="preserve">D. Desvíos: vigente - presupuesto original</t>
  </si>
  <si>
    <t xml:space="preserve">FCFF</t>
  </si>
  <si>
    <t xml:space="preserve">Unidades totales</t>
  </si>
  <si>
    <t xml:space="preserve">% de desvío en ventas</t>
  </si>
  <si>
    <t xml:space="preserve">E. Plan publicado (referencia) vs presupuesto original del modelo — explica diferencias de metodología</t>
  </si>
  <si>
    <t xml:space="preserve">   Diferencia presupuesto del modelo - publicado</t>
  </si>
  <si>
    <t xml:space="preserve">Etiquetas de gráficos</t>
  </si>
  <si>
    <t xml:space="preserve">Control — validaciones y datos faltantes</t>
  </si>
  <si>
    <t xml:space="preserve">Estado OK cuando el valor está dentro de lo esperado. Revisar cada cierre.</t>
  </si>
  <si>
    <t xml:space="preserve">Esperado</t>
  </si>
  <si>
    <t xml:space="preserve">Qué hacer si no está OK</t>
  </si>
  <si>
    <t xml:space="preserve">C01</t>
  </si>
  <si>
    <t xml:space="preserve">Balance del presupuesto cuadra (activo - pasivo - patrimonio)</t>
  </si>
  <si>
    <t xml:space="preserve">Error de fórmula: no editar Calculo; revisar entradas en blanco.</t>
  </si>
  <si>
    <t xml:space="preserve">C02</t>
  </si>
  <si>
    <t xml:space="preserve">Balance vigente cuadra</t>
  </si>
  <si>
    <t xml:space="preserve">Idem.</t>
  </si>
  <si>
    <t xml:space="preserve">C03</t>
  </si>
  <si>
    <t xml:space="preserve">Meses cerrados sin ventas cargadas</t>
  </si>
  <si>
    <t xml:space="preserve">Cargar ventas reales del mes en Reales (si realmente no hubo ventas, cargar 0 explícito y documentarlo).</t>
  </si>
  <si>
    <t xml:space="preserve">C04</t>
  </si>
  <si>
    <t xml:space="preserve">Meses cerrados sin costos de materiales ni personal cargados</t>
  </si>
  <si>
    <t xml:space="preserve">Cargar costos reales del mes.</t>
  </si>
  <si>
    <t xml:space="preserve">C05</t>
  </si>
  <si>
    <t xml:space="preserve">Saldo de caja real cargado en el mes de corte</t>
  </si>
  <si>
    <t xml:space="preserve">Cargar el saldo de caja y bancos al cierre del último mes cerrado.</t>
  </si>
  <si>
    <t xml:space="preserve">C06</t>
  </si>
  <si>
    <t xml:space="preserve">Saldos de clientes, inventarios y proveedores cargados en el mes de corte</t>
  </si>
  <si>
    <t xml:space="preserve">Sin estos saldos el capital de trabajo se estima por días.</t>
  </si>
  <si>
    <t xml:space="preserve">C07</t>
  </si>
  <si>
    <t xml:space="preserve">Diferencia de deuda: real al corte - calculada</t>
  </si>
  <si>
    <t xml:space="preserve">Cargar desembolsos y amortizaciones reales o ajustar las condiciones vigentes del préstamo.</t>
  </si>
  <si>
    <t xml:space="preserve">C08</t>
  </si>
  <si>
    <t xml:space="preserve">CAPEX: pagado por ítem (Inversion) - CAPEX real mensual (Reales)</t>
  </si>
  <si>
    <t xml:space="preserve">Ambos registros deben conciliar.</t>
  </si>
  <si>
    <t xml:space="preserve">C09</t>
  </si>
  <si>
    <t xml:space="preserve">Tipo de cambio cargado en todos los años (presupuesto y vigente)</t>
  </si>
  <si>
    <t xml:space="preserve">Completar el TC por año en Supuestos B (los costos en PYG se convierten con él).</t>
  </si>
  <si>
    <t xml:space="preserve">C10</t>
  </si>
  <si>
    <t xml:space="preserve">Productos con volumen vigente por encima de la capacidad (años)</t>
  </si>
  <si>
    <t xml:space="preserve">Revisar volumen o registrar la ampliación de capacidad (Productos A).</t>
  </si>
  <si>
    <t xml:space="preserve">C11</t>
  </si>
  <si>
    <t xml:space="preserve">Productos con volumen y sin precio vigente</t>
  </si>
  <si>
    <t xml:space="preserve">Completar el precio.</t>
  </si>
  <si>
    <t xml:space="preserve">C12</t>
  </si>
  <si>
    <t xml:space="preserve">Préstamos del presupuesto cancelados dentro del horizonte</t>
  </si>
  <si>
    <t xml:space="preserve">Revisar plazo o el horizonte.</t>
  </si>
  <si>
    <t xml:space="preserve">C13</t>
  </si>
  <si>
    <t xml:space="preserve">Brecha de caja vigente (meses bajo la caja mínima)</t>
  </si>
  <si>
    <t xml:space="preserve">Definir aportes, financiamiento o mejoras de capital de trabajo (alerta, no error de fórmula).</t>
  </si>
  <si>
    <t xml:space="preserve">C14</t>
  </si>
  <si>
    <t xml:space="preserve">Negocio en operación: mes real de inicio y último mes cerrado cargados</t>
  </si>
  <si>
    <t xml:space="preserve">Completar en Inicio el mes real de inicio de operación y cargar los meses cerrados en Reales.</t>
  </si>
  <si>
    <t xml:space="preserve">C15</t>
  </si>
  <si>
    <t xml:space="preserve">Horizonte dentro de la rejilla de 144 meses (mes de inicio ≤ 25 con 10 años)</t>
  </si>
  <si>
    <t xml:space="preserve">Reducir los años evaluados o el mes de inicio (la rejilla tiene 144 meses).</t>
  </si>
  <si>
    <t xml:space="preserve">C16</t>
  </si>
  <si>
    <t xml:space="preserve">Supuestos vigentes modificados respecto del presupuesto (informativo)</t>
  </si>
  <si>
    <t xml:space="preserve">≥ 0</t>
  </si>
  <si>
    <t xml:space="preserve">Documentar en la nota de cada supuesto el motivo del cambio.</t>
  </si>
  <si>
    <t xml:space="preserve">Controles en REVISAR</t>
  </si>
  <si>
    <t xml:space="preserve">Celdas vigentes sobrescritas (difieren del presupuesto)</t>
  </si>
  <si>
    <t xml:space="preserve">Deuda del presupuesto al final del horizonte</t>
  </si>
  <si>
    <t xml:space="preserve">Cuadros financieros — misma estructura que el plan de negocio</t>
  </si>
  <si>
    <t xml:space="preserve">1. Versión que muestran los cuadros</t>
  </si>
  <si>
    <t xml:space="preserve">Versión</t>
  </si>
  <si>
    <t xml:space="preserve">Vigente = real hasta el último cierre + proyección con el escenario elegido. Presupuesto original = plan aprobado con la metodología del modelo.</t>
  </si>
  <si>
    <t xml:space="preserve">Indicador de versión (1 = presupuesto original)</t>
  </si>
  <si>
    <t xml:space="preserve">Escenario / último mes cerrado</t>
  </si>
  <si>
    <t xml:space="preserve">2. Índice de cuadros</t>
  </si>
  <si>
    <t xml:space="preserve">Hoja</t>
  </si>
  <si>
    <t xml:space="preserve">Cuadros del plan</t>
  </si>
  <si>
    <t xml:space="preserve">Páginas del plan</t>
  </si>
  <si>
    <t xml:space="preserve">Ir</t>
  </si>
  <si>
    <t xml:space="preserve">Contenido</t>
  </si>
  <si>
    <t xml:space="preserve">C01 Inversión</t>
  </si>
  <si>
    <t xml:space="preserve">1, 2, 5 y 6</t>
  </si>
  <si>
    <t xml:space="preserve">11-13</t>
  </si>
  <si>
    <t xml:space="preserve">Inversión y financiamiento; detalle de máquinas, infraestructura y otras inversiones</t>
  </si>
  <si>
    <t xml:space="preserve">C07 Producción</t>
  </si>
  <si>
    <t xml:space="preserve">7 y 7a</t>
  </si>
  <si>
    <t xml:space="preserve">14-15</t>
  </si>
  <si>
    <t xml:space="preserve">Programa de producción: capacidad instalada, producción, venta y utilización</t>
  </si>
  <si>
    <t xml:space="preserve">C08 Ingresos</t>
  </si>
  <si>
    <t xml:space="preserve">8</t>
  </si>
  <si>
    <t xml:space="preserve">16</t>
  </si>
  <si>
    <t xml:space="preserve">Ingresos anuales proyectados: venta, cantidad y precio por producto</t>
  </si>
  <si>
    <t xml:space="preserve">C09 Materiales</t>
  </si>
  <si>
    <t xml:space="preserve">9a y 9b</t>
  </si>
  <si>
    <t xml:space="preserve">17-18</t>
  </si>
  <si>
    <t xml:space="preserve">Materia prima, insumos y consumibles por producto</t>
  </si>
  <si>
    <t xml:space="preserve">C10a Costos</t>
  </si>
  <si>
    <t xml:space="preserve">10a</t>
  </si>
  <si>
    <t xml:space="preserve">19</t>
  </si>
  <si>
    <t xml:space="preserve">Costos anuales proyectados (producción, administración, depreciación, financieros) y costos fijos por concepto</t>
  </si>
  <si>
    <t xml:space="preserve">C10b Costo unitario</t>
  </si>
  <si>
    <t xml:space="preserve">10b</t>
  </si>
  <si>
    <t xml:space="preserve">20</t>
  </si>
  <si>
    <t xml:space="preserve">Costos unitarios por producto y margen bruto</t>
  </si>
  <si>
    <t xml:space="preserve">C11 Rubros</t>
  </si>
  <si>
    <t xml:space="preserve">11 y 12</t>
  </si>
  <si>
    <t xml:space="preserve">21</t>
  </si>
  <si>
    <t xml:space="preserve">Costos por rubros y estructura de costos (%)</t>
  </si>
  <si>
    <t xml:space="preserve">C13 Deuda e IVA</t>
  </si>
  <si>
    <t xml:space="preserve">13 y 14</t>
  </si>
  <si>
    <t xml:space="preserve">22</t>
  </si>
  <si>
    <t xml:space="preserve">Servicio de la deuda y cálculo del IVA</t>
  </si>
  <si>
    <t xml:space="preserve">C15 Resultados</t>
  </si>
  <si>
    <t xml:space="preserve">15</t>
  </si>
  <si>
    <t xml:space="preserve">23</t>
  </si>
  <si>
    <t xml:space="preserve">Resultados operacionales proyectados y distribución de utilidades</t>
  </si>
  <si>
    <t xml:space="preserve">C16 Capital trabajo</t>
  </si>
  <si>
    <t xml:space="preserve">24</t>
  </si>
  <si>
    <t xml:space="preserve">Capital de trabajo</t>
  </si>
  <si>
    <t xml:space="preserve">C17 Equilibrio</t>
  </si>
  <si>
    <t xml:space="preserve">17</t>
  </si>
  <si>
    <t xml:space="preserve">25</t>
  </si>
  <si>
    <t xml:space="preserve">Punto de equilibrio</t>
  </si>
  <si>
    <t xml:space="preserve">C18 Fondos</t>
  </si>
  <si>
    <t xml:space="preserve">18</t>
  </si>
  <si>
    <t xml:space="preserve">26</t>
  </si>
  <si>
    <t xml:space="preserve">Origen y aplicación de fondos</t>
  </si>
  <si>
    <t xml:space="preserve">C19 VAN-TIR</t>
  </si>
  <si>
    <t xml:space="preserve">27-28</t>
  </si>
  <si>
    <t xml:space="preserve">VAN, TIR, payback y ponderación de la tasa de corte</t>
  </si>
  <si>
    <t xml:space="preserve">C20 Depreciación</t>
  </si>
  <si>
    <t xml:space="preserve">29</t>
  </si>
  <si>
    <t xml:space="preserve">Depreciación del activo fijo y valor residual</t>
  </si>
  <si>
    <t xml:space="preserve">RRHH</t>
  </si>
  <si>
    <t xml:space="preserve">30-34</t>
  </si>
  <si>
    <t xml:space="preserve">Recursos humanos: dotación y costo por puesto</t>
  </si>
  <si>
    <t xml:space="preserve">3. Resumen: modelo frente al plan publicado</t>
  </si>
  <si>
    <t xml:space="preserve">Modelo</t>
  </si>
  <si>
    <t xml:space="preserve">Plan publicado</t>
  </si>
  <si>
    <t xml:space="preserve">Diferencia</t>
  </si>
  <si>
    <t xml:space="preserve">Diferencia %</t>
  </si>
  <si>
    <t xml:space="preserve">Explicación</t>
  </si>
  <si>
    <t xml:space="preserve">Inversión fija inicial (pagada hasta el año 1)</t>
  </si>
  <si>
    <t xml:space="preserve">Capital operativo inicial (capital de trabajo neto del año 1)</t>
  </si>
  <si>
    <t xml:space="preserve">Ventas de los 10 años</t>
  </si>
  <si>
    <t xml:space="preserve">Costos totales de los 10 años</t>
  </si>
  <si>
    <t xml:space="preserve">EBITDA de los 10 años</t>
  </si>
  <si>
    <t xml:space="preserve">Utilidad neta de los 10 años</t>
  </si>
  <si>
    <t xml:space="preserve">Capital de trabajo neto al cierre del año 10</t>
  </si>
  <si>
    <t xml:space="preserve">Caja al cierre del año 10</t>
  </si>
  <si>
    <t xml:space="preserve">Punto de equilibrio del año 1 (unidades)</t>
  </si>
  <si>
    <t xml:space="preserve">Personal total del año 1 (personas)</t>
  </si>
  <si>
    <t xml:space="preserve">VAN — método del plan (flujo de beneficios netos)</t>
  </si>
  <si>
    <t xml:space="preserve">TIR — método del plan</t>
  </si>
  <si>
    <t xml:space="preserve">Payback — método del plan (años)</t>
  </si>
  <si>
    <t xml:space="preserve">VAN del proyecto — criterio del modelo (FCFF)</t>
  </si>
  <si>
    <t xml:space="preserve">Criterio del modelo (FCFF al WACC): otro flujo, no se compara con el VAN publicado.</t>
  </si>
  <si>
    <t xml:space="preserve">VAN de los socios — criterio del modelo</t>
  </si>
  <si>
    <t xml:space="preserve">Criterio del modelo: flujo de los socios (aportes, dividendos y valor final) al Ke.</t>
  </si>
  <si>
    <t xml:space="preserve">4. Diferencias de metodología conocidas (editable)</t>
  </si>
  <si>
    <t xml:space="preserve">C1 nómina: el plan convierte los salarios en Gs con un TC implícito de 8.000 (p. 30-34: Gs 18.000.000 = USD 2.250), aunque declara 7.300 (p. 4). El modelo usa 7.300.</t>
  </si>
  <si>
    <t xml:space="preserve">C2 materia prima: el texto del plan (p. 2) dice 1% acumulativo desde el año 2; el cuadro 9a no lo aplica a las cajas desde el año 3 (7,48 fijo). El modelo lo aplica a ambos productos.</t>
  </si>
  <si>
    <t xml:space="preserve">Clasificación del personal: el plan pone a los 22 indirectos en administración; el modelo separa 17 indirectos de producción y 5 de administración. Cambia la apertura, no el total.</t>
  </si>
  <si>
    <t xml:space="preserve">Calendario: el plan registra la inversión, el préstamo, el aporte inicial y el capital operativo inicial en el año 0; en el modelo la operación empieza en el mes 1 (año 1).</t>
  </si>
  <si>
    <t xml:space="preserve">Capital de trabajo: el plan valúa clientes al costo, incluye caja (3 días) y sueldos (15 días) y forma el capital al inicio del año; el modelo valúa a precio de venta, trata la caja mínima aparte y no incluye sueldos.</t>
  </si>
  <si>
    <t xml:space="preserve">Depreciación: el cuadro 10a del plan empieza en el año 2 y no deprecia la inversión adicional del año 2; el cuadro 20 empieza en el año 1. El modelo deprecia desde la puesta en servicio.</t>
  </si>
  <si>
    <t xml:space="preserve">Mantenimiento de planta: 2% compuesto en el modelo; 2% lineal en el plan.</t>
  </si>
  <si>
    <t xml:space="preserve">Dividendos: el plan paga sin mirar la caja; el modelo paga solo con caja sobre el mínimo, por eso parte de los dividendos de los primeros años no se paga.</t>
  </si>
  <si>
    <t xml:space="preserve">VAN y TIR: el plan descuenta el «flujo de beneficios netos» (resta amortización e intereses, no suma el préstamo). El modelo informa el FCFF y el flujo de los socios, y recalcula el método del plan (cuadro 19).</t>
  </si>
  <si>
    <t xml:space="preserve">Inconsistencias internas del plan: flete del 10b (398.170) frente al 10a (424.000); «margen bruto %» del 10b = costo ÷ precio; depreciación del año 1 (10a: 0; cuadro 20: 71.592); pág. 28 con año 0 de −2.791.587 y saldo 4.788.736 frente a −2.991.587 y VAN 4.588.736 del cuadro 19.</t>
  </si>
  <si>
    <t xml:space="preserve">11.</t>
  </si>
  <si>
    <t xml:space="preserve">Despacho de maquinaria: el modelo lo incluye en cada máquina (3% del CIF); el plan lo presenta en una línea aparte (14.772).</t>
  </si>
  <si>
    <t xml:space="preserve">12.</t>
  </si>
  <si>
    <t xml:space="preserve">5. Cómo leer los cuadros</t>
  </si>
  <si>
    <t xml:space="preserve">Años: año 0 = meses de implantación antes del inicio de operación; años 1 a 10 = años de operación (como el plan). Total = suma de los años.</t>
  </si>
  <si>
    <t xml:space="preserve">Bloque A (verde): modelo en la versión elegida arriba. Bloque B (naranja): cifras del plan publicado, para cargar a mano (Ecostar ya está cargado).</t>
  </si>
  <si>
    <t xml:space="preserve">Bloque C: diferencia modelo − plan, con la explicación de cada línea. Una diferencia sin explicación es un punto a revisar.</t>
  </si>
  <si>
    <t xml:space="preserve">Las filas de productos, puestos, costos fijos e ítems sin uso están agrupadas: el botón + de la izquierda las muestra.</t>
  </si>
  <si>
    <t xml:space="preserve">Las filas «Ajuste por datos reales» separan lo que viene de la hoja Reales o de Detalle_24m; sin reales ni detalle mensual deben ser 0.</t>
  </si>
  <si>
    <t xml:space="preserve">Cuadro 1 — Inversión y financiamiento; cuadros 2, 5 y 6 — detalle de inversiones</t>
  </si>
  <si>
    <t xml:space="preserve">Cuadro 1 — Inversión y financiamiento (USD)</t>
  </si>
  <si>
    <t xml:space="preserve">Modelo (versión)</t>
  </si>
  <si>
    <t xml:space="preserve">Explicación de la diferencia</t>
  </si>
  <si>
    <t xml:space="preserve">c01.inf</t>
  </si>
  <si>
    <t xml:space="preserve">Adecuaciones de infraestructura</t>
  </si>
  <si>
    <t xml:space="preserve">c01.maq</t>
  </si>
  <si>
    <t xml:space="preserve">Maquinaria y equipos (CIF + gastos de despacho)</t>
  </si>
  <si>
    <t xml:space="preserve">c01.otr</t>
  </si>
  <si>
    <t xml:space="preserve">Otras inversiones (software, mobiliario y demás)</t>
  </si>
  <si>
    <t xml:space="preserve">c01.fija</t>
  </si>
  <si>
    <t xml:space="preserve">TOTAL INVERSIÓN FIJA</t>
  </si>
  <si>
    <t xml:space="preserve">c01.ini</t>
  </si>
  <si>
    <t xml:space="preserve">   pagada hasta el año 1 de operación (inversión inicial)</t>
  </si>
  <si>
    <t xml:space="preserve">c01.post</t>
  </si>
  <si>
    <t xml:space="preserve">   pagada desde el año 2</t>
  </si>
  <si>
    <t xml:space="preserve">c01.cop</t>
  </si>
  <si>
    <t xml:space="preserve">CAPITAL OPERATIVO INICIAL (capital de trabajo neto al cierre del año 1)</t>
  </si>
  <si>
    <t xml:space="preserve">c01.tini</t>
  </si>
  <si>
    <t xml:space="preserve">TOTAL DE LA INVERSIÓN INICIAL (inversión inicial + capital operativo)</t>
  </si>
  <si>
    <t xml:space="preserve">c01.ap</t>
  </si>
  <si>
    <t xml:space="preserve">Aportes de socios (total)</t>
  </si>
  <si>
    <t xml:space="preserve">c01.pr</t>
  </si>
  <si>
    <t xml:space="preserve">Préstamos bancarios (total desembolsado)</t>
  </si>
  <si>
    <t xml:space="preserve">c01.fue</t>
  </si>
  <si>
    <t xml:space="preserve">TOTAL FUENTES</t>
  </si>
  <si>
    <t xml:space="preserve">c01.pap</t>
  </si>
  <si>
    <t xml:space="preserve">   % aportes de socios</t>
  </si>
  <si>
    <t xml:space="preserve">c01.ppr</t>
  </si>
  <si>
    <t xml:space="preserve">   % préstamos</t>
  </si>
  <si>
    <t xml:space="preserve">Cuadros 2, 5 y 6 — Detalle de inversiones por ítem (hoja Inversion)</t>
  </si>
  <si>
    <t xml:space="preserve">Mes de pago</t>
  </si>
  <si>
    <t xml:space="preserve">Vida útil</t>
  </si>
  <si>
    <t xml:space="preserve">Modelo: presupuesto = monto del ítem; vigente = base depreciable vigente (ejecutado + comprometido + por contratar con el escenario).</t>
  </si>
  <si>
    <t xml:space="preserve">Mes de pago: presupuesto = mes de pago; vigente = mes de pago pendiente usado. El plan registra la inversión inicial en el año 0; si el modelo empieza a operar en el mes 1, la paga en el año 1.</t>
  </si>
  <si>
    <t xml:space="preserve">Ítems 15 a 20 agrupados.</t>
  </si>
  <si>
    <t xml:space="preserve">Cuadros 7 y 7a — Programa de producción proyectada</t>
  </si>
  <si>
    <t xml:space="preserve">A. MODELO — versión seleccionada en la hoja «Cuadros» (presupuesto original o vigente)</t>
  </si>
  <si>
    <t xml:space="preserve">Año 0</t>
  </si>
  <si>
    <t xml:space="preserve">c07.cap.1</t>
  </si>
  <si>
    <t xml:space="preserve">c07.p.1</t>
  </si>
  <si>
    <t xml:space="preserve">   producción (venta ÷ (1 − merma))</t>
  </si>
  <si>
    <t xml:space="preserve">c07.u.1</t>
  </si>
  <si>
    <t xml:space="preserve">   venta</t>
  </si>
  <si>
    <t xml:space="preserve">c07.ut.1</t>
  </si>
  <si>
    <t xml:space="preserve">   producción / capacidad instalada</t>
  </si>
  <si>
    <t xml:space="preserve">c07.vp.1</t>
  </si>
  <si>
    <t xml:space="preserve">   venta / producción</t>
  </si>
  <si>
    <t xml:space="preserve">c07.cap.2</t>
  </si>
  <si>
    <t xml:space="preserve">c07.p.2</t>
  </si>
  <si>
    <t xml:space="preserve">c07.u.2</t>
  </si>
  <si>
    <t xml:space="preserve">c07.ut.2</t>
  </si>
  <si>
    <t xml:space="preserve">c07.vp.2</t>
  </si>
  <si>
    <t xml:space="preserve">c07.cap.3</t>
  </si>
  <si>
    <t xml:space="preserve">c07.p.3</t>
  </si>
  <si>
    <t xml:space="preserve">c07.u.3</t>
  </si>
  <si>
    <t xml:space="preserve">c07.ut.3</t>
  </si>
  <si>
    <t xml:space="preserve">c07.vp.3</t>
  </si>
  <si>
    <t xml:space="preserve">c07.cap.4</t>
  </si>
  <si>
    <t xml:space="preserve">c07.p.4</t>
  </si>
  <si>
    <t xml:space="preserve">c07.u.4</t>
  </si>
  <si>
    <t xml:space="preserve">c07.ut.4</t>
  </si>
  <si>
    <t xml:space="preserve">c07.vp.4</t>
  </si>
  <si>
    <t xml:space="preserve">c07.cap.5</t>
  </si>
  <si>
    <t xml:space="preserve">c07.p.5</t>
  </si>
  <si>
    <t xml:space="preserve">c07.u.5</t>
  </si>
  <si>
    <t xml:space="preserve">c07.ut.5</t>
  </si>
  <si>
    <t xml:space="preserve">c07.vp.5</t>
  </si>
  <si>
    <t xml:space="preserve">c07.cap.6</t>
  </si>
  <si>
    <t xml:space="preserve">c07.p.6</t>
  </si>
  <si>
    <t xml:space="preserve">c07.u.6</t>
  </si>
  <si>
    <t xml:space="preserve">c07.ut.6</t>
  </si>
  <si>
    <t xml:space="preserve">c07.vp.6</t>
  </si>
  <si>
    <t xml:space="preserve">c07.cap.7</t>
  </si>
  <si>
    <t xml:space="preserve">c07.p.7</t>
  </si>
  <si>
    <t xml:space="preserve">c07.u.7</t>
  </si>
  <si>
    <t xml:space="preserve">c07.ut.7</t>
  </si>
  <si>
    <t xml:space="preserve">c07.vp.7</t>
  </si>
  <si>
    <t xml:space="preserve">c07.cap.8</t>
  </si>
  <si>
    <t xml:space="preserve">c07.p.8</t>
  </si>
  <si>
    <t xml:space="preserve">c07.u.8</t>
  </si>
  <si>
    <t xml:space="preserve">c07.ut.8</t>
  </si>
  <si>
    <t xml:space="preserve">c07.vp.8</t>
  </si>
  <si>
    <t xml:space="preserve">c07.cap.9</t>
  </si>
  <si>
    <t xml:space="preserve">c07.p.9</t>
  </si>
  <si>
    <t xml:space="preserve">c07.u.9</t>
  </si>
  <si>
    <t xml:space="preserve">c07.ut.9</t>
  </si>
  <si>
    <t xml:space="preserve">c07.vp.9</t>
  </si>
  <si>
    <t xml:space="preserve">c07.cap.10</t>
  </si>
  <si>
    <t xml:space="preserve">c07.p.10</t>
  </si>
  <si>
    <t xml:space="preserve">c07.u.10</t>
  </si>
  <si>
    <t xml:space="preserve">c07.ut.10</t>
  </si>
  <si>
    <t xml:space="preserve">c07.vp.10</t>
  </si>
  <si>
    <t xml:space="preserve">c07.cap.11</t>
  </si>
  <si>
    <t xml:space="preserve">c07.p.11</t>
  </si>
  <si>
    <t xml:space="preserve">c07.u.11</t>
  </si>
  <si>
    <t xml:space="preserve">c07.ut.11</t>
  </si>
  <si>
    <t xml:space="preserve">c07.vp.11</t>
  </si>
  <si>
    <t xml:space="preserve">c07.cap.12</t>
  </si>
  <si>
    <t xml:space="preserve">c07.p.12</t>
  </si>
  <si>
    <t xml:space="preserve">c07.u.12</t>
  </si>
  <si>
    <t xml:space="preserve">c07.ut.12</t>
  </si>
  <si>
    <t xml:space="preserve">c07.vp.12</t>
  </si>
  <si>
    <t xml:space="preserve">c07.cap.13</t>
  </si>
  <si>
    <t xml:space="preserve">c07.p.13</t>
  </si>
  <si>
    <t xml:space="preserve">c07.u.13</t>
  </si>
  <si>
    <t xml:space="preserve">c07.ut.13</t>
  </si>
  <si>
    <t xml:space="preserve">c07.vp.13</t>
  </si>
  <si>
    <t xml:space="preserve">c07.cap.14</t>
  </si>
  <si>
    <t xml:space="preserve">c07.p.14</t>
  </si>
  <si>
    <t xml:space="preserve">c07.u.14</t>
  </si>
  <si>
    <t xml:space="preserve">c07.ut.14</t>
  </si>
  <si>
    <t xml:space="preserve">c07.vp.14</t>
  </si>
  <si>
    <t xml:space="preserve">c07.cap.15</t>
  </si>
  <si>
    <t xml:space="preserve">c07.p.15</t>
  </si>
  <si>
    <t xml:space="preserve">c07.u.15</t>
  </si>
  <si>
    <t xml:space="preserve">c07.ut.15</t>
  </si>
  <si>
    <t xml:space="preserve">c07.vp.15</t>
  </si>
  <si>
    <t xml:space="preserve">c07.cap.16</t>
  </si>
  <si>
    <t xml:space="preserve">c07.p.16</t>
  </si>
  <si>
    <t xml:space="preserve">c07.u.16</t>
  </si>
  <si>
    <t xml:space="preserve">c07.ut.16</t>
  </si>
  <si>
    <t xml:space="preserve">c07.vp.16</t>
  </si>
  <si>
    <t xml:space="preserve">c07.cap.17</t>
  </si>
  <si>
    <t xml:space="preserve">c07.p.17</t>
  </si>
  <si>
    <t xml:space="preserve">c07.u.17</t>
  </si>
  <si>
    <t xml:space="preserve">c07.ut.17</t>
  </si>
  <si>
    <t xml:space="preserve">c07.vp.17</t>
  </si>
  <si>
    <t xml:space="preserve">c07.cap.18</t>
  </si>
  <si>
    <t xml:space="preserve">c07.p.18</t>
  </si>
  <si>
    <t xml:space="preserve">c07.u.18</t>
  </si>
  <si>
    <t xml:space="preserve">c07.ut.18</t>
  </si>
  <si>
    <t xml:space="preserve">c07.vp.18</t>
  </si>
  <si>
    <t xml:space="preserve">c07.cap.19</t>
  </si>
  <si>
    <t xml:space="preserve">c07.p.19</t>
  </si>
  <si>
    <t xml:space="preserve">c07.u.19</t>
  </si>
  <si>
    <t xml:space="preserve">c07.ut.19</t>
  </si>
  <si>
    <t xml:space="preserve">c07.vp.19</t>
  </si>
  <si>
    <t xml:space="preserve">c07.cap.20</t>
  </si>
  <si>
    <t xml:space="preserve">c07.p.20</t>
  </si>
  <si>
    <t xml:space="preserve">c07.u.20</t>
  </si>
  <si>
    <t xml:space="preserve">c07.ut.20</t>
  </si>
  <si>
    <t xml:space="preserve">c07.vp.20</t>
  </si>
  <si>
    <t xml:space="preserve">c07.cap.21</t>
  </si>
  <si>
    <t xml:space="preserve">c07.p.21</t>
  </si>
  <si>
    <t xml:space="preserve">c07.u.21</t>
  </si>
  <si>
    <t xml:space="preserve">c07.ut.21</t>
  </si>
  <si>
    <t xml:space="preserve">c07.vp.21</t>
  </si>
  <si>
    <t xml:space="preserve">c07.cap.22</t>
  </si>
  <si>
    <t xml:space="preserve">c07.p.22</t>
  </si>
  <si>
    <t xml:space="preserve">c07.u.22</t>
  </si>
  <si>
    <t xml:space="preserve">c07.ut.22</t>
  </si>
  <si>
    <t xml:space="preserve">c07.vp.22</t>
  </si>
  <si>
    <t xml:space="preserve">c07.cap.23</t>
  </si>
  <si>
    <t xml:space="preserve">c07.p.23</t>
  </si>
  <si>
    <t xml:space="preserve">c07.u.23</t>
  </si>
  <si>
    <t xml:space="preserve">c07.ut.23</t>
  </si>
  <si>
    <t xml:space="preserve">c07.vp.23</t>
  </si>
  <si>
    <t xml:space="preserve">c07.cap.24</t>
  </si>
  <si>
    <t xml:space="preserve">c07.p.24</t>
  </si>
  <si>
    <t xml:space="preserve">c07.u.24</t>
  </si>
  <si>
    <t xml:space="preserve">c07.ut.24</t>
  </si>
  <si>
    <t xml:space="preserve">c07.vp.24</t>
  </si>
  <si>
    <t xml:space="preserve">c07.cap.25</t>
  </si>
  <si>
    <t xml:space="preserve">c07.p.25</t>
  </si>
  <si>
    <t xml:space="preserve">c07.u.25</t>
  </si>
  <si>
    <t xml:space="preserve">c07.ut.25</t>
  </si>
  <si>
    <t xml:space="preserve">c07.vp.25</t>
  </si>
  <si>
    <t xml:space="preserve">Totales</t>
  </si>
  <si>
    <t xml:space="preserve">c07.ptot</t>
  </si>
  <si>
    <t xml:space="preserve">TOTAL PRODUCCIÓN DE UNIDADES</t>
  </si>
  <si>
    <t xml:space="preserve">c07.vtot</t>
  </si>
  <si>
    <t xml:space="preserve">TOTAL UNIDADES PRODUCIDAS Y VENDIDAS</t>
  </si>
  <si>
    <t xml:space="preserve">B. PLAN PUBLICADO — cifras del documento (celdas de entrada; vacío = el plan no informa la línea)</t>
  </si>
  <si>
    <t xml:space="preserve">Año calendario (modelo)</t>
  </si>
  <si>
    <t xml:space="preserve">C. DIFERENCIA: MODELO − PLAN PUBLICADO</t>
  </si>
  <si>
    <t xml:space="preserve">Productos 3 a 25 agrupados (botón + a la izquierda para verlos).</t>
  </si>
  <si>
    <t xml:space="preserve">Capacidad: hoja Productos (inicial y ampliada desde el año indicado). Producción = venta ÷ (1 − merma).</t>
  </si>
  <si>
    <t xml:space="preserve">Cuadro 8 — Ingresos anuales proyectados</t>
  </si>
  <si>
    <t xml:space="preserve">c08.vtas</t>
  </si>
  <si>
    <t xml:space="preserve">INGRESOS TOTALES — ingresos netos (USD)</t>
  </si>
  <si>
    <t xml:space="preserve">c08.iva</t>
  </si>
  <si>
    <t xml:space="preserve">IVA sobre ventas (régimen de maquila: exportación sin IVA)</t>
  </si>
  <si>
    <t xml:space="preserve">c08.s.1</t>
  </si>
  <si>
    <t xml:space="preserve">c08.q.1</t>
  </si>
  <si>
    <t xml:space="preserve">   cantidad</t>
  </si>
  <si>
    <t xml:space="preserve">c08.p.1</t>
  </si>
  <si>
    <t xml:space="preserve">   precio promedio</t>
  </si>
  <si>
    <t xml:space="preserve">c08.s.2</t>
  </si>
  <si>
    <t xml:space="preserve">c08.q.2</t>
  </si>
  <si>
    <t xml:space="preserve">c08.p.2</t>
  </si>
  <si>
    <t xml:space="preserve">c08.s.3</t>
  </si>
  <si>
    <t xml:space="preserve">c08.q.3</t>
  </si>
  <si>
    <t xml:space="preserve">c08.p.3</t>
  </si>
  <si>
    <t xml:space="preserve">c08.s.4</t>
  </si>
  <si>
    <t xml:space="preserve">c08.q.4</t>
  </si>
  <si>
    <t xml:space="preserve">c08.p.4</t>
  </si>
  <si>
    <t xml:space="preserve">c08.s.5</t>
  </si>
  <si>
    <t xml:space="preserve">c08.q.5</t>
  </si>
  <si>
    <t xml:space="preserve">c08.p.5</t>
  </si>
  <si>
    <t xml:space="preserve">c08.s.6</t>
  </si>
  <si>
    <t xml:space="preserve">c08.q.6</t>
  </si>
  <si>
    <t xml:space="preserve">c08.p.6</t>
  </si>
  <si>
    <t xml:space="preserve">c08.s.7</t>
  </si>
  <si>
    <t xml:space="preserve">c08.q.7</t>
  </si>
  <si>
    <t xml:space="preserve">c08.p.7</t>
  </si>
  <si>
    <t xml:space="preserve">c08.s.8</t>
  </si>
  <si>
    <t xml:space="preserve">c08.q.8</t>
  </si>
  <si>
    <t xml:space="preserve">c08.p.8</t>
  </si>
  <si>
    <t xml:space="preserve">c08.s.9</t>
  </si>
  <si>
    <t xml:space="preserve">c08.q.9</t>
  </si>
  <si>
    <t xml:space="preserve">c08.p.9</t>
  </si>
  <si>
    <t xml:space="preserve">c08.s.10</t>
  </si>
  <si>
    <t xml:space="preserve">c08.q.10</t>
  </si>
  <si>
    <t xml:space="preserve">c08.p.10</t>
  </si>
  <si>
    <t xml:space="preserve">c08.s.11</t>
  </si>
  <si>
    <t xml:space="preserve">c08.q.11</t>
  </si>
  <si>
    <t xml:space="preserve">c08.p.11</t>
  </si>
  <si>
    <t xml:space="preserve">c08.s.12</t>
  </si>
  <si>
    <t xml:space="preserve">c08.q.12</t>
  </si>
  <si>
    <t xml:space="preserve">c08.p.12</t>
  </si>
  <si>
    <t xml:space="preserve">c08.s.13</t>
  </si>
  <si>
    <t xml:space="preserve">c08.q.13</t>
  </si>
  <si>
    <t xml:space="preserve">c08.p.13</t>
  </si>
  <si>
    <t xml:space="preserve">c08.s.14</t>
  </si>
  <si>
    <t xml:space="preserve">c08.q.14</t>
  </si>
  <si>
    <t xml:space="preserve">c08.p.14</t>
  </si>
  <si>
    <t xml:space="preserve">c08.s.15</t>
  </si>
  <si>
    <t xml:space="preserve">c08.q.15</t>
  </si>
  <si>
    <t xml:space="preserve">c08.p.15</t>
  </si>
  <si>
    <t xml:space="preserve">c08.s.16</t>
  </si>
  <si>
    <t xml:space="preserve">c08.q.16</t>
  </si>
  <si>
    <t xml:space="preserve">c08.p.16</t>
  </si>
  <si>
    <t xml:space="preserve">c08.s.17</t>
  </si>
  <si>
    <t xml:space="preserve">c08.q.17</t>
  </si>
  <si>
    <t xml:space="preserve">c08.p.17</t>
  </si>
  <si>
    <t xml:space="preserve">c08.s.18</t>
  </si>
  <si>
    <t xml:space="preserve">c08.q.18</t>
  </si>
  <si>
    <t xml:space="preserve">c08.p.18</t>
  </si>
  <si>
    <t xml:space="preserve">c08.s.19</t>
  </si>
  <si>
    <t xml:space="preserve">c08.q.19</t>
  </si>
  <si>
    <t xml:space="preserve">c08.p.19</t>
  </si>
  <si>
    <t xml:space="preserve">c08.s.20</t>
  </si>
  <si>
    <t xml:space="preserve">c08.q.20</t>
  </si>
  <si>
    <t xml:space="preserve">c08.p.20</t>
  </si>
  <si>
    <t xml:space="preserve">c08.s.21</t>
  </si>
  <si>
    <t xml:space="preserve">c08.q.21</t>
  </si>
  <si>
    <t xml:space="preserve">c08.p.21</t>
  </si>
  <si>
    <t xml:space="preserve">c08.s.22</t>
  </si>
  <si>
    <t xml:space="preserve">c08.q.22</t>
  </si>
  <si>
    <t xml:space="preserve">c08.p.22</t>
  </si>
  <si>
    <t xml:space="preserve">c08.s.23</t>
  </si>
  <si>
    <t xml:space="preserve">c08.q.23</t>
  </si>
  <si>
    <t xml:space="preserve">c08.p.23</t>
  </si>
  <si>
    <t xml:space="preserve">c08.s.24</t>
  </si>
  <si>
    <t xml:space="preserve">c08.q.24</t>
  </si>
  <si>
    <t xml:space="preserve">c08.p.24</t>
  </si>
  <si>
    <t xml:space="preserve">c08.s.25</t>
  </si>
  <si>
    <t xml:space="preserve">c08.q.25</t>
  </si>
  <si>
    <t xml:space="preserve">c08.p.25</t>
  </si>
  <si>
    <t xml:space="preserve">Productos 3 a 25 agrupados. Precio promedio = venta ÷ cantidad (incluye ajustes de escenario y precios reales).</t>
  </si>
  <si>
    <t xml:space="preserve">Régimen de maquila: ventas de exportación sin IVA.</t>
  </si>
  <si>
    <t xml:space="preserve">Cuadros 9a y 9b — Materia prima e insumos</t>
  </si>
  <si>
    <t xml:space="preserve">Cuadro 9a — materia prima</t>
  </si>
  <si>
    <t xml:space="preserve">c09.mp</t>
  </si>
  <si>
    <t xml:space="preserve">TOTAL MATERIA PRIMA</t>
  </si>
  <si>
    <t xml:space="preserve">c09.mp.1</t>
  </si>
  <si>
    <t xml:space="preserve">c09.mpu.1</t>
  </si>
  <si>
    <t xml:space="preserve">   costo por pieza</t>
  </si>
  <si>
    <t xml:space="preserve">c09.u.1</t>
  </si>
  <si>
    <t xml:space="preserve">   piezas</t>
  </si>
  <si>
    <t xml:space="preserve">c09.mp.2</t>
  </si>
  <si>
    <t xml:space="preserve">c09.mpu.2</t>
  </si>
  <si>
    <t xml:space="preserve">c09.u.2</t>
  </si>
  <si>
    <t xml:space="preserve">c09.mp.3</t>
  </si>
  <si>
    <t xml:space="preserve">c09.mpu.3</t>
  </si>
  <si>
    <t xml:space="preserve">c09.u.3</t>
  </si>
  <si>
    <t xml:space="preserve">c09.mp.4</t>
  </si>
  <si>
    <t xml:space="preserve">c09.mpu.4</t>
  </si>
  <si>
    <t xml:space="preserve">c09.u.4</t>
  </si>
  <si>
    <t xml:space="preserve">c09.mp.5</t>
  </si>
  <si>
    <t xml:space="preserve">c09.mpu.5</t>
  </si>
  <si>
    <t xml:space="preserve">c09.u.5</t>
  </si>
  <si>
    <t xml:space="preserve">c09.mp.6</t>
  </si>
  <si>
    <t xml:space="preserve">c09.mpu.6</t>
  </si>
  <si>
    <t xml:space="preserve">c09.u.6</t>
  </si>
  <si>
    <t xml:space="preserve">c09.mp.7</t>
  </si>
  <si>
    <t xml:space="preserve">c09.mpu.7</t>
  </si>
  <si>
    <t xml:space="preserve">c09.u.7</t>
  </si>
  <si>
    <t xml:space="preserve">c09.mp.8</t>
  </si>
  <si>
    <t xml:space="preserve">c09.mpu.8</t>
  </si>
  <si>
    <t xml:space="preserve">c09.u.8</t>
  </si>
  <si>
    <t xml:space="preserve">c09.mp.9</t>
  </si>
  <si>
    <t xml:space="preserve">c09.mpu.9</t>
  </si>
  <si>
    <t xml:space="preserve">c09.u.9</t>
  </si>
  <si>
    <t xml:space="preserve">c09.mp.10</t>
  </si>
  <si>
    <t xml:space="preserve">c09.mpu.10</t>
  </si>
  <si>
    <t xml:space="preserve">c09.u.10</t>
  </si>
  <si>
    <t xml:space="preserve">c09.mp.11</t>
  </si>
  <si>
    <t xml:space="preserve">c09.mpu.11</t>
  </si>
  <si>
    <t xml:space="preserve">c09.u.11</t>
  </si>
  <si>
    <t xml:space="preserve">c09.mp.12</t>
  </si>
  <si>
    <t xml:space="preserve">c09.mpu.12</t>
  </si>
  <si>
    <t xml:space="preserve">c09.u.12</t>
  </si>
  <si>
    <t xml:space="preserve">c09.mp.13</t>
  </si>
  <si>
    <t xml:space="preserve">c09.mpu.13</t>
  </si>
  <si>
    <t xml:space="preserve">c09.u.13</t>
  </si>
  <si>
    <t xml:space="preserve">c09.mp.14</t>
  </si>
  <si>
    <t xml:space="preserve">c09.mpu.14</t>
  </si>
  <si>
    <t xml:space="preserve">c09.u.14</t>
  </si>
  <si>
    <t xml:space="preserve">c09.mp.15</t>
  </si>
  <si>
    <t xml:space="preserve">c09.mpu.15</t>
  </si>
  <si>
    <t xml:space="preserve">c09.u.15</t>
  </si>
  <si>
    <t xml:space="preserve">c09.mp.16</t>
  </si>
  <si>
    <t xml:space="preserve">c09.mpu.16</t>
  </si>
  <si>
    <t xml:space="preserve">c09.u.16</t>
  </si>
  <si>
    <t xml:space="preserve">c09.mp.17</t>
  </si>
  <si>
    <t xml:space="preserve">c09.mpu.17</t>
  </si>
  <si>
    <t xml:space="preserve">c09.u.17</t>
  </si>
  <si>
    <t xml:space="preserve">c09.mp.18</t>
  </si>
  <si>
    <t xml:space="preserve">c09.mpu.18</t>
  </si>
  <si>
    <t xml:space="preserve">c09.u.18</t>
  </si>
  <si>
    <t xml:space="preserve">c09.mp.19</t>
  </si>
  <si>
    <t xml:space="preserve">c09.mpu.19</t>
  </si>
  <si>
    <t xml:space="preserve">c09.u.19</t>
  </si>
  <si>
    <t xml:space="preserve">c09.mp.20</t>
  </si>
  <si>
    <t xml:space="preserve">c09.mpu.20</t>
  </si>
  <si>
    <t xml:space="preserve">c09.u.20</t>
  </si>
  <si>
    <t xml:space="preserve">c09.mp.21</t>
  </si>
  <si>
    <t xml:space="preserve">c09.mpu.21</t>
  </si>
  <si>
    <t xml:space="preserve">c09.u.21</t>
  </si>
  <si>
    <t xml:space="preserve">c09.mp.22</t>
  </si>
  <si>
    <t xml:space="preserve">c09.mpu.22</t>
  </si>
  <si>
    <t xml:space="preserve">c09.u.22</t>
  </si>
  <si>
    <t xml:space="preserve">c09.mp.23</t>
  </si>
  <si>
    <t xml:space="preserve">c09.mpu.23</t>
  </si>
  <si>
    <t xml:space="preserve">c09.u.23</t>
  </si>
  <si>
    <t xml:space="preserve">c09.mp.24</t>
  </si>
  <si>
    <t xml:space="preserve">c09.mpu.24</t>
  </si>
  <si>
    <t xml:space="preserve">c09.u.24</t>
  </si>
  <si>
    <t xml:space="preserve">c09.mp.25</t>
  </si>
  <si>
    <t xml:space="preserve">c09.mpu.25</t>
  </si>
  <si>
    <t xml:space="preserve">c09.u.25</t>
  </si>
  <si>
    <t xml:space="preserve">c09.mpaj</t>
  </si>
  <si>
    <t xml:space="preserve">Ajuste por detalle mensual o datos reales (total del motor − suma por producto)</t>
  </si>
  <si>
    <t xml:space="preserve">Cuadro 9b — insumos</t>
  </si>
  <si>
    <t xml:space="preserve">c09.ins</t>
  </si>
  <si>
    <t xml:space="preserve">TOTAL INSUMOS</t>
  </si>
  <si>
    <t xml:space="preserve">c09.ins.1</t>
  </si>
  <si>
    <t xml:space="preserve">c09.insu.1</t>
  </si>
  <si>
    <t xml:space="preserve">c09.ins.2</t>
  </si>
  <si>
    <t xml:space="preserve">c09.insu.2</t>
  </si>
  <si>
    <t xml:space="preserve">c09.ins.3</t>
  </si>
  <si>
    <t xml:space="preserve">c09.insu.3</t>
  </si>
  <si>
    <t xml:space="preserve">c09.ins.4</t>
  </si>
  <si>
    <t xml:space="preserve">c09.insu.4</t>
  </si>
  <si>
    <t xml:space="preserve">c09.ins.5</t>
  </si>
  <si>
    <t xml:space="preserve">c09.insu.5</t>
  </si>
  <si>
    <t xml:space="preserve">c09.ins.6</t>
  </si>
  <si>
    <t xml:space="preserve">c09.insu.6</t>
  </si>
  <si>
    <t xml:space="preserve">c09.ins.7</t>
  </si>
  <si>
    <t xml:space="preserve">c09.insu.7</t>
  </si>
  <si>
    <t xml:space="preserve">c09.ins.8</t>
  </si>
  <si>
    <t xml:space="preserve">c09.insu.8</t>
  </si>
  <si>
    <t xml:space="preserve">c09.ins.9</t>
  </si>
  <si>
    <t xml:space="preserve">c09.insu.9</t>
  </si>
  <si>
    <t xml:space="preserve">c09.ins.10</t>
  </si>
  <si>
    <t xml:space="preserve">c09.insu.10</t>
  </si>
  <si>
    <t xml:space="preserve">c09.ins.11</t>
  </si>
  <si>
    <t xml:space="preserve">c09.insu.11</t>
  </si>
  <si>
    <t xml:space="preserve">c09.ins.12</t>
  </si>
  <si>
    <t xml:space="preserve">c09.insu.12</t>
  </si>
  <si>
    <t xml:space="preserve">c09.ins.13</t>
  </si>
  <si>
    <t xml:space="preserve">c09.insu.13</t>
  </si>
  <si>
    <t xml:space="preserve">c09.ins.14</t>
  </si>
  <si>
    <t xml:space="preserve">c09.insu.14</t>
  </si>
  <si>
    <t xml:space="preserve">c09.ins.15</t>
  </si>
  <si>
    <t xml:space="preserve">c09.insu.15</t>
  </si>
  <si>
    <t xml:space="preserve">c09.ins.16</t>
  </si>
  <si>
    <t xml:space="preserve">c09.insu.16</t>
  </si>
  <si>
    <t xml:space="preserve">c09.ins.17</t>
  </si>
  <si>
    <t xml:space="preserve">c09.insu.17</t>
  </si>
  <si>
    <t xml:space="preserve">c09.ins.18</t>
  </si>
  <si>
    <t xml:space="preserve">c09.insu.18</t>
  </si>
  <si>
    <t xml:space="preserve">c09.ins.19</t>
  </si>
  <si>
    <t xml:space="preserve">c09.insu.19</t>
  </si>
  <si>
    <t xml:space="preserve">c09.ins.20</t>
  </si>
  <si>
    <t xml:space="preserve">c09.insu.20</t>
  </si>
  <si>
    <t xml:space="preserve">c09.ins.21</t>
  </si>
  <si>
    <t xml:space="preserve">c09.insu.21</t>
  </si>
  <si>
    <t xml:space="preserve">c09.ins.22</t>
  </si>
  <si>
    <t xml:space="preserve">c09.insu.22</t>
  </si>
  <si>
    <t xml:space="preserve">c09.ins.23</t>
  </si>
  <si>
    <t xml:space="preserve">c09.insu.23</t>
  </si>
  <si>
    <t xml:space="preserve">c09.ins.24</t>
  </si>
  <si>
    <t xml:space="preserve">c09.insu.24</t>
  </si>
  <si>
    <t xml:space="preserve">c09.ins.25</t>
  </si>
  <si>
    <t xml:space="preserve">c09.insu.25</t>
  </si>
  <si>
    <t xml:space="preserve">c09.insaj</t>
  </si>
  <si>
    <t xml:space="preserve">Cuadro 9b — insumos consumibles y fletes de materia prima (otros variables por unidad)</t>
  </si>
  <si>
    <t xml:space="preserve">c09.ov</t>
  </si>
  <si>
    <t xml:space="preserve">TOTAL INSUMOS CONSUMIBLES Y FLETES DE MATERIA PRIMA (otros variables por unidad)</t>
  </si>
  <si>
    <t xml:space="preserve">c09.ov.1</t>
  </si>
  <si>
    <t xml:space="preserve">c09.ovu.1</t>
  </si>
  <si>
    <t xml:space="preserve">c09.ov.2</t>
  </si>
  <si>
    <t xml:space="preserve">c09.ovu.2</t>
  </si>
  <si>
    <t xml:space="preserve">c09.ov.3</t>
  </si>
  <si>
    <t xml:space="preserve">c09.ovu.3</t>
  </si>
  <si>
    <t xml:space="preserve">c09.ov.4</t>
  </si>
  <si>
    <t xml:space="preserve">c09.ovu.4</t>
  </si>
  <si>
    <t xml:space="preserve">c09.ov.5</t>
  </si>
  <si>
    <t xml:space="preserve">c09.ovu.5</t>
  </si>
  <si>
    <t xml:space="preserve">c09.ov.6</t>
  </si>
  <si>
    <t xml:space="preserve">c09.ovu.6</t>
  </si>
  <si>
    <t xml:space="preserve">c09.ov.7</t>
  </si>
  <si>
    <t xml:space="preserve">c09.ovu.7</t>
  </si>
  <si>
    <t xml:space="preserve">c09.ov.8</t>
  </si>
  <si>
    <t xml:space="preserve">c09.ovu.8</t>
  </si>
  <si>
    <t xml:space="preserve">c09.ov.9</t>
  </si>
  <si>
    <t xml:space="preserve">c09.ovu.9</t>
  </si>
  <si>
    <t xml:space="preserve">c09.ov.10</t>
  </si>
  <si>
    <t xml:space="preserve">c09.ovu.10</t>
  </si>
  <si>
    <t xml:space="preserve">c09.ov.11</t>
  </si>
  <si>
    <t xml:space="preserve">c09.ovu.11</t>
  </si>
  <si>
    <t xml:space="preserve">c09.ov.12</t>
  </si>
  <si>
    <t xml:space="preserve">c09.ovu.12</t>
  </si>
  <si>
    <t xml:space="preserve">c09.ov.13</t>
  </si>
  <si>
    <t xml:space="preserve">c09.ovu.13</t>
  </si>
  <si>
    <t xml:space="preserve">c09.ov.14</t>
  </si>
  <si>
    <t xml:space="preserve">c09.ovu.14</t>
  </si>
  <si>
    <t xml:space="preserve">c09.ov.15</t>
  </si>
  <si>
    <t xml:space="preserve">c09.ovu.15</t>
  </si>
  <si>
    <t xml:space="preserve">c09.ov.16</t>
  </si>
  <si>
    <t xml:space="preserve">c09.ovu.16</t>
  </si>
  <si>
    <t xml:space="preserve">c09.ov.17</t>
  </si>
  <si>
    <t xml:space="preserve">c09.ovu.17</t>
  </si>
  <si>
    <t xml:space="preserve">c09.ov.18</t>
  </si>
  <si>
    <t xml:space="preserve">c09.ovu.18</t>
  </si>
  <si>
    <t xml:space="preserve">c09.ov.19</t>
  </si>
  <si>
    <t xml:space="preserve">c09.ovu.19</t>
  </si>
  <si>
    <t xml:space="preserve">c09.ov.20</t>
  </si>
  <si>
    <t xml:space="preserve">c09.ovu.20</t>
  </si>
  <si>
    <t xml:space="preserve">c09.ov.21</t>
  </si>
  <si>
    <t xml:space="preserve">c09.ovu.21</t>
  </si>
  <si>
    <t xml:space="preserve">c09.ov.22</t>
  </si>
  <si>
    <t xml:space="preserve">c09.ovu.22</t>
  </si>
  <si>
    <t xml:space="preserve">c09.ov.23</t>
  </si>
  <si>
    <t xml:space="preserve">c09.ovu.23</t>
  </si>
  <si>
    <t xml:space="preserve">c09.ov.24</t>
  </si>
  <si>
    <t xml:space="preserve">c09.ovu.24</t>
  </si>
  <si>
    <t xml:space="preserve">c09.ov.25</t>
  </si>
  <si>
    <t xml:space="preserve">c09.ovu.25</t>
  </si>
  <si>
    <t xml:space="preserve">c09.ovaj</t>
  </si>
  <si>
    <t xml:space="preserve">Costo por producto = unidades × costo unitario del año (índice de la hoja Supuestos). El ajuste muestra lo que aporta Detalle_24m o los meses reales.</t>
  </si>
  <si>
    <t xml:space="preserve">En el modelo, «otros variables por unidad» reúne los insumos consumibles y el flete de la materia prima (el plan los separa en los cuadros 9b y 10a).</t>
  </si>
  <si>
    <t xml:space="preserve">Cuadro 10a — Costos anuales proyectados</t>
  </si>
  <si>
    <t xml:space="preserve">1. Costos de producción</t>
  </si>
  <si>
    <t xml:space="preserve">c10.prod</t>
  </si>
  <si>
    <t xml:space="preserve">COSTOS DE PRODUCCIÓN</t>
  </si>
  <si>
    <t xml:space="preserve">c10.mp</t>
  </si>
  <si>
    <t xml:space="preserve">c10.ins</t>
  </si>
  <si>
    <t xml:space="preserve">c10.ov</t>
  </si>
  <si>
    <t xml:space="preserve">Insumos consumibles y fletes de materia prima</t>
  </si>
  <si>
    <t xml:space="preserve">c10.mod</t>
  </si>
  <si>
    <t xml:space="preserve">Mano de obra directa (salarios)</t>
  </si>
  <si>
    <t xml:space="preserve">c10.moi</t>
  </si>
  <si>
    <t xml:space="preserve">Mano de obra indirecta de producción (salarios)</t>
  </si>
  <si>
    <t xml:space="preserve">c10.carp</t>
  </si>
  <si>
    <t xml:space="preserve">Prestaciones sociales del personal de producción</t>
  </si>
  <si>
    <t xml:space="preserve">c10.alip</t>
  </si>
  <si>
    <t xml:space="preserve">Alimentación del personal de producción</t>
  </si>
  <si>
    <t xml:space="preserve">c10.fp</t>
  </si>
  <si>
    <t xml:space="preserve">Costos fijos de producción (energía, mantenimiento y otros)</t>
  </si>
  <si>
    <t xml:space="preserve">c10.desp</t>
  </si>
  <si>
    <t xml:space="preserve">Despachos de importación</t>
  </si>
  <si>
    <t xml:space="preserve">c10.vs</t>
  </si>
  <si>
    <t xml:space="preserve">c10.pkg</t>
  </si>
  <si>
    <t xml:space="preserve">c10.impp</t>
  </si>
  <si>
    <t xml:space="preserve">c10.trib</t>
  </si>
  <si>
    <t xml:space="preserve">Tasas y tributos — maquila</t>
  </si>
  <si>
    <t xml:space="preserve">c10.ajp</t>
  </si>
  <si>
    <t xml:space="preserve">Ajuste por datos reales (total del motor − suma de líneas)</t>
  </si>
  <si>
    <t xml:space="preserve">2. Gastos de administración</t>
  </si>
  <si>
    <t xml:space="preserve">c10.adm</t>
  </si>
  <si>
    <t xml:space="preserve">GASTOS DE ADMINISTRACIÓN</t>
  </si>
  <si>
    <t xml:space="preserve">c10.moa</t>
  </si>
  <si>
    <t xml:space="preserve">Mano de obra administrativa (salarios)</t>
  </si>
  <si>
    <t xml:space="preserve">c10.cara</t>
  </si>
  <si>
    <t xml:space="preserve">Prestaciones sociales</t>
  </si>
  <si>
    <t xml:space="preserve">c10.alia</t>
  </si>
  <si>
    <t xml:space="preserve">c10.fa</t>
  </si>
  <si>
    <t xml:space="preserve">Costos fijos de administración (detalle por concepto más abajo)</t>
  </si>
  <si>
    <t xml:space="preserve">c10.impa</t>
  </si>
  <si>
    <t xml:space="preserve">c10.aja</t>
  </si>
  <si>
    <t xml:space="preserve">3. IVA, gastos no desembolsados y financieros</t>
  </si>
  <si>
    <t xml:space="preserve">c10.ivar</t>
  </si>
  <si>
    <t xml:space="preserve">(−) IVA recuperable de costos fijos</t>
  </si>
  <si>
    <t xml:space="preserve">c10.dep</t>
  </si>
  <si>
    <t xml:space="preserve">GASTOS NO DESEMBOLSADOS — depreciación</t>
  </si>
  <si>
    <t xml:space="preserve">c10.fin</t>
  </si>
  <si>
    <t xml:space="preserve">GASTOS FINANCIEROS — intereses, IVA y comisiones</t>
  </si>
  <si>
    <t xml:space="preserve">c10.tot</t>
  </si>
  <si>
    <t xml:space="preserve">TOTAL COSTOS ANUALES</t>
  </si>
  <si>
    <t xml:space="preserve">c10.uni</t>
  </si>
  <si>
    <t xml:space="preserve">Piezas vendidas (todos los productos)</t>
  </si>
  <si>
    <t xml:space="preserve">c10.cpz</t>
  </si>
  <si>
    <t xml:space="preserve">Costo total por pieza vendida</t>
  </si>
  <si>
    <t xml:space="preserve">Detalle de costos fijos por concepto (hoja Costos, sección C)</t>
  </si>
  <si>
    <t xml:space="preserve">c10.fc.1</t>
  </si>
  <si>
    <t xml:space="preserve">c10.fc.2</t>
  </si>
  <si>
    <t xml:space="preserve">c10.fc.3</t>
  </si>
  <si>
    <t xml:space="preserve">c10.fc.4</t>
  </si>
  <si>
    <t xml:space="preserve">c10.fc.5</t>
  </si>
  <si>
    <t xml:space="preserve">c10.fc.6</t>
  </si>
  <si>
    <t xml:space="preserve">c10.fc.7</t>
  </si>
  <si>
    <t xml:space="preserve">c10.fc.8</t>
  </si>
  <si>
    <t xml:space="preserve">c10.fc.9</t>
  </si>
  <si>
    <t xml:space="preserve">c10.fc.10</t>
  </si>
  <si>
    <t xml:space="preserve">c10.fc.11</t>
  </si>
  <si>
    <t xml:space="preserve">c10.fc.12</t>
  </si>
  <si>
    <t xml:space="preserve">c10.fc.13</t>
  </si>
  <si>
    <t xml:space="preserve">c10.fc.14</t>
  </si>
  <si>
    <t xml:space="preserve">c10.fc.15</t>
  </si>
  <si>
    <t xml:space="preserve">c10.fc.16</t>
  </si>
  <si>
    <t xml:space="preserve">c10.fc.17</t>
  </si>
  <si>
    <t xml:space="preserve">c10.fc.18</t>
  </si>
  <si>
    <t xml:space="preserve">c10.fc.19</t>
  </si>
  <si>
    <t xml:space="preserve">c10.fc.20</t>
  </si>
  <si>
    <t xml:space="preserve">c10.fc.21</t>
  </si>
  <si>
    <t xml:space="preserve">c10.fc.22</t>
  </si>
  <si>
    <t xml:space="preserve">c10.fc.23</t>
  </si>
  <si>
    <t xml:space="preserve">c10.fc.24</t>
  </si>
  <si>
    <t xml:space="preserve">c10.fc.25</t>
  </si>
  <si>
    <t xml:space="preserve">c10.fcaj</t>
  </si>
  <si>
    <t xml:space="preserve">Ajuste (detalle mensual, datos reales o TC por año calendario)</t>
  </si>
  <si>
    <t xml:space="preserve">Salarios, prestaciones y alimentación se separan del costo de personal del motor (cargas sociales y alimentación de la hoja Supuestos).</t>
  </si>
  <si>
    <t xml:space="preserve">El modelo clasifica al personal en directo, indirecto de producción y administración (hoja Costos). Los costos fijos incluyen el IVA no recuperable.</t>
  </si>
  <si>
    <t xml:space="preserve">Conceptos de costos fijos 10 a 25 agrupados.</t>
  </si>
  <si>
    <t xml:space="preserve">Cuadro 10b — Costos unitarios por producto</t>
  </si>
  <si>
    <t xml:space="preserve">c10b.tot</t>
  </si>
  <si>
    <t xml:space="preserve">COSTOS TOTALES (cuadro 10a)</t>
  </si>
  <si>
    <t xml:space="preserve">c10b.cdt</t>
  </si>
  <si>
    <t xml:space="preserve">Costo directo (materia prima, insumos, consumibles y flete) de todos los productos</t>
  </si>
  <si>
    <t xml:space="preserve">c10b.ot</t>
  </si>
  <si>
    <t xml:space="preserve">Otros costos a asignar (total − costo directo)</t>
  </si>
  <si>
    <t xml:space="preserve">c10b.cd.1</t>
  </si>
  <si>
    <t xml:space="preserve">c10b.u.1</t>
  </si>
  <si>
    <t xml:space="preserve">   unidades vendidas</t>
  </si>
  <si>
    <t xml:space="preserve">c10b.s.1</t>
  </si>
  <si>
    <t xml:space="preserve">   ventas</t>
  </si>
  <si>
    <t xml:space="preserve">c10b.cdu.1</t>
  </si>
  <si>
    <t xml:space="preserve">   costo directo unitario</t>
  </si>
  <si>
    <t xml:space="preserve">c10b.mbu.1</t>
  </si>
  <si>
    <t xml:space="preserve">   margen bruto unitario (precio − costo directo)</t>
  </si>
  <si>
    <t xml:space="preserve">c10b.mbp.1</t>
  </si>
  <si>
    <t xml:space="preserve">   margen bruto % (s/ precio)</t>
  </si>
  <si>
    <t xml:space="preserve">c10b.oa.1</t>
  </si>
  <si>
    <t xml:space="preserve">   otros costos asignados (proporcional al costo directo)</t>
  </si>
  <si>
    <t xml:space="preserve">c10b.ct.1</t>
  </si>
  <si>
    <t xml:space="preserve">   costo total asignado</t>
  </si>
  <si>
    <t xml:space="preserve">c10b.ctu.1</t>
  </si>
  <si>
    <t xml:space="preserve">   costo total por unidad</t>
  </si>
  <si>
    <t xml:space="preserve">c10b.cd.2</t>
  </si>
  <si>
    <t xml:space="preserve">c10b.u.2</t>
  </si>
  <si>
    <t xml:space="preserve">c10b.s.2</t>
  </si>
  <si>
    <t xml:space="preserve">c10b.cdu.2</t>
  </si>
  <si>
    <t xml:space="preserve">c10b.mbu.2</t>
  </si>
  <si>
    <t xml:space="preserve">c10b.mbp.2</t>
  </si>
  <si>
    <t xml:space="preserve">c10b.oa.2</t>
  </si>
  <si>
    <t xml:space="preserve">c10b.ct.2</t>
  </si>
  <si>
    <t xml:space="preserve">c10b.ctu.2</t>
  </si>
  <si>
    <t xml:space="preserve">c10b.cd.3</t>
  </si>
  <si>
    <t xml:space="preserve">c10b.u.3</t>
  </si>
  <si>
    <t xml:space="preserve">c10b.s.3</t>
  </si>
  <si>
    <t xml:space="preserve">c10b.cdu.3</t>
  </si>
  <si>
    <t xml:space="preserve">c10b.mbu.3</t>
  </si>
  <si>
    <t xml:space="preserve">c10b.mbp.3</t>
  </si>
  <si>
    <t xml:space="preserve">c10b.oa.3</t>
  </si>
  <si>
    <t xml:space="preserve">c10b.ct.3</t>
  </si>
  <si>
    <t xml:space="preserve">c10b.ctu.3</t>
  </si>
  <si>
    <t xml:space="preserve">c10b.cd.4</t>
  </si>
  <si>
    <t xml:space="preserve">c10b.u.4</t>
  </si>
  <si>
    <t xml:space="preserve">c10b.s.4</t>
  </si>
  <si>
    <t xml:space="preserve">c10b.cdu.4</t>
  </si>
  <si>
    <t xml:space="preserve">c10b.mbu.4</t>
  </si>
  <si>
    <t xml:space="preserve">c10b.mbp.4</t>
  </si>
  <si>
    <t xml:space="preserve">c10b.oa.4</t>
  </si>
  <si>
    <t xml:space="preserve">c10b.ct.4</t>
  </si>
  <si>
    <t xml:space="preserve">c10b.ctu.4</t>
  </si>
  <si>
    <t xml:space="preserve">c10b.cd.5</t>
  </si>
  <si>
    <t xml:space="preserve">c10b.u.5</t>
  </si>
  <si>
    <t xml:space="preserve">c10b.s.5</t>
  </si>
  <si>
    <t xml:space="preserve">c10b.cdu.5</t>
  </si>
  <si>
    <t xml:space="preserve">c10b.mbu.5</t>
  </si>
  <si>
    <t xml:space="preserve">c10b.mbp.5</t>
  </si>
  <si>
    <t xml:space="preserve">c10b.oa.5</t>
  </si>
  <si>
    <t xml:space="preserve">c10b.ct.5</t>
  </si>
  <si>
    <t xml:space="preserve">c10b.ctu.5</t>
  </si>
  <si>
    <t xml:space="preserve">c10b.cd.6</t>
  </si>
  <si>
    <t xml:space="preserve">c10b.u.6</t>
  </si>
  <si>
    <t xml:space="preserve">c10b.s.6</t>
  </si>
  <si>
    <t xml:space="preserve">c10b.cdu.6</t>
  </si>
  <si>
    <t xml:space="preserve">c10b.mbu.6</t>
  </si>
  <si>
    <t xml:space="preserve">c10b.mbp.6</t>
  </si>
  <si>
    <t xml:space="preserve">c10b.oa.6</t>
  </si>
  <si>
    <t xml:space="preserve">c10b.ct.6</t>
  </si>
  <si>
    <t xml:space="preserve">c10b.ctu.6</t>
  </si>
  <si>
    <t xml:space="preserve">c10b.cd.7</t>
  </si>
  <si>
    <t xml:space="preserve">c10b.u.7</t>
  </si>
  <si>
    <t xml:space="preserve">c10b.s.7</t>
  </si>
  <si>
    <t xml:space="preserve">c10b.cdu.7</t>
  </si>
  <si>
    <t xml:space="preserve">c10b.mbu.7</t>
  </si>
  <si>
    <t xml:space="preserve">c10b.mbp.7</t>
  </si>
  <si>
    <t xml:space="preserve">c10b.oa.7</t>
  </si>
  <si>
    <t xml:space="preserve">c10b.ct.7</t>
  </si>
  <si>
    <t xml:space="preserve">c10b.ctu.7</t>
  </si>
  <si>
    <t xml:space="preserve">c10b.cd.8</t>
  </si>
  <si>
    <t xml:space="preserve">c10b.u.8</t>
  </si>
  <si>
    <t xml:space="preserve">c10b.s.8</t>
  </si>
  <si>
    <t xml:space="preserve">c10b.cdu.8</t>
  </si>
  <si>
    <t xml:space="preserve">c10b.mbu.8</t>
  </si>
  <si>
    <t xml:space="preserve">c10b.mbp.8</t>
  </si>
  <si>
    <t xml:space="preserve">c10b.oa.8</t>
  </si>
  <si>
    <t xml:space="preserve">c10b.ct.8</t>
  </si>
  <si>
    <t xml:space="preserve">c10b.ctu.8</t>
  </si>
  <si>
    <t xml:space="preserve">c10b.cd.9</t>
  </si>
  <si>
    <t xml:space="preserve">c10b.u.9</t>
  </si>
  <si>
    <t xml:space="preserve">c10b.s.9</t>
  </si>
  <si>
    <t xml:space="preserve">c10b.cdu.9</t>
  </si>
  <si>
    <t xml:space="preserve">c10b.mbu.9</t>
  </si>
  <si>
    <t xml:space="preserve">c10b.mbp.9</t>
  </si>
  <si>
    <t xml:space="preserve">c10b.oa.9</t>
  </si>
  <si>
    <t xml:space="preserve">c10b.ct.9</t>
  </si>
  <si>
    <t xml:space="preserve">c10b.ctu.9</t>
  </si>
  <si>
    <t xml:space="preserve">c10b.cd.10</t>
  </si>
  <si>
    <t xml:space="preserve">c10b.u.10</t>
  </si>
  <si>
    <t xml:space="preserve">c10b.s.10</t>
  </si>
  <si>
    <t xml:space="preserve">c10b.cdu.10</t>
  </si>
  <si>
    <t xml:space="preserve">c10b.mbu.10</t>
  </si>
  <si>
    <t xml:space="preserve">c10b.mbp.10</t>
  </si>
  <si>
    <t xml:space="preserve">c10b.oa.10</t>
  </si>
  <si>
    <t xml:space="preserve">c10b.ct.10</t>
  </si>
  <si>
    <t xml:space="preserve">c10b.ctu.10</t>
  </si>
  <si>
    <t xml:space="preserve">c10b.cd.11</t>
  </si>
  <si>
    <t xml:space="preserve">c10b.u.11</t>
  </si>
  <si>
    <t xml:space="preserve">c10b.s.11</t>
  </si>
  <si>
    <t xml:space="preserve">c10b.cdu.11</t>
  </si>
  <si>
    <t xml:space="preserve">c10b.mbu.11</t>
  </si>
  <si>
    <t xml:space="preserve">c10b.mbp.11</t>
  </si>
  <si>
    <t xml:space="preserve">c10b.oa.11</t>
  </si>
  <si>
    <t xml:space="preserve">c10b.ct.11</t>
  </si>
  <si>
    <t xml:space="preserve">c10b.ctu.11</t>
  </si>
  <si>
    <t xml:space="preserve">c10b.cd.12</t>
  </si>
  <si>
    <t xml:space="preserve">c10b.u.12</t>
  </si>
  <si>
    <t xml:space="preserve">c10b.s.12</t>
  </si>
  <si>
    <t xml:space="preserve">c10b.cdu.12</t>
  </si>
  <si>
    <t xml:space="preserve">c10b.mbu.12</t>
  </si>
  <si>
    <t xml:space="preserve">c10b.mbp.12</t>
  </si>
  <si>
    <t xml:space="preserve">c10b.oa.12</t>
  </si>
  <si>
    <t xml:space="preserve">c10b.ct.12</t>
  </si>
  <si>
    <t xml:space="preserve">c10b.ctu.12</t>
  </si>
  <si>
    <t xml:space="preserve">c10b.cd.13</t>
  </si>
  <si>
    <t xml:space="preserve">c10b.u.13</t>
  </si>
  <si>
    <t xml:space="preserve">c10b.s.13</t>
  </si>
  <si>
    <t xml:space="preserve">c10b.cdu.13</t>
  </si>
  <si>
    <t xml:space="preserve">c10b.mbu.13</t>
  </si>
  <si>
    <t xml:space="preserve">c10b.mbp.13</t>
  </si>
  <si>
    <t xml:space="preserve">c10b.oa.13</t>
  </si>
  <si>
    <t xml:space="preserve">c10b.ct.13</t>
  </si>
  <si>
    <t xml:space="preserve">c10b.ctu.13</t>
  </si>
  <si>
    <t xml:space="preserve">c10b.cd.14</t>
  </si>
  <si>
    <t xml:space="preserve">c10b.u.14</t>
  </si>
  <si>
    <t xml:space="preserve">c10b.s.14</t>
  </si>
  <si>
    <t xml:space="preserve">c10b.cdu.14</t>
  </si>
  <si>
    <t xml:space="preserve">c10b.mbu.14</t>
  </si>
  <si>
    <t xml:space="preserve">c10b.mbp.14</t>
  </si>
  <si>
    <t xml:space="preserve">c10b.oa.14</t>
  </si>
  <si>
    <t xml:space="preserve">c10b.ct.14</t>
  </si>
  <si>
    <t xml:space="preserve">c10b.ctu.14</t>
  </si>
  <si>
    <t xml:space="preserve">c10b.cd.15</t>
  </si>
  <si>
    <t xml:space="preserve">c10b.u.15</t>
  </si>
  <si>
    <t xml:space="preserve">c10b.s.15</t>
  </si>
  <si>
    <t xml:space="preserve">c10b.cdu.15</t>
  </si>
  <si>
    <t xml:space="preserve">c10b.mbu.15</t>
  </si>
  <si>
    <t xml:space="preserve">c10b.mbp.15</t>
  </si>
  <si>
    <t xml:space="preserve">c10b.oa.15</t>
  </si>
  <si>
    <t xml:space="preserve">c10b.ct.15</t>
  </si>
  <si>
    <t xml:space="preserve">c10b.ctu.15</t>
  </si>
  <si>
    <t xml:space="preserve">c10b.cd.16</t>
  </si>
  <si>
    <t xml:space="preserve">c10b.u.16</t>
  </si>
  <si>
    <t xml:space="preserve">c10b.s.16</t>
  </si>
  <si>
    <t xml:space="preserve">c10b.cdu.16</t>
  </si>
  <si>
    <t xml:space="preserve">c10b.mbu.16</t>
  </si>
  <si>
    <t xml:space="preserve">c10b.mbp.16</t>
  </si>
  <si>
    <t xml:space="preserve">c10b.oa.16</t>
  </si>
  <si>
    <t xml:space="preserve">c10b.ct.16</t>
  </si>
  <si>
    <t xml:space="preserve">c10b.ctu.16</t>
  </si>
  <si>
    <t xml:space="preserve">c10b.cd.17</t>
  </si>
  <si>
    <t xml:space="preserve">c10b.u.17</t>
  </si>
  <si>
    <t xml:space="preserve">c10b.s.17</t>
  </si>
  <si>
    <t xml:space="preserve">c10b.cdu.17</t>
  </si>
  <si>
    <t xml:space="preserve">c10b.mbu.17</t>
  </si>
  <si>
    <t xml:space="preserve">c10b.mbp.17</t>
  </si>
  <si>
    <t xml:space="preserve">c10b.oa.17</t>
  </si>
  <si>
    <t xml:space="preserve">c10b.ct.17</t>
  </si>
  <si>
    <t xml:space="preserve">c10b.ctu.17</t>
  </si>
  <si>
    <t xml:space="preserve">c10b.cd.18</t>
  </si>
  <si>
    <t xml:space="preserve">c10b.u.18</t>
  </si>
  <si>
    <t xml:space="preserve">c10b.s.18</t>
  </si>
  <si>
    <t xml:space="preserve">c10b.cdu.18</t>
  </si>
  <si>
    <t xml:space="preserve">c10b.mbu.18</t>
  </si>
  <si>
    <t xml:space="preserve">c10b.mbp.18</t>
  </si>
  <si>
    <t xml:space="preserve">c10b.oa.18</t>
  </si>
  <si>
    <t xml:space="preserve">c10b.ct.18</t>
  </si>
  <si>
    <t xml:space="preserve">c10b.ctu.18</t>
  </si>
  <si>
    <t xml:space="preserve">c10b.cd.19</t>
  </si>
  <si>
    <t xml:space="preserve">c10b.u.19</t>
  </si>
  <si>
    <t xml:space="preserve">c10b.s.19</t>
  </si>
  <si>
    <t xml:space="preserve">c10b.cdu.19</t>
  </si>
  <si>
    <t xml:space="preserve">c10b.mbu.19</t>
  </si>
  <si>
    <t xml:space="preserve">c10b.mbp.19</t>
  </si>
  <si>
    <t xml:space="preserve">c10b.oa.19</t>
  </si>
  <si>
    <t xml:space="preserve">c10b.ct.19</t>
  </si>
  <si>
    <t xml:space="preserve">c10b.ctu.19</t>
  </si>
  <si>
    <t xml:space="preserve">c10b.cd.20</t>
  </si>
  <si>
    <t xml:space="preserve">c10b.u.20</t>
  </si>
  <si>
    <t xml:space="preserve">c10b.s.20</t>
  </si>
  <si>
    <t xml:space="preserve">c10b.cdu.20</t>
  </si>
  <si>
    <t xml:space="preserve">c10b.mbu.20</t>
  </si>
  <si>
    <t xml:space="preserve">c10b.mbp.20</t>
  </si>
  <si>
    <t xml:space="preserve">c10b.oa.20</t>
  </si>
  <si>
    <t xml:space="preserve">c10b.ct.20</t>
  </si>
  <si>
    <t xml:space="preserve">c10b.ctu.20</t>
  </si>
  <si>
    <t xml:space="preserve">c10b.cd.21</t>
  </si>
  <si>
    <t xml:space="preserve">c10b.u.21</t>
  </si>
  <si>
    <t xml:space="preserve">c10b.s.21</t>
  </si>
  <si>
    <t xml:space="preserve">c10b.cdu.21</t>
  </si>
  <si>
    <t xml:space="preserve">c10b.mbu.21</t>
  </si>
  <si>
    <t xml:space="preserve">c10b.mbp.21</t>
  </si>
  <si>
    <t xml:space="preserve">c10b.oa.21</t>
  </si>
  <si>
    <t xml:space="preserve">c10b.ct.21</t>
  </si>
  <si>
    <t xml:space="preserve">c10b.ctu.21</t>
  </si>
  <si>
    <t xml:space="preserve">c10b.cd.22</t>
  </si>
  <si>
    <t xml:space="preserve">c10b.u.22</t>
  </si>
  <si>
    <t xml:space="preserve">c10b.s.22</t>
  </si>
  <si>
    <t xml:space="preserve">c10b.cdu.22</t>
  </si>
  <si>
    <t xml:space="preserve">c10b.mbu.22</t>
  </si>
  <si>
    <t xml:space="preserve">c10b.mbp.22</t>
  </si>
  <si>
    <t xml:space="preserve">c10b.oa.22</t>
  </si>
  <si>
    <t xml:space="preserve">c10b.ct.22</t>
  </si>
  <si>
    <t xml:space="preserve">c10b.ctu.22</t>
  </si>
  <si>
    <t xml:space="preserve">c10b.cd.23</t>
  </si>
  <si>
    <t xml:space="preserve">c10b.u.23</t>
  </si>
  <si>
    <t xml:space="preserve">c10b.s.23</t>
  </si>
  <si>
    <t xml:space="preserve">c10b.cdu.23</t>
  </si>
  <si>
    <t xml:space="preserve">c10b.mbu.23</t>
  </si>
  <si>
    <t xml:space="preserve">c10b.mbp.23</t>
  </si>
  <si>
    <t xml:space="preserve">c10b.oa.23</t>
  </si>
  <si>
    <t xml:space="preserve">c10b.ct.23</t>
  </si>
  <si>
    <t xml:space="preserve">c10b.ctu.23</t>
  </si>
  <si>
    <t xml:space="preserve">c10b.cd.24</t>
  </si>
  <si>
    <t xml:space="preserve">c10b.u.24</t>
  </si>
  <si>
    <t xml:space="preserve">c10b.s.24</t>
  </si>
  <si>
    <t xml:space="preserve">c10b.cdu.24</t>
  </si>
  <si>
    <t xml:space="preserve">c10b.mbu.24</t>
  </si>
  <si>
    <t xml:space="preserve">c10b.mbp.24</t>
  </si>
  <si>
    <t xml:space="preserve">c10b.oa.24</t>
  </si>
  <si>
    <t xml:space="preserve">c10b.ct.24</t>
  </si>
  <si>
    <t xml:space="preserve">c10b.ctu.24</t>
  </si>
  <si>
    <t xml:space="preserve">c10b.cd.25</t>
  </si>
  <si>
    <t xml:space="preserve">c10b.u.25</t>
  </si>
  <si>
    <t xml:space="preserve">c10b.s.25</t>
  </si>
  <si>
    <t xml:space="preserve">c10b.cdu.25</t>
  </si>
  <si>
    <t xml:space="preserve">c10b.mbu.25</t>
  </si>
  <si>
    <t xml:space="preserve">c10b.mbp.25</t>
  </si>
  <si>
    <t xml:space="preserve">c10b.oa.25</t>
  </si>
  <si>
    <t xml:space="preserve">c10b.ct.25</t>
  </si>
  <si>
    <t xml:space="preserve">c10b.ctu.25</t>
  </si>
  <si>
    <t xml:space="preserve">Costo directo por producto con los supuestos anuales. Otros costos asignados en proporción al costo directo (mismo criterio que el plan).</t>
  </si>
  <si>
    <t xml:space="preserve">Margen bruto % = margen ÷ precio. Ver la explicación en el bloque C sobre el porcentaje publicado en el plan.</t>
  </si>
  <si>
    <t xml:space="preserve">Productos 3 a 25 agrupados.</t>
  </si>
  <si>
    <t xml:space="preserve">Cuadros 11 y 12 — Costos por rubros y estructura de costos</t>
  </si>
  <si>
    <t xml:space="preserve">Cuadro 11 — Costos por rubros</t>
  </si>
  <si>
    <t xml:space="preserve">c11.tot</t>
  </si>
  <si>
    <t xml:space="preserve">COSTOS TOTALES</t>
  </si>
  <si>
    <t xml:space="preserve">c11.mo</t>
  </si>
  <si>
    <t xml:space="preserve">Mano de obra y cargas sociales (incluye alimentación)</t>
  </si>
  <si>
    <t xml:space="preserve">c11.mp</t>
  </si>
  <si>
    <t xml:space="preserve">Materia prima, insumos, consumibles y fletes</t>
  </si>
  <si>
    <t xml:space="preserve">c11.ot</t>
  </si>
  <si>
    <t xml:space="preserve">Mantenimiento, servicios, alquiler y otros costos</t>
  </si>
  <si>
    <t xml:space="preserve">c11.imp</t>
  </si>
  <si>
    <t xml:space="preserve">Impuestos, tasas y despachos (tributo de maquila y despachos)</t>
  </si>
  <si>
    <t xml:space="preserve">c11.fin</t>
  </si>
  <si>
    <t xml:space="preserve">Gastos financieros</t>
  </si>
  <si>
    <t xml:space="preserve">c11.dep</t>
  </si>
  <si>
    <t xml:space="preserve">Gastos no desembolsados (depreciación)</t>
  </si>
  <si>
    <t xml:space="preserve">c11.aj</t>
  </si>
  <si>
    <t xml:space="preserve">Ajuste por datos reales (total del motor − suma de rubros)</t>
  </si>
  <si>
    <t xml:space="preserve">Cuadro 12 — Estructura de costos (% del costo total)</t>
  </si>
  <si>
    <t xml:space="preserve">c12.tot</t>
  </si>
  <si>
    <t xml:space="preserve">c12.mo</t>
  </si>
  <si>
    <t xml:space="preserve">c12.mp</t>
  </si>
  <si>
    <t xml:space="preserve">c12.ot</t>
  </si>
  <si>
    <t xml:space="preserve">c12.imp</t>
  </si>
  <si>
    <t xml:space="preserve">c12.fin</t>
  </si>
  <si>
    <t xml:space="preserve">c12.dep</t>
  </si>
  <si>
    <t xml:space="preserve">Rubros agrupados para que la comparación sea exacta: el plan separa «reparación y mantenimiento», «electricidad, combustibles y servicios» y «otros costos»; aquí se comparan juntos.</t>
  </si>
  <si>
    <t xml:space="preserve">Cuadros 13 y 14 — Servicio de la deuda y cálculo del IVA</t>
  </si>
  <si>
    <t xml:space="preserve">Cuadro 13 — Servicio de la deuda (préstamos)</t>
  </si>
  <si>
    <t xml:space="preserve">c13.des</t>
  </si>
  <si>
    <t xml:space="preserve">Préstamos: desembolsos</t>
  </si>
  <si>
    <t xml:space="preserve">c13.sa</t>
  </si>
  <si>
    <t xml:space="preserve">Saldo antes de amortización</t>
  </si>
  <si>
    <t xml:space="preserve">c13.am</t>
  </si>
  <si>
    <t xml:space="preserve">Amortizaciones (cuotas de capital)</t>
  </si>
  <si>
    <t xml:space="preserve">c13.sal</t>
  </si>
  <si>
    <t xml:space="preserve">Saldo después de amortización</t>
  </si>
  <si>
    <t xml:space="preserve">c13.int</t>
  </si>
  <si>
    <t xml:space="preserve">Intereses (sin IVA)</t>
  </si>
  <si>
    <t xml:space="preserve">c13.iva</t>
  </si>
  <si>
    <t xml:space="preserve">c13.fin</t>
  </si>
  <si>
    <t xml:space="preserve">Total gastos financieros</t>
  </si>
  <si>
    <t xml:space="preserve">c13.ds</t>
  </si>
  <si>
    <t xml:space="preserve">Servicio de la deuda (amortización + gastos financieros)</t>
  </si>
  <si>
    <t xml:space="preserve">Línea de crédito rotativa</t>
  </si>
  <si>
    <t xml:space="preserve">c13.lcd</t>
  </si>
  <si>
    <t xml:space="preserve">Uso de la línea</t>
  </si>
  <si>
    <t xml:space="preserve">c13.lcr</t>
  </si>
  <si>
    <t xml:space="preserve">Devolución de la línea</t>
  </si>
  <si>
    <t xml:space="preserve">c13.lcs</t>
  </si>
  <si>
    <t xml:space="preserve">Saldo de la línea al cierre</t>
  </si>
  <si>
    <t xml:space="preserve">Detalle por préstamo</t>
  </si>
  <si>
    <t xml:space="preserve">c13.l1d</t>
  </si>
  <si>
    <t xml:space="preserve">c13.l1i</t>
  </si>
  <si>
    <t xml:space="preserve">Préstamo 1: interés (sin IVA)</t>
  </si>
  <si>
    <t xml:space="preserve">c13.l1a</t>
  </si>
  <si>
    <t xml:space="preserve">c13.l1s</t>
  </si>
  <si>
    <t xml:space="preserve">Préstamo 1: saldo al cierre</t>
  </si>
  <si>
    <t xml:space="preserve">c13.l2d</t>
  </si>
  <si>
    <t xml:space="preserve">c13.l2i</t>
  </si>
  <si>
    <t xml:space="preserve">Préstamo 2: interés (sin IVA)</t>
  </si>
  <si>
    <t xml:space="preserve">c13.l2a</t>
  </si>
  <si>
    <t xml:space="preserve">c13.l2s</t>
  </si>
  <si>
    <t xml:space="preserve">Préstamo 2: saldo al cierre</t>
  </si>
  <si>
    <t xml:space="preserve">c13.l3d</t>
  </si>
  <si>
    <t xml:space="preserve">c13.l3i</t>
  </si>
  <si>
    <t xml:space="preserve">Préstamo 3: interés (sin IVA)</t>
  </si>
  <si>
    <t xml:space="preserve">c13.l3a</t>
  </si>
  <si>
    <t xml:space="preserve">c13.l3s</t>
  </si>
  <si>
    <t xml:space="preserve">Préstamo 3: saldo al cierre</t>
  </si>
  <si>
    <t xml:space="preserve">Cuadro 14 — Cálculo del IVA</t>
  </si>
  <si>
    <t xml:space="preserve">c14.deb</t>
  </si>
  <si>
    <t xml:space="preserve">IVA débito por ventas (exportación de maquila: 0)</t>
  </si>
  <si>
    <t xml:space="preserve">c14.cf</t>
  </si>
  <si>
    <t xml:space="preserve">IVA contenido en costos fijos gravados</t>
  </si>
  <si>
    <t xml:space="preserve">c14.rec</t>
  </si>
  <si>
    <t xml:space="preserve">IVA recuperable aplicado (reduce costos)</t>
  </si>
  <si>
    <t xml:space="preserve">c14.sal</t>
  </si>
  <si>
    <t xml:space="preserve">Saldo de crédito fiscal al cierre</t>
  </si>
  <si>
    <t xml:space="preserve">c14.int</t>
  </si>
  <si>
    <t xml:space="preserve">IVA sobre intereses (se registra como costo financiero)</t>
  </si>
  <si>
    <t xml:space="preserve">Cronograma mensual (sistema francés) sumado por año de operación. El año 0 solo tiene datos si hay meses de implantación.</t>
  </si>
  <si>
    <t xml:space="preserve">Cuadro 15 — Resultados operacionales proyectados</t>
  </si>
  <si>
    <t xml:space="preserve">c15.vtas</t>
  </si>
  <si>
    <t xml:space="preserve">Ingresos netos</t>
  </si>
  <si>
    <t xml:space="preserve">c15.prod</t>
  </si>
  <si>
    <t xml:space="preserve">Costos de producción</t>
  </si>
  <si>
    <t xml:space="preserve">c15.adm</t>
  </si>
  <si>
    <t xml:space="preserve">Gastos de administración y ventas (neto de IVA recuperable)</t>
  </si>
  <si>
    <t xml:space="preserve">c15.ebitda</t>
  </si>
  <si>
    <t xml:space="preserve">FONDOS GENERADOS EN OPERACIONES — EBITDA</t>
  </si>
  <si>
    <t xml:space="preserve">c15.dep</t>
  </si>
  <si>
    <t xml:space="preserve">c15.fin</t>
  </si>
  <si>
    <t xml:space="preserve">c15.uai</t>
  </si>
  <si>
    <t xml:space="preserve">UTILIDAD ANTES DEL IMPUESTO A LA RENTA</t>
  </si>
  <si>
    <t xml:space="preserve">c15.ire</t>
  </si>
  <si>
    <t xml:space="preserve">Impuesto a la renta — IRE</t>
  </si>
  <si>
    <t xml:space="preserve">c15.ni</t>
  </si>
  <si>
    <t xml:space="preserve">UTILIDAD DESPUÉS DE IMPUESTO</t>
  </si>
  <si>
    <t xml:space="preserve">c15.dec</t>
  </si>
  <si>
    <t xml:space="preserve">Dividendos sobre la utilidad del año (política × utilidad)</t>
  </si>
  <si>
    <t xml:space="preserve">c15.ret</t>
  </si>
  <si>
    <t xml:space="preserve">Retención anual de utilidades</t>
  </si>
  <si>
    <t xml:space="preserve">c15.div</t>
  </si>
  <si>
    <t xml:space="preserve">Dividendos pagados en el año (resultado del año anterior, con caja disponible)</t>
  </si>
  <si>
    <t xml:space="preserve">c15.mn</t>
  </si>
  <si>
    <t xml:space="preserve">Utilidad neta sobre ventas</t>
  </si>
  <si>
    <t xml:space="preserve">c15.pol</t>
  </si>
  <si>
    <t xml:space="preserve">Política de dividendos (% de la utilidad del año)</t>
  </si>
  <si>
    <t xml:space="preserve">Costos de producción incluyen el tributo de maquila (como el plan). El modelo calcula la política de dividendos por año del modelo; los paga en el año siguiente, en el mes definido en Supuestos, solo si hay caja sobre el mínimo.</t>
  </si>
  <si>
    <t xml:space="preserve">Cuadro 16 — Capital de trabajo (saldos al cierre de cada año)</t>
  </si>
  <si>
    <t xml:space="preserve">c16.bruto</t>
  </si>
  <si>
    <t xml:space="preserve">CAPITAL DE TRABAJO BRUTO (activo corriente operativo)</t>
  </si>
  <si>
    <t xml:space="preserve">c16.caja</t>
  </si>
  <si>
    <t xml:space="preserve">Caja y bancos (caja mínima operativa; en el modelo no forma parte del capital de trabajo)</t>
  </si>
  <si>
    <t xml:space="preserve">c16.sue</t>
  </si>
  <si>
    <t xml:space="preserve">Sueldos y anticipos (no incluido en el modelo)</t>
  </si>
  <si>
    <t xml:space="preserve">c16.stk</t>
  </si>
  <si>
    <t xml:space="preserve">Stock de materiales y reservas</t>
  </si>
  <si>
    <t xml:space="preserve">c16.pt</t>
  </si>
  <si>
    <t xml:space="preserve">Productos terminados</t>
  </si>
  <si>
    <t xml:space="preserve">c16.cxc</t>
  </si>
  <si>
    <t xml:space="preserve">Ventas a crédito (cuentas por cobrar)</t>
  </si>
  <si>
    <t xml:space="preserve">c16.iva</t>
  </si>
  <si>
    <t xml:space="preserve">c16.pas</t>
  </si>
  <si>
    <t xml:space="preserve">PASIVO CORRIENTE (proveedores)</t>
  </si>
  <si>
    <t xml:space="preserve">c16.pmp</t>
  </si>
  <si>
    <t xml:space="preserve">Créditos de proveedores de materia prima</t>
  </si>
  <si>
    <t xml:space="preserve">c16.pot</t>
  </si>
  <si>
    <t xml:space="preserve">Créditos de proveedores menores y otros</t>
  </si>
  <si>
    <t xml:space="preserve">c16.ctn</t>
  </si>
  <si>
    <t xml:space="preserve">c16.var</t>
  </si>
  <si>
    <t xml:space="preserve">Variación del capital de trabajo en el año (necesidad de financiamiento)</t>
  </si>
  <si>
    <t xml:space="preserve">La columna «Unidad» muestra los días aplicados (versión seleccionada). Saldos al último mes de cada año de operación.</t>
  </si>
  <si>
    <t xml:space="preserve">Stock de materiales = materiales del último mes × días de inventario; producto terminado = inventario total − stock de materiales.</t>
  </si>
  <si>
    <t xml:space="preserve">Cuadro 17 — Punto de equilibrio</t>
  </si>
  <si>
    <t xml:space="preserve">c17.vtas</t>
  </si>
  <si>
    <t xml:space="preserve">c17.tot</t>
  </si>
  <si>
    <t xml:space="preserve">c17.var</t>
  </si>
  <si>
    <t xml:space="preserve">COSTOS VARIABLES</t>
  </si>
  <si>
    <t xml:space="preserve">c17.vmp</t>
  </si>
  <si>
    <t xml:space="preserve">c17.vdesp</t>
  </si>
  <si>
    <t xml:space="preserve">c17.vpkg</t>
  </si>
  <si>
    <t xml:space="preserve">c17.vvs</t>
  </si>
  <si>
    <t xml:space="preserve">c17.vtrib</t>
  </si>
  <si>
    <t xml:space="preserve">c17.vimp</t>
  </si>
  <si>
    <t xml:space="preserve">c17.fij</t>
  </si>
  <si>
    <t xml:space="preserve">COSTOS FIJOS (total − variables)</t>
  </si>
  <si>
    <t xml:space="preserve">c17.fper</t>
  </si>
  <si>
    <t xml:space="preserve">Personal de producción y administración (salarios, cargas y alimentación)</t>
  </si>
  <si>
    <t xml:space="preserve">c17.ffij</t>
  </si>
  <si>
    <t xml:space="preserve">Costos fijos de producción y administración, e imprevistos de administración (neto de IVA recuperable)</t>
  </si>
  <si>
    <t xml:space="preserve">c17.ffin</t>
  </si>
  <si>
    <t xml:space="preserve">c17.fdep</t>
  </si>
  <si>
    <t xml:space="preserve">c17.faj</t>
  </si>
  <si>
    <t xml:space="preserve">Ajuste por datos reales</t>
  </si>
  <si>
    <t xml:space="preserve">c17.mc</t>
  </si>
  <si>
    <t xml:space="preserve">Margen de contribución (ingresos − variables)</t>
  </si>
  <si>
    <t xml:space="preserve">c17.mcp</t>
  </si>
  <si>
    <t xml:space="preserve">Margen de contribución %</t>
  </si>
  <si>
    <t xml:space="preserve">c17.pev</t>
  </si>
  <si>
    <t xml:space="preserve">PUNTO DE EQUILIBRIO en ventas</t>
  </si>
  <si>
    <t xml:space="preserve">c17.uni</t>
  </si>
  <si>
    <t xml:space="preserve">Unidades vendidas (todos los productos)</t>
  </si>
  <si>
    <t xml:space="preserve">c17.peu</t>
  </si>
  <si>
    <t xml:space="preserve">PUNTO DE EQUILIBRIO en unidades (mezcla de productos del año)</t>
  </si>
  <si>
    <t xml:space="preserve">c17.ms</t>
  </si>
  <si>
    <t xml:space="preserve">Margen de seguridad (ventas sobre el equilibrio)</t>
  </si>
  <si>
    <t xml:space="preserve">Punto de equilibrio en ventas = costos fijos ÷ margen de contribución %. En unidades, con la mezcla de productos de cada año.</t>
  </si>
  <si>
    <t xml:space="preserve">Variables: materiales, fletes, despachos, packaging, seguros de venta, tributo e imprevistos de producción. Fijos: personal, costos fijos, financieros y depreciación.</t>
  </si>
  <si>
    <t xml:space="preserve">Cuadro 18 — Origen y aplicación de fondos</t>
  </si>
  <si>
    <t xml:space="preserve">Fuentes</t>
  </si>
  <si>
    <t xml:space="preserve">c18.fue</t>
  </si>
  <si>
    <t xml:space="preserve">TOTAL DE FUENTES</t>
  </si>
  <si>
    <t xml:space="preserve">c18.ebitda</t>
  </si>
  <si>
    <t xml:space="preserve">Fondos generados en operaciones (EBITDA)</t>
  </si>
  <si>
    <t xml:space="preserve">c18.sant</t>
  </si>
  <si>
    <t xml:space="preserve">Saldo de caja del año anterior</t>
  </si>
  <si>
    <t xml:space="preserve">c18.prest</t>
  </si>
  <si>
    <t xml:space="preserve">Préstamos bancarios</t>
  </si>
  <si>
    <t xml:space="preserve">c18.lcd</t>
  </si>
  <si>
    <t xml:space="preserve">Línea de crédito rotativa: usos</t>
  </si>
  <si>
    <t xml:space="preserve">c18.ap</t>
  </si>
  <si>
    <t xml:space="preserve">Usos</t>
  </si>
  <si>
    <t xml:space="preserve">c18.uso</t>
  </si>
  <si>
    <t xml:space="preserve">TOTAL DE USOS</t>
  </si>
  <si>
    <t xml:space="preserve">c18.inv</t>
  </si>
  <si>
    <t xml:space="preserve">Inversiones fijas</t>
  </si>
  <si>
    <t xml:space="preserve">c18.ct</t>
  </si>
  <si>
    <t xml:space="preserve">Necesidad de capital de trabajo (variación)</t>
  </si>
  <si>
    <t xml:space="preserve">c18.am</t>
  </si>
  <si>
    <t xml:space="preserve">Amortización de créditos</t>
  </si>
  <si>
    <t xml:space="preserve">c18.lcr</t>
  </si>
  <si>
    <t xml:space="preserve">Línea de crédito rotativa: devoluciones</t>
  </si>
  <si>
    <t xml:space="preserve">c18.fin</t>
  </si>
  <si>
    <t xml:space="preserve">c18.ire</t>
  </si>
  <si>
    <t xml:space="preserve">c18.div</t>
  </si>
  <si>
    <t xml:space="preserve">Dividendos</t>
  </si>
  <si>
    <t xml:space="preserve">Saldo</t>
  </si>
  <si>
    <t xml:space="preserve">c18.aj</t>
  </si>
  <si>
    <t xml:space="preserve">Ajuste de conciliación con la caja real (solo con reales)</t>
  </si>
  <si>
    <t xml:space="preserve">c18.sal</t>
  </si>
  <si>
    <t xml:space="preserve">SALDO ANUAL — caja al cierre</t>
  </si>
  <si>
    <t xml:space="preserve">c18.chk</t>
  </si>
  <si>
    <t xml:space="preserve">Control: saldo − caja del motor (0 = OK)</t>
  </si>
  <si>
    <t xml:space="preserve">Fuentes − usos = caja al cierre del año. La fila de control debe ser 0 en todos los años.</t>
  </si>
  <si>
    <t xml:space="preserve">Cuadro 19 — Cálculo de VAN, TIR y payback</t>
  </si>
  <si>
    <t xml:space="preserve">A. Flujo del proyecto (FCFF, sin financiamiento) — criterio del modelo</t>
  </si>
  <si>
    <t xml:space="preserve">c19.ebitda</t>
  </si>
  <si>
    <t xml:space="preserve">c19.ire</t>
  </si>
  <si>
    <t xml:space="preserve">(−) Impuesto a la renta</t>
  </si>
  <si>
    <t xml:space="preserve">c19.dct</t>
  </si>
  <si>
    <t xml:space="preserve">(−) Formación de capital de trabajo</t>
  </si>
  <si>
    <t xml:space="preserve">c19.capex</t>
  </si>
  <si>
    <t xml:space="preserve">(−) Inversiones</t>
  </si>
  <si>
    <t xml:space="preserve">c19.vt</t>
  </si>
  <si>
    <t xml:space="preserve">(+) Valor residual: capital de trabajo y activo fijo realizables</t>
  </si>
  <si>
    <t xml:space="preserve">c19.fcff</t>
  </si>
  <si>
    <t xml:space="preserve">c19.fcffd</t>
  </si>
  <si>
    <t xml:space="preserve">FCFF descontado al WACC (mensual)</t>
  </si>
  <si>
    <t xml:space="preserve">c19.acp</t>
  </si>
  <si>
    <t xml:space="preserve">FCFF descontado acumulado</t>
  </si>
  <si>
    <t xml:space="preserve">B. Flujo de los socios — criterio del modelo</t>
  </si>
  <si>
    <t xml:space="preserve">c19.eq</t>
  </si>
  <si>
    <t xml:space="preserve">Flujo de los socios (− aportes − cobertura de caja negativa + dividendos + valor final)</t>
  </si>
  <si>
    <t xml:space="preserve">c19.eqd</t>
  </si>
  <si>
    <t xml:space="preserve">Flujo de los socios descontado al Ke (mensual)</t>
  </si>
  <si>
    <t xml:space="preserve">c19.ace</t>
  </si>
  <si>
    <t xml:space="preserve">Flujo de los socios descontado acumulado</t>
  </si>
  <si>
    <t xml:space="preserve">C. Flujo de beneficios netos — método del plan (cuadro 19), calculado con las cifras del modelo</t>
  </si>
  <si>
    <t xml:space="preserve">c19.p_ing</t>
  </si>
  <si>
    <t xml:space="preserve">INGRESOS TOTALES (EBITDA + valor residual)</t>
  </si>
  <si>
    <t xml:space="preserve">c19.p_inv</t>
  </si>
  <si>
    <t xml:space="preserve">Inversiones</t>
  </si>
  <si>
    <t xml:space="preserve">c19.p_ct</t>
  </si>
  <si>
    <t xml:space="preserve">Formación de capital operativo</t>
  </si>
  <si>
    <t xml:space="preserve">c19.p_am</t>
  </si>
  <si>
    <t xml:space="preserve">c19.p_fin</t>
  </si>
  <si>
    <t xml:space="preserve">c19.p_ire</t>
  </si>
  <si>
    <t xml:space="preserve">c19.p_egr</t>
  </si>
  <si>
    <t xml:space="preserve">EGRESOS TOTALES</t>
  </si>
  <si>
    <t xml:space="preserve">c19.p_flu</t>
  </si>
  <si>
    <t xml:space="preserve">FLUJO DE BENEFICIOS NETOS</t>
  </si>
  <si>
    <t xml:space="preserve">c19.p_fac</t>
  </si>
  <si>
    <t xml:space="preserve">Factor de descuento anual al WACC</t>
  </si>
  <si>
    <t xml:space="preserve">c19.p_act</t>
  </si>
  <si>
    <t xml:space="preserve">Flujo actualizado</t>
  </si>
  <si>
    <t xml:space="preserve">c19.p_acu</t>
  </si>
  <si>
    <t xml:space="preserve">Saldo acumulado actualizado</t>
  </si>
  <si>
    <t xml:space="preserve">c19.yr</t>
  </si>
  <si>
    <t xml:space="preserve">A y B: criterio del modelo (flujos mensuales descontados). C: el mismo flujo anual que usa el plan, recalculado con las cifras del modelo, para separar la diferencia de cifras de la diferencia de método.</t>
  </si>
  <si>
    <t xml:space="preserve">El método del plan descuenta los pagos de la deuda pero no suma el desembolso del préstamo: mezcla el flujo del proyecto y el del accionista.</t>
  </si>
  <si>
    <t xml:space="preserve">D. Indicadores: modelo frente al plan publicado</t>
  </si>
  <si>
    <t xml:space="preserve">Plan</t>
  </si>
  <si>
    <t xml:space="preserve">VAN — método del plan (flujo de beneficios netos al WACC); plan: VAN publicado</t>
  </si>
  <si>
    <t xml:space="preserve">VAN — método del plan; plan: recalculado con los flujos publicados (bloque B)</t>
  </si>
  <si>
    <t xml:space="preserve">TIR — método del plan; plan: TIR publicada</t>
  </si>
  <si>
    <t xml:space="preserve">TIR — método del plan; plan: recalculada con los flujos publicados</t>
  </si>
  <si>
    <t xml:space="preserve">Payback — método del plan (año en que el acumulado actualizado es positivo)</t>
  </si>
  <si>
    <t xml:space="preserve">VAN del proyecto — FCFF al WACC (criterio del modelo)</t>
  </si>
  <si>
    <t xml:space="preserve">TIR del proyecto (criterio del modelo)</t>
  </si>
  <si>
    <t xml:space="preserve">Recupero del proyecto en años (FCFF sin descontar, criterio del modelo)</t>
  </si>
  <si>
    <t xml:space="preserve">VAN de los socios — al Ke (criterio del modelo)</t>
  </si>
  <si>
    <t xml:space="preserve">TIR de los socios (criterio del modelo)</t>
  </si>
  <si>
    <t xml:space="preserve">E. Ponderación de la tasa de corte (costo de oportunidad)</t>
  </si>
  <si>
    <t xml:space="preserve">Fuente de capital</t>
  </si>
  <si>
    <t xml:space="preserve">USD (modelo)</t>
  </si>
  <si>
    <t xml:space="preserve">Participación</t>
  </si>
  <si>
    <t xml:space="preserve">Costo</t>
  </si>
  <si>
    <t xml:space="preserve">Tasa ponderada</t>
  </si>
  <si>
    <t xml:space="preserve">Aportes de socios (total del horizonte)</t>
  </si>
  <si>
    <t xml:space="preserve">Préstamos (total desembolsado)</t>
  </si>
  <si>
    <t xml:space="preserve">Total — tasa ponderada con la estructura de fondos del modelo</t>
  </si>
  <si>
    <t xml:space="preserve">Tasa de descuento usada en el modelo (Supuestos: WACC)</t>
  </si>
  <si>
    <t xml:space="preserve">El plan pondera solo el aporte inicial (200.000) y el préstamo; con todos los aportes previstos (1.139.710) la tasa ponderada sube. Ke y la tasa del préstamo son de 2025: actualizar.</t>
  </si>
  <si>
    <t xml:space="preserve">Cuadro 20 — Depreciación de activo fijo y valor residual</t>
  </si>
  <si>
    <t xml:space="preserve">c20.i.1</t>
  </si>
  <si>
    <t xml:space="preserve">c20.i.2</t>
  </si>
  <si>
    <t xml:space="preserve">c20.i.3</t>
  </si>
  <si>
    <t xml:space="preserve">c20.i.4</t>
  </si>
  <si>
    <t xml:space="preserve">c20.i.5</t>
  </si>
  <si>
    <t xml:space="preserve">c20.i.6</t>
  </si>
  <si>
    <t xml:space="preserve">c20.i.7</t>
  </si>
  <si>
    <t xml:space="preserve">c20.i.8</t>
  </si>
  <si>
    <t xml:space="preserve">c20.i.9</t>
  </si>
  <si>
    <t xml:space="preserve">c20.i.10</t>
  </si>
  <si>
    <t xml:space="preserve">c20.i.11</t>
  </si>
  <si>
    <t xml:space="preserve">c20.i.12</t>
  </si>
  <si>
    <t xml:space="preserve">c20.i.13</t>
  </si>
  <si>
    <t xml:space="preserve">c20.i.14</t>
  </si>
  <si>
    <t xml:space="preserve">c20.i.15</t>
  </si>
  <si>
    <t xml:space="preserve">c20.i.16</t>
  </si>
  <si>
    <t xml:space="preserve">c20.i.17</t>
  </si>
  <si>
    <t xml:space="preserve">c20.i.18</t>
  </si>
  <si>
    <t xml:space="preserve">c20.i.19</t>
  </si>
  <si>
    <t xml:space="preserve">c20.i.20</t>
  </si>
  <si>
    <t xml:space="preserve">Por rubro (como el plan)</t>
  </si>
  <si>
    <t xml:space="preserve">c20.maq</t>
  </si>
  <si>
    <t xml:space="preserve">Maquinarias y equipos (incluye despacho)</t>
  </si>
  <si>
    <t xml:space="preserve">c20.inf</t>
  </si>
  <si>
    <t xml:space="preserve">c20.otr</t>
  </si>
  <si>
    <t xml:space="preserve">c20.tot</t>
  </si>
  <si>
    <t xml:space="preserve">TOTAL DEPRECIACIÓN</t>
  </si>
  <si>
    <t xml:space="preserve">c20.eng</t>
  </si>
  <si>
    <t xml:space="preserve">Depreciación del motor (hoja Calculo)</t>
  </si>
  <si>
    <t xml:space="preserve">c20.aj</t>
  </si>
  <si>
    <t xml:space="preserve">Ajuste (inversión ejecutada en meses reales)</t>
  </si>
  <si>
    <t xml:space="preserve">c20.af</t>
  </si>
  <si>
    <t xml:space="preserve">Activo fijo neto al cierre (valor residual contable)</t>
  </si>
  <si>
    <t xml:space="preserve">Depreciación lineal desde el mes de puesta en servicio, según la vida útil de cada ítem (hoja Inversion). Rubro = clase del ítem.</t>
  </si>
  <si>
    <t xml:space="preserve">Recursos humanos involucrados en el proyecto</t>
  </si>
  <si>
    <t xml:space="preserve">A. Dotación por puesto (personas; supuestos anuales de la hoja Costos)</t>
  </si>
  <si>
    <t xml:space="preserve">rh.d.1</t>
  </si>
  <si>
    <t xml:space="preserve">rh.d.2</t>
  </si>
  <si>
    <t xml:space="preserve">rh.d.3</t>
  </si>
  <si>
    <t xml:space="preserve">rh.d.4</t>
  </si>
  <si>
    <t xml:space="preserve">rh.d.5</t>
  </si>
  <si>
    <t xml:space="preserve">rh.d.6</t>
  </si>
  <si>
    <t xml:space="preserve">rh.d.7</t>
  </si>
  <si>
    <t xml:space="preserve">rh.d.8</t>
  </si>
  <si>
    <t xml:space="preserve">rh.d.9</t>
  </si>
  <si>
    <t xml:space="preserve">rh.d.10</t>
  </si>
  <si>
    <t xml:space="preserve">rh.d.11</t>
  </si>
  <si>
    <t xml:space="preserve">rh.d.12</t>
  </si>
  <si>
    <t xml:space="preserve">rh.d.13</t>
  </si>
  <si>
    <t xml:space="preserve">rh.d.14</t>
  </si>
  <si>
    <t xml:space="preserve">rh.d.15</t>
  </si>
  <si>
    <t xml:space="preserve">rh.d.16</t>
  </si>
  <si>
    <t xml:space="preserve">rh.d.17</t>
  </si>
  <si>
    <t xml:space="preserve">rh.d.18</t>
  </si>
  <si>
    <t xml:space="preserve">rh.d.19</t>
  </si>
  <si>
    <t xml:space="preserve">rh.d.20</t>
  </si>
  <si>
    <t xml:space="preserve">rh.d.21</t>
  </si>
  <si>
    <t xml:space="preserve">rh.d.22</t>
  </si>
  <si>
    <t xml:space="preserve">rh.d.23</t>
  </si>
  <si>
    <t xml:space="preserve">rh.d.24</t>
  </si>
  <si>
    <t xml:space="preserve">rh.d.25</t>
  </si>
  <si>
    <t xml:space="preserve">rh.d.26</t>
  </si>
  <si>
    <t xml:space="preserve">rh.d.27</t>
  </si>
  <si>
    <t xml:space="preserve">rh.d.28</t>
  </si>
  <si>
    <t xml:space="preserve">rh.d.29</t>
  </si>
  <si>
    <t xml:space="preserve">rh.d.30</t>
  </si>
  <si>
    <t xml:space="preserve">B. Costo anual base por puesto (salario × 12 × dotación ÷ TC; sin cargas ni alimentación)</t>
  </si>
  <si>
    <t xml:space="preserve">rh.c.1</t>
  </si>
  <si>
    <t xml:space="preserve">rh.c.2</t>
  </si>
  <si>
    <t xml:space="preserve">rh.c.3</t>
  </si>
  <si>
    <t xml:space="preserve">rh.c.4</t>
  </si>
  <si>
    <t xml:space="preserve">rh.c.5</t>
  </si>
  <si>
    <t xml:space="preserve">rh.c.6</t>
  </si>
  <si>
    <t xml:space="preserve">rh.c.7</t>
  </si>
  <si>
    <t xml:space="preserve">rh.c.8</t>
  </si>
  <si>
    <t xml:space="preserve">rh.c.9</t>
  </si>
  <si>
    <t xml:space="preserve">rh.c.10</t>
  </si>
  <si>
    <t xml:space="preserve">rh.c.11</t>
  </si>
  <si>
    <t xml:space="preserve">rh.c.12</t>
  </si>
  <si>
    <t xml:space="preserve">rh.c.13</t>
  </si>
  <si>
    <t xml:space="preserve">rh.c.14</t>
  </si>
  <si>
    <t xml:space="preserve">rh.c.15</t>
  </si>
  <si>
    <t xml:space="preserve">rh.c.16</t>
  </si>
  <si>
    <t xml:space="preserve">rh.c.17</t>
  </si>
  <si>
    <t xml:space="preserve">rh.c.18</t>
  </si>
  <si>
    <t xml:space="preserve">rh.c.19</t>
  </si>
  <si>
    <t xml:space="preserve">rh.c.20</t>
  </si>
  <si>
    <t xml:space="preserve">rh.c.21</t>
  </si>
  <si>
    <t xml:space="preserve">rh.c.22</t>
  </si>
  <si>
    <t xml:space="preserve">rh.c.23</t>
  </si>
  <si>
    <t xml:space="preserve">rh.c.24</t>
  </si>
  <si>
    <t xml:space="preserve">rh.c.25</t>
  </si>
  <si>
    <t xml:space="preserve">rh.c.26</t>
  </si>
  <si>
    <t xml:space="preserve">rh.c.27</t>
  </si>
  <si>
    <t xml:space="preserve">rh.c.28</t>
  </si>
  <si>
    <t xml:space="preserve">rh.c.29</t>
  </si>
  <si>
    <t xml:space="preserve">rh.c.30</t>
  </si>
  <si>
    <t xml:space="preserve">C. Totales por clase (motor: incluye detalle mensual y datos reales)</t>
  </si>
  <si>
    <t xml:space="preserve">rh.ndir</t>
  </si>
  <si>
    <t xml:space="preserve">Personal directo (personas, promedio del año)</t>
  </si>
  <si>
    <t xml:space="preserve">rh.nind</t>
  </si>
  <si>
    <t xml:space="preserve">Personal indirecto de producción</t>
  </si>
  <si>
    <t xml:space="preserve">rh.nadm</t>
  </si>
  <si>
    <t xml:space="preserve">Personal de administración</t>
  </si>
  <si>
    <t xml:space="preserve">rh.nia</t>
  </si>
  <si>
    <t xml:space="preserve">Indirectos y administración (como el plan)</t>
  </si>
  <si>
    <t xml:space="preserve">rh.ntot</t>
  </si>
  <si>
    <t xml:space="preserve">TOTAL DE PERSONAS</t>
  </si>
  <si>
    <t xml:space="preserve">rh.cdir</t>
  </si>
  <si>
    <t xml:space="preserve">Salarios del personal directo</t>
  </si>
  <si>
    <t xml:space="preserve">rh.cind</t>
  </si>
  <si>
    <t xml:space="preserve">Salarios del personal indirecto de producción</t>
  </si>
  <si>
    <t xml:space="preserve">rh.cadm</t>
  </si>
  <si>
    <t xml:space="preserve">Salarios del personal de administración</t>
  </si>
  <si>
    <t xml:space="preserve">rh.cia</t>
  </si>
  <si>
    <t xml:space="preserve">Salarios de indirectos y administración (como el plan)</t>
  </si>
  <si>
    <t xml:space="preserve">rh.ctot</t>
  </si>
  <si>
    <t xml:space="preserve">TOTAL SALARIOS (costo base anual)</t>
  </si>
  <si>
    <t xml:space="preserve">rh.car</t>
  </si>
  <si>
    <t xml:space="preserve">rh.ali</t>
  </si>
  <si>
    <t xml:space="preserve">Alimentación</t>
  </si>
  <si>
    <t xml:space="preserve">rh.tot</t>
  </si>
  <si>
    <t xml:space="preserve">COSTO TOTAL DE PERSONAL</t>
  </si>
  <si>
    <t xml:space="preserve">A y B: por puesto, con los supuestos anuales. C: totales del motor (pueden diferir de B si se cargó detalle mensual o datos reales).</t>
  </si>
  <si>
    <t xml:space="preserve">Puestos 27 a 30 agrupados. Salarios en Gs convertidos con el TC de cada año.</t>
  </si>
  <si>
    <t xml:space="preserve">Especificación técnica — ampliación de 12 a 25 productos (generar_plantilla.py)</t>
  </si>
  <si>
    <t xml:space="preserve">Mapeo del libro Modelo_Maquila_ECOSTAR_v3.xlsx. Documentación para el generador: no modifica el modelo.</t>
  </si>
  <si>
    <t xml:space="preserve">0. Parámetro y convención</t>
  </si>
  <si>
    <t xml:space="preserve">N_PRODUCTOS</t>
  </si>
  <si>
    <t xml:space="preserve">Constante única del generador. Todos los bloques de abajo se emiten en bucle i = 1..N. Cada bloque crece en 13 filas.</t>
  </si>
  <si>
    <t xml:space="preserve">Índice i</t>
  </si>
  <si>
    <t xml:space="preserve">i = número de producto (1..25). Donde abajo aparece «i», el generador sustituye el índice; donde aparece «fila(i)», la fila inicial del bloque + (i-1).</t>
  </si>
  <si>
    <t xml:space="preserve">Regla de criterios</t>
  </si>
  <si>
    <t xml:space="preserve">Prohibido usar decimales dentro de criterios de texto de COUNTIF/SUMIF/COUNTIFS/MAXIFS/MINIFS: con coma decimal (es-PY) Excel los lee mal sin dar error. Usar SUMPRODUCT con comparación numérica.</t>
  </si>
  <si>
    <t xml:space="preserve">1. Los 12 bloques por producto</t>
  </si>
  <si>
    <t xml:space="preserve">Bloque</t>
  </si>
  <si>
    <t xml:space="preserve">Filas hoy</t>
  </si>
  <si>
    <t xml:space="preserve">Filas con N=25</t>
  </si>
  <si>
    <t xml:space="preserve">Fórmula semilla de la fila i (sintaxis invariante)</t>
  </si>
  <si>
    <t xml:space="preserve">6:17</t>
  </si>
  <si>
    <t xml:space="preserve">6:30</t>
  </si>
  <si>
    <t xml:space="preserve">Entradas: B=nombre, C=unidad, D=cap. inicial, E=cap. ampliada, F=desde año, G=precio pres., I=MP pres., K=INS pres., M=OV pres., O=nota. Heredan: H{f}==G{f}, J{f}==I{f}, L{f}==K{f}, N{f}==M{f}</t>
  </si>
  <si>
    <t xml:space="preserve">16 celdas de entrada por producto. Actualizar el texto de A2 de la hoja: «Hasta 25 productos».</t>
  </si>
  <si>
    <t xml:space="preserve">B. Volumen presupuesto</t>
  </si>
  <si>
    <t xml:space="preserve">21:32</t>
  </si>
  <si>
    <t xml:space="preserve">34:58</t>
  </si>
  <si>
    <t xml:space="preserve">B{f}==IF(B{6+i-1}="","",B{6+i-1}) ; C{f} idem con C ; D{f}:M{f} entradas (años 1-10) ; N{f}==SUM(D{f}:M{f})</t>
  </si>
  <si>
    <t xml:space="preserve">Título pasa a fila 32, encabezado 33, fila Total a 59.</t>
  </si>
  <si>
    <t xml:space="preserve">C. Volumen vigente</t>
  </si>
  <si>
    <t xml:space="preserve">37:48</t>
  </si>
  <si>
    <t xml:space="preserve">63:87</t>
  </si>
  <si>
    <t xml:space="preserve">B{f} y C{f} heredan del bloque A ; D{f}==D{fila B(i)} … M{f}==M{fila B(i)} ; N{f}==SUM(D{f}:M{f})</t>
  </si>
  <si>
    <t xml:space="preserve">Título 61, encabezado 62, Total 88. La herencia celda a celda es lo que permite restaurar una prueba.</t>
  </si>
  <si>
    <t xml:space="preserve">D. Control de capacidad</t>
  </si>
  <si>
    <t xml:space="preserve">53:64</t>
  </si>
  <si>
    <t xml:space="preserve">92:116</t>
  </si>
  <si>
    <t xml:space="preserve">D{f}==IF(IF(AND(N($F{a})&gt;0,1&gt;=$F{a}),N($E{a}),N($D{a}))=0,0,MAX(0,D{v}/(1-V_Merma)-IF(AND(N($F{a})&gt;0,1&gt;=$F{a}),N($E{a}),N($D{a})))) donde a=fila bloque A, v=fila bloque C; el literal del año va de 1 a 10 por columna D..M ; N{f}==SUMPRODUCT(--(D{f}:M{f}&gt;0.5))</t>
  </si>
  <si>
    <t xml:space="preserve">Título 90, encabezado 91, nota 117. OJO: aquí estaba el COUNTIF con "&gt;0.5" corregido el 02/10/2026.</t>
  </si>
  <si>
    <t xml:space="preserve">Unidades vendidas</t>
  </si>
  <si>
    <t xml:space="preserve">12:23</t>
  </si>
  <si>
    <t xml:space="preserve">12:36</t>
  </si>
  <si>
    <t xml:space="preserve">A{f}="U"&amp;i ; B{f}==IF(INDEX(Prod_Nombre,i)="","Producto i (unidades)",INDEX(Prod_Nombre,i)&amp;" (unidades)") ; C{f}="u" ; D{f}==SUM(F{f}:ES{f}) ; F{f}:ES{f} entradas mensuales</t>
  </si>
  <si>
    <t xml:space="preserve">El código A debe llegar a U25.</t>
  </si>
  <si>
    <t xml:space="preserve">Ventas netas</t>
  </si>
  <si>
    <t xml:space="preserve">25:36</t>
  </si>
  <si>
    <t xml:space="preserve">38:62</t>
  </si>
  <si>
    <t xml:space="preserve">A{f}="S"&amp;i ; B{f}==IF(INDEX(Prod_Nombre,i)="","Producto i (ventas)",INDEX(Prod_Nombre,i)&amp;" (ventas)") ; C{f}="USD" o "PYG" (entrada) ; D{f}==SUM(F{f}:ES{f})</t>
  </si>
  <si>
    <t xml:space="preserve">Título del bloque pasa a fila 37. La columna C define la moneda que lee el motor.</t>
  </si>
  <si>
    <t xml:space="preserve">P.u1..P.uN (unidades, presupuesto)</t>
  </si>
  <si>
    <t xml:space="preserve">21:45</t>
  </si>
  <si>
    <t xml:space="preserve">A{f}="P.u"&amp;i ; B{f}==IF(INDEX(Prod_Nombre,i)="","Producto i",INDEX(Prod_Nombre,i))&amp;" — unidades" ; C{f}="u" ; E{f}==SUM(F{f}:ES{f}) ; F{f}==IF(F$15=1,@INDEX(Vol_O,i,F$14)/12*(1+P_dVol),0) y replicar F..ES</t>
  </si>
  <si>
    <t xml:space="preserve">El índice i va dentro de INDEX(Vol_O,i,…): es la fila del rango nombrado, no la fila de la hoja.</t>
  </si>
  <si>
    <t xml:space="preserve">P.s1..P.sN (ventas, presupuesto)</t>
  </si>
  <si>
    <t xml:space="preserve">33:44</t>
  </si>
  <si>
    <t xml:space="preserve">46:70</t>
  </si>
  <si>
    <t xml:space="preserve">A{f}="P.s"&amp;i ; B{f} idem con «— ventas USD» ; C{f}="USD" ; F{f}==F${fila P.u(i)}*INDEX(Precio_O,i)*@INDEX(IdxPrecio_O,1,MIN(10,F$17))*(1+P_dPrecio)</t>
  </si>
  <si>
    <t xml:space="preserve">Cada fila de ventas referencia su fila de unidades por posición relativa, no absoluta.</t>
  </si>
  <si>
    <t xml:space="preserve">V.u1..V.uN (unidades, vigente)</t>
  </si>
  <si>
    <t xml:space="preserve">151:162</t>
  </si>
  <si>
    <t xml:space="preserve">177:201</t>
  </si>
  <si>
    <t xml:space="preserve">A{f}="V.u"&amp;i ; F{f}==IF(F$8=1,N(Reales!F{fila U(i)}),IF(F$145=1,@INDEX(Vol_V,i,F$144)/12*(1+V_dVol),0))</t>
  </si>
  <si>
    <t xml:space="preserve">F$8 y F$145 son filas de bandera del bloque V: se desplazan +26 (ver sección 3).</t>
  </si>
  <si>
    <t xml:space="preserve">V.s1..V.sN (ventas, vigente)</t>
  </si>
  <si>
    <t xml:space="preserve">163:174</t>
  </si>
  <si>
    <t xml:space="preserve">202:226</t>
  </si>
  <si>
    <t xml:space="preserve">A{f}="V.s"&amp;i ; F{f}==IF(F$8=1,IF(Reales!$C${fila S(i)}="PYG",IF(F$10&gt;0,N(Reales!F{fila S(i)})/F$10,0),N(Reales!F{fila S(i)})),F${fila V.u(i)}*INDEX(Precio_V,i)*@INDEX(IdxPrecio_V,1,MIN(10,F$147))*(1+V_dPrecio))</t>
  </si>
  <si>
    <t xml:space="preserve">Es la fórmula más larga: mezcla real (Reales, con conversión PYG) y proyección. Tres referencias distintas a Reales por fila.</t>
  </si>
  <si>
    <t xml:space="preserve">Unidades por producto (vigente)</t>
  </si>
  <si>
    <t xml:space="preserve">71:82</t>
  </si>
  <si>
    <t xml:space="preserve">71:95</t>
  </si>
  <si>
    <t xml:space="preserve">A{f}="V_u"&amp;i ; B{f}==IF(INDEX(Prod_Nombre,i)="","Producto i",INDEX(Prod_Nombre,i)) ; C{f}==SUM(D{f}:O{f}) ; D{f}==SUMIFS(Calculo!$F${fila V.u(i)}:$ES${fila V.u(i)},Calculo!$F$6:$ES$6,1) y columnas E..M con el año 2..10</t>
  </si>
  <si>
    <t xml:space="preserve">El literal del año en el criterio es entero: no aplica el problema del punto decimal.</t>
  </si>
  <si>
    <t xml:space="preserve">Unidades por producto (presupuesto)</t>
  </si>
  <si>
    <t xml:space="preserve">104:115</t>
  </si>
  <si>
    <t xml:space="preserve">117:141</t>
  </si>
  <si>
    <t xml:space="preserve">A{f}="P_u"&amp;i ; mismo patrón que el anterior apuntando a Calculo!$F${fila P.u(i)}</t>
  </si>
  <si>
    <t xml:space="preserve">Bloque gemelo del presupuesto.</t>
  </si>
  <si>
    <t xml:space="preserve">2. Nombres definidos a redimensionar (17)</t>
  </si>
  <si>
    <t xml:space="preserve">Nombre</t>
  </si>
  <si>
    <t xml:space="preserve">Hoy</t>
  </si>
  <si>
    <t xml:space="preserve">Con N=25</t>
  </si>
  <si>
    <t xml:space="preserve">Uso</t>
  </si>
  <si>
    <t xml:space="preserve">Prod_Nombre</t>
  </si>
  <si>
    <t xml:space="preserve">Productos!$B$6:$B$17</t>
  </si>
  <si>
    <t xml:space="preserve">Productos!$B$6:$B$30</t>
  </si>
  <si>
    <t xml:space="preserve">Etiquetas en Calculo, Reales y Resultados</t>
  </si>
  <si>
    <t xml:space="preserve">Precio_O / Precio_V</t>
  </si>
  <si>
    <t xml:space="preserve">$G$6:$G$17 / $H$6:$H$17</t>
  </si>
  <si>
    <t xml:space="preserve">$G$6:$G$30 / $H$6:$H$30</t>
  </si>
  <si>
    <t xml:space="preserve">P.s / V.s y control C11</t>
  </si>
  <si>
    <t xml:space="preserve">MP_O / MP_V</t>
  </si>
  <si>
    <t xml:space="preserve">$I$6:$I$17 / $J$6:$J$17</t>
  </si>
  <si>
    <t xml:space="preserve">$I$6:$I$30 / $J$6:$J$30</t>
  </si>
  <si>
    <t xml:space="preserve">SUMPRODUCT de materia prima</t>
  </si>
  <si>
    <t xml:space="preserve">INS_O / INS_V</t>
  </si>
  <si>
    <t xml:space="preserve">$K$6:$K$17 / $L$6:$L$17</t>
  </si>
  <si>
    <t xml:space="preserve">$K$6:$K$30 / $L$6:$L$30</t>
  </si>
  <si>
    <t xml:space="preserve">SUMPRODUCT de insumos</t>
  </si>
  <si>
    <t xml:space="preserve">OV_O / OV_V</t>
  </si>
  <si>
    <t xml:space="preserve">$M$6:$M$17 / $N$6:$N$17</t>
  </si>
  <si>
    <t xml:space="preserve">$M$6:$M$30 / $N$6:$N$30</t>
  </si>
  <si>
    <t xml:space="preserve">SUMPRODUCT de otros variables</t>
  </si>
  <si>
    <t xml:space="preserve">Cap_Ini / Cap_Amp / Cap_Anio</t>
  </si>
  <si>
    <t xml:space="preserve">$D$6:$D$17 / $E$6:$E$17 / $F$6:$F$17</t>
  </si>
  <si>
    <t xml:space="preserve">$D$6:$D$30 / $E$6:$E$30 / $F$6:$F$30</t>
  </si>
  <si>
    <t xml:space="preserve">Control de capacidad</t>
  </si>
  <si>
    <t xml:space="preserve">Vol_O</t>
  </si>
  <si>
    <t xml:space="preserve">Productos!$D$21:$M$32</t>
  </si>
  <si>
    <t xml:space="preserve">Productos!$D$34:$M$58</t>
  </si>
  <si>
    <t xml:space="preserve">Matriz 25 x 10. INDEX(Vol_O,i,año)</t>
  </si>
  <si>
    <t xml:space="preserve">Vol_V</t>
  </si>
  <si>
    <t xml:space="preserve">Productos!$D$37:$M$48</t>
  </si>
  <si>
    <t xml:space="preserve">Productos!$D$63:$M$87</t>
  </si>
  <si>
    <t xml:space="preserve">Matriz 25 x 10. INDEX(Vol_V,i,año)</t>
  </si>
  <si>
    <t xml:space="preserve">VolTot_O / VolTot_V</t>
  </si>
  <si>
    <t xml:space="preserve">$N$21:$N$32 / $N$37:$N$48</t>
  </si>
  <si>
    <t xml:space="preserve">$N$34:$N$58 / $N$63:$N$87</t>
  </si>
  <si>
    <t xml:space="preserve">Control C11 (volumen sin precio)</t>
  </si>
  <si>
    <t xml:space="preserve">c_CapExceso</t>
  </si>
  <si>
    <t xml:space="preserve">Productos!$N$53:$N$64</t>
  </si>
  <si>
    <t xml:space="preserve">Productos!$N$92:$N$116</t>
  </si>
  <si>
    <t xml:space="preserve">Control C10 (alerta de capacidad)</t>
  </si>
  <si>
    <t xml:space="preserve">3. Desplazamiento de filas en Calculo (lo que rompe si no se reindexa)</t>
  </si>
  <si>
    <t xml:space="preserve">Fila hoy</t>
  </si>
  <si>
    <t xml:space="preserve">Fila con N=25</t>
  </si>
  <si>
    <t xml:space="preserve">Quién la referencia de forma absoluta</t>
  </si>
  <si>
    <t xml:space="preserve">Bloque P: todas las filas 46 a 150</t>
  </si>
  <si>
    <t xml:space="preserve">46 — 150</t>
  </si>
  <si>
    <t xml:space="preserve">+26 filas</t>
  </si>
  <si>
    <t xml:space="preserve">Resultados C6:C30, Control, y las banderas F$14 / F$15 / F$17 internas</t>
  </si>
  <si>
    <t xml:space="preserve">Bloque V: todas las filas 176 a 269</t>
  </si>
  <si>
    <t xml:space="preserve">176 — 269</t>
  </si>
  <si>
    <t xml:space="preserve">+52 filas</t>
  </si>
  <si>
    <t xml:space="preserve">Resultados D6:D30, Control C05:C17</t>
  </si>
  <si>
    <t xml:space="preserve">P.vtas (ventas totales presupuesto)</t>
  </si>
  <si>
    <t xml:space="preserve">45</t>
  </si>
  <si>
    <t xml:space="preserve">71</t>
  </si>
  <si>
    <t xml:space="preserve">Resultados C6, C7, C10 — y la propia fórmula pasa de F$33+..+F$44 a SUM(F$46:F$70)</t>
  </si>
  <si>
    <t xml:space="preserve">V.vtas (ventas totales vigente)</t>
  </si>
  <si>
    <t xml:space="preserve">175</t>
  </si>
  <si>
    <t xml:space="preserve">227</t>
  </si>
  <si>
    <t xml:space="preserve">Resultados D6, D7, D10, Control C03 — misma conversión a SUM(F$202:F$226)</t>
  </si>
  <si>
    <t xml:space="preserve">P.mp_f / P.ins_f / P.ov_f</t>
  </si>
  <si>
    <t xml:space="preserve">47 / 48 / 49</t>
  </si>
  <si>
    <t xml:space="preserve">73 / 74 / 75</t>
  </si>
  <si>
    <t xml:space="preserve">CRÍTICO: el rango interno SUMPRODUCT(F21:F32,MP_O) debe pasar a SUMPRODUCT(F21:F45,MP_O). Insertar filas NO lo corrige.</t>
  </si>
  <si>
    <t xml:space="preserve">V.mp_f / V.ins_f / V.ov_f</t>
  </si>
  <si>
    <t xml:space="preserve">177 / 178 / 179</t>
  </si>
  <si>
    <t xml:space="preserve">229 / 230 / 231</t>
  </si>
  <si>
    <t xml:space="preserve">CRÍTICO: SUMPRODUCT(F151:F162,MP_V) debe pasar a SUMPRODUCT(F177:F201,MP_V).</t>
  </si>
  <si>
    <t xml:space="preserve">P.BRECHA / V.BRECHA</t>
  </si>
  <si>
    <t xml:space="preserve">130 / 260</t>
  </si>
  <si>
    <t xml:space="preserve">156 / 312</t>
  </si>
  <si>
    <t xml:space="preserve">Resultados C22:C23, D22:D23 y Control C17 (las 3 celdas corregidas el 02/10/2026)</t>
  </si>
  <si>
    <t xml:space="preserve">Balance de control P / V</t>
  </si>
  <si>
    <t xml:space="preserve">139 / 269</t>
  </si>
  <si>
    <t xml:space="preserve">165 / 321</t>
  </si>
  <si>
    <t xml:space="preserve">Resultados C30 / D30. Debe seguir dando 0.</t>
  </si>
  <si>
    <t xml:space="preserve">4. Desplazamiento en Resultados</t>
  </si>
  <si>
    <t xml:space="preserve">Filas 83 a 103 (resúmenes anuales del presupuesto)</t>
  </si>
  <si>
    <t xml:space="preserve">83 — 103</t>
  </si>
  <si>
    <t xml:space="preserve">Incluye Servicio de deuda (101→114) y DSCR (102→115), que C24 referencia como D101:O101 y D102:O102.</t>
  </si>
  <si>
    <t xml:space="preserve">Filas 117 en adelante (Desvíos y Plan publicado)</t>
  </si>
  <si>
    <t xml:space="preserve">117 — 142</t>
  </si>
  <si>
    <t xml:space="preserve">Las fórmulas de desvío de unidades pasan de SUM(C71:C82)-SUM(C104:C115) a SUM(C71:C95)-SUM(C117:C141).</t>
  </si>
  <si>
    <t xml:space="preserve">Filas 38 a 69 (resúmenes anuales vigentes)</t>
  </si>
  <si>
    <t xml:space="preserve">38 — 69</t>
  </si>
  <si>
    <t xml:space="preserve">sin cambio</t>
  </si>
  <si>
    <t xml:space="preserve">Quedan arriba del primer bloque por producto. C24/D24 siguen apuntando a D67:O67 y D68:O68.</t>
  </si>
  <si>
    <t xml:space="preserve">Rangos de los gráficos</t>
  </si>
  <si>
    <t xml:space="preserve">revisar</t>
  </si>
  <si>
    <t xml:space="preserve">Los gráficos de Resultados toman filas de los resúmenes anuales: verificar que apunten a las filas nuevas.</t>
  </si>
  <si>
    <t xml:space="preserve">5. Checklist de validación del libro regenerado</t>
  </si>
  <si>
    <t xml:space="preserve">Verificación</t>
  </si>
  <si>
    <t xml:space="preserve">Valor esperado</t>
  </si>
  <si>
    <t xml:space="preserve">Productos 1 y 2 cargados igual que hoy; productos 3 a 25 vacíos</t>
  </si>
  <si>
    <t xml:space="preserve">Todos los indicadores de Resultados idénticos al caso base</t>
  </si>
  <si>
    <t xml:space="preserve">81.222.448</t>
  </si>
  <si>
    <t xml:space="preserve">EBITDA total / año 1</t>
  </si>
  <si>
    <t xml:space="preserve">16.309.504 / 509.970</t>
  </si>
  <si>
    <t xml:space="preserve">VAN proyecto / TIR proyecto</t>
  </si>
  <si>
    <t xml:space="preserve">6.989.922 / 34,93%</t>
  </si>
  <si>
    <t xml:space="preserve">VAN socios / TIR socios</t>
  </si>
  <si>
    <t xml:space="preserve">3.695.678 / 43,63%</t>
  </si>
  <si>
    <t xml:space="preserve">Aporte adicional necesario</t>
  </si>
  <si>
    <t xml:space="preserve">311.740 USD</t>
  </si>
  <si>
    <t xml:space="preserve">Brecha máxima / meses con brecha</t>
  </si>
  <si>
    <t xml:space="preserve">373.701 / 12</t>
  </si>
  <si>
    <t xml:space="preserve">Balance de control presupuesto / vigente</t>
  </si>
  <si>
    <t xml:space="preserve">0 / 0</t>
  </si>
  <si>
    <t xml:space="preserve">2 (C13 brecha de caja y C14 sin reales)</t>
  </si>
  <si>
    <t xml:space="preserve">Prueba de capacidad: volumen vigente x 1,10 en los 25 productos</t>
  </si>
  <si>
    <t xml:space="preserve">C10 pasa a REVISAR; restaurar y volver a 0</t>
  </si>
  <si>
    <t xml:space="preserve">Prueba de producto nuevo: cargar producto 3 con precio y volumen</t>
  </si>
  <si>
    <t xml:space="preserve">Las ventas totales deben subir exactamente en precio x volumen x años</t>
  </si>
  <si>
    <t xml:space="preserve">Ningún criterio de texto con punto o coma decimal en todo el libro</t>
  </si>
  <si>
    <t xml:space="preserve">0 coincidencias al buscar "&gt;0.5" y "&gt;0,5"</t>
  </si>
  <si>
    <t xml:space="preserve">6. Riesgos y decisiones abiertas</t>
  </si>
  <si>
    <t xml:space="preserve">25 productos = 400 celdas de entrada en Productos (16 por producto) + 50 filas de carga mensual en Reales. Si los SKU comparten precio y estructura de costo, conviene modelar por familia.</t>
  </si>
  <si>
    <t xml:space="preserve">Rendimiento</t>
  </si>
  <si>
    <t xml:space="preserve">Calculo pasa de 269 a ~321 filas x 149 columnas: unas 7.750 fórmulas nuevas. Conviene dejar el cálculo en automático y medir el tiempo de recalculo tras regenerar.</t>
  </si>
  <si>
    <t xml:space="preserve">Alcance</t>
  </si>
  <si>
    <t xml:space="preserve">Pendiente definir si los 25 son productos individuales o familias de agregación. La especificación es válida para los dos casos.</t>
  </si>
  <si>
    <t xml:space="preserve">Herencia</t>
  </si>
  <si>
    <t xml:space="preserve">Al regenerar, Alianza del Acero y la tercera maquila heredan los 25 slots. Verificar que sus datos cargados sigan en los productos 1..n correctos.</t>
  </si>
</sst>
</file>

<file path=xl/styles.xml><?xml version="1.0" encoding="utf-8"?>
<styleSheet xmlns="http://schemas.openxmlformats.org/spreadsheetml/2006/main">
  <numFmts count="11">
    <numFmt numFmtId="164" formatCode="General"/>
    <numFmt numFmtId="165" formatCode="dd/mm/yyyy"/>
    <numFmt numFmtId="166" formatCode="0"/>
    <numFmt numFmtId="167" formatCode="#,##0;\(#,##0\);\-"/>
    <numFmt numFmtId="168" formatCode="0.00%;\(0.00%\);\-"/>
    <numFmt numFmtId="169" formatCode="0.0%;\(0.0%\);\-"/>
    <numFmt numFmtId="170" formatCode="#,##0.0000;\(#,##0.0000\);\-"/>
    <numFmt numFmtId="171" formatCode="#,##0.00;\(#,##0.00\);\-"/>
    <numFmt numFmtId="172" formatCode="mmm\-yy"/>
    <numFmt numFmtId="173" formatCode="0.00\x;\(0.00&quot;x)&quot;;\-"/>
    <numFmt numFmtId="174" formatCode="@"/>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color theme="1"/>
      <name val="Calibri"/>
      <family val="0"/>
      <charset val="1"/>
    </font>
    <font>
      <b val="true"/>
      <sz val="13"/>
      <color rgb="FF1F3864"/>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i val="true"/>
      <sz val="9"/>
      <color rgb="FF808080"/>
      <name val="Arial"/>
      <family val="0"/>
      <charset val="1"/>
    </font>
    <font>
      <u val="single"/>
      <sz val="9"/>
      <color rgb="FF0563C1"/>
      <name val="Arial"/>
      <family val="0"/>
      <charset val="1"/>
    </font>
    <font>
      <sz val="9"/>
      <color rgb="FF008000"/>
      <name val="Arial"/>
      <family val="0"/>
      <charset val="1"/>
    </font>
    <font>
      <b val="true"/>
      <sz val="9"/>
      <color rgb="FFC00000"/>
      <name val="Arial"/>
      <family val="0"/>
      <charset val="1"/>
    </font>
    <font>
      <b val="true"/>
      <sz val="18"/>
      <color rgb="FF000000"/>
      <name val="Calibri"/>
      <family val="2"/>
    </font>
    <font>
      <sz val="10"/>
      <color rgb="FF000000"/>
      <name val="Calibri"/>
      <family val="2"/>
    </font>
    <font>
      <b val="true"/>
      <sz val="13"/>
      <color rgb="FFFFFFFF"/>
      <name val="Calibri"/>
      <family val="0"/>
      <charset val="1"/>
    </font>
    <font>
      <i val="true"/>
      <sz val="11"/>
      <color rgb="FF5A6572"/>
      <name val="Calibri"/>
      <family val="0"/>
      <charset val="1"/>
    </font>
    <font>
      <sz val="10"/>
      <color theme="1"/>
      <name val="Calibri"/>
      <family val="0"/>
      <charset val="1"/>
    </font>
    <font>
      <b val="true"/>
      <sz val="10"/>
      <color rgb="FFFFFFFF"/>
      <name val="Calibri"/>
      <family val="0"/>
      <charset val="1"/>
    </font>
    <font>
      <b val="true"/>
      <sz val="10"/>
      <color theme="1"/>
      <name val="Calibri"/>
      <family val="0"/>
      <charset val="1"/>
    </font>
  </fonts>
  <fills count="12">
    <fill>
      <patternFill patternType="none"/>
    </fill>
    <fill>
      <patternFill patternType="gray125"/>
    </fill>
    <fill>
      <patternFill patternType="solid">
        <fgColor rgb="FF13395E"/>
        <bgColor rgb="FF1F3864"/>
      </patternFill>
    </fill>
    <fill>
      <patternFill patternType="solid">
        <fgColor rgb="FFD9E1F2"/>
        <bgColor rgb="FFD6E0EA"/>
      </patternFill>
    </fill>
    <fill>
      <patternFill patternType="solid">
        <fgColor rgb="FF1F3864"/>
        <bgColor rgb="FF13395E"/>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
      <patternFill patternType="solid">
        <fgColor rgb="FF0B2545"/>
        <bgColor rgb="FF13395E"/>
      </patternFill>
    </fill>
    <fill>
      <patternFill patternType="solid">
        <fgColor rgb="FFD6E0EA"/>
        <bgColor rgb="FFD9E1F2"/>
      </patternFill>
    </fill>
  </fills>
  <borders count="12">
    <border diagonalUp="false" diagonalDown="false">
      <left/>
      <right/>
      <top/>
      <bottom/>
      <diagonal/>
    </border>
    <border diagonalUp="false" diagonalDown="false">
      <left/>
      <right/>
      <top/>
      <bottom style="thin">
        <color rgb="FFA6B4C2"/>
      </bottom>
      <diagonal/>
    </border>
    <border diagonalUp="false" diagonalDown="false">
      <left/>
      <right/>
      <top style="thin">
        <color rgb="FFA6B4C2"/>
      </top>
      <bottom style="thin">
        <color rgb="FFA6B4C2"/>
      </bottom>
      <diagonal/>
    </border>
    <border diagonalUp="false" diagonalDown="false">
      <left/>
      <right style="thin">
        <color rgb="FFA6B4C2"/>
      </right>
      <top/>
      <bottom style="thin">
        <color rgb="FFA6B4C2"/>
      </bottom>
      <diagonal/>
    </border>
    <border diagonalUp="false" diagonalDown="false">
      <left style="thin">
        <color rgb="FFA6B4C2"/>
      </left>
      <right style="thin">
        <color rgb="FFA6B4C2"/>
      </right>
      <top/>
      <bottom style="thin">
        <color rgb="FFA6B4C2"/>
      </bottom>
      <diagonal/>
    </border>
    <border diagonalUp="false" diagonalDown="false">
      <left style="thin">
        <color rgb="FFA6B4C2"/>
      </left>
      <right/>
      <top/>
      <bottom style="thin">
        <color rgb="FFA6B4C2"/>
      </bottom>
      <diagonal/>
    </border>
    <border diagonalUp="false" diagonalDown="false">
      <left/>
      <right style="thin">
        <color rgb="FFA6B4C2"/>
      </right>
      <top style="thin">
        <color rgb="FFA6B4C2"/>
      </top>
      <bottom style="thin">
        <color rgb="FFA6B4C2"/>
      </bottom>
      <diagonal/>
    </border>
    <border diagonalUp="false" diagonalDown="false">
      <left style="thin">
        <color rgb="FFA6B4C2"/>
      </left>
      <right style="thin">
        <color rgb="FFA6B4C2"/>
      </right>
      <top style="thin">
        <color rgb="FFA6B4C2"/>
      </top>
      <bottom style="thin">
        <color rgb="FFA6B4C2"/>
      </bottom>
      <diagonal/>
    </border>
    <border diagonalUp="false" diagonalDown="false">
      <left style="thin">
        <color rgb="FFA6B4C2"/>
      </left>
      <right/>
      <top style="thin">
        <color rgb="FFA6B4C2"/>
      </top>
      <bottom style="thin">
        <color rgb="FFA6B4C2"/>
      </bottom>
      <diagonal/>
    </border>
    <border diagonalUp="false" diagonalDown="false">
      <left/>
      <right style="thin">
        <color rgb="FFA6B4C2"/>
      </right>
      <top style="thin">
        <color rgb="FFA6B4C2"/>
      </top>
      <bottom/>
      <diagonal/>
    </border>
    <border diagonalUp="false" diagonalDown="false">
      <left style="thin">
        <color rgb="FFA6B4C2"/>
      </left>
      <right style="thin">
        <color rgb="FFA6B4C2"/>
      </right>
      <top style="thin">
        <color rgb="FFA6B4C2"/>
      </top>
      <bottom/>
      <diagonal/>
    </border>
    <border diagonalUp="false" diagonalDown="false">
      <left style="thin">
        <color rgb="FFA6B4C2"/>
      </left>
      <right/>
      <top style="thin">
        <color rgb="FFA6B4C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6" fontId="12" fillId="8"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8" fontId="13" fillId="6"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7" fontId="13" fillId="6"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9" fontId="13" fillId="6"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xf numFmtId="169" fontId="10" fillId="9"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6" fontId="10" fillId="9"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70" fontId="13" fillId="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2" fillId="9"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71" fontId="13" fillId="6"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72" fontId="9" fillId="4" borderId="0" xfId="0" applyFont="true" applyBorder="false" applyAlignment="true" applyProtection="false">
      <alignment horizontal="center" vertical="center" textRotation="0" wrapText="true" indent="0" shrinkToFit="false"/>
      <protection locked="true" hidden="false"/>
    </xf>
    <xf numFmtId="166" fontId="9" fillId="4" borderId="0" xfId="0" applyFont="true" applyBorder="false" applyAlignment="true" applyProtection="false">
      <alignment horizontal="center" vertical="center" textRotation="0" wrapText="tru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6" fontId="12" fillId="9" borderId="0" xfId="0" applyFont="true" applyBorder="false" applyAlignment="false" applyProtection="false">
      <alignment horizontal="general" vertical="bottom" textRotation="0" wrapText="false" indent="0" shrinkToFit="false"/>
      <protection locked="true" hidden="false"/>
    </xf>
    <xf numFmtId="164" fontId="12" fillId="9" borderId="0" xfId="0" applyFont="true" applyBorder="false" applyAlignment="false" applyProtection="false">
      <alignment horizontal="general" vertical="bottom" textRotation="0" wrapText="false" indent="0" shrinkToFit="false"/>
      <protection locked="true" hidden="false"/>
    </xf>
    <xf numFmtId="171" fontId="12" fillId="9"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7" fontId="12" fillId="7" borderId="0" xfId="0" applyFont="true" applyBorder="false" applyAlignment="false" applyProtection="false">
      <alignment horizontal="general" vertical="bottom" textRotation="0" wrapText="false" indent="0" shrinkToFit="false"/>
      <protection locked="true" hidden="false"/>
    </xf>
    <xf numFmtId="167" fontId="12" fillId="8" borderId="0" xfId="0" applyFont="true" applyBorder="false" applyAlignment="false" applyProtection="false">
      <alignment horizontal="general" vertical="bottom" textRotation="0" wrapText="false" indent="0" shrinkToFit="false"/>
      <protection locked="true" hidden="false"/>
    </xf>
    <xf numFmtId="169" fontId="12" fillId="7" borderId="0" xfId="0" applyFont="true" applyBorder="false" applyAlignment="false" applyProtection="false">
      <alignment horizontal="general" vertical="bottom" textRotation="0" wrapText="false" indent="0" shrinkToFit="false"/>
      <protection locked="true" hidden="false"/>
    </xf>
    <xf numFmtId="169" fontId="12" fillId="8" borderId="0" xfId="0" applyFont="true" applyBorder="false" applyAlignment="false" applyProtection="false">
      <alignment horizontal="general" vertical="bottom" textRotation="0" wrapText="false" indent="0" shrinkToFit="false"/>
      <protection locked="true" hidden="false"/>
    </xf>
    <xf numFmtId="166" fontId="12" fillId="7" borderId="0" xfId="0" applyFont="true" applyBorder="false" applyAlignment="false" applyProtection="false">
      <alignment horizontal="general" vertical="bottom" textRotation="0" wrapText="false" indent="0" shrinkToFit="false"/>
      <protection locked="true" hidden="false"/>
    </xf>
    <xf numFmtId="171" fontId="12" fillId="7" borderId="0" xfId="0" applyFont="true" applyBorder="false" applyAlignment="false" applyProtection="false">
      <alignment horizontal="general" vertical="bottom" textRotation="0" wrapText="false" indent="0" shrinkToFit="false"/>
      <protection locked="true" hidden="false"/>
    </xf>
    <xf numFmtId="171" fontId="12" fillId="8" borderId="0" xfId="0" applyFont="true" applyBorder="false" applyAlignment="false" applyProtection="false">
      <alignment horizontal="general" vertical="bottom" textRotation="0" wrapText="false" indent="0" shrinkToFit="false"/>
      <protection locked="true" hidden="false"/>
    </xf>
    <xf numFmtId="173" fontId="12" fillId="7" borderId="0" xfId="0" applyFont="true" applyBorder="false" applyAlignment="false" applyProtection="false">
      <alignment horizontal="general" vertical="bottom" textRotation="0" wrapText="false" indent="0" shrinkToFit="false"/>
      <protection locked="true" hidden="false"/>
    </xf>
    <xf numFmtId="173" fontId="12" fillId="8"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8" fontId="12" fillId="7" borderId="0" xfId="0" applyFont="true" applyBorder="false" applyAlignment="false" applyProtection="false">
      <alignment horizontal="general" vertical="bottom" textRotation="0" wrapText="false" indent="0" shrinkToFit="false"/>
      <protection locked="true" hidden="false"/>
    </xf>
    <xf numFmtId="168" fontId="12"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7" fontId="10" fillId="7" borderId="0" xfId="0" applyFont="true" applyBorder="false" applyAlignment="false" applyProtection="false">
      <alignment horizontal="general" vertical="bottom" textRotation="0" wrapText="false" indent="0" shrinkToFit="false"/>
      <protection locked="true" hidden="false"/>
    </xf>
    <xf numFmtId="171" fontId="10" fillId="7" borderId="0" xfId="0" applyFont="true" applyBorder="false" applyAlignment="false" applyProtection="false">
      <alignment horizontal="general" vertical="bottom" textRotation="0" wrapText="false" indent="0" shrinkToFit="false"/>
      <protection locked="true" hidden="false"/>
    </xf>
    <xf numFmtId="168" fontId="10" fillId="7" borderId="0" xfId="0" applyFont="true" applyBorder="false" applyAlignment="false" applyProtection="false">
      <alignment horizontal="general" vertical="bottom" textRotation="0" wrapText="false" indent="0" shrinkToFit="false"/>
      <protection locked="true" hidden="false"/>
    </xf>
    <xf numFmtId="166" fontId="10" fillId="7"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9" fontId="10" fillId="7" borderId="0" xfId="0" applyFont="true" applyBorder="false" applyAlignment="false" applyProtection="false">
      <alignment horizontal="general" vertical="bottom" textRotation="0" wrapText="false" indent="0" shrinkToFit="false"/>
      <protection locked="true" hidden="false"/>
    </xf>
    <xf numFmtId="167" fontId="10" fillId="8" borderId="0" xfId="0" applyFont="true" applyBorder="false" applyAlignment="false" applyProtection="false">
      <alignment horizontal="general" vertical="bottom" textRotation="0" wrapText="false" indent="0" shrinkToFit="false"/>
      <protection locked="true" hidden="false"/>
    </xf>
    <xf numFmtId="169" fontId="12" fillId="9"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8"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9" fillId="1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21" fillId="0" borderId="3" xfId="0" applyFont="true" applyBorder="true" applyAlignment="true" applyProtection="false">
      <alignment horizontal="general" vertical="top" textRotation="0" wrapText="true" indent="0" shrinkToFit="false"/>
      <protection locked="true" hidden="false"/>
    </xf>
    <xf numFmtId="164" fontId="21" fillId="0" borderId="4" xfId="0" applyFont="true" applyBorder="true" applyAlignment="true" applyProtection="false">
      <alignment horizontal="center" vertical="top" textRotation="0" wrapText="true" indent="0" shrinkToFit="false"/>
      <protection locked="true" hidden="false"/>
    </xf>
    <xf numFmtId="164" fontId="21" fillId="0" borderId="4" xfId="0" applyFont="true" applyBorder="true" applyAlignment="true" applyProtection="false">
      <alignment horizontal="general" vertical="top" textRotation="0" wrapText="true" indent="0" shrinkToFit="false"/>
      <protection locked="true" hidden="false"/>
    </xf>
    <xf numFmtId="164" fontId="21"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top" textRotation="0" wrapText="true" indent="0" shrinkToFit="false"/>
      <protection locked="true" hidden="false"/>
    </xf>
    <xf numFmtId="164" fontId="21" fillId="0" borderId="7" xfId="0" applyFont="true" applyBorder="true" applyAlignment="true" applyProtection="false">
      <alignment horizontal="general" vertical="top" textRotation="0" wrapText="true" indent="0" shrinkToFit="false"/>
      <protection locked="true" hidden="false"/>
    </xf>
    <xf numFmtId="164" fontId="21" fillId="0" borderId="8" xfId="0" applyFont="true" applyBorder="true" applyAlignment="true" applyProtection="false">
      <alignment horizontal="general" vertical="top" textRotation="0" wrapText="true" indent="0" shrinkToFit="false"/>
      <protection locked="true" hidden="false"/>
    </xf>
    <xf numFmtId="164" fontId="22" fillId="2" borderId="6" xfId="0" applyFont="true" applyBorder="true" applyAlignment="true" applyProtection="false">
      <alignment horizontal="general" vertical="top" textRotation="0" wrapText="true" indent="0" shrinkToFit="false"/>
      <protection locked="true" hidden="false"/>
    </xf>
    <xf numFmtId="164" fontId="22" fillId="2" borderId="7" xfId="0" applyFont="true" applyBorder="true" applyAlignment="true" applyProtection="false">
      <alignment horizontal="general" vertical="top" textRotation="0" wrapText="true" indent="0" shrinkToFit="false"/>
      <protection locked="true" hidden="false"/>
    </xf>
    <xf numFmtId="164" fontId="22" fillId="2" borderId="8" xfId="0" applyFont="true" applyBorder="true" applyAlignment="true" applyProtection="false">
      <alignment horizontal="general" vertical="top" textRotation="0" wrapText="true" indent="0" shrinkToFit="false"/>
      <protection locked="true" hidden="false"/>
    </xf>
    <xf numFmtId="164" fontId="23" fillId="11" borderId="6" xfId="0" applyFont="true" applyBorder="true" applyAlignment="true" applyProtection="false">
      <alignment horizontal="general" vertical="top" textRotation="0" wrapText="true" indent="0" shrinkToFit="false"/>
      <protection locked="true" hidden="false"/>
    </xf>
    <xf numFmtId="164" fontId="23" fillId="11" borderId="7" xfId="0" applyFont="true" applyBorder="true" applyAlignment="true" applyProtection="false">
      <alignment horizontal="general" vertical="top" textRotation="0" wrapText="true" indent="0" shrinkToFit="false"/>
      <protection locked="true" hidden="false"/>
    </xf>
    <xf numFmtId="164" fontId="23" fillId="11" borderId="8" xfId="0" applyFont="true" applyBorder="true" applyAlignment="true" applyProtection="false">
      <alignment horizontal="general" vertical="top" textRotation="0" wrapText="true" indent="0" shrinkToFit="false"/>
      <protection locked="true" hidden="false"/>
    </xf>
    <xf numFmtId="164" fontId="23" fillId="0" borderId="6" xfId="0" applyFont="true" applyBorder="true" applyAlignment="true" applyProtection="false">
      <alignment horizontal="general" vertical="top" textRotation="0" wrapText="true" indent="0" shrinkToFit="false"/>
      <protection locked="true" hidden="false"/>
    </xf>
    <xf numFmtId="174" fontId="21" fillId="0" borderId="7" xfId="0" applyFont="true" applyBorder="true" applyAlignment="true" applyProtection="false">
      <alignment horizontal="center" vertical="top" textRotation="0" wrapText="true" indent="0" shrinkToFit="false"/>
      <protection locked="true" hidden="false"/>
    </xf>
    <xf numFmtId="174" fontId="21" fillId="0" borderId="7" xfId="0" applyFont="true" applyBorder="true" applyAlignment="true" applyProtection="false">
      <alignment horizontal="general" vertical="top" textRotation="0" wrapText="true" indent="0" shrinkToFit="false"/>
      <protection locked="true" hidden="false"/>
    </xf>
    <xf numFmtId="164" fontId="21" fillId="0" borderId="9" xfId="0" applyFont="true" applyBorder="true" applyAlignment="true" applyProtection="false">
      <alignment horizontal="general" vertical="top" textRotation="0" wrapText="true" indent="0" shrinkToFit="false"/>
      <protection locked="true" hidden="false"/>
    </xf>
    <xf numFmtId="164" fontId="21" fillId="0" borderId="10" xfId="0" applyFont="true" applyBorder="true" applyAlignment="true" applyProtection="false">
      <alignment horizontal="general" vertical="top" textRotation="0" wrapText="true" indent="0" shrinkToFit="false"/>
      <protection locked="true" hidden="false"/>
    </xf>
    <xf numFmtId="164" fontId="21" fillId="0" borderId="1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6EFCE"/>
        </patternFill>
      </fill>
    </dxf>
    <dxf>
      <fill>
        <patternFill>
          <bgColor rgb="FFFFC7CE"/>
        </patternFill>
      </fill>
    </dxf>
    <dxf>
      <fill>
        <patternFill>
          <bgColor rgb="FFF2F2F2"/>
        </patternFill>
      </fill>
    </dxf>
    <dxf>
      <font>
        <name val="Arial"/>
        <charset val="1"/>
        <family val="0"/>
        <b val="1"/>
        <color rgb="FF0000FF"/>
        <sz val="9"/>
      </font>
      <fill>
        <patternFill>
          <bgColor rgb="FFFFF2CC"/>
        </patternFill>
      </fill>
    </dxf>
    <dxf>
      <font>
        <name val="Arial"/>
        <charset val="1"/>
        <family val="0"/>
        <color rgb="FF0000FF"/>
        <sz val="9"/>
      </font>
      <fill>
        <patternFill>
          <bgColor rgb="FFFFF2CC"/>
        </patternFill>
      </fill>
    </dxf>
    <dxf>
      <font>
        <name val="Arial"/>
        <charset val="1"/>
        <family val="0"/>
        <b val="1"/>
        <color rgb="FF000000"/>
        <sz val="9"/>
      </font>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5A6572"/>
      <rgbColor rgb="FFA6B4C2"/>
      <rgbColor rgb="FF808080"/>
      <rgbColor rgb="FF7F7F7F"/>
      <rgbColor rgb="FFBE4B48"/>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F2F2F2"/>
      <rgbColor rgb="FFC6EFCE"/>
      <rgbColor rgb="FFFCE4D6"/>
      <rgbColor rgb="FFD6E0EA"/>
      <rgbColor rgb="FFEDEDED"/>
      <rgbColor rgb="FFD9E1F2"/>
      <rgbColor rgb="FFFFC7CE"/>
      <rgbColor rgb="FF4A7EBB"/>
      <rgbColor rgb="FF33CCCC"/>
      <rgbColor rgb="FF98B855"/>
      <rgbColor rgb="FFFFC000"/>
      <rgbColor rgb="FFFF9900"/>
      <rgbColor rgb="FFFF6600"/>
      <rgbColor rgb="FF7D5FA0"/>
      <rgbColor rgb="FF878787"/>
      <rgbColor rgb="FF13395E"/>
      <rgbColor rgb="FF4F81BD"/>
      <rgbColor rgb="FF0B2545"/>
      <rgbColor rgb="FF595959"/>
      <rgbColor rgb="FF993300"/>
      <rgbColor rgb="FFC0504D"/>
      <rgbColor rgb="FF2F5597"/>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Próximos 24 meses: EBITDA y caja (vigente)</a:t>
            </a:r>
          </a:p>
        </c:rich>
      </c:tx>
      <c:overlay val="0"/>
      <c:spPr>
        <a:noFill/>
        <a:ln w="0">
          <a:noFill/>
        </a:ln>
      </c:spPr>
    </c:title>
    <c:autoTitleDeleted val="0"/>
    <c:plotArea>
      <c:lineChart>
        <c:grouping val="standard"/>
        <c:varyColors val="0"/>
        <c:ser>
          <c:idx val="0"/>
          <c:order val="0"/>
          <c:tx>
            <c:strRef>
              <c:f>"EBITDA"</c:f>
              <c:strCache>
                <c:ptCount val="1"/>
                <c:pt idx="0">
                  <c:v>EBITDA</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Proyeccion_24m!$F$19:$AC$19</c:f>
              <c:numCache>
                <c:formatCode>#,##0;\(#,##0\);\-</c:formatCode>
                <c:ptCount val="24"/>
                <c:pt idx="0">
                  <c:v>42497.5004755897</c:v>
                </c:pt>
                <c:pt idx="1">
                  <c:v>42497.5004755897</c:v>
                </c:pt>
                <c:pt idx="2">
                  <c:v>42497.5004755897</c:v>
                </c:pt>
                <c:pt idx="3">
                  <c:v>42497.5004755897</c:v>
                </c:pt>
                <c:pt idx="4">
                  <c:v>42497.5004755897</c:v>
                </c:pt>
                <c:pt idx="5">
                  <c:v>42497.5004755897</c:v>
                </c:pt>
                <c:pt idx="6">
                  <c:v>42497.5004755897</c:v>
                </c:pt>
                <c:pt idx="7">
                  <c:v>42497.5004755897</c:v>
                </c:pt>
                <c:pt idx="8">
                  <c:v>42497.5004755897</c:v>
                </c:pt>
                <c:pt idx="9">
                  <c:v>42497.5004755897</c:v>
                </c:pt>
                <c:pt idx="10">
                  <c:v>42497.5004755897</c:v>
                </c:pt>
                <c:pt idx="11">
                  <c:v>42497.5004755897</c:v>
                </c:pt>
                <c:pt idx="12">
                  <c:v>80496.4029939648</c:v>
                </c:pt>
                <c:pt idx="13">
                  <c:v>80496.4029939648</c:v>
                </c:pt>
                <c:pt idx="14">
                  <c:v>80496.4029939648</c:v>
                </c:pt>
                <c:pt idx="15">
                  <c:v>80496.4029939648</c:v>
                </c:pt>
                <c:pt idx="16">
                  <c:v>80496.4029939648</c:v>
                </c:pt>
                <c:pt idx="17">
                  <c:v>80496.4029939648</c:v>
                </c:pt>
                <c:pt idx="18">
                  <c:v>80496.4029939648</c:v>
                </c:pt>
                <c:pt idx="19">
                  <c:v>80496.4029939648</c:v>
                </c:pt>
                <c:pt idx="20">
                  <c:v>80496.4029939648</c:v>
                </c:pt>
                <c:pt idx="21">
                  <c:v>80496.4029939648</c:v>
                </c:pt>
                <c:pt idx="22">
                  <c:v>80496.4029939648</c:v>
                </c:pt>
                <c:pt idx="23">
                  <c:v>80496.4029939648</c:v>
                </c:pt>
              </c:numCache>
            </c:numRef>
          </c:val>
          <c:smooth val="0"/>
        </c:ser>
        <c:ser>
          <c:idx val="1"/>
          <c:order val="1"/>
          <c:tx>
            <c:strRef>
              <c:f>"Caja al cierre"</c:f>
              <c:strCache>
                <c:ptCount val="1"/>
                <c:pt idx="0">
                  <c:v>Caja al cierre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Proyeccion_24m!$F$29:$AC$29</c:f>
              <c:numCache>
                <c:formatCode>#,##0;\(#,##0\);\-</c:formatCode>
                <c:ptCount val="24"/>
                <c:pt idx="0">
                  <c:v>535727.93036656</c:v>
                </c:pt>
                <c:pt idx="1">
                  <c:v>555194.83809215</c:v>
                </c:pt>
                <c:pt idx="2">
                  <c:v>574661.745817739</c:v>
                </c:pt>
                <c:pt idx="3">
                  <c:v>594128.653543329</c:v>
                </c:pt>
                <c:pt idx="4">
                  <c:v>613595.561268919</c:v>
                </c:pt>
                <c:pt idx="5">
                  <c:v>633062.468994509</c:v>
                </c:pt>
                <c:pt idx="6">
                  <c:v>610406.072625411</c:v>
                </c:pt>
                <c:pt idx="7">
                  <c:v>587781.268734384</c:v>
                </c:pt>
                <c:pt idx="8">
                  <c:v>565188.294265013</c:v>
                </c:pt>
                <c:pt idx="9">
                  <c:v>542627.387937962</c:v>
                </c:pt>
                <c:pt idx="10">
                  <c:v>520098.790264297</c:v>
                </c:pt>
                <c:pt idx="11">
                  <c:v>497602.743558918</c:v>
                </c:pt>
                <c:pt idx="12">
                  <c:v>129920.95007682</c:v>
                </c:pt>
                <c:pt idx="13">
                  <c:v>145489.642054168</c:v>
                </c:pt>
                <c:pt idx="14">
                  <c:v>161091.622903299</c:v>
                </c:pt>
                <c:pt idx="15">
                  <c:v>176727.142290749</c:v>
                </c:pt>
                <c:pt idx="16">
                  <c:v>192396.451755556</c:v>
                </c:pt>
                <c:pt idx="17">
                  <c:v>208099.804723301</c:v>
                </c:pt>
                <c:pt idx="18">
                  <c:v>223837.456520255</c:v>
                </c:pt>
                <c:pt idx="19">
                  <c:v>239609.664387639</c:v>
                </c:pt>
                <c:pt idx="20">
                  <c:v>255416.687495978</c:v>
                </c:pt>
                <c:pt idx="21">
                  <c:v>271258.786959582</c:v>
                </c:pt>
                <c:pt idx="22">
                  <c:v>287136.225851114</c:v>
                </c:pt>
                <c:pt idx="23">
                  <c:v>303049.269216285</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Proyeccion_24m!$F$40:$AC$40</c:f>
              <c:numCache>
                <c:formatCode>#,##0;\(#,##0\);\-</c:formatCode>
                <c:ptCount val="24"/>
                <c:pt idx="0">
                  <c:v>535727.93036656</c:v>
                </c:pt>
                <c:pt idx="1">
                  <c:v>555194.83809215</c:v>
                </c:pt>
                <c:pt idx="2">
                  <c:v>574661.745817739</c:v>
                </c:pt>
                <c:pt idx="3">
                  <c:v>594128.653543329</c:v>
                </c:pt>
                <c:pt idx="4">
                  <c:v>613595.561268919</c:v>
                </c:pt>
                <c:pt idx="5">
                  <c:v>633062.468994509</c:v>
                </c:pt>
                <c:pt idx="6">
                  <c:v>610406.072625411</c:v>
                </c:pt>
                <c:pt idx="7">
                  <c:v>587781.268734384</c:v>
                </c:pt>
                <c:pt idx="8">
                  <c:v>565188.294265013</c:v>
                </c:pt>
                <c:pt idx="9">
                  <c:v>542627.387937962</c:v>
                </c:pt>
                <c:pt idx="10">
                  <c:v>520098.790264297</c:v>
                </c:pt>
                <c:pt idx="11">
                  <c:v>497602.743558918</c:v>
                </c:pt>
                <c:pt idx="12">
                  <c:v>129920.95007682</c:v>
                </c:pt>
                <c:pt idx="13">
                  <c:v>145489.642054168</c:v>
                </c:pt>
                <c:pt idx="14">
                  <c:v>161091.622903299</c:v>
                </c:pt>
                <c:pt idx="15">
                  <c:v>176727.142290749</c:v>
                </c:pt>
                <c:pt idx="16">
                  <c:v>192396.451755556</c:v>
                </c:pt>
                <c:pt idx="17">
                  <c:v>208099.804723301</c:v>
                </c:pt>
                <c:pt idx="18">
                  <c:v>223837.456520255</c:v>
                </c:pt>
                <c:pt idx="19">
                  <c:v>239609.664387639</c:v>
                </c:pt>
                <c:pt idx="20">
                  <c:v>255416.687495978</c:v>
                </c:pt>
                <c:pt idx="21">
                  <c:v>271258.786959582</c:v>
                </c:pt>
                <c:pt idx="22">
                  <c:v>287136.225851114</c:v>
                </c:pt>
                <c:pt idx="23">
                  <c:v>303049.269216285</c:v>
                </c:pt>
              </c:numCache>
            </c:numRef>
          </c:val>
          <c:smooth val="0"/>
        </c:ser>
        <c:hiLowLines>
          <c:spPr>
            <a:ln w="0">
              <a:noFill/>
            </a:ln>
          </c:spPr>
        </c:hiLowLines>
        <c:marker val="0"/>
        <c:axId val="18854418"/>
        <c:axId val="52560861"/>
      </c:lineChart>
      <c:catAx>
        <c:axId val="18854418"/>
        <c:scaling>
          <c:orientation val="minMax"/>
        </c:scaling>
        <c:delete val="0"/>
        <c:axPos val="b"/>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2560861"/>
        <c:crosses val="autoZero"/>
        <c:auto val="1"/>
        <c:lblAlgn val="ctr"/>
        <c:lblOffset val="100"/>
        <c:noMultiLvlLbl val="0"/>
      </c:catAx>
      <c:valAx>
        <c:axId val="5256086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544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presupuesto vs vigente</a:t>
            </a:r>
          </a:p>
        </c:rich>
      </c:tx>
      <c:overlay val="0"/>
      <c:spPr>
        <a:noFill/>
        <a:ln w="0">
          <a:noFill/>
        </a:ln>
      </c:spPr>
    </c:title>
    <c:autoTitleDeleted val="0"/>
    <c:plotArea>
      <c:barChart>
        <c:barDir val="col"/>
        <c:grouping val="clustered"/>
        <c:varyColors val="0"/>
        <c:ser>
          <c:idx val="0"/>
          <c:order val="0"/>
          <c:tx>
            <c:strRef>
              <c:f>"Presupuesto"</c:f>
              <c:strCache>
                <c:ptCount val="1"/>
                <c:pt idx="0">
                  <c:v>Presupuesto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Resultados!$D$101:$O$101</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ser>
          <c:idx val="1"/>
          <c:order val="1"/>
          <c:tx>
            <c:strRef>
              <c:f>"Vigente"</c:f>
              <c:strCache>
                <c:ptCount val="1"/>
                <c:pt idx="0">
                  <c:v>Vigente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Resultados!$D$38:$O$38</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gapWidth val="150"/>
        <c:overlap val="0"/>
        <c:axId val="67820569"/>
        <c:axId val="44756074"/>
      </c:barChart>
      <c:catAx>
        <c:axId val="678205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756074"/>
        <c:crosses val="autoZero"/>
        <c:auto val="1"/>
        <c:lblAlgn val="ctr"/>
        <c:lblOffset val="100"/>
        <c:noMultiLvlLbl val="0"/>
      </c:catAx>
      <c:valAx>
        <c:axId val="4475607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8205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y caja al cierre</a:t>
            </a:r>
          </a:p>
        </c:rich>
      </c:tx>
      <c:overlay val="0"/>
      <c:spPr>
        <a:noFill/>
        <a:ln w="0">
          <a:noFill/>
        </a:ln>
      </c:spPr>
    </c:title>
    <c:autoTitleDeleted val="0"/>
    <c:plotArea>
      <c:lineChart>
        <c:grouping val="standard"/>
        <c:varyColors val="0"/>
        <c:ser>
          <c:idx val="0"/>
          <c:order val="0"/>
          <c:tx>
            <c:strRef>
              <c:f>"EBITDA presupuesto"</c:f>
              <c:strCache>
                <c:ptCount val="1"/>
                <c:pt idx="0">
                  <c:v>EBITDA presupuesto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Resultados!$D$102:$O$102</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1"/>
          <c:order val="1"/>
          <c:tx>
            <c:strRef>
              <c:f>"EBITDA vigente"</c:f>
              <c:strCache>
                <c:ptCount val="1"/>
                <c:pt idx="0">
                  <c:v>EBITDA vigente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Resultados!$D$48:$O$48</c:f>
              <c:numCache>
                <c:formatCode>#,##0;\(#,##0\);\-</c:formatCode>
                <c:ptCount val="12"/>
                <c:pt idx="0">
                  <c:v>509970.005707077</c:v>
                </c:pt>
                <c:pt idx="1">
                  <c:v>965956.835927578</c:v>
                </c:pt>
                <c:pt idx="2">
                  <c:v>1405020.3703815</c:v>
                </c:pt>
                <c:pt idx="3">
                  <c:v>1798722.9585583</c:v>
                </c:pt>
                <c:pt idx="4">
                  <c:v>1814557.97851649</c:v>
                </c:pt>
                <c:pt idx="5">
                  <c:v>1863605.30157391</c:v>
                </c:pt>
                <c:pt idx="6">
                  <c:v>1912992.2698728</c:v>
                </c:pt>
                <c:pt idx="7">
                  <c:v>1962717.82255545</c:v>
                </c:pt>
                <c:pt idx="8">
                  <c:v>2012780.75578689</c:v>
                </c:pt>
                <c:pt idx="9">
                  <c:v>2063179.71738103</c:v>
                </c:pt>
                <c:pt idx="10">
                  <c:v>0</c:v>
                </c:pt>
                <c:pt idx="11">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Resultados!$D$111:$O$111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ser>
          <c:idx val="3"/>
          <c:order val="3"/>
          <c:tx>
            <c:strRef>
              <c:f>"Caja vigente"</c:f>
              <c:strCache>
                <c:ptCount val="1"/>
                <c:pt idx="0">
                  <c:v>Caja vigente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Resultados!$D$61:$O$61</c:f>
              <c:numCache>
                <c:formatCode>#,##0;\(#,##0\);\-</c:formatCode>
                <c:ptCount val="12"/>
                <c:pt idx="0">
                  <c:v>497602.743558918</c:v>
                </c:pt>
                <c:pt idx="1">
                  <c:v>303049.269216285</c:v>
                </c:pt>
                <c:pt idx="2">
                  <c:v>268618.777743545</c:v>
                </c:pt>
                <c:pt idx="3">
                  <c:v>742062.551523511</c:v>
                </c:pt>
                <c:pt idx="4">
                  <c:v>953271.672459291</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hiLowLines>
          <c:spPr>
            <a:ln w="0">
              <a:noFill/>
            </a:ln>
          </c:spPr>
        </c:hiLowLines>
        <c:marker val="0"/>
        <c:axId val="37182414"/>
        <c:axId val="78885535"/>
      </c:lineChart>
      <c:catAx>
        <c:axId val="3718241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8885535"/>
        <c:crosses val="autoZero"/>
        <c:auto val="1"/>
        <c:lblAlgn val="ctr"/>
        <c:lblOffset val="100"/>
        <c:noMultiLvlLbl val="0"/>
      </c:catAx>
      <c:valAx>
        <c:axId val="7888553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1824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46</xdr:row>
      <xdr:rowOff>176040</xdr:rowOff>
    </xdr:from>
    <xdr:to>
      <xdr:col>5</xdr:col>
      <xdr:colOff>541080</xdr:colOff>
      <xdr:row>61</xdr:row>
      <xdr:rowOff>18000</xdr:rowOff>
    </xdr:to>
    <xdr:graphicFrame>
      <xdr:nvGraphicFramePr>
        <xdr:cNvPr id="0" name="Chart 1"/>
        <xdr:cNvGraphicFramePr/>
      </xdr:nvGraphicFramePr>
      <xdr:xfrm>
        <a:off x="711360" y="8953560"/>
        <a:ext cx="79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168</xdr:row>
      <xdr:rowOff>175680</xdr:rowOff>
    </xdr:from>
    <xdr:to>
      <xdr:col>2</xdr:col>
      <xdr:colOff>1141200</xdr:colOff>
      <xdr:row>183</xdr:row>
      <xdr:rowOff>18000</xdr:rowOff>
    </xdr:to>
    <xdr:graphicFrame>
      <xdr:nvGraphicFramePr>
        <xdr:cNvPr id="1" name="Chart 1"/>
        <xdr:cNvGraphicFramePr/>
      </xdr:nvGraphicFramePr>
      <xdr:xfrm>
        <a:off x="533520" y="323848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xdr:nvGraphicFramePr>
        <xdr:cNvPr id="2" name="Chart 2"/>
        <xdr:cNvGraphicFramePr/>
      </xdr:nvGraphicFramePr>
      <xdr:xfrm>
        <a:off x="9245520" y="32384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22"/>
    <col collapsed="false" customWidth="true" hidden="false" outlineLevel="0" max="2" min="2" style="0" width="13.89"/>
    <col collapsed="false" customWidth="true" hidden="false" outlineLevel="0" max="3" min="3" style="0" width="25.88"/>
  </cols>
  <sheetData>
    <row r="1" customFormat="false" ht="15" hidden="false" customHeight="true" outlineLevel="0" collapsed="false">
      <c r="A1" s="1" t="s">
        <v>0</v>
      </c>
      <c r="B1" s="1" t="s">
        <v>1</v>
      </c>
      <c r="C1" s="1" t="s">
        <v>2</v>
      </c>
      <c r="D1" s="1" t="s">
        <v>3</v>
      </c>
      <c r="E1" s="1" t="s">
        <v>4</v>
      </c>
      <c r="F1" s="1" t="s">
        <v>5</v>
      </c>
    </row>
    <row r="2" customFormat="false" ht="201" hidden="false" customHeight="true" outlineLevel="0" collapsed="false">
      <c r="A2" s="2" t="n">
        <v>1</v>
      </c>
      <c r="B2" s="3" t="n">
        <v>46297</v>
      </c>
      <c r="C2" s="2" t="s">
        <v>6</v>
      </c>
      <c r="D2" s="2" t="s">
        <v>7</v>
      </c>
      <c r="E2" s="2" t="s">
        <v>8</v>
      </c>
      <c r="F2" s="2" t="s">
        <v>9</v>
      </c>
    </row>
    <row r="3" customFormat="false" ht="288" hidden="false" customHeight="true" outlineLevel="0" collapsed="false">
      <c r="A3" s="4" t="n">
        <v>2</v>
      </c>
      <c r="B3" s="5" t="n">
        <v>46297</v>
      </c>
      <c r="C3" s="4" t="s">
        <v>10</v>
      </c>
      <c r="D3" s="4" t="s">
        <v>11</v>
      </c>
      <c r="E3" s="4" t="s">
        <v>12</v>
      </c>
      <c r="F3" s="4" t="s">
        <v>13</v>
      </c>
    </row>
    <row r="4" customFormat="false" ht="15" hidden="false" customHeight="true" outlineLevel="0" collapsed="false">
      <c r="A4" s="6" t="n">
        <v>3</v>
      </c>
      <c r="B4" s="7" t="n">
        <v>46297</v>
      </c>
      <c r="C4" s="6" t="s">
        <v>14</v>
      </c>
      <c r="D4" s="6" t="s">
        <v>15</v>
      </c>
      <c r="E4" s="6" t="s">
        <v>16</v>
      </c>
      <c r="F4" s="6" t="s">
        <v>17</v>
      </c>
    </row>
    <row r="5" customFormat="false" ht="15" hidden="false" customHeight="true" outlineLevel="0" collapsed="false">
      <c r="A5" s="6" t="n">
        <v>4</v>
      </c>
      <c r="B5" s="7" t="n">
        <v>46297</v>
      </c>
      <c r="C5" s="6" t="s">
        <v>18</v>
      </c>
      <c r="D5" s="6" t="s">
        <v>19</v>
      </c>
      <c r="E5" s="6" t="s">
        <v>20</v>
      </c>
      <c r="F5" s="6" t="s">
        <v>21</v>
      </c>
    </row>
    <row r="6" customFormat="false" ht="258.75" hidden="false" customHeight="true" outlineLevel="0" collapsed="false">
      <c r="A6" s="2" t="n">
        <v>5</v>
      </c>
      <c r="B6" s="3" t="n">
        <v>46297</v>
      </c>
      <c r="C6" s="2" t="s">
        <v>22</v>
      </c>
      <c r="D6" s="2" t="s">
        <v>23</v>
      </c>
      <c r="E6" s="2" t="s">
        <v>24</v>
      </c>
      <c r="F6" s="2" t="s">
        <v>25</v>
      </c>
    </row>
    <row r="7" customFormat="false" ht="409.5" hidden="false" customHeight="true" outlineLevel="0" collapsed="false">
      <c r="A7" s="2" t="s">
        <v>26</v>
      </c>
      <c r="B7" s="3" t="n">
        <v>46297</v>
      </c>
      <c r="C7" s="2" t="s">
        <v>27</v>
      </c>
      <c r="D7" s="2" t="s">
        <v>28</v>
      </c>
      <c r="E7" s="2" t="s">
        <v>29</v>
      </c>
      <c r="F7" s="2" t="s">
        <v>30</v>
      </c>
    </row>
    <row r="8" customFormat="false" ht="409.5" hidden="false" customHeight="true" outlineLevel="0" collapsed="false">
      <c r="A8" s="2" t="s">
        <v>31</v>
      </c>
      <c r="B8" s="3" t="n">
        <v>46322</v>
      </c>
      <c r="C8" s="2" t="s">
        <v>32</v>
      </c>
      <c r="D8" s="2" t="s">
        <v>33</v>
      </c>
      <c r="E8" s="2" t="s">
        <v>34</v>
      </c>
      <c r="F8" s="2" t="s">
        <v>35</v>
      </c>
    </row>
    <row r="9" customFormat="false" ht="409.5" hidden="false" customHeight="true" outlineLevel="0" collapsed="false">
      <c r="A9" s="2" t="s">
        <v>36</v>
      </c>
      <c r="B9" s="3" t="n">
        <v>46322</v>
      </c>
      <c r="C9" s="2" t="s">
        <v>37</v>
      </c>
      <c r="D9" s="2" t="s">
        <v>38</v>
      </c>
      <c r="E9" s="2" t="s">
        <v>39</v>
      </c>
      <c r="F9" s="2" t="s">
        <v>40</v>
      </c>
    </row>
    <row r="10" customFormat="false" ht="409.5" hidden="false" customHeight="true" outlineLevel="0" collapsed="false">
      <c r="A10" s="8" t="s">
        <v>41</v>
      </c>
      <c r="B10" s="9" t="n">
        <v>46322</v>
      </c>
      <c r="C10" s="8" t="s">
        <v>42</v>
      </c>
      <c r="D10" s="8" t="s">
        <v>43</v>
      </c>
      <c r="E10" s="8" t="s">
        <v>44</v>
      </c>
      <c r="F10" s="8" t="s">
        <v>45</v>
      </c>
    </row>
    <row r="11" customFormat="false" ht="409.5" hidden="false" customHeight="true" outlineLevel="0" collapsed="false">
      <c r="A11" s="8" t="s">
        <v>46</v>
      </c>
      <c r="B11" s="9" t="n">
        <v>46322</v>
      </c>
      <c r="C11" s="8" t="s">
        <v>47</v>
      </c>
      <c r="D11" s="8" t="s">
        <v>48</v>
      </c>
      <c r="E11" s="8" t="s">
        <v>49</v>
      </c>
      <c r="F11" s="8" t="s">
        <v>50</v>
      </c>
    </row>
    <row r="12" customFormat="false" ht="409.5" hidden="false" customHeight="true" outlineLevel="0" collapsed="false">
      <c r="A12" s="8" t="s">
        <v>51</v>
      </c>
      <c r="B12" s="9" t="n">
        <v>46322</v>
      </c>
      <c r="C12" s="8" t="s">
        <v>52</v>
      </c>
      <c r="D12" s="8" t="s">
        <v>53</v>
      </c>
      <c r="E12" s="8" t="s">
        <v>54</v>
      </c>
      <c r="F12" s="8" t="s">
        <v>55</v>
      </c>
    </row>
    <row r="13" customFormat="false" ht="409.5" hidden="false" customHeight="true" outlineLevel="0" collapsed="false">
      <c r="A13" s="8" t="s">
        <v>56</v>
      </c>
      <c r="B13" s="9" t="n">
        <v>46322</v>
      </c>
      <c r="C13" s="8" t="s">
        <v>57</v>
      </c>
      <c r="D13" s="8" t="s">
        <v>58</v>
      </c>
      <c r="E13" s="8" t="s">
        <v>59</v>
      </c>
      <c r="F13" s="8" t="s">
        <v>60</v>
      </c>
    </row>
    <row r="14" customFormat="false" ht="409.5" hidden="false" customHeight="true" outlineLevel="0" collapsed="false">
      <c r="A14" s="8" t="s">
        <v>61</v>
      </c>
      <c r="B14" s="9" t="n">
        <v>46322</v>
      </c>
      <c r="C14" s="8" t="s">
        <v>62</v>
      </c>
      <c r="D14" s="8" t="s">
        <v>63</v>
      </c>
      <c r="E14" s="8" t="s">
        <v>64</v>
      </c>
      <c r="F14" s="8" t="s">
        <v>65</v>
      </c>
    </row>
    <row r="15" customFormat="false" ht="409.5" hidden="false" customHeight="true" outlineLevel="0" collapsed="false">
      <c r="A15" s="8" t="s">
        <v>66</v>
      </c>
      <c r="B15" s="9" t="n">
        <v>46322</v>
      </c>
      <c r="C15" s="8" t="s">
        <v>67</v>
      </c>
      <c r="D15" s="8" t="s">
        <v>68</v>
      </c>
      <c r="E15" s="8" t="s">
        <v>69</v>
      </c>
      <c r="F15" s="8" t="s">
        <v>70</v>
      </c>
    </row>
    <row r="16" customFormat="false" ht="409.5" hidden="false" customHeight="true" outlineLevel="0" collapsed="false">
      <c r="A16" s="8" t="s">
        <v>71</v>
      </c>
      <c r="B16" s="9" t="n">
        <v>46322</v>
      </c>
      <c r="C16" s="8" t="s">
        <v>72</v>
      </c>
      <c r="D16" s="8" t="s">
        <v>73</v>
      </c>
      <c r="E16" s="8" t="s">
        <v>74</v>
      </c>
      <c r="F16" s="8" t="s">
        <v>75</v>
      </c>
    </row>
    <row r="17" customFormat="false" ht="409.5" hidden="false" customHeight="true" outlineLevel="0" collapsed="false">
      <c r="A17" s="8" t="s">
        <v>76</v>
      </c>
      <c r="B17" s="9" t="n">
        <v>46322</v>
      </c>
      <c r="C17" s="8" t="s">
        <v>77</v>
      </c>
      <c r="D17" s="8" t="s">
        <v>78</v>
      </c>
      <c r="E17" s="8" t="s">
        <v>79</v>
      </c>
      <c r="F17" s="8" t="s">
        <v>80</v>
      </c>
    </row>
    <row r="18" customFormat="false" ht="409.5" hidden="false" customHeight="true" outlineLevel="0" collapsed="false">
      <c r="A18" s="8" t="s">
        <v>81</v>
      </c>
      <c r="B18" s="9" t="n">
        <v>46322</v>
      </c>
      <c r="C18" s="8" t="s">
        <v>82</v>
      </c>
      <c r="D18" s="8" t="s">
        <v>83</v>
      </c>
      <c r="E18" s="8" t="s">
        <v>84</v>
      </c>
      <c r="F18" s="8" t="s">
        <v>85</v>
      </c>
    </row>
    <row r="19" customFormat="false" ht="409.5" hidden="false" customHeight="true" outlineLevel="0" collapsed="false">
      <c r="A19" s="8" t="s">
        <v>86</v>
      </c>
      <c r="B19" s="9" t="n">
        <v>46322</v>
      </c>
      <c r="C19" s="8" t="s">
        <v>87</v>
      </c>
      <c r="D19" s="8" t="s">
        <v>88</v>
      </c>
      <c r="E19" s="8" t="s">
        <v>89</v>
      </c>
      <c r="F19" s="8" t="s">
        <v>90</v>
      </c>
    </row>
    <row r="20" customFormat="false" ht="409.5" hidden="false" customHeight="true" outlineLevel="0" collapsed="false">
      <c r="A20" s="8" t="s">
        <v>91</v>
      </c>
      <c r="B20" s="9" t="n">
        <v>46322</v>
      </c>
      <c r="C20" s="8" t="s">
        <v>92</v>
      </c>
      <c r="D20" s="8" t="s">
        <v>93</v>
      </c>
      <c r="E20" s="8" t="s">
        <v>94</v>
      </c>
      <c r="F20" s="8" t="s">
        <v>95</v>
      </c>
    </row>
    <row r="21" customFormat="false" ht="409.5" hidden="false" customHeight="true" outlineLevel="0" collapsed="false">
      <c r="A21" s="8" t="s">
        <v>96</v>
      </c>
      <c r="B21" s="9" t="n">
        <v>46322</v>
      </c>
      <c r="C21" s="8" t="s">
        <v>97</v>
      </c>
      <c r="D21" s="8" t="s">
        <v>98</v>
      </c>
      <c r="E21" s="8" t="s">
        <v>99</v>
      </c>
      <c r="F21" s="8" t="s">
        <v>100</v>
      </c>
    </row>
    <row r="22" customFormat="false" ht="409.5" hidden="false" customHeight="true" outlineLevel="0" collapsed="false">
      <c r="A22" s="8" t="s">
        <v>101</v>
      </c>
      <c r="B22" s="9" t="n">
        <v>46323</v>
      </c>
      <c r="C22" s="8" t="s">
        <v>102</v>
      </c>
      <c r="D22" s="8" t="s">
        <v>103</v>
      </c>
      <c r="E22" s="8" t="s">
        <v>104</v>
      </c>
      <c r="F22" s="8"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7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90"/>
  </cols>
  <sheetData>
    <row r="1" customFormat="false" ht="16.15" hidden="false" customHeight="false" outlineLevel="0" collapsed="false">
      <c r="A1" s="10" t="str">
        <f aca="false">"Modelo financiero de maquila — "&amp;IF(n_Negocio="","(completar nombre)",n_Negocio)</f>
        <v>Modelo financiero de maquila — ECOSTAR — Maquila CIE–PERG</v>
      </c>
    </row>
    <row r="2" customFormat="false" ht="15" hidden="false" customHeight="false" outlineLevel="0" collapsed="false">
      <c r="A2" s="11" t="s">
        <v>106</v>
      </c>
    </row>
    <row r="4" customFormat="false" ht="15" hidden="false" customHeight="false" outlineLevel="0" collapsed="false">
      <c r="A4" s="12" t="s">
        <v>107</v>
      </c>
      <c r="B4" s="13"/>
      <c r="C4" s="13"/>
      <c r="D4" s="13"/>
    </row>
    <row r="5" customFormat="false" ht="15" hidden="false" customHeight="false" outlineLevel="0" collapsed="false">
      <c r="A5" s="14"/>
      <c r="B5" s="14" t="s">
        <v>108</v>
      </c>
      <c r="C5" s="14" t="s">
        <v>109</v>
      </c>
      <c r="D5" s="14" t="s">
        <v>110</v>
      </c>
    </row>
    <row r="6" customFormat="false" ht="15" hidden="false" customHeight="false" outlineLevel="0" collapsed="false">
      <c r="B6" s="15" t="s">
        <v>111</v>
      </c>
      <c r="C6" s="16" t="s">
        <v>112</v>
      </c>
      <c r="D6" s="11" t="s">
        <v>113</v>
      </c>
    </row>
    <row r="7" customFormat="false" ht="15" hidden="false" customHeight="false" outlineLevel="0" collapsed="false">
      <c r="B7" s="15" t="s">
        <v>114</v>
      </c>
      <c r="C7" s="16" t="s">
        <v>115</v>
      </c>
      <c r="D7" s="11" t="s">
        <v>113</v>
      </c>
    </row>
    <row r="8" customFormat="false" ht="15" hidden="false" customHeight="false" outlineLevel="0" collapsed="false">
      <c r="B8" s="15" t="s">
        <v>116</v>
      </c>
      <c r="C8" s="16" t="s">
        <v>117</v>
      </c>
      <c r="D8" s="11" t="s">
        <v>113</v>
      </c>
    </row>
    <row r="9" customFormat="false" ht="15" hidden="false" customHeight="false" outlineLevel="0" collapsed="false">
      <c r="B9" s="15" t="s">
        <v>118</v>
      </c>
      <c r="C9" s="16" t="s">
        <v>119</v>
      </c>
      <c r="D9" s="11" t="s">
        <v>120</v>
      </c>
    </row>
    <row r="10" customFormat="false" ht="15" hidden="false" customHeight="false" outlineLevel="0" collapsed="false">
      <c r="B10" s="15" t="s">
        <v>121</v>
      </c>
      <c r="C10" s="17"/>
      <c r="D10" s="11" t="s">
        <v>122</v>
      </c>
    </row>
    <row r="11" customFormat="false" ht="15" hidden="false" customHeight="false" outlineLevel="0" collapsed="false">
      <c r="B11" s="15" t="s">
        <v>123</v>
      </c>
      <c r="C11" s="18"/>
      <c r="D11" s="11" t="s">
        <v>124</v>
      </c>
    </row>
    <row r="12" customFormat="false" ht="15" hidden="false" customHeight="false" outlineLevel="0" collapsed="false">
      <c r="B12" s="15" t="s">
        <v>125</v>
      </c>
      <c r="C12" s="18"/>
      <c r="D12" s="11" t="s">
        <v>126</v>
      </c>
    </row>
    <row r="13" customFormat="false" ht="15" hidden="false" customHeight="false" outlineLevel="0" collapsed="false">
      <c r="B13" s="15" t="s">
        <v>127</v>
      </c>
      <c r="C13" s="16" t="s">
        <v>128</v>
      </c>
      <c r="D13" s="11" t="s">
        <v>129</v>
      </c>
    </row>
    <row r="14" customFormat="false" ht="15" hidden="false" customHeight="false" outlineLevel="0" collapsed="false">
      <c r="B14" s="15" t="s">
        <v>130</v>
      </c>
      <c r="C14" s="18" t="n">
        <v>24</v>
      </c>
      <c r="D14" s="11" t="s">
        <v>131</v>
      </c>
    </row>
    <row r="15" customFormat="false" ht="15" hidden="false" customHeight="false" outlineLevel="0" collapsed="false">
      <c r="B15" s="15" t="s">
        <v>132</v>
      </c>
      <c r="C15" s="16" t="s">
        <v>133</v>
      </c>
      <c r="D15" s="11" t="s">
        <v>134</v>
      </c>
    </row>
    <row r="16" customFormat="false" ht="15" hidden="false" customHeight="false" outlineLevel="0" collapsed="false">
      <c r="B16" s="15" t="s">
        <v>135</v>
      </c>
      <c r="C16" s="17"/>
      <c r="D16" s="11" t="s">
        <v>136</v>
      </c>
    </row>
    <row r="17" customFormat="false" ht="15" hidden="false" customHeight="false" outlineLevel="0" collapsed="false">
      <c r="B17" s="15" t="s">
        <v>137</v>
      </c>
      <c r="C17" s="16" t="s">
        <v>138</v>
      </c>
      <c r="D17" s="11" t="s">
        <v>139</v>
      </c>
    </row>
    <row r="18" customFormat="false" ht="15" hidden="false" customHeight="false" outlineLevel="0" collapsed="false">
      <c r="B18" s="15" t="s">
        <v>140</v>
      </c>
      <c r="C18" s="15" t="s">
        <v>141</v>
      </c>
    </row>
    <row r="20" customFormat="false" ht="15" hidden="false" customHeight="false" outlineLevel="0" collapsed="false">
      <c r="A20" s="12" t="s">
        <v>142</v>
      </c>
      <c r="B20" s="13"/>
      <c r="C20" s="13"/>
      <c r="D20" s="13"/>
    </row>
    <row r="21" customFormat="false" ht="15" hidden="false" customHeight="false" outlineLevel="0" collapsed="false">
      <c r="B21" s="15" t="s">
        <v>143</v>
      </c>
      <c r="C21" s="19" t="str">
        <f aca="false">IF(Corte=0,"Sin datos reales",IF(n_Fecha1="","Mes "&amp;Corte,"Mes "&amp;Corte&amp;" ("&amp;TEXT(MONTH(EOMONTH(n_Fecha1,Corte-1)),"00")&amp;"/"&amp;YEAR(EOMONTH(n_Fecha1,Corte-1))&amp;")"))</f>
        <v>Sin datos reales</v>
      </c>
    </row>
    <row r="22" customFormat="false" ht="15" hidden="false" customHeight="false" outlineLevel="0" collapsed="false">
      <c r="B22" s="15" t="s">
        <v>144</v>
      </c>
      <c r="C22" s="19" t="str">
        <f aca="false">"Mes "&amp;P_Inicio&amp;" / mes "&amp;V_Inicio</f>
        <v>Mes 1 / mes 1</v>
      </c>
    </row>
    <row r="23" customFormat="false" ht="15" hidden="false" customHeight="false" outlineLevel="0" collapsed="false">
      <c r="B23" s="15" t="s">
        <v>145</v>
      </c>
      <c r="C23" s="19" t="str">
        <f aca="false">"Mes "&amp;Fin&amp;" ("&amp;P_Anios&amp;" años de operación desde el inicio presupuestado)"</f>
        <v>Mes 120 (10 años de operación desde el inicio presupuestado)</v>
      </c>
    </row>
    <row r="24" customFormat="false" ht="15" hidden="false" customHeight="false" outlineLevel="0" collapsed="false">
      <c r="B24" s="15" t="s">
        <v>146</v>
      </c>
      <c r="C24" s="19" t="n">
        <f aca="false">c_Modificados</f>
        <v>0</v>
      </c>
    </row>
    <row r="25" customFormat="false" ht="15" hidden="false" customHeight="false" outlineLevel="0" collapsed="false">
      <c r="B25" s="15" t="s">
        <v>147</v>
      </c>
      <c r="C25" s="19" t="n">
        <f aca="false">c_Alertas</f>
        <v>2</v>
      </c>
    </row>
    <row r="26" customFormat="false" ht="15" hidden="false" customHeight="false" outlineLevel="0" collapsed="false">
      <c r="B26" s="15" t="s">
        <v>148</v>
      </c>
      <c r="C26" s="19" t="n">
        <f aca="false">r_BrechaV</f>
        <v>373700.713193166</v>
      </c>
    </row>
    <row r="27" customFormat="false" ht="15" hidden="false" customHeight="false" outlineLevel="0" collapsed="false">
      <c r="B27" s="15" t="s">
        <v>149</v>
      </c>
      <c r="C27" s="19" t="n">
        <f aca="false">g_Pendientes</f>
        <v>11</v>
      </c>
    </row>
    <row r="28" customFormat="false" ht="15" hidden="false" customHeight="false" outlineLevel="0" collapsed="false">
      <c r="B28" s="15" t="s">
        <v>150</v>
      </c>
      <c r="C28" s="19" t="str">
        <f aca="false">IF(N(n_Ventana)=0,"Sin detalle mensual","Meses "&amp;(Corte+1)&amp;" a "&amp;MIN(144,Corte+n_Ventana))</f>
        <v>Meses 1 a 24</v>
      </c>
    </row>
    <row r="29" customFormat="false" ht="15" hidden="false" customHeight="false" outlineLevel="0" collapsed="false">
      <c r="B29" s="15" t="s">
        <v>151</v>
      </c>
      <c r="C29" s="19" t="str">
        <f aca="false">IF(ISNUMBER(n_FechaRev),DAY(EDATE(n_FechaRev,IF(n_Frecuencia="Bienal",24,12)))&amp;"/"&amp;MONTH(EDATE(n_FechaRev,IF(n_Frecuencia="Bienal",24,12)))&amp;"/"&amp;YEAR(EDATE(n_FechaRev,IF(n_Frecuencia="Bienal",24,12))),"Sin fecha de revisión")</f>
        <v>Sin fecha de revisión</v>
      </c>
    </row>
    <row r="31" customFormat="false" ht="15" hidden="false" customHeight="false" outlineLevel="0" collapsed="false">
      <c r="A31" s="12" t="s">
        <v>152</v>
      </c>
      <c r="B31" s="13"/>
      <c r="C31" s="13"/>
      <c r="D31" s="13"/>
    </row>
    <row r="32" customFormat="false" ht="25.5" hidden="false" customHeight="true" outlineLevel="0" collapsed="false">
      <c r="B32" s="20" t="s">
        <v>153</v>
      </c>
      <c r="C32" s="21" t="s">
        <v>154</v>
      </c>
      <c r="D32" s="21"/>
    </row>
    <row r="33" customFormat="false" ht="25.5" hidden="false" customHeight="true" outlineLevel="0" collapsed="false">
      <c r="B33" s="20" t="s">
        <v>155</v>
      </c>
      <c r="C33" s="21" t="s">
        <v>156</v>
      </c>
      <c r="D33" s="21"/>
    </row>
    <row r="34" customFormat="false" ht="25.5" hidden="false" customHeight="true" outlineLevel="0" collapsed="false">
      <c r="B34" s="20" t="s">
        <v>157</v>
      </c>
      <c r="C34" s="21" t="s">
        <v>158</v>
      </c>
      <c r="D34" s="21"/>
    </row>
    <row r="35" customFormat="false" ht="25.5" hidden="false" customHeight="true" outlineLevel="0" collapsed="false">
      <c r="B35" s="20" t="s">
        <v>159</v>
      </c>
      <c r="C35" s="21" t="s">
        <v>160</v>
      </c>
      <c r="D35" s="21"/>
    </row>
    <row r="36" customFormat="false" ht="25.5" hidden="false" customHeight="true" outlineLevel="0" collapsed="false">
      <c r="B36" s="20" t="s">
        <v>161</v>
      </c>
      <c r="C36" s="21" t="s">
        <v>162</v>
      </c>
      <c r="D36" s="21"/>
    </row>
    <row r="37" customFormat="false" ht="25.5" hidden="false" customHeight="true" outlineLevel="0" collapsed="false">
      <c r="B37" s="20" t="s">
        <v>163</v>
      </c>
      <c r="C37" s="21" t="s">
        <v>164</v>
      </c>
      <c r="D37" s="21"/>
    </row>
    <row r="38" customFormat="false" ht="25.5" hidden="false" customHeight="true" outlineLevel="0" collapsed="false">
      <c r="B38" s="20" t="s">
        <v>165</v>
      </c>
      <c r="C38" s="21" t="s">
        <v>166</v>
      </c>
      <c r="D38" s="21"/>
    </row>
    <row r="39" customFormat="false" ht="25.5" hidden="false" customHeight="true" outlineLevel="0" collapsed="false">
      <c r="B39" s="20" t="s">
        <v>167</v>
      </c>
      <c r="C39" s="21" t="s">
        <v>168</v>
      </c>
      <c r="D39" s="21"/>
    </row>
    <row r="40" customFormat="false" ht="25.5" hidden="false" customHeight="true" outlineLevel="0" collapsed="false">
      <c r="B40" s="20" t="s">
        <v>169</v>
      </c>
      <c r="C40" s="21" t="s">
        <v>170</v>
      </c>
      <c r="D40" s="21"/>
    </row>
    <row r="41" customFormat="false" ht="25.5" hidden="false" customHeight="true" outlineLevel="0" collapsed="false">
      <c r="B41" s="20" t="s">
        <v>171</v>
      </c>
      <c r="C41" s="21" t="s">
        <v>172</v>
      </c>
      <c r="D41" s="21"/>
    </row>
    <row r="43" customFormat="false" ht="15" hidden="false" customHeight="false" outlineLevel="0" collapsed="false">
      <c r="A43" s="12" t="s">
        <v>173</v>
      </c>
      <c r="B43" s="13"/>
      <c r="C43" s="13"/>
      <c r="D43" s="13"/>
    </row>
    <row r="44" customFormat="false" ht="15" hidden="false" customHeight="false" outlineLevel="0" collapsed="false">
      <c r="B44" s="16" t="s">
        <v>174</v>
      </c>
      <c r="C44" s="15" t="s">
        <v>175</v>
      </c>
    </row>
    <row r="45" customFormat="false" ht="15" hidden="false" customHeight="false" outlineLevel="0" collapsed="false">
      <c r="B45" s="22" t="s">
        <v>174</v>
      </c>
      <c r="C45" s="15" t="s">
        <v>176</v>
      </c>
    </row>
    <row r="46" customFormat="false" ht="15" hidden="false" customHeight="false" outlineLevel="0" collapsed="false">
      <c r="B46" s="15" t="s">
        <v>174</v>
      </c>
      <c r="C46" s="15" t="s">
        <v>177</v>
      </c>
    </row>
    <row r="47" customFormat="false" ht="15" hidden="false" customHeight="false" outlineLevel="0" collapsed="false">
      <c r="B47" s="23" t="s">
        <v>174</v>
      </c>
      <c r="C47" s="15" t="s">
        <v>178</v>
      </c>
    </row>
    <row r="48" customFormat="false" ht="15" hidden="false" customHeight="false" outlineLevel="0" collapsed="false">
      <c r="B48" s="24" t="s">
        <v>174</v>
      </c>
      <c r="C48" s="15" t="s">
        <v>179</v>
      </c>
    </row>
    <row r="49" customFormat="false" ht="15" hidden="false" customHeight="false" outlineLevel="0" collapsed="false">
      <c r="B49" s="11" t="s">
        <v>180</v>
      </c>
    </row>
    <row r="51" customFormat="false" ht="15" hidden="false" customHeight="false" outlineLevel="0" collapsed="false">
      <c r="A51" s="12" t="s">
        <v>181</v>
      </c>
      <c r="B51" s="13"/>
      <c r="C51" s="13"/>
      <c r="D51" s="13"/>
    </row>
    <row r="52" customFormat="false" ht="15" hidden="false" customHeight="false" outlineLevel="0" collapsed="false">
      <c r="B52" s="20" t="s">
        <v>182</v>
      </c>
      <c r="C52" s="15" t="s">
        <v>183</v>
      </c>
    </row>
    <row r="53" customFormat="false" ht="15" hidden="false" customHeight="false" outlineLevel="0" collapsed="false">
      <c r="B53" s="20" t="s">
        <v>184</v>
      </c>
      <c r="C53" s="15" t="s">
        <v>185</v>
      </c>
    </row>
    <row r="54" customFormat="false" ht="15" hidden="false" customHeight="false" outlineLevel="0" collapsed="false">
      <c r="B54" s="20" t="s">
        <v>186</v>
      </c>
      <c r="C54" s="15" t="s">
        <v>187</v>
      </c>
    </row>
    <row r="55" customFormat="false" ht="15" hidden="false" customHeight="false" outlineLevel="0" collapsed="false">
      <c r="B55" s="20" t="s">
        <v>188</v>
      </c>
      <c r="C55" s="15" t="s">
        <v>189</v>
      </c>
    </row>
    <row r="56" customFormat="false" ht="15" hidden="false" customHeight="false" outlineLevel="0" collapsed="false">
      <c r="B56" s="20" t="s">
        <v>190</v>
      </c>
      <c r="C56" s="15" t="s">
        <v>191</v>
      </c>
    </row>
    <row r="57" customFormat="false" ht="15" hidden="false" customHeight="false" outlineLevel="0" collapsed="false">
      <c r="B57" s="20" t="s">
        <v>192</v>
      </c>
      <c r="C57" s="15" t="s">
        <v>193</v>
      </c>
    </row>
    <row r="58" customFormat="false" ht="15" hidden="false" customHeight="false" outlineLevel="0" collapsed="false">
      <c r="B58" s="20" t="s">
        <v>194</v>
      </c>
      <c r="C58" s="15" t="s">
        <v>195</v>
      </c>
    </row>
    <row r="59" customFormat="false" ht="15" hidden="false" customHeight="false" outlineLevel="0" collapsed="false">
      <c r="B59" s="20" t="s">
        <v>196</v>
      </c>
      <c r="C59" s="15" t="s">
        <v>197</v>
      </c>
    </row>
    <row r="60" customFormat="false" ht="15" hidden="false" customHeight="false" outlineLevel="0" collapsed="false">
      <c r="B60" s="20" t="s">
        <v>198</v>
      </c>
      <c r="C60" s="15" t="s">
        <v>199</v>
      </c>
    </row>
    <row r="61" customFormat="false" ht="15" hidden="false" customHeight="false" outlineLevel="0" collapsed="false">
      <c r="B61" s="20" t="s">
        <v>200</v>
      </c>
      <c r="C61" s="15" t="s">
        <v>201</v>
      </c>
    </row>
    <row r="62" customFormat="false" ht="15" hidden="false" customHeight="false" outlineLevel="0" collapsed="false">
      <c r="B62" s="20" t="s">
        <v>202</v>
      </c>
      <c r="C62" s="15" t="s">
        <v>203</v>
      </c>
    </row>
    <row r="63" customFormat="false" ht="15" hidden="false" customHeight="false" outlineLevel="0" collapsed="false">
      <c r="B63" s="20" t="s">
        <v>204</v>
      </c>
      <c r="C63" s="15" t="s">
        <v>205</v>
      </c>
    </row>
    <row r="64" customFormat="false" ht="15" hidden="false" customHeight="false" outlineLevel="0" collapsed="false">
      <c r="B64" s="20" t="s">
        <v>206</v>
      </c>
      <c r="C64" s="15" t="s">
        <v>207</v>
      </c>
    </row>
    <row r="66" customFormat="false" ht="15" hidden="false" customHeight="false" outlineLevel="0" collapsed="false">
      <c r="A66" s="12" t="s">
        <v>208</v>
      </c>
      <c r="B66" s="13"/>
      <c r="C66" s="13"/>
      <c r="D66" s="13"/>
    </row>
    <row r="67" customFormat="false" ht="15" hidden="false" customHeight="false" outlineLevel="0" collapsed="false">
      <c r="B67" s="15" t="s">
        <v>209</v>
      </c>
      <c r="C67" s="25" t="s">
        <v>210</v>
      </c>
      <c r="D67" s="25"/>
    </row>
    <row r="68" customFormat="false" ht="15" hidden="false" customHeight="false" outlineLevel="0" collapsed="false">
      <c r="B68" s="15" t="s">
        <v>211</v>
      </c>
      <c r="C68" s="25" t="s">
        <v>212</v>
      </c>
      <c r="D68" s="25"/>
    </row>
    <row r="69" customFormat="false" ht="15" hidden="false" customHeight="false" outlineLevel="0" collapsed="false">
      <c r="B69" s="15" t="s">
        <v>213</v>
      </c>
      <c r="C69" s="25" t="s">
        <v>214</v>
      </c>
      <c r="D69" s="25"/>
    </row>
    <row r="70" customFormat="false" ht="15" hidden="false" customHeight="false" outlineLevel="0" collapsed="false">
      <c r="B70" s="15" t="s">
        <v>215</v>
      </c>
      <c r="C70" s="25" t="s">
        <v>216</v>
      </c>
      <c r="D70" s="25"/>
    </row>
    <row r="71" customFormat="false" ht="15" hidden="false" customHeight="false" outlineLevel="0" collapsed="false">
      <c r="B71" s="15" t="s">
        <v>217</v>
      </c>
      <c r="C71" s="25" t="s">
        <v>218</v>
      </c>
      <c r="D71" s="25"/>
    </row>
    <row r="72" customFormat="false" ht="15" hidden="false" customHeight="false" outlineLevel="0" collapsed="false">
      <c r="B72" s="15" t="s">
        <v>219</v>
      </c>
      <c r="C72" s="25" t="s">
        <v>220</v>
      </c>
      <c r="D72" s="25"/>
    </row>
    <row r="73" customFormat="false" ht="15" hidden="false" customHeight="false" outlineLevel="0" collapsed="false">
      <c r="B73" s="15" t="s">
        <v>221</v>
      </c>
      <c r="C73" s="25" t="s">
        <v>222</v>
      </c>
      <c r="D73" s="25"/>
    </row>
    <row r="74" customFormat="false" ht="15" hidden="false" customHeight="false" outlineLevel="0" collapsed="false">
      <c r="B74" s="15" t="s">
        <v>223</v>
      </c>
      <c r="C74" s="25" t="s">
        <v>224</v>
      </c>
      <c r="D74" s="25"/>
    </row>
    <row r="75" customFormat="false" ht="15" hidden="false" customHeight="false" outlineLevel="0" collapsed="false">
      <c r="B75" s="15" t="s">
        <v>225</v>
      </c>
      <c r="C75" s="25"/>
      <c r="D75" s="25"/>
    </row>
    <row r="76" customFormat="false" ht="15" hidden="false" customHeight="false" outlineLevel="0" collapsed="false">
      <c r="B76" s="15" t="s">
        <v>226</v>
      </c>
      <c r="C76" s="25"/>
      <c r="D76" s="25"/>
    </row>
  </sheetData>
  <mergeCells count="20">
    <mergeCell ref="C32:D32"/>
    <mergeCell ref="C33:D33"/>
    <mergeCell ref="C34:D34"/>
    <mergeCell ref="C35:D35"/>
    <mergeCell ref="C36:D36"/>
    <mergeCell ref="C37:D37"/>
    <mergeCell ref="C38:D38"/>
    <mergeCell ref="C39:D39"/>
    <mergeCell ref="C40:D40"/>
    <mergeCell ref="C41:D41"/>
    <mergeCell ref="C67:D67"/>
    <mergeCell ref="C68:D68"/>
    <mergeCell ref="C69:D69"/>
    <mergeCell ref="C70:D70"/>
    <mergeCell ref="C71:D71"/>
    <mergeCell ref="C72:D72"/>
    <mergeCell ref="C73:D73"/>
    <mergeCell ref="C74:D74"/>
    <mergeCell ref="C75:D75"/>
    <mergeCell ref="C76:D76"/>
  </mergeCells>
  <dataValidations count="3">
    <dataValidation allowBlank="true" errorStyle="stop" operator="between" showDropDown="false" showErrorMessage="false" showInputMessage="false" sqref="C9" type="list">
      <formula1>"Implantación,Operación"</formula1>
      <formula2>0</formula2>
    </dataValidation>
    <dataValidation allowBlank="true" errorStyle="stop" operator="between" showDropDown="false" showErrorMessage="false" showInputMessage="false" sqref="C13" type="list">
      <formula1>"Vigente,Conservador,Optimista"</formula1>
      <formula2>0</formula2>
    </dataValidation>
    <dataValidation allowBlank="true" errorStyle="stop" operator="between" showDropDown="false" showErrorMessage="false" showInputMessage="false" sqref="C17" type="list">
      <formula1>"Anual,Bienal"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J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4" min="3" style="0" width="26"/>
    <col collapsed="false" customWidth="true" hidden="false" outlineLevel="0" max="5" min="5" style="0" width="46"/>
    <col collapsed="false" customWidth="true" hidden="false" outlineLevel="0" max="6" min="6" style="0" width="30"/>
    <col collapsed="false" customWidth="true" hidden="false" outlineLevel="0" max="7" min="7" style="0" width="8"/>
    <col collapsed="false" customWidth="true" hidden="false" outlineLevel="0" max="8" min="8" style="0" width="11"/>
    <col collapsed="false" customWidth="true" hidden="false" outlineLevel="0" max="9" min="9" style="0" width="14"/>
    <col collapsed="false" customWidth="true" hidden="false" outlineLevel="0" max="10" min="10" style="0" width="30"/>
  </cols>
  <sheetData>
    <row r="1" customFormat="false" ht="16.15" hidden="false" customHeight="false" outlineLevel="0" collapsed="false">
      <c r="A1" s="10" t="s">
        <v>227</v>
      </c>
    </row>
    <row r="2" customFormat="false" ht="15" hidden="false" customHeight="false" outlineLevel="0" collapsed="false">
      <c r="A2" s="11" t="s">
        <v>228</v>
      </c>
    </row>
    <row r="4" customFormat="false" ht="15" hidden="false" customHeight="false" outlineLevel="0" collapsed="false">
      <c r="B4" s="20" t="s">
        <v>229</v>
      </c>
      <c r="C4" s="26" t="n">
        <f aca="false">MIN(144,Corte+1)</f>
        <v>1</v>
      </c>
      <c r="D4" s="11" t="str">
        <f aca="false">IF(ISNUMBER(n_Fecha1),"Fecha: "&amp;TEXT(MONTH(EOMONTH(n_Fecha1,g_Mes-1)),"00")&amp;"/"&amp;YEAR(EOMONTH(n_Fecha1,g_Mes-1)),"Sin fecha del mes 1")</f>
        <v>Sin fecha del mes 1</v>
      </c>
    </row>
    <row r="5" customFormat="false" ht="15" hidden="false" customHeight="false" outlineLevel="0" collapsed="false">
      <c r="B5" s="20" t="s">
        <v>230</v>
      </c>
      <c r="C5" s="27" t="n">
        <f aca="false">COUNTIF(F9:F51,"⚠*")</f>
        <v>11</v>
      </c>
    </row>
    <row r="6" customFormat="false" ht="15" hidden="false" customHeight="false" outlineLevel="0" collapsed="false">
      <c r="B6" s="11" t="s">
        <v>231</v>
      </c>
    </row>
    <row r="8" customFormat="false" ht="30" hidden="false" customHeight="true" outlineLevel="0" collapsed="false">
      <c r="A8" s="14" t="s">
        <v>232</v>
      </c>
      <c r="B8" s="14" t="s">
        <v>233</v>
      </c>
      <c r="C8" s="14" t="s">
        <v>234</v>
      </c>
      <c r="D8" s="14" t="s">
        <v>235</v>
      </c>
      <c r="E8" s="14" t="s">
        <v>236</v>
      </c>
      <c r="F8" s="14" t="s">
        <v>237</v>
      </c>
      <c r="G8" s="14" t="s">
        <v>238</v>
      </c>
      <c r="H8" s="14" t="s">
        <v>1</v>
      </c>
      <c r="I8" s="14" t="s">
        <v>239</v>
      </c>
      <c r="J8" s="14" t="s">
        <v>240</v>
      </c>
    </row>
    <row r="9" customFormat="false" ht="15" hidden="false" customHeight="false" outlineLevel="0" collapsed="false">
      <c r="A9" s="12" t="s">
        <v>241</v>
      </c>
      <c r="B9" s="13"/>
      <c r="C9" s="13"/>
      <c r="D9" s="13"/>
      <c r="E9" s="13"/>
      <c r="F9" s="13"/>
      <c r="G9" s="13"/>
      <c r="H9" s="13"/>
      <c r="I9" s="13"/>
      <c r="J9" s="13"/>
    </row>
    <row r="10" customFormat="false" ht="25.5" hidden="false" customHeight="true" outlineLevel="0" collapsed="false">
      <c r="A10" s="28" t="n">
        <v>1</v>
      </c>
      <c r="B10" s="29" t="s">
        <v>242</v>
      </c>
      <c r="C10" s="30" t="str">
        <f aca="false">HYPERLINK("#Inicio!C6","Inicio!C6:C9")</f>
        <v>Inicio!C6:C9</v>
      </c>
      <c r="D10" s="31" t="s">
        <v>243</v>
      </c>
      <c r="E10" s="31" t="s">
        <v>244</v>
      </c>
      <c r="F10" s="20" t="str">
        <f aca="false">IF(AND(n_Negocio&lt;&gt;"",n_Etapa&lt;&gt;""),"✔ Listo","⚠ Pendiente")</f>
        <v>✔ Listo</v>
      </c>
      <c r="G10" s="16"/>
      <c r="H10" s="17"/>
      <c r="I10" s="16"/>
      <c r="J10" s="16"/>
    </row>
    <row r="11" customFormat="false" ht="25.5" hidden="false" customHeight="true" outlineLevel="0" collapsed="false">
      <c r="A11" s="28" t="n">
        <v>2</v>
      </c>
      <c r="B11" s="29" t="s">
        <v>121</v>
      </c>
      <c r="C11" s="30" t="str">
        <f aca="false">HYPERLINK("#Inicio!C10","Inicio!C10")</f>
        <v>Inicio!C10</v>
      </c>
      <c r="D11" s="31" t="s">
        <v>245</v>
      </c>
      <c r="E11" s="31" t="s">
        <v>246</v>
      </c>
      <c r="F11" s="20" t="str">
        <f aca="false">IF(ISNUMBER(n_Fecha1),"✔ Listo","⚠ Pendiente (recomendado)")</f>
        <v>⚠ Pendiente (recomendado)</v>
      </c>
      <c r="G11" s="16"/>
      <c r="H11" s="17"/>
      <c r="I11" s="16"/>
      <c r="J11" s="16"/>
    </row>
    <row r="12" customFormat="false" ht="25.5" hidden="false" customHeight="true" outlineLevel="0" collapsed="false">
      <c r="A12" s="28" t="n">
        <v>3</v>
      </c>
      <c r="B12" s="29" t="s">
        <v>247</v>
      </c>
      <c r="C12" s="30" t="str">
        <f aca="false">HYPERLINK("#Inicio!C12","Inicio!C12")</f>
        <v>Inicio!C12</v>
      </c>
      <c r="D12" s="31" t="s">
        <v>248</v>
      </c>
      <c r="E12" s="31" t="s">
        <v>249</v>
      </c>
      <c r="F12" s="20" t="str">
        <f aca="false">IF(n_Etapa="Operación",IF(ISNUMBER(n_InicioReal),"✔ Listo","⚠ Pendiente"),IF(n_Etapa="","⚠ Definir primero la etapa (paso 1)","— No aplica (implantación)"))</f>
        <v>⚠ Pendiente</v>
      </c>
      <c r="G12" s="16"/>
      <c r="H12" s="17"/>
      <c r="I12" s="16"/>
      <c r="J12" s="16"/>
    </row>
    <row r="13" customFormat="false" ht="15" hidden="false" customHeight="false" outlineLevel="0" collapsed="false">
      <c r="A13" s="12" t="s">
        <v>250</v>
      </c>
      <c r="B13" s="13"/>
      <c r="C13" s="13"/>
      <c r="D13" s="13"/>
      <c r="E13" s="13"/>
      <c r="F13" s="13"/>
      <c r="G13" s="13"/>
      <c r="H13" s="13"/>
      <c r="I13" s="13"/>
      <c r="J13" s="13"/>
    </row>
    <row r="14" customFormat="false" ht="25.5" hidden="false" customHeight="true" outlineLevel="0" collapsed="false">
      <c r="A14" s="28" t="n">
        <v>4</v>
      </c>
      <c r="B14" s="29" t="s">
        <v>251</v>
      </c>
      <c r="C14" s="30" t="str">
        <f aca="false">HYPERLINK("#Supuestos!D6","Supuestos!D6:D34")</f>
        <v>Supuestos!D6:D34</v>
      </c>
      <c r="D14" s="31" t="s">
        <v>245</v>
      </c>
      <c r="E14" s="31" t="s">
        <v>252</v>
      </c>
      <c r="F14" s="20" t="str">
        <f aca="false">IF(COUNTBLANK(Supuestos!$D$6:$D$34)=0,"✔ Listo","⚠ Faltan "&amp;COUNTBLANK(Supuestos!$D$6:$D$34)&amp;" parámetros")</f>
        <v>✔ Listo</v>
      </c>
      <c r="G14" s="16"/>
      <c r="H14" s="17"/>
      <c r="I14" s="16"/>
      <c r="J14" s="16"/>
    </row>
    <row r="15" customFormat="false" ht="25.5" hidden="false" customHeight="true" outlineLevel="0" collapsed="false">
      <c r="A15" s="28" t="n">
        <v>5</v>
      </c>
      <c r="B15" s="29" t="s">
        <v>253</v>
      </c>
      <c r="C15" s="30" t="str">
        <f aca="false">HYPERLINK("#Supuestos!D39","Supuestos!D39:M39")</f>
        <v>Supuestos!D39:M39</v>
      </c>
      <c r="D15" s="31" t="s">
        <v>254</v>
      </c>
      <c r="E15" s="31" t="s">
        <v>255</v>
      </c>
      <c r="F15" s="20" t="str">
        <f aca="false">IF(COUNTIF(TC_O,"&gt;0")=10,"✔ Listo","⚠ Faltan "&amp;(10-COUNTIF(TC_O,"&gt;0"))&amp;" años")</f>
        <v>✔ Listo</v>
      </c>
      <c r="G15" s="16"/>
      <c r="H15" s="17"/>
      <c r="I15" s="16"/>
      <c r="J15" s="16"/>
    </row>
    <row r="16" customFormat="false" ht="25.5" hidden="false" customHeight="true" outlineLevel="0" collapsed="false">
      <c r="A16" s="28" t="n">
        <v>6</v>
      </c>
      <c r="B16" s="29" t="s">
        <v>256</v>
      </c>
      <c r="C16" s="30" t="str">
        <f aca="false">HYPERLINK("#Supuestos!D40","Supuestos!D40:M44")</f>
        <v>Supuestos!D40:M44</v>
      </c>
      <c r="D16" s="31" t="s">
        <v>245</v>
      </c>
      <c r="E16" s="31" t="s">
        <v>257</v>
      </c>
      <c r="F16" s="20" t="str">
        <f aca="false">IF(COUNTBLANK(Supuestos!$D$40:$M$44)=0,"✔ Listo","⚠ Faltan "&amp;COUNTBLANK(Supuestos!$D$40:$M$44)&amp;" celdas")</f>
        <v>✔ Listo</v>
      </c>
      <c r="G16" s="16"/>
      <c r="H16" s="17"/>
      <c r="I16" s="16"/>
      <c r="J16" s="16"/>
    </row>
    <row r="17" customFormat="false" ht="25.5" hidden="false" customHeight="true" outlineLevel="0" collapsed="false">
      <c r="A17" s="28" t="n">
        <v>7</v>
      </c>
      <c r="B17" s="29" t="s">
        <v>258</v>
      </c>
      <c r="C17" s="30" t="str">
        <f aca="false">HYPERLINK("#Productos!B6","Productos!B6:N30")</f>
        <v>Productos!B6:N30</v>
      </c>
      <c r="D17" s="31" t="s">
        <v>259</v>
      </c>
      <c r="E17" s="31" t="s">
        <v>260</v>
      </c>
      <c r="F17" s="20" t="str">
        <f aca="false">IF(SUMPRODUCT(--(Prod_Nombre&lt;&gt;""))=0,"⚠ Sin productos",IF(SUMPRODUCT((VolTot_O&gt;0)*(Precio_O=0))&gt;0,"⚠ "&amp;SUMPRODUCT((VolTot_O&gt;0)*(Precio_O=0))&amp;" producto(s) con volumen y sin precio","✔ "&amp;SUMPRODUCT(--(Prod_Nombre&lt;&gt;""))&amp;" producto(s)"))</f>
        <v>✔ 2 producto(s)</v>
      </c>
      <c r="G17" s="16"/>
      <c r="H17" s="17"/>
      <c r="I17" s="16"/>
      <c r="J17" s="16"/>
    </row>
    <row r="18" customFormat="false" ht="25.5" hidden="false" customHeight="true" outlineLevel="0" collapsed="false">
      <c r="A18" s="28" t="n">
        <v>8</v>
      </c>
      <c r="B18" s="29" t="s">
        <v>261</v>
      </c>
      <c r="C18" s="30" t="str">
        <f aca="false">HYPERLINK("#Productos!D34","Productos!D34:M58")</f>
        <v>Productos!D34:M58</v>
      </c>
      <c r="D18" s="31" t="s">
        <v>262</v>
      </c>
      <c r="E18" s="31" t="s">
        <v>263</v>
      </c>
      <c r="F18" s="20" t="str">
        <f aca="false">IF(SUM(VolTot_O)=0,"⚠ Sin volumen",IF(SUMPRODUCT((Prod_Nombre&lt;&gt;"")*(VolTot_O=0)*(VolTot_V=0))&gt;0,"⚠ Hay productos sin volumen","✔ Listo"))</f>
        <v>✔ Listo</v>
      </c>
      <c r="G18" s="16"/>
      <c r="H18" s="17"/>
      <c r="I18" s="16"/>
      <c r="J18" s="16"/>
    </row>
    <row r="19" customFormat="false" ht="25.5" hidden="false" customHeight="true" outlineLevel="0" collapsed="false">
      <c r="A19" s="28" t="n">
        <v>9</v>
      </c>
      <c r="B19" s="29" t="s">
        <v>264</v>
      </c>
      <c r="C19" s="30" t="str">
        <f aca="false">HYPERLINK("#Costos!B6","Costos!B6:P35")</f>
        <v>Costos!B6:P35</v>
      </c>
      <c r="D19" s="31" t="s">
        <v>265</v>
      </c>
      <c r="E19" s="31" t="s">
        <v>266</v>
      </c>
      <c r="F19" s="20" t="str">
        <f aca="false">IF(COUNT(Sal_O)=0,"⚠ Sin personal","✔ "&amp;COUNT(Sal_O)&amp;" puesto(s)")</f>
        <v>✔ 26 puesto(s)</v>
      </c>
      <c r="G19" s="16"/>
      <c r="H19" s="17"/>
      <c r="I19" s="16"/>
      <c r="J19" s="16"/>
    </row>
    <row r="20" customFormat="false" ht="25.5" hidden="false" customHeight="true" outlineLevel="0" collapsed="false">
      <c r="A20" s="28" t="n">
        <v>10</v>
      </c>
      <c r="B20" s="29" t="s">
        <v>267</v>
      </c>
      <c r="C20" s="30" t="str">
        <f aca="false">HYPERLINK("#Costos!B75","Costos!B75:J99")</f>
        <v>Costos!B75:J99</v>
      </c>
      <c r="D20" s="31" t="s">
        <v>268</v>
      </c>
      <c r="E20" s="31" t="s">
        <v>269</v>
      </c>
      <c r="F20" s="20" t="str">
        <f aca="false">IF(COUNT(FC_O)=0,"⚠ Sin costos fijos","✔ "&amp;COUNT(FC_O)&amp;" concepto(s)")</f>
        <v>✔ 9 concepto(s)</v>
      </c>
      <c r="G20" s="16"/>
      <c r="H20" s="17"/>
      <c r="I20" s="16"/>
      <c r="J20" s="16"/>
    </row>
    <row r="21" customFormat="false" ht="25.5" hidden="false" customHeight="true" outlineLevel="0" collapsed="false">
      <c r="A21" s="28" t="n">
        <v>11</v>
      </c>
      <c r="B21" s="29" t="s">
        <v>270</v>
      </c>
      <c r="C21" s="30" t="str">
        <f aca="false">HYPERLINK("#Inversion!B6","Inversion!B6:F25")</f>
        <v>Inversion!B6:F25</v>
      </c>
      <c r="D21" s="31" t="s">
        <v>271</v>
      </c>
      <c r="E21" s="31" t="s">
        <v>272</v>
      </c>
      <c r="F21" s="20" t="str">
        <f aca="false">IF(COUNT(Inv_D)=0,"⚠ Sin CAPEX",IF(SUMPRODUCT((Inv_D&gt;0)*((Inv_E="")+(Inv_F="")))&gt;0,"⚠ Ítems sin mes o sin vida útil","✔ "&amp;COUNT(Inv_D)&amp;" ítem(s)"))</f>
        <v>✔ 14 ítem(s)</v>
      </c>
      <c r="G21" s="16"/>
      <c r="H21" s="17"/>
      <c r="I21" s="16"/>
      <c r="J21" s="16"/>
    </row>
    <row r="22" customFormat="false" ht="25.5" hidden="false" customHeight="true" outlineLevel="0" collapsed="false">
      <c r="A22" s="28" t="n">
        <v>12</v>
      </c>
      <c r="B22" s="29" t="s">
        <v>273</v>
      </c>
      <c r="C22" s="30" t="str">
        <f aca="false">HYPERLINK("#Inversion!B29","Inversion, secciones B, B2 y C")</f>
        <v>Inversion, secciones B, B2 y C</v>
      </c>
      <c r="D22" s="31" t="s">
        <v>274</v>
      </c>
      <c r="E22" s="31" t="s">
        <v>275</v>
      </c>
      <c r="F22" s="20" t="str">
        <f aca="false">IF(N(P_L1_Monto)+N(P_L2_Monto)+N(P_L3_Monto)+N(P_LC_Lim)+SUM(Ap_MontoO)=0,"○ Sin financiamiento cargado","✔ Listo")</f>
        <v>✔ Listo</v>
      </c>
      <c r="G22" s="16"/>
      <c r="H22" s="17"/>
      <c r="I22" s="16"/>
      <c r="J22" s="16"/>
    </row>
    <row r="23" customFormat="false" ht="25.5" hidden="false" customHeight="true" outlineLevel="0" collapsed="false">
      <c r="A23" s="28" t="n">
        <v>13</v>
      </c>
      <c r="B23" s="29" t="s">
        <v>276</v>
      </c>
      <c r="C23" s="30" t="str">
        <f aca="false">HYPERLINK("#Resultados!B4","Resultados")</f>
        <v>Resultados</v>
      </c>
      <c r="D23" s="31" t="s">
        <v>277</v>
      </c>
      <c r="E23" s="31" t="s">
        <v>278</v>
      </c>
      <c r="F23" s="20" t="str">
        <f aca="false">IF(c_C01="OK","✔ Balance OK","⚠ Revisar el balance")</f>
        <v>✔ Balance OK</v>
      </c>
      <c r="G23" s="16"/>
      <c r="H23" s="17"/>
      <c r="I23" s="16"/>
      <c r="J23" s="16"/>
    </row>
    <row r="24" customFormat="false" ht="15" hidden="false" customHeight="false" outlineLevel="0" collapsed="false">
      <c r="A24" s="12" t="s">
        <v>279</v>
      </c>
      <c r="B24" s="13"/>
      <c r="C24" s="13"/>
      <c r="D24" s="13"/>
      <c r="E24" s="13"/>
      <c r="F24" s="13"/>
      <c r="G24" s="13"/>
      <c r="H24" s="13"/>
      <c r="I24" s="13"/>
      <c r="J24" s="13"/>
    </row>
    <row r="25" customFormat="false" ht="25.5" hidden="false" customHeight="true" outlineLevel="0" collapsed="false">
      <c r="A25" s="28" t="n">
        <v>14</v>
      </c>
      <c r="B25" s="29" t="s">
        <v>280</v>
      </c>
      <c r="C25" s="30" t="str">
        <f aca="false">HYPERLINK("#Supuestos!E6","Columnas «Vigente»")</f>
        <v>Columnas «Vigente»</v>
      </c>
      <c r="D25" s="31" t="s">
        <v>281</v>
      </c>
      <c r="E25" s="31" t="s">
        <v>282</v>
      </c>
      <c r="F25" s="20" t="str">
        <f aca="false">"○ "&amp;c_Modificados&amp;" celda(s) vigente(s) modificada(s)"</f>
        <v>○ 0 celda(s) vigente(s) modificada(s)</v>
      </c>
      <c r="G25" s="16"/>
      <c r="H25" s="17"/>
      <c r="I25" s="16"/>
      <c r="J25" s="16"/>
    </row>
    <row r="26" customFormat="false" ht="25.5" hidden="false" customHeight="true" outlineLevel="0" collapsed="false">
      <c r="A26" s="28" t="n">
        <v>15</v>
      </c>
      <c r="B26" s="29" t="s">
        <v>283</v>
      </c>
      <c r="C26" s="30" t="str">
        <f aca="false">HYPERLINK("#Inicio!C13","Inicio!C13")</f>
        <v>Inicio!C13</v>
      </c>
      <c r="D26" s="31" t="s">
        <v>277</v>
      </c>
      <c r="E26" s="31" t="s">
        <v>284</v>
      </c>
      <c r="F26" s="20" t="str">
        <f aca="false">IF(n_Escenario="Vigente","✔ Vigente","⚠ Activo: "&amp;n_Escenario&amp;" (volver a Vigente)")</f>
        <v>✔ Vigente</v>
      </c>
      <c r="G26" s="16"/>
      <c r="H26" s="17"/>
      <c r="I26" s="16"/>
      <c r="J26" s="16"/>
    </row>
    <row r="27" customFormat="false" ht="15" hidden="false" customHeight="false" outlineLevel="0" collapsed="false">
      <c r="A27" s="12" t="s">
        <v>285</v>
      </c>
      <c r="B27" s="13"/>
      <c r="C27" s="13"/>
      <c r="D27" s="13"/>
      <c r="E27" s="13"/>
      <c r="F27" s="13"/>
      <c r="G27" s="13"/>
      <c r="H27" s="13"/>
      <c r="I27" s="13"/>
      <c r="J27" s="13"/>
    </row>
    <row r="28" customFormat="false" ht="25.5" hidden="false" customHeight="true" outlineLevel="0" collapsed="false">
      <c r="A28" s="28" t="n">
        <v>16</v>
      </c>
      <c r="B28" s="29" t="s">
        <v>286</v>
      </c>
      <c r="C28" s="30" t="str">
        <f aca="false">HYPERLINK("#Reales!"&amp;ADDRESS(10,5+g_Mes,4),"Reales, fila 10, mes "&amp;g_Mes)</f>
        <v>Reales, fila 10, mes 1</v>
      </c>
      <c r="D28" s="31" t="s">
        <v>287</v>
      </c>
      <c r="E28" s="31" t="s">
        <v>288</v>
      </c>
      <c r="F28" s="20" t="str">
        <f aca="false">IF(ISNUMBER(INDEX(Reales!$F$10:$ES$10,1,g_Mes)),"✔ Cargado","⚠ Pendiente")</f>
        <v>⚠ Pendiente</v>
      </c>
      <c r="G28" s="16"/>
      <c r="H28" s="17"/>
      <c r="I28" s="16"/>
      <c r="J28" s="16"/>
    </row>
    <row r="29" customFormat="false" ht="25.5" hidden="false" customHeight="true" outlineLevel="0" collapsed="false">
      <c r="A29" s="28" t="n">
        <v>17</v>
      </c>
      <c r="B29" s="29" t="s">
        <v>289</v>
      </c>
      <c r="C29" s="30" t="str">
        <f aca="false">HYPERLINK("#Reales!"&amp;ADDRESS(12,5+g_Mes,4),"Reales, filas 12-36, mes "&amp;g_Mes)</f>
        <v>Reales, filas 12-36, mes 1</v>
      </c>
      <c r="D29" s="31" t="s">
        <v>290</v>
      </c>
      <c r="E29" s="31" t="s">
        <v>291</v>
      </c>
      <c r="F29" s="20" t="str">
        <f aca="false">IF(SUMPRODUCT(--(Prod_Nombre&lt;&gt;""))=0,"— Sin productos",IF(SUMPRODUCT((Prod_Nombre&lt;&gt;"")*ISNUMBER(INDEX(Reales!$F$12:$ES$36,0,g_Mes)))=SUMPRODUCT(--(Prod_Nombre&lt;&gt;"")),"✔ Cargado","⚠ Faltan "&amp;(SUMPRODUCT(--(Prod_Nombre&lt;&gt;""))-SUMPRODUCT((Prod_Nombre&lt;&gt;"")*ISNUMBER(INDEX(Reales!$F$12:$ES$36,0,g_Mes))))&amp;" producto(s)"))</f>
        <v>⚠ Faltan 2 producto(s)</v>
      </c>
      <c r="G29" s="16"/>
      <c r="H29" s="17"/>
      <c r="I29" s="16"/>
      <c r="J29" s="16"/>
    </row>
    <row r="30" customFormat="false" ht="25.5" hidden="false" customHeight="true" outlineLevel="0" collapsed="false">
      <c r="A30" s="28" t="n">
        <v>18</v>
      </c>
      <c r="B30" s="29" t="s">
        <v>292</v>
      </c>
      <c r="C30" s="30" t="str">
        <f aca="false">HYPERLINK("#Reales!"&amp;ADDRESS(38,5+g_Mes,4),"Reales, filas 38-62, mes "&amp;g_Mes)</f>
        <v>Reales, filas 38-62, mes 1</v>
      </c>
      <c r="D30" s="31" t="s">
        <v>293</v>
      </c>
      <c r="E30" s="31" t="s">
        <v>294</v>
      </c>
      <c r="F30" s="20" t="str">
        <f aca="false">IF(SUMPRODUCT(--(Prod_Nombre&lt;&gt;""))=0,"— Sin productos",IF(SUMPRODUCT((Prod_Nombre&lt;&gt;"")*ISNUMBER(INDEX(Reales!$F$38:$ES$62,0,g_Mes)))=SUMPRODUCT(--(Prod_Nombre&lt;&gt;"")),"✔ Cargado","⚠ Faltan "&amp;(SUMPRODUCT(--(Prod_Nombre&lt;&gt;""))-SUMPRODUCT((Prod_Nombre&lt;&gt;"")*ISNUMBER(INDEX(Reales!$F$38:$ES$62,0,g_Mes))))&amp;" producto(s)"))</f>
        <v>⚠ Faltan 2 producto(s)</v>
      </c>
      <c r="G30" s="16"/>
      <c r="H30" s="17"/>
      <c r="I30" s="16"/>
      <c r="J30" s="16"/>
    </row>
    <row r="31" customFormat="false" ht="25.5" hidden="false" customHeight="true" outlineLevel="0" collapsed="false">
      <c r="A31" s="28" t="n">
        <v>19</v>
      </c>
      <c r="B31" s="29" t="s">
        <v>295</v>
      </c>
      <c r="C31" s="30" t="str">
        <f aca="false">HYPERLINK("#Reales!"&amp;ADDRESS(64,5+g_Mes,4),"Reales, filas 64-70, mes "&amp;g_Mes)</f>
        <v>Reales, filas 64-70, mes 1</v>
      </c>
      <c r="D31" s="31" t="s">
        <v>296</v>
      </c>
      <c r="E31" s="31" t="s">
        <v>297</v>
      </c>
      <c r="F31" s="20" t="str">
        <f aca="false">IF(COUNT(INDEX(Reales!$F$64:$ES$70,0,g_Mes))=7,"✔ 7 de 7","⚠ "&amp;COUNT(INDEX(Reales!$F$64:$ES$70,0,g_Mes))&amp;" de 7 cargados")</f>
        <v>⚠ 0 de 7 cargados</v>
      </c>
      <c r="G31" s="16"/>
      <c r="H31" s="17"/>
      <c r="I31" s="16"/>
      <c r="J31" s="16"/>
    </row>
    <row r="32" customFormat="false" ht="25.5" hidden="false" customHeight="true" outlineLevel="0" collapsed="false">
      <c r="A32" s="28" t="n">
        <v>20</v>
      </c>
      <c r="B32" s="29" t="s">
        <v>298</v>
      </c>
      <c r="C32" s="30" t="str">
        <f aca="false">HYPERLINK("#Reales!"&amp;ADDRESS(72,5+g_Mes,4),"Reales, filas 72-77, mes "&amp;g_Mes)</f>
        <v>Reales, filas 72-77, mes 1</v>
      </c>
      <c r="D32" s="31" t="s">
        <v>299</v>
      </c>
      <c r="E32" s="31" t="s">
        <v>300</v>
      </c>
      <c r="F32" s="20" t="str">
        <f aca="false">IF(COUNT(INDEX(Reales!$F$72:$ES$77,0,g_Mes))=6,"✔ 6 de 6","⚠ "&amp;COUNT(INDEX(Reales!$F$72:$ES$77,0,g_Mes))&amp;" de 6 cargados")</f>
        <v>⚠ 0 de 6 cargados</v>
      </c>
      <c r="G32" s="16"/>
      <c r="H32" s="17"/>
      <c r="I32" s="16"/>
      <c r="J32" s="16"/>
    </row>
    <row r="33" customFormat="false" ht="25.5" hidden="false" customHeight="true" outlineLevel="0" collapsed="false">
      <c r="A33" s="28" t="n">
        <v>21</v>
      </c>
      <c r="B33" s="29" t="s">
        <v>301</v>
      </c>
      <c r="C33" s="30" t="str">
        <f aca="false">HYPERLINK("#Reales!"&amp;ADDRESS(79,5+g_Mes,4),"Reales, filas 79-84, mes "&amp;g_Mes)</f>
        <v>Reales, filas 79-84, mes 1</v>
      </c>
      <c r="D33" s="31" t="s">
        <v>302</v>
      </c>
      <c r="E33" s="31" t="s">
        <v>303</v>
      </c>
      <c r="F33" s="20" t="str">
        <f aca="false">IF(COUNT(INDEX(Reales!$F$79:$ES$84,0,g_Mes))=6,"✔ 6 de 6","⚠ "&amp;COUNT(INDEX(Reales!$F$79:$ES$84,0,g_Mes))&amp;" de 6 cargados")</f>
        <v>⚠ 0 de 6 cargados</v>
      </c>
      <c r="G33" s="16"/>
      <c r="H33" s="17"/>
      <c r="I33" s="16"/>
      <c r="J33" s="16"/>
    </row>
    <row r="34" customFormat="false" ht="25.5" hidden="false" customHeight="true" outlineLevel="0" collapsed="false">
      <c r="A34" s="28" t="n">
        <v>22</v>
      </c>
      <c r="B34" s="29" t="s">
        <v>304</v>
      </c>
      <c r="C34" s="30" t="str">
        <f aca="false">HYPERLINK("#Inversion!G6","Inversion!G6:L25")</f>
        <v>Inversion!G6:L25</v>
      </c>
      <c r="D34" s="31" t="s">
        <v>305</v>
      </c>
      <c r="E34" s="31" t="s">
        <v>306</v>
      </c>
      <c r="F34" s="20" t="str">
        <f aca="false">IF(AND(N(i_Pagado)=0,SUM(Reales!$F$72:$ES$72)=0),"○ Sin CAPEX ejecutado todavía",IF(c_C08="OK","✔ Concilia","⚠ No concilia con Reales"))</f>
        <v>○ Sin CAPEX ejecutado todavía</v>
      </c>
      <c r="G34" s="16"/>
      <c r="H34" s="17"/>
      <c r="I34" s="16"/>
      <c r="J34" s="16"/>
    </row>
    <row r="35" customFormat="false" ht="25.5" hidden="false" customHeight="true" outlineLevel="0" collapsed="false">
      <c r="A35" s="28" t="n">
        <v>23</v>
      </c>
      <c r="B35" s="29" t="s">
        <v>307</v>
      </c>
      <c r="C35" s="30" t="str">
        <f aca="false">HYPERLINK("#Inicio!C11","Inicio!C11")</f>
        <v>Inicio!C11</v>
      </c>
      <c r="D35" s="31" t="s">
        <v>277</v>
      </c>
      <c r="E35" s="31" t="s">
        <v>308</v>
      </c>
      <c r="F35" s="20" t="str">
        <f aca="false">IF(AND(LEFT(F28,1)="✔",LEFT(F29,1)="✔",LEFT(F30,1)="✔",LEFT(F31,1)="✔",LEFT(F32,1)="✔",LEFT(F33,1)="✔"),"✔ Listo para cerrar: poner "&amp;g_Mes,"⚠ Esperar: faltan datos del mes "&amp;g_Mes)</f>
        <v>⚠ Esperar: faltan datos del mes 1</v>
      </c>
      <c r="G35" s="16"/>
      <c r="H35" s="17"/>
      <c r="I35" s="16"/>
      <c r="J35" s="16"/>
    </row>
    <row r="36" customFormat="false" ht="25.5" hidden="false" customHeight="true" outlineLevel="0" collapsed="false">
      <c r="A36" s="28" t="n">
        <v>24</v>
      </c>
      <c r="B36" s="29" t="s">
        <v>309</v>
      </c>
      <c r="C36" s="30" t="str">
        <f aca="false">HYPERLINK("#Control!B4","Control")</f>
        <v>Control</v>
      </c>
      <c r="D36" s="31" t="s">
        <v>277</v>
      </c>
      <c r="E36" s="31" t="s">
        <v>310</v>
      </c>
      <c r="F36" s="20" t="str">
        <f aca="false">IF(Corte=0,"○ Sin meses cerrados",IF(AND(c_C03="OK",c_C04="OK",c_C05="OK",c_C06="OK",c_C07="OK",c_C08="OK"),"✔ Controles de carga OK","⚠ "&amp;c_Alertas&amp;" control(es) en REVISAR"))</f>
        <v>○ Sin meses cerrados</v>
      </c>
      <c r="G36" s="16"/>
      <c r="H36" s="17"/>
      <c r="I36" s="16"/>
      <c r="J36" s="16"/>
    </row>
    <row r="37" customFormat="false" ht="15" hidden="false" customHeight="false" outlineLevel="0" collapsed="false">
      <c r="A37" s="12" t="s">
        <v>311</v>
      </c>
      <c r="B37" s="13"/>
      <c r="C37" s="13"/>
      <c r="D37" s="13"/>
      <c r="E37" s="13"/>
      <c r="F37" s="13"/>
      <c r="G37" s="13"/>
      <c r="H37" s="13"/>
      <c r="I37" s="13"/>
      <c r="J37" s="13"/>
    </row>
    <row r="38" customFormat="false" ht="25.5" hidden="false" customHeight="true" outlineLevel="0" collapsed="false">
      <c r="A38" s="28" t="n">
        <v>25</v>
      </c>
      <c r="B38" s="29" t="s">
        <v>312</v>
      </c>
      <c r="C38" s="30" t="str">
        <f aca="false">HYPERLINK("#Resultados!B4","Resultados, indicadores")</f>
        <v>Resultados, indicadores</v>
      </c>
      <c r="D38" s="31" t="s">
        <v>277</v>
      </c>
      <c r="E38" s="31" t="s">
        <v>313</v>
      </c>
      <c r="F38" s="20" t="str">
        <f aca="false">IF(c_C13="OK","✔ Sin brecha","⚠ Brecha máxima USD "&amp;FIXED(r_BrechaV,0))</f>
        <v>⚠ Brecha máxima USD 373,701</v>
      </c>
      <c r="G38" s="16"/>
      <c r="H38" s="17"/>
      <c r="I38" s="16"/>
      <c r="J38" s="16"/>
    </row>
    <row r="39" customFormat="false" ht="25.5" hidden="false" customHeight="true" outlineLevel="0" collapsed="false">
      <c r="A39" s="28" t="n">
        <v>26</v>
      </c>
      <c r="B39" s="29" t="s">
        <v>314</v>
      </c>
      <c r="C39" s="30" t="str">
        <f aca="false">HYPERLINK("#Resultados!B147","Resultados, sección D")</f>
        <v>Resultados, sección D</v>
      </c>
      <c r="D39" s="31" t="s">
        <v>277</v>
      </c>
      <c r="E39" s="31" t="s">
        <v>315</v>
      </c>
      <c r="F39" s="20" t="str">
        <f aca="false">"○ Revisar"</f>
        <v>○ Revisar</v>
      </c>
      <c r="G39" s="16"/>
      <c r="H39" s="17"/>
      <c r="I39" s="16"/>
      <c r="J39" s="16"/>
    </row>
    <row r="40" customFormat="false" ht="25.5" hidden="false" customHeight="true" outlineLevel="0" collapsed="false">
      <c r="A40" s="28" t="n">
        <v>27</v>
      </c>
      <c r="B40" s="29" t="s">
        <v>316</v>
      </c>
      <c r="C40" s="30" t="str">
        <f aca="false">HYPERLINK("#Inicio!B4","Inicio")</f>
        <v>Inicio</v>
      </c>
      <c r="D40" s="31" t="s">
        <v>277</v>
      </c>
      <c r="E40" s="31" t="s">
        <v>317</v>
      </c>
      <c r="F40" s="20" t="str">
        <f aca="false">"○ Manual"</f>
        <v>○ Manual</v>
      </c>
      <c r="G40" s="16"/>
      <c r="H40" s="17"/>
      <c r="I40" s="16"/>
      <c r="J40" s="16"/>
    </row>
    <row r="41" customFormat="false" ht="25.5" hidden="false" customHeight="true" outlineLevel="0" collapsed="false">
      <c r="A41" s="28" t="n">
        <v>28</v>
      </c>
      <c r="B41" s="29" t="s">
        <v>318</v>
      </c>
      <c r="C41" s="30" t="str">
        <f aca="false">HYPERLINK("#Supuestos!E6","Supuestos")</f>
        <v>Supuestos</v>
      </c>
      <c r="D41" s="31" t="s">
        <v>277</v>
      </c>
      <c r="E41" s="31" t="s">
        <v>319</v>
      </c>
      <c r="F41" s="20" t="str">
        <f aca="false">"○ Manual"</f>
        <v>○ Manual</v>
      </c>
      <c r="G41" s="16"/>
      <c r="H41" s="17"/>
      <c r="I41" s="16"/>
      <c r="J41" s="16"/>
    </row>
    <row r="42" customFormat="false" ht="15" hidden="false" customHeight="false" outlineLevel="0" collapsed="false">
      <c r="A42" s="12" t="s">
        <v>320</v>
      </c>
      <c r="B42" s="13"/>
      <c r="C42" s="13"/>
      <c r="D42" s="13"/>
      <c r="E42" s="13"/>
      <c r="F42" s="13"/>
      <c r="G42" s="13"/>
      <c r="H42" s="13"/>
      <c r="I42" s="13"/>
      <c r="J42" s="13"/>
    </row>
    <row r="43" customFormat="false" ht="25.5" hidden="false" customHeight="true" outlineLevel="0" collapsed="false">
      <c r="A43" s="28" t="n">
        <v>29</v>
      </c>
      <c r="B43" s="29" t="s">
        <v>321</v>
      </c>
      <c r="C43" s="30" t="str">
        <f aca="false">HYPERLINK("#Detalle_24m!"&amp;ADDRESS(14,MIN(149,5+Corte+1),4),"Detalle_24m, bloque B")</f>
        <v>Detalle_24m, bloque B</v>
      </c>
      <c r="D43" s="31" t="s">
        <v>322</v>
      </c>
      <c r="E43" s="31" t="s">
        <v>323</v>
      </c>
      <c r="F43" s="20" t="str">
        <f aca="false">IF(N(n_Ventana)=0,"— Sin ventana",IF(SUMPRODUCT((Detalle_24m!$F$4:$ES$4&gt;Corte)*(Detalle_24m!$F$4:$ES$4&lt;=Corte+n_Ventana)*(Det_nQ&gt;0))=0,"○ Usa supuestos anuales",IF(SUMPRODUCT((Detalle_24m!$F$4:$ES$4&gt;Corte)*(Detalle_24m!$F$4:$ES$4&lt;=Corte+n_Ventana)*(Det_nQ&gt;0))&gt;=MIN(n_Ventana,144-Corte),"✔ "&amp;MIN(n_Ventana,144-Corte)&amp;" meses detallados","⚠ "&amp;SUMPRODUCT((Detalle_24m!$F$4:$ES$4&gt;Corte)*(Detalle_24m!$F$4:$ES$4&lt;=Corte+n_Ventana)*(Det_nQ&gt;0))&amp;" de "&amp;MIN(n_Ventana,144-Corte)&amp;" meses: completar hasta el mes "&amp;MIN(144,Corte+n_Ventana))))</f>
        <v>○ Usa supuestos anuales</v>
      </c>
      <c r="G43" s="16"/>
      <c r="H43" s="17"/>
      <c r="I43" s="16"/>
      <c r="J43" s="16"/>
    </row>
    <row r="44" customFormat="false" ht="25.5" hidden="false" customHeight="true" outlineLevel="0" collapsed="false">
      <c r="A44" s="28" t="n">
        <v>30</v>
      </c>
      <c r="B44" s="29" t="s">
        <v>324</v>
      </c>
      <c r="C44" s="30" t="str">
        <f aca="false">HYPERLINK("#Detalle_24m!"&amp;ADDRESS(42,MIN(149,5+Corte+1),4),"Detalle_24m, bloque C")</f>
        <v>Detalle_24m, bloque C</v>
      </c>
      <c r="D44" s="31" t="s">
        <v>325</v>
      </c>
      <c r="E44" s="31" t="s">
        <v>326</v>
      </c>
      <c r="F44" s="20" t="str">
        <f aca="false">IF(N(n_Ventana)=0,"— Sin ventana",IF(SUMPRODUCT((Detalle_24m!$F$4:$ES$4&gt;Corte)*(Detalle_24m!$F$4:$ES$4&lt;=Corte+n_Ventana)*(Det_nP&gt;0))=0,"○ Usa supuestos anuales",IF(SUMPRODUCT((Detalle_24m!$F$4:$ES$4&gt;Corte)*(Detalle_24m!$F$4:$ES$4&lt;=Corte+n_Ventana)*(Det_nP&gt;0))&gt;=MIN(n_Ventana,144-Corte),"✔ "&amp;MIN(n_Ventana,144-Corte)&amp;" meses detallados","⚠ "&amp;SUMPRODUCT((Detalle_24m!$F$4:$ES$4&gt;Corte)*(Detalle_24m!$F$4:$ES$4&lt;=Corte+n_Ventana)*(Det_nP&gt;0))&amp;" de "&amp;MIN(n_Ventana,144-Corte)&amp;" meses: completar hasta el mes "&amp;MIN(144,Corte+n_Ventana))))</f>
        <v>○ Usa supuestos anuales</v>
      </c>
      <c r="G44" s="16"/>
      <c r="H44" s="17"/>
      <c r="I44" s="16"/>
      <c r="J44" s="16"/>
    </row>
    <row r="45" customFormat="false" ht="25.5" hidden="false" customHeight="true" outlineLevel="0" collapsed="false">
      <c r="A45" s="28" t="n">
        <v>31</v>
      </c>
      <c r="B45" s="29" t="s">
        <v>327</v>
      </c>
      <c r="C45" s="30" t="str">
        <f aca="false">HYPERLINK("#Detalle_24m!"&amp;ADDRESS(70,MIN(149,5+Corte+1),4),"Detalle_24m, bloque D")</f>
        <v>Detalle_24m, bloque D</v>
      </c>
      <c r="D45" s="31" t="s">
        <v>328</v>
      </c>
      <c r="E45" s="31" t="s">
        <v>329</v>
      </c>
      <c r="F45" s="20" t="str">
        <f aca="false">IF(N(n_Ventana)=0,"— Sin ventana",IF(SUMPRODUCT((Detalle_24m!$F$4:$ES$4&gt;Corte)*(Detalle_24m!$F$4:$ES$4&lt;=Corte+n_Ventana)*(Det_nMP&gt;0))=0,"○ Usa supuestos anuales",IF(SUMPRODUCT((Detalle_24m!$F$4:$ES$4&gt;Corte)*(Detalle_24m!$F$4:$ES$4&lt;=Corte+n_Ventana)*(Det_nMP&gt;0))&gt;=MIN(n_Ventana,144-Corte),"✔ "&amp;MIN(n_Ventana,144-Corte)&amp;" meses detallados","⚠ "&amp;SUMPRODUCT((Detalle_24m!$F$4:$ES$4&gt;Corte)*(Detalle_24m!$F$4:$ES$4&lt;=Corte+n_Ventana)*(Det_nMP&gt;0))&amp;" de "&amp;MIN(n_Ventana,144-Corte)&amp;" meses: completar hasta el mes "&amp;MIN(144,Corte+n_Ventana))))</f>
        <v>○ Usa supuestos anuales</v>
      </c>
      <c r="G45" s="16"/>
      <c r="H45" s="17"/>
      <c r="I45" s="16"/>
      <c r="J45" s="16"/>
    </row>
    <row r="46" customFormat="false" ht="25.5" hidden="false" customHeight="true" outlineLevel="0" collapsed="false">
      <c r="A46" s="28" t="n">
        <v>32</v>
      </c>
      <c r="B46" s="29" t="s">
        <v>330</v>
      </c>
      <c r="C46" s="30" t="str">
        <f aca="false">HYPERLINK("#Detalle_24m!"&amp;ADDRESS(154,MIN(149,5+Corte+1),4),"Detalle_24m, bloque G")</f>
        <v>Detalle_24m, bloque G</v>
      </c>
      <c r="D46" s="31" t="s">
        <v>331</v>
      </c>
      <c r="E46" s="31" t="s">
        <v>332</v>
      </c>
      <c r="F46" s="20" t="str">
        <f aca="false">IF(N(n_Ventana)=0,"— Sin ventana",IF(SUMPRODUCT((Detalle_24m!$F$4:$ES$4&gt;Corte)*(Detalle_24m!$F$4:$ES$4&lt;=Corte+n_Ventana)*(Det_nDO&gt;0))=0,"○ Usa supuestos anuales",IF(SUMPRODUCT((Detalle_24m!$F$4:$ES$4&gt;Corte)*(Detalle_24m!$F$4:$ES$4&lt;=Corte+n_Ventana)*(Det_nDO&gt;0))&gt;=MIN(n_Ventana,144-Corte),"✔ "&amp;MIN(n_Ventana,144-Corte)&amp;" meses detallados","⚠ "&amp;SUMPRODUCT((Detalle_24m!$F$4:$ES$4&gt;Corte)*(Detalle_24m!$F$4:$ES$4&lt;=Corte+n_Ventana)*(Det_nDO&gt;0))&amp;" de "&amp;MIN(n_Ventana,144-Corte)&amp;" meses: completar hasta el mes "&amp;MIN(144,Corte+n_Ventana))))</f>
        <v>○ Usa supuestos anuales</v>
      </c>
      <c r="G46" s="16"/>
      <c r="H46" s="17"/>
      <c r="I46" s="16"/>
      <c r="J46" s="16"/>
    </row>
    <row r="47" customFormat="false" ht="25.5" hidden="false" customHeight="true" outlineLevel="0" collapsed="false">
      <c r="A47" s="28" t="n">
        <v>33</v>
      </c>
      <c r="B47" s="29" t="s">
        <v>333</v>
      </c>
      <c r="C47" s="30" t="str">
        <f aca="false">HYPERLINK("#Detalle_24m!"&amp;ADDRESS(187,MIN(149,5+Corte+1),4),"Detalle_24m, bloque H")</f>
        <v>Detalle_24m, bloque H</v>
      </c>
      <c r="D47" s="31" t="s">
        <v>334</v>
      </c>
      <c r="E47" s="31" t="s">
        <v>335</v>
      </c>
      <c r="F47" s="20" t="str">
        <f aca="false">IF(N(n_Ventana)=0,"— Sin ventana",IF(SUMPRODUCT((Detalle_24m!$F$4:$ES$4&gt;Corte)*(Detalle_24m!$F$4:$ES$4&lt;=Corte+n_Ventana)*(Det_nSA&gt;0))=0,"○ Usa supuestos anuales",IF(SUMPRODUCT((Detalle_24m!$F$4:$ES$4&gt;Corte)*(Detalle_24m!$F$4:$ES$4&lt;=Corte+n_Ventana)*(Det_nSA&gt;0))&gt;=MIN(n_Ventana,144-Corte),"✔ "&amp;MIN(n_Ventana,144-Corte)&amp;" meses detallados","⚠ "&amp;SUMPRODUCT((Detalle_24m!$F$4:$ES$4&gt;Corte)*(Detalle_24m!$F$4:$ES$4&lt;=Corte+n_Ventana)*(Det_nSA&gt;0))&amp;" de "&amp;MIN(n_Ventana,144-Corte)&amp;" meses: completar hasta el mes "&amp;MIN(144,Corte+n_Ventana))))</f>
        <v>○ Usa supuestos anuales</v>
      </c>
      <c r="G47" s="16"/>
      <c r="H47" s="17"/>
      <c r="I47" s="16"/>
      <c r="J47" s="16"/>
    </row>
    <row r="48" customFormat="false" ht="25.5" hidden="false" customHeight="true" outlineLevel="0" collapsed="false">
      <c r="A48" s="28" t="n">
        <v>34</v>
      </c>
      <c r="B48" s="29" t="s">
        <v>336</v>
      </c>
      <c r="C48" s="30" t="str">
        <f aca="false">HYPERLINK("#Detalle_24m!"&amp;ADDRESS(220,MIN(149,5+Corte+1),4),"Detalle_24m, bloque I")</f>
        <v>Detalle_24m, bloque I</v>
      </c>
      <c r="D48" s="31" t="s">
        <v>337</v>
      </c>
      <c r="E48" s="31" t="s">
        <v>338</v>
      </c>
      <c r="F48" s="20" t="str">
        <f aca="false">IF(N(n_Ventana)=0,"— Sin ventana",IF(SUMPRODUCT((Detalle_24m!$F$4:$ES$4&gt;Corte)*(Detalle_24m!$F$4:$ES$4&lt;=Corte+n_Ventana)*(Det_nFC&gt;0))=0,"○ Usa supuestos anuales",IF(SUMPRODUCT((Detalle_24m!$F$4:$ES$4&gt;Corte)*(Detalle_24m!$F$4:$ES$4&lt;=Corte+n_Ventana)*(Det_nFC&gt;0))&gt;=MIN(n_Ventana,144-Corte),"✔ "&amp;MIN(n_Ventana,144-Corte)&amp;" meses detallados","⚠ "&amp;SUMPRODUCT((Detalle_24m!$F$4:$ES$4&gt;Corte)*(Detalle_24m!$F$4:$ES$4&lt;=Corte+n_Ventana)*(Det_nFC&gt;0))&amp;" de "&amp;MIN(n_Ventana,144-Corte)&amp;" meses: completar hasta el mes "&amp;MIN(144,Corte+n_Ventana))))</f>
        <v>○ Usa supuestos anuales</v>
      </c>
      <c r="G48" s="16"/>
      <c r="H48" s="17"/>
      <c r="I48" s="16"/>
      <c r="J48" s="16"/>
    </row>
    <row r="49" customFormat="false" ht="25.5" hidden="false" customHeight="true" outlineLevel="0" collapsed="false">
      <c r="A49" s="28" t="n">
        <v>35</v>
      </c>
      <c r="B49" s="29" t="s">
        <v>339</v>
      </c>
      <c r="C49" s="30" t="str">
        <f aca="false">HYPERLINK("#Detalle_24m!"&amp;ADDRESS(10,MIN(149,5+Corte+1),4),"Detalle_24m, bloque A")</f>
        <v>Detalle_24m, bloque A</v>
      </c>
      <c r="D49" s="31" t="s">
        <v>340</v>
      </c>
      <c r="E49" s="31" t="s">
        <v>341</v>
      </c>
      <c r="F49" s="20" t="str">
        <f aca="false">IF(N(n_Ventana)=0,"— Sin ventana",IF(SUMPRODUCT((Detalle_24m!$F$4:$ES$4&gt;Corte)*(Detalle_24m!$F$4:$ES$4&lt;=Corte+n_Ventana)*(Det_nTC&gt;0))=0,"○ Usa supuestos anuales",IF(SUMPRODUCT((Detalle_24m!$F$4:$ES$4&gt;Corte)*(Detalle_24m!$F$4:$ES$4&lt;=Corte+n_Ventana)*(Det_nTC&gt;0))&gt;=MIN(n_Ventana,144-Corte),"✔ "&amp;MIN(n_Ventana,144-Corte)&amp;" meses detallados","⚠ "&amp;SUMPRODUCT((Detalle_24m!$F$4:$ES$4&gt;Corte)*(Detalle_24m!$F$4:$ES$4&lt;=Corte+n_Ventana)*(Det_nTC&gt;0))&amp;" de "&amp;MIN(n_Ventana,144-Corte)&amp;" meses: completar hasta el mes "&amp;MIN(144,Corte+n_Ventana))))</f>
        <v>○ Usa supuestos anuales</v>
      </c>
      <c r="G49" s="16"/>
      <c r="H49" s="17"/>
      <c r="I49" s="16"/>
      <c r="J49" s="16"/>
    </row>
    <row r="50" customFormat="false" ht="25.5" hidden="false" customHeight="true" outlineLevel="0" collapsed="false">
      <c r="A50" s="28" t="n">
        <v>36</v>
      </c>
      <c r="B50" s="29" t="s">
        <v>342</v>
      </c>
      <c r="C50" s="30" t="str">
        <f aca="false">HYPERLINK("#Proyeccion_24m!B4","Proyeccion_24m")</f>
        <v>Proyeccion_24m</v>
      </c>
      <c r="D50" s="31" t="s">
        <v>277</v>
      </c>
      <c r="E50" s="31" t="s">
        <v>343</v>
      </c>
      <c r="F50" s="20" t="str">
        <f aca="false">IF(N(py_Brecha)&gt;0.5,"⚠ Caja bajo el mínimo en los próximos 24 meses","✔ Sin brecha en 24 meses")</f>
        <v>✔ Sin brecha en 24 meses</v>
      </c>
      <c r="G50" s="16"/>
      <c r="H50" s="17"/>
      <c r="I50" s="16"/>
      <c r="J50" s="16"/>
    </row>
    <row r="51" customFormat="false" ht="25.5" hidden="false" customHeight="true" outlineLevel="0" collapsed="false">
      <c r="A51" s="28" t="n">
        <v>37</v>
      </c>
      <c r="B51" s="29" t="s">
        <v>344</v>
      </c>
      <c r="C51" s="30" t="str">
        <f aca="false">HYPERLINK("#Inicio!C15","Inicio!C15:C17")</f>
        <v>Inicio!C15:C17</v>
      </c>
      <c r="D51" s="31" t="s">
        <v>345</v>
      </c>
      <c r="E51" s="31" t="s">
        <v>346</v>
      </c>
      <c r="F51" s="20" t="str">
        <f aca="true">IF(NOT(ISNUMBER(n_FechaRev)),"⚠ Cargar fecha de la última revisión",IF(TODAY()&gt;EDATE(n_FechaRev,IF(n_Frecuencia="Bienal",24,12)),"⚠ Revisión vencida","✔ Próxima: "&amp;DAY(EDATE(n_FechaRev,IF(n_Frecuencia="Bienal",24,12)))&amp;"/"&amp;MONTH(EDATE(n_FechaRev,IF(n_Frecuencia="Bienal",24,12)))&amp;"/"&amp;YEAR(EDATE(n_FechaRev,IF(n_Frecuencia="Bienal",24,12)))))</f>
        <v>⚠ Cargar fecha de la última revisión</v>
      </c>
      <c r="G51" s="16"/>
      <c r="H51" s="17"/>
      <c r="I51" s="16"/>
      <c r="J51" s="16"/>
    </row>
    <row r="53" customFormat="false" ht="15" hidden="false" customHeight="false" outlineLevel="0" collapsed="false">
      <c r="B53" s="11" t="s">
        <v>347</v>
      </c>
    </row>
    <row r="54" customFormat="false" ht="15" hidden="false" customHeight="false" outlineLevel="0" collapsed="false">
      <c r="B54" s="11" t="s">
        <v>348</v>
      </c>
    </row>
    <row r="55" customFormat="false" ht="15" hidden="false" customHeight="false" outlineLevel="0" collapsed="false">
      <c r="B55" s="11" t="s">
        <v>349</v>
      </c>
    </row>
  </sheetData>
  <conditionalFormatting sqref="F9:F51">
    <cfRule type="expression" priority="2" aboveAverage="0" equalAverage="0" bottom="0" percent="0" rank="0" text="" dxfId="0">
      <formula>LEFT(F9,1)="✔"</formula>
    </cfRule>
    <cfRule type="expression" priority="3" aboveAverage="0" equalAverage="0" bottom="0" percent="0" rank="0" text="" dxfId="1">
      <formula>LEFT(F9,1)="⚠"</formula>
    </cfRule>
    <cfRule type="expression" priority="4" aboveAverage="0" equalAverage="0" bottom="0" percent="0" rank="0" text="" dxfId="2">
      <formula>OR(LEFT(F9,1)="○",LEFT(F9,1)="—")</formula>
    </cfRule>
  </conditionalFormatting>
  <dataValidations count="1">
    <dataValidation allowBlank="true" errorStyle="stop" operator="between" showDropDown="false" showErrorMessage="false" showInputMessage="false" sqref="G9:G5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5"/>
    <col collapsed="false" customWidth="true" hidden="false" outlineLevel="0" max="7" min="4" style="0" width="14"/>
    <col collapsed="false" customWidth="true" hidden="false" outlineLevel="0" max="13" min="8" style="0" width="13"/>
    <col collapsed="false" customWidth="true" hidden="false" outlineLevel="0" max="14" min="14" style="0" width="60"/>
  </cols>
  <sheetData>
    <row r="1" customFormat="false" ht="16.15" hidden="false" customHeight="false" outlineLevel="0" collapsed="false">
      <c r="A1" s="10" t="s">
        <v>350</v>
      </c>
    </row>
    <row r="2" customFormat="false" ht="15" hidden="false" customHeight="false" outlineLevel="0" collapsed="false">
      <c r="A2" s="11" t="s">
        <v>351</v>
      </c>
    </row>
    <row r="4" customFormat="false" ht="15" hidden="false" customHeight="false" outlineLevel="0" collapsed="false">
      <c r="A4" s="12" t="s">
        <v>352</v>
      </c>
      <c r="B4" s="13"/>
      <c r="C4" s="13"/>
      <c r="D4" s="13"/>
      <c r="E4" s="13"/>
      <c r="F4" s="13"/>
      <c r="G4" s="13"/>
      <c r="H4" s="13"/>
      <c r="I4" s="13"/>
      <c r="J4" s="13"/>
      <c r="K4" s="13"/>
      <c r="L4" s="13"/>
      <c r="M4" s="13"/>
      <c r="N4" s="13"/>
    </row>
    <row r="5" customFormat="false" ht="30" hidden="false" customHeight="true" outlineLevel="0" collapsed="false">
      <c r="A5" s="14" t="s">
        <v>353</v>
      </c>
      <c r="B5" s="14" t="s">
        <v>354</v>
      </c>
      <c r="C5" s="14" t="s">
        <v>355</v>
      </c>
      <c r="D5" s="14" t="s">
        <v>161</v>
      </c>
      <c r="E5" s="14" t="s">
        <v>128</v>
      </c>
      <c r="F5" s="32" t="s">
        <v>356</v>
      </c>
      <c r="G5" s="32"/>
      <c r="H5" s="32"/>
      <c r="I5" s="32"/>
      <c r="J5" s="32"/>
      <c r="K5" s="32"/>
      <c r="L5" s="32"/>
      <c r="M5" s="32"/>
      <c r="N5" s="32"/>
    </row>
    <row r="6" customFormat="false" ht="15" hidden="false" customHeight="false" outlineLevel="0" collapsed="false">
      <c r="A6" s="15" t="s">
        <v>357</v>
      </c>
      <c r="B6" s="15" t="s">
        <v>358</v>
      </c>
      <c r="C6" s="15" t="s">
        <v>359</v>
      </c>
      <c r="D6" s="18" t="n">
        <v>1</v>
      </c>
      <c r="E6" s="33" t="n">
        <f aca="false">D6</f>
        <v>1</v>
      </c>
      <c r="F6" s="11" t="s">
        <v>360</v>
      </c>
    </row>
    <row r="7" customFormat="false" ht="15" hidden="false" customHeight="false" outlineLevel="0" collapsed="false">
      <c r="A7" s="15" t="s">
        <v>361</v>
      </c>
      <c r="B7" s="15" t="s">
        <v>362</v>
      </c>
      <c r="C7" s="15" t="s">
        <v>363</v>
      </c>
      <c r="D7" s="18" t="n">
        <v>10</v>
      </c>
      <c r="E7" s="34" t="n">
        <f aca="false">D7</f>
        <v>10</v>
      </c>
      <c r="F7" s="11" t="s">
        <v>364</v>
      </c>
    </row>
    <row r="8" customFormat="false" ht="15" hidden="false" customHeight="false" outlineLevel="0" collapsed="false">
      <c r="A8" s="15" t="s">
        <v>365</v>
      </c>
      <c r="B8" s="15" t="s">
        <v>366</v>
      </c>
      <c r="C8" s="15" t="s">
        <v>367</v>
      </c>
      <c r="D8" s="35" t="n">
        <v>0</v>
      </c>
      <c r="E8" s="36" t="n">
        <f aca="false">D8</f>
        <v>0</v>
      </c>
      <c r="F8" s="11" t="s">
        <v>368</v>
      </c>
    </row>
    <row r="9" customFormat="false" ht="15" hidden="false" customHeight="false" outlineLevel="0" collapsed="false">
      <c r="A9" s="15" t="s">
        <v>369</v>
      </c>
      <c r="B9" s="15" t="s">
        <v>370</v>
      </c>
      <c r="C9" s="15" t="s">
        <v>367</v>
      </c>
      <c r="D9" s="35" t="n">
        <v>0.4309</v>
      </c>
      <c r="E9" s="36" t="n">
        <f aca="false">D9</f>
        <v>0.4309</v>
      </c>
      <c r="F9" s="11" t="s">
        <v>371</v>
      </c>
    </row>
    <row r="10" customFormat="false" ht="15" hidden="false" customHeight="false" outlineLevel="0" collapsed="false">
      <c r="A10" s="15" t="s">
        <v>372</v>
      </c>
      <c r="B10" s="15" t="s">
        <v>373</v>
      </c>
      <c r="C10" s="15" t="s">
        <v>374</v>
      </c>
      <c r="D10" s="37" t="n">
        <v>576000</v>
      </c>
      <c r="E10" s="38" t="n">
        <f aca="false">D10</f>
        <v>576000</v>
      </c>
      <c r="F10" s="11" t="s">
        <v>375</v>
      </c>
    </row>
    <row r="11" customFormat="false" ht="15" hidden="false" customHeight="false" outlineLevel="0" collapsed="false">
      <c r="A11" s="15" t="s">
        <v>376</v>
      </c>
      <c r="B11" s="15" t="s">
        <v>377</v>
      </c>
      <c r="C11" s="15" t="s">
        <v>378</v>
      </c>
      <c r="D11" s="39" t="n">
        <v>0.5</v>
      </c>
      <c r="E11" s="40" t="n">
        <f aca="false">D11</f>
        <v>0.5</v>
      </c>
      <c r="F11" s="11" t="s">
        <v>379</v>
      </c>
    </row>
    <row r="12" customFormat="false" ht="15" hidden="false" customHeight="false" outlineLevel="0" collapsed="false">
      <c r="A12" s="15" t="s">
        <v>380</v>
      </c>
      <c r="B12" s="15" t="s">
        <v>381</v>
      </c>
      <c r="C12" s="15" t="s">
        <v>378</v>
      </c>
      <c r="D12" s="39" t="n">
        <v>1</v>
      </c>
      <c r="E12" s="40" t="n">
        <f aca="false">D12</f>
        <v>1</v>
      </c>
      <c r="F12" s="11" t="s">
        <v>382</v>
      </c>
    </row>
    <row r="13" customFormat="false" ht="15" hidden="false" customHeight="false" outlineLevel="0" collapsed="false">
      <c r="A13" s="15" t="s">
        <v>383</v>
      </c>
      <c r="B13" s="15" t="s">
        <v>384</v>
      </c>
      <c r="C13" s="15" t="s">
        <v>367</v>
      </c>
      <c r="D13" s="35" t="n">
        <v>0.03</v>
      </c>
      <c r="E13" s="36" t="n">
        <f aca="false">D13</f>
        <v>0.03</v>
      </c>
      <c r="F13" s="11" t="s">
        <v>385</v>
      </c>
    </row>
    <row r="14" customFormat="false" ht="15" hidden="false" customHeight="false" outlineLevel="0" collapsed="false">
      <c r="A14" s="15" t="s">
        <v>386</v>
      </c>
      <c r="B14" s="15" t="s">
        <v>387</v>
      </c>
      <c r="C14" s="15" t="s">
        <v>367</v>
      </c>
      <c r="D14" s="35" t="n">
        <v>0.01</v>
      </c>
      <c r="E14" s="36" t="n">
        <f aca="false">D14</f>
        <v>0.01</v>
      </c>
      <c r="F14" s="11" t="s">
        <v>388</v>
      </c>
    </row>
    <row r="15" customFormat="false" ht="15" hidden="false" customHeight="false" outlineLevel="0" collapsed="false">
      <c r="A15" s="15" t="s">
        <v>389</v>
      </c>
      <c r="B15" s="15" t="s">
        <v>390</v>
      </c>
      <c r="C15" s="15" t="s">
        <v>367</v>
      </c>
      <c r="D15" s="35" t="n">
        <v>0.05</v>
      </c>
      <c r="E15" s="36" t="n">
        <f aca="false">D15</f>
        <v>0.05</v>
      </c>
      <c r="F15" s="11" t="s">
        <v>391</v>
      </c>
    </row>
    <row r="16" customFormat="false" ht="15" hidden="false" customHeight="false" outlineLevel="0" collapsed="false">
      <c r="A16" s="15" t="s">
        <v>392</v>
      </c>
      <c r="B16" s="15" t="s">
        <v>393</v>
      </c>
      <c r="C16" s="15" t="s">
        <v>367</v>
      </c>
      <c r="D16" s="35" t="n">
        <v>0.05</v>
      </c>
      <c r="E16" s="36" t="n">
        <f aca="false">D16</f>
        <v>0.05</v>
      </c>
      <c r="F16" s="11" t="s">
        <v>394</v>
      </c>
    </row>
    <row r="17" customFormat="false" ht="15" hidden="false" customHeight="false" outlineLevel="0" collapsed="false">
      <c r="A17" s="15" t="s">
        <v>395</v>
      </c>
      <c r="B17" s="15" t="s">
        <v>396</v>
      </c>
      <c r="C17" s="15" t="s">
        <v>367</v>
      </c>
      <c r="D17" s="35" t="n">
        <v>0.01</v>
      </c>
      <c r="E17" s="36" t="n">
        <f aca="false">D17</f>
        <v>0.01</v>
      </c>
      <c r="F17" s="11" t="s">
        <v>397</v>
      </c>
    </row>
    <row r="18" customFormat="false" ht="15" hidden="false" customHeight="false" outlineLevel="0" collapsed="false">
      <c r="A18" s="15" t="s">
        <v>398</v>
      </c>
      <c r="B18" s="15" t="s">
        <v>399</v>
      </c>
      <c r="C18" s="15" t="s">
        <v>367</v>
      </c>
      <c r="D18" s="35" t="n">
        <v>0.001</v>
      </c>
      <c r="E18" s="36" t="n">
        <f aca="false">D18</f>
        <v>0.001</v>
      </c>
      <c r="F18" s="11" t="s">
        <v>400</v>
      </c>
    </row>
    <row r="19" customFormat="false" ht="15" hidden="false" customHeight="false" outlineLevel="0" collapsed="false">
      <c r="A19" s="15" t="s">
        <v>401</v>
      </c>
      <c r="B19" s="15" t="s">
        <v>402</v>
      </c>
      <c r="C19" s="15" t="s">
        <v>367</v>
      </c>
      <c r="D19" s="35" t="n">
        <v>0</v>
      </c>
      <c r="E19" s="36" t="n">
        <f aca="false">D19</f>
        <v>0</v>
      </c>
      <c r="F19" s="11" t="s">
        <v>403</v>
      </c>
    </row>
    <row r="20" customFormat="false" ht="15" hidden="false" customHeight="false" outlineLevel="0" collapsed="false">
      <c r="A20" s="15" t="s">
        <v>404</v>
      </c>
      <c r="B20" s="15" t="s">
        <v>405</v>
      </c>
      <c r="C20" s="15" t="s">
        <v>367</v>
      </c>
      <c r="D20" s="35" t="n">
        <v>0</v>
      </c>
      <c r="E20" s="36" t="n">
        <f aca="false">D20</f>
        <v>0</v>
      </c>
      <c r="F20" s="11" t="s">
        <v>406</v>
      </c>
    </row>
    <row r="21" customFormat="false" ht="15" hidden="false" customHeight="false" outlineLevel="0" collapsed="false">
      <c r="A21" s="15" t="s">
        <v>407</v>
      </c>
      <c r="B21" s="15" t="s">
        <v>408</v>
      </c>
      <c r="C21" s="15" t="s">
        <v>409</v>
      </c>
      <c r="D21" s="18" t="n">
        <v>120</v>
      </c>
      <c r="E21" s="33" t="n">
        <f aca="false">D21</f>
        <v>120</v>
      </c>
      <c r="F21" s="11" t="s">
        <v>410</v>
      </c>
    </row>
    <row r="22" customFormat="false" ht="15" hidden="false" customHeight="false" outlineLevel="0" collapsed="false">
      <c r="A22" s="15" t="s">
        <v>411</v>
      </c>
      <c r="B22" s="15" t="s">
        <v>412</v>
      </c>
      <c r="C22" s="15" t="s">
        <v>409</v>
      </c>
      <c r="D22" s="18" t="n">
        <v>120</v>
      </c>
      <c r="E22" s="33" t="n">
        <f aca="false">D22</f>
        <v>120</v>
      </c>
      <c r="F22" s="11" t="s">
        <v>413</v>
      </c>
    </row>
    <row r="23" customFormat="false" ht="15" hidden="false" customHeight="false" outlineLevel="0" collapsed="false">
      <c r="A23" s="15" t="s">
        <v>414</v>
      </c>
      <c r="B23" s="15" t="s">
        <v>415</v>
      </c>
      <c r="C23" s="15" t="s">
        <v>409</v>
      </c>
      <c r="D23" s="18" t="n">
        <v>10</v>
      </c>
      <c r="E23" s="33" t="n">
        <f aca="false">D23</f>
        <v>10</v>
      </c>
      <c r="F23" s="11" t="s">
        <v>410</v>
      </c>
    </row>
    <row r="24" customFormat="false" ht="15" hidden="false" customHeight="false" outlineLevel="0" collapsed="false">
      <c r="A24" s="15" t="s">
        <v>416</v>
      </c>
      <c r="B24" s="15" t="s">
        <v>417</v>
      </c>
      <c r="C24" s="15" t="s">
        <v>409</v>
      </c>
      <c r="D24" s="18" t="n">
        <v>0</v>
      </c>
      <c r="E24" s="33" t="n">
        <f aca="false">D24</f>
        <v>0</v>
      </c>
      <c r="F24" s="11" t="s">
        <v>418</v>
      </c>
    </row>
    <row r="25" customFormat="false" ht="15" hidden="false" customHeight="false" outlineLevel="0" collapsed="false">
      <c r="A25" s="15" t="s">
        <v>419</v>
      </c>
      <c r="B25" s="15" t="s">
        <v>420</v>
      </c>
      <c r="C25" s="15" t="s">
        <v>409</v>
      </c>
      <c r="D25" s="18" t="n">
        <v>30</v>
      </c>
      <c r="E25" s="33" t="n">
        <f aca="false">D25</f>
        <v>30</v>
      </c>
      <c r="F25" s="11" t="s">
        <v>410</v>
      </c>
    </row>
    <row r="26" customFormat="false" ht="15" hidden="false" customHeight="false" outlineLevel="0" collapsed="false">
      <c r="A26" s="15" t="s">
        <v>421</v>
      </c>
      <c r="B26" s="15" t="s">
        <v>422</v>
      </c>
      <c r="C26" s="15" t="s">
        <v>423</v>
      </c>
      <c r="D26" s="18" t="n">
        <v>3</v>
      </c>
      <c r="E26" s="33" t="n">
        <f aca="false">D26</f>
        <v>3</v>
      </c>
      <c r="F26" s="11" t="s">
        <v>424</v>
      </c>
    </row>
    <row r="27" customFormat="false" ht="15" hidden="false" customHeight="false" outlineLevel="0" collapsed="false">
      <c r="A27" s="15" t="s">
        <v>425</v>
      </c>
      <c r="B27" s="15" t="s">
        <v>426</v>
      </c>
      <c r="C27" s="15" t="s">
        <v>367</v>
      </c>
      <c r="D27" s="39" t="n">
        <v>0</v>
      </c>
      <c r="E27" s="40" t="n">
        <f aca="false">D27</f>
        <v>0</v>
      </c>
      <c r="F27" s="11" t="s">
        <v>427</v>
      </c>
    </row>
    <row r="28" customFormat="false" ht="15" hidden="false" customHeight="false" outlineLevel="0" collapsed="false">
      <c r="A28" s="15" t="s">
        <v>428</v>
      </c>
      <c r="B28" s="15" t="s">
        <v>429</v>
      </c>
      <c r="C28" s="15" t="s">
        <v>430</v>
      </c>
      <c r="D28" s="18" t="n">
        <v>6</v>
      </c>
      <c r="E28" s="33" t="n">
        <f aca="false">D28</f>
        <v>6</v>
      </c>
      <c r="F28" s="11" t="s">
        <v>431</v>
      </c>
    </row>
    <row r="29" customFormat="false" ht="15" hidden="false" customHeight="false" outlineLevel="0" collapsed="false">
      <c r="A29" s="15" t="s">
        <v>432</v>
      </c>
      <c r="B29" s="15" t="s">
        <v>433</v>
      </c>
      <c r="C29" s="15" t="s">
        <v>367</v>
      </c>
      <c r="D29" s="39" t="n">
        <v>0.1</v>
      </c>
      <c r="E29" s="40" t="n">
        <f aca="false">D29</f>
        <v>0.1</v>
      </c>
      <c r="F29" s="11" t="s">
        <v>434</v>
      </c>
    </row>
    <row r="30" customFormat="false" ht="15" hidden="false" customHeight="false" outlineLevel="0" collapsed="false">
      <c r="A30" s="15" t="s">
        <v>435</v>
      </c>
      <c r="B30" s="15" t="s">
        <v>436</v>
      </c>
      <c r="C30" s="15" t="s">
        <v>367</v>
      </c>
      <c r="D30" s="35" t="n">
        <v>0.0948937</v>
      </c>
      <c r="E30" s="36" t="n">
        <f aca="false">D30</f>
        <v>0.0948937</v>
      </c>
      <c r="F30" s="11" t="s">
        <v>437</v>
      </c>
    </row>
    <row r="31" customFormat="false" ht="15" hidden="false" customHeight="false" outlineLevel="0" collapsed="false">
      <c r="A31" s="15" t="s">
        <v>438</v>
      </c>
      <c r="B31" s="15" t="s">
        <v>439</v>
      </c>
      <c r="C31" s="15" t="s">
        <v>367</v>
      </c>
      <c r="D31" s="35" t="n">
        <v>0.1632</v>
      </c>
      <c r="E31" s="36" t="n">
        <f aca="false">D31</f>
        <v>0.1632</v>
      </c>
      <c r="F31" s="11" t="s">
        <v>440</v>
      </c>
    </row>
    <row r="32" customFormat="false" ht="15" hidden="false" customHeight="false" outlineLevel="0" collapsed="false">
      <c r="A32" s="15" t="s">
        <v>441</v>
      </c>
      <c r="B32" s="15" t="s">
        <v>442</v>
      </c>
      <c r="C32" s="15" t="s">
        <v>367</v>
      </c>
      <c r="D32" s="39" t="n">
        <v>1</v>
      </c>
      <c r="E32" s="40" t="n">
        <f aca="false">D32</f>
        <v>1</v>
      </c>
      <c r="F32" s="11" t="s">
        <v>443</v>
      </c>
    </row>
    <row r="33" customFormat="false" ht="15" hidden="false" customHeight="false" outlineLevel="0" collapsed="false">
      <c r="A33" s="15" t="s">
        <v>444</v>
      </c>
      <c r="B33" s="15" t="s">
        <v>445</v>
      </c>
      <c r="C33" s="15" t="s">
        <v>367</v>
      </c>
      <c r="D33" s="39" t="n">
        <v>1</v>
      </c>
      <c r="E33" s="40" t="n">
        <f aca="false">D33</f>
        <v>1</v>
      </c>
      <c r="F33" s="11" t="s">
        <v>446</v>
      </c>
    </row>
    <row r="34" customFormat="false" ht="15" hidden="false" customHeight="false" outlineLevel="0" collapsed="false">
      <c r="A34" s="15" t="s">
        <v>447</v>
      </c>
      <c r="B34" s="15" t="s">
        <v>448</v>
      </c>
      <c r="C34" s="15" t="s">
        <v>359</v>
      </c>
      <c r="D34" s="18" t="n">
        <v>4</v>
      </c>
      <c r="E34" s="33" t="n">
        <f aca="false">D34</f>
        <v>4</v>
      </c>
      <c r="F34" s="11" t="s">
        <v>449</v>
      </c>
    </row>
    <row r="36" customFormat="false" ht="15" hidden="false" customHeight="false" outlineLevel="0" collapsed="false">
      <c r="A36" s="12" t="s">
        <v>450</v>
      </c>
      <c r="B36" s="13"/>
      <c r="C36" s="13"/>
      <c r="D36" s="13"/>
      <c r="E36" s="13"/>
      <c r="F36" s="13"/>
      <c r="G36" s="13"/>
      <c r="H36" s="13"/>
      <c r="I36" s="13"/>
      <c r="J36" s="13"/>
      <c r="K36" s="13"/>
      <c r="L36" s="13"/>
      <c r="M36" s="13"/>
      <c r="N36" s="13"/>
    </row>
    <row r="37" customFormat="false" ht="15" hidden="false" customHeight="false" outlineLevel="0" collapsed="false">
      <c r="A37" s="14" t="s">
        <v>353</v>
      </c>
      <c r="B37" s="14" t="s">
        <v>451</v>
      </c>
      <c r="C37" s="14" t="s">
        <v>355</v>
      </c>
      <c r="D37" s="14" t="s">
        <v>452</v>
      </c>
      <c r="E37" s="14" t="s">
        <v>453</v>
      </c>
      <c r="F37" s="14" t="s">
        <v>454</v>
      </c>
      <c r="G37" s="14" t="s">
        <v>455</v>
      </c>
      <c r="H37" s="14" t="s">
        <v>456</v>
      </c>
      <c r="I37" s="14" t="s">
        <v>457</v>
      </c>
      <c r="J37" s="14" t="s">
        <v>458</v>
      </c>
      <c r="K37" s="14" t="s">
        <v>459</v>
      </c>
      <c r="L37" s="14" t="s">
        <v>460</v>
      </c>
      <c r="M37" s="14" t="s">
        <v>461</v>
      </c>
      <c r="N37" s="14" t="s">
        <v>462</v>
      </c>
    </row>
    <row r="38" customFormat="false" ht="15" hidden="false" customHeight="false" outlineLevel="0" collapsed="false">
      <c r="B38" s="41" t="s">
        <v>463</v>
      </c>
    </row>
    <row r="39" customFormat="false" ht="15" hidden="false" customHeight="false" outlineLevel="0" collapsed="false">
      <c r="A39" s="15" t="s">
        <v>464</v>
      </c>
      <c r="B39" s="15" t="s">
        <v>465</v>
      </c>
      <c r="C39" s="15" t="s">
        <v>466</v>
      </c>
      <c r="D39" s="37" t="n">
        <v>7300</v>
      </c>
      <c r="E39" s="37" t="n">
        <v>7300</v>
      </c>
      <c r="F39" s="37" t="n">
        <v>7300</v>
      </c>
      <c r="G39" s="37" t="n">
        <v>7300</v>
      </c>
      <c r="H39" s="37" t="n">
        <v>7300</v>
      </c>
      <c r="I39" s="37" t="n">
        <v>7300</v>
      </c>
      <c r="J39" s="37" t="n">
        <v>7300</v>
      </c>
      <c r="K39" s="37" t="n">
        <v>7300</v>
      </c>
      <c r="L39" s="37" t="n">
        <v>7300</v>
      </c>
      <c r="M39" s="37" t="n">
        <v>7300</v>
      </c>
    </row>
    <row r="40" customFormat="false" ht="15" hidden="false" customHeight="false" outlineLevel="0" collapsed="false">
      <c r="A40" s="15" t="s">
        <v>467</v>
      </c>
      <c r="B40" s="15" t="s">
        <v>468</v>
      </c>
      <c r="C40" s="15" t="s">
        <v>367</v>
      </c>
      <c r="D40" s="39" t="n">
        <v>0</v>
      </c>
      <c r="E40" s="39" t="n">
        <v>0.01</v>
      </c>
      <c r="F40" s="39" t="n">
        <v>0.01</v>
      </c>
      <c r="G40" s="39" t="n">
        <v>0.01</v>
      </c>
      <c r="H40" s="39" t="n">
        <v>0.01</v>
      </c>
      <c r="I40" s="39" t="n">
        <v>0.01</v>
      </c>
      <c r="J40" s="39" t="n">
        <v>0.01</v>
      </c>
      <c r="K40" s="39" t="n">
        <v>0.01</v>
      </c>
      <c r="L40" s="39" t="n">
        <v>0.01</v>
      </c>
      <c r="M40" s="39" t="n">
        <v>0.01</v>
      </c>
    </row>
    <row r="41" customFormat="false" ht="15" hidden="false" customHeight="false" outlineLevel="0" collapsed="false">
      <c r="A41" s="15" t="s">
        <v>469</v>
      </c>
      <c r="B41" s="15" t="s">
        <v>470</v>
      </c>
      <c r="C41" s="15" t="s">
        <v>367</v>
      </c>
      <c r="D41" s="39" t="n">
        <v>0</v>
      </c>
      <c r="E41" s="39" t="n">
        <v>0.01</v>
      </c>
      <c r="F41" s="39" t="n">
        <v>0.01</v>
      </c>
      <c r="G41" s="39" t="n">
        <v>0.01</v>
      </c>
      <c r="H41" s="39" t="n">
        <v>0.01</v>
      </c>
      <c r="I41" s="39" t="n">
        <v>0.01</v>
      </c>
      <c r="J41" s="39" t="n">
        <v>0.01</v>
      </c>
      <c r="K41" s="39" t="n">
        <v>0.01</v>
      </c>
      <c r="L41" s="39" t="n">
        <v>0.01</v>
      </c>
      <c r="M41" s="39" t="n">
        <v>0.01</v>
      </c>
    </row>
    <row r="42" customFormat="false" ht="15" hidden="false" customHeight="false" outlineLevel="0" collapsed="false">
      <c r="A42" s="15" t="s">
        <v>471</v>
      </c>
      <c r="B42" s="15" t="s">
        <v>472</v>
      </c>
      <c r="C42" s="15" t="s">
        <v>367</v>
      </c>
      <c r="D42" s="39" t="n">
        <v>0</v>
      </c>
      <c r="E42" s="39" t="n">
        <v>0</v>
      </c>
      <c r="F42" s="39" t="n">
        <v>0</v>
      </c>
      <c r="G42" s="39" t="n">
        <v>0</v>
      </c>
      <c r="H42" s="39" t="n">
        <v>0</v>
      </c>
      <c r="I42" s="39" t="n">
        <v>0</v>
      </c>
      <c r="J42" s="39" t="n">
        <v>0</v>
      </c>
      <c r="K42" s="39" t="n">
        <v>0</v>
      </c>
      <c r="L42" s="39" t="n">
        <v>0</v>
      </c>
      <c r="M42" s="39" t="n">
        <v>0</v>
      </c>
    </row>
    <row r="43" customFormat="false" ht="15" hidden="false" customHeight="false" outlineLevel="0" collapsed="false">
      <c r="A43" s="15" t="s">
        <v>473</v>
      </c>
      <c r="B43" s="15" t="s">
        <v>474</v>
      </c>
      <c r="C43" s="15" t="s">
        <v>367</v>
      </c>
      <c r="D43" s="39" t="n">
        <v>0</v>
      </c>
      <c r="E43" s="39" t="n">
        <v>0</v>
      </c>
      <c r="F43" s="39" t="n">
        <v>0</v>
      </c>
      <c r="G43" s="39" t="n">
        <v>0</v>
      </c>
      <c r="H43" s="39" t="n">
        <v>0</v>
      </c>
      <c r="I43" s="39" t="n">
        <v>0</v>
      </c>
      <c r="J43" s="39" t="n">
        <v>0</v>
      </c>
      <c r="K43" s="39" t="n">
        <v>0</v>
      </c>
      <c r="L43" s="39" t="n">
        <v>0</v>
      </c>
      <c r="M43" s="39" t="n">
        <v>0</v>
      </c>
    </row>
    <row r="44" customFormat="false" ht="15" hidden="false" customHeight="false" outlineLevel="0" collapsed="false">
      <c r="A44" s="15" t="s">
        <v>475</v>
      </c>
      <c r="B44" s="15" t="s">
        <v>476</v>
      </c>
      <c r="C44" s="15" t="s">
        <v>367</v>
      </c>
      <c r="D44" s="39" t="n">
        <v>0</v>
      </c>
      <c r="E44" s="39" t="n">
        <v>0</v>
      </c>
      <c r="F44" s="39" t="n">
        <v>0.3</v>
      </c>
      <c r="G44" s="39" t="n">
        <v>0.5</v>
      </c>
      <c r="H44" s="39" t="n">
        <v>1</v>
      </c>
      <c r="I44" s="39" t="n">
        <v>1</v>
      </c>
      <c r="J44" s="39" t="n">
        <v>1</v>
      </c>
      <c r="K44" s="39" t="n">
        <v>1</v>
      </c>
      <c r="L44" s="39" t="n">
        <v>1</v>
      </c>
      <c r="M44" s="39" t="n">
        <v>1</v>
      </c>
    </row>
    <row r="45" customFormat="false" ht="15" hidden="false" customHeight="false" outlineLevel="0" collapsed="false">
      <c r="B45" s="11" t="s">
        <v>477</v>
      </c>
      <c r="D45" s="42" t="n">
        <f aca="false">1</f>
        <v>1</v>
      </c>
      <c r="E45" s="42" t="n">
        <f aca="false">D45*(1+N(E40))</f>
        <v>1.01</v>
      </c>
      <c r="F45" s="42" t="n">
        <f aca="false">E45*(1+N(F40))</f>
        <v>1.0201</v>
      </c>
      <c r="G45" s="42" t="n">
        <f aca="false">F45*(1+N(G40))</f>
        <v>1.030301</v>
      </c>
      <c r="H45" s="42" t="n">
        <f aca="false">G45*(1+N(H40))</f>
        <v>1.04060401</v>
      </c>
      <c r="I45" s="42" t="n">
        <f aca="false">H45*(1+N(I40))</f>
        <v>1.0510100501</v>
      </c>
      <c r="J45" s="42" t="n">
        <f aca="false">I45*(1+N(J40))</f>
        <v>1.061520150601</v>
      </c>
      <c r="K45" s="42" t="n">
        <f aca="false">J45*(1+N(K40))</f>
        <v>1.07213535210701</v>
      </c>
      <c r="L45" s="42" t="n">
        <f aca="false">K45*(1+N(L40))</f>
        <v>1.08285670562808</v>
      </c>
      <c r="M45" s="42" t="n">
        <f aca="false">L45*(1+N(M40))</f>
        <v>1.09368527268436</v>
      </c>
    </row>
    <row r="46" customFormat="false" ht="15" hidden="false" customHeight="false" outlineLevel="0" collapsed="false">
      <c r="B46" s="11" t="s">
        <v>478</v>
      </c>
      <c r="D46" s="42" t="n">
        <f aca="false">1</f>
        <v>1</v>
      </c>
      <c r="E46" s="42" t="n">
        <f aca="false">D46*(1+N(E41))</f>
        <v>1.01</v>
      </c>
      <c r="F46" s="42" t="n">
        <f aca="false">E46*(1+N(F41))</f>
        <v>1.0201</v>
      </c>
      <c r="G46" s="42" t="n">
        <f aca="false">F46*(1+N(G41))</f>
        <v>1.030301</v>
      </c>
      <c r="H46" s="42" t="n">
        <f aca="false">G46*(1+N(H41))</f>
        <v>1.04060401</v>
      </c>
      <c r="I46" s="42" t="n">
        <f aca="false">H46*(1+N(I41))</f>
        <v>1.0510100501</v>
      </c>
      <c r="J46" s="42" t="n">
        <f aca="false">I46*(1+N(J41))</f>
        <v>1.061520150601</v>
      </c>
      <c r="K46" s="42" t="n">
        <f aca="false">J46*(1+N(K41))</f>
        <v>1.07213535210701</v>
      </c>
      <c r="L46" s="42" t="n">
        <f aca="false">K46*(1+N(L41))</f>
        <v>1.08285670562808</v>
      </c>
      <c r="M46" s="42" t="n">
        <f aca="false">L46*(1+N(M41))</f>
        <v>1.09368527268436</v>
      </c>
    </row>
    <row r="47" customFormat="false" ht="15" hidden="false" customHeight="false" outlineLevel="0" collapsed="false">
      <c r="B47" s="11" t="s">
        <v>479</v>
      </c>
      <c r="D47" s="42" t="n">
        <f aca="false">1</f>
        <v>1</v>
      </c>
      <c r="E47" s="42" t="n">
        <f aca="false">D47*(1+N(E42))</f>
        <v>1</v>
      </c>
      <c r="F47" s="42" t="n">
        <f aca="false">E47*(1+N(F42))</f>
        <v>1</v>
      </c>
      <c r="G47" s="42" t="n">
        <f aca="false">F47*(1+N(G42))</f>
        <v>1</v>
      </c>
      <c r="H47" s="42" t="n">
        <f aca="false">G47*(1+N(H42))</f>
        <v>1</v>
      </c>
      <c r="I47" s="42" t="n">
        <f aca="false">H47*(1+N(I42))</f>
        <v>1</v>
      </c>
      <c r="J47" s="42" t="n">
        <f aca="false">I47*(1+N(J42))</f>
        <v>1</v>
      </c>
      <c r="K47" s="42" t="n">
        <f aca="false">J47*(1+N(K42))</f>
        <v>1</v>
      </c>
      <c r="L47" s="42" t="n">
        <f aca="false">K47*(1+N(L42))</f>
        <v>1</v>
      </c>
      <c r="M47" s="42" t="n">
        <f aca="false">L47*(1+N(M42))</f>
        <v>1</v>
      </c>
    </row>
    <row r="48" customFormat="false" ht="15" hidden="false" customHeight="false" outlineLevel="0" collapsed="false">
      <c r="B48" s="11" t="s">
        <v>480</v>
      </c>
      <c r="D48" s="42" t="n">
        <f aca="false">1</f>
        <v>1</v>
      </c>
      <c r="E48" s="42" t="n">
        <f aca="false">D48*(1+N(E43))</f>
        <v>1</v>
      </c>
      <c r="F48" s="42" t="n">
        <f aca="false">E48*(1+N(F43))</f>
        <v>1</v>
      </c>
      <c r="G48" s="42" t="n">
        <f aca="false">F48*(1+N(G43))</f>
        <v>1</v>
      </c>
      <c r="H48" s="42" t="n">
        <f aca="false">G48*(1+N(H43))</f>
        <v>1</v>
      </c>
      <c r="I48" s="42" t="n">
        <f aca="false">H48*(1+N(I43))</f>
        <v>1</v>
      </c>
      <c r="J48" s="42" t="n">
        <f aca="false">I48*(1+N(J43))</f>
        <v>1</v>
      </c>
      <c r="K48" s="42" t="n">
        <f aca="false">J48*(1+N(K43))</f>
        <v>1</v>
      </c>
      <c r="L48" s="42" t="n">
        <f aca="false">K48*(1+N(L43))</f>
        <v>1</v>
      </c>
      <c r="M48" s="42" t="n">
        <f aca="false">L48*(1+N(M43))</f>
        <v>1</v>
      </c>
    </row>
    <row r="50" customFormat="false" ht="15" hidden="false" customHeight="false" outlineLevel="0" collapsed="false">
      <c r="B50" s="43" t="s">
        <v>481</v>
      </c>
    </row>
    <row r="51" customFormat="false" ht="15" hidden="false" customHeight="false" outlineLevel="0" collapsed="false">
      <c r="A51" s="15" t="s">
        <v>464</v>
      </c>
      <c r="B51" s="15" t="s">
        <v>465</v>
      </c>
      <c r="C51" s="15" t="s">
        <v>466</v>
      </c>
      <c r="D51" s="38" t="n">
        <f aca="false">D39</f>
        <v>7300</v>
      </c>
      <c r="E51" s="38" t="n">
        <f aca="false">E39</f>
        <v>7300</v>
      </c>
      <c r="F51" s="38" t="n">
        <f aca="false">F39</f>
        <v>7300</v>
      </c>
      <c r="G51" s="38" t="n">
        <f aca="false">G39</f>
        <v>7300</v>
      </c>
      <c r="H51" s="38" t="n">
        <f aca="false">H39</f>
        <v>7300</v>
      </c>
      <c r="I51" s="38" t="n">
        <f aca="false">I39</f>
        <v>7300</v>
      </c>
      <c r="J51" s="38" t="n">
        <f aca="false">J39</f>
        <v>7300</v>
      </c>
      <c r="K51" s="38" t="n">
        <f aca="false">K39</f>
        <v>7300</v>
      </c>
      <c r="L51" s="38" t="n">
        <f aca="false">L39</f>
        <v>7300</v>
      </c>
      <c r="M51" s="38" t="n">
        <f aca="false">M39</f>
        <v>7300</v>
      </c>
    </row>
    <row r="52" customFormat="false" ht="15" hidden="false" customHeight="false" outlineLevel="0" collapsed="false">
      <c r="A52" s="15" t="s">
        <v>467</v>
      </c>
      <c r="B52" s="15" t="s">
        <v>468</v>
      </c>
      <c r="C52" s="15" t="s">
        <v>367</v>
      </c>
      <c r="D52" s="40" t="n">
        <f aca="false">D40</f>
        <v>0</v>
      </c>
      <c r="E52" s="40" t="n">
        <f aca="false">E40</f>
        <v>0.01</v>
      </c>
      <c r="F52" s="40" t="n">
        <f aca="false">F40</f>
        <v>0.01</v>
      </c>
      <c r="G52" s="40" t="n">
        <f aca="false">G40</f>
        <v>0.01</v>
      </c>
      <c r="H52" s="40" t="n">
        <f aca="false">H40</f>
        <v>0.01</v>
      </c>
      <c r="I52" s="40" t="n">
        <f aca="false">I40</f>
        <v>0.01</v>
      </c>
      <c r="J52" s="40" t="n">
        <f aca="false">J40</f>
        <v>0.01</v>
      </c>
      <c r="K52" s="40" t="n">
        <f aca="false">K40</f>
        <v>0.01</v>
      </c>
      <c r="L52" s="40" t="n">
        <f aca="false">L40</f>
        <v>0.01</v>
      </c>
      <c r="M52" s="40" t="n">
        <f aca="false">M40</f>
        <v>0.01</v>
      </c>
    </row>
    <row r="53" customFormat="false" ht="15" hidden="false" customHeight="false" outlineLevel="0" collapsed="false">
      <c r="A53" s="15" t="s">
        <v>469</v>
      </c>
      <c r="B53" s="15" t="s">
        <v>470</v>
      </c>
      <c r="C53" s="15" t="s">
        <v>367</v>
      </c>
      <c r="D53" s="40" t="n">
        <f aca="false">D41</f>
        <v>0</v>
      </c>
      <c r="E53" s="40" t="n">
        <f aca="false">E41</f>
        <v>0.01</v>
      </c>
      <c r="F53" s="40" t="n">
        <f aca="false">F41</f>
        <v>0.01</v>
      </c>
      <c r="G53" s="40" t="n">
        <f aca="false">G41</f>
        <v>0.01</v>
      </c>
      <c r="H53" s="40" t="n">
        <f aca="false">H41</f>
        <v>0.01</v>
      </c>
      <c r="I53" s="40" t="n">
        <f aca="false">I41</f>
        <v>0.01</v>
      </c>
      <c r="J53" s="40" t="n">
        <f aca="false">J41</f>
        <v>0.01</v>
      </c>
      <c r="K53" s="40" t="n">
        <f aca="false">K41</f>
        <v>0.01</v>
      </c>
      <c r="L53" s="40" t="n">
        <f aca="false">L41</f>
        <v>0.01</v>
      </c>
      <c r="M53" s="40" t="n">
        <f aca="false">M41</f>
        <v>0.01</v>
      </c>
    </row>
    <row r="54" customFormat="false" ht="15" hidden="false" customHeight="false" outlineLevel="0" collapsed="false">
      <c r="A54" s="15" t="s">
        <v>471</v>
      </c>
      <c r="B54" s="15" t="s">
        <v>472</v>
      </c>
      <c r="C54" s="15" t="s">
        <v>367</v>
      </c>
      <c r="D54" s="40" t="n">
        <f aca="false">D42</f>
        <v>0</v>
      </c>
      <c r="E54" s="40" t="n">
        <f aca="false">E42</f>
        <v>0</v>
      </c>
      <c r="F54" s="40" t="n">
        <f aca="false">F42</f>
        <v>0</v>
      </c>
      <c r="G54" s="40" t="n">
        <f aca="false">G42</f>
        <v>0</v>
      </c>
      <c r="H54" s="40" t="n">
        <f aca="false">H42</f>
        <v>0</v>
      </c>
      <c r="I54" s="40" t="n">
        <f aca="false">I42</f>
        <v>0</v>
      </c>
      <c r="J54" s="40" t="n">
        <f aca="false">J42</f>
        <v>0</v>
      </c>
      <c r="K54" s="40" t="n">
        <f aca="false">K42</f>
        <v>0</v>
      </c>
      <c r="L54" s="40" t="n">
        <f aca="false">L42</f>
        <v>0</v>
      </c>
      <c r="M54" s="40" t="n">
        <f aca="false">M42</f>
        <v>0</v>
      </c>
    </row>
    <row r="55" customFormat="false" ht="15" hidden="false" customHeight="false" outlineLevel="0" collapsed="false">
      <c r="A55" s="15" t="s">
        <v>473</v>
      </c>
      <c r="B55" s="15" t="s">
        <v>474</v>
      </c>
      <c r="C55" s="15" t="s">
        <v>367</v>
      </c>
      <c r="D55" s="40" t="n">
        <f aca="false">D43</f>
        <v>0</v>
      </c>
      <c r="E55" s="40" t="n">
        <f aca="false">E43</f>
        <v>0</v>
      </c>
      <c r="F55" s="40" t="n">
        <f aca="false">F43</f>
        <v>0</v>
      </c>
      <c r="G55" s="40" t="n">
        <f aca="false">G43</f>
        <v>0</v>
      </c>
      <c r="H55" s="40" t="n">
        <f aca="false">H43</f>
        <v>0</v>
      </c>
      <c r="I55" s="40" t="n">
        <f aca="false">I43</f>
        <v>0</v>
      </c>
      <c r="J55" s="40" t="n">
        <f aca="false">J43</f>
        <v>0</v>
      </c>
      <c r="K55" s="40" t="n">
        <f aca="false">K43</f>
        <v>0</v>
      </c>
      <c r="L55" s="40" t="n">
        <f aca="false">L43</f>
        <v>0</v>
      </c>
      <c r="M55" s="40" t="n">
        <f aca="false">M43</f>
        <v>0</v>
      </c>
    </row>
    <row r="56" customFormat="false" ht="15" hidden="false" customHeight="false" outlineLevel="0" collapsed="false">
      <c r="A56" s="15" t="s">
        <v>475</v>
      </c>
      <c r="B56" s="15" t="s">
        <v>476</v>
      </c>
      <c r="C56" s="15" t="s">
        <v>367</v>
      </c>
      <c r="D56" s="40" t="n">
        <f aca="false">D44</f>
        <v>0</v>
      </c>
      <c r="E56" s="40" t="n">
        <f aca="false">E44</f>
        <v>0</v>
      </c>
      <c r="F56" s="40" t="n">
        <f aca="false">F44</f>
        <v>0.3</v>
      </c>
      <c r="G56" s="40" t="n">
        <f aca="false">G44</f>
        <v>0.5</v>
      </c>
      <c r="H56" s="40" t="n">
        <f aca="false">H44</f>
        <v>1</v>
      </c>
      <c r="I56" s="40" t="n">
        <f aca="false">I44</f>
        <v>1</v>
      </c>
      <c r="J56" s="40" t="n">
        <f aca="false">J44</f>
        <v>1</v>
      </c>
      <c r="K56" s="40" t="n">
        <f aca="false">K44</f>
        <v>1</v>
      </c>
      <c r="L56" s="40" t="n">
        <f aca="false">L44</f>
        <v>1</v>
      </c>
      <c r="M56" s="40" t="n">
        <f aca="false">M44</f>
        <v>1</v>
      </c>
    </row>
    <row r="57" customFormat="false" ht="15" hidden="false" customHeight="false" outlineLevel="0" collapsed="false">
      <c r="B57" s="11" t="s">
        <v>477</v>
      </c>
      <c r="D57" s="42" t="n">
        <f aca="false">1</f>
        <v>1</v>
      </c>
      <c r="E57" s="42" t="n">
        <f aca="false">D57*(1+N(E52))</f>
        <v>1.01</v>
      </c>
      <c r="F57" s="42" t="n">
        <f aca="false">E57*(1+N(F52))</f>
        <v>1.0201</v>
      </c>
      <c r="G57" s="42" t="n">
        <f aca="false">F57*(1+N(G52))</f>
        <v>1.030301</v>
      </c>
      <c r="H57" s="42" t="n">
        <f aca="false">G57*(1+N(H52))</f>
        <v>1.04060401</v>
      </c>
      <c r="I57" s="42" t="n">
        <f aca="false">H57*(1+N(I52))</f>
        <v>1.0510100501</v>
      </c>
      <c r="J57" s="42" t="n">
        <f aca="false">I57*(1+N(J52))</f>
        <v>1.061520150601</v>
      </c>
      <c r="K57" s="42" t="n">
        <f aca="false">J57*(1+N(K52))</f>
        <v>1.07213535210701</v>
      </c>
      <c r="L57" s="42" t="n">
        <f aca="false">K57*(1+N(L52))</f>
        <v>1.08285670562808</v>
      </c>
      <c r="M57" s="42" t="n">
        <f aca="false">L57*(1+N(M52))</f>
        <v>1.09368527268436</v>
      </c>
    </row>
    <row r="58" customFormat="false" ht="15" hidden="false" customHeight="false" outlineLevel="0" collapsed="false">
      <c r="B58" s="11" t="s">
        <v>478</v>
      </c>
      <c r="D58" s="42" t="n">
        <f aca="false">1</f>
        <v>1</v>
      </c>
      <c r="E58" s="42" t="n">
        <f aca="false">D58*(1+N(E53))</f>
        <v>1.01</v>
      </c>
      <c r="F58" s="42" t="n">
        <f aca="false">E58*(1+N(F53))</f>
        <v>1.0201</v>
      </c>
      <c r="G58" s="42" t="n">
        <f aca="false">F58*(1+N(G53))</f>
        <v>1.030301</v>
      </c>
      <c r="H58" s="42" t="n">
        <f aca="false">G58*(1+N(H53))</f>
        <v>1.04060401</v>
      </c>
      <c r="I58" s="42" t="n">
        <f aca="false">H58*(1+N(I53))</f>
        <v>1.0510100501</v>
      </c>
      <c r="J58" s="42" t="n">
        <f aca="false">I58*(1+N(J53))</f>
        <v>1.061520150601</v>
      </c>
      <c r="K58" s="42" t="n">
        <f aca="false">J58*(1+N(K53))</f>
        <v>1.07213535210701</v>
      </c>
      <c r="L58" s="42" t="n">
        <f aca="false">K58*(1+N(L53))</f>
        <v>1.08285670562808</v>
      </c>
      <c r="M58" s="42" t="n">
        <f aca="false">L58*(1+N(M53))</f>
        <v>1.09368527268436</v>
      </c>
    </row>
    <row r="59" customFormat="false" ht="15" hidden="false" customHeight="false" outlineLevel="0" collapsed="false">
      <c r="B59" s="11" t="s">
        <v>479</v>
      </c>
      <c r="D59" s="42" t="n">
        <f aca="false">1</f>
        <v>1</v>
      </c>
      <c r="E59" s="42" t="n">
        <f aca="false">D59*(1+N(E54))</f>
        <v>1</v>
      </c>
      <c r="F59" s="42" t="n">
        <f aca="false">E59*(1+N(F54))</f>
        <v>1</v>
      </c>
      <c r="G59" s="42" t="n">
        <f aca="false">F59*(1+N(G54))</f>
        <v>1</v>
      </c>
      <c r="H59" s="42" t="n">
        <f aca="false">G59*(1+N(H54))</f>
        <v>1</v>
      </c>
      <c r="I59" s="42" t="n">
        <f aca="false">H59*(1+N(I54))</f>
        <v>1</v>
      </c>
      <c r="J59" s="42" t="n">
        <f aca="false">I59*(1+N(J54))</f>
        <v>1</v>
      </c>
      <c r="K59" s="42" t="n">
        <f aca="false">J59*(1+N(K54))</f>
        <v>1</v>
      </c>
      <c r="L59" s="42" t="n">
        <f aca="false">K59*(1+N(L54))</f>
        <v>1</v>
      </c>
      <c r="M59" s="42" t="n">
        <f aca="false">L59*(1+N(M54))</f>
        <v>1</v>
      </c>
    </row>
    <row r="60" customFormat="false" ht="15" hidden="false" customHeight="false" outlineLevel="0" collapsed="false">
      <c r="B60" s="11" t="s">
        <v>480</v>
      </c>
      <c r="D60" s="42" t="n">
        <f aca="false">1</f>
        <v>1</v>
      </c>
      <c r="E60" s="42" t="n">
        <f aca="false">D60*(1+N(E55))</f>
        <v>1</v>
      </c>
      <c r="F60" s="42" t="n">
        <f aca="false">E60*(1+N(F55))</f>
        <v>1</v>
      </c>
      <c r="G60" s="42" t="n">
        <f aca="false">F60*(1+N(G55))</f>
        <v>1</v>
      </c>
      <c r="H60" s="42" t="n">
        <f aca="false">G60*(1+N(H55))</f>
        <v>1</v>
      </c>
      <c r="I60" s="42" t="n">
        <f aca="false">H60*(1+N(I55))</f>
        <v>1</v>
      </c>
      <c r="J60" s="42" t="n">
        <f aca="false">I60*(1+N(J55))</f>
        <v>1</v>
      </c>
      <c r="K60" s="42" t="n">
        <f aca="false">J60*(1+N(K55))</f>
        <v>1</v>
      </c>
      <c r="L60" s="42" t="n">
        <f aca="false">K60*(1+N(L55))</f>
        <v>1</v>
      </c>
      <c r="M60" s="42" t="n">
        <f aca="false">L60*(1+N(M55))</f>
        <v>1</v>
      </c>
    </row>
    <row r="62" customFormat="false" ht="15" hidden="false" customHeight="false" outlineLevel="0" collapsed="false">
      <c r="A62" s="12" t="s">
        <v>482</v>
      </c>
      <c r="B62" s="13"/>
      <c r="C62" s="13"/>
      <c r="D62" s="13"/>
      <c r="E62" s="13"/>
      <c r="F62" s="13"/>
      <c r="G62" s="13"/>
      <c r="H62" s="13"/>
      <c r="I62" s="13"/>
      <c r="J62" s="13"/>
      <c r="K62" s="13"/>
      <c r="L62" s="13"/>
      <c r="M62" s="13"/>
      <c r="N62" s="13"/>
    </row>
    <row r="63" customFormat="false" ht="30" hidden="false" customHeight="true" outlineLevel="0" collapsed="false">
      <c r="A63" s="14" t="s">
        <v>353</v>
      </c>
      <c r="B63" s="14" t="s">
        <v>483</v>
      </c>
      <c r="C63" s="14" t="s">
        <v>355</v>
      </c>
      <c r="D63" s="14" t="s">
        <v>128</v>
      </c>
      <c r="E63" s="14" t="s">
        <v>484</v>
      </c>
      <c r="F63" s="14" t="s">
        <v>485</v>
      </c>
      <c r="G63" s="14" t="s">
        <v>486</v>
      </c>
      <c r="H63" s="32" t="s">
        <v>462</v>
      </c>
      <c r="I63" s="32"/>
      <c r="J63" s="32"/>
      <c r="K63" s="32"/>
      <c r="L63" s="32"/>
      <c r="M63" s="32"/>
      <c r="N63" s="32"/>
    </row>
    <row r="64" customFormat="false" ht="15" hidden="false" customHeight="false" outlineLevel="0" collapsed="false">
      <c r="A64" s="15" t="s">
        <v>487</v>
      </c>
      <c r="B64" s="15" t="s">
        <v>488</v>
      </c>
      <c r="C64" s="15" t="s">
        <v>367</v>
      </c>
      <c r="D64" s="44" t="n">
        <v>0</v>
      </c>
      <c r="E64" s="39" t="n">
        <v>-0.1</v>
      </c>
      <c r="F64" s="39" t="n">
        <v>0.05</v>
      </c>
      <c r="G64" s="45" t="n">
        <f aca="false">IF(INDEX(D64:F64,1,c_EscIdx)="","",INDEX(D64:F64,1,c_EscIdx))</f>
        <v>0</v>
      </c>
    </row>
    <row r="65" customFormat="false" ht="15" hidden="false" customHeight="false" outlineLevel="0" collapsed="false">
      <c r="A65" s="15" t="s">
        <v>489</v>
      </c>
      <c r="B65" s="15" t="s">
        <v>490</v>
      </c>
      <c r="C65" s="15" t="s">
        <v>367</v>
      </c>
      <c r="D65" s="44" t="n">
        <v>0</v>
      </c>
      <c r="E65" s="39" t="n">
        <v>-0.05</v>
      </c>
      <c r="F65" s="39" t="n">
        <v>0.02</v>
      </c>
      <c r="G65" s="45" t="n">
        <f aca="false">IF(INDEX(D65:F65,1,c_EscIdx)="","",INDEX(D65:F65,1,c_EscIdx))</f>
        <v>0</v>
      </c>
    </row>
    <row r="66" customFormat="false" ht="15" hidden="false" customHeight="false" outlineLevel="0" collapsed="false">
      <c r="A66" s="15" t="s">
        <v>491</v>
      </c>
      <c r="B66" s="15" t="s">
        <v>492</v>
      </c>
      <c r="C66" s="15" t="s">
        <v>367</v>
      </c>
      <c r="D66" s="44" t="n">
        <v>0</v>
      </c>
      <c r="E66" s="39" t="n">
        <v>0.1</v>
      </c>
      <c r="F66" s="39" t="n">
        <v>-0.03</v>
      </c>
      <c r="G66" s="45" t="n">
        <f aca="false">IF(INDEX(D66:F66,1,c_EscIdx)="","",INDEX(D66:F66,1,c_EscIdx))</f>
        <v>0</v>
      </c>
    </row>
    <row r="67" customFormat="false" ht="15" hidden="false" customHeight="false" outlineLevel="0" collapsed="false">
      <c r="A67" s="15" t="s">
        <v>493</v>
      </c>
      <c r="B67" s="15" t="s">
        <v>494</v>
      </c>
      <c r="C67" s="15" t="s">
        <v>367</v>
      </c>
      <c r="D67" s="44" t="n">
        <v>0</v>
      </c>
      <c r="E67" s="39" t="n">
        <v>0</v>
      </c>
      <c r="F67" s="39" t="n">
        <v>0</v>
      </c>
      <c r="G67" s="45" t="n">
        <f aca="false">IF(INDEX(D67:F67,1,c_EscIdx)="","",INDEX(D67:F67,1,c_EscIdx))</f>
        <v>0</v>
      </c>
    </row>
    <row r="68" customFormat="false" ht="15" hidden="false" customHeight="false" outlineLevel="0" collapsed="false">
      <c r="A68" s="15" t="s">
        <v>495</v>
      </c>
      <c r="B68" s="15" t="s">
        <v>496</v>
      </c>
      <c r="C68" s="15" t="s">
        <v>430</v>
      </c>
      <c r="D68" s="46" t="n">
        <v>0</v>
      </c>
      <c r="E68" s="18" t="n">
        <v>3</v>
      </c>
      <c r="F68" s="18" t="n">
        <v>0</v>
      </c>
      <c r="G68" s="27" t="n">
        <f aca="false">IF(INDEX(D68:F68,1,c_EscIdx)="","",INDEX(D68:F68,1,c_EscIdx))</f>
        <v>0</v>
      </c>
    </row>
    <row r="69" customFormat="false" ht="15" hidden="false" customHeight="false" outlineLevel="0" collapsed="false">
      <c r="A69" s="15" t="s">
        <v>497</v>
      </c>
      <c r="B69" s="15" t="s">
        <v>498</v>
      </c>
      <c r="C69" s="15" t="s">
        <v>367</v>
      </c>
      <c r="D69" s="44" t="n">
        <v>0</v>
      </c>
      <c r="E69" s="39" t="n">
        <v>0.1</v>
      </c>
      <c r="F69" s="39" t="n">
        <v>0</v>
      </c>
      <c r="G69" s="45" t="n">
        <f aca="false">IF(INDEX(D69:F69,1,c_EscIdx)="","",INDEX(D69:F69,1,c_EscIdx))</f>
        <v>0</v>
      </c>
    </row>
    <row r="70" customFormat="false" ht="15" hidden="false" customHeight="false" outlineLevel="0" collapsed="false">
      <c r="A70" s="15" t="s">
        <v>499</v>
      </c>
      <c r="B70" s="15" t="s">
        <v>500</v>
      </c>
      <c r="C70" s="15" t="s">
        <v>409</v>
      </c>
      <c r="D70" s="46"/>
      <c r="E70" s="18" t="n">
        <v>150</v>
      </c>
      <c r="F70" s="18" t="n">
        <v>90</v>
      </c>
      <c r="G70" s="27" t="str">
        <f aca="false">IF(INDEX(D70:F70,1,c_EscIdx)="","",INDEX(D70:F70,1,c_EscIdx))</f>
        <v/>
      </c>
    </row>
    <row r="71" customFormat="false" ht="15" hidden="false" customHeight="false" outlineLevel="0" collapsed="false">
      <c r="A71" s="15" t="s">
        <v>501</v>
      </c>
      <c r="B71" s="15" t="s">
        <v>502</v>
      </c>
      <c r="C71" s="15" t="s">
        <v>409</v>
      </c>
      <c r="D71" s="46"/>
      <c r="E71" s="18"/>
      <c r="F71" s="18" t="n">
        <v>90</v>
      </c>
      <c r="G71" s="27" t="str">
        <f aca="false">IF(INDEX(D71:F71,1,c_EscIdx)="","",INDEX(D71:F71,1,c_EscIdx))</f>
        <v/>
      </c>
    </row>
    <row r="72" customFormat="false" ht="15" hidden="false" customHeight="false" outlineLevel="0" collapsed="false">
      <c r="B72" s="15" t="s">
        <v>503</v>
      </c>
      <c r="D72" s="34" t="n">
        <f aca="false">IF(n_Escenario="Conservador",2,IF(n_Escenario="Optimista",3,1))</f>
        <v>1</v>
      </c>
      <c r="H72" s="11" t="s">
        <v>504</v>
      </c>
    </row>
    <row r="74" customFormat="false" ht="15" hidden="false" customHeight="false" outlineLevel="0" collapsed="false">
      <c r="A74" s="12" t="s">
        <v>505</v>
      </c>
      <c r="B74" s="13"/>
      <c r="C74" s="13"/>
      <c r="D74" s="13"/>
      <c r="E74" s="13"/>
      <c r="F74" s="13"/>
      <c r="G74" s="13"/>
      <c r="H74" s="13"/>
      <c r="I74" s="13"/>
      <c r="J74" s="13"/>
      <c r="K74" s="13"/>
      <c r="L74" s="13"/>
      <c r="M74" s="13"/>
      <c r="N74" s="13"/>
    </row>
    <row r="75" customFormat="false" ht="15" hidden="false" customHeight="false" outlineLevel="0" collapsed="false">
      <c r="A75" s="14" t="s">
        <v>353</v>
      </c>
      <c r="B75" s="14" t="s">
        <v>451</v>
      </c>
      <c r="C75" s="14" t="s">
        <v>355</v>
      </c>
      <c r="D75" s="14" t="s">
        <v>452</v>
      </c>
      <c r="E75" s="14" t="s">
        <v>453</v>
      </c>
      <c r="F75" s="14" t="s">
        <v>454</v>
      </c>
      <c r="G75" s="14" t="s">
        <v>455</v>
      </c>
      <c r="H75" s="14" t="s">
        <v>456</v>
      </c>
      <c r="I75" s="14" t="s">
        <v>457</v>
      </c>
      <c r="J75" s="14" t="s">
        <v>458</v>
      </c>
      <c r="K75" s="14" t="s">
        <v>459</v>
      </c>
      <c r="L75" s="14" t="s">
        <v>460</v>
      </c>
      <c r="M75" s="14" t="s">
        <v>461</v>
      </c>
      <c r="N75" s="14" t="s">
        <v>462</v>
      </c>
    </row>
    <row r="76" customFormat="false" ht="15" hidden="false" customHeight="false" outlineLevel="0" collapsed="false">
      <c r="A76" s="15" t="s">
        <v>506</v>
      </c>
      <c r="B76" s="15" t="s">
        <v>507</v>
      </c>
      <c r="C76" s="15" t="s">
        <v>508</v>
      </c>
      <c r="D76" s="37" t="n">
        <v>4850000</v>
      </c>
      <c r="E76" s="37" t="n">
        <v>6181200</v>
      </c>
      <c r="F76" s="37" t="n">
        <v>7538539</v>
      </c>
      <c r="G76" s="37" t="n">
        <v>8685437</v>
      </c>
      <c r="H76" s="37" t="n">
        <v>8772292</v>
      </c>
      <c r="I76" s="37" t="n">
        <v>8860015</v>
      </c>
      <c r="J76" s="37" t="n">
        <v>8948615</v>
      </c>
      <c r="K76" s="37" t="n">
        <v>9038101</v>
      </c>
      <c r="L76" s="37" t="n">
        <v>9128482</v>
      </c>
      <c r="M76" s="37" t="n">
        <v>9219767</v>
      </c>
    </row>
    <row r="77" customFormat="false" ht="15" hidden="false" customHeight="false" outlineLevel="0" collapsed="false">
      <c r="A77" s="15" t="s">
        <v>509</v>
      </c>
      <c r="B77" s="15" t="s">
        <v>510</v>
      </c>
      <c r="C77" s="15" t="s">
        <v>508</v>
      </c>
      <c r="D77" s="37" t="n">
        <v>573024</v>
      </c>
      <c r="E77" s="37" t="n">
        <v>1029011</v>
      </c>
      <c r="F77" s="37" t="n">
        <v>1479759</v>
      </c>
      <c r="G77" s="37" t="n">
        <v>1886306</v>
      </c>
      <c r="H77" s="37" t="n">
        <v>1914796</v>
      </c>
      <c r="I77" s="37" t="n">
        <v>1973999</v>
      </c>
      <c r="J77" s="37" t="n">
        <v>2033657</v>
      </c>
      <c r="K77" s="37" t="n">
        <v>2093768</v>
      </c>
      <c r="L77" s="37" t="n">
        <v>2154335</v>
      </c>
      <c r="M77" s="37" t="n">
        <v>2215355</v>
      </c>
    </row>
    <row r="78" customFormat="false" ht="15" hidden="false" customHeight="false" outlineLevel="0" collapsed="false">
      <c r="A78" s="15" t="s">
        <v>511</v>
      </c>
      <c r="B78" s="15" t="s">
        <v>512</v>
      </c>
      <c r="C78" s="15" t="s">
        <v>508</v>
      </c>
      <c r="D78" s="37" t="n">
        <v>301922</v>
      </c>
      <c r="E78" s="37" t="n">
        <v>731144</v>
      </c>
      <c r="F78" s="37" t="n">
        <v>1238751</v>
      </c>
      <c r="G78" s="37" t="n">
        <v>1707489</v>
      </c>
      <c r="H78" s="37" t="n">
        <v>1804006</v>
      </c>
      <c r="I78" s="37" t="n">
        <v>1902407</v>
      </c>
      <c r="J78" s="37" t="n">
        <v>1974240</v>
      </c>
      <c r="K78" s="37" t="n">
        <v>2034352</v>
      </c>
      <c r="L78" s="37" t="n">
        <v>2094918</v>
      </c>
      <c r="M78" s="37" t="n">
        <v>2155939</v>
      </c>
    </row>
    <row r="79" customFormat="false" ht="15" hidden="false" customHeight="false" outlineLevel="0" collapsed="false">
      <c r="A79" s="15" t="s">
        <v>513</v>
      </c>
      <c r="B79" s="15" t="s">
        <v>514</v>
      </c>
      <c r="D79" s="37" t="n">
        <v>4588736</v>
      </c>
    </row>
    <row r="80" customFormat="false" ht="15" hidden="false" customHeight="false" outlineLevel="0" collapsed="false">
      <c r="A80" s="15" t="s">
        <v>515</v>
      </c>
      <c r="B80" s="15" t="s">
        <v>516</v>
      </c>
      <c r="D80" s="35" t="n">
        <v>0.2261</v>
      </c>
    </row>
    <row r="81" customFormat="false" ht="15" hidden="false" customHeight="false" outlineLevel="0" collapsed="false">
      <c r="B81" s="11" t="s">
        <v>517</v>
      </c>
    </row>
    <row r="83" customFormat="false" ht="15" hidden="false" customHeight="false" outlineLevel="0" collapsed="false">
      <c r="A83" s="12" t="s">
        <v>518</v>
      </c>
      <c r="B83" s="13"/>
      <c r="C83" s="13"/>
      <c r="D83" s="13"/>
      <c r="E83" s="13"/>
      <c r="F83" s="13"/>
      <c r="G83" s="13"/>
      <c r="H83" s="13"/>
      <c r="I83" s="13"/>
      <c r="J83" s="13"/>
      <c r="K83" s="13"/>
      <c r="L83" s="13"/>
      <c r="M83" s="13"/>
      <c r="N83" s="13"/>
    </row>
    <row r="84" customFormat="false" ht="15" hidden="false" customHeight="false" outlineLevel="0" collapsed="false">
      <c r="A84" s="14"/>
      <c r="B84" s="14" t="s">
        <v>354</v>
      </c>
      <c r="C84" s="14"/>
      <c r="D84" s="14" t="s">
        <v>519</v>
      </c>
      <c r="E84" s="14" t="s">
        <v>520</v>
      </c>
    </row>
    <row r="85" customFormat="false" ht="15" hidden="false" customHeight="false" outlineLevel="0" collapsed="false">
      <c r="B85" s="11" t="s">
        <v>358</v>
      </c>
      <c r="D85" s="34" t="n">
        <f aca="false">MAX(1,N(o_Inicio))</f>
        <v>1</v>
      </c>
      <c r="E85" s="34" t="n">
        <f aca="false">MAX(1,IF(ISNUMBER(n_InicioReal),n_InicioReal,IF(N(vg_Inicio)&lt;=Corte,N(vg_Inicio),N(vg_Inicio)+ROUND(N(e_Atraso),0))))</f>
        <v>1</v>
      </c>
    </row>
    <row r="86" customFormat="false" ht="15" hidden="false" customHeight="false" outlineLevel="0" collapsed="false">
      <c r="B86" s="11" t="s">
        <v>362</v>
      </c>
      <c r="D86" s="34" t="n">
        <f aca="false">N(o_Anios)</f>
        <v>10</v>
      </c>
      <c r="E86" s="34" t="n">
        <f aca="false">N(vg_Anios)</f>
        <v>10</v>
      </c>
    </row>
    <row r="87" customFormat="false" ht="15" hidden="false" customHeight="false" outlineLevel="0" collapsed="false">
      <c r="B87" s="11" t="s">
        <v>366</v>
      </c>
      <c r="D87" s="47" t="n">
        <f aca="false">N(o_Merma)</f>
        <v>0</v>
      </c>
      <c r="E87" s="47" t="n">
        <f aca="false">N(vg_Merma)</f>
        <v>0</v>
      </c>
    </row>
    <row r="88" customFormat="false" ht="15" hidden="false" customHeight="false" outlineLevel="0" collapsed="false">
      <c r="B88" s="11" t="s">
        <v>370</v>
      </c>
      <c r="D88" s="47" t="n">
        <f aca="false">N(o_Cargas)</f>
        <v>0.4309</v>
      </c>
      <c r="E88" s="47" t="n">
        <f aca="false">N(vg_Cargas)</f>
        <v>0.4309</v>
      </c>
    </row>
    <row r="89" customFormat="false" ht="15" hidden="false" customHeight="false" outlineLevel="0" collapsed="false">
      <c r="B89" s="11" t="s">
        <v>373</v>
      </c>
      <c r="D89" s="48" t="n">
        <f aca="false">N(o_Alim)</f>
        <v>576000</v>
      </c>
      <c r="E89" s="48" t="n">
        <f aca="false">N(vg_Alim)</f>
        <v>576000</v>
      </c>
    </row>
    <row r="90" customFormat="false" ht="15" hidden="false" customHeight="false" outlineLevel="0" collapsed="false">
      <c r="B90" s="11" t="s">
        <v>377</v>
      </c>
      <c r="D90" s="49" t="n">
        <f aca="false">N(o_PreDir)</f>
        <v>0.5</v>
      </c>
      <c r="E90" s="49" t="n">
        <f aca="false">N(vg_PreDir)</f>
        <v>0.5</v>
      </c>
    </row>
    <row r="91" customFormat="false" ht="15" hidden="false" customHeight="false" outlineLevel="0" collapsed="false">
      <c r="B91" s="11" t="s">
        <v>381</v>
      </c>
      <c r="D91" s="49" t="n">
        <f aca="false">N(o_PreInd)</f>
        <v>1</v>
      </c>
      <c r="E91" s="49" t="n">
        <f aca="false">N(vg_PreInd)</f>
        <v>1</v>
      </c>
    </row>
    <row r="92" customFormat="false" ht="15" hidden="false" customHeight="false" outlineLevel="0" collapsed="false">
      <c r="B92" s="11" t="s">
        <v>384</v>
      </c>
      <c r="D92" s="47" t="n">
        <f aca="false">N(o_Desp)</f>
        <v>0.03</v>
      </c>
      <c r="E92" s="47" t="n">
        <f aca="false">N(vg_Desp)</f>
        <v>0.03</v>
      </c>
    </row>
    <row r="93" customFormat="false" ht="15" hidden="false" customHeight="false" outlineLevel="0" collapsed="false">
      <c r="B93" s="11" t="s">
        <v>387</v>
      </c>
      <c r="D93" s="47" t="n">
        <f aca="false">N(o_Pkg)</f>
        <v>0.01</v>
      </c>
      <c r="E93" s="47" t="n">
        <f aca="false">N(vg_Pkg)</f>
        <v>0.01</v>
      </c>
    </row>
    <row r="94" customFormat="false" ht="15" hidden="false" customHeight="false" outlineLevel="0" collapsed="false">
      <c r="B94" s="11" t="s">
        <v>390</v>
      </c>
      <c r="D94" s="47" t="n">
        <f aca="false">N(o_ImpP)</f>
        <v>0.05</v>
      </c>
      <c r="E94" s="47" t="n">
        <f aca="false">N(vg_ImpP)</f>
        <v>0.05</v>
      </c>
    </row>
    <row r="95" customFormat="false" ht="15" hidden="false" customHeight="false" outlineLevel="0" collapsed="false">
      <c r="B95" s="11" t="s">
        <v>393</v>
      </c>
      <c r="D95" s="47" t="n">
        <f aca="false">N(o_ImpA)</f>
        <v>0.05</v>
      </c>
      <c r="E95" s="47" t="n">
        <f aca="false">N(vg_ImpA)</f>
        <v>0.05</v>
      </c>
    </row>
    <row r="96" customFormat="false" ht="15" hidden="false" customHeight="false" outlineLevel="0" collapsed="false">
      <c r="B96" s="11" t="s">
        <v>396</v>
      </c>
      <c r="D96" s="47" t="n">
        <f aca="false">N(o_Trib)</f>
        <v>0.01</v>
      </c>
      <c r="E96" s="47" t="n">
        <f aca="false">N(vg_Trib)</f>
        <v>0.01</v>
      </c>
    </row>
    <row r="97" customFormat="false" ht="15" hidden="false" customHeight="false" outlineLevel="0" collapsed="false">
      <c r="B97" s="11" t="s">
        <v>399</v>
      </c>
      <c r="D97" s="47" t="n">
        <f aca="false">N(o_SegV)</f>
        <v>0.001</v>
      </c>
      <c r="E97" s="47" t="n">
        <f aca="false">N(vg_SegV)</f>
        <v>0.001</v>
      </c>
    </row>
    <row r="98" customFormat="false" ht="15" hidden="false" customHeight="false" outlineLevel="0" collapsed="false">
      <c r="B98" s="11" t="s">
        <v>402</v>
      </c>
      <c r="D98" s="47" t="n">
        <f aca="false">N(o_ComV)</f>
        <v>0</v>
      </c>
      <c r="E98" s="47" t="n">
        <f aca="false">N(vg_ComV)</f>
        <v>0</v>
      </c>
    </row>
    <row r="99" customFormat="false" ht="15" hidden="false" customHeight="false" outlineLevel="0" collapsed="false">
      <c r="B99" s="11" t="s">
        <v>405</v>
      </c>
      <c r="D99" s="47" t="n">
        <f aca="false">N(o_IRE)</f>
        <v>0</v>
      </c>
      <c r="E99" s="47" t="n">
        <f aca="false">N(vg_IRE)</f>
        <v>0</v>
      </c>
    </row>
    <row r="100" customFormat="false" ht="15" hidden="false" customHeight="false" outlineLevel="0" collapsed="false">
      <c r="B100" s="11" t="s">
        <v>408</v>
      </c>
      <c r="D100" s="34" t="n">
        <f aca="false">N(o_DSO)</f>
        <v>120</v>
      </c>
      <c r="E100" s="34" t="n">
        <f aca="false">IF(e_DSOesc="",N(vg_DSO),e_DSOesc)</f>
        <v>120</v>
      </c>
    </row>
    <row r="101" customFormat="false" ht="15" hidden="false" customHeight="false" outlineLevel="0" collapsed="false">
      <c r="B101" s="11" t="s">
        <v>412</v>
      </c>
      <c r="D101" s="34" t="n">
        <f aca="false">N(o_DInv)</f>
        <v>120</v>
      </c>
      <c r="E101" s="34" t="n">
        <f aca="false">IF(e_DInvEsc="",N(vg_DInv),e_DInvEsc)</f>
        <v>120</v>
      </c>
    </row>
    <row r="102" customFormat="false" ht="15" hidden="false" customHeight="false" outlineLevel="0" collapsed="false">
      <c r="B102" s="11" t="s">
        <v>415</v>
      </c>
      <c r="D102" s="34" t="n">
        <f aca="false">N(o_DPT)</f>
        <v>10</v>
      </c>
      <c r="E102" s="34" t="n">
        <f aca="false">N(vg_DPT)</f>
        <v>10</v>
      </c>
    </row>
    <row r="103" customFormat="false" ht="15" hidden="false" customHeight="false" outlineLevel="0" collapsed="false">
      <c r="B103" s="11" t="s">
        <v>417</v>
      </c>
      <c r="D103" s="34" t="n">
        <f aca="false">N(o_DPOmp)</f>
        <v>0</v>
      </c>
      <c r="E103" s="34" t="n">
        <f aca="false">N(vg_DPOmp)</f>
        <v>0</v>
      </c>
    </row>
    <row r="104" customFormat="false" ht="15" hidden="false" customHeight="false" outlineLevel="0" collapsed="false">
      <c r="B104" s="11" t="s">
        <v>420</v>
      </c>
      <c r="D104" s="34" t="n">
        <f aca="false">N(o_DPOot)</f>
        <v>30</v>
      </c>
      <c r="E104" s="34" t="n">
        <f aca="false">N(vg_DPOot)</f>
        <v>30</v>
      </c>
    </row>
    <row r="105" customFormat="false" ht="15" hidden="false" customHeight="false" outlineLevel="0" collapsed="false">
      <c r="B105" s="11" t="s">
        <v>422</v>
      </c>
      <c r="D105" s="34" t="n">
        <f aca="false">N(o_CajaMin)</f>
        <v>3</v>
      </c>
      <c r="E105" s="34" t="n">
        <f aca="false">N(vg_CajaMin)</f>
        <v>3</v>
      </c>
    </row>
    <row r="106" customFormat="false" ht="15" hidden="false" customHeight="false" outlineLevel="0" collapsed="false">
      <c r="B106" s="11" t="s">
        <v>426</v>
      </c>
      <c r="D106" s="49" t="n">
        <f aca="false">N(o_IVArec)</f>
        <v>0</v>
      </c>
      <c r="E106" s="49" t="n">
        <f aca="false">N(vg_IVArec)</f>
        <v>0</v>
      </c>
    </row>
    <row r="107" customFormat="false" ht="15" hidden="false" customHeight="false" outlineLevel="0" collapsed="false">
      <c r="B107" s="11" t="s">
        <v>429</v>
      </c>
      <c r="D107" s="34" t="n">
        <f aca="false">N(o_IVAmeses)</f>
        <v>6</v>
      </c>
      <c r="E107" s="34" t="n">
        <f aca="false">N(vg_IVAmeses)</f>
        <v>6</v>
      </c>
    </row>
    <row r="108" customFormat="false" ht="15" hidden="false" customHeight="false" outlineLevel="0" collapsed="false">
      <c r="B108" s="11" t="s">
        <v>433</v>
      </c>
      <c r="D108" s="49" t="n">
        <f aca="false">N(o_IVAint)</f>
        <v>0.1</v>
      </c>
      <c r="E108" s="49" t="n">
        <f aca="false">N(vg_IVAint)</f>
        <v>0.1</v>
      </c>
    </row>
    <row r="109" customFormat="false" ht="15" hidden="false" customHeight="false" outlineLevel="0" collapsed="false">
      <c r="B109" s="11" t="s">
        <v>436</v>
      </c>
      <c r="D109" s="47" t="n">
        <f aca="false">N(o_WACC)</f>
        <v>0.0948937</v>
      </c>
      <c r="E109" s="47" t="n">
        <f aca="false">N(vg_WACC)</f>
        <v>0.0948937</v>
      </c>
    </row>
    <row r="110" customFormat="false" ht="15" hidden="false" customHeight="false" outlineLevel="0" collapsed="false">
      <c r="B110" s="11" t="s">
        <v>439</v>
      </c>
      <c r="D110" s="47" t="n">
        <f aca="false">N(o_Ke)</f>
        <v>0.1632</v>
      </c>
      <c r="E110" s="47" t="n">
        <f aca="false">N(vg_Ke)</f>
        <v>0.1632</v>
      </c>
    </row>
    <row r="111" customFormat="false" ht="15" hidden="false" customHeight="false" outlineLevel="0" collapsed="false">
      <c r="B111" s="11" t="s">
        <v>442</v>
      </c>
      <c r="D111" s="49" t="n">
        <f aca="false">N(o_RealCT)</f>
        <v>1</v>
      </c>
      <c r="E111" s="49" t="n">
        <f aca="false">N(vg_RealCT)</f>
        <v>1</v>
      </c>
    </row>
    <row r="112" customFormat="false" ht="15" hidden="false" customHeight="false" outlineLevel="0" collapsed="false">
      <c r="B112" s="11" t="s">
        <v>445</v>
      </c>
      <c r="D112" s="49" t="n">
        <f aca="false">N(o_RealAF)</f>
        <v>1</v>
      </c>
      <c r="E112" s="49" t="n">
        <f aca="false">N(vg_RealAF)</f>
        <v>1</v>
      </c>
    </row>
    <row r="113" customFormat="false" ht="15" hidden="false" customHeight="false" outlineLevel="0" collapsed="false">
      <c r="B113" s="11" t="s">
        <v>448</v>
      </c>
      <c r="D113" s="34" t="n">
        <f aca="false">N(o_MesDiv)</f>
        <v>4</v>
      </c>
      <c r="E113" s="34" t="n">
        <f aca="false">N(vg_MesDiv)</f>
        <v>4</v>
      </c>
    </row>
    <row r="114" customFormat="false" ht="15" hidden="false" customHeight="false" outlineLevel="0" collapsed="false">
      <c r="B114" s="11" t="s">
        <v>488</v>
      </c>
      <c r="D114" s="49" t="n">
        <v>0</v>
      </c>
      <c r="E114" s="49" t="n">
        <f aca="false">N(e_dVol)</f>
        <v>0</v>
      </c>
    </row>
    <row r="115" customFormat="false" ht="15" hidden="false" customHeight="false" outlineLevel="0" collapsed="false">
      <c r="B115" s="11" t="s">
        <v>490</v>
      </c>
      <c r="D115" s="49" t="n">
        <v>0</v>
      </c>
      <c r="E115" s="49" t="n">
        <f aca="false">N(e_dPrecio)</f>
        <v>0</v>
      </c>
    </row>
    <row r="116" customFormat="false" ht="15" hidden="false" customHeight="false" outlineLevel="0" collapsed="false">
      <c r="B116" s="11" t="s">
        <v>521</v>
      </c>
      <c r="D116" s="49" t="n">
        <v>0</v>
      </c>
      <c r="E116" s="49" t="n">
        <f aca="false">N(e_dMat)</f>
        <v>0</v>
      </c>
    </row>
    <row r="117" customFormat="false" ht="15" hidden="false" customHeight="false" outlineLevel="0" collapsed="false">
      <c r="B117" s="11" t="s">
        <v>522</v>
      </c>
      <c r="D117" s="49" t="n">
        <v>0</v>
      </c>
      <c r="E117" s="49" t="n">
        <f aca="false">N(e_dTC)</f>
        <v>0</v>
      </c>
    </row>
    <row r="118" customFormat="false" ht="15" hidden="false" customHeight="false" outlineLevel="0" collapsed="false">
      <c r="B118" s="11" t="s">
        <v>523</v>
      </c>
      <c r="D118" s="49" t="n">
        <v>0</v>
      </c>
      <c r="E118" s="49" t="n">
        <f aca="false">N(e_dCapex)</f>
        <v>0</v>
      </c>
    </row>
    <row r="119" customFormat="false" ht="15" hidden="false" customHeight="false" outlineLevel="0" collapsed="false">
      <c r="B119" s="11" t="s">
        <v>524</v>
      </c>
      <c r="D119" s="34" t="n">
        <f aca="false">IF(ISNUMBER(n_Corte),n_Corte,0)</f>
        <v>0</v>
      </c>
    </row>
    <row r="120" customFormat="false" ht="15" hidden="false" customHeight="false" outlineLevel="0" collapsed="false">
      <c r="B120" s="11" t="s">
        <v>525</v>
      </c>
      <c r="D120" s="34" t="n">
        <f aca="false">P_Inicio+12*P_Anios-1</f>
        <v>120</v>
      </c>
    </row>
    <row r="121" customFormat="false" ht="15" hidden="false" customHeight="false" outlineLevel="0" collapsed="false">
      <c r="B121" s="11" t="s">
        <v>526</v>
      </c>
      <c r="D121" s="50" t="n">
        <f aca="false">365/12</f>
        <v>30.4166666666667</v>
      </c>
    </row>
  </sheetData>
  <mergeCells count="2">
    <mergeCell ref="F5:N5"/>
    <mergeCell ref="H63:N63"/>
  </mergeCells>
  <conditionalFormatting sqref="E6:E34">
    <cfRule type="expression" priority="2" aboveAverage="0" equalAverage="0" bottom="0" percent="0" rank="0" text="" dxfId="3">
      <formula>E6&lt;&gt;D6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
    <col collapsed="false" customWidth="true" hidden="false" outlineLevel="0" max="14" min="4" style="0" width="12.5"/>
    <col collapsed="false" customWidth="true" hidden="false" outlineLevel="0" max="15" min="15" style="0" width="50"/>
  </cols>
  <sheetData>
    <row r="1" customFormat="false" ht="16.15" hidden="false" customHeight="false" outlineLevel="0" collapsed="false">
      <c r="A1" s="10" t="s">
        <v>527</v>
      </c>
    </row>
    <row r="2" customFormat="false" ht="15" hidden="false" customHeight="false" outlineLevel="0" collapsed="false">
      <c r="A2" s="11" t="s">
        <v>528</v>
      </c>
    </row>
    <row r="4" customFormat="false" ht="15" hidden="false" customHeight="false" outlineLevel="0" collapsed="false">
      <c r="A4" s="12" t="s">
        <v>529</v>
      </c>
      <c r="B4" s="13"/>
      <c r="C4" s="13"/>
      <c r="D4" s="13"/>
      <c r="E4" s="13"/>
      <c r="F4" s="13"/>
      <c r="G4" s="13"/>
      <c r="H4" s="13"/>
      <c r="I4" s="13"/>
      <c r="J4" s="13"/>
      <c r="K4" s="13"/>
      <c r="L4" s="13"/>
      <c r="M4" s="13"/>
      <c r="N4" s="13"/>
      <c r="O4" s="13"/>
    </row>
    <row r="5" customFormat="false" ht="54" hidden="false" customHeight="true" outlineLevel="0" collapsed="false">
      <c r="A5" s="14" t="s">
        <v>530</v>
      </c>
      <c r="B5" s="14" t="s">
        <v>531</v>
      </c>
      <c r="C5" s="14" t="s">
        <v>355</v>
      </c>
      <c r="D5" s="14" t="s">
        <v>532</v>
      </c>
      <c r="E5" s="14" t="s">
        <v>533</v>
      </c>
      <c r="F5" s="14" t="s">
        <v>534</v>
      </c>
      <c r="G5" s="14" t="s">
        <v>535</v>
      </c>
      <c r="H5" s="14" t="s">
        <v>536</v>
      </c>
      <c r="I5" s="14" t="s">
        <v>537</v>
      </c>
      <c r="J5" s="14" t="s">
        <v>538</v>
      </c>
      <c r="K5" s="14" t="s">
        <v>539</v>
      </c>
      <c r="L5" s="14" t="s">
        <v>540</v>
      </c>
      <c r="M5" s="14" t="s">
        <v>541</v>
      </c>
      <c r="N5" s="14" t="s">
        <v>542</v>
      </c>
      <c r="O5" s="14" t="s">
        <v>462</v>
      </c>
    </row>
    <row r="6" customFormat="false" ht="15" hidden="false" customHeight="false" outlineLevel="0" collapsed="false">
      <c r="A6" s="15" t="n">
        <v>1</v>
      </c>
      <c r="B6" s="16" t="s">
        <v>543</v>
      </c>
      <c r="C6" s="16" t="s">
        <v>544</v>
      </c>
      <c r="D6" s="37" t="n">
        <v>15000</v>
      </c>
      <c r="E6" s="37" t="n">
        <v>22000</v>
      </c>
      <c r="F6" s="18" t="n">
        <v>3</v>
      </c>
      <c r="G6" s="51" t="n">
        <v>270</v>
      </c>
      <c r="H6" s="52" t="n">
        <f aca="false">G6</f>
        <v>270</v>
      </c>
      <c r="I6" s="51" t="n">
        <v>82.65</v>
      </c>
      <c r="J6" s="52" t="n">
        <f aca="false">I6</f>
        <v>82.65</v>
      </c>
      <c r="K6" s="51" t="n">
        <v>45</v>
      </c>
      <c r="L6" s="52" t="n">
        <f aca="false">K6</f>
        <v>45</v>
      </c>
      <c r="M6" s="51" t="n">
        <v>27.909333</v>
      </c>
      <c r="N6" s="52" t="n">
        <f aca="false">M6</f>
        <v>27.909333</v>
      </c>
      <c r="O6" s="11" t="s">
        <v>545</v>
      </c>
    </row>
    <row r="7" customFormat="false" ht="15" hidden="false" customHeight="false" outlineLevel="0" collapsed="false">
      <c r="A7" s="15" t="n">
        <v>2</v>
      </c>
      <c r="B7" s="16" t="s">
        <v>546</v>
      </c>
      <c r="C7" s="16" t="s">
        <v>544</v>
      </c>
      <c r="D7" s="37" t="n">
        <v>90000</v>
      </c>
      <c r="E7" s="37" t="n">
        <v>121000</v>
      </c>
      <c r="F7" s="18" t="n">
        <v>3</v>
      </c>
      <c r="G7" s="51" t="n">
        <v>23</v>
      </c>
      <c r="H7" s="52" t="n">
        <f aca="false">G7</f>
        <v>23</v>
      </c>
      <c r="I7" s="51" t="n">
        <v>7.41</v>
      </c>
      <c r="J7" s="52" t="n">
        <f aca="false">I7</f>
        <v>7.41</v>
      </c>
      <c r="K7" s="51" t="n">
        <v>4.851</v>
      </c>
      <c r="L7" s="52" t="n">
        <f aca="false">K7</f>
        <v>4.851</v>
      </c>
      <c r="M7" s="51" t="n">
        <v>2.73</v>
      </c>
      <c r="N7" s="52" t="n">
        <f aca="false">M7</f>
        <v>2.73</v>
      </c>
      <c r="O7" s="11" t="s">
        <v>547</v>
      </c>
    </row>
    <row r="8" customFormat="false" ht="15" hidden="false" customHeight="false" outlineLevel="0" collapsed="false">
      <c r="A8" s="15" t="n">
        <v>3</v>
      </c>
      <c r="B8" s="16"/>
      <c r="C8" s="16"/>
      <c r="D8" s="37"/>
      <c r="E8" s="37"/>
      <c r="F8" s="18"/>
      <c r="G8" s="51"/>
      <c r="H8" s="52" t="n">
        <f aca="false">G8</f>
        <v>0</v>
      </c>
      <c r="I8" s="51"/>
      <c r="J8" s="52" t="n">
        <f aca="false">I8</f>
        <v>0</v>
      </c>
      <c r="K8" s="51"/>
      <c r="L8" s="52" t="n">
        <f aca="false">K8</f>
        <v>0</v>
      </c>
      <c r="M8" s="51"/>
      <c r="N8" s="52" t="n">
        <f aca="false">M8</f>
        <v>0</v>
      </c>
      <c r="O8" s="11"/>
    </row>
    <row r="9" customFormat="false" ht="15" hidden="false" customHeight="false" outlineLevel="0" collapsed="false">
      <c r="A9" s="15" t="n">
        <v>4</v>
      </c>
      <c r="B9" s="16"/>
      <c r="C9" s="16"/>
      <c r="D9" s="37"/>
      <c r="E9" s="37"/>
      <c r="F9" s="18"/>
      <c r="G9" s="51"/>
      <c r="H9" s="52" t="n">
        <f aca="false">G9</f>
        <v>0</v>
      </c>
      <c r="I9" s="51"/>
      <c r="J9" s="52" t="n">
        <f aca="false">I9</f>
        <v>0</v>
      </c>
      <c r="K9" s="51"/>
      <c r="L9" s="52" t="n">
        <f aca="false">K9</f>
        <v>0</v>
      </c>
      <c r="M9" s="51"/>
      <c r="N9" s="52" t="n">
        <f aca="false">M9</f>
        <v>0</v>
      </c>
      <c r="O9" s="11"/>
    </row>
    <row r="10" customFormat="false" ht="15" hidden="false" customHeight="false" outlineLevel="0" collapsed="false">
      <c r="A10" s="15" t="n">
        <v>5</v>
      </c>
      <c r="B10" s="16"/>
      <c r="C10" s="16"/>
      <c r="D10" s="37"/>
      <c r="E10" s="37"/>
      <c r="F10" s="18"/>
      <c r="G10" s="51"/>
      <c r="H10" s="52" t="n">
        <f aca="false">G10</f>
        <v>0</v>
      </c>
      <c r="I10" s="51"/>
      <c r="J10" s="52" t="n">
        <f aca="false">I10</f>
        <v>0</v>
      </c>
      <c r="K10" s="51"/>
      <c r="L10" s="52" t="n">
        <f aca="false">K10</f>
        <v>0</v>
      </c>
      <c r="M10" s="51"/>
      <c r="N10" s="52" t="n">
        <f aca="false">M10</f>
        <v>0</v>
      </c>
      <c r="O10" s="11"/>
    </row>
    <row r="11" customFormat="false" ht="15" hidden="false" customHeight="false" outlineLevel="0" collapsed="false">
      <c r="A11" s="15" t="n">
        <v>6</v>
      </c>
      <c r="B11" s="16"/>
      <c r="C11" s="16"/>
      <c r="D11" s="37"/>
      <c r="E11" s="37"/>
      <c r="F11" s="18"/>
      <c r="G11" s="51"/>
      <c r="H11" s="52" t="n">
        <f aca="false">G11</f>
        <v>0</v>
      </c>
      <c r="I11" s="51"/>
      <c r="J11" s="52" t="n">
        <f aca="false">I11</f>
        <v>0</v>
      </c>
      <c r="K11" s="51"/>
      <c r="L11" s="52" t="n">
        <f aca="false">K11</f>
        <v>0</v>
      </c>
      <c r="M11" s="51"/>
      <c r="N11" s="52" t="n">
        <f aca="false">M11</f>
        <v>0</v>
      </c>
      <c r="O11" s="11"/>
    </row>
    <row r="12" customFormat="false" ht="15" hidden="false" customHeight="false" outlineLevel="0" collapsed="false">
      <c r="A12" s="15" t="n">
        <v>7</v>
      </c>
      <c r="B12" s="16"/>
      <c r="C12" s="16"/>
      <c r="D12" s="37"/>
      <c r="E12" s="37"/>
      <c r="F12" s="18"/>
      <c r="G12" s="51"/>
      <c r="H12" s="52" t="n">
        <f aca="false">G12</f>
        <v>0</v>
      </c>
      <c r="I12" s="51"/>
      <c r="J12" s="52" t="n">
        <f aca="false">I12</f>
        <v>0</v>
      </c>
      <c r="K12" s="51"/>
      <c r="L12" s="52" t="n">
        <f aca="false">K12</f>
        <v>0</v>
      </c>
      <c r="M12" s="51"/>
      <c r="N12" s="52" t="n">
        <f aca="false">M12</f>
        <v>0</v>
      </c>
      <c r="O12" s="11"/>
    </row>
    <row r="13" customFormat="false" ht="15" hidden="false" customHeight="false" outlineLevel="0" collapsed="false">
      <c r="A13" s="15" t="n">
        <v>8</v>
      </c>
      <c r="B13" s="16"/>
      <c r="C13" s="16"/>
      <c r="D13" s="37"/>
      <c r="E13" s="37"/>
      <c r="F13" s="18"/>
      <c r="G13" s="51"/>
      <c r="H13" s="52" t="n">
        <f aca="false">G13</f>
        <v>0</v>
      </c>
      <c r="I13" s="51"/>
      <c r="J13" s="52" t="n">
        <f aca="false">I13</f>
        <v>0</v>
      </c>
      <c r="K13" s="51"/>
      <c r="L13" s="52" t="n">
        <f aca="false">K13</f>
        <v>0</v>
      </c>
      <c r="M13" s="51"/>
      <c r="N13" s="52" t="n">
        <f aca="false">M13</f>
        <v>0</v>
      </c>
      <c r="O13" s="11"/>
    </row>
    <row r="14" customFormat="false" ht="15" hidden="false" customHeight="false" outlineLevel="0" collapsed="false">
      <c r="A14" s="15" t="n">
        <v>9</v>
      </c>
      <c r="B14" s="16"/>
      <c r="C14" s="16"/>
      <c r="D14" s="37"/>
      <c r="E14" s="37"/>
      <c r="F14" s="18"/>
      <c r="G14" s="51"/>
      <c r="H14" s="52" t="n">
        <f aca="false">G14</f>
        <v>0</v>
      </c>
      <c r="I14" s="51"/>
      <c r="J14" s="52" t="n">
        <f aca="false">I14</f>
        <v>0</v>
      </c>
      <c r="K14" s="51"/>
      <c r="L14" s="52" t="n">
        <f aca="false">K14</f>
        <v>0</v>
      </c>
      <c r="M14" s="51"/>
      <c r="N14" s="52" t="n">
        <f aca="false">M14</f>
        <v>0</v>
      </c>
      <c r="O14" s="11"/>
    </row>
    <row r="15" customFormat="false" ht="15" hidden="false" customHeight="false" outlineLevel="0" collapsed="false">
      <c r="A15" s="15" t="n">
        <v>10</v>
      </c>
      <c r="B15" s="16"/>
      <c r="C15" s="16"/>
      <c r="D15" s="37"/>
      <c r="E15" s="37"/>
      <c r="F15" s="18"/>
      <c r="G15" s="51"/>
      <c r="H15" s="52" t="n">
        <f aca="false">G15</f>
        <v>0</v>
      </c>
      <c r="I15" s="51"/>
      <c r="J15" s="52" t="n">
        <f aca="false">I15</f>
        <v>0</v>
      </c>
      <c r="K15" s="51"/>
      <c r="L15" s="52" t="n">
        <f aca="false">K15</f>
        <v>0</v>
      </c>
      <c r="M15" s="51"/>
      <c r="N15" s="52" t="n">
        <f aca="false">M15</f>
        <v>0</v>
      </c>
      <c r="O15" s="11"/>
    </row>
    <row r="16" customFormat="false" ht="15" hidden="false" customHeight="false" outlineLevel="0" collapsed="false">
      <c r="A16" s="15" t="n">
        <v>11</v>
      </c>
      <c r="B16" s="16"/>
      <c r="C16" s="16"/>
      <c r="D16" s="37"/>
      <c r="E16" s="37"/>
      <c r="F16" s="18"/>
      <c r="G16" s="51"/>
      <c r="H16" s="52" t="n">
        <f aca="false">G16</f>
        <v>0</v>
      </c>
      <c r="I16" s="51"/>
      <c r="J16" s="52" t="n">
        <f aca="false">I16</f>
        <v>0</v>
      </c>
      <c r="K16" s="51"/>
      <c r="L16" s="52" t="n">
        <f aca="false">K16</f>
        <v>0</v>
      </c>
      <c r="M16" s="51"/>
      <c r="N16" s="52" t="n">
        <f aca="false">M16</f>
        <v>0</v>
      </c>
      <c r="O16" s="11"/>
    </row>
    <row r="17" customFormat="false" ht="15" hidden="false" customHeight="false" outlineLevel="0" collapsed="false">
      <c r="A17" s="15" t="n">
        <v>12</v>
      </c>
      <c r="B17" s="16"/>
      <c r="C17" s="16"/>
      <c r="D17" s="37"/>
      <c r="E17" s="37"/>
      <c r="F17" s="18"/>
      <c r="G17" s="51"/>
      <c r="H17" s="52" t="n">
        <f aca="false">G17</f>
        <v>0</v>
      </c>
      <c r="I17" s="51"/>
      <c r="J17" s="52" t="n">
        <f aca="false">I17</f>
        <v>0</v>
      </c>
      <c r="K17" s="51"/>
      <c r="L17" s="52" t="n">
        <f aca="false">K17</f>
        <v>0</v>
      </c>
      <c r="M17" s="51"/>
      <c r="N17" s="52" t="n">
        <f aca="false">M17</f>
        <v>0</v>
      </c>
      <c r="O17" s="11"/>
    </row>
    <row r="18" customFormat="false" ht="15" hidden="false" customHeight="false" outlineLevel="0" collapsed="false">
      <c r="A18" s="15" t="n">
        <v>13</v>
      </c>
      <c r="B18" s="16"/>
      <c r="C18" s="16"/>
      <c r="D18" s="37"/>
      <c r="E18" s="37"/>
      <c r="F18" s="18"/>
      <c r="G18" s="51"/>
      <c r="H18" s="52" t="n">
        <f aca="false">G18</f>
        <v>0</v>
      </c>
      <c r="I18" s="51"/>
      <c r="J18" s="52" t="n">
        <f aca="false">I18</f>
        <v>0</v>
      </c>
      <c r="K18" s="51"/>
      <c r="L18" s="52" t="n">
        <f aca="false">K18</f>
        <v>0</v>
      </c>
      <c r="M18" s="51"/>
      <c r="N18" s="52" t="n">
        <f aca="false">M18</f>
        <v>0</v>
      </c>
      <c r="O18" s="11"/>
    </row>
    <row r="19" customFormat="false" ht="15" hidden="false" customHeight="false" outlineLevel="0" collapsed="false">
      <c r="A19" s="15" t="n">
        <v>14</v>
      </c>
      <c r="B19" s="16"/>
      <c r="C19" s="16"/>
      <c r="D19" s="37"/>
      <c r="E19" s="37"/>
      <c r="F19" s="18"/>
      <c r="G19" s="51"/>
      <c r="H19" s="52" t="n">
        <f aca="false">G19</f>
        <v>0</v>
      </c>
      <c r="I19" s="51"/>
      <c r="J19" s="52" t="n">
        <f aca="false">I19</f>
        <v>0</v>
      </c>
      <c r="K19" s="51"/>
      <c r="L19" s="52" t="n">
        <f aca="false">K19</f>
        <v>0</v>
      </c>
      <c r="M19" s="51"/>
      <c r="N19" s="52" t="n">
        <f aca="false">M19</f>
        <v>0</v>
      </c>
      <c r="O19" s="11"/>
    </row>
    <row r="20" customFormat="false" ht="15" hidden="false" customHeight="false" outlineLevel="0" collapsed="false">
      <c r="A20" s="15" t="n">
        <v>15</v>
      </c>
      <c r="B20" s="16"/>
      <c r="C20" s="16"/>
      <c r="D20" s="37"/>
      <c r="E20" s="37"/>
      <c r="F20" s="18"/>
      <c r="G20" s="51"/>
      <c r="H20" s="52" t="n">
        <f aca="false">G20</f>
        <v>0</v>
      </c>
      <c r="I20" s="51"/>
      <c r="J20" s="52" t="n">
        <f aca="false">I20</f>
        <v>0</v>
      </c>
      <c r="K20" s="51"/>
      <c r="L20" s="52" t="n">
        <f aca="false">K20</f>
        <v>0</v>
      </c>
      <c r="M20" s="51"/>
      <c r="N20" s="52" t="n">
        <f aca="false">M20</f>
        <v>0</v>
      </c>
      <c r="O20" s="11"/>
    </row>
    <row r="21" customFormat="false" ht="15" hidden="false" customHeight="false" outlineLevel="0" collapsed="false">
      <c r="A21" s="15" t="n">
        <v>16</v>
      </c>
      <c r="B21" s="16"/>
      <c r="C21" s="16"/>
      <c r="D21" s="37"/>
      <c r="E21" s="37"/>
      <c r="F21" s="18"/>
      <c r="G21" s="51"/>
      <c r="H21" s="52" t="n">
        <f aca="false">G21</f>
        <v>0</v>
      </c>
      <c r="I21" s="51"/>
      <c r="J21" s="52" t="n">
        <f aca="false">I21</f>
        <v>0</v>
      </c>
      <c r="K21" s="51"/>
      <c r="L21" s="52" t="n">
        <f aca="false">K21</f>
        <v>0</v>
      </c>
      <c r="M21" s="51"/>
      <c r="N21" s="52" t="n">
        <f aca="false">M21</f>
        <v>0</v>
      </c>
      <c r="O21" s="11"/>
    </row>
    <row r="22" customFormat="false" ht="15" hidden="false" customHeight="false" outlineLevel="0" collapsed="false">
      <c r="A22" s="15" t="n">
        <v>17</v>
      </c>
      <c r="B22" s="16"/>
      <c r="C22" s="16"/>
      <c r="D22" s="37"/>
      <c r="E22" s="37"/>
      <c r="F22" s="18"/>
      <c r="G22" s="51"/>
      <c r="H22" s="52" t="n">
        <f aca="false">G22</f>
        <v>0</v>
      </c>
      <c r="I22" s="51"/>
      <c r="J22" s="52" t="n">
        <f aca="false">I22</f>
        <v>0</v>
      </c>
      <c r="K22" s="51"/>
      <c r="L22" s="52" t="n">
        <f aca="false">K22</f>
        <v>0</v>
      </c>
      <c r="M22" s="51"/>
      <c r="N22" s="52" t="n">
        <f aca="false">M22</f>
        <v>0</v>
      </c>
      <c r="O22" s="11"/>
    </row>
    <row r="23" customFormat="false" ht="15" hidden="false" customHeight="false" outlineLevel="0" collapsed="false">
      <c r="A23" s="15" t="n">
        <v>18</v>
      </c>
      <c r="B23" s="16"/>
      <c r="C23" s="16"/>
      <c r="D23" s="37"/>
      <c r="E23" s="37"/>
      <c r="F23" s="18"/>
      <c r="G23" s="51"/>
      <c r="H23" s="52" t="n">
        <f aca="false">G23</f>
        <v>0</v>
      </c>
      <c r="I23" s="51"/>
      <c r="J23" s="52" t="n">
        <f aca="false">I23</f>
        <v>0</v>
      </c>
      <c r="K23" s="51"/>
      <c r="L23" s="52" t="n">
        <f aca="false">K23</f>
        <v>0</v>
      </c>
      <c r="M23" s="51"/>
      <c r="N23" s="52" t="n">
        <f aca="false">M23</f>
        <v>0</v>
      </c>
      <c r="O23" s="11"/>
    </row>
    <row r="24" customFormat="false" ht="15" hidden="false" customHeight="false" outlineLevel="0" collapsed="false">
      <c r="A24" s="15" t="n">
        <v>19</v>
      </c>
      <c r="B24" s="16"/>
      <c r="C24" s="16"/>
      <c r="D24" s="37"/>
      <c r="E24" s="37"/>
      <c r="F24" s="18"/>
      <c r="G24" s="51"/>
      <c r="H24" s="52" t="n">
        <f aca="false">G24</f>
        <v>0</v>
      </c>
      <c r="I24" s="51"/>
      <c r="J24" s="52" t="n">
        <f aca="false">I24</f>
        <v>0</v>
      </c>
      <c r="K24" s="51"/>
      <c r="L24" s="52" t="n">
        <f aca="false">K24</f>
        <v>0</v>
      </c>
      <c r="M24" s="51"/>
      <c r="N24" s="52" t="n">
        <f aca="false">M24</f>
        <v>0</v>
      </c>
      <c r="O24" s="11"/>
    </row>
    <row r="25" customFormat="false" ht="15" hidden="false" customHeight="false" outlineLevel="0" collapsed="false">
      <c r="A25" s="15" t="n">
        <v>20</v>
      </c>
      <c r="B25" s="16"/>
      <c r="C25" s="16"/>
      <c r="D25" s="37"/>
      <c r="E25" s="37"/>
      <c r="F25" s="18"/>
      <c r="G25" s="51"/>
      <c r="H25" s="52" t="n">
        <f aca="false">G25</f>
        <v>0</v>
      </c>
      <c r="I25" s="51"/>
      <c r="J25" s="52" t="n">
        <f aca="false">I25</f>
        <v>0</v>
      </c>
      <c r="K25" s="51"/>
      <c r="L25" s="52" t="n">
        <f aca="false">K25</f>
        <v>0</v>
      </c>
      <c r="M25" s="51"/>
      <c r="N25" s="52" t="n">
        <f aca="false">M25</f>
        <v>0</v>
      </c>
      <c r="O25" s="11"/>
    </row>
    <row r="26" customFormat="false" ht="15" hidden="false" customHeight="false" outlineLevel="0" collapsed="false">
      <c r="A26" s="15" t="n">
        <v>21</v>
      </c>
      <c r="B26" s="16"/>
      <c r="C26" s="16"/>
      <c r="D26" s="37"/>
      <c r="E26" s="37"/>
      <c r="F26" s="18"/>
      <c r="G26" s="51"/>
      <c r="H26" s="52" t="n">
        <f aca="false">G26</f>
        <v>0</v>
      </c>
      <c r="I26" s="51"/>
      <c r="J26" s="52" t="n">
        <f aca="false">I26</f>
        <v>0</v>
      </c>
      <c r="K26" s="51"/>
      <c r="L26" s="52" t="n">
        <f aca="false">K26</f>
        <v>0</v>
      </c>
      <c r="M26" s="51"/>
      <c r="N26" s="52" t="n">
        <f aca="false">M26</f>
        <v>0</v>
      </c>
      <c r="O26" s="11"/>
    </row>
    <row r="27" customFormat="false" ht="15" hidden="false" customHeight="false" outlineLevel="0" collapsed="false">
      <c r="A27" s="15" t="n">
        <v>22</v>
      </c>
      <c r="B27" s="16"/>
      <c r="C27" s="16"/>
      <c r="D27" s="37"/>
      <c r="E27" s="37"/>
      <c r="F27" s="18"/>
      <c r="G27" s="51"/>
      <c r="H27" s="52" t="n">
        <f aca="false">G27</f>
        <v>0</v>
      </c>
      <c r="I27" s="51"/>
      <c r="J27" s="52" t="n">
        <f aca="false">I27</f>
        <v>0</v>
      </c>
      <c r="K27" s="51"/>
      <c r="L27" s="52" t="n">
        <f aca="false">K27</f>
        <v>0</v>
      </c>
      <c r="M27" s="51"/>
      <c r="N27" s="52" t="n">
        <f aca="false">M27</f>
        <v>0</v>
      </c>
      <c r="O27" s="11"/>
    </row>
    <row r="28" customFormat="false" ht="15" hidden="false" customHeight="false" outlineLevel="0" collapsed="false">
      <c r="A28" s="15" t="n">
        <v>23</v>
      </c>
      <c r="B28" s="16"/>
      <c r="C28" s="16"/>
      <c r="D28" s="37"/>
      <c r="E28" s="37"/>
      <c r="F28" s="18"/>
      <c r="G28" s="51"/>
      <c r="H28" s="52" t="n">
        <f aca="false">G28</f>
        <v>0</v>
      </c>
      <c r="I28" s="51"/>
      <c r="J28" s="52" t="n">
        <f aca="false">I28</f>
        <v>0</v>
      </c>
      <c r="K28" s="51"/>
      <c r="L28" s="52" t="n">
        <f aca="false">K28</f>
        <v>0</v>
      </c>
      <c r="M28" s="51"/>
      <c r="N28" s="52" t="n">
        <f aca="false">M28</f>
        <v>0</v>
      </c>
      <c r="O28" s="11"/>
    </row>
    <row r="29" customFormat="false" ht="15" hidden="false" customHeight="false" outlineLevel="0" collapsed="false">
      <c r="A29" s="15" t="n">
        <v>24</v>
      </c>
      <c r="B29" s="16"/>
      <c r="C29" s="16"/>
      <c r="D29" s="37"/>
      <c r="E29" s="37"/>
      <c r="F29" s="18"/>
      <c r="G29" s="51"/>
      <c r="H29" s="52" t="n">
        <f aca="false">G29</f>
        <v>0</v>
      </c>
      <c r="I29" s="51"/>
      <c r="J29" s="52" t="n">
        <f aca="false">I29</f>
        <v>0</v>
      </c>
      <c r="K29" s="51"/>
      <c r="L29" s="52" t="n">
        <f aca="false">K29</f>
        <v>0</v>
      </c>
      <c r="M29" s="51"/>
      <c r="N29" s="52" t="n">
        <f aca="false">M29</f>
        <v>0</v>
      </c>
      <c r="O29" s="11"/>
    </row>
    <row r="30" customFormat="false" ht="15" hidden="false" customHeight="false" outlineLevel="0" collapsed="false">
      <c r="A30" s="15" t="n">
        <v>25</v>
      </c>
      <c r="B30" s="16"/>
      <c r="C30" s="16"/>
      <c r="D30" s="37"/>
      <c r="E30" s="37"/>
      <c r="F30" s="18"/>
      <c r="G30" s="51"/>
      <c r="H30" s="52" t="n">
        <f aca="false">G30</f>
        <v>0</v>
      </c>
      <c r="I30" s="51"/>
      <c r="J30" s="52" t="n">
        <f aca="false">I30</f>
        <v>0</v>
      </c>
      <c r="K30" s="51"/>
      <c r="L30" s="52" t="n">
        <f aca="false">K30</f>
        <v>0</v>
      </c>
      <c r="M30" s="51"/>
      <c r="N30" s="52" t="n">
        <f aca="false">M30</f>
        <v>0</v>
      </c>
      <c r="O30" s="11"/>
    </row>
    <row r="32" customFormat="false" ht="15" hidden="false" customHeight="false" outlineLevel="0" collapsed="false">
      <c r="A32" s="12" t="s">
        <v>548</v>
      </c>
      <c r="B32" s="13"/>
      <c r="C32" s="13"/>
      <c r="D32" s="13"/>
      <c r="E32" s="13"/>
      <c r="F32" s="13"/>
      <c r="G32" s="13"/>
      <c r="H32" s="13"/>
      <c r="I32" s="13"/>
      <c r="J32" s="13"/>
      <c r="K32" s="13"/>
      <c r="L32" s="13"/>
      <c r="M32" s="13"/>
      <c r="N32" s="13"/>
      <c r="O32" s="13"/>
    </row>
    <row r="33" customFormat="false" ht="15" hidden="false" customHeight="false" outlineLevel="0" collapsed="false">
      <c r="A33" s="14" t="s">
        <v>530</v>
      </c>
      <c r="B33" s="14" t="s">
        <v>531</v>
      </c>
      <c r="C33" s="14" t="s">
        <v>355</v>
      </c>
      <c r="D33" s="14" t="s">
        <v>452</v>
      </c>
      <c r="E33" s="14" t="s">
        <v>453</v>
      </c>
      <c r="F33" s="14" t="s">
        <v>454</v>
      </c>
      <c r="G33" s="14" t="s">
        <v>455</v>
      </c>
      <c r="H33" s="14" t="s">
        <v>456</v>
      </c>
      <c r="I33" s="14" t="s">
        <v>457</v>
      </c>
      <c r="J33" s="14" t="s">
        <v>458</v>
      </c>
      <c r="K33" s="14" t="s">
        <v>459</v>
      </c>
      <c r="L33" s="14" t="s">
        <v>460</v>
      </c>
      <c r="M33" s="14" t="s">
        <v>461</v>
      </c>
      <c r="N33" s="14" t="s">
        <v>549</v>
      </c>
    </row>
    <row r="34" customFormat="false" ht="15" hidden="false" customHeight="false" outlineLevel="0" collapsed="false">
      <c r="A34" s="15" t="n">
        <v>1</v>
      </c>
      <c r="B34" s="53" t="str">
        <f aca="false">IF(B6="","",B6)</f>
        <v>Gabinetes metálicos 153 kg</v>
      </c>
      <c r="C34" s="53" t="str">
        <f aca="false">IF(C6="","",C6)</f>
        <v>u</v>
      </c>
      <c r="D34" s="37" t="n">
        <v>12000</v>
      </c>
      <c r="E34" s="37" t="n">
        <v>15000</v>
      </c>
      <c r="F34" s="37" t="n">
        <v>18000</v>
      </c>
      <c r="G34" s="37" t="n">
        <v>21000</v>
      </c>
      <c r="H34" s="37" t="n">
        <v>21000</v>
      </c>
      <c r="I34" s="37" t="n">
        <v>21000</v>
      </c>
      <c r="J34" s="37" t="n">
        <v>21000</v>
      </c>
      <c r="K34" s="37" t="n">
        <v>21000</v>
      </c>
      <c r="L34" s="37" t="n">
        <v>21000</v>
      </c>
      <c r="M34" s="37" t="n">
        <v>21000</v>
      </c>
      <c r="N34" s="19" t="n">
        <f aca="false">SUM(D34:M34)</f>
        <v>192000</v>
      </c>
    </row>
    <row r="35" customFormat="false" ht="15" hidden="false" customHeight="false" outlineLevel="0" collapsed="false">
      <c r="A35" s="15" t="n">
        <v>2</v>
      </c>
      <c r="B35" s="53" t="str">
        <f aca="false">IF(B7="","",B7)</f>
        <v>Cajas metálicas 13 kg</v>
      </c>
      <c r="C35" s="53" t="str">
        <f aca="false">IF(C7="","",C7)</f>
        <v>u</v>
      </c>
      <c r="D35" s="37" t="n">
        <v>70000</v>
      </c>
      <c r="E35" s="37" t="n">
        <v>90000</v>
      </c>
      <c r="F35" s="37" t="n">
        <v>110000</v>
      </c>
      <c r="G35" s="37" t="n">
        <v>120000</v>
      </c>
      <c r="H35" s="37" t="n">
        <v>120000</v>
      </c>
      <c r="I35" s="37" t="n">
        <v>120000</v>
      </c>
      <c r="J35" s="37" t="n">
        <v>120000</v>
      </c>
      <c r="K35" s="37" t="n">
        <v>120000</v>
      </c>
      <c r="L35" s="37" t="n">
        <v>120000</v>
      </c>
      <c r="M35" s="37" t="n">
        <v>120000</v>
      </c>
      <c r="N35" s="19" t="n">
        <f aca="false">SUM(D35:M35)</f>
        <v>1110000</v>
      </c>
    </row>
    <row r="36" customFormat="false" ht="15" hidden="false" customHeight="false" outlineLevel="0" collapsed="false">
      <c r="A36" s="15" t="n">
        <v>3</v>
      </c>
      <c r="B36" s="53" t="str">
        <f aca="false">IF(B8="","",B8)</f>
        <v/>
      </c>
      <c r="C36" s="53" t="str">
        <f aca="false">IF(C8="","",C8)</f>
        <v/>
      </c>
      <c r="D36" s="37"/>
      <c r="E36" s="37"/>
      <c r="F36" s="37"/>
      <c r="G36" s="37"/>
      <c r="H36" s="37"/>
      <c r="I36" s="37"/>
      <c r="J36" s="37"/>
      <c r="K36" s="37"/>
      <c r="L36" s="37"/>
      <c r="M36" s="37"/>
      <c r="N36" s="19" t="n">
        <f aca="false">SUM(D36:M36)</f>
        <v>0</v>
      </c>
    </row>
    <row r="37" customFormat="false" ht="15" hidden="false" customHeight="false" outlineLevel="0" collapsed="false">
      <c r="A37" s="15" t="n">
        <v>4</v>
      </c>
      <c r="B37" s="53" t="str">
        <f aca="false">IF(B9="","",B9)</f>
        <v/>
      </c>
      <c r="C37" s="53" t="str">
        <f aca="false">IF(C9="","",C9)</f>
        <v/>
      </c>
      <c r="D37" s="37"/>
      <c r="E37" s="37"/>
      <c r="F37" s="37"/>
      <c r="G37" s="37"/>
      <c r="H37" s="37"/>
      <c r="I37" s="37"/>
      <c r="J37" s="37"/>
      <c r="K37" s="37"/>
      <c r="L37" s="37"/>
      <c r="M37" s="37"/>
      <c r="N37" s="19" t="n">
        <f aca="false">SUM(D37:M37)</f>
        <v>0</v>
      </c>
    </row>
    <row r="38" customFormat="false" ht="15" hidden="false" customHeight="false" outlineLevel="0" collapsed="false">
      <c r="A38" s="15" t="n">
        <v>5</v>
      </c>
      <c r="B38" s="53" t="str">
        <f aca="false">IF(B10="","",B10)</f>
        <v/>
      </c>
      <c r="C38" s="53" t="str">
        <f aca="false">IF(C10="","",C10)</f>
        <v/>
      </c>
      <c r="D38" s="37"/>
      <c r="E38" s="37"/>
      <c r="F38" s="37"/>
      <c r="G38" s="37"/>
      <c r="H38" s="37"/>
      <c r="I38" s="37"/>
      <c r="J38" s="37"/>
      <c r="K38" s="37"/>
      <c r="L38" s="37"/>
      <c r="M38" s="37"/>
      <c r="N38" s="19" t="n">
        <f aca="false">SUM(D38:M38)</f>
        <v>0</v>
      </c>
    </row>
    <row r="39" customFormat="false" ht="15" hidden="false" customHeight="false" outlineLevel="0" collapsed="false">
      <c r="A39" s="15" t="n">
        <v>6</v>
      </c>
      <c r="B39" s="53" t="str">
        <f aca="false">IF(B11="","",B11)</f>
        <v/>
      </c>
      <c r="C39" s="53" t="str">
        <f aca="false">IF(C11="","",C11)</f>
        <v/>
      </c>
      <c r="D39" s="37"/>
      <c r="E39" s="37"/>
      <c r="F39" s="37"/>
      <c r="G39" s="37"/>
      <c r="H39" s="37"/>
      <c r="I39" s="37"/>
      <c r="J39" s="37"/>
      <c r="K39" s="37"/>
      <c r="L39" s="37"/>
      <c r="M39" s="37"/>
      <c r="N39" s="19" t="n">
        <f aca="false">SUM(D39:M39)</f>
        <v>0</v>
      </c>
    </row>
    <row r="40" customFormat="false" ht="15" hidden="false" customHeight="false" outlineLevel="0" collapsed="false">
      <c r="A40" s="15" t="n">
        <v>7</v>
      </c>
      <c r="B40" s="53" t="str">
        <f aca="false">IF(B12="","",B12)</f>
        <v/>
      </c>
      <c r="C40" s="53" t="str">
        <f aca="false">IF(C12="","",C12)</f>
        <v/>
      </c>
      <c r="D40" s="37"/>
      <c r="E40" s="37"/>
      <c r="F40" s="37"/>
      <c r="G40" s="37"/>
      <c r="H40" s="37"/>
      <c r="I40" s="37"/>
      <c r="J40" s="37"/>
      <c r="K40" s="37"/>
      <c r="L40" s="37"/>
      <c r="M40" s="37"/>
      <c r="N40" s="19" t="n">
        <f aca="false">SUM(D40:M40)</f>
        <v>0</v>
      </c>
    </row>
    <row r="41" customFormat="false" ht="15" hidden="false" customHeight="false" outlineLevel="0" collapsed="false">
      <c r="A41" s="15" t="n">
        <v>8</v>
      </c>
      <c r="B41" s="53" t="str">
        <f aca="false">IF(B13="","",B13)</f>
        <v/>
      </c>
      <c r="C41" s="53" t="str">
        <f aca="false">IF(C13="","",C13)</f>
        <v/>
      </c>
      <c r="D41" s="37"/>
      <c r="E41" s="37"/>
      <c r="F41" s="37"/>
      <c r="G41" s="37"/>
      <c r="H41" s="37"/>
      <c r="I41" s="37"/>
      <c r="J41" s="37"/>
      <c r="K41" s="37"/>
      <c r="L41" s="37"/>
      <c r="M41" s="37"/>
      <c r="N41" s="19" t="n">
        <f aca="false">SUM(D41:M41)</f>
        <v>0</v>
      </c>
    </row>
    <row r="42" customFormat="false" ht="15" hidden="false" customHeight="false" outlineLevel="0" collapsed="false">
      <c r="A42" s="15" t="n">
        <v>9</v>
      </c>
      <c r="B42" s="53" t="str">
        <f aca="false">IF(B14="","",B14)</f>
        <v/>
      </c>
      <c r="C42" s="53" t="str">
        <f aca="false">IF(C14="","",C14)</f>
        <v/>
      </c>
      <c r="D42" s="37"/>
      <c r="E42" s="37"/>
      <c r="F42" s="37"/>
      <c r="G42" s="37"/>
      <c r="H42" s="37"/>
      <c r="I42" s="37"/>
      <c r="J42" s="37"/>
      <c r="K42" s="37"/>
      <c r="L42" s="37"/>
      <c r="M42" s="37"/>
      <c r="N42" s="19" t="n">
        <f aca="false">SUM(D42:M42)</f>
        <v>0</v>
      </c>
    </row>
    <row r="43" customFormat="false" ht="15" hidden="false" customHeight="false" outlineLevel="0" collapsed="false">
      <c r="A43" s="15" t="n">
        <v>10</v>
      </c>
      <c r="B43" s="53" t="str">
        <f aca="false">IF(B15="","",B15)</f>
        <v/>
      </c>
      <c r="C43" s="53" t="str">
        <f aca="false">IF(C15="","",C15)</f>
        <v/>
      </c>
      <c r="D43" s="37"/>
      <c r="E43" s="37"/>
      <c r="F43" s="37"/>
      <c r="G43" s="37"/>
      <c r="H43" s="37"/>
      <c r="I43" s="37"/>
      <c r="J43" s="37"/>
      <c r="K43" s="37"/>
      <c r="L43" s="37"/>
      <c r="M43" s="37"/>
      <c r="N43" s="19" t="n">
        <f aca="false">SUM(D43:M43)</f>
        <v>0</v>
      </c>
    </row>
    <row r="44" customFormat="false" ht="15" hidden="false" customHeight="false" outlineLevel="0" collapsed="false">
      <c r="A44" s="15" t="n">
        <v>11</v>
      </c>
      <c r="B44" s="53" t="str">
        <f aca="false">IF(B16="","",B16)</f>
        <v/>
      </c>
      <c r="C44" s="53" t="str">
        <f aca="false">IF(C16="","",C16)</f>
        <v/>
      </c>
      <c r="D44" s="37"/>
      <c r="E44" s="37"/>
      <c r="F44" s="37"/>
      <c r="G44" s="37"/>
      <c r="H44" s="37"/>
      <c r="I44" s="37"/>
      <c r="J44" s="37"/>
      <c r="K44" s="37"/>
      <c r="L44" s="37"/>
      <c r="M44" s="37"/>
      <c r="N44" s="19" t="n">
        <f aca="false">SUM(D44:M44)</f>
        <v>0</v>
      </c>
    </row>
    <row r="45" customFormat="false" ht="15" hidden="false" customHeight="false" outlineLevel="0" collapsed="false">
      <c r="A45" s="15" t="n">
        <v>12</v>
      </c>
      <c r="B45" s="53" t="str">
        <f aca="false">IF(B17="","",B17)</f>
        <v/>
      </c>
      <c r="C45" s="53" t="str">
        <f aca="false">IF(C17="","",C17)</f>
        <v/>
      </c>
      <c r="D45" s="37"/>
      <c r="E45" s="37"/>
      <c r="F45" s="37"/>
      <c r="G45" s="37"/>
      <c r="H45" s="37"/>
      <c r="I45" s="37"/>
      <c r="J45" s="37"/>
      <c r="K45" s="37"/>
      <c r="L45" s="37"/>
      <c r="M45" s="37"/>
      <c r="N45" s="19" t="n">
        <f aca="false">SUM(D45:M45)</f>
        <v>0</v>
      </c>
    </row>
    <row r="46" customFormat="false" ht="15" hidden="false" customHeight="false" outlineLevel="0" collapsed="false">
      <c r="A46" s="15" t="n">
        <v>13</v>
      </c>
      <c r="B46" s="53" t="str">
        <f aca="false">IF(B18="","",B18)</f>
        <v/>
      </c>
      <c r="C46" s="53" t="str">
        <f aca="false">IF(C18="","",C18)</f>
        <v/>
      </c>
      <c r="D46" s="37"/>
      <c r="E46" s="37"/>
      <c r="F46" s="37"/>
      <c r="G46" s="37"/>
      <c r="H46" s="37"/>
      <c r="I46" s="37"/>
      <c r="J46" s="37"/>
      <c r="K46" s="37"/>
      <c r="L46" s="37"/>
      <c r="M46" s="37"/>
      <c r="N46" s="19" t="n">
        <f aca="false">SUM(D46:M46)</f>
        <v>0</v>
      </c>
    </row>
    <row r="47" customFormat="false" ht="15" hidden="false" customHeight="false" outlineLevel="0" collapsed="false">
      <c r="A47" s="15" t="n">
        <v>14</v>
      </c>
      <c r="B47" s="53" t="str">
        <f aca="false">IF(B19="","",B19)</f>
        <v/>
      </c>
      <c r="C47" s="53" t="str">
        <f aca="false">IF(C19="","",C19)</f>
        <v/>
      </c>
      <c r="D47" s="37"/>
      <c r="E47" s="37"/>
      <c r="F47" s="37"/>
      <c r="G47" s="37"/>
      <c r="H47" s="37"/>
      <c r="I47" s="37"/>
      <c r="J47" s="37"/>
      <c r="K47" s="37"/>
      <c r="L47" s="37"/>
      <c r="M47" s="37"/>
      <c r="N47" s="19" t="n">
        <f aca="false">SUM(D47:M47)</f>
        <v>0</v>
      </c>
    </row>
    <row r="48" customFormat="false" ht="15" hidden="false" customHeight="false" outlineLevel="0" collapsed="false">
      <c r="A48" s="15" t="n">
        <v>15</v>
      </c>
      <c r="B48" s="53" t="str">
        <f aca="false">IF(B20="","",B20)</f>
        <v/>
      </c>
      <c r="C48" s="53" t="str">
        <f aca="false">IF(C20="","",C20)</f>
        <v/>
      </c>
      <c r="D48" s="37"/>
      <c r="E48" s="37"/>
      <c r="F48" s="37"/>
      <c r="G48" s="37"/>
      <c r="H48" s="37"/>
      <c r="I48" s="37"/>
      <c r="J48" s="37"/>
      <c r="K48" s="37"/>
      <c r="L48" s="37"/>
      <c r="M48" s="37"/>
      <c r="N48" s="19" t="n">
        <f aca="false">SUM(D48:M48)</f>
        <v>0</v>
      </c>
    </row>
    <row r="49" customFormat="false" ht="15" hidden="false" customHeight="false" outlineLevel="0" collapsed="false">
      <c r="A49" s="15" t="n">
        <v>16</v>
      </c>
      <c r="B49" s="53" t="str">
        <f aca="false">IF(B21="","",B21)</f>
        <v/>
      </c>
      <c r="C49" s="53" t="str">
        <f aca="false">IF(C21="","",C21)</f>
        <v/>
      </c>
      <c r="D49" s="37"/>
      <c r="E49" s="37"/>
      <c r="F49" s="37"/>
      <c r="G49" s="37"/>
      <c r="H49" s="37"/>
      <c r="I49" s="37"/>
      <c r="J49" s="37"/>
      <c r="K49" s="37"/>
      <c r="L49" s="37"/>
      <c r="M49" s="37"/>
      <c r="N49" s="19" t="n">
        <f aca="false">SUM(D49:M49)</f>
        <v>0</v>
      </c>
    </row>
    <row r="50" customFormat="false" ht="15" hidden="false" customHeight="false" outlineLevel="0" collapsed="false">
      <c r="A50" s="15" t="n">
        <v>17</v>
      </c>
      <c r="B50" s="53" t="str">
        <f aca="false">IF(B22="","",B22)</f>
        <v/>
      </c>
      <c r="C50" s="53" t="str">
        <f aca="false">IF(C22="","",C22)</f>
        <v/>
      </c>
      <c r="D50" s="37"/>
      <c r="E50" s="37"/>
      <c r="F50" s="37"/>
      <c r="G50" s="37"/>
      <c r="H50" s="37"/>
      <c r="I50" s="37"/>
      <c r="J50" s="37"/>
      <c r="K50" s="37"/>
      <c r="L50" s="37"/>
      <c r="M50" s="37"/>
      <c r="N50" s="19" t="n">
        <f aca="false">SUM(D50:M50)</f>
        <v>0</v>
      </c>
    </row>
    <row r="51" customFormat="false" ht="15" hidden="false" customHeight="false" outlineLevel="0" collapsed="false">
      <c r="A51" s="15" t="n">
        <v>18</v>
      </c>
      <c r="B51" s="53" t="str">
        <f aca="false">IF(B23="","",B23)</f>
        <v/>
      </c>
      <c r="C51" s="53" t="str">
        <f aca="false">IF(C23="","",C23)</f>
        <v/>
      </c>
      <c r="D51" s="37"/>
      <c r="E51" s="37"/>
      <c r="F51" s="37"/>
      <c r="G51" s="37"/>
      <c r="H51" s="37"/>
      <c r="I51" s="37"/>
      <c r="J51" s="37"/>
      <c r="K51" s="37"/>
      <c r="L51" s="37"/>
      <c r="M51" s="37"/>
      <c r="N51" s="19" t="n">
        <f aca="false">SUM(D51:M51)</f>
        <v>0</v>
      </c>
    </row>
    <row r="52" customFormat="false" ht="15" hidden="false" customHeight="false" outlineLevel="0" collapsed="false">
      <c r="A52" s="15" t="n">
        <v>19</v>
      </c>
      <c r="B52" s="53" t="str">
        <f aca="false">IF(B24="","",B24)</f>
        <v/>
      </c>
      <c r="C52" s="53" t="str">
        <f aca="false">IF(C24="","",C24)</f>
        <v/>
      </c>
      <c r="D52" s="37"/>
      <c r="E52" s="37"/>
      <c r="F52" s="37"/>
      <c r="G52" s="37"/>
      <c r="H52" s="37"/>
      <c r="I52" s="37"/>
      <c r="J52" s="37"/>
      <c r="K52" s="37"/>
      <c r="L52" s="37"/>
      <c r="M52" s="37"/>
      <c r="N52" s="19" t="n">
        <f aca="false">SUM(D52:M52)</f>
        <v>0</v>
      </c>
    </row>
    <row r="53" customFormat="false" ht="15" hidden="false" customHeight="false" outlineLevel="0" collapsed="false">
      <c r="A53" s="15" t="n">
        <v>20</v>
      </c>
      <c r="B53" s="53" t="str">
        <f aca="false">IF(B25="","",B25)</f>
        <v/>
      </c>
      <c r="C53" s="53" t="str">
        <f aca="false">IF(C25="","",C25)</f>
        <v/>
      </c>
      <c r="D53" s="37"/>
      <c r="E53" s="37"/>
      <c r="F53" s="37"/>
      <c r="G53" s="37"/>
      <c r="H53" s="37"/>
      <c r="I53" s="37"/>
      <c r="J53" s="37"/>
      <c r="K53" s="37"/>
      <c r="L53" s="37"/>
      <c r="M53" s="37"/>
      <c r="N53" s="19" t="n">
        <f aca="false">SUM(D53:M53)</f>
        <v>0</v>
      </c>
    </row>
    <row r="54" customFormat="false" ht="15" hidden="false" customHeight="false" outlineLevel="0" collapsed="false">
      <c r="A54" s="15" t="n">
        <v>21</v>
      </c>
      <c r="B54" s="53" t="str">
        <f aca="false">IF(B26="","",B26)</f>
        <v/>
      </c>
      <c r="C54" s="53" t="str">
        <f aca="false">IF(C26="","",C26)</f>
        <v/>
      </c>
      <c r="D54" s="37"/>
      <c r="E54" s="37"/>
      <c r="F54" s="37"/>
      <c r="G54" s="37"/>
      <c r="H54" s="37"/>
      <c r="I54" s="37"/>
      <c r="J54" s="37"/>
      <c r="K54" s="37"/>
      <c r="L54" s="37"/>
      <c r="M54" s="37"/>
      <c r="N54" s="19" t="n">
        <f aca="false">SUM(D54:M54)</f>
        <v>0</v>
      </c>
    </row>
    <row r="55" customFormat="false" ht="15" hidden="false" customHeight="false" outlineLevel="0" collapsed="false">
      <c r="A55" s="15" t="n">
        <v>22</v>
      </c>
      <c r="B55" s="53" t="str">
        <f aca="false">IF(B27="","",B27)</f>
        <v/>
      </c>
      <c r="C55" s="53" t="str">
        <f aca="false">IF(C27="","",C27)</f>
        <v/>
      </c>
      <c r="D55" s="37"/>
      <c r="E55" s="37"/>
      <c r="F55" s="37"/>
      <c r="G55" s="37"/>
      <c r="H55" s="37"/>
      <c r="I55" s="37"/>
      <c r="J55" s="37"/>
      <c r="K55" s="37"/>
      <c r="L55" s="37"/>
      <c r="M55" s="37"/>
      <c r="N55" s="19" t="n">
        <f aca="false">SUM(D55:M55)</f>
        <v>0</v>
      </c>
    </row>
    <row r="56" customFormat="false" ht="15" hidden="false" customHeight="false" outlineLevel="0" collapsed="false">
      <c r="A56" s="15" t="n">
        <v>23</v>
      </c>
      <c r="B56" s="53" t="str">
        <f aca="false">IF(B28="","",B28)</f>
        <v/>
      </c>
      <c r="C56" s="53" t="str">
        <f aca="false">IF(C28="","",C28)</f>
        <v/>
      </c>
      <c r="D56" s="37"/>
      <c r="E56" s="37"/>
      <c r="F56" s="37"/>
      <c r="G56" s="37"/>
      <c r="H56" s="37"/>
      <c r="I56" s="37"/>
      <c r="J56" s="37"/>
      <c r="K56" s="37"/>
      <c r="L56" s="37"/>
      <c r="M56" s="37"/>
      <c r="N56" s="19" t="n">
        <f aca="false">SUM(D56:M56)</f>
        <v>0</v>
      </c>
    </row>
    <row r="57" customFormat="false" ht="15" hidden="false" customHeight="false" outlineLevel="0" collapsed="false">
      <c r="A57" s="15" t="n">
        <v>24</v>
      </c>
      <c r="B57" s="53" t="str">
        <f aca="false">IF(B29="","",B29)</f>
        <v/>
      </c>
      <c r="C57" s="53" t="str">
        <f aca="false">IF(C29="","",C29)</f>
        <v/>
      </c>
      <c r="D57" s="37"/>
      <c r="E57" s="37"/>
      <c r="F57" s="37"/>
      <c r="G57" s="37"/>
      <c r="H57" s="37"/>
      <c r="I57" s="37"/>
      <c r="J57" s="37"/>
      <c r="K57" s="37"/>
      <c r="L57" s="37"/>
      <c r="M57" s="37"/>
      <c r="N57" s="19" t="n">
        <f aca="false">SUM(D57:M57)</f>
        <v>0</v>
      </c>
    </row>
    <row r="58" customFormat="false" ht="15" hidden="false" customHeight="false" outlineLevel="0" collapsed="false">
      <c r="A58" s="15" t="n">
        <v>25</v>
      </c>
      <c r="B58" s="53" t="str">
        <f aca="false">IF(B30="","",B30)</f>
        <v/>
      </c>
      <c r="C58" s="53" t="str">
        <f aca="false">IF(C30="","",C30)</f>
        <v/>
      </c>
      <c r="D58" s="37"/>
      <c r="E58" s="37"/>
      <c r="F58" s="37"/>
      <c r="G58" s="37"/>
      <c r="H58" s="37"/>
      <c r="I58" s="37"/>
      <c r="J58" s="37"/>
      <c r="K58" s="37"/>
      <c r="L58" s="37"/>
      <c r="M58" s="37"/>
      <c r="N58" s="19" t="n">
        <f aca="false">SUM(D58:M58)</f>
        <v>0</v>
      </c>
    </row>
    <row r="59" customFormat="false" ht="15" hidden="false" customHeight="false" outlineLevel="0" collapsed="false">
      <c r="B59" s="20" t="s">
        <v>549</v>
      </c>
      <c r="D59" s="54" t="n">
        <f aca="false">SUM(D34:D58)</f>
        <v>82000</v>
      </c>
      <c r="E59" s="54" t="n">
        <f aca="false">SUM(E34:E58)</f>
        <v>105000</v>
      </c>
      <c r="F59" s="54" t="n">
        <f aca="false">SUM(F34:F58)</f>
        <v>128000</v>
      </c>
      <c r="G59" s="54" t="n">
        <f aca="false">SUM(G34:G58)</f>
        <v>141000</v>
      </c>
      <c r="H59" s="54" t="n">
        <f aca="false">SUM(H34:H58)</f>
        <v>141000</v>
      </c>
      <c r="I59" s="54" t="n">
        <f aca="false">SUM(I34:I58)</f>
        <v>141000</v>
      </c>
      <c r="J59" s="54" t="n">
        <f aca="false">SUM(J34:J58)</f>
        <v>141000</v>
      </c>
      <c r="K59" s="54" t="n">
        <f aca="false">SUM(K34:K58)</f>
        <v>141000</v>
      </c>
      <c r="L59" s="54" t="n">
        <f aca="false">SUM(L34:L58)</f>
        <v>141000</v>
      </c>
      <c r="M59" s="54" t="n">
        <f aca="false">SUM(M34:M58)</f>
        <v>141000</v>
      </c>
      <c r="N59" s="54" t="n">
        <f aca="false">SUM(N34:N58)</f>
        <v>1302000</v>
      </c>
    </row>
    <row r="61" customFormat="false" ht="15" hidden="false" customHeight="false" outlineLevel="0" collapsed="false">
      <c r="A61" s="12" t="s">
        <v>550</v>
      </c>
      <c r="B61" s="13"/>
      <c r="C61" s="13"/>
      <c r="D61" s="13"/>
      <c r="E61" s="13"/>
      <c r="F61" s="13"/>
      <c r="G61" s="13"/>
      <c r="H61" s="13"/>
      <c r="I61" s="13"/>
      <c r="J61" s="13"/>
      <c r="K61" s="13"/>
      <c r="L61" s="13"/>
      <c r="M61" s="13"/>
      <c r="N61" s="13"/>
      <c r="O61" s="13"/>
    </row>
    <row r="62" customFormat="false" ht="15" hidden="false" customHeight="false" outlineLevel="0" collapsed="false">
      <c r="A62" s="14" t="s">
        <v>530</v>
      </c>
      <c r="B62" s="14" t="s">
        <v>531</v>
      </c>
      <c r="C62" s="14" t="s">
        <v>355</v>
      </c>
      <c r="D62" s="14" t="s">
        <v>452</v>
      </c>
      <c r="E62" s="14" t="s">
        <v>453</v>
      </c>
      <c r="F62" s="14" t="s">
        <v>454</v>
      </c>
      <c r="G62" s="14" t="s">
        <v>455</v>
      </c>
      <c r="H62" s="14" t="s">
        <v>456</v>
      </c>
      <c r="I62" s="14" t="s">
        <v>457</v>
      </c>
      <c r="J62" s="14" t="s">
        <v>458</v>
      </c>
      <c r="K62" s="14" t="s">
        <v>459</v>
      </c>
      <c r="L62" s="14" t="s">
        <v>460</v>
      </c>
      <c r="M62" s="14" t="s">
        <v>461</v>
      </c>
      <c r="N62" s="14" t="s">
        <v>549</v>
      </c>
    </row>
    <row r="63" customFormat="false" ht="15" hidden="false" customHeight="false" outlineLevel="0" collapsed="false">
      <c r="A63" s="15" t="n">
        <v>1</v>
      </c>
      <c r="B63" s="53" t="str">
        <f aca="false">IF(B6="","",B6)</f>
        <v>Gabinetes metálicos 153 kg</v>
      </c>
      <c r="C63" s="53" t="str">
        <f aca="false">IF(C6="","",C6)</f>
        <v>u</v>
      </c>
      <c r="D63" s="38" t="n">
        <f aca="false">D34</f>
        <v>12000</v>
      </c>
      <c r="E63" s="38" t="n">
        <f aca="false">E34</f>
        <v>15000</v>
      </c>
      <c r="F63" s="38" t="n">
        <f aca="false">F34</f>
        <v>18000</v>
      </c>
      <c r="G63" s="38" t="n">
        <f aca="false">G34</f>
        <v>21000</v>
      </c>
      <c r="H63" s="38" t="n">
        <f aca="false">H34</f>
        <v>21000</v>
      </c>
      <c r="I63" s="38" t="n">
        <f aca="false">I34</f>
        <v>21000</v>
      </c>
      <c r="J63" s="38" t="n">
        <f aca="false">J34</f>
        <v>21000</v>
      </c>
      <c r="K63" s="38" t="n">
        <f aca="false">K34</f>
        <v>21000</v>
      </c>
      <c r="L63" s="38" t="n">
        <f aca="false">L34</f>
        <v>21000</v>
      </c>
      <c r="M63" s="38" t="n">
        <f aca="false">M34</f>
        <v>21000</v>
      </c>
      <c r="N63" s="19" t="n">
        <f aca="false">SUM(D63:M63)</f>
        <v>192000</v>
      </c>
    </row>
    <row r="64" customFormat="false" ht="15" hidden="false" customHeight="false" outlineLevel="0" collapsed="false">
      <c r="A64" s="15" t="n">
        <v>2</v>
      </c>
      <c r="B64" s="53" t="str">
        <f aca="false">IF(B7="","",B7)</f>
        <v>Cajas metálicas 13 kg</v>
      </c>
      <c r="C64" s="53" t="str">
        <f aca="false">IF(C7="","",C7)</f>
        <v>u</v>
      </c>
      <c r="D64" s="38" t="n">
        <f aca="false">D35</f>
        <v>70000</v>
      </c>
      <c r="E64" s="38" t="n">
        <f aca="false">E35</f>
        <v>90000</v>
      </c>
      <c r="F64" s="38" t="n">
        <f aca="false">F35</f>
        <v>110000</v>
      </c>
      <c r="G64" s="38" t="n">
        <f aca="false">G35</f>
        <v>120000</v>
      </c>
      <c r="H64" s="38" t="n">
        <f aca="false">H35</f>
        <v>120000</v>
      </c>
      <c r="I64" s="38" t="n">
        <f aca="false">I35</f>
        <v>120000</v>
      </c>
      <c r="J64" s="38" t="n">
        <f aca="false">J35</f>
        <v>120000</v>
      </c>
      <c r="K64" s="38" t="n">
        <f aca="false">K35</f>
        <v>120000</v>
      </c>
      <c r="L64" s="38" t="n">
        <f aca="false">L35</f>
        <v>120000</v>
      </c>
      <c r="M64" s="38" t="n">
        <f aca="false">M35</f>
        <v>120000</v>
      </c>
      <c r="N64" s="19" t="n">
        <f aca="false">SUM(D64:M64)</f>
        <v>1110000</v>
      </c>
    </row>
    <row r="65" customFormat="false" ht="15" hidden="false" customHeight="false" outlineLevel="0" collapsed="false">
      <c r="A65" s="15" t="n">
        <v>3</v>
      </c>
      <c r="B65" s="53" t="str">
        <f aca="false">IF(B8="","",B8)</f>
        <v/>
      </c>
      <c r="C65" s="53" t="str">
        <f aca="false">IF(C8="","",C8)</f>
        <v/>
      </c>
      <c r="D65" s="38" t="n">
        <f aca="false">D36</f>
        <v>0</v>
      </c>
      <c r="E65" s="38" t="n">
        <f aca="false">E36</f>
        <v>0</v>
      </c>
      <c r="F65" s="38" t="n">
        <f aca="false">F36</f>
        <v>0</v>
      </c>
      <c r="G65" s="38" t="n">
        <f aca="false">G36</f>
        <v>0</v>
      </c>
      <c r="H65" s="38" t="n">
        <f aca="false">H36</f>
        <v>0</v>
      </c>
      <c r="I65" s="38" t="n">
        <f aca="false">I36</f>
        <v>0</v>
      </c>
      <c r="J65" s="38" t="n">
        <f aca="false">J36</f>
        <v>0</v>
      </c>
      <c r="K65" s="38" t="n">
        <f aca="false">K36</f>
        <v>0</v>
      </c>
      <c r="L65" s="38" t="n">
        <f aca="false">L36</f>
        <v>0</v>
      </c>
      <c r="M65" s="38" t="n">
        <f aca="false">M36</f>
        <v>0</v>
      </c>
      <c r="N65" s="19" t="n">
        <f aca="false">SUM(D65:M65)</f>
        <v>0</v>
      </c>
    </row>
    <row r="66" customFormat="false" ht="15" hidden="false" customHeight="false" outlineLevel="0" collapsed="false">
      <c r="A66" s="15" t="n">
        <v>4</v>
      </c>
      <c r="B66" s="53" t="str">
        <f aca="false">IF(B9="","",B9)</f>
        <v/>
      </c>
      <c r="C66" s="53" t="str">
        <f aca="false">IF(C9="","",C9)</f>
        <v/>
      </c>
      <c r="D66" s="38" t="n">
        <f aca="false">D37</f>
        <v>0</v>
      </c>
      <c r="E66" s="38" t="n">
        <f aca="false">E37</f>
        <v>0</v>
      </c>
      <c r="F66" s="38" t="n">
        <f aca="false">F37</f>
        <v>0</v>
      </c>
      <c r="G66" s="38" t="n">
        <f aca="false">G37</f>
        <v>0</v>
      </c>
      <c r="H66" s="38" t="n">
        <f aca="false">H37</f>
        <v>0</v>
      </c>
      <c r="I66" s="38" t="n">
        <f aca="false">I37</f>
        <v>0</v>
      </c>
      <c r="J66" s="38" t="n">
        <f aca="false">J37</f>
        <v>0</v>
      </c>
      <c r="K66" s="38" t="n">
        <f aca="false">K37</f>
        <v>0</v>
      </c>
      <c r="L66" s="38" t="n">
        <f aca="false">L37</f>
        <v>0</v>
      </c>
      <c r="M66" s="38" t="n">
        <f aca="false">M37</f>
        <v>0</v>
      </c>
      <c r="N66" s="19" t="n">
        <f aca="false">SUM(D66:M66)</f>
        <v>0</v>
      </c>
    </row>
    <row r="67" customFormat="false" ht="15" hidden="false" customHeight="false" outlineLevel="0" collapsed="false">
      <c r="A67" s="15" t="n">
        <v>5</v>
      </c>
      <c r="B67" s="53" t="str">
        <f aca="false">IF(B10="","",B10)</f>
        <v/>
      </c>
      <c r="C67" s="53" t="str">
        <f aca="false">IF(C10="","",C10)</f>
        <v/>
      </c>
      <c r="D67" s="38" t="n">
        <f aca="false">D38</f>
        <v>0</v>
      </c>
      <c r="E67" s="38" t="n">
        <f aca="false">E38</f>
        <v>0</v>
      </c>
      <c r="F67" s="38" t="n">
        <f aca="false">F38</f>
        <v>0</v>
      </c>
      <c r="G67" s="38" t="n">
        <f aca="false">G38</f>
        <v>0</v>
      </c>
      <c r="H67" s="38" t="n">
        <f aca="false">H38</f>
        <v>0</v>
      </c>
      <c r="I67" s="38" t="n">
        <f aca="false">I38</f>
        <v>0</v>
      </c>
      <c r="J67" s="38" t="n">
        <f aca="false">J38</f>
        <v>0</v>
      </c>
      <c r="K67" s="38" t="n">
        <f aca="false">K38</f>
        <v>0</v>
      </c>
      <c r="L67" s="38" t="n">
        <f aca="false">L38</f>
        <v>0</v>
      </c>
      <c r="M67" s="38" t="n">
        <f aca="false">M38</f>
        <v>0</v>
      </c>
      <c r="N67" s="19" t="n">
        <f aca="false">SUM(D67:M67)</f>
        <v>0</v>
      </c>
    </row>
    <row r="68" customFormat="false" ht="15" hidden="false" customHeight="false" outlineLevel="0" collapsed="false">
      <c r="A68" s="15" t="n">
        <v>6</v>
      </c>
      <c r="B68" s="53" t="str">
        <f aca="false">IF(B11="","",B11)</f>
        <v/>
      </c>
      <c r="C68" s="53" t="str">
        <f aca="false">IF(C11="","",C11)</f>
        <v/>
      </c>
      <c r="D68" s="38" t="n">
        <f aca="false">D39</f>
        <v>0</v>
      </c>
      <c r="E68" s="38" t="n">
        <f aca="false">E39</f>
        <v>0</v>
      </c>
      <c r="F68" s="38" t="n">
        <f aca="false">F39</f>
        <v>0</v>
      </c>
      <c r="G68" s="38" t="n">
        <f aca="false">G39</f>
        <v>0</v>
      </c>
      <c r="H68" s="38" t="n">
        <f aca="false">H39</f>
        <v>0</v>
      </c>
      <c r="I68" s="38" t="n">
        <f aca="false">I39</f>
        <v>0</v>
      </c>
      <c r="J68" s="38" t="n">
        <f aca="false">J39</f>
        <v>0</v>
      </c>
      <c r="K68" s="38" t="n">
        <f aca="false">K39</f>
        <v>0</v>
      </c>
      <c r="L68" s="38" t="n">
        <f aca="false">L39</f>
        <v>0</v>
      </c>
      <c r="M68" s="38" t="n">
        <f aca="false">M39</f>
        <v>0</v>
      </c>
      <c r="N68" s="19" t="n">
        <f aca="false">SUM(D68:M68)</f>
        <v>0</v>
      </c>
    </row>
    <row r="69" customFormat="false" ht="15" hidden="false" customHeight="false" outlineLevel="0" collapsed="false">
      <c r="A69" s="15" t="n">
        <v>7</v>
      </c>
      <c r="B69" s="53" t="str">
        <f aca="false">IF(B12="","",B12)</f>
        <v/>
      </c>
      <c r="C69" s="53" t="str">
        <f aca="false">IF(C12="","",C12)</f>
        <v/>
      </c>
      <c r="D69" s="38" t="n">
        <f aca="false">D40</f>
        <v>0</v>
      </c>
      <c r="E69" s="38" t="n">
        <f aca="false">E40</f>
        <v>0</v>
      </c>
      <c r="F69" s="38" t="n">
        <f aca="false">F40</f>
        <v>0</v>
      </c>
      <c r="G69" s="38" t="n">
        <f aca="false">G40</f>
        <v>0</v>
      </c>
      <c r="H69" s="38" t="n">
        <f aca="false">H40</f>
        <v>0</v>
      </c>
      <c r="I69" s="38" t="n">
        <f aca="false">I40</f>
        <v>0</v>
      </c>
      <c r="J69" s="38" t="n">
        <f aca="false">J40</f>
        <v>0</v>
      </c>
      <c r="K69" s="38" t="n">
        <f aca="false">K40</f>
        <v>0</v>
      </c>
      <c r="L69" s="38" t="n">
        <f aca="false">L40</f>
        <v>0</v>
      </c>
      <c r="M69" s="38" t="n">
        <f aca="false">M40</f>
        <v>0</v>
      </c>
      <c r="N69" s="19" t="n">
        <f aca="false">SUM(D69:M69)</f>
        <v>0</v>
      </c>
    </row>
    <row r="70" customFormat="false" ht="15" hidden="false" customHeight="false" outlineLevel="0" collapsed="false">
      <c r="A70" s="15" t="n">
        <v>8</v>
      </c>
      <c r="B70" s="53" t="str">
        <f aca="false">IF(B13="","",B13)</f>
        <v/>
      </c>
      <c r="C70" s="53" t="str">
        <f aca="false">IF(C13="","",C13)</f>
        <v/>
      </c>
      <c r="D70" s="38" t="n">
        <f aca="false">D41</f>
        <v>0</v>
      </c>
      <c r="E70" s="38" t="n">
        <f aca="false">E41</f>
        <v>0</v>
      </c>
      <c r="F70" s="38" t="n">
        <f aca="false">F41</f>
        <v>0</v>
      </c>
      <c r="G70" s="38" t="n">
        <f aca="false">G41</f>
        <v>0</v>
      </c>
      <c r="H70" s="38" t="n">
        <f aca="false">H41</f>
        <v>0</v>
      </c>
      <c r="I70" s="38" t="n">
        <f aca="false">I41</f>
        <v>0</v>
      </c>
      <c r="J70" s="38" t="n">
        <f aca="false">J41</f>
        <v>0</v>
      </c>
      <c r="K70" s="38" t="n">
        <f aca="false">K41</f>
        <v>0</v>
      </c>
      <c r="L70" s="38" t="n">
        <f aca="false">L41</f>
        <v>0</v>
      </c>
      <c r="M70" s="38" t="n">
        <f aca="false">M41</f>
        <v>0</v>
      </c>
      <c r="N70" s="19" t="n">
        <f aca="false">SUM(D70:M70)</f>
        <v>0</v>
      </c>
    </row>
    <row r="71" customFormat="false" ht="15" hidden="false" customHeight="false" outlineLevel="0" collapsed="false">
      <c r="A71" s="15" t="n">
        <v>9</v>
      </c>
      <c r="B71" s="53" t="str">
        <f aca="false">IF(B14="","",B14)</f>
        <v/>
      </c>
      <c r="C71" s="53" t="str">
        <f aca="false">IF(C14="","",C14)</f>
        <v/>
      </c>
      <c r="D71" s="38" t="n">
        <f aca="false">D42</f>
        <v>0</v>
      </c>
      <c r="E71" s="38" t="n">
        <f aca="false">E42</f>
        <v>0</v>
      </c>
      <c r="F71" s="38" t="n">
        <f aca="false">F42</f>
        <v>0</v>
      </c>
      <c r="G71" s="38" t="n">
        <f aca="false">G42</f>
        <v>0</v>
      </c>
      <c r="H71" s="38" t="n">
        <f aca="false">H42</f>
        <v>0</v>
      </c>
      <c r="I71" s="38" t="n">
        <f aca="false">I42</f>
        <v>0</v>
      </c>
      <c r="J71" s="38" t="n">
        <f aca="false">J42</f>
        <v>0</v>
      </c>
      <c r="K71" s="38" t="n">
        <f aca="false">K42</f>
        <v>0</v>
      </c>
      <c r="L71" s="38" t="n">
        <f aca="false">L42</f>
        <v>0</v>
      </c>
      <c r="M71" s="38" t="n">
        <f aca="false">M42</f>
        <v>0</v>
      </c>
      <c r="N71" s="19" t="n">
        <f aca="false">SUM(D71:M71)</f>
        <v>0</v>
      </c>
    </row>
    <row r="72" customFormat="false" ht="15" hidden="false" customHeight="false" outlineLevel="0" collapsed="false">
      <c r="A72" s="15" t="n">
        <v>10</v>
      </c>
      <c r="B72" s="53" t="str">
        <f aca="false">IF(B15="","",B15)</f>
        <v/>
      </c>
      <c r="C72" s="53" t="str">
        <f aca="false">IF(C15="","",C15)</f>
        <v/>
      </c>
      <c r="D72" s="38" t="n">
        <f aca="false">D43</f>
        <v>0</v>
      </c>
      <c r="E72" s="38" t="n">
        <f aca="false">E43</f>
        <v>0</v>
      </c>
      <c r="F72" s="38" t="n">
        <f aca="false">F43</f>
        <v>0</v>
      </c>
      <c r="G72" s="38" t="n">
        <f aca="false">G43</f>
        <v>0</v>
      </c>
      <c r="H72" s="38" t="n">
        <f aca="false">H43</f>
        <v>0</v>
      </c>
      <c r="I72" s="38" t="n">
        <f aca="false">I43</f>
        <v>0</v>
      </c>
      <c r="J72" s="38" t="n">
        <f aca="false">J43</f>
        <v>0</v>
      </c>
      <c r="K72" s="38" t="n">
        <f aca="false">K43</f>
        <v>0</v>
      </c>
      <c r="L72" s="38" t="n">
        <f aca="false">L43</f>
        <v>0</v>
      </c>
      <c r="M72" s="38" t="n">
        <f aca="false">M43</f>
        <v>0</v>
      </c>
      <c r="N72" s="19" t="n">
        <f aca="false">SUM(D72:M72)</f>
        <v>0</v>
      </c>
    </row>
    <row r="73" customFormat="false" ht="15" hidden="false" customHeight="false" outlineLevel="0" collapsed="false">
      <c r="A73" s="15" t="n">
        <v>11</v>
      </c>
      <c r="B73" s="53" t="str">
        <f aca="false">IF(B16="","",B16)</f>
        <v/>
      </c>
      <c r="C73" s="53" t="str">
        <f aca="false">IF(C16="","",C16)</f>
        <v/>
      </c>
      <c r="D73" s="38" t="n">
        <f aca="false">D44</f>
        <v>0</v>
      </c>
      <c r="E73" s="38" t="n">
        <f aca="false">E44</f>
        <v>0</v>
      </c>
      <c r="F73" s="38" t="n">
        <f aca="false">F44</f>
        <v>0</v>
      </c>
      <c r="G73" s="38" t="n">
        <f aca="false">G44</f>
        <v>0</v>
      </c>
      <c r="H73" s="38" t="n">
        <f aca="false">H44</f>
        <v>0</v>
      </c>
      <c r="I73" s="38" t="n">
        <f aca="false">I44</f>
        <v>0</v>
      </c>
      <c r="J73" s="38" t="n">
        <f aca="false">J44</f>
        <v>0</v>
      </c>
      <c r="K73" s="38" t="n">
        <f aca="false">K44</f>
        <v>0</v>
      </c>
      <c r="L73" s="38" t="n">
        <f aca="false">L44</f>
        <v>0</v>
      </c>
      <c r="M73" s="38" t="n">
        <f aca="false">M44</f>
        <v>0</v>
      </c>
      <c r="N73" s="19" t="n">
        <f aca="false">SUM(D73:M73)</f>
        <v>0</v>
      </c>
    </row>
    <row r="74" customFormat="false" ht="15" hidden="false" customHeight="false" outlineLevel="0" collapsed="false">
      <c r="A74" s="15" t="n">
        <v>12</v>
      </c>
      <c r="B74" s="53" t="str">
        <f aca="false">IF(B17="","",B17)</f>
        <v/>
      </c>
      <c r="C74" s="53" t="str">
        <f aca="false">IF(C17="","",C17)</f>
        <v/>
      </c>
      <c r="D74" s="38" t="n">
        <f aca="false">D45</f>
        <v>0</v>
      </c>
      <c r="E74" s="38" t="n">
        <f aca="false">E45</f>
        <v>0</v>
      </c>
      <c r="F74" s="38" t="n">
        <f aca="false">F45</f>
        <v>0</v>
      </c>
      <c r="G74" s="38" t="n">
        <f aca="false">G45</f>
        <v>0</v>
      </c>
      <c r="H74" s="38" t="n">
        <f aca="false">H45</f>
        <v>0</v>
      </c>
      <c r="I74" s="38" t="n">
        <f aca="false">I45</f>
        <v>0</v>
      </c>
      <c r="J74" s="38" t="n">
        <f aca="false">J45</f>
        <v>0</v>
      </c>
      <c r="K74" s="38" t="n">
        <f aca="false">K45</f>
        <v>0</v>
      </c>
      <c r="L74" s="38" t="n">
        <f aca="false">L45</f>
        <v>0</v>
      </c>
      <c r="M74" s="38" t="n">
        <f aca="false">M45</f>
        <v>0</v>
      </c>
      <c r="N74" s="19" t="n">
        <f aca="false">SUM(D74:M74)</f>
        <v>0</v>
      </c>
    </row>
    <row r="75" customFormat="false" ht="15" hidden="false" customHeight="false" outlineLevel="0" collapsed="false">
      <c r="A75" s="15" t="n">
        <v>13</v>
      </c>
      <c r="B75" s="53" t="str">
        <f aca="false">IF(B18="","",B18)</f>
        <v/>
      </c>
      <c r="C75" s="53" t="str">
        <f aca="false">IF(C18="","",C18)</f>
        <v/>
      </c>
      <c r="D75" s="38" t="n">
        <f aca="false">D46</f>
        <v>0</v>
      </c>
      <c r="E75" s="38" t="n">
        <f aca="false">E46</f>
        <v>0</v>
      </c>
      <c r="F75" s="38" t="n">
        <f aca="false">F46</f>
        <v>0</v>
      </c>
      <c r="G75" s="38" t="n">
        <f aca="false">G46</f>
        <v>0</v>
      </c>
      <c r="H75" s="38" t="n">
        <f aca="false">H46</f>
        <v>0</v>
      </c>
      <c r="I75" s="38" t="n">
        <f aca="false">I46</f>
        <v>0</v>
      </c>
      <c r="J75" s="38" t="n">
        <f aca="false">J46</f>
        <v>0</v>
      </c>
      <c r="K75" s="38" t="n">
        <f aca="false">K46</f>
        <v>0</v>
      </c>
      <c r="L75" s="38" t="n">
        <f aca="false">L46</f>
        <v>0</v>
      </c>
      <c r="M75" s="38" t="n">
        <f aca="false">M46</f>
        <v>0</v>
      </c>
      <c r="N75" s="19" t="n">
        <f aca="false">SUM(D75:M75)</f>
        <v>0</v>
      </c>
    </row>
    <row r="76" customFormat="false" ht="15" hidden="false" customHeight="false" outlineLevel="0" collapsed="false">
      <c r="A76" s="15" t="n">
        <v>14</v>
      </c>
      <c r="B76" s="53" t="str">
        <f aca="false">IF(B19="","",B19)</f>
        <v/>
      </c>
      <c r="C76" s="53" t="str">
        <f aca="false">IF(C19="","",C19)</f>
        <v/>
      </c>
      <c r="D76" s="38" t="n">
        <f aca="false">D47</f>
        <v>0</v>
      </c>
      <c r="E76" s="38" t="n">
        <f aca="false">E47</f>
        <v>0</v>
      </c>
      <c r="F76" s="38" t="n">
        <f aca="false">F47</f>
        <v>0</v>
      </c>
      <c r="G76" s="38" t="n">
        <f aca="false">G47</f>
        <v>0</v>
      </c>
      <c r="H76" s="38" t="n">
        <f aca="false">H47</f>
        <v>0</v>
      </c>
      <c r="I76" s="38" t="n">
        <f aca="false">I47</f>
        <v>0</v>
      </c>
      <c r="J76" s="38" t="n">
        <f aca="false">J47</f>
        <v>0</v>
      </c>
      <c r="K76" s="38" t="n">
        <f aca="false">K47</f>
        <v>0</v>
      </c>
      <c r="L76" s="38" t="n">
        <f aca="false">L47</f>
        <v>0</v>
      </c>
      <c r="M76" s="38" t="n">
        <f aca="false">M47</f>
        <v>0</v>
      </c>
      <c r="N76" s="19" t="n">
        <f aca="false">SUM(D76:M76)</f>
        <v>0</v>
      </c>
    </row>
    <row r="77" customFormat="false" ht="15" hidden="false" customHeight="false" outlineLevel="0" collapsed="false">
      <c r="A77" s="15" t="n">
        <v>15</v>
      </c>
      <c r="B77" s="53" t="str">
        <f aca="false">IF(B20="","",B20)</f>
        <v/>
      </c>
      <c r="C77" s="53" t="str">
        <f aca="false">IF(C20="","",C20)</f>
        <v/>
      </c>
      <c r="D77" s="38" t="n">
        <f aca="false">D48</f>
        <v>0</v>
      </c>
      <c r="E77" s="38" t="n">
        <f aca="false">E48</f>
        <v>0</v>
      </c>
      <c r="F77" s="38" t="n">
        <f aca="false">F48</f>
        <v>0</v>
      </c>
      <c r="G77" s="38" t="n">
        <f aca="false">G48</f>
        <v>0</v>
      </c>
      <c r="H77" s="38" t="n">
        <f aca="false">H48</f>
        <v>0</v>
      </c>
      <c r="I77" s="38" t="n">
        <f aca="false">I48</f>
        <v>0</v>
      </c>
      <c r="J77" s="38" t="n">
        <f aca="false">J48</f>
        <v>0</v>
      </c>
      <c r="K77" s="38" t="n">
        <f aca="false">K48</f>
        <v>0</v>
      </c>
      <c r="L77" s="38" t="n">
        <f aca="false">L48</f>
        <v>0</v>
      </c>
      <c r="M77" s="38" t="n">
        <f aca="false">M48</f>
        <v>0</v>
      </c>
      <c r="N77" s="19" t="n">
        <f aca="false">SUM(D77:M77)</f>
        <v>0</v>
      </c>
    </row>
    <row r="78" customFormat="false" ht="15" hidden="false" customHeight="false" outlineLevel="0" collapsed="false">
      <c r="A78" s="15" t="n">
        <v>16</v>
      </c>
      <c r="B78" s="53" t="str">
        <f aca="false">IF(B21="","",B21)</f>
        <v/>
      </c>
      <c r="C78" s="53" t="str">
        <f aca="false">IF(C21="","",C21)</f>
        <v/>
      </c>
      <c r="D78" s="38" t="n">
        <f aca="false">D49</f>
        <v>0</v>
      </c>
      <c r="E78" s="38" t="n">
        <f aca="false">E49</f>
        <v>0</v>
      </c>
      <c r="F78" s="38" t="n">
        <f aca="false">F49</f>
        <v>0</v>
      </c>
      <c r="G78" s="38" t="n">
        <f aca="false">G49</f>
        <v>0</v>
      </c>
      <c r="H78" s="38" t="n">
        <f aca="false">H49</f>
        <v>0</v>
      </c>
      <c r="I78" s="38" t="n">
        <f aca="false">I49</f>
        <v>0</v>
      </c>
      <c r="J78" s="38" t="n">
        <f aca="false">J49</f>
        <v>0</v>
      </c>
      <c r="K78" s="38" t="n">
        <f aca="false">K49</f>
        <v>0</v>
      </c>
      <c r="L78" s="38" t="n">
        <f aca="false">L49</f>
        <v>0</v>
      </c>
      <c r="M78" s="38" t="n">
        <f aca="false">M49</f>
        <v>0</v>
      </c>
      <c r="N78" s="19" t="n">
        <f aca="false">SUM(D78:M78)</f>
        <v>0</v>
      </c>
    </row>
    <row r="79" customFormat="false" ht="15" hidden="false" customHeight="false" outlineLevel="0" collapsed="false">
      <c r="A79" s="15" t="n">
        <v>17</v>
      </c>
      <c r="B79" s="53" t="str">
        <f aca="false">IF(B22="","",B22)</f>
        <v/>
      </c>
      <c r="C79" s="53" t="str">
        <f aca="false">IF(C22="","",C22)</f>
        <v/>
      </c>
      <c r="D79" s="38" t="n">
        <f aca="false">D50</f>
        <v>0</v>
      </c>
      <c r="E79" s="38" t="n">
        <f aca="false">E50</f>
        <v>0</v>
      </c>
      <c r="F79" s="38" t="n">
        <f aca="false">F50</f>
        <v>0</v>
      </c>
      <c r="G79" s="38" t="n">
        <f aca="false">G50</f>
        <v>0</v>
      </c>
      <c r="H79" s="38" t="n">
        <f aca="false">H50</f>
        <v>0</v>
      </c>
      <c r="I79" s="38" t="n">
        <f aca="false">I50</f>
        <v>0</v>
      </c>
      <c r="J79" s="38" t="n">
        <f aca="false">J50</f>
        <v>0</v>
      </c>
      <c r="K79" s="38" t="n">
        <f aca="false">K50</f>
        <v>0</v>
      </c>
      <c r="L79" s="38" t="n">
        <f aca="false">L50</f>
        <v>0</v>
      </c>
      <c r="M79" s="38" t="n">
        <f aca="false">M50</f>
        <v>0</v>
      </c>
      <c r="N79" s="19" t="n">
        <f aca="false">SUM(D79:M79)</f>
        <v>0</v>
      </c>
    </row>
    <row r="80" customFormat="false" ht="15" hidden="false" customHeight="false" outlineLevel="0" collapsed="false">
      <c r="A80" s="15" t="n">
        <v>18</v>
      </c>
      <c r="B80" s="53" t="str">
        <f aca="false">IF(B23="","",B23)</f>
        <v/>
      </c>
      <c r="C80" s="53" t="str">
        <f aca="false">IF(C23="","",C23)</f>
        <v/>
      </c>
      <c r="D80" s="38" t="n">
        <f aca="false">D51</f>
        <v>0</v>
      </c>
      <c r="E80" s="38" t="n">
        <f aca="false">E51</f>
        <v>0</v>
      </c>
      <c r="F80" s="38" t="n">
        <f aca="false">F51</f>
        <v>0</v>
      </c>
      <c r="G80" s="38" t="n">
        <f aca="false">G51</f>
        <v>0</v>
      </c>
      <c r="H80" s="38" t="n">
        <f aca="false">H51</f>
        <v>0</v>
      </c>
      <c r="I80" s="38" t="n">
        <f aca="false">I51</f>
        <v>0</v>
      </c>
      <c r="J80" s="38" t="n">
        <f aca="false">J51</f>
        <v>0</v>
      </c>
      <c r="K80" s="38" t="n">
        <f aca="false">K51</f>
        <v>0</v>
      </c>
      <c r="L80" s="38" t="n">
        <f aca="false">L51</f>
        <v>0</v>
      </c>
      <c r="M80" s="38" t="n">
        <f aca="false">M51</f>
        <v>0</v>
      </c>
      <c r="N80" s="19" t="n">
        <f aca="false">SUM(D80:M80)</f>
        <v>0</v>
      </c>
    </row>
    <row r="81" customFormat="false" ht="15" hidden="false" customHeight="false" outlineLevel="0" collapsed="false">
      <c r="A81" s="15" t="n">
        <v>19</v>
      </c>
      <c r="B81" s="53" t="str">
        <f aca="false">IF(B24="","",B24)</f>
        <v/>
      </c>
      <c r="C81" s="53" t="str">
        <f aca="false">IF(C24="","",C24)</f>
        <v/>
      </c>
      <c r="D81" s="38" t="n">
        <f aca="false">D52</f>
        <v>0</v>
      </c>
      <c r="E81" s="38" t="n">
        <f aca="false">E52</f>
        <v>0</v>
      </c>
      <c r="F81" s="38" t="n">
        <f aca="false">F52</f>
        <v>0</v>
      </c>
      <c r="G81" s="38" t="n">
        <f aca="false">G52</f>
        <v>0</v>
      </c>
      <c r="H81" s="38" t="n">
        <f aca="false">H52</f>
        <v>0</v>
      </c>
      <c r="I81" s="38" t="n">
        <f aca="false">I52</f>
        <v>0</v>
      </c>
      <c r="J81" s="38" t="n">
        <f aca="false">J52</f>
        <v>0</v>
      </c>
      <c r="K81" s="38" t="n">
        <f aca="false">K52</f>
        <v>0</v>
      </c>
      <c r="L81" s="38" t="n">
        <f aca="false">L52</f>
        <v>0</v>
      </c>
      <c r="M81" s="38" t="n">
        <f aca="false">M52</f>
        <v>0</v>
      </c>
      <c r="N81" s="19" t="n">
        <f aca="false">SUM(D81:M81)</f>
        <v>0</v>
      </c>
    </row>
    <row r="82" customFormat="false" ht="15" hidden="false" customHeight="false" outlineLevel="0" collapsed="false">
      <c r="A82" s="15" t="n">
        <v>20</v>
      </c>
      <c r="B82" s="53" t="str">
        <f aca="false">IF(B25="","",B25)</f>
        <v/>
      </c>
      <c r="C82" s="53" t="str">
        <f aca="false">IF(C25="","",C25)</f>
        <v/>
      </c>
      <c r="D82" s="38" t="n">
        <f aca="false">D53</f>
        <v>0</v>
      </c>
      <c r="E82" s="38" t="n">
        <f aca="false">E53</f>
        <v>0</v>
      </c>
      <c r="F82" s="38" t="n">
        <f aca="false">F53</f>
        <v>0</v>
      </c>
      <c r="G82" s="38" t="n">
        <f aca="false">G53</f>
        <v>0</v>
      </c>
      <c r="H82" s="38" t="n">
        <f aca="false">H53</f>
        <v>0</v>
      </c>
      <c r="I82" s="38" t="n">
        <f aca="false">I53</f>
        <v>0</v>
      </c>
      <c r="J82" s="38" t="n">
        <f aca="false">J53</f>
        <v>0</v>
      </c>
      <c r="K82" s="38" t="n">
        <f aca="false">K53</f>
        <v>0</v>
      </c>
      <c r="L82" s="38" t="n">
        <f aca="false">L53</f>
        <v>0</v>
      </c>
      <c r="M82" s="38" t="n">
        <f aca="false">M53</f>
        <v>0</v>
      </c>
      <c r="N82" s="19" t="n">
        <f aca="false">SUM(D82:M82)</f>
        <v>0</v>
      </c>
    </row>
    <row r="83" customFormat="false" ht="15" hidden="false" customHeight="false" outlineLevel="0" collapsed="false">
      <c r="A83" s="15" t="n">
        <v>21</v>
      </c>
      <c r="B83" s="53" t="str">
        <f aca="false">IF(B26="","",B26)</f>
        <v/>
      </c>
      <c r="C83" s="53" t="str">
        <f aca="false">IF(C26="","",C26)</f>
        <v/>
      </c>
      <c r="D83" s="38" t="n">
        <f aca="false">D54</f>
        <v>0</v>
      </c>
      <c r="E83" s="38" t="n">
        <f aca="false">E54</f>
        <v>0</v>
      </c>
      <c r="F83" s="38" t="n">
        <f aca="false">F54</f>
        <v>0</v>
      </c>
      <c r="G83" s="38" t="n">
        <f aca="false">G54</f>
        <v>0</v>
      </c>
      <c r="H83" s="38" t="n">
        <f aca="false">H54</f>
        <v>0</v>
      </c>
      <c r="I83" s="38" t="n">
        <f aca="false">I54</f>
        <v>0</v>
      </c>
      <c r="J83" s="38" t="n">
        <f aca="false">J54</f>
        <v>0</v>
      </c>
      <c r="K83" s="38" t="n">
        <f aca="false">K54</f>
        <v>0</v>
      </c>
      <c r="L83" s="38" t="n">
        <f aca="false">L54</f>
        <v>0</v>
      </c>
      <c r="M83" s="38" t="n">
        <f aca="false">M54</f>
        <v>0</v>
      </c>
      <c r="N83" s="19" t="n">
        <f aca="false">SUM(D83:M83)</f>
        <v>0</v>
      </c>
    </row>
    <row r="84" customFormat="false" ht="15" hidden="false" customHeight="false" outlineLevel="0" collapsed="false">
      <c r="A84" s="15" t="n">
        <v>22</v>
      </c>
      <c r="B84" s="53" t="str">
        <f aca="false">IF(B27="","",B27)</f>
        <v/>
      </c>
      <c r="C84" s="53" t="str">
        <f aca="false">IF(C27="","",C27)</f>
        <v/>
      </c>
      <c r="D84" s="38" t="n">
        <f aca="false">D55</f>
        <v>0</v>
      </c>
      <c r="E84" s="38" t="n">
        <f aca="false">E55</f>
        <v>0</v>
      </c>
      <c r="F84" s="38" t="n">
        <f aca="false">F55</f>
        <v>0</v>
      </c>
      <c r="G84" s="38" t="n">
        <f aca="false">G55</f>
        <v>0</v>
      </c>
      <c r="H84" s="38" t="n">
        <f aca="false">H55</f>
        <v>0</v>
      </c>
      <c r="I84" s="38" t="n">
        <f aca="false">I55</f>
        <v>0</v>
      </c>
      <c r="J84" s="38" t="n">
        <f aca="false">J55</f>
        <v>0</v>
      </c>
      <c r="K84" s="38" t="n">
        <f aca="false">K55</f>
        <v>0</v>
      </c>
      <c r="L84" s="38" t="n">
        <f aca="false">L55</f>
        <v>0</v>
      </c>
      <c r="M84" s="38" t="n">
        <f aca="false">M55</f>
        <v>0</v>
      </c>
      <c r="N84" s="19" t="n">
        <f aca="false">SUM(D84:M84)</f>
        <v>0</v>
      </c>
    </row>
    <row r="85" customFormat="false" ht="15" hidden="false" customHeight="false" outlineLevel="0" collapsed="false">
      <c r="A85" s="15" t="n">
        <v>23</v>
      </c>
      <c r="B85" s="53" t="str">
        <f aca="false">IF(B28="","",B28)</f>
        <v/>
      </c>
      <c r="C85" s="53" t="str">
        <f aca="false">IF(C28="","",C28)</f>
        <v/>
      </c>
      <c r="D85" s="38" t="n">
        <f aca="false">D56</f>
        <v>0</v>
      </c>
      <c r="E85" s="38" t="n">
        <f aca="false">E56</f>
        <v>0</v>
      </c>
      <c r="F85" s="38" t="n">
        <f aca="false">F56</f>
        <v>0</v>
      </c>
      <c r="G85" s="38" t="n">
        <f aca="false">G56</f>
        <v>0</v>
      </c>
      <c r="H85" s="38" t="n">
        <f aca="false">H56</f>
        <v>0</v>
      </c>
      <c r="I85" s="38" t="n">
        <f aca="false">I56</f>
        <v>0</v>
      </c>
      <c r="J85" s="38" t="n">
        <f aca="false">J56</f>
        <v>0</v>
      </c>
      <c r="K85" s="38" t="n">
        <f aca="false">K56</f>
        <v>0</v>
      </c>
      <c r="L85" s="38" t="n">
        <f aca="false">L56</f>
        <v>0</v>
      </c>
      <c r="M85" s="38" t="n">
        <f aca="false">M56</f>
        <v>0</v>
      </c>
      <c r="N85" s="19" t="n">
        <f aca="false">SUM(D85:M85)</f>
        <v>0</v>
      </c>
    </row>
    <row r="86" customFormat="false" ht="15" hidden="false" customHeight="false" outlineLevel="0" collapsed="false">
      <c r="A86" s="15" t="n">
        <v>24</v>
      </c>
      <c r="B86" s="53" t="str">
        <f aca="false">IF(B29="","",B29)</f>
        <v/>
      </c>
      <c r="C86" s="53" t="str">
        <f aca="false">IF(C29="","",C29)</f>
        <v/>
      </c>
      <c r="D86" s="38" t="n">
        <f aca="false">D57</f>
        <v>0</v>
      </c>
      <c r="E86" s="38" t="n">
        <f aca="false">E57</f>
        <v>0</v>
      </c>
      <c r="F86" s="38" t="n">
        <f aca="false">F57</f>
        <v>0</v>
      </c>
      <c r="G86" s="38" t="n">
        <f aca="false">G57</f>
        <v>0</v>
      </c>
      <c r="H86" s="38" t="n">
        <f aca="false">H57</f>
        <v>0</v>
      </c>
      <c r="I86" s="38" t="n">
        <f aca="false">I57</f>
        <v>0</v>
      </c>
      <c r="J86" s="38" t="n">
        <f aca="false">J57</f>
        <v>0</v>
      </c>
      <c r="K86" s="38" t="n">
        <f aca="false">K57</f>
        <v>0</v>
      </c>
      <c r="L86" s="38" t="n">
        <f aca="false">L57</f>
        <v>0</v>
      </c>
      <c r="M86" s="38" t="n">
        <f aca="false">M57</f>
        <v>0</v>
      </c>
      <c r="N86" s="19" t="n">
        <f aca="false">SUM(D86:M86)</f>
        <v>0</v>
      </c>
    </row>
    <row r="87" customFormat="false" ht="15" hidden="false" customHeight="false" outlineLevel="0" collapsed="false">
      <c r="A87" s="15" t="n">
        <v>25</v>
      </c>
      <c r="B87" s="53" t="str">
        <f aca="false">IF(B30="","",B30)</f>
        <v/>
      </c>
      <c r="C87" s="53" t="str">
        <f aca="false">IF(C30="","",C30)</f>
        <v/>
      </c>
      <c r="D87" s="38" t="n">
        <f aca="false">D58</f>
        <v>0</v>
      </c>
      <c r="E87" s="38" t="n">
        <f aca="false">E58</f>
        <v>0</v>
      </c>
      <c r="F87" s="38" t="n">
        <f aca="false">F58</f>
        <v>0</v>
      </c>
      <c r="G87" s="38" t="n">
        <f aca="false">G58</f>
        <v>0</v>
      </c>
      <c r="H87" s="38" t="n">
        <f aca="false">H58</f>
        <v>0</v>
      </c>
      <c r="I87" s="38" t="n">
        <f aca="false">I58</f>
        <v>0</v>
      </c>
      <c r="J87" s="38" t="n">
        <f aca="false">J58</f>
        <v>0</v>
      </c>
      <c r="K87" s="38" t="n">
        <f aca="false">K58</f>
        <v>0</v>
      </c>
      <c r="L87" s="38" t="n">
        <f aca="false">L58</f>
        <v>0</v>
      </c>
      <c r="M87" s="38" t="n">
        <f aca="false">M58</f>
        <v>0</v>
      </c>
      <c r="N87" s="19" t="n">
        <f aca="false">SUM(D87:M87)</f>
        <v>0</v>
      </c>
    </row>
    <row r="88" customFormat="false" ht="15" hidden="false" customHeight="false" outlineLevel="0" collapsed="false">
      <c r="B88" s="20" t="s">
        <v>549</v>
      </c>
      <c r="D88" s="54" t="n">
        <f aca="false">SUM(D63:D87)</f>
        <v>82000</v>
      </c>
      <c r="E88" s="54" t="n">
        <f aca="false">SUM(E63:E87)</f>
        <v>105000</v>
      </c>
      <c r="F88" s="54" t="n">
        <f aca="false">SUM(F63:F87)</f>
        <v>128000</v>
      </c>
      <c r="G88" s="54" t="n">
        <f aca="false">SUM(G63:G87)</f>
        <v>141000</v>
      </c>
      <c r="H88" s="54" t="n">
        <f aca="false">SUM(H63:H87)</f>
        <v>141000</v>
      </c>
      <c r="I88" s="54" t="n">
        <f aca="false">SUM(I63:I87)</f>
        <v>141000</v>
      </c>
      <c r="J88" s="54" t="n">
        <f aca="false">SUM(J63:J87)</f>
        <v>141000</v>
      </c>
      <c r="K88" s="54" t="n">
        <f aca="false">SUM(K63:K87)</f>
        <v>141000</v>
      </c>
      <c r="L88" s="54" t="n">
        <f aca="false">SUM(L63:L87)</f>
        <v>141000</v>
      </c>
      <c r="M88" s="54" t="n">
        <f aca="false">SUM(M63:M87)</f>
        <v>141000</v>
      </c>
      <c r="N88" s="54" t="n">
        <f aca="false">SUM(N63:N87)</f>
        <v>1302000</v>
      </c>
    </row>
    <row r="90" customFormat="false" ht="15" hidden="false" customHeight="false" outlineLevel="0" collapsed="false">
      <c r="A90" s="12" t="s">
        <v>551</v>
      </c>
      <c r="B90" s="13"/>
      <c r="C90" s="13"/>
      <c r="D90" s="13"/>
      <c r="E90" s="13"/>
      <c r="F90" s="13"/>
      <c r="G90" s="13"/>
      <c r="H90" s="13"/>
      <c r="I90" s="13"/>
      <c r="J90" s="13"/>
      <c r="K90" s="13"/>
      <c r="L90" s="13"/>
      <c r="M90" s="13"/>
      <c r="N90" s="13"/>
      <c r="O90" s="13"/>
    </row>
    <row r="91" customFormat="false" ht="15" hidden="false" customHeight="false" outlineLevel="0" collapsed="false">
      <c r="A91" s="14" t="s">
        <v>530</v>
      </c>
      <c r="B91" s="14" t="s">
        <v>531</v>
      </c>
      <c r="C91" s="14"/>
      <c r="D91" s="14" t="s">
        <v>452</v>
      </c>
      <c r="E91" s="14" t="s">
        <v>453</v>
      </c>
      <c r="F91" s="14" t="s">
        <v>454</v>
      </c>
      <c r="G91" s="14" t="s">
        <v>455</v>
      </c>
      <c r="H91" s="14" t="s">
        <v>456</v>
      </c>
      <c r="I91" s="14" t="s">
        <v>457</v>
      </c>
      <c r="J91" s="14" t="s">
        <v>458</v>
      </c>
      <c r="K91" s="14" t="s">
        <v>459</v>
      </c>
      <c r="L91" s="14" t="s">
        <v>460</v>
      </c>
      <c r="M91" s="14" t="s">
        <v>461</v>
      </c>
      <c r="N91" s="14" t="s">
        <v>552</v>
      </c>
    </row>
    <row r="92" customFormat="false" ht="15" hidden="false" customHeight="false" outlineLevel="0" collapsed="false">
      <c r="A92" s="15" t="n">
        <v>1</v>
      </c>
      <c r="B92" s="53" t="str">
        <f aca="false">IF(B6="","",B6)</f>
        <v>Gabinetes metálicos 153 kg</v>
      </c>
      <c r="D92" s="48" t="n">
        <f aca="false">IF(IF(AND(N($F6)&gt;0,1&gt;=$F6),N($E6),N($D6))=0,0,MAX(0,D63/(1-V_Merma)-IF(AND(N($F6)&gt;0,1&gt;=$F6),N($E6),N($D6))))</f>
        <v>0</v>
      </c>
      <c r="E92" s="48" t="n">
        <f aca="false">IF(IF(AND(N($F6)&gt;0,2&gt;=$F6),N($E6),N($D6))=0,0,MAX(0,E63/(1-V_Merma)-IF(AND(N($F6)&gt;0,2&gt;=$F6),N($E6),N($D6))))</f>
        <v>0</v>
      </c>
      <c r="F92" s="48" t="n">
        <f aca="false">IF(IF(AND(N($F6)&gt;0,3&gt;=$F6),N($E6),N($D6))=0,0,MAX(0,F63/(1-V_Merma)-IF(AND(N($F6)&gt;0,3&gt;=$F6),N($E6),N($D6))))</f>
        <v>0</v>
      </c>
      <c r="G92" s="48" t="n">
        <f aca="false">IF(IF(AND(N($F6)&gt;0,4&gt;=$F6),N($E6),N($D6))=0,0,MAX(0,G63/(1-V_Merma)-IF(AND(N($F6)&gt;0,4&gt;=$F6),N($E6),N($D6))))</f>
        <v>0</v>
      </c>
      <c r="H92" s="48" t="n">
        <f aca="false">IF(IF(AND(N($F6)&gt;0,5&gt;=$F6),N($E6),N($D6))=0,0,MAX(0,H63/(1-V_Merma)-IF(AND(N($F6)&gt;0,5&gt;=$F6),N($E6),N($D6))))</f>
        <v>0</v>
      </c>
      <c r="I92" s="48" t="n">
        <f aca="false">IF(IF(AND(N($F6)&gt;0,6&gt;=$F6),N($E6),N($D6))=0,0,MAX(0,I63/(1-V_Merma)-IF(AND(N($F6)&gt;0,6&gt;=$F6),N($E6),N($D6))))</f>
        <v>0</v>
      </c>
      <c r="J92" s="48" t="n">
        <f aca="false">IF(IF(AND(N($F6)&gt;0,7&gt;=$F6),N($E6),N($D6))=0,0,MAX(0,J63/(1-V_Merma)-IF(AND(N($F6)&gt;0,7&gt;=$F6),N($E6),N($D6))))</f>
        <v>0</v>
      </c>
      <c r="K92" s="48" t="n">
        <f aca="false">IF(IF(AND(N($F6)&gt;0,8&gt;=$F6),N($E6),N($D6))=0,0,MAX(0,K63/(1-V_Merma)-IF(AND(N($F6)&gt;0,8&gt;=$F6),N($E6),N($D6))))</f>
        <v>0</v>
      </c>
      <c r="L92" s="48" t="n">
        <f aca="false">IF(IF(AND(N($F6)&gt;0,9&gt;=$F6),N($E6),N($D6))=0,0,MAX(0,L63/(1-V_Merma)-IF(AND(N($F6)&gt;0,9&gt;=$F6),N($E6),N($D6))))</f>
        <v>0</v>
      </c>
      <c r="M92" s="48" t="n">
        <f aca="false">IF(IF(AND(N($F6)&gt;0,10&gt;=$F6),N($E6),N($D6))=0,0,MAX(0,M63/(1-V_Merma)-IF(AND(N($F6)&gt;0,10&gt;=$F6),N($E6),N($D6))))</f>
        <v>0</v>
      </c>
      <c r="N92" s="27" t="n">
        <f aca="false">SUMPRODUCT(--(D92:M92&gt;0.5))</f>
        <v>0</v>
      </c>
    </row>
    <row r="93" customFormat="false" ht="15" hidden="false" customHeight="false" outlineLevel="0" collapsed="false">
      <c r="A93" s="15" t="n">
        <v>2</v>
      </c>
      <c r="B93" s="53" t="str">
        <f aca="false">IF(B7="","",B7)</f>
        <v>Cajas metálicas 13 kg</v>
      </c>
      <c r="D93" s="48" t="n">
        <f aca="false">IF(IF(AND(N($F7)&gt;0,1&gt;=$F7),N($E7),N($D7))=0,0,MAX(0,D64/(1-V_Merma)-IF(AND(N($F7)&gt;0,1&gt;=$F7),N($E7),N($D7))))</f>
        <v>0</v>
      </c>
      <c r="E93" s="48" t="n">
        <f aca="false">IF(IF(AND(N($F7)&gt;0,2&gt;=$F7),N($E7),N($D7))=0,0,MAX(0,E64/(1-V_Merma)-IF(AND(N($F7)&gt;0,2&gt;=$F7),N($E7),N($D7))))</f>
        <v>0</v>
      </c>
      <c r="F93" s="48" t="n">
        <f aca="false">IF(IF(AND(N($F7)&gt;0,3&gt;=$F7),N($E7),N($D7))=0,0,MAX(0,F64/(1-V_Merma)-IF(AND(N($F7)&gt;0,3&gt;=$F7),N($E7),N($D7))))</f>
        <v>0</v>
      </c>
      <c r="G93" s="48" t="n">
        <f aca="false">IF(IF(AND(N($F7)&gt;0,4&gt;=$F7),N($E7),N($D7))=0,0,MAX(0,G64/(1-V_Merma)-IF(AND(N($F7)&gt;0,4&gt;=$F7),N($E7),N($D7))))</f>
        <v>0</v>
      </c>
      <c r="H93" s="48" t="n">
        <f aca="false">IF(IF(AND(N($F7)&gt;0,5&gt;=$F7),N($E7),N($D7))=0,0,MAX(0,H64/(1-V_Merma)-IF(AND(N($F7)&gt;0,5&gt;=$F7),N($E7),N($D7))))</f>
        <v>0</v>
      </c>
      <c r="I93" s="48" t="n">
        <f aca="false">IF(IF(AND(N($F7)&gt;0,6&gt;=$F7),N($E7),N($D7))=0,0,MAX(0,I64/(1-V_Merma)-IF(AND(N($F7)&gt;0,6&gt;=$F7),N($E7),N($D7))))</f>
        <v>0</v>
      </c>
      <c r="J93" s="48" t="n">
        <f aca="false">IF(IF(AND(N($F7)&gt;0,7&gt;=$F7),N($E7),N($D7))=0,0,MAX(0,J64/(1-V_Merma)-IF(AND(N($F7)&gt;0,7&gt;=$F7),N($E7),N($D7))))</f>
        <v>0</v>
      </c>
      <c r="K93" s="48" t="n">
        <f aca="false">IF(IF(AND(N($F7)&gt;0,8&gt;=$F7),N($E7),N($D7))=0,0,MAX(0,K64/(1-V_Merma)-IF(AND(N($F7)&gt;0,8&gt;=$F7),N($E7),N($D7))))</f>
        <v>0</v>
      </c>
      <c r="L93" s="48" t="n">
        <f aca="false">IF(IF(AND(N($F7)&gt;0,9&gt;=$F7),N($E7),N($D7))=0,0,MAX(0,L64/(1-V_Merma)-IF(AND(N($F7)&gt;0,9&gt;=$F7),N($E7),N($D7))))</f>
        <v>0</v>
      </c>
      <c r="M93" s="48" t="n">
        <f aca="false">IF(IF(AND(N($F7)&gt;0,10&gt;=$F7),N($E7),N($D7))=0,0,MAX(0,M64/(1-V_Merma)-IF(AND(N($F7)&gt;0,10&gt;=$F7),N($E7),N($D7))))</f>
        <v>0</v>
      </c>
      <c r="N93" s="27" t="n">
        <f aca="false">SUMPRODUCT(--(D93:M93&gt;0.5))</f>
        <v>0</v>
      </c>
    </row>
    <row r="94" customFormat="false" ht="15" hidden="false" customHeight="false" outlineLevel="0" collapsed="false">
      <c r="A94" s="15" t="n">
        <v>3</v>
      </c>
      <c r="B94" s="53" t="str">
        <f aca="false">IF(B8="","",B8)</f>
        <v/>
      </c>
      <c r="D94" s="48" t="n">
        <f aca="false">IF(IF(AND(N($F8)&gt;0,1&gt;=$F8),N($E8),N($D8))=0,0,MAX(0,D65/(1-V_Merma)-IF(AND(N($F8)&gt;0,1&gt;=$F8),N($E8),N($D8))))</f>
        <v>0</v>
      </c>
      <c r="E94" s="48" t="n">
        <f aca="false">IF(IF(AND(N($F8)&gt;0,2&gt;=$F8),N($E8),N($D8))=0,0,MAX(0,E65/(1-V_Merma)-IF(AND(N($F8)&gt;0,2&gt;=$F8),N($E8),N($D8))))</f>
        <v>0</v>
      </c>
      <c r="F94" s="48" t="n">
        <f aca="false">IF(IF(AND(N($F8)&gt;0,3&gt;=$F8),N($E8),N($D8))=0,0,MAX(0,F65/(1-V_Merma)-IF(AND(N($F8)&gt;0,3&gt;=$F8),N($E8),N($D8))))</f>
        <v>0</v>
      </c>
      <c r="G94" s="48" t="n">
        <f aca="false">IF(IF(AND(N($F8)&gt;0,4&gt;=$F8),N($E8),N($D8))=0,0,MAX(0,G65/(1-V_Merma)-IF(AND(N($F8)&gt;0,4&gt;=$F8),N($E8),N($D8))))</f>
        <v>0</v>
      </c>
      <c r="H94" s="48" t="n">
        <f aca="false">IF(IF(AND(N($F8)&gt;0,5&gt;=$F8),N($E8),N($D8))=0,0,MAX(0,H65/(1-V_Merma)-IF(AND(N($F8)&gt;0,5&gt;=$F8),N($E8),N($D8))))</f>
        <v>0</v>
      </c>
      <c r="I94" s="48" t="n">
        <f aca="false">IF(IF(AND(N($F8)&gt;0,6&gt;=$F8),N($E8),N($D8))=0,0,MAX(0,I65/(1-V_Merma)-IF(AND(N($F8)&gt;0,6&gt;=$F8),N($E8),N($D8))))</f>
        <v>0</v>
      </c>
      <c r="J94" s="48" t="n">
        <f aca="false">IF(IF(AND(N($F8)&gt;0,7&gt;=$F8),N($E8),N($D8))=0,0,MAX(0,J65/(1-V_Merma)-IF(AND(N($F8)&gt;0,7&gt;=$F8),N($E8),N($D8))))</f>
        <v>0</v>
      </c>
      <c r="K94" s="48" t="n">
        <f aca="false">IF(IF(AND(N($F8)&gt;0,8&gt;=$F8),N($E8),N($D8))=0,0,MAX(0,K65/(1-V_Merma)-IF(AND(N($F8)&gt;0,8&gt;=$F8),N($E8),N($D8))))</f>
        <v>0</v>
      </c>
      <c r="L94" s="48" t="n">
        <f aca="false">IF(IF(AND(N($F8)&gt;0,9&gt;=$F8),N($E8),N($D8))=0,0,MAX(0,L65/(1-V_Merma)-IF(AND(N($F8)&gt;0,9&gt;=$F8),N($E8),N($D8))))</f>
        <v>0</v>
      </c>
      <c r="M94" s="48" t="n">
        <f aca="false">IF(IF(AND(N($F8)&gt;0,10&gt;=$F8),N($E8),N($D8))=0,0,MAX(0,M65/(1-V_Merma)-IF(AND(N($F8)&gt;0,10&gt;=$F8),N($E8),N($D8))))</f>
        <v>0</v>
      </c>
      <c r="N94" s="27" t="n">
        <f aca="false">SUMPRODUCT(--(D94:M94&gt;0.5))</f>
        <v>0</v>
      </c>
    </row>
    <row r="95" customFormat="false" ht="15" hidden="false" customHeight="false" outlineLevel="0" collapsed="false">
      <c r="A95" s="15" t="n">
        <v>4</v>
      </c>
      <c r="B95" s="53" t="str">
        <f aca="false">IF(B9="","",B9)</f>
        <v/>
      </c>
      <c r="D95" s="48" t="n">
        <f aca="false">IF(IF(AND(N($F9)&gt;0,1&gt;=$F9),N($E9),N($D9))=0,0,MAX(0,D66/(1-V_Merma)-IF(AND(N($F9)&gt;0,1&gt;=$F9),N($E9),N($D9))))</f>
        <v>0</v>
      </c>
      <c r="E95" s="48" t="n">
        <f aca="false">IF(IF(AND(N($F9)&gt;0,2&gt;=$F9),N($E9),N($D9))=0,0,MAX(0,E66/(1-V_Merma)-IF(AND(N($F9)&gt;0,2&gt;=$F9),N($E9),N($D9))))</f>
        <v>0</v>
      </c>
      <c r="F95" s="48" t="n">
        <f aca="false">IF(IF(AND(N($F9)&gt;0,3&gt;=$F9),N($E9),N($D9))=0,0,MAX(0,F66/(1-V_Merma)-IF(AND(N($F9)&gt;0,3&gt;=$F9),N($E9),N($D9))))</f>
        <v>0</v>
      </c>
      <c r="G95" s="48" t="n">
        <f aca="false">IF(IF(AND(N($F9)&gt;0,4&gt;=$F9),N($E9),N($D9))=0,0,MAX(0,G66/(1-V_Merma)-IF(AND(N($F9)&gt;0,4&gt;=$F9),N($E9),N($D9))))</f>
        <v>0</v>
      </c>
      <c r="H95" s="48" t="n">
        <f aca="false">IF(IF(AND(N($F9)&gt;0,5&gt;=$F9),N($E9),N($D9))=0,0,MAX(0,H66/(1-V_Merma)-IF(AND(N($F9)&gt;0,5&gt;=$F9),N($E9),N($D9))))</f>
        <v>0</v>
      </c>
      <c r="I95" s="48" t="n">
        <f aca="false">IF(IF(AND(N($F9)&gt;0,6&gt;=$F9),N($E9),N($D9))=0,0,MAX(0,I66/(1-V_Merma)-IF(AND(N($F9)&gt;0,6&gt;=$F9),N($E9),N($D9))))</f>
        <v>0</v>
      </c>
      <c r="J95" s="48" t="n">
        <f aca="false">IF(IF(AND(N($F9)&gt;0,7&gt;=$F9),N($E9),N($D9))=0,0,MAX(0,J66/(1-V_Merma)-IF(AND(N($F9)&gt;0,7&gt;=$F9),N($E9),N($D9))))</f>
        <v>0</v>
      </c>
      <c r="K95" s="48" t="n">
        <f aca="false">IF(IF(AND(N($F9)&gt;0,8&gt;=$F9),N($E9),N($D9))=0,0,MAX(0,K66/(1-V_Merma)-IF(AND(N($F9)&gt;0,8&gt;=$F9),N($E9),N($D9))))</f>
        <v>0</v>
      </c>
      <c r="L95" s="48" t="n">
        <f aca="false">IF(IF(AND(N($F9)&gt;0,9&gt;=$F9),N($E9),N($D9))=0,0,MAX(0,L66/(1-V_Merma)-IF(AND(N($F9)&gt;0,9&gt;=$F9),N($E9),N($D9))))</f>
        <v>0</v>
      </c>
      <c r="M95" s="48" t="n">
        <f aca="false">IF(IF(AND(N($F9)&gt;0,10&gt;=$F9),N($E9),N($D9))=0,0,MAX(0,M66/(1-V_Merma)-IF(AND(N($F9)&gt;0,10&gt;=$F9),N($E9),N($D9))))</f>
        <v>0</v>
      </c>
      <c r="N95" s="27" t="n">
        <f aca="false">SUMPRODUCT(--(D95:M95&gt;0.5))</f>
        <v>0</v>
      </c>
    </row>
    <row r="96" customFormat="false" ht="15" hidden="false" customHeight="false" outlineLevel="0" collapsed="false">
      <c r="A96" s="15" t="n">
        <v>5</v>
      </c>
      <c r="B96" s="53" t="str">
        <f aca="false">IF(B10="","",B10)</f>
        <v/>
      </c>
      <c r="D96" s="48" t="n">
        <f aca="false">IF(IF(AND(N($F10)&gt;0,1&gt;=$F10),N($E10),N($D10))=0,0,MAX(0,D67/(1-V_Merma)-IF(AND(N($F10)&gt;0,1&gt;=$F10),N($E10),N($D10))))</f>
        <v>0</v>
      </c>
      <c r="E96" s="48" t="n">
        <f aca="false">IF(IF(AND(N($F10)&gt;0,2&gt;=$F10),N($E10),N($D10))=0,0,MAX(0,E67/(1-V_Merma)-IF(AND(N($F10)&gt;0,2&gt;=$F10),N($E10),N($D10))))</f>
        <v>0</v>
      </c>
      <c r="F96" s="48" t="n">
        <f aca="false">IF(IF(AND(N($F10)&gt;0,3&gt;=$F10),N($E10),N($D10))=0,0,MAX(0,F67/(1-V_Merma)-IF(AND(N($F10)&gt;0,3&gt;=$F10),N($E10),N($D10))))</f>
        <v>0</v>
      </c>
      <c r="G96" s="48" t="n">
        <f aca="false">IF(IF(AND(N($F10)&gt;0,4&gt;=$F10),N($E10),N($D10))=0,0,MAX(0,G67/(1-V_Merma)-IF(AND(N($F10)&gt;0,4&gt;=$F10),N($E10),N($D10))))</f>
        <v>0</v>
      </c>
      <c r="H96" s="48" t="n">
        <f aca="false">IF(IF(AND(N($F10)&gt;0,5&gt;=$F10),N($E10),N($D10))=0,0,MAX(0,H67/(1-V_Merma)-IF(AND(N($F10)&gt;0,5&gt;=$F10),N($E10),N($D10))))</f>
        <v>0</v>
      </c>
      <c r="I96" s="48" t="n">
        <f aca="false">IF(IF(AND(N($F10)&gt;0,6&gt;=$F10),N($E10),N($D10))=0,0,MAX(0,I67/(1-V_Merma)-IF(AND(N($F10)&gt;0,6&gt;=$F10),N($E10),N($D10))))</f>
        <v>0</v>
      </c>
      <c r="J96" s="48" t="n">
        <f aca="false">IF(IF(AND(N($F10)&gt;0,7&gt;=$F10),N($E10),N($D10))=0,0,MAX(0,J67/(1-V_Merma)-IF(AND(N($F10)&gt;0,7&gt;=$F10),N($E10),N($D10))))</f>
        <v>0</v>
      </c>
      <c r="K96" s="48" t="n">
        <f aca="false">IF(IF(AND(N($F10)&gt;0,8&gt;=$F10),N($E10),N($D10))=0,0,MAX(0,K67/(1-V_Merma)-IF(AND(N($F10)&gt;0,8&gt;=$F10),N($E10),N($D10))))</f>
        <v>0</v>
      </c>
      <c r="L96" s="48" t="n">
        <f aca="false">IF(IF(AND(N($F10)&gt;0,9&gt;=$F10),N($E10),N($D10))=0,0,MAX(0,L67/(1-V_Merma)-IF(AND(N($F10)&gt;0,9&gt;=$F10),N($E10),N($D10))))</f>
        <v>0</v>
      </c>
      <c r="M96" s="48" t="n">
        <f aca="false">IF(IF(AND(N($F10)&gt;0,10&gt;=$F10),N($E10),N($D10))=0,0,MAX(0,M67/(1-V_Merma)-IF(AND(N($F10)&gt;0,10&gt;=$F10),N($E10),N($D10))))</f>
        <v>0</v>
      </c>
      <c r="N96" s="27" t="n">
        <f aca="false">SUMPRODUCT(--(D96:M96&gt;0.5))</f>
        <v>0</v>
      </c>
    </row>
    <row r="97" customFormat="false" ht="15" hidden="false" customHeight="false" outlineLevel="0" collapsed="false">
      <c r="A97" s="15" t="n">
        <v>6</v>
      </c>
      <c r="B97" s="53" t="str">
        <f aca="false">IF(B11="","",B11)</f>
        <v/>
      </c>
      <c r="D97" s="48" t="n">
        <f aca="false">IF(IF(AND(N($F11)&gt;0,1&gt;=$F11),N($E11),N($D11))=0,0,MAX(0,D68/(1-V_Merma)-IF(AND(N($F11)&gt;0,1&gt;=$F11),N($E11),N($D11))))</f>
        <v>0</v>
      </c>
      <c r="E97" s="48" t="n">
        <f aca="false">IF(IF(AND(N($F11)&gt;0,2&gt;=$F11),N($E11),N($D11))=0,0,MAX(0,E68/(1-V_Merma)-IF(AND(N($F11)&gt;0,2&gt;=$F11),N($E11),N($D11))))</f>
        <v>0</v>
      </c>
      <c r="F97" s="48" t="n">
        <f aca="false">IF(IF(AND(N($F11)&gt;0,3&gt;=$F11),N($E11),N($D11))=0,0,MAX(0,F68/(1-V_Merma)-IF(AND(N($F11)&gt;0,3&gt;=$F11),N($E11),N($D11))))</f>
        <v>0</v>
      </c>
      <c r="G97" s="48" t="n">
        <f aca="false">IF(IF(AND(N($F11)&gt;0,4&gt;=$F11),N($E11),N($D11))=0,0,MAX(0,G68/(1-V_Merma)-IF(AND(N($F11)&gt;0,4&gt;=$F11),N($E11),N($D11))))</f>
        <v>0</v>
      </c>
      <c r="H97" s="48" t="n">
        <f aca="false">IF(IF(AND(N($F11)&gt;0,5&gt;=$F11),N($E11),N($D11))=0,0,MAX(0,H68/(1-V_Merma)-IF(AND(N($F11)&gt;0,5&gt;=$F11),N($E11),N($D11))))</f>
        <v>0</v>
      </c>
      <c r="I97" s="48" t="n">
        <f aca="false">IF(IF(AND(N($F11)&gt;0,6&gt;=$F11),N($E11),N($D11))=0,0,MAX(0,I68/(1-V_Merma)-IF(AND(N($F11)&gt;0,6&gt;=$F11),N($E11),N($D11))))</f>
        <v>0</v>
      </c>
      <c r="J97" s="48" t="n">
        <f aca="false">IF(IF(AND(N($F11)&gt;0,7&gt;=$F11),N($E11),N($D11))=0,0,MAX(0,J68/(1-V_Merma)-IF(AND(N($F11)&gt;0,7&gt;=$F11),N($E11),N($D11))))</f>
        <v>0</v>
      </c>
      <c r="K97" s="48" t="n">
        <f aca="false">IF(IF(AND(N($F11)&gt;0,8&gt;=$F11),N($E11),N($D11))=0,0,MAX(0,K68/(1-V_Merma)-IF(AND(N($F11)&gt;0,8&gt;=$F11),N($E11),N($D11))))</f>
        <v>0</v>
      </c>
      <c r="L97" s="48" t="n">
        <f aca="false">IF(IF(AND(N($F11)&gt;0,9&gt;=$F11),N($E11),N($D11))=0,0,MAX(0,L68/(1-V_Merma)-IF(AND(N($F11)&gt;0,9&gt;=$F11),N($E11),N($D11))))</f>
        <v>0</v>
      </c>
      <c r="M97" s="48" t="n">
        <f aca="false">IF(IF(AND(N($F11)&gt;0,10&gt;=$F11),N($E11),N($D11))=0,0,MAX(0,M68/(1-V_Merma)-IF(AND(N($F11)&gt;0,10&gt;=$F11),N($E11),N($D11))))</f>
        <v>0</v>
      </c>
      <c r="N97" s="27" t="n">
        <f aca="false">SUMPRODUCT(--(D97:M97&gt;0.5))</f>
        <v>0</v>
      </c>
    </row>
    <row r="98" customFormat="false" ht="15" hidden="false" customHeight="false" outlineLevel="0" collapsed="false">
      <c r="A98" s="15" t="n">
        <v>7</v>
      </c>
      <c r="B98" s="53" t="str">
        <f aca="false">IF(B12="","",B12)</f>
        <v/>
      </c>
      <c r="D98" s="48" t="n">
        <f aca="false">IF(IF(AND(N($F12)&gt;0,1&gt;=$F12),N($E12),N($D12))=0,0,MAX(0,D69/(1-V_Merma)-IF(AND(N($F12)&gt;0,1&gt;=$F12),N($E12),N($D12))))</f>
        <v>0</v>
      </c>
      <c r="E98" s="48" t="n">
        <f aca="false">IF(IF(AND(N($F12)&gt;0,2&gt;=$F12),N($E12),N($D12))=0,0,MAX(0,E69/(1-V_Merma)-IF(AND(N($F12)&gt;0,2&gt;=$F12),N($E12),N($D12))))</f>
        <v>0</v>
      </c>
      <c r="F98" s="48" t="n">
        <f aca="false">IF(IF(AND(N($F12)&gt;0,3&gt;=$F12),N($E12),N($D12))=0,0,MAX(0,F69/(1-V_Merma)-IF(AND(N($F12)&gt;0,3&gt;=$F12),N($E12),N($D12))))</f>
        <v>0</v>
      </c>
      <c r="G98" s="48" t="n">
        <f aca="false">IF(IF(AND(N($F12)&gt;0,4&gt;=$F12),N($E12),N($D12))=0,0,MAX(0,G69/(1-V_Merma)-IF(AND(N($F12)&gt;0,4&gt;=$F12),N($E12),N($D12))))</f>
        <v>0</v>
      </c>
      <c r="H98" s="48" t="n">
        <f aca="false">IF(IF(AND(N($F12)&gt;0,5&gt;=$F12),N($E12),N($D12))=0,0,MAX(0,H69/(1-V_Merma)-IF(AND(N($F12)&gt;0,5&gt;=$F12),N($E12),N($D12))))</f>
        <v>0</v>
      </c>
      <c r="I98" s="48" t="n">
        <f aca="false">IF(IF(AND(N($F12)&gt;0,6&gt;=$F12),N($E12),N($D12))=0,0,MAX(0,I69/(1-V_Merma)-IF(AND(N($F12)&gt;0,6&gt;=$F12),N($E12),N($D12))))</f>
        <v>0</v>
      </c>
      <c r="J98" s="48" t="n">
        <f aca="false">IF(IF(AND(N($F12)&gt;0,7&gt;=$F12),N($E12),N($D12))=0,0,MAX(0,J69/(1-V_Merma)-IF(AND(N($F12)&gt;0,7&gt;=$F12),N($E12),N($D12))))</f>
        <v>0</v>
      </c>
      <c r="K98" s="48" t="n">
        <f aca="false">IF(IF(AND(N($F12)&gt;0,8&gt;=$F12),N($E12),N($D12))=0,0,MAX(0,K69/(1-V_Merma)-IF(AND(N($F12)&gt;0,8&gt;=$F12),N($E12),N($D12))))</f>
        <v>0</v>
      </c>
      <c r="L98" s="48" t="n">
        <f aca="false">IF(IF(AND(N($F12)&gt;0,9&gt;=$F12),N($E12),N($D12))=0,0,MAX(0,L69/(1-V_Merma)-IF(AND(N($F12)&gt;0,9&gt;=$F12),N($E12),N($D12))))</f>
        <v>0</v>
      </c>
      <c r="M98" s="48" t="n">
        <f aca="false">IF(IF(AND(N($F12)&gt;0,10&gt;=$F12),N($E12),N($D12))=0,0,MAX(0,M69/(1-V_Merma)-IF(AND(N($F12)&gt;0,10&gt;=$F12),N($E12),N($D12))))</f>
        <v>0</v>
      </c>
      <c r="N98" s="27" t="n">
        <f aca="false">SUMPRODUCT(--(D98:M98&gt;0.5))</f>
        <v>0</v>
      </c>
    </row>
    <row r="99" customFormat="false" ht="15" hidden="false" customHeight="false" outlineLevel="0" collapsed="false">
      <c r="A99" s="15" t="n">
        <v>8</v>
      </c>
      <c r="B99" s="53" t="str">
        <f aca="false">IF(B13="","",B13)</f>
        <v/>
      </c>
      <c r="D99" s="48" t="n">
        <f aca="false">IF(IF(AND(N($F13)&gt;0,1&gt;=$F13),N($E13),N($D13))=0,0,MAX(0,D70/(1-V_Merma)-IF(AND(N($F13)&gt;0,1&gt;=$F13),N($E13),N($D13))))</f>
        <v>0</v>
      </c>
      <c r="E99" s="48" t="n">
        <f aca="false">IF(IF(AND(N($F13)&gt;0,2&gt;=$F13),N($E13),N($D13))=0,0,MAX(0,E70/(1-V_Merma)-IF(AND(N($F13)&gt;0,2&gt;=$F13),N($E13),N($D13))))</f>
        <v>0</v>
      </c>
      <c r="F99" s="48" t="n">
        <f aca="false">IF(IF(AND(N($F13)&gt;0,3&gt;=$F13),N($E13),N($D13))=0,0,MAX(0,F70/(1-V_Merma)-IF(AND(N($F13)&gt;0,3&gt;=$F13),N($E13),N($D13))))</f>
        <v>0</v>
      </c>
      <c r="G99" s="48" t="n">
        <f aca="false">IF(IF(AND(N($F13)&gt;0,4&gt;=$F13),N($E13),N($D13))=0,0,MAX(0,G70/(1-V_Merma)-IF(AND(N($F13)&gt;0,4&gt;=$F13),N($E13),N($D13))))</f>
        <v>0</v>
      </c>
      <c r="H99" s="48" t="n">
        <f aca="false">IF(IF(AND(N($F13)&gt;0,5&gt;=$F13),N($E13),N($D13))=0,0,MAX(0,H70/(1-V_Merma)-IF(AND(N($F13)&gt;0,5&gt;=$F13),N($E13),N($D13))))</f>
        <v>0</v>
      </c>
      <c r="I99" s="48" t="n">
        <f aca="false">IF(IF(AND(N($F13)&gt;0,6&gt;=$F13),N($E13),N($D13))=0,0,MAX(0,I70/(1-V_Merma)-IF(AND(N($F13)&gt;0,6&gt;=$F13),N($E13),N($D13))))</f>
        <v>0</v>
      </c>
      <c r="J99" s="48" t="n">
        <f aca="false">IF(IF(AND(N($F13)&gt;0,7&gt;=$F13),N($E13),N($D13))=0,0,MAX(0,J70/(1-V_Merma)-IF(AND(N($F13)&gt;0,7&gt;=$F13),N($E13),N($D13))))</f>
        <v>0</v>
      </c>
      <c r="K99" s="48" t="n">
        <f aca="false">IF(IF(AND(N($F13)&gt;0,8&gt;=$F13),N($E13),N($D13))=0,0,MAX(0,K70/(1-V_Merma)-IF(AND(N($F13)&gt;0,8&gt;=$F13),N($E13),N($D13))))</f>
        <v>0</v>
      </c>
      <c r="L99" s="48" t="n">
        <f aca="false">IF(IF(AND(N($F13)&gt;0,9&gt;=$F13),N($E13),N($D13))=0,0,MAX(0,L70/(1-V_Merma)-IF(AND(N($F13)&gt;0,9&gt;=$F13),N($E13),N($D13))))</f>
        <v>0</v>
      </c>
      <c r="M99" s="48" t="n">
        <f aca="false">IF(IF(AND(N($F13)&gt;0,10&gt;=$F13),N($E13),N($D13))=0,0,MAX(0,M70/(1-V_Merma)-IF(AND(N($F13)&gt;0,10&gt;=$F13),N($E13),N($D13))))</f>
        <v>0</v>
      </c>
      <c r="N99" s="27" t="n">
        <f aca="false">SUMPRODUCT(--(D99:M99&gt;0.5))</f>
        <v>0</v>
      </c>
    </row>
    <row r="100" customFormat="false" ht="15" hidden="false" customHeight="false" outlineLevel="0" collapsed="false">
      <c r="A100" s="15" t="n">
        <v>9</v>
      </c>
      <c r="B100" s="53" t="str">
        <f aca="false">IF(B14="","",B14)</f>
        <v/>
      </c>
      <c r="D100" s="48" t="n">
        <f aca="false">IF(IF(AND(N($F14)&gt;0,1&gt;=$F14),N($E14),N($D14))=0,0,MAX(0,D71/(1-V_Merma)-IF(AND(N($F14)&gt;0,1&gt;=$F14),N($E14),N($D14))))</f>
        <v>0</v>
      </c>
      <c r="E100" s="48" t="n">
        <f aca="false">IF(IF(AND(N($F14)&gt;0,2&gt;=$F14),N($E14),N($D14))=0,0,MAX(0,E71/(1-V_Merma)-IF(AND(N($F14)&gt;0,2&gt;=$F14),N($E14),N($D14))))</f>
        <v>0</v>
      </c>
      <c r="F100" s="48" t="n">
        <f aca="false">IF(IF(AND(N($F14)&gt;0,3&gt;=$F14),N($E14),N($D14))=0,0,MAX(0,F71/(1-V_Merma)-IF(AND(N($F14)&gt;0,3&gt;=$F14),N($E14),N($D14))))</f>
        <v>0</v>
      </c>
      <c r="G100" s="48" t="n">
        <f aca="false">IF(IF(AND(N($F14)&gt;0,4&gt;=$F14),N($E14),N($D14))=0,0,MAX(0,G71/(1-V_Merma)-IF(AND(N($F14)&gt;0,4&gt;=$F14),N($E14),N($D14))))</f>
        <v>0</v>
      </c>
      <c r="H100" s="48" t="n">
        <f aca="false">IF(IF(AND(N($F14)&gt;0,5&gt;=$F14),N($E14),N($D14))=0,0,MAX(0,H71/(1-V_Merma)-IF(AND(N($F14)&gt;0,5&gt;=$F14),N($E14),N($D14))))</f>
        <v>0</v>
      </c>
      <c r="I100" s="48" t="n">
        <f aca="false">IF(IF(AND(N($F14)&gt;0,6&gt;=$F14),N($E14),N($D14))=0,0,MAX(0,I71/(1-V_Merma)-IF(AND(N($F14)&gt;0,6&gt;=$F14),N($E14),N($D14))))</f>
        <v>0</v>
      </c>
      <c r="J100" s="48" t="n">
        <f aca="false">IF(IF(AND(N($F14)&gt;0,7&gt;=$F14),N($E14),N($D14))=0,0,MAX(0,J71/(1-V_Merma)-IF(AND(N($F14)&gt;0,7&gt;=$F14),N($E14),N($D14))))</f>
        <v>0</v>
      </c>
      <c r="K100" s="48" t="n">
        <f aca="false">IF(IF(AND(N($F14)&gt;0,8&gt;=$F14),N($E14),N($D14))=0,0,MAX(0,K71/(1-V_Merma)-IF(AND(N($F14)&gt;0,8&gt;=$F14),N($E14),N($D14))))</f>
        <v>0</v>
      </c>
      <c r="L100" s="48" t="n">
        <f aca="false">IF(IF(AND(N($F14)&gt;0,9&gt;=$F14),N($E14),N($D14))=0,0,MAX(0,L71/(1-V_Merma)-IF(AND(N($F14)&gt;0,9&gt;=$F14),N($E14),N($D14))))</f>
        <v>0</v>
      </c>
      <c r="M100" s="48" t="n">
        <f aca="false">IF(IF(AND(N($F14)&gt;0,10&gt;=$F14),N($E14),N($D14))=0,0,MAX(0,M71/(1-V_Merma)-IF(AND(N($F14)&gt;0,10&gt;=$F14),N($E14),N($D14))))</f>
        <v>0</v>
      </c>
      <c r="N100" s="27" t="n">
        <f aca="false">SUMPRODUCT(--(D100:M100&gt;0.5))</f>
        <v>0</v>
      </c>
    </row>
    <row r="101" customFormat="false" ht="15" hidden="false" customHeight="false" outlineLevel="0" collapsed="false">
      <c r="A101" s="15" t="n">
        <v>10</v>
      </c>
      <c r="B101" s="53" t="str">
        <f aca="false">IF(B15="","",B15)</f>
        <v/>
      </c>
      <c r="D101" s="48" t="n">
        <f aca="false">IF(IF(AND(N($F15)&gt;0,1&gt;=$F15),N($E15),N($D15))=0,0,MAX(0,D72/(1-V_Merma)-IF(AND(N($F15)&gt;0,1&gt;=$F15),N($E15),N($D15))))</f>
        <v>0</v>
      </c>
      <c r="E101" s="48" t="n">
        <f aca="false">IF(IF(AND(N($F15)&gt;0,2&gt;=$F15),N($E15),N($D15))=0,0,MAX(0,E72/(1-V_Merma)-IF(AND(N($F15)&gt;0,2&gt;=$F15),N($E15),N($D15))))</f>
        <v>0</v>
      </c>
      <c r="F101" s="48" t="n">
        <f aca="false">IF(IF(AND(N($F15)&gt;0,3&gt;=$F15),N($E15),N($D15))=0,0,MAX(0,F72/(1-V_Merma)-IF(AND(N($F15)&gt;0,3&gt;=$F15),N($E15),N($D15))))</f>
        <v>0</v>
      </c>
      <c r="G101" s="48" t="n">
        <f aca="false">IF(IF(AND(N($F15)&gt;0,4&gt;=$F15),N($E15),N($D15))=0,0,MAX(0,G72/(1-V_Merma)-IF(AND(N($F15)&gt;0,4&gt;=$F15),N($E15),N($D15))))</f>
        <v>0</v>
      </c>
      <c r="H101" s="48" t="n">
        <f aca="false">IF(IF(AND(N($F15)&gt;0,5&gt;=$F15),N($E15),N($D15))=0,0,MAX(0,H72/(1-V_Merma)-IF(AND(N($F15)&gt;0,5&gt;=$F15),N($E15),N($D15))))</f>
        <v>0</v>
      </c>
      <c r="I101" s="48" t="n">
        <f aca="false">IF(IF(AND(N($F15)&gt;0,6&gt;=$F15),N($E15),N($D15))=0,0,MAX(0,I72/(1-V_Merma)-IF(AND(N($F15)&gt;0,6&gt;=$F15),N($E15),N($D15))))</f>
        <v>0</v>
      </c>
      <c r="J101" s="48" t="n">
        <f aca="false">IF(IF(AND(N($F15)&gt;0,7&gt;=$F15),N($E15),N($D15))=0,0,MAX(0,J72/(1-V_Merma)-IF(AND(N($F15)&gt;0,7&gt;=$F15),N($E15),N($D15))))</f>
        <v>0</v>
      </c>
      <c r="K101" s="48" t="n">
        <f aca="false">IF(IF(AND(N($F15)&gt;0,8&gt;=$F15),N($E15),N($D15))=0,0,MAX(0,K72/(1-V_Merma)-IF(AND(N($F15)&gt;0,8&gt;=$F15),N($E15),N($D15))))</f>
        <v>0</v>
      </c>
      <c r="L101" s="48" t="n">
        <f aca="false">IF(IF(AND(N($F15)&gt;0,9&gt;=$F15),N($E15),N($D15))=0,0,MAX(0,L72/(1-V_Merma)-IF(AND(N($F15)&gt;0,9&gt;=$F15),N($E15),N($D15))))</f>
        <v>0</v>
      </c>
      <c r="M101" s="48" t="n">
        <f aca="false">IF(IF(AND(N($F15)&gt;0,10&gt;=$F15),N($E15),N($D15))=0,0,MAX(0,M72/(1-V_Merma)-IF(AND(N($F15)&gt;0,10&gt;=$F15),N($E15),N($D15))))</f>
        <v>0</v>
      </c>
      <c r="N101" s="27" t="n">
        <f aca="false">SUMPRODUCT(--(D101:M101&gt;0.5))</f>
        <v>0</v>
      </c>
    </row>
    <row r="102" customFormat="false" ht="15" hidden="false" customHeight="false" outlineLevel="0" collapsed="false">
      <c r="A102" s="15" t="n">
        <v>11</v>
      </c>
      <c r="B102" s="53" t="str">
        <f aca="false">IF(B16="","",B16)</f>
        <v/>
      </c>
      <c r="D102" s="48" t="n">
        <f aca="false">IF(IF(AND(N($F16)&gt;0,1&gt;=$F16),N($E16),N($D16))=0,0,MAX(0,D73/(1-V_Merma)-IF(AND(N($F16)&gt;0,1&gt;=$F16),N($E16),N($D16))))</f>
        <v>0</v>
      </c>
      <c r="E102" s="48" t="n">
        <f aca="false">IF(IF(AND(N($F16)&gt;0,2&gt;=$F16),N($E16),N($D16))=0,0,MAX(0,E73/(1-V_Merma)-IF(AND(N($F16)&gt;0,2&gt;=$F16),N($E16),N($D16))))</f>
        <v>0</v>
      </c>
      <c r="F102" s="48" t="n">
        <f aca="false">IF(IF(AND(N($F16)&gt;0,3&gt;=$F16),N($E16),N($D16))=0,0,MAX(0,F73/(1-V_Merma)-IF(AND(N($F16)&gt;0,3&gt;=$F16),N($E16),N($D16))))</f>
        <v>0</v>
      </c>
      <c r="G102" s="48" t="n">
        <f aca="false">IF(IF(AND(N($F16)&gt;0,4&gt;=$F16),N($E16),N($D16))=0,0,MAX(0,G73/(1-V_Merma)-IF(AND(N($F16)&gt;0,4&gt;=$F16),N($E16),N($D16))))</f>
        <v>0</v>
      </c>
      <c r="H102" s="48" t="n">
        <f aca="false">IF(IF(AND(N($F16)&gt;0,5&gt;=$F16),N($E16),N($D16))=0,0,MAX(0,H73/(1-V_Merma)-IF(AND(N($F16)&gt;0,5&gt;=$F16),N($E16),N($D16))))</f>
        <v>0</v>
      </c>
      <c r="I102" s="48" t="n">
        <f aca="false">IF(IF(AND(N($F16)&gt;0,6&gt;=$F16),N($E16),N($D16))=0,0,MAX(0,I73/(1-V_Merma)-IF(AND(N($F16)&gt;0,6&gt;=$F16),N($E16),N($D16))))</f>
        <v>0</v>
      </c>
      <c r="J102" s="48" t="n">
        <f aca="false">IF(IF(AND(N($F16)&gt;0,7&gt;=$F16),N($E16),N($D16))=0,0,MAX(0,J73/(1-V_Merma)-IF(AND(N($F16)&gt;0,7&gt;=$F16),N($E16),N($D16))))</f>
        <v>0</v>
      </c>
      <c r="K102" s="48" t="n">
        <f aca="false">IF(IF(AND(N($F16)&gt;0,8&gt;=$F16),N($E16),N($D16))=0,0,MAX(0,K73/(1-V_Merma)-IF(AND(N($F16)&gt;0,8&gt;=$F16),N($E16),N($D16))))</f>
        <v>0</v>
      </c>
      <c r="L102" s="48" t="n">
        <f aca="false">IF(IF(AND(N($F16)&gt;0,9&gt;=$F16),N($E16),N($D16))=0,0,MAX(0,L73/(1-V_Merma)-IF(AND(N($F16)&gt;0,9&gt;=$F16),N($E16),N($D16))))</f>
        <v>0</v>
      </c>
      <c r="M102" s="48" t="n">
        <f aca="false">IF(IF(AND(N($F16)&gt;0,10&gt;=$F16),N($E16),N($D16))=0,0,MAX(0,M73/(1-V_Merma)-IF(AND(N($F16)&gt;0,10&gt;=$F16),N($E16),N($D16))))</f>
        <v>0</v>
      </c>
      <c r="N102" s="27" t="n">
        <f aca="false">SUMPRODUCT(--(D102:M102&gt;0.5))</f>
        <v>0</v>
      </c>
    </row>
    <row r="103" customFormat="false" ht="15" hidden="false" customHeight="false" outlineLevel="0" collapsed="false">
      <c r="A103" s="15" t="n">
        <v>12</v>
      </c>
      <c r="B103" s="53" t="str">
        <f aca="false">IF(B17="","",B17)</f>
        <v/>
      </c>
      <c r="D103" s="48" t="n">
        <f aca="false">IF(IF(AND(N($F17)&gt;0,1&gt;=$F17),N($E17),N($D17))=0,0,MAX(0,D74/(1-V_Merma)-IF(AND(N($F17)&gt;0,1&gt;=$F17),N($E17),N($D17))))</f>
        <v>0</v>
      </c>
      <c r="E103" s="48" t="n">
        <f aca="false">IF(IF(AND(N($F17)&gt;0,2&gt;=$F17),N($E17),N($D17))=0,0,MAX(0,E74/(1-V_Merma)-IF(AND(N($F17)&gt;0,2&gt;=$F17),N($E17),N($D17))))</f>
        <v>0</v>
      </c>
      <c r="F103" s="48" t="n">
        <f aca="false">IF(IF(AND(N($F17)&gt;0,3&gt;=$F17),N($E17),N($D17))=0,0,MAX(0,F74/(1-V_Merma)-IF(AND(N($F17)&gt;0,3&gt;=$F17),N($E17),N($D17))))</f>
        <v>0</v>
      </c>
      <c r="G103" s="48" t="n">
        <f aca="false">IF(IF(AND(N($F17)&gt;0,4&gt;=$F17),N($E17),N($D17))=0,0,MAX(0,G74/(1-V_Merma)-IF(AND(N($F17)&gt;0,4&gt;=$F17),N($E17),N($D17))))</f>
        <v>0</v>
      </c>
      <c r="H103" s="48" t="n">
        <f aca="false">IF(IF(AND(N($F17)&gt;0,5&gt;=$F17),N($E17),N($D17))=0,0,MAX(0,H74/(1-V_Merma)-IF(AND(N($F17)&gt;0,5&gt;=$F17),N($E17),N($D17))))</f>
        <v>0</v>
      </c>
      <c r="I103" s="48" t="n">
        <f aca="false">IF(IF(AND(N($F17)&gt;0,6&gt;=$F17),N($E17),N($D17))=0,0,MAX(0,I74/(1-V_Merma)-IF(AND(N($F17)&gt;0,6&gt;=$F17),N($E17),N($D17))))</f>
        <v>0</v>
      </c>
      <c r="J103" s="48" t="n">
        <f aca="false">IF(IF(AND(N($F17)&gt;0,7&gt;=$F17),N($E17),N($D17))=0,0,MAX(0,J74/(1-V_Merma)-IF(AND(N($F17)&gt;0,7&gt;=$F17),N($E17),N($D17))))</f>
        <v>0</v>
      </c>
      <c r="K103" s="48" t="n">
        <f aca="false">IF(IF(AND(N($F17)&gt;0,8&gt;=$F17),N($E17),N($D17))=0,0,MAX(0,K74/(1-V_Merma)-IF(AND(N($F17)&gt;0,8&gt;=$F17),N($E17),N($D17))))</f>
        <v>0</v>
      </c>
      <c r="L103" s="48" t="n">
        <f aca="false">IF(IF(AND(N($F17)&gt;0,9&gt;=$F17),N($E17),N($D17))=0,0,MAX(0,L74/(1-V_Merma)-IF(AND(N($F17)&gt;0,9&gt;=$F17),N($E17),N($D17))))</f>
        <v>0</v>
      </c>
      <c r="M103" s="48" t="n">
        <f aca="false">IF(IF(AND(N($F17)&gt;0,10&gt;=$F17),N($E17),N($D17))=0,0,MAX(0,M74/(1-V_Merma)-IF(AND(N($F17)&gt;0,10&gt;=$F17),N($E17),N($D17))))</f>
        <v>0</v>
      </c>
      <c r="N103" s="27" t="n">
        <f aca="false">SUMPRODUCT(--(D103:M103&gt;0.5))</f>
        <v>0</v>
      </c>
    </row>
    <row r="104" customFormat="false" ht="15" hidden="false" customHeight="false" outlineLevel="0" collapsed="false">
      <c r="A104" s="15" t="n">
        <v>13</v>
      </c>
      <c r="B104" s="53" t="str">
        <f aca="false">IF(B18="","",B18)</f>
        <v/>
      </c>
      <c r="D104" s="48" t="n">
        <f aca="false">IF(IF(AND(N($F18)&gt;0,1&gt;=$F18),N($E18),N($D18))=0,0,MAX(0,D75/(1-V_Merma)-IF(AND(N($F18)&gt;0,1&gt;=$F18),N($E18),N($D18))))</f>
        <v>0</v>
      </c>
      <c r="E104" s="48" t="n">
        <f aca="false">IF(IF(AND(N($F18)&gt;0,2&gt;=$F18),N($E18),N($D18))=0,0,MAX(0,E75/(1-V_Merma)-IF(AND(N($F18)&gt;0,2&gt;=$F18),N($E18),N($D18))))</f>
        <v>0</v>
      </c>
      <c r="F104" s="48" t="n">
        <f aca="false">IF(IF(AND(N($F18)&gt;0,3&gt;=$F18),N($E18),N($D18))=0,0,MAX(0,F75/(1-V_Merma)-IF(AND(N($F18)&gt;0,3&gt;=$F18),N($E18),N($D18))))</f>
        <v>0</v>
      </c>
      <c r="G104" s="48" t="n">
        <f aca="false">IF(IF(AND(N($F18)&gt;0,4&gt;=$F18),N($E18),N($D18))=0,0,MAX(0,G75/(1-V_Merma)-IF(AND(N($F18)&gt;0,4&gt;=$F18),N($E18),N($D18))))</f>
        <v>0</v>
      </c>
      <c r="H104" s="48" t="n">
        <f aca="false">IF(IF(AND(N($F18)&gt;0,5&gt;=$F18),N($E18),N($D18))=0,0,MAX(0,H75/(1-V_Merma)-IF(AND(N($F18)&gt;0,5&gt;=$F18),N($E18),N($D18))))</f>
        <v>0</v>
      </c>
      <c r="I104" s="48" t="n">
        <f aca="false">IF(IF(AND(N($F18)&gt;0,6&gt;=$F18),N($E18),N($D18))=0,0,MAX(0,I75/(1-V_Merma)-IF(AND(N($F18)&gt;0,6&gt;=$F18),N($E18),N($D18))))</f>
        <v>0</v>
      </c>
      <c r="J104" s="48" t="n">
        <f aca="false">IF(IF(AND(N($F18)&gt;0,7&gt;=$F18),N($E18),N($D18))=0,0,MAX(0,J75/(1-V_Merma)-IF(AND(N($F18)&gt;0,7&gt;=$F18),N($E18),N($D18))))</f>
        <v>0</v>
      </c>
      <c r="K104" s="48" t="n">
        <f aca="false">IF(IF(AND(N($F18)&gt;0,8&gt;=$F18),N($E18),N($D18))=0,0,MAX(0,K75/(1-V_Merma)-IF(AND(N($F18)&gt;0,8&gt;=$F18),N($E18),N($D18))))</f>
        <v>0</v>
      </c>
      <c r="L104" s="48" t="n">
        <f aca="false">IF(IF(AND(N($F18)&gt;0,9&gt;=$F18),N($E18),N($D18))=0,0,MAX(0,L75/(1-V_Merma)-IF(AND(N($F18)&gt;0,9&gt;=$F18),N($E18),N($D18))))</f>
        <v>0</v>
      </c>
      <c r="M104" s="48" t="n">
        <f aca="false">IF(IF(AND(N($F18)&gt;0,10&gt;=$F18),N($E18),N($D18))=0,0,MAX(0,M75/(1-V_Merma)-IF(AND(N($F18)&gt;0,10&gt;=$F18),N($E18),N($D18))))</f>
        <v>0</v>
      </c>
      <c r="N104" s="27" t="n">
        <f aca="false">SUMPRODUCT(--(D104:M104&gt;0.5))</f>
        <v>0</v>
      </c>
    </row>
    <row r="105" customFormat="false" ht="15" hidden="false" customHeight="false" outlineLevel="0" collapsed="false">
      <c r="A105" s="15" t="n">
        <v>14</v>
      </c>
      <c r="B105" s="53" t="str">
        <f aca="false">IF(B19="","",B19)</f>
        <v/>
      </c>
      <c r="D105" s="48" t="n">
        <f aca="false">IF(IF(AND(N($F19)&gt;0,1&gt;=$F19),N($E19),N($D19))=0,0,MAX(0,D76/(1-V_Merma)-IF(AND(N($F19)&gt;0,1&gt;=$F19),N($E19),N($D19))))</f>
        <v>0</v>
      </c>
      <c r="E105" s="48" t="n">
        <f aca="false">IF(IF(AND(N($F19)&gt;0,2&gt;=$F19),N($E19),N($D19))=0,0,MAX(0,E76/(1-V_Merma)-IF(AND(N($F19)&gt;0,2&gt;=$F19),N($E19),N($D19))))</f>
        <v>0</v>
      </c>
      <c r="F105" s="48" t="n">
        <f aca="false">IF(IF(AND(N($F19)&gt;0,3&gt;=$F19),N($E19),N($D19))=0,0,MAX(0,F76/(1-V_Merma)-IF(AND(N($F19)&gt;0,3&gt;=$F19),N($E19),N($D19))))</f>
        <v>0</v>
      </c>
      <c r="G105" s="48" t="n">
        <f aca="false">IF(IF(AND(N($F19)&gt;0,4&gt;=$F19),N($E19),N($D19))=0,0,MAX(0,G76/(1-V_Merma)-IF(AND(N($F19)&gt;0,4&gt;=$F19),N($E19),N($D19))))</f>
        <v>0</v>
      </c>
      <c r="H105" s="48" t="n">
        <f aca="false">IF(IF(AND(N($F19)&gt;0,5&gt;=$F19),N($E19),N($D19))=0,0,MAX(0,H76/(1-V_Merma)-IF(AND(N($F19)&gt;0,5&gt;=$F19),N($E19),N($D19))))</f>
        <v>0</v>
      </c>
      <c r="I105" s="48" t="n">
        <f aca="false">IF(IF(AND(N($F19)&gt;0,6&gt;=$F19),N($E19),N($D19))=0,0,MAX(0,I76/(1-V_Merma)-IF(AND(N($F19)&gt;0,6&gt;=$F19),N($E19),N($D19))))</f>
        <v>0</v>
      </c>
      <c r="J105" s="48" t="n">
        <f aca="false">IF(IF(AND(N($F19)&gt;0,7&gt;=$F19),N($E19),N($D19))=0,0,MAX(0,J76/(1-V_Merma)-IF(AND(N($F19)&gt;0,7&gt;=$F19),N($E19),N($D19))))</f>
        <v>0</v>
      </c>
      <c r="K105" s="48" t="n">
        <f aca="false">IF(IF(AND(N($F19)&gt;0,8&gt;=$F19),N($E19),N($D19))=0,0,MAX(0,K76/(1-V_Merma)-IF(AND(N($F19)&gt;0,8&gt;=$F19),N($E19),N($D19))))</f>
        <v>0</v>
      </c>
      <c r="L105" s="48" t="n">
        <f aca="false">IF(IF(AND(N($F19)&gt;0,9&gt;=$F19),N($E19),N($D19))=0,0,MAX(0,L76/(1-V_Merma)-IF(AND(N($F19)&gt;0,9&gt;=$F19),N($E19),N($D19))))</f>
        <v>0</v>
      </c>
      <c r="M105" s="48" t="n">
        <f aca="false">IF(IF(AND(N($F19)&gt;0,10&gt;=$F19),N($E19),N($D19))=0,0,MAX(0,M76/(1-V_Merma)-IF(AND(N($F19)&gt;0,10&gt;=$F19),N($E19),N($D19))))</f>
        <v>0</v>
      </c>
      <c r="N105" s="27" t="n">
        <f aca="false">SUMPRODUCT(--(D105:M105&gt;0.5))</f>
        <v>0</v>
      </c>
    </row>
    <row r="106" customFormat="false" ht="15" hidden="false" customHeight="false" outlineLevel="0" collapsed="false">
      <c r="A106" s="15" t="n">
        <v>15</v>
      </c>
      <c r="B106" s="53" t="str">
        <f aca="false">IF(B20="","",B20)</f>
        <v/>
      </c>
      <c r="D106" s="48" t="n">
        <f aca="false">IF(IF(AND(N($F20)&gt;0,1&gt;=$F20),N($E20),N($D20))=0,0,MAX(0,D77/(1-V_Merma)-IF(AND(N($F20)&gt;0,1&gt;=$F20),N($E20),N($D20))))</f>
        <v>0</v>
      </c>
      <c r="E106" s="48" t="n">
        <f aca="false">IF(IF(AND(N($F20)&gt;0,2&gt;=$F20),N($E20),N($D20))=0,0,MAX(0,E77/(1-V_Merma)-IF(AND(N($F20)&gt;0,2&gt;=$F20),N($E20),N($D20))))</f>
        <v>0</v>
      </c>
      <c r="F106" s="48" t="n">
        <f aca="false">IF(IF(AND(N($F20)&gt;0,3&gt;=$F20),N($E20),N($D20))=0,0,MAX(0,F77/(1-V_Merma)-IF(AND(N($F20)&gt;0,3&gt;=$F20),N($E20),N($D20))))</f>
        <v>0</v>
      </c>
      <c r="G106" s="48" t="n">
        <f aca="false">IF(IF(AND(N($F20)&gt;0,4&gt;=$F20),N($E20),N($D20))=0,0,MAX(0,G77/(1-V_Merma)-IF(AND(N($F20)&gt;0,4&gt;=$F20),N($E20),N($D20))))</f>
        <v>0</v>
      </c>
      <c r="H106" s="48" t="n">
        <f aca="false">IF(IF(AND(N($F20)&gt;0,5&gt;=$F20),N($E20),N($D20))=0,0,MAX(0,H77/(1-V_Merma)-IF(AND(N($F20)&gt;0,5&gt;=$F20),N($E20),N($D20))))</f>
        <v>0</v>
      </c>
      <c r="I106" s="48" t="n">
        <f aca="false">IF(IF(AND(N($F20)&gt;0,6&gt;=$F20),N($E20),N($D20))=0,0,MAX(0,I77/(1-V_Merma)-IF(AND(N($F20)&gt;0,6&gt;=$F20),N($E20),N($D20))))</f>
        <v>0</v>
      </c>
      <c r="J106" s="48" t="n">
        <f aca="false">IF(IF(AND(N($F20)&gt;0,7&gt;=$F20),N($E20),N($D20))=0,0,MAX(0,J77/(1-V_Merma)-IF(AND(N($F20)&gt;0,7&gt;=$F20),N($E20),N($D20))))</f>
        <v>0</v>
      </c>
      <c r="K106" s="48" t="n">
        <f aca="false">IF(IF(AND(N($F20)&gt;0,8&gt;=$F20),N($E20),N($D20))=0,0,MAX(0,K77/(1-V_Merma)-IF(AND(N($F20)&gt;0,8&gt;=$F20),N($E20),N($D20))))</f>
        <v>0</v>
      </c>
      <c r="L106" s="48" t="n">
        <f aca="false">IF(IF(AND(N($F20)&gt;0,9&gt;=$F20),N($E20),N($D20))=0,0,MAX(0,L77/(1-V_Merma)-IF(AND(N($F20)&gt;0,9&gt;=$F20),N($E20),N($D20))))</f>
        <v>0</v>
      </c>
      <c r="M106" s="48" t="n">
        <f aca="false">IF(IF(AND(N($F20)&gt;0,10&gt;=$F20),N($E20),N($D20))=0,0,MAX(0,M77/(1-V_Merma)-IF(AND(N($F20)&gt;0,10&gt;=$F20),N($E20),N($D20))))</f>
        <v>0</v>
      </c>
      <c r="N106" s="27" t="n">
        <f aca="false">SUMPRODUCT(--(D106:M106&gt;0.5))</f>
        <v>0</v>
      </c>
    </row>
    <row r="107" customFormat="false" ht="15" hidden="false" customHeight="false" outlineLevel="0" collapsed="false">
      <c r="A107" s="15" t="n">
        <v>16</v>
      </c>
      <c r="B107" s="53" t="str">
        <f aca="false">IF(B21="","",B21)</f>
        <v/>
      </c>
      <c r="D107" s="48" t="n">
        <f aca="false">IF(IF(AND(N($F21)&gt;0,1&gt;=$F21),N($E21),N($D21))=0,0,MAX(0,D78/(1-V_Merma)-IF(AND(N($F21)&gt;0,1&gt;=$F21),N($E21),N($D21))))</f>
        <v>0</v>
      </c>
      <c r="E107" s="48" t="n">
        <f aca="false">IF(IF(AND(N($F21)&gt;0,2&gt;=$F21),N($E21),N($D21))=0,0,MAX(0,E78/(1-V_Merma)-IF(AND(N($F21)&gt;0,2&gt;=$F21),N($E21),N($D21))))</f>
        <v>0</v>
      </c>
      <c r="F107" s="48" t="n">
        <f aca="false">IF(IF(AND(N($F21)&gt;0,3&gt;=$F21),N($E21),N($D21))=0,0,MAX(0,F78/(1-V_Merma)-IF(AND(N($F21)&gt;0,3&gt;=$F21),N($E21),N($D21))))</f>
        <v>0</v>
      </c>
      <c r="G107" s="48" t="n">
        <f aca="false">IF(IF(AND(N($F21)&gt;0,4&gt;=$F21),N($E21),N($D21))=0,0,MAX(0,G78/(1-V_Merma)-IF(AND(N($F21)&gt;0,4&gt;=$F21),N($E21),N($D21))))</f>
        <v>0</v>
      </c>
      <c r="H107" s="48" t="n">
        <f aca="false">IF(IF(AND(N($F21)&gt;0,5&gt;=$F21),N($E21),N($D21))=0,0,MAX(0,H78/(1-V_Merma)-IF(AND(N($F21)&gt;0,5&gt;=$F21),N($E21),N($D21))))</f>
        <v>0</v>
      </c>
      <c r="I107" s="48" t="n">
        <f aca="false">IF(IF(AND(N($F21)&gt;0,6&gt;=$F21),N($E21),N($D21))=0,0,MAX(0,I78/(1-V_Merma)-IF(AND(N($F21)&gt;0,6&gt;=$F21),N($E21),N($D21))))</f>
        <v>0</v>
      </c>
      <c r="J107" s="48" t="n">
        <f aca="false">IF(IF(AND(N($F21)&gt;0,7&gt;=$F21),N($E21),N($D21))=0,0,MAX(0,J78/(1-V_Merma)-IF(AND(N($F21)&gt;0,7&gt;=$F21),N($E21),N($D21))))</f>
        <v>0</v>
      </c>
      <c r="K107" s="48" t="n">
        <f aca="false">IF(IF(AND(N($F21)&gt;0,8&gt;=$F21),N($E21),N($D21))=0,0,MAX(0,K78/(1-V_Merma)-IF(AND(N($F21)&gt;0,8&gt;=$F21),N($E21),N($D21))))</f>
        <v>0</v>
      </c>
      <c r="L107" s="48" t="n">
        <f aca="false">IF(IF(AND(N($F21)&gt;0,9&gt;=$F21),N($E21),N($D21))=0,0,MAX(0,L78/(1-V_Merma)-IF(AND(N($F21)&gt;0,9&gt;=$F21),N($E21),N($D21))))</f>
        <v>0</v>
      </c>
      <c r="M107" s="48" t="n">
        <f aca="false">IF(IF(AND(N($F21)&gt;0,10&gt;=$F21),N($E21),N($D21))=0,0,MAX(0,M78/(1-V_Merma)-IF(AND(N($F21)&gt;0,10&gt;=$F21),N($E21),N($D21))))</f>
        <v>0</v>
      </c>
      <c r="N107" s="27" t="n">
        <f aca="false">SUMPRODUCT(--(D107:M107&gt;0.5))</f>
        <v>0</v>
      </c>
    </row>
    <row r="108" customFormat="false" ht="15" hidden="false" customHeight="false" outlineLevel="0" collapsed="false">
      <c r="A108" s="15" t="n">
        <v>17</v>
      </c>
      <c r="B108" s="53" t="str">
        <f aca="false">IF(B22="","",B22)</f>
        <v/>
      </c>
      <c r="D108" s="48" t="n">
        <f aca="false">IF(IF(AND(N($F22)&gt;0,1&gt;=$F22),N($E22),N($D22))=0,0,MAX(0,D79/(1-V_Merma)-IF(AND(N($F22)&gt;0,1&gt;=$F22),N($E22),N($D22))))</f>
        <v>0</v>
      </c>
      <c r="E108" s="48" t="n">
        <f aca="false">IF(IF(AND(N($F22)&gt;0,2&gt;=$F22),N($E22),N($D22))=0,0,MAX(0,E79/(1-V_Merma)-IF(AND(N($F22)&gt;0,2&gt;=$F22),N($E22),N($D22))))</f>
        <v>0</v>
      </c>
      <c r="F108" s="48" t="n">
        <f aca="false">IF(IF(AND(N($F22)&gt;0,3&gt;=$F22),N($E22),N($D22))=0,0,MAX(0,F79/(1-V_Merma)-IF(AND(N($F22)&gt;0,3&gt;=$F22),N($E22),N($D22))))</f>
        <v>0</v>
      </c>
      <c r="G108" s="48" t="n">
        <f aca="false">IF(IF(AND(N($F22)&gt;0,4&gt;=$F22),N($E22),N($D22))=0,0,MAX(0,G79/(1-V_Merma)-IF(AND(N($F22)&gt;0,4&gt;=$F22),N($E22),N($D22))))</f>
        <v>0</v>
      </c>
      <c r="H108" s="48" t="n">
        <f aca="false">IF(IF(AND(N($F22)&gt;0,5&gt;=$F22),N($E22),N($D22))=0,0,MAX(0,H79/(1-V_Merma)-IF(AND(N($F22)&gt;0,5&gt;=$F22),N($E22),N($D22))))</f>
        <v>0</v>
      </c>
      <c r="I108" s="48" t="n">
        <f aca="false">IF(IF(AND(N($F22)&gt;0,6&gt;=$F22),N($E22),N($D22))=0,0,MAX(0,I79/(1-V_Merma)-IF(AND(N($F22)&gt;0,6&gt;=$F22),N($E22),N($D22))))</f>
        <v>0</v>
      </c>
      <c r="J108" s="48" t="n">
        <f aca="false">IF(IF(AND(N($F22)&gt;0,7&gt;=$F22),N($E22),N($D22))=0,0,MAX(0,J79/(1-V_Merma)-IF(AND(N($F22)&gt;0,7&gt;=$F22),N($E22),N($D22))))</f>
        <v>0</v>
      </c>
      <c r="K108" s="48" t="n">
        <f aca="false">IF(IF(AND(N($F22)&gt;0,8&gt;=$F22),N($E22),N($D22))=0,0,MAX(0,K79/(1-V_Merma)-IF(AND(N($F22)&gt;0,8&gt;=$F22),N($E22),N($D22))))</f>
        <v>0</v>
      </c>
      <c r="L108" s="48" t="n">
        <f aca="false">IF(IF(AND(N($F22)&gt;0,9&gt;=$F22),N($E22),N($D22))=0,0,MAX(0,L79/(1-V_Merma)-IF(AND(N($F22)&gt;0,9&gt;=$F22),N($E22),N($D22))))</f>
        <v>0</v>
      </c>
      <c r="M108" s="48" t="n">
        <f aca="false">IF(IF(AND(N($F22)&gt;0,10&gt;=$F22),N($E22),N($D22))=0,0,MAX(0,M79/(1-V_Merma)-IF(AND(N($F22)&gt;0,10&gt;=$F22),N($E22),N($D22))))</f>
        <v>0</v>
      </c>
      <c r="N108" s="27" t="n">
        <f aca="false">SUMPRODUCT(--(D108:M108&gt;0.5))</f>
        <v>0</v>
      </c>
    </row>
    <row r="109" customFormat="false" ht="15" hidden="false" customHeight="false" outlineLevel="0" collapsed="false">
      <c r="A109" s="15" t="n">
        <v>18</v>
      </c>
      <c r="B109" s="53" t="str">
        <f aca="false">IF(B23="","",B23)</f>
        <v/>
      </c>
      <c r="D109" s="48" t="n">
        <f aca="false">IF(IF(AND(N($F23)&gt;0,1&gt;=$F23),N($E23),N($D23))=0,0,MAX(0,D80/(1-V_Merma)-IF(AND(N($F23)&gt;0,1&gt;=$F23),N($E23),N($D23))))</f>
        <v>0</v>
      </c>
      <c r="E109" s="48" t="n">
        <f aca="false">IF(IF(AND(N($F23)&gt;0,2&gt;=$F23),N($E23),N($D23))=0,0,MAX(0,E80/(1-V_Merma)-IF(AND(N($F23)&gt;0,2&gt;=$F23),N($E23),N($D23))))</f>
        <v>0</v>
      </c>
      <c r="F109" s="48" t="n">
        <f aca="false">IF(IF(AND(N($F23)&gt;0,3&gt;=$F23),N($E23),N($D23))=0,0,MAX(0,F80/(1-V_Merma)-IF(AND(N($F23)&gt;0,3&gt;=$F23),N($E23),N($D23))))</f>
        <v>0</v>
      </c>
      <c r="G109" s="48" t="n">
        <f aca="false">IF(IF(AND(N($F23)&gt;0,4&gt;=$F23),N($E23),N($D23))=0,0,MAX(0,G80/(1-V_Merma)-IF(AND(N($F23)&gt;0,4&gt;=$F23),N($E23),N($D23))))</f>
        <v>0</v>
      </c>
      <c r="H109" s="48" t="n">
        <f aca="false">IF(IF(AND(N($F23)&gt;0,5&gt;=$F23),N($E23),N($D23))=0,0,MAX(0,H80/(1-V_Merma)-IF(AND(N($F23)&gt;0,5&gt;=$F23),N($E23),N($D23))))</f>
        <v>0</v>
      </c>
      <c r="I109" s="48" t="n">
        <f aca="false">IF(IF(AND(N($F23)&gt;0,6&gt;=$F23),N($E23),N($D23))=0,0,MAX(0,I80/(1-V_Merma)-IF(AND(N($F23)&gt;0,6&gt;=$F23),N($E23),N($D23))))</f>
        <v>0</v>
      </c>
      <c r="J109" s="48" t="n">
        <f aca="false">IF(IF(AND(N($F23)&gt;0,7&gt;=$F23),N($E23),N($D23))=0,0,MAX(0,J80/(1-V_Merma)-IF(AND(N($F23)&gt;0,7&gt;=$F23),N($E23),N($D23))))</f>
        <v>0</v>
      </c>
      <c r="K109" s="48" t="n">
        <f aca="false">IF(IF(AND(N($F23)&gt;0,8&gt;=$F23),N($E23),N($D23))=0,0,MAX(0,K80/(1-V_Merma)-IF(AND(N($F23)&gt;0,8&gt;=$F23),N($E23),N($D23))))</f>
        <v>0</v>
      </c>
      <c r="L109" s="48" t="n">
        <f aca="false">IF(IF(AND(N($F23)&gt;0,9&gt;=$F23),N($E23),N($D23))=0,0,MAX(0,L80/(1-V_Merma)-IF(AND(N($F23)&gt;0,9&gt;=$F23),N($E23),N($D23))))</f>
        <v>0</v>
      </c>
      <c r="M109" s="48" t="n">
        <f aca="false">IF(IF(AND(N($F23)&gt;0,10&gt;=$F23),N($E23),N($D23))=0,0,MAX(0,M80/(1-V_Merma)-IF(AND(N($F23)&gt;0,10&gt;=$F23),N($E23),N($D23))))</f>
        <v>0</v>
      </c>
      <c r="N109" s="27" t="n">
        <f aca="false">SUMPRODUCT(--(D109:M109&gt;0.5))</f>
        <v>0</v>
      </c>
    </row>
    <row r="110" customFormat="false" ht="15" hidden="false" customHeight="false" outlineLevel="0" collapsed="false">
      <c r="A110" s="15" t="n">
        <v>19</v>
      </c>
      <c r="B110" s="53" t="str">
        <f aca="false">IF(B24="","",B24)</f>
        <v/>
      </c>
      <c r="D110" s="48" t="n">
        <f aca="false">IF(IF(AND(N($F24)&gt;0,1&gt;=$F24),N($E24),N($D24))=0,0,MAX(0,D81/(1-V_Merma)-IF(AND(N($F24)&gt;0,1&gt;=$F24),N($E24),N($D24))))</f>
        <v>0</v>
      </c>
      <c r="E110" s="48" t="n">
        <f aca="false">IF(IF(AND(N($F24)&gt;0,2&gt;=$F24),N($E24),N($D24))=0,0,MAX(0,E81/(1-V_Merma)-IF(AND(N($F24)&gt;0,2&gt;=$F24),N($E24),N($D24))))</f>
        <v>0</v>
      </c>
      <c r="F110" s="48" t="n">
        <f aca="false">IF(IF(AND(N($F24)&gt;0,3&gt;=$F24),N($E24),N($D24))=0,0,MAX(0,F81/(1-V_Merma)-IF(AND(N($F24)&gt;0,3&gt;=$F24),N($E24),N($D24))))</f>
        <v>0</v>
      </c>
      <c r="G110" s="48" t="n">
        <f aca="false">IF(IF(AND(N($F24)&gt;0,4&gt;=$F24),N($E24),N($D24))=0,0,MAX(0,G81/(1-V_Merma)-IF(AND(N($F24)&gt;0,4&gt;=$F24),N($E24),N($D24))))</f>
        <v>0</v>
      </c>
      <c r="H110" s="48" t="n">
        <f aca="false">IF(IF(AND(N($F24)&gt;0,5&gt;=$F24),N($E24),N($D24))=0,0,MAX(0,H81/(1-V_Merma)-IF(AND(N($F24)&gt;0,5&gt;=$F24),N($E24),N($D24))))</f>
        <v>0</v>
      </c>
      <c r="I110" s="48" t="n">
        <f aca="false">IF(IF(AND(N($F24)&gt;0,6&gt;=$F24),N($E24),N($D24))=0,0,MAX(0,I81/(1-V_Merma)-IF(AND(N($F24)&gt;0,6&gt;=$F24),N($E24),N($D24))))</f>
        <v>0</v>
      </c>
      <c r="J110" s="48" t="n">
        <f aca="false">IF(IF(AND(N($F24)&gt;0,7&gt;=$F24),N($E24),N($D24))=0,0,MAX(0,J81/(1-V_Merma)-IF(AND(N($F24)&gt;0,7&gt;=$F24),N($E24),N($D24))))</f>
        <v>0</v>
      </c>
      <c r="K110" s="48" t="n">
        <f aca="false">IF(IF(AND(N($F24)&gt;0,8&gt;=$F24),N($E24),N($D24))=0,0,MAX(0,K81/(1-V_Merma)-IF(AND(N($F24)&gt;0,8&gt;=$F24),N($E24),N($D24))))</f>
        <v>0</v>
      </c>
      <c r="L110" s="48" t="n">
        <f aca="false">IF(IF(AND(N($F24)&gt;0,9&gt;=$F24),N($E24),N($D24))=0,0,MAX(0,L81/(1-V_Merma)-IF(AND(N($F24)&gt;0,9&gt;=$F24),N($E24),N($D24))))</f>
        <v>0</v>
      </c>
      <c r="M110" s="48" t="n">
        <f aca="false">IF(IF(AND(N($F24)&gt;0,10&gt;=$F24),N($E24),N($D24))=0,0,MAX(0,M81/(1-V_Merma)-IF(AND(N($F24)&gt;0,10&gt;=$F24),N($E24),N($D24))))</f>
        <v>0</v>
      </c>
      <c r="N110" s="27" t="n">
        <f aca="false">SUMPRODUCT(--(D110:M110&gt;0.5))</f>
        <v>0</v>
      </c>
    </row>
    <row r="111" customFormat="false" ht="15" hidden="false" customHeight="false" outlineLevel="0" collapsed="false">
      <c r="A111" s="15" t="n">
        <v>20</v>
      </c>
      <c r="B111" s="53" t="str">
        <f aca="false">IF(B25="","",B25)</f>
        <v/>
      </c>
      <c r="D111" s="48" t="n">
        <f aca="false">IF(IF(AND(N($F25)&gt;0,1&gt;=$F25),N($E25),N($D25))=0,0,MAX(0,D82/(1-V_Merma)-IF(AND(N($F25)&gt;0,1&gt;=$F25),N($E25),N($D25))))</f>
        <v>0</v>
      </c>
      <c r="E111" s="48" t="n">
        <f aca="false">IF(IF(AND(N($F25)&gt;0,2&gt;=$F25),N($E25),N($D25))=0,0,MAX(0,E82/(1-V_Merma)-IF(AND(N($F25)&gt;0,2&gt;=$F25),N($E25),N($D25))))</f>
        <v>0</v>
      </c>
      <c r="F111" s="48" t="n">
        <f aca="false">IF(IF(AND(N($F25)&gt;0,3&gt;=$F25),N($E25),N($D25))=0,0,MAX(0,F82/(1-V_Merma)-IF(AND(N($F25)&gt;0,3&gt;=$F25),N($E25),N($D25))))</f>
        <v>0</v>
      </c>
      <c r="G111" s="48" t="n">
        <f aca="false">IF(IF(AND(N($F25)&gt;0,4&gt;=$F25),N($E25),N($D25))=0,0,MAX(0,G82/(1-V_Merma)-IF(AND(N($F25)&gt;0,4&gt;=$F25),N($E25),N($D25))))</f>
        <v>0</v>
      </c>
      <c r="H111" s="48" t="n">
        <f aca="false">IF(IF(AND(N($F25)&gt;0,5&gt;=$F25),N($E25),N($D25))=0,0,MAX(0,H82/(1-V_Merma)-IF(AND(N($F25)&gt;0,5&gt;=$F25),N($E25),N($D25))))</f>
        <v>0</v>
      </c>
      <c r="I111" s="48" t="n">
        <f aca="false">IF(IF(AND(N($F25)&gt;0,6&gt;=$F25),N($E25),N($D25))=0,0,MAX(0,I82/(1-V_Merma)-IF(AND(N($F25)&gt;0,6&gt;=$F25),N($E25),N($D25))))</f>
        <v>0</v>
      </c>
      <c r="J111" s="48" t="n">
        <f aca="false">IF(IF(AND(N($F25)&gt;0,7&gt;=$F25),N($E25),N($D25))=0,0,MAX(0,J82/(1-V_Merma)-IF(AND(N($F25)&gt;0,7&gt;=$F25),N($E25),N($D25))))</f>
        <v>0</v>
      </c>
      <c r="K111" s="48" t="n">
        <f aca="false">IF(IF(AND(N($F25)&gt;0,8&gt;=$F25),N($E25),N($D25))=0,0,MAX(0,K82/(1-V_Merma)-IF(AND(N($F25)&gt;0,8&gt;=$F25),N($E25),N($D25))))</f>
        <v>0</v>
      </c>
      <c r="L111" s="48" t="n">
        <f aca="false">IF(IF(AND(N($F25)&gt;0,9&gt;=$F25),N($E25),N($D25))=0,0,MAX(0,L82/(1-V_Merma)-IF(AND(N($F25)&gt;0,9&gt;=$F25),N($E25),N($D25))))</f>
        <v>0</v>
      </c>
      <c r="M111" s="48" t="n">
        <f aca="false">IF(IF(AND(N($F25)&gt;0,10&gt;=$F25),N($E25),N($D25))=0,0,MAX(0,M82/(1-V_Merma)-IF(AND(N($F25)&gt;0,10&gt;=$F25),N($E25),N($D25))))</f>
        <v>0</v>
      </c>
      <c r="N111" s="27" t="n">
        <f aca="false">SUMPRODUCT(--(D111:M111&gt;0.5))</f>
        <v>0</v>
      </c>
    </row>
    <row r="112" customFormat="false" ht="15" hidden="false" customHeight="false" outlineLevel="0" collapsed="false">
      <c r="A112" s="15" t="n">
        <v>21</v>
      </c>
      <c r="B112" s="53" t="str">
        <f aca="false">IF(B26="","",B26)</f>
        <v/>
      </c>
      <c r="D112" s="48" t="n">
        <f aca="false">IF(IF(AND(N($F26)&gt;0,1&gt;=$F26),N($E26),N($D26))=0,0,MAX(0,D83/(1-V_Merma)-IF(AND(N($F26)&gt;0,1&gt;=$F26),N($E26),N($D26))))</f>
        <v>0</v>
      </c>
      <c r="E112" s="48" t="n">
        <f aca="false">IF(IF(AND(N($F26)&gt;0,2&gt;=$F26),N($E26),N($D26))=0,0,MAX(0,E83/(1-V_Merma)-IF(AND(N($F26)&gt;0,2&gt;=$F26),N($E26),N($D26))))</f>
        <v>0</v>
      </c>
      <c r="F112" s="48" t="n">
        <f aca="false">IF(IF(AND(N($F26)&gt;0,3&gt;=$F26),N($E26),N($D26))=0,0,MAX(0,F83/(1-V_Merma)-IF(AND(N($F26)&gt;0,3&gt;=$F26),N($E26),N($D26))))</f>
        <v>0</v>
      </c>
      <c r="G112" s="48" t="n">
        <f aca="false">IF(IF(AND(N($F26)&gt;0,4&gt;=$F26),N($E26),N($D26))=0,0,MAX(0,G83/(1-V_Merma)-IF(AND(N($F26)&gt;0,4&gt;=$F26),N($E26),N($D26))))</f>
        <v>0</v>
      </c>
      <c r="H112" s="48" t="n">
        <f aca="false">IF(IF(AND(N($F26)&gt;0,5&gt;=$F26),N($E26),N($D26))=0,0,MAX(0,H83/(1-V_Merma)-IF(AND(N($F26)&gt;0,5&gt;=$F26),N($E26),N($D26))))</f>
        <v>0</v>
      </c>
      <c r="I112" s="48" t="n">
        <f aca="false">IF(IF(AND(N($F26)&gt;0,6&gt;=$F26),N($E26),N($D26))=0,0,MAX(0,I83/(1-V_Merma)-IF(AND(N($F26)&gt;0,6&gt;=$F26),N($E26),N($D26))))</f>
        <v>0</v>
      </c>
      <c r="J112" s="48" t="n">
        <f aca="false">IF(IF(AND(N($F26)&gt;0,7&gt;=$F26),N($E26),N($D26))=0,0,MAX(0,J83/(1-V_Merma)-IF(AND(N($F26)&gt;0,7&gt;=$F26),N($E26),N($D26))))</f>
        <v>0</v>
      </c>
      <c r="K112" s="48" t="n">
        <f aca="false">IF(IF(AND(N($F26)&gt;0,8&gt;=$F26),N($E26),N($D26))=0,0,MAX(0,K83/(1-V_Merma)-IF(AND(N($F26)&gt;0,8&gt;=$F26),N($E26),N($D26))))</f>
        <v>0</v>
      </c>
      <c r="L112" s="48" t="n">
        <f aca="false">IF(IF(AND(N($F26)&gt;0,9&gt;=$F26),N($E26),N($D26))=0,0,MAX(0,L83/(1-V_Merma)-IF(AND(N($F26)&gt;0,9&gt;=$F26),N($E26),N($D26))))</f>
        <v>0</v>
      </c>
      <c r="M112" s="48" t="n">
        <f aca="false">IF(IF(AND(N($F26)&gt;0,10&gt;=$F26),N($E26),N($D26))=0,0,MAX(0,M83/(1-V_Merma)-IF(AND(N($F26)&gt;0,10&gt;=$F26),N($E26),N($D26))))</f>
        <v>0</v>
      </c>
      <c r="N112" s="27" t="n">
        <f aca="false">SUMPRODUCT(--(D112:M112&gt;0.5))</f>
        <v>0</v>
      </c>
    </row>
    <row r="113" customFormat="false" ht="15" hidden="false" customHeight="false" outlineLevel="0" collapsed="false">
      <c r="A113" s="15" t="n">
        <v>22</v>
      </c>
      <c r="B113" s="53" t="str">
        <f aca="false">IF(B27="","",B27)</f>
        <v/>
      </c>
      <c r="D113" s="48" t="n">
        <f aca="false">IF(IF(AND(N($F27)&gt;0,1&gt;=$F27),N($E27),N($D27))=0,0,MAX(0,D84/(1-V_Merma)-IF(AND(N($F27)&gt;0,1&gt;=$F27),N($E27),N($D27))))</f>
        <v>0</v>
      </c>
      <c r="E113" s="48" t="n">
        <f aca="false">IF(IF(AND(N($F27)&gt;0,2&gt;=$F27),N($E27),N($D27))=0,0,MAX(0,E84/(1-V_Merma)-IF(AND(N($F27)&gt;0,2&gt;=$F27),N($E27),N($D27))))</f>
        <v>0</v>
      </c>
      <c r="F113" s="48" t="n">
        <f aca="false">IF(IF(AND(N($F27)&gt;0,3&gt;=$F27),N($E27),N($D27))=0,0,MAX(0,F84/(1-V_Merma)-IF(AND(N($F27)&gt;0,3&gt;=$F27),N($E27),N($D27))))</f>
        <v>0</v>
      </c>
      <c r="G113" s="48" t="n">
        <f aca="false">IF(IF(AND(N($F27)&gt;0,4&gt;=$F27),N($E27),N($D27))=0,0,MAX(0,G84/(1-V_Merma)-IF(AND(N($F27)&gt;0,4&gt;=$F27),N($E27),N($D27))))</f>
        <v>0</v>
      </c>
      <c r="H113" s="48" t="n">
        <f aca="false">IF(IF(AND(N($F27)&gt;0,5&gt;=$F27),N($E27),N($D27))=0,0,MAX(0,H84/(1-V_Merma)-IF(AND(N($F27)&gt;0,5&gt;=$F27),N($E27),N($D27))))</f>
        <v>0</v>
      </c>
      <c r="I113" s="48" t="n">
        <f aca="false">IF(IF(AND(N($F27)&gt;0,6&gt;=$F27),N($E27),N($D27))=0,0,MAX(0,I84/(1-V_Merma)-IF(AND(N($F27)&gt;0,6&gt;=$F27),N($E27),N($D27))))</f>
        <v>0</v>
      </c>
      <c r="J113" s="48" t="n">
        <f aca="false">IF(IF(AND(N($F27)&gt;0,7&gt;=$F27),N($E27),N($D27))=0,0,MAX(0,J84/(1-V_Merma)-IF(AND(N($F27)&gt;0,7&gt;=$F27),N($E27),N($D27))))</f>
        <v>0</v>
      </c>
      <c r="K113" s="48" t="n">
        <f aca="false">IF(IF(AND(N($F27)&gt;0,8&gt;=$F27),N($E27),N($D27))=0,0,MAX(0,K84/(1-V_Merma)-IF(AND(N($F27)&gt;0,8&gt;=$F27),N($E27),N($D27))))</f>
        <v>0</v>
      </c>
      <c r="L113" s="48" t="n">
        <f aca="false">IF(IF(AND(N($F27)&gt;0,9&gt;=$F27),N($E27),N($D27))=0,0,MAX(0,L84/(1-V_Merma)-IF(AND(N($F27)&gt;0,9&gt;=$F27),N($E27),N($D27))))</f>
        <v>0</v>
      </c>
      <c r="M113" s="48" t="n">
        <f aca="false">IF(IF(AND(N($F27)&gt;0,10&gt;=$F27),N($E27),N($D27))=0,0,MAX(0,M84/(1-V_Merma)-IF(AND(N($F27)&gt;0,10&gt;=$F27),N($E27),N($D27))))</f>
        <v>0</v>
      </c>
      <c r="N113" s="27" t="n">
        <f aca="false">SUMPRODUCT(--(D113:M113&gt;0.5))</f>
        <v>0</v>
      </c>
    </row>
    <row r="114" customFormat="false" ht="15" hidden="false" customHeight="false" outlineLevel="0" collapsed="false">
      <c r="A114" s="15" t="n">
        <v>23</v>
      </c>
      <c r="B114" s="53" t="str">
        <f aca="false">IF(B28="","",B28)</f>
        <v/>
      </c>
      <c r="D114" s="48" t="n">
        <f aca="false">IF(IF(AND(N($F28)&gt;0,1&gt;=$F28),N($E28),N($D28))=0,0,MAX(0,D85/(1-V_Merma)-IF(AND(N($F28)&gt;0,1&gt;=$F28),N($E28),N($D28))))</f>
        <v>0</v>
      </c>
      <c r="E114" s="48" t="n">
        <f aca="false">IF(IF(AND(N($F28)&gt;0,2&gt;=$F28),N($E28),N($D28))=0,0,MAX(0,E85/(1-V_Merma)-IF(AND(N($F28)&gt;0,2&gt;=$F28),N($E28),N($D28))))</f>
        <v>0</v>
      </c>
      <c r="F114" s="48" t="n">
        <f aca="false">IF(IF(AND(N($F28)&gt;0,3&gt;=$F28),N($E28),N($D28))=0,0,MAX(0,F85/(1-V_Merma)-IF(AND(N($F28)&gt;0,3&gt;=$F28),N($E28),N($D28))))</f>
        <v>0</v>
      </c>
      <c r="G114" s="48" t="n">
        <f aca="false">IF(IF(AND(N($F28)&gt;0,4&gt;=$F28),N($E28),N($D28))=0,0,MAX(0,G85/(1-V_Merma)-IF(AND(N($F28)&gt;0,4&gt;=$F28),N($E28),N($D28))))</f>
        <v>0</v>
      </c>
      <c r="H114" s="48" t="n">
        <f aca="false">IF(IF(AND(N($F28)&gt;0,5&gt;=$F28),N($E28),N($D28))=0,0,MAX(0,H85/(1-V_Merma)-IF(AND(N($F28)&gt;0,5&gt;=$F28),N($E28),N($D28))))</f>
        <v>0</v>
      </c>
      <c r="I114" s="48" t="n">
        <f aca="false">IF(IF(AND(N($F28)&gt;0,6&gt;=$F28),N($E28),N($D28))=0,0,MAX(0,I85/(1-V_Merma)-IF(AND(N($F28)&gt;0,6&gt;=$F28),N($E28),N($D28))))</f>
        <v>0</v>
      </c>
      <c r="J114" s="48" t="n">
        <f aca="false">IF(IF(AND(N($F28)&gt;0,7&gt;=$F28),N($E28),N($D28))=0,0,MAX(0,J85/(1-V_Merma)-IF(AND(N($F28)&gt;0,7&gt;=$F28),N($E28),N($D28))))</f>
        <v>0</v>
      </c>
      <c r="K114" s="48" t="n">
        <f aca="false">IF(IF(AND(N($F28)&gt;0,8&gt;=$F28),N($E28),N($D28))=0,0,MAX(0,K85/(1-V_Merma)-IF(AND(N($F28)&gt;0,8&gt;=$F28),N($E28),N($D28))))</f>
        <v>0</v>
      </c>
      <c r="L114" s="48" t="n">
        <f aca="false">IF(IF(AND(N($F28)&gt;0,9&gt;=$F28),N($E28),N($D28))=0,0,MAX(0,L85/(1-V_Merma)-IF(AND(N($F28)&gt;0,9&gt;=$F28),N($E28),N($D28))))</f>
        <v>0</v>
      </c>
      <c r="M114" s="48" t="n">
        <f aca="false">IF(IF(AND(N($F28)&gt;0,10&gt;=$F28),N($E28),N($D28))=0,0,MAX(0,M85/(1-V_Merma)-IF(AND(N($F28)&gt;0,10&gt;=$F28),N($E28),N($D28))))</f>
        <v>0</v>
      </c>
      <c r="N114" s="27" t="n">
        <f aca="false">SUMPRODUCT(--(D114:M114&gt;0.5))</f>
        <v>0</v>
      </c>
    </row>
    <row r="115" customFormat="false" ht="15" hidden="false" customHeight="false" outlineLevel="0" collapsed="false">
      <c r="A115" s="15" t="n">
        <v>24</v>
      </c>
      <c r="B115" s="53" t="str">
        <f aca="false">IF(B29="","",B29)</f>
        <v/>
      </c>
      <c r="D115" s="48" t="n">
        <f aca="false">IF(IF(AND(N($F29)&gt;0,1&gt;=$F29),N($E29),N($D29))=0,0,MAX(0,D86/(1-V_Merma)-IF(AND(N($F29)&gt;0,1&gt;=$F29),N($E29),N($D29))))</f>
        <v>0</v>
      </c>
      <c r="E115" s="48" t="n">
        <f aca="false">IF(IF(AND(N($F29)&gt;0,2&gt;=$F29),N($E29),N($D29))=0,0,MAX(0,E86/(1-V_Merma)-IF(AND(N($F29)&gt;0,2&gt;=$F29),N($E29),N($D29))))</f>
        <v>0</v>
      </c>
      <c r="F115" s="48" t="n">
        <f aca="false">IF(IF(AND(N($F29)&gt;0,3&gt;=$F29),N($E29),N($D29))=0,0,MAX(0,F86/(1-V_Merma)-IF(AND(N($F29)&gt;0,3&gt;=$F29),N($E29),N($D29))))</f>
        <v>0</v>
      </c>
      <c r="G115" s="48" t="n">
        <f aca="false">IF(IF(AND(N($F29)&gt;0,4&gt;=$F29),N($E29),N($D29))=0,0,MAX(0,G86/(1-V_Merma)-IF(AND(N($F29)&gt;0,4&gt;=$F29),N($E29),N($D29))))</f>
        <v>0</v>
      </c>
      <c r="H115" s="48" t="n">
        <f aca="false">IF(IF(AND(N($F29)&gt;0,5&gt;=$F29),N($E29),N($D29))=0,0,MAX(0,H86/(1-V_Merma)-IF(AND(N($F29)&gt;0,5&gt;=$F29),N($E29),N($D29))))</f>
        <v>0</v>
      </c>
      <c r="I115" s="48" t="n">
        <f aca="false">IF(IF(AND(N($F29)&gt;0,6&gt;=$F29),N($E29),N($D29))=0,0,MAX(0,I86/(1-V_Merma)-IF(AND(N($F29)&gt;0,6&gt;=$F29),N($E29),N($D29))))</f>
        <v>0</v>
      </c>
      <c r="J115" s="48" t="n">
        <f aca="false">IF(IF(AND(N($F29)&gt;0,7&gt;=$F29),N($E29),N($D29))=0,0,MAX(0,J86/(1-V_Merma)-IF(AND(N($F29)&gt;0,7&gt;=$F29),N($E29),N($D29))))</f>
        <v>0</v>
      </c>
      <c r="K115" s="48" t="n">
        <f aca="false">IF(IF(AND(N($F29)&gt;0,8&gt;=$F29),N($E29),N($D29))=0,0,MAX(0,K86/(1-V_Merma)-IF(AND(N($F29)&gt;0,8&gt;=$F29),N($E29),N($D29))))</f>
        <v>0</v>
      </c>
      <c r="L115" s="48" t="n">
        <f aca="false">IF(IF(AND(N($F29)&gt;0,9&gt;=$F29),N($E29),N($D29))=0,0,MAX(0,L86/(1-V_Merma)-IF(AND(N($F29)&gt;0,9&gt;=$F29),N($E29),N($D29))))</f>
        <v>0</v>
      </c>
      <c r="M115" s="48" t="n">
        <f aca="false">IF(IF(AND(N($F29)&gt;0,10&gt;=$F29),N($E29),N($D29))=0,0,MAX(0,M86/(1-V_Merma)-IF(AND(N($F29)&gt;0,10&gt;=$F29),N($E29),N($D29))))</f>
        <v>0</v>
      </c>
      <c r="N115" s="27" t="n">
        <f aca="false">SUMPRODUCT(--(D115:M115&gt;0.5))</f>
        <v>0</v>
      </c>
    </row>
    <row r="116" customFormat="false" ht="15" hidden="false" customHeight="false" outlineLevel="0" collapsed="false">
      <c r="A116" s="15" t="n">
        <v>25</v>
      </c>
      <c r="B116" s="53" t="str">
        <f aca="false">IF(B30="","",B30)</f>
        <v/>
      </c>
      <c r="D116" s="48" t="n">
        <f aca="false">IF(IF(AND(N($F30)&gt;0,1&gt;=$F30),N($E30),N($D30))=0,0,MAX(0,D87/(1-V_Merma)-IF(AND(N($F30)&gt;0,1&gt;=$F30),N($E30),N($D30))))</f>
        <v>0</v>
      </c>
      <c r="E116" s="48" t="n">
        <f aca="false">IF(IF(AND(N($F30)&gt;0,2&gt;=$F30),N($E30),N($D30))=0,0,MAX(0,E87/(1-V_Merma)-IF(AND(N($F30)&gt;0,2&gt;=$F30),N($E30),N($D30))))</f>
        <v>0</v>
      </c>
      <c r="F116" s="48" t="n">
        <f aca="false">IF(IF(AND(N($F30)&gt;0,3&gt;=$F30),N($E30),N($D30))=0,0,MAX(0,F87/(1-V_Merma)-IF(AND(N($F30)&gt;0,3&gt;=$F30),N($E30),N($D30))))</f>
        <v>0</v>
      </c>
      <c r="G116" s="48" t="n">
        <f aca="false">IF(IF(AND(N($F30)&gt;0,4&gt;=$F30),N($E30),N($D30))=0,0,MAX(0,G87/(1-V_Merma)-IF(AND(N($F30)&gt;0,4&gt;=$F30),N($E30),N($D30))))</f>
        <v>0</v>
      </c>
      <c r="H116" s="48" t="n">
        <f aca="false">IF(IF(AND(N($F30)&gt;0,5&gt;=$F30),N($E30),N($D30))=0,0,MAX(0,H87/(1-V_Merma)-IF(AND(N($F30)&gt;0,5&gt;=$F30),N($E30),N($D30))))</f>
        <v>0</v>
      </c>
      <c r="I116" s="48" t="n">
        <f aca="false">IF(IF(AND(N($F30)&gt;0,6&gt;=$F30),N($E30),N($D30))=0,0,MAX(0,I87/(1-V_Merma)-IF(AND(N($F30)&gt;0,6&gt;=$F30),N($E30),N($D30))))</f>
        <v>0</v>
      </c>
      <c r="J116" s="48" t="n">
        <f aca="false">IF(IF(AND(N($F30)&gt;0,7&gt;=$F30),N($E30),N($D30))=0,0,MAX(0,J87/(1-V_Merma)-IF(AND(N($F30)&gt;0,7&gt;=$F30),N($E30),N($D30))))</f>
        <v>0</v>
      </c>
      <c r="K116" s="48" t="n">
        <f aca="false">IF(IF(AND(N($F30)&gt;0,8&gt;=$F30),N($E30),N($D30))=0,0,MAX(0,K87/(1-V_Merma)-IF(AND(N($F30)&gt;0,8&gt;=$F30),N($E30),N($D30))))</f>
        <v>0</v>
      </c>
      <c r="L116" s="48" t="n">
        <f aca="false">IF(IF(AND(N($F30)&gt;0,9&gt;=$F30),N($E30),N($D30))=0,0,MAX(0,L87/(1-V_Merma)-IF(AND(N($F30)&gt;0,9&gt;=$F30),N($E30),N($D30))))</f>
        <v>0</v>
      </c>
      <c r="M116" s="48" t="n">
        <f aca="false">IF(IF(AND(N($F30)&gt;0,10&gt;=$F30),N($E30),N($D30))=0,0,MAX(0,M87/(1-V_Merma)-IF(AND(N($F30)&gt;0,10&gt;=$F30),N($E30),N($D30))))</f>
        <v>0</v>
      </c>
      <c r="N116" s="27" t="n">
        <f aca="false">SUMPRODUCT(--(D116:M116&gt;0.5))</f>
        <v>0</v>
      </c>
    </row>
    <row r="117" customFormat="false" ht="15" hidden="false" customHeight="false" outlineLevel="0" collapsed="false">
      <c r="B117" s="11" t="s">
        <v>553</v>
      </c>
    </row>
  </sheetData>
  <conditionalFormatting sqref="H6:H30">
    <cfRule type="expression" priority="2" aboveAverage="0" equalAverage="0" bottom="0" percent="0" rank="0" text="" dxfId="3">
      <formula>H6&lt;&gt;G6</formula>
    </cfRule>
  </conditionalFormatting>
  <conditionalFormatting sqref="J6:J30">
    <cfRule type="expression" priority="3" aboveAverage="0" equalAverage="0" bottom="0" percent="0" rank="0" text="" dxfId="3">
      <formula>J6&lt;&gt;I6</formula>
    </cfRule>
  </conditionalFormatting>
  <conditionalFormatting sqref="L6:L30">
    <cfRule type="expression" priority="4" aboveAverage="0" equalAverage="0" bottom="0" percent="0" rank="0" text="" dxfId="3">
      <formula>L6&lt;&gt;K6</formula>
    </cfRule>
  </conditionalFormatting>
  <conditionalFormatting sqref="N6:N30">
    <cfRule type="expression" priority="5" aboveAverage="0" equalAverage="0" bottom="0" percent="0" rank="0" text="" dxfId="3">
      <formula>N6&lt;&gt;M6</formula>
    </cfRule>
  </conditionalFormatting>
  <conditionalFormatting sqref="D63:M87">
    <cfRule type="expression" priority="6" aboveAverage="0" equalAverage="0" bottom="0" percent="0" rank="0" text="" dxfId="3">
      <formula>D63&lt;&gt;D34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9"/>
    <col collapsed="false" customWidth="true" hidden="false" outlineLevel="0" max="6" min="5" style="0" width="14"/>
    <col collapsed="false" customWidth="true" hidden="false" outlineLevel="0" max="16" min="7" style="0" width="10"/>
    <col collapsed="false" customWidth="true" hidden="false" outlineLevel="0" max="17" min="17" style="0" width="40"/>
  </cols>
  <sheetData>
    <row r="1" customFormat="false" ht="16.15" hidden="false" customHeight="false" outlineLevel="0" collapsed="false">
      <c r="A1" s="10" t="s">
        <v>554</v>
      </c>
    </row>
    <row r="2" customFormat="false" ht="15" hidden="false" customHeight="false" outlineLevel="0" collapsed="false">
      <c r="A2" s="11" t="s">
        <v>555</v>
      </c>
    </row>
    <row r="4" customFormat="false" ht="15" hidden="false" customHeight="false" outlineLevel="0" collapsed="false">
      <c r="A4" s="12" t="s">
        <v>556</v>
      </c>
      <c r="B4" s="13"/>
      <c r="C4" s="13"/>
      <c r="D4" s="13"/>
      <c r="E4" s="13"/>
      <c r="F4" s="13"/>
      <c r="G4" s="13"/>
      <c r="H4" s="13"/>
      <c r="I4" s="13"/>
      <c r="J4" s="13"/>
      <c r="K4" s="13"/>
      <c r="L4" s="13"/>
      <c r="M4" s="13"/>
      <c r="N4" s="13"/>
      <c r="O4" s="13"/>
      <c r="P4" s="13"/>
      <c r="Q4" s="13"/>
    </row>
    <row r="5" customFormat="false" ht="39.75" hidden="false" customHeight="true" outlineLevel="0" collapsed="false">
      <c r="A5" s="14" t="s">
        <v>530</v>
      </c>
      <c r="B5" s="14" t="s">
        <v>557</v>
      </c>
      <c r="C5" s="14" t="s">
        <v>558</v>
      </c>
      <c r="D5" s="14" t="s">
        <v>559</v>
      </c>
      <c r="E5" s="14" t="s">
        <v>560</v>
      </c>
      <c r="F5" s="14" t="s">
        <v>561</v>
      </c>
      <c r="G5" s="14" t="s">
        <v>562</v>
      </c>
      <c r="H5" s="14" t="s">
        <v>563</v>
      </c>
      <c r="I5" s="14" t="s">
        <v>564</v>
      </c>
      <c r="J5" s="14" t="s">
        <v>565</v>
      </c>
      <c r="K5" s="14" t="s">
        <v>566</v>
      </c>
      <c r="L5" s="14" t="s">
        <v>567</v>
      </c>
      <c r="M5" s="14" t="s">
        <v>568</v>
      </c>
      <c r="N5" s="14" t="s">
        <v>569</v>
      </c>
      <c r="O5" s="14" t="s">
        <v>570</v>
      </c>
      <c r="P5" s="14" t="s">
        <v>571</v>
      </c>
      <c r="Q5" s="14" t="s">
        <v>462</v>
      </c>
    </row>
    <row r="6" customFormat="false" ht="15" hidden="false" customHeight="false" outlineLevel="0" collapsed="false">
      <c r="A6" s="15" t="n">
        <v>1</v>
      </c>
      <c r="B6" s="16" t="s">
        <v>572</v>
      </c>
      <c r="C6" s="16" t="s">
        <v>573</v>
      </c>
      <c r="D6" s="16" t="s">
        <v>574</v>
      </c>
      <c r="E6" s="37" t="n">
        <v>4668900</v>
      </c>
      <c r="F6" s="38" t="n">
        <f aca="false">E6</f>
        <v>4668900</v>
      </c>
      <c r="G6" s="37" t="n">
        <v>4</v>
      </c>
      <c r="H6" s="37" t="n">
        <v>4</v>
      </c>
      <c r="I6" s="37" t="n">
        <v>5</v>
      </c>
      <c r="J6" s="37" t="n">
        <v>5</v>
      </c>
      <c r="K6" s="37" t="n">
        <v>6</v>
      </c>
      <c r="L6" s="37" t="n">
        <v>6</v>
      </c>
      <c r="M6" s="37" t="n">
        <v>6</v>
      </c>
      <c r="N6" s="37" t="n">
        <v>6</v>
      </c>
      <c r="O6" s="37" t="n">
        <v>6</v>
      </c>
      <c r="P6" s="37" t="n">
        <v>6</v>
      </c>
    </row>
    <row r="7" customFormat="false" ht="15" hidden="false" customHeight="false" outlineLevel="0" collapsed="false">
      <c r="A7" s="15" t="n">
        <v>2</v>
      </c>
      <c r="B7" s="16" t="s">
        <v>575</v>
      </c>
      <c r="C7" s="16" t="s">
        <v>573</v>
      </c>
      <c r="D7" s="16" t="s">
        <v>574</v>
      </c>
      <c r="E7" s="37" t="n">
        <v>3650655</v>
      </c>
      <c r="F7" s="38" t="n">
        <f aca="false">E7</f>
        <v>3650655</v>
      </c>
      <c r="G7" s="37" t="n">
        <v>8</v>
      </c>
      <c r="H7" s="37" t="n">
        <v>8</v>
      </c>
      <c r="I7" s="37" t="n">
        <v>9</v>
      </c>
      <c r="J7" s="37" t="n">
        <v>9</v>
      </c>
      <c r="K7" s="37" t="n">
        <v>10</v>
      </c>
      <c r="L7" s="37" t="n">
        <v>10</v>
      </c>
      <c r="M7" s="37" t="n">
        <v>10</v>
      </c>
      <c r="N7" s="37" t="n">
        <v>10</v>
      </c>
      <c r="O7" s="37" t="n">
        <v>10</v>
      </c>
      <c r="P7" s="37" t="n">
        <v>10</v>
      </c>
    </row>
    <row r="8" customFormat="false" ht="15" hidden="false" customHeight="false" outlineLevel="0" collapsed="false">
      <c r="A8" s="15" t="n">
        <v>3</v>
      </c>
      <c r="B8" s="16" t="s">
        <v>576</v>
      </c>
      <c r="C8" s="16" t="s">
        <v>573</v>
      </c>
      <c r="D8" s="16" t="s">
        <v>574</v>
      </c>
      <c r="E8" s="37" t="n">
        <v>3968900</v>
      </c>
      <c r="F8" s="38" t="n">
        <f aca="false">E8</f>
        <v>3968900</v>
      </c>
      <c r="G8" s="37" t="n">
        <v>5</v>
      </c>
      <c r="H8" s="37" t="n">
        <v>5</v>
      </c>
      <c r="I8" s="37" t="n">
        <v>6</v>
      </c>
      <c r="J8" s="37" t="n">
        <v>6</v>
      </c>
      <c r="K8" s="37" t="n">
        <v>6</v>
      </c>
      <c r="L8" s="37" t="n">
        <v>6</v>
      </c>
      <c r="M8" s="37" t="n">
        <v>6</v>
      </c>
      <c r="N8" s="37" t="n">
        <v>6</v>
      </c>
      <c r="O8" s="37" t="n">
        <v>6</v>
      </c>
      <c r="P8" s="37" t="n">
        <v>6</v>
      </c>
    </row>
    <row r="9" customFormat="false" ht="15" hidden="false" customHeight="false" outlineLevel="0" collapsed="false">
      <c r="A9" s="15" t="n">
        <v>4</v>
      </c>
      <c r="B9" s="16" t="s">
        <v>577</v>
      </c>
      <c r="C9" s="16" t="s">
        <v>573</v>
      </c>
      <c r="D9" s="16" t="s">
        <v>574</v>
      </c>
      <c r="E9" s="37" t="n">
        <v>3650655</v>
      </c>
      <c r="F9" s="38" t="n">
        <f aca="false">E9</f>
        <v>3650655</v>
      </c>
      <c r="G9" s="37" t="n">
        <v>2</v>
      </c>
      <c r="H9" s="37" t="n">
        <v>2</v>
      </c>
      <c r="I9" s="37" t="n">
        <v>2</v>
      </c>
      <c r="J9" s="37" t="n">
        <v>2</v>
      </c>
      <c r="K9" s="37" t="n">
        <v>3</v>
      </c>
      <c r="L9" s="37" t="n">
        <v>3</v>
      </c>
      <c r="M9" s="37" t="n">
        <v>3</v>
      </c>
      <c r="N9" s="37" t="n">
        <v>3</v>
      </c>
      <c r="O9" s="37" t="n">
        <v>3</v>
      </c>
      <c r="P9" s="37" t="n">
        <v>3</v>
      </c>
    </row>
    <row r="10" customFormat="false" ht="15" hidden="false" customHeight="false" outlineLevel="0" collapsed="false">
      <c r="A10" s="15" t="n">
        <v>5</v>
      </c>
      <c r="B10" s="16" t="s">
        <v>578</v>
      </c>
      <c r="C10" s="16" t="s">
        <v>573</v>
      </c>
      <c r="D10" s="16" t="s">
        <v>574</v>
      </c>
      <c r="E10" s="37" t="n">
        <v>3650655</v>
      </c>
      <c r="F10" s="38" t="n">
        <f aca="false">E10</f>
        <v>3650655</v>
      </c>
      <c r="G10" s="37" t="n">
        <v>4</v>
      </c>
      <c r="H10" s="37" t="n">
        <v>4</v>
      </c>
      <c r="I10" s="37" t="n">
        <v>4</v>
      </c>
      <c r="J10" s="37" t="n">
        <v>5</v>
      </c>
      <c r="K10" s="37" t="n">
        <v>5</v>
      </c>
      <c r="L10" s="37" t="n">
        <v>5</v>
      </c>
      <c r="M10" s="37" t="n">
        <v>5</v>
      </c>
      <c r="N10" s="37" t="n">
        <v>5</v>
      </c>
      <c r="O10" s="37" t="n">
        <v>5</v>
      </c>
      <c r="P10" s="37" t="n">
        <v>5</v>
      </c>
    </row>
    <row r="11" customFormat="false" ht="15" hidden="false" customHeight="false" outlineLevel="0" collapsed="false">
      <c r="A11" s="15" t="n">
        <v>6</v>
      </c>
      <c r="B11" s="16" t="s">
        <v>579</v>
      </c>
      <c r="C11" s="16" t="s">
        <v>573</v>
      </c>
      <c r="D11" s="16" t="s">
        <v>574</v>
      </c>
      <c r="E11" s="37" t="n">
        <v>3150655</v>
      </c>
      <c r="F11" s="38" t="n">
        <f aca="false">E11</f>
        <v>3150655</v>
      </c>
      <c r="G11" s="37" t="n">
        <v>10</v>
      </c>
      <c r="H11" s="37" t="n">
        <v>10</v>
      </c>
      <c r="I11" s="37" t="n">
        <v>10</v>
      </c>
      <c r="J11" s="37" t="n">
        <v>11</v>
      </c>
      <c r="K11" s="37" t="n">
        <v>11</v>
      </c>
      <c r="L11" s="37" t="n">
        <v>11</v>
      </c>
      <c r="M11" s="37" t="n">
        <v>11</v>
      </c>
      <c r="N11" s="37" t="n">
        <v>11</v>
      </c>
      <c r="O11" s="37" t="n">
        <v>11</v>
      </c>
      <c r="P11" s="37" t="n">
        <v>11</v>
      </c>
    </row>
    <row r="12" customFormat="false" ht="15" hidden="false" customHeight="false" outlineLevel="0" collapsed="false">
      <c r="A12" s="15" t="n">
        <v>7</v>
      </c>
      <c r="B12" s="16" t="s">
        <v>580</v>
      </c>
      <c r="C12" s="16" t="s">
        <v>573</v>
      </c>
      <c r="D12" s="16" t="s">
        <v>574</v>
      </c>
      <c r="E12" s="37" t="n">
        <v>2798309</v>
      </c>
      <c r="F12" s="38" t="n">
        <f aca="false">E12</f>
        <v>2798309</v>
      </c>
      <c r="G12" s="37" t="n">
        <v>10</v>
      </c>
      <c r="H12" s="37" t="n">
        <v>10</v>
      </c>
      <c r="I12" s="37" t="n">
        <v>10</v>
      </c>
      <c r="J12" s="37" t="n">
        <v>11</v>
      </c>
      <c r="K12" s="37" t="n">
        <v>11</v>
      </c>
      <c r="L12" s="37" t="n">
        <v>11</v>
      </c>
      <c r="M12" s="37" t="n">
        <v>11</v>
      </c>
      <c r="N12" s="37" t="n">
        <v>11</v>
      </c>
      <c r="O12" s="37" t="n">
        <v>11</v>
      </c>
      <c r="P12" s="37" t="n">
        <v>11</v>
      </c>
    </row>
    <row r="13" customFormat="false" ht="15" hidden="false" customHeight="false" outlineLevel="0" collapsed="false">
      <c r="A13" s="15" t="n">
        <v>8</v>
      </c>
      <c r="B13" s="16" t="s">
        <v>581</v>
      </c>
      <c r="C13" s="16" t="s">
        <v>582</v>
      </c>
      <c r="D13" s="16" t="s">
        <v>574</v>
      </c>
      <c r="E13" s="37" t="n">
        <v>18000000</v>
      </c>
      <c r="F13" s="38" t="n">
        <f aca="false">E13</f>
        <v>18000000</v>
      </c>
      <c r="G13" s="37" t="n">
        <v>1</v>
      </c>
      <c r="H13" s="37" t="n">
        <v>1</v>
      </c>
      <c r="I13" s="37" t="n">
        <v>1</v>
      </c>
      <c r="J13" s="37" t="n">
        <v>1</v>
      </c>
      <c r="K13" s="37" t="n">
        <v>1</v>
      </c>
      <c r="L13" s="37" t="n">
        <v>1</v>
      </c>
      <c r="M13" s="37" t="n">
        <v>1</v>
      </c>
      <c r="N13" s="37" t="n">
        <v>1</v>
      </c>
      <c r="O13" s="37" t="n">
        <v>1</v>
      </c>
      <c r="P13" s="37" t="n">
        <v>1</v>
      </c>
    </row>
    <row r="14" customFormat="false" ht="15" hidden="false" customHeight="false" outlineLevel="0" collapsed="false">
      <c r="A14" s="15" t="n">
        <v>9</v>
      </c>
      <c r="B14" s="16" t="s">
        <v>583</v>
      </c>
      <c r="C14" s="16" t="s">
        <v>584</v>
      </c>
      <c r="D14" s="16" t="s">
        <v>574</v>
      </c>
      <c r="E14" s="37" t="n">
        <v>9800000</v>
      </c>
      <c r="F14" s="38" t="n">
        <f aca="false">E14</f>
        <v>9800000</v>
      </c>
      <c r="G14" s="37" t="n">
        <v>1</v>
      </c>
      <c r="H14" s="37" t="n">
        <v>1</v>
      </c>
      <c r="I14" s="37" t="n">
        <v>1</v>
      </c>
      <c r="J14" s="37" t="n">
        <v>1</v>
      </c>
      <c r="K14" s="37" t="n">
        <v>1</v>
      </c>
      <c r="L14" s="37" t="n">
        <v>1</v>
      </c>
      <c r="M14" s="37" t="n">
        <v>1</v>
      </c>
      <c r="N14" s="37" t="n">
        <v>1</v>
      </c>
      <c r="O14" s="37" t="n">
        <v>1</v>
      </c>
      <c r="P14" s="37" t="n">
        <v>1</v>
      </c>
    </row>
    <row r="15" customFormat="false" ht="15" hidden="false" customHeight="false" outlineLevel="0" collapsed="false">
      <c r="A15" s="15" t="n">
        <v>10</v>
      </c>
      <c r="B15" s="16" t="s">
        <v>585</v>
      </c>
      <c r="C15" s="16" t="s">
        <v>584</v>
      </c>
      <c r="D15" s="16" t="s">
        <v>574</v>
      </c>
      <c r="E15" s="37" t="n">
        <v>6550000</v>
      </c>
      <c r="F15" s="38" t="n">
        <f aca="false">E15</f>
        <v>6550000</v>
      </c>
      <c r="G15" s="37" t="n">
        <v>1</v>
      </c>
      <c r="H15" s="37" t="n">
        <v>1</v>
      </c>
      <c r="I15" s="37" t="n">
        <v>1</v>
      </c>
      <c r="J15" s="37" t="n">
        <v>1</v>
      </c>
      <c r="K15" s="37" t="n">
        <v>1</v>
      </c>
      <c r="L15" s="37" t="n">
        <v>1</v>
      </c>
      <c r="M15" s="37" t="n">
        <v>1</v>
      </c>
      <c r="N15" s="37" t="n">
        <v>1</v>
      </c>
      <c r="O15" s="37" t="n">
        <v>1</v>
      </c>
      <c r="P15" s="37" t="n">
        <v>1</v>
      </c>
    </row>
    <row r="16" customFormat="false" ht="15" hidden="false" customHeight="false" outlineLevel="0" collapsed="false">
      <c r="A16" s="15" t="n">
        <v>11</v>
      </c>
      <c r="B16" s="16" t="s">
        <v>586</v>
      </c>
      <c r="C16" s="16" t="s">
        <v>584</v>
      </c>
      <c r="D16" s="16" t="s">
        <v>574</v>
      </c>
      <c r="E16" s="37" t="n">
        <v>6550000</v>
      </c>
      <c r="F16" s="38" t="n">
        <f aca="false">E16</f>
        <v>6550000</v>
      </c>
      <c r="G16" s="37" t="n">
        <v>1</v>
      </c>
      <c r="H16" s="37" t="n">
        <v>1</v>
      </c>
      <c r="I16" s="37" t="n">
        <v>1</v>
      </c>
      <c r="J16" s="37" t="n">
        <v>1</v>
      </c>
      <c r="K16" s="37" t="n">
        <v>1</v>
      </c>
      <c r="L16" s="37" t="n">
        <v>1</v>
      </c>
      <c r="M16" s="37" t="n">
        <v>1</v>
      </c>
      <c r="N16" s="37" t="n">
        <v>1</v>
      </c>
      <c r="O16" s="37" t="n">
        <v>1</v>
      </c>
      <c r="P16" s="37" t="n">
        <v>1</v>
      </c>
    </row>
    <row r="17" customFormat="false" ht="15" hidden="false" customHeight="false" outlineLevel="0" collapsed="false">
      <c r="A17" s="15" t="n">
        <v>12</v>
      </c>
      <c r="B17" s="16" t="s">
        <v>587</v>
      </c>
      <c r="C17" s="16" t="s">
        <v>584</v>
      </c>
      <c r="D17" s="16" t="s">
        <v>574</v>
      </c>
      <c r="E17" s="37" t="n">
        <v>6550000</v>
      </c>
      <c r="F17" s="38" t="n">
        <f aca="false">E17</f>
        <v>6550000</v>
      </c>
      <c r="G17" s="37" t="n">
        <v>1</v>
      </c>
      <c r="H17" s="37" t="n">
        <v>1</v>
      </c>
      <c r="I17" s="37" t="n">
        <v>1</v>
      </c>
      <c r="J17" s="37" t="n">
        <v>1</v>
      </c>
      <c r="K17" s="37" t="n">
        <v>1</v>
      </c>
      <c r="L17" s="37" t="n">
        <v>1</v>
      </c>
      <c r="M17" s="37" t="n">
        <v>1</v>
      </c>
      <c r="N17" s="37" t="n">
        <v>1</v>
      </c>
      <c r="O17" s="37" t="n">
        <v>1</v>
      </c>
      <c r="P17" s="37" t="n">
        <v>1</v>
      </c>
    </row>
    <row r="18" customFormat="false" ht="15" hidden="false" customHeight="false" outlineLevel="0" collapsed="false">
      <c r="A18" s="15" t="n">
        <v>13</v>
      </c>
      <c r="B18" s="16" t="s">
        <v>588</v>
      </c>
      <c r="C18" s="16" t="s">
        <v>584</v>
      </c>
      <c r="D18" s="16" t="s">
        <v>574</v>
      </c>
      <c r="E18" s="37" t="n">
        <v>6550000</v>
      </c>
      <c r="F18" s="38" t="n">
        <f aca="false">E18</f>
        <v>6550000</v>
      </c>
      <c r="G18" s="37" t="n">
        <v>1</v>
      </c>
      <c r="H18" s="37" t="n">
        <v>1</v>
      </c>
      <c r="I18" s="37" t="n">
        <v>1</v>
      </c>
      <c r="J18" s="37" t="n">
        <v>1</v>
      </c>
      <c r="K18" s="37" t="n">
        <v>1</v>
      </c>
      <c r="L18" s="37" t="n">
        <v>1</v>
      </c>
      <c r="M18" s="37" t="n">
        <v>1</v>
      </c>
      <c r="N18" s="37" t="n">
        <v>1</v>
      </c>
      <c r="O18" s="37" t="n">
        <v>1</v>
      </c>
      <c r="P18" s="37" t="n">
        <v>1</v>
      </c>
    </row>
    <row r="19" customFormat="false" ht="15" hidden="false" customHeight="false" outlineLevel="0" collapsed="false">
      <c r="A19" s="15" t="n">
        <v>14</v>
      </c>
      <c r="B19" s="16" t="s">
        <v>589</v>
      </c>
      <c r="C19" s="16" t="s">
        <v>584</v>
      </c>
      <c r="D19" s="16" t="s">
        <v>574</v>
      </c>
      <c r="E19" s="37" t="n">
        <v>6550000</v>
      </c>
      <c r="F19" s="38" t="n">
        <f aca="false">E19</f>
        <v>6550000</v>
      </c>
      <c r="G19" s="37" t="n">
        <v>3</v>
      </c>
      <c r="H19" s="37" t="n">
        <v>3</v>
      </c>
      <c r="I19" s="37" t="n">
        <v>3</v>
      </c>
      <c r="J19" s="37" t="n">
        <v>3</v>
      </c>
      <c r="K19" s="37" t="n">
        <v>3</v>
      </c>
      <c r="L19" s="37" t="n">
        <v>3</v>
      </c>
      <c r="M19" s="37" t="n">
        <v>3</v>
      </c>
      <c r="N19" s="37" t="n">
        <v>3</v>
      </c>
      <c r="O19" s="37" t="n">
        <v>3</v>
      </c>
      <c r="P19" s="37" t="n">
        <v>3</v>
      </c>
    </row>
    <row r="20" customFormat="false" ht="15" hidden="false" customHeight="false" outlineLevel="0" collapsed="false">
      <c r="A20" s="15" t="n">
        <v>15</v>
      </c>
      <c r="B20" s="16" t="s">
        <v>590</v>
      </c>
      <c r="C20" s="16" t="s">
        <v>584</v>
      </c>
      <c r="D20" s="16" t="s">
        <v>574</v>
      </c>
      <c r="E20" s="37" t="n">
        <v>3650655</v>
      </c>
      <c r="F20" s="38" t="n">
        <f aca="false">E20</f>
        <v>3650655</v>
      </c>
      <c r="G20" s="37" t="n">
        <v>2</v>
      </c>
      <c r="H20" s="37" t="n">
        <v>2</v>
      </c>
      <c r="I20" s="37" t="n">
        <v>2</v>
      </c>
      <c r="J20" s="37" t="n">
        <v>2</v>
      </c>
      <c r="K20" s="37" t="n">
        <v>2</v>
      </c>
      <c r="L20" s="37" t="n">
        <v>2</v>
      </c>
      <c r="M20" s="37" t="n">
        <v>2</v>
      </c>
      <c r="N20" s="37" t="n">
        <v>2</v>
      </c>
      <c r="O20" s="37" t="n">
        <v>2</v>
      </c>
      <c r="P20" s="37" t="n">
        <v>2</v>
      </c>
    </row>
    <row r="21" customFormat="false" ht="15" hidden="false" customHeight="false" outlineLevel="0" collapsed="false">
      <c r="A21" s="15" t="n">
        <v>16</v>
      </c>
      <c r="B21" s="16" t="s">
        <v>591</v>
      </c>
      <c r="C21" s="16" t="s">
        <v>584</v>
      </c>
      <c r="D21" s="16" t="s">
        <v>574</v>
      </c>
      <c r="E21" s="37" t="n">
        <v>9800000</v>
      </c>
      <c r="F21" s="38" t="n">
        <f aca="false">E21</f>
        <v>9800000</v>
      </c>
      <c r="G21" s="37" t="n">
        <v>1</v>
      </c>
      <c r="H21" s="37" t="n">
        <v>1</v>
      </c>
      <c r="I21" s="37" t="n">
        <v>1</v>
      </c>
      <c r="J21" s="37" t="n">
        <v>1</v>
      </c>
      <c r="K21" s="37" t="n">
        <v>1</v>
      </c>
      <c r="L21" s="37" t="n">
        <v>1</v>
      </c>
      <c r="M21" s="37" t="n">
        <v>1</v>
      </c>
      <c r="N21" s="37" t="n">
        <v>1</v>
      </c>
      <c r="O21" s="37" t="n">
        <v>1</v>
      </c>
      <c r="P21" s="37" t="n">
        <v>1</v>
      </c>
    </row>
    <row r="22" customFormat="false" ht="15" hidden="false" customHeight="false" outlineLevel="0" collapsed="false">
      <c r="A22" s="15" t="n">
        <v>17</v>
      </c>
      <c r="B22" s="16" t="s">
        <v>592</v>
      </c>
      <c r="C22" s="16" t="s">
        <v>584</v>
      </c>
      <c r="D22" s="16" t="s">
        <v>574</v>
      </c>
      <c r="E22" s="37" t="n">
        <v>2798309</v>
      </c>
      <c r="F22" s="38" t="n">
        <f aca="false">E22</f>
        <v>2798309</v>
      </c>
      <c r="G22" s="37" t="n">
        <v>1</v>
      </c>
      <c r="H22" s="37" t="n">
        <v>1</v>
      </c>
      <c r="I22" s="37" t="n">
        <v>1</v>
      </c>
      <c r="J22" s="37" t="n">
        <v>1</v>
      </c>
      <c r="K22" s="37" t="n">
        <v>1</v>
      </c>
      <c r="L22" s="37" t="n">
        <v>1</v>
      </c>
      <c r="M22" s="37" t="n">
        <v>1</v>
      </c>
      <c r="N22" s="37" t="n">
        <v>1</v>
      </c>
      <c r="O22" s="37" t="n">
        <v>1</v>
      </c>
      <c r="P22" s="37" t="n">
        <v>1</v>
      </c>
    </row>
    <row r="23" customFormat="false" ht="15" hidden="false" customHeight="false" outlineLevel="0" collapsed="false">
      <c r="A23" s="15" t="n">
        <v>18</v>
      </c>
      <c r="B23" s="16" t="s">
        <v>593</v>
      </c>
      <c r="C23" s="16" t="s">
        <v>584</v>
      </c>
      <c r="D23" s="16" t="s">
        <v>574</v>
      </c>
      <c r="E23" s="37" t="n">
        <v>3150655</v>
      </c>
      <c r="F23" s="38" t="n">
        <f aca="false">E23</f>
        <v>3150655</v>
      </c>
      <c r="G23" s="37" t="n">
        <v>1</v>
      </c>
      <c r="H23" s="37" t="n">
        <v>1</v>
      </c>
      <c r="I23" s="37" t="n">
        <v>1</v>
      </c>
      <c r="J23" s="37" t="n">
        <v>1</v>
      </c>
      <c r="K23" s="37" t="n">
        <v>1</v>
      </c>
      <c r="L23" s="37" t="n">
        <v>1</v>
      </c>
      <c r="M23" s="37" t="n">
        <v>1</v>
      </c>
      <c r="N23" s="37" t="n">
        <v>1</v>
      </c>
      <c r="O23" s="37" t="n">
        <v>1</v>
      </c>
      <c r="P23" s="37" t="n">
        <v>1</v>
      </c>
    </row>
    <row r="24" customFormat="false" ht="15" hidden="false" customHeight="false" outlineLevel="0" collapsed="false">
      <c r="A24" s="15" t="n">
        <v>19</v>
      </c>
      <c r="B24" s="16" t="s">
        <v>594</v>
      </c>
      <c r="C24" s="16" t="s">
        <v>582</v>
      </c>
      <c r="D24" s="16" t="s">
        <v>574</v>
      </c>
      <c r="E24" s="37" t="n">
        <v>6550000</v>
      </c>
      <c r="F24" s="38" t="n">
        <f aca="false">E24</f>
        <v>6550000</v>
      </c>
      <c r="G24" s="37" t="n">
        <v>1</v>
      </c>
      <c r="H24" s="37" t="n">
        <v>1</v>
      </c>
      <c r="I24" s="37" t="n">
        <v>1</v>
      </c>
      <c r="J24" s="37" t="n">
        <v>1</v>
      </c>
      <c r="K24" s="37" t="n">
        <v>1</v>
      </c>
      <c r="L24" s="37" t="n">
        <v>1</v>
      </c>
      <c r="M24" s="37" t="n">
        <v>1</v>
      </c>
      <c r="N24" s="37" t="n">
        <v>1</v>
      </c>
      <c r="O24" s="37" t="n">
        <v>1</v>
      </c>
      <c r="P24" s="37" t="n">
        <v>1</v>
      </c>
    </row>
    <row r="25" customFormat="false" ht="15" hidden="false" customHeight="false" outlineLevel="0" collapsed="false">
      <c r="A25" s="15" t="n">
        <v>20</v>
      </c>
      <c r="B25" s="16" t="s">
        <v>595</v>
      </c>
      <c r="C25" s="16" t="s">
        <v>582</v>
      </c>
      <c r="D25" s="16" t="s">
        <v>574</v>
      </c>
      <c r="E25" s="37" t="n">
        <v>6550000</v>
      </c>
      <c r="F25" s="38" t="n">
        <f aca="false">E25</f>
        <v>6550000</v>
      </c>
      <c r="G25" s="37" t="n">
        <v>1</v>
      </c>
      <c r="H25" s="37" t="n">
        <v>1</v>
      </c>
      <c r="I25" s="37" t="n">
        <v>1</v>
      </c>
      <c r="J25" s="37" t="n">
        <v>1</v>
      </c>
      <c r="K25" s="37" t="n">
        <v>1</v>
      </c>
      <c r="L25" s="37" t="n">
        <v>1</v>
      </c>
      <c r="M25" s="37" t="n">
        <v>1</v>
      </c>
      <c r="N25" s="37" t="n">
        <v>1</v>
      </c>
      <c r="O25" s="37" t="n">
        <v>1</v>
      </c>
      <c r="P25" s="37" t="n">
        <v>1</v>
      </c>
    </row>
    <row r="26" customFormat="false" ht="15" hidden="false" customHeight="false" outlineLevel="0" collapsed="false">
      <c r="A26" s="15" t="n">
        <v>21</v>
      </c>
      <c r="B26" s="16" t="s">
        <v>596</v>
      </c>
      <c r="C26" s="16" t="s">
        <v>584</v>
      </c>
      <c r="D26" s="16" t="s">
        <v>574</v>
      </c>
      <c r="E26" s="37" t="n">
        <v>6550000</v>
      </c>
      <c r="F26" s="38" t="n">
        <f aca="false">E26</f>
        <v>6550000</v>
      </c>
      <c r="G26" s="37" t="n">
        <v>1</v>
      </c>
      <c r="H26" s="37" t="n">
        <v>1</v>
      </c>
      <c r="I26" s="37" t="n">
        <v>1</v>
      </c>
      <c r="J26" s="37" t="n">
        <v>1</v>
      </c>
      <c r="K26" s="37" t="n">
        <v>1</v>
      </c>
      <c r="L26" s="37" t="n">
        <v>1</v>
      </c>
      <c r="M26" s="37" t="n">
        <v>1</v>
      </c>
      <c r="N26" s="37" t="n">
        <v>1</v>
      </c>
      <c r="O26" s="37" t="n">
        <v>1</v>
      </c>
      <c r="P26" s="37" t="n">
        <v>1</v>
      </c>
    </row>
    <row r="27" customFormat="false" ht="15" hidden="false" customHeight="false" outlineLevel="0" collapsed="false">
      <c r="A27" s="15" t="n">
        <v>22</v>
      </c>
      <c r="B27" s="16" t="s">
        <v>597</v>
      </c>
      <c r="C27" s="16" t="s">
        <v>584</v>
      </c>
      <c r="D27" s="16" t="s">
        <v>574</v>
      </c>
      <c r="E27" s="37" t="n">
        <v>2798309</v>
      </c>
      <c r="F27" s="38" t="n">
        <f aca="false">E27</f>
        <v>2798309</v>
      </c>
      <c r="G27" s="37" t="n">
        <v>1</v>
      </c>
      <c r="H27" s="37" t="n">
        <v>1</v>
      </c>
      <c r="I27" s="37" t="n">
        <v>1</v>
      </c>
      <c r="J27" s="37" t="n">
        <v>1</v>
      </c>
      <c r="K27" s="37" t="n">
        <v>1</v>
      </c>
      <c r="L27" s="37" t="n">
        <v>1</v>
      </c>
      <c r="M27" s="37" t="n">
        <v>1</v>
      </c>
      <c r="N27" s="37" t="n">
        <v>1</v>
      </c>
      <c r="O27" s="37" t="n">
        <v>1</v>
      </c>
      <c r="P27" s="37" t="n">
        <v>1</v>
      </c>
    </row>
    <row r="28" customFormat="false" ht="15" hidden="false" customHeight="false" outlineLevel="0" collapsed="false">
      <c r="A28" s="15" t="n">
        <v>23</v>
      </c>
      <c r="B28" s="16" t="s">
        <v>598</v>
      </c>
      <c r="C28" s="16" t="s">
        <v>584</v>
      </c>
      <c r="D28" s="16" t="s">
        <v>574</v>
      </c>
      <c r="E28" s="37" t="n">
        <v>6550000</v>
      </c>
      <c r="F28" s="38" t="n">
        <f aca="false">E28</f>
        <v>6550000</v>
      </c>
      <c r="G28" s="37" t="n">
        <v>1</v>
      </c>
      <c r="H28" s="37" t="n">
        <v>1</v>
      </c>
      <c r="I28" s="37" t="n">
        <v>1</v>
      </c>
      <c r="J28" s="37" t="n">
        <v>1</v>
      </c>
      <c r="K28" s="37" t="n">
        <v>1</v>
      </c>
      <c r="L28" s="37" t="n">
        <v>1</v>
      </c>
      <c r="M28" s="37" t="n">
        <v>1</v>
      </c>
      <c r="N28" s="37" t="n">
        <v>1</v>
      </c>
      <c r="O28" s="37" t="n">
        <v>1</v>
      </c>
      <c r="P28" s="37" t="n">
        <v>1</v>
      </c>
    </row>
    <row r="29" customFormat="false" ht="15" hidden="false" customHeight="false" outlineLevel="0" collapsed="false">
      <c r="A29" s="15" t="n">
        <v>24</v>
      </c>
      <c r="B29" s="16" t="s">
        <v>599</v>
      </c>
      <c r="C29" s="16" t="s">
        <v>584</v>
      </c>
      <c r="D29" s="16" t="s">
        <v>574</v>
      </c>
      <c r="E29" s="37" t="n">
        <v>2798309</v>
      </c>
      <c r="F29" s="38" t="n">
        <f aca="false">E29</f>
        <v>2798309</v>
      </c>
      <c r="G29" s="37" t="n">
        <v>1</v>
      </c>
      <c r="H29" s="37" t="n">
        <v>1</v>
      </c>
      <c r="I29" s="37" t="n">
        <v>1</v>
      </c>
      <c r="J29" s="37" t="n">
        <v>1</v>
      </c>
      <c r="K29" s="37" t="n">
        <v>1</v>
      </c>
      <c r="L29" s="37" t="n">
        <v>1</v>
      </c>
      <c r="M29" s="37" t="n">
        <v>1</v>
      </c>
      <c r="N29" s="37" t="n">
        <v>1</v>
      </c>
      <c r="O29" s="37" t="n">
        <v>1</v>
      </c>
      <c r="P29" s="37" t="n">
        <v>1</v>
      </c>
    </row>
    <row r="30" customFormat="false" ht="15" hidden="false" customHeight="false" outlineLevel="0" collapsed="false">
      <c r="A30" s="15" t="n">
        <v>25</v>
      </c>
      <c r="B30" s="16" t="s">
        <v>600</v>
      </c>
      <c r="C30" s="16" t="s">
        <v>582</v>
      </c>
      <c r="D30" s="16" t="s">
        <v>574</v>
      </c>
      <c r="E30" s="37" t="n">
        <v>9800000</v>
      </c>
      <c r="F30" s="38" t="n">
        <f aca="false">E30</f>
        <v>9800000</v>
      </c>
      <c r="G30" s="37" t="n">
        <v>1</v>
      </c>
      <c r="H30" s="37" t="n">
        <v>1</v>
      </c>
      <c r="I30" s="37" t="n">
        <v>1</v>
      </c>
      <c r="J30" s="37" t="n">
        <v>1</v>
      </c>
      <c r="K30" s="37" t="n">
        <v>1</v>
      </c>
      <c r="L30" s="37" t="n">
        <v>1</v>
      </c>
      <c r="M30" s="37" t="n">
        <v>1</v>
      </c>
      <c r="N30" s="37" t="n">
        <v>1</v>
      </c>
      <c r="O30" s="37" t="n">
        <v>1</v>
      </c>
      <c r="P30" s="37" t="n">
        <v>1</v>
      </c>
    </row>
    <row r="31" customFormat="false" ht="15" hidden="false" customHeight="false" outlineLevel="0" collapsed="false">
      <c r="A31" s="15" t="n">
        <v>26</v>
      </c>
      <c r="B31" s="16" t="s">
        <v>601</v>
      </c>
      <c r="C31" s="16" t="s">
        <v>582</v>
      </c>
      <c r="D31" s="16" t="s">
        <v>574</v>
      </c>
      <c r="E31" s="37" t="n">
        <v>2798309</v>
      </c>
      <c r="F31" s="38" t="n">
        <f aca="false">E31</f>
        <v>2798309</v>
      </c>
      <c r="G31" s="37" t="n">
        <v>1</v>
      </c>
      <c r="H31" s="37" t="n">
        <v>1</v>
      </c>
      <c r="I31" s="37" t="n">
        <v>1</v>
      </c>
      <c r="J31" s="37" t="n">
        <v>1</v>
      </c>
      <c r="K31" s="37" t="n">
        <v>1</v>
      </c>
      <c r="L31" s="37" t="n">
        <v>1</v>
      </c>
      <c r="M31" s="37" t="n">
        <v>1</v>
      </c>
      <c r="N31" s="37" t="n">
        <v>1</v>
      </c>
      <c r="O31" s="37" t="n">
        <v>1</v>
      </c>
      <c r="P31" s="37" t="n">
        <v>1</v>
      </c>
    </row>
    <row r="32" customFormat="false" ht="15" hidden="false" customHeight="false" outlineLevel="0" collapsed="false">
      <c r="A32" s="15" t="n">
        <v>27</v>
      </c>
      <c r="B32" s="16"/>
      <c r="C32" s="16"/>
      <c r="D32" s="16"/>
      <c r="E32" s="37"/>
      <c r="F32" s="38" t="n">
        <f aca="false">E32</f>
        <v>0</v>
      </c>
      <c r="G32" s="37"/>
      <c r="H32" s="37"/>
      <c r="I32" s="37"/>
      <c r="J32" s="37"/>
      <c r="K32" s="37"/>
      <c r="L32" s="37"/>
      <c r="M32" s="37"/>
      <c r="N32" s="37"/>
      <c r="O32" s="37"/>
      <c r="P32" s="37"/>
    </row>
    <row r="33" customFormat="false" ht="15" hidden="false" customHeight="false" outlineLevel="0" collapsed="false">
      <c r="A33" s="15" t="n">
        <v>28</v>
      </c>
      <c r="B33" s="16"/>
      <c r="C33" s="16"/>
      <c r="D33" s="16"/>
      <c r="E33" s="37"/>
      <c r="F33" s="38" t="n">
        <f aca="false">E33</f>
        <v>0</v>
      </c>
      <c r="G33" s="37"/>
      <c r="H33" s="37"/>
      <c r="I33" s="37"/>
      <c r="J33" s="37"/>
      <c r="K33" s="37"/>
      <c r="L33" s="37"/>
      <c r="M33" s="37"/>
      <c r="N33" s="37"/>
      <c r="O33" s="37"/>
      <c r="P33" s="37"/>
    </row>
    <row r="34" customFormat="false" ht="15" hidden="false" customHeight="false" outlineLevel="0" collapsed="false">
      <c r="A34" s="15" t="n">
        <v>29</v>
      </c>
      <c r="B34" s="16"/>
      <c r="C34" s="16"/>
      <c r="D34" s="16"/>
      <c r="E34" s="37"/>
      <c r="F34" s="38" t="n">
        <f aca="false">E34</f>
        <v>0</v>
      </c>
      <c r="G34" s="37"/>
      <c r="H34" s="37"/>
      <c r="I34" s="37"/>
      <c r="J34" s="37"/>
      <c r="K34" s="37"/>
      <c r="L34" s="37"/>
      <c r="M34" s="37"/>
      <c r="N34" s="37"/>
      <c r="O34" s="37"/>
      <c r="P34" s="37"/>
    </row>
    <row r="35" customFormat="false" ht="15" hidden="false" customHeight="false" outlineLevel="0" collapsed="false">
      <c r="A35" s="15" t="n">
        <v>30</v>
      </c>
      <c r="B35" s="16"/>
      <c r="C35" s="16"/>
      <c r="D35" s="16"/>
      <c r="E35" s="37"/>
      <c r="F35" s="38" t="n">
        <f aca="false">E35</f>
        <v>0</v>
      </c>
      <c r="G35" s="37"/>
      <c r="H35" s="37"/>
      <c r="I35" s="37"/>
      <c r="J35" s="37"/>
      <c r="K35" s="37"/>
      <c r="L35" s="37"/>
      <c r="M35" s="37"/>
      <c r="N35" s="37"/>
      <c r="O35" s="37"/>
      <c r="P35" s="37"/>
    </row>
    <row r="36" customFormat="false" ht="15" hidden="false" customHeight="false" outlineLevel="0" collapsed="false">
      <c r="B36" s="20" t="s">
        <v>602</v>
      </c>
      <c r="G36" s="54" t="n">
        <f aca="false">SUM(G6:G35)</f>
        <v>65</v>
      </c>
      <c r="H36" s="54" t="n">
        <f aca="false">SUM(H6:H35)</f>
        <v>65</v>
      </c>
      <c r="I36" s="54" t="n">
        <f aca="false">SUM(I6:I35)</f>
        <v>68</v>
      </c>
      <c r="J36" s="54" t="n">
        <f aca="false">SUM(J6:J35)</f>
        <v>71</v>
      </c>
      <c r="K36" s="54" t="n">
        <f aca="false">SUM(K6:K35)</f>
        <v>74</v>
      </c>
      <c r="L36" s="54" t="n">
        <f aca="false">SUM(L6:L35)</f>
        <v>74</v>
      </c>
      <c r="M36" s="54" t="n">
        <f aca="false">SUM(M6:M35)</f>
        <v>74</v>
      </c>
      <c r="N36" s="54" t="n">
        <f aca="false">SUM(N6:N35)</f>
        <v>74</v>
      </c>
      <c r="O36" s="54" t="n">
        <f aca="false">SUM(O6:O35)</f>
        <v>74</v>
      </c>
      <c r="P36" s="54" t="n">
        <f aca="false">SUM(P6:P35)</f>
        <v>74</v>
      </c>
    </row>
    <row r="37" customFormat="false" ht="15" hidden="false" customHeight="false" outlineLevel="0" collapsed="false">
      <c r="B37" s="11" t="s">
        <v>603</v>
      </c>
    </row>
    <row r="39" customFormat="false" ht="15" hidden="false" customHeight="false" outlineLevel="0" collapsed="false">
      <c r="A39" s="12" t="s">
        <v>604</v>
      </c>
      <c r="B39" s="13"/>
      <c r="C39" s="13"/>
      <c r="D39" s="13"/>
      <c r="E39" s="13"/>
      <c r="F39" s="13"/>
      <c r="G39" s="13"/>
      <c r="H39" s="13"/>
      <c r="I39" s="13"/>
      <c r="J39" s="13"/>
      <c r="K39" s="13"/>
      <c r="L39" s="13"/>
      <c r="M39" s="13"/>
      <c r="N39" s="13"/>
      <c r="O39" s="13"/>
      <c r="P39" s="13"/>
      <c r="Q39" s="13"/>
    </row>
    <row r="40" customFormat="false" ht="15" hidden="false" customHeight="false" outlineLevel="0" collapsed="false">
      <c r="A40" s="14" t="s">
        <v>530</v>
      </c>
      <c r="B40" s="14" t="s">
        <v>557</v>
      </c>
      <c r="C40" s="14" t="s">
        <v>558</v>
      </c>
      <c r="D40" s="14"/>
      <c r="E40" s="14"/>
      <c r="F40" s="14"/>
      <c r="G40" s="14" t="s">
        <v>562</v>
      </c>
      <c r="H40" s="14" t="s">
        <v>563</v>
      </c>
      <c r="I40" s="14" t="s">
        <v>564</v>
      </c>
      <c r="J40" s="14" t="s">
        <v>565</v>
      </c>
      <c r="K40" s="14" t="s">
        <v>566</v>
      </c>
      <c r="L40" s="14" t="s">
        <v>567</v>
      </c>
      <c r="M40" s="14" t="s">
        <v>568</v>
      </c>
      <c r="N40" s="14" t="s">
        <v>569</v>
      </c>
      <c r="O40" s="14" t="s">
        <v>570</v>
      </c>
      <c r="P40" s="14" t="s">
        <v>571</v>
      </c>
    </row>
    <row r="41" customFormat="false" ht="15" hidden="false" customHeight="false" outlineLevel="0" collapsed="false">
      <c r="A41" s="15" t="n">
        <v>1</v>
      </c>
      <c r="B41" s="53" t="str">
        <f aca="false">IF(B6="","",B6)</f>
        <v>Operador láser</v>
      </c>
      <c r="C41" s="53" t="str">
        <f aca="false">IF(C6="","",C6)</f>
        <v>Directo</v>
      </c>
      <c r="G41" s="38" t="n">
        <f aca="false">G6</f>
        <v>4</v>
      </c>
      <c r="H41" s="38" t="n">
        <f aca="false">H6</f>
        <v>4</v>
      </c>
      <c r="I41" s="38" t="n">
        <f aca="false">I6</f>
        <v>5</v>
      </c>
      <c r="J41" s="38" t="n">
        <f aca="false">J6</f>
        <v>5</v>
      </c>
      <c r="K41" s="38" t="n">
        <f aca="false">K6</f>
        <v>6</v>
      </c>
      <c r="L41" s="38" t="n">
        <f aca="false">L6</f>
        <v>6</v>
      </c>
      <c r="M41" s="38" t="n">
        <f aca="false">M6</f>
        <v>6</v>
      </c>
      <c r="N41" s="38" t="n">
        <f aca="false">N6</f>
        <v>6</v>
      </c>
      <c r="O41" s="38" t="n">
        <f aca="false">O6</f>
        <v>6</v>
      </c>
      <c r="P41" s="38" t="n">
        <f aca="false">P6</f>
        <v>6</v>
      </c>
    </row>
    <row r="42" customFormat="false" ht="15" hidden="false" customHeight="false" outlineLevel="0" collapsed="false">
      <c r="A42" s="15" t="n">
        <v>2</v>
      </c>
      <c r="B42" s="53" t="str">
        <f aca="false">IF(B7="","",B7)</f>
        <v>Doblador</v>
      </c>
      <c r="C42" s="53" t="str">
        <f aca="false">IF(C7="","",C7)</f>
        <v>Directo</v>
      </c>
      <c r="G42" s="38" t="n">
        <f aca="false">G7</f>
        <v>8</v>
      </c>
      <c r="H42" s="38" t="n">
        <f aca="false">H7</f>
        <v>8</v>
      </c>
      <c r="I42" s="38" t="n">
        <f aca="false">I7</f>
        <v>9</v>
      </c>
      <c r="J42" s="38" t="n">
        <f aca="false">J7</f>
        <v>9</v>
      </c>
      <c r="K42" s="38" t="n">
        <f aca="false">K7</f>
        <v>10</v>
      </c>
      <c r="L42" s="38" t="n">
        <f aca="false">L7</f>
        <v>10</v>
      </c>
      <c r="M42" s="38" t="n">
        <f aca="false">M7</f>
        <v>10</v>
      </c>
      <c r="N42" s="38" t="n">
        <f aca="false">N7</f>
        <v>10</v>
      </c>
      <c r="O42" s="38" t="n">
        <f aca="false">O7</f>
        <v>10</v>
      </c>
      <c r="P42" s="38" t="n">
        <f aca="false">P7</f>
        <v>10</v>
      </c>
    </row>
    <row r="43" customFormat="false" ht="15" hidden="false" customHeight="false" outlineLevel="0" collapsed="false">
      <c r="A43" s="15" t="n">
        <v>3</v>
      </c>
      <c r="B43" s="53" t="str">
        <f aca="false">IF(B8="","",B8)</f>
        <v>Soldador</v>
      </c>
      <c r="C43" s="53" t="str">
        <f aca="false">IF(C8="","",C8)</f>
        <v>Directo</v>
      </c>
      <c r="G43" s="38" t="n">
        <f aca="false">G8</f>
        <v>5</v>
      </c>
      <c r="H43" s="38" t="n">
        <f aca="false">H8</f>
        <v>5</v>
      </c>
      <c r="I43" s="38" t="n">
        <f aca="false">I8</f>
        <v>6</v>
      </c>
      <c r="J43" s="38" t="n">
        <f aca="false">J8</f>
        <v>6</v>
      </c>
      <c r="K43" s="38" t="n">
        <f aca="false">K8</f>
        <v>6</v>
      </c>
      <c r="L43" s="38" t="n">
        <f aca="false">L8</f>
        <v>6</v>
      </c>
      <c r="M43" s="38" t="n">
        <f aca="false">M8</f>
        <v>6</v>
      </c>
      <c r="N43" s="38" t="n">
        <f aca="false">N8</f>
        <v>6</v>
      </c>
      <c r="O43" s="38" t="n">
        <f aca="false">O8</f>
        <v>6</v>
      </c>
      <c r="P43" s="38" t="n">
        <f aca="false">P8</f>
        <v>6</v>
      </c>
    </row>
    <row r="44" customFormat="false" ht="15" hidden="false" customHeight="false" outlineLevel="0" collapsed="false">
      <c r="A44" s="15" t="n">
        <v>4</v>
      </c>
      <c r="B44" s="53" t="str">
        <f aca="false">IF(B9="","",B9)</f>
        <v>Baño</v>
      </c>
      <c r="C44" s="53" t="str">
        <f aca="false">IF(C9="","",C9)</f>
        <v>Directo</v>
      </c>
      <c r="G44" s="38" t="n">
        <f aca="false">G9</f>
        <v>2</v>
      </c>
      <c r="H44" s="38" t="n">
        <f aca="false">H9</f>
        <v>2</v>
      </c>
      <c r="I44" s="38" t="n">
        <f aca="false">I9</f>
        <v>2</v>
      </c>
      <c r="J44" s="38" t="n">
        <f aca="false">J9</f>
        <v>2</v>
      </c>
      <c r="K44" s="38" t="n">
        <f aca="false">K9</f>
        <v>3</v>
      </c>
      <c r="L44" s="38" t="n">
        <f aca="false">L9</f>
        <v>3</v>
      </c>
      <c r="M44" s="38" t="n">
        <f aca="false">M9</f>
        <v>3</v>
      </c>
      <c r="N44" s="38" t="n">
        <f aca="false">N9</f>
        <v>3</v>
      </c>
      <c r="O44" s="38" t="n">
        <f aca="false">O9</f>
        <v>3</v>
      </c>
      <c r="P44" s="38" t="n">
        <f aca="false">P9</f>
        <v>3</v>
      </c>
    </row>
    <row r="45" customFormat="false" ht="15" hidden="false" customHeight="false" outlineLevel="0" collapsed="false">
      <c r="A45" s="15" t="n">
        <v>5</v>
      </c>
      <c r="B45" s="53" t="str">
        <f aca="false">IF(B10="","",B10)</f>
        <v>Pintor</v>
      </c>
      <c r="C45" s="53" t="str">
        <f aca="false">IF(C10="","",C10)</f>
        <v>Directo</v>
      </c>
      <c r="G45" s="38" t="n">
        <f aca="false">G10</f>
        <v>4</v>
      </c>
      <c r="H45" s="38" t="n">
        <f aca="false">H10</f>
        <v>4</v>
      </c>
      <c r="I45" s="38" t="n">
        <f aca="false">I10</f>
        <v>4</v>
      </c>
      <c r="J45" s="38" t="n">
        <f aca="false">J10</f>
        <v>5</v>
      </c>
      <c r="K45" s="38" t="n">
        <f aca="false">K10</f>
        <v>5</v>
      </c>
      <c r="L45" s="38" t="n">
        <f aca="false">L10</f>
        <v>5</v>
      </c>
      <c r="M45" s="38" t="n">
        <f aca="false">M10</f>
        <v>5</v>
      </c>
      <c r="N45" s="38" t="n">
        <f aca="false">N10</f>
        <v>5</v>
      </c>
      <c r="O45" s="38" t="n">
        <f aca="false">O10</f>
        <v>5</v>
      </c>
      <c r="P45" s="38" t="n">
        <f aca="false">P10</f>
        <v>5</v>
      </c>
    </row>
    <row r="46" customFormat="false" ht="15" hidden="false" customHeight="false" outlineLevel="0" collapsed="false">
      <c r="A46" s="15" t="n">
        <v>6</v>
      </c>
      <c r="B46" s="53" t="str">
        <f aca="false">IF(B11="","",B11)</f>
        <v>Montador</v>
      </c>
      <c r="C46" s="53" t="str">
        <f aca="false">IF(C11="","",C11)</f>
        <v>Directo</v>
      </c>
      <c r="G46" s="38" t="n">
        <f aca="false">G11</f>
        <v>10</v>
      </c>
      <c r="H46" s="38" t="n">
        <f aca="false">H11</f>
        <v>10</v>
      </c>
      <c r="I46" s="38" t="n">
        <f aca="false">I11</f>
        <v>10</v>
      </c>
      <c r="J46" s="38" t="n">
        <f aca="false">J11</f>
        <v>11</v>
      </c>
      <c r="K46" s="38" t="n">
        <f aca="false">K11</f>
        <v>11</v>
      </c>
      <c r="L46" s="38" t="n">
        <f aca="false">L11</f>
        <v>11</v>
      </c>
      <c r="M46" s="38" t="n">
        <f aca="false">M11</f>
        <v>11</v>
      </c>
      <c r="N46" s="38" t="n">
        <f aca="false">N11</f>
        <v>11</v>
      </c>
      <c r="O46" s="38" t="n">
        <f aca="false">O11</f>
        <v>11</v>
      </c>
      <c r="P46" s="38" t="n">
        <f aca="false">P11</f>
        <v>11</v>
      </c>
    </row>
    <row r="47" customFormat="false" ht="15" hidden="false" customHeight="false" outlineLevel="0" collapsed="false">
      <c r="A47" s="15" t="n">
        <v>7</v>
      </c>
      <c r="B47" s="53" t="str">
        <f aca="false">IF(B12="","",B12)</f>
        <v>Ayudante</v>
      </c>
      <c r="C47" s="53" t="str">
        <f aca="false">IF(C12="","",C12)</f>
        <v>Directo</v>
      </c>
      <c r="G47" s="38" t="n">
        <f aca="false">G12</f>
        <v>10</v>
      </c>
      <c r="H47" s="38" t="n">
        <f aca="false">H12</f>
        <v>10</v>
      </c>
      <c r="I47" s="38" t="n">
        <f aca="false">I12</f>
        <v>10</v>
      </c>
      <c r="J47" s="38" t="n">
        <f aca="false">J12</f>
        <v>11</v>
      </c>
      <c r="K47" s="38" t="n">
        <f aca="false">K12</f>
        <v>11</v>
      </c>
      <c r="L47" s="38" t="n">
        <f aca="false">L12</f>
        <v>11</v>
      </c>
      <c r="M47" s="38" t="n">
        <f aca="false">M12</f>
        <v>11</v>
      </c>
      <c r="N47" s="38" t="n">
        <f aca="false">N12</f>
        <v>11</v>
      </c>
      <c r="O47" s="38" t="n">
        <f aca="false">O12</f>
        <v>11</v>
      </c>
      <c r="P47" s="38" t="n">
        <f aca="false">P12</f>
        <v>11</v>
      </c>
    </row>
    <row r="48" customFormat="false" ht="15" hidden="false" customHeight="false" outlineLevel="0" collapsed="false">
      <c r="A48" s="15" t="n">
        <v>8</v>
      </c>
      <c r="B48" s="53" t="str">
        <f aca="false">IF(B13="","",B13)</f>
        <v>Gerente General</v>
      </c>
      <c r="C48" s="53" t="str">
        <f aca="false">IF(C13="","",C13)</f>
        <v>Administración</v>
      </c>
      <c r="G48" s="38" t="n">
        <f aca="false">G13</f>
        <v>1</v>
      </c>
      <c r="H48" s="38" t="n">
        <f aca="false">H13</f>
        <v>1</v>
      </c>
      <c r="I48" s="38" t="n">
        <f aca="false">I13</f>
        <v>1</v>
      </c>
      <c r="J48" s="38" t="n">
        <f aca="false">J13</f>
        <v>1</v>
      </c>
      <c r="K48" s="38" t="n">
        <f aca="false">K13</f>
        <v>1</v>
      </c>
      <c r="L48" s="38" t="n">
        <f aca="false">L13</f>
        <v>1</v>
      </c>
      <c r="M48" s="38" t="n">
        <f aca="false">M13</f>
        <v>1</v>
      </c>
      <c r="N48" s="38" t="n">
        <f aca="false">N13</f>
        <v>1</v>
      </c>
      <c r="O48" s="38" t="n">
        <f aca="false">O13</f>
        <v>1</v>
      </c>
      <c r="P48" s="38" t="n">
        <f aca="false">P13</f>
        <v>1</v>
      </c>
    </row>
    <row r="49" customFormat="false" ht="15" hidden="false" customHeight="false" outlineLevel="0" collapsed="false">
      <c r="A49" s="15" t="n">
        <v>9</v>
      </c>
      <c r="B49" s="53" t="str">
        <f aca="false">IF(B14="","",B14)</f>
        <v>Gerente Industrial</v>
      </c>
      <c r="C49" s="53" t="str">
        <f aca="false">IF(C14="","",C14)</f>
        <v>Indirecto</v>
      </c>
      <c r="G49" s="38" t="n">
        <f aca="false">G14</f>
        <v>1</v>
      </c>
      <c r="H49" s="38" t="n">
        <f aca="false">H14</f>
        <v>1</v>
      </c>
      <c r="I49" s="38" t="n">
        <f aca="false">I14</f>
        <v>1</v>
      </c>
      <c r="J49" s="38" t="n">
        <f aca="false">J14</f>
        <v>1</v>
      </c>
      <c r="K49" s="38" t="n">
        <f aca="false">K14</f>
        <v>1</v>
      </c>
      <c r="L49" s="38" t="n">
        <f aca="false">L14</f>
        <v>1</v>
      </c>
      <c r="M49" s="38" t="n">
        <f aca="false">M14</f>
        <v>1</v>
      </c>
      <c r="N49" s="38" t="n">
        <f aca="false">N14</f>
        <v>1</v>
      </c>
      <c r="O49" s="38" t="n">
        <f aca="false">O14</f>
        <v>1</v>
      </c>
      <c r="P49" s="38" t="n">
        <f aca="false">P14</f>
        <v>1</v>
      </c>
    </row>
    <row r="50" customFormat="false" ht="15" hidden="false" customHeight="false" outlineLevel="0" collapsed="false">
      <c r="A50" s="15" t="n">
        <v>10</v>
      </c>
      <c r="B50" s="53" t="str">
        <f aca="false">IF(B15="","",B15)</f>
        <v>Coord. Prod. Corte y Deformación</v>
      </c>
      <c r="C50" s="53" t="str">
        <f aca="false">IF(C15="","",C15)</f>
        <v>Indirecto</v>
      </c>
      <c r="G50" s="38" t="n">
        <f aca="false">G15</f>
        <v>1</v>
      </c>
      <c r="H50" s="38" t="n">
        <f aca="false">H15</f>
        <v>1</v>
      </c>
      <c r="I50" s="38" t="n">
        <f aca="false">I15</f>
        <v>1</v>
      </c>
      <c r="J50" s="38" t="n">
        <f aca="false">J15</f>
        <v>1</v>
      </c>
      <c r="K50" s="38" t="n">
        <f aca="false">K15</f>
        <v>1</v>
      </c>
      <c r="L50" s="38" t="n">
        <f aca="false">L15</f>
        <v>1</v>
      </c>
      <c r="M50" s="38" t="n">
        <f aca="false">M15</f>
        <v>1</v>
      </c>
      <c r="N50" s="38" t="n">
        <f aca="false">N15</f>
        <v>1</v>
      </c>
      <c r="O50" s="38" t="n">
        <f aca="false">O15</f>
        <v>1</v>
      </c>
      <c r="P50" s="38" t="n">
        <f aca="false">P15</f>
        <v>1</v>
      </c>
    </row>
    <row r="51" customFormat="false" ht="15" hidden="false" customHeight="false" outlineLevel="0" collapsed="false">
      <c r="A51" s="15" t="n">
        <v>11</v>
      </c>
      <c r="B51" s="53" t="str">
        <f aca="false">IF(B16="","",B16)</f>
        <v>Coord. Prod. Soldadura</v>
      </c>
      <c r="C51" s="53" t="str">
        <f aca="false">IF(C16="","",C16)</f>
        <v>Indirecto</v>
      </c>
      <c r="G51" s="38" t="n">
        <f aca="false">G16</f>
        <v>1</v>
      </c>
      <c r="H51" s="38" t="n">
        <f aca="false">H16</f>
        <v>1</v>
      </c>
      <c r="I51" s="38" t="n">
        <f aca="false">I16</f>
        <v>1</v>
      </c>
      <c r="J51" s="38" t="n">
        <f aca="false">J16</f>
        <v>1</v>
      </c>
      <c r="K51" s="38" t="n">
        <f aca="false">K16</f>
        <v>1</v>
      </c>
      <c r="L51" s="38" t="n">
        <f aca="false">L16</f>
        <v>1</v>
      </c>
      <c r="M51" s="38" t="n">
        <f aca="false">M16</f>
        <v>1</v>
      </c>
      <c r="N51" s="38" t="n">
        <f aca="false">N16</f>
        <v>1</v>
      </c>
      <c r="O51" s="38" t="n">
        <f aca="false">O16</f>
        <v>1</v>
      </c>
      <c r="P51" s="38" t="n">
        <f aca="false">P16</f>
        <v>1</v>
      </c>
    </row>
    <row r="52" customFormat="false" ht="15" hidden="false" customHeight="false" outlineLevel="0" collapsed="false">
      <c r="A52" s="15" t="n">
        <v>12</v>
      </c>
      <c r="B52" s="53" t="str">
        <f aca="false">IF(B17="","",B17)</f>
        <v>Coord. Prod. Trat. Sup. y Pintura</v>
      </c>
      <c r="C52" s="53" t="str">
        <f aca="false">IF(C17="","",C17)</f>
        <v>Indirecto</v>
      </c>
      <c r="G52" s="38" t="n">
        <f aca="false">G17</f>
        <v>1</v>
      </c>
      <c r="H52" s="38" t="n">
        <f aca="false">H17</f>
        <v>1</v>
      </c>
      <c r="I52" s="38" t="n">
        <f aca="false">I17</f>
        <v>1</v>
      </c>
      <c r="J52" s="38" t="n">
        <f aca="false">J17</f>
        <v>1</v>
      </c>
      <c r="K52" s="38" t="n">
        <f aca="false">K17</f>
        <v>1</v>
      </c>
      <c r="L52" s="38" t="n">
        <f aca="false">L17</f>
        <v>1</v>
      </c>
      <c r="M52" s="38" t="n">
        <f aca="false">M17</f>
        <v>1</v>
      </c>
      <c r="N52" s="38" t="n">
        <f aca="false">N17</f>
        <v>1</v>
      </c>
      <c r="O52" s="38" t="n">
        <f aca="false">O17</f>
        <v>1</v>
      </c>
      <c r="P52" s="38" t="n">
        <f aca="false">P17</f>
        <v>1</v>
      </c>
    </row>
    <row r="53" customFormat="false" ht="15" hidden="false" customHeight="false" outlineLevel="0" collapsed="false">
      <c r="A53" s="15" t="n">
        <v>13</v>
      </c>
      <c r="B53" s="53" t="str">
        <f aca="false">IF(B18="","",B18)</f>
        <v>Coord. Prod. Montaje</v>
      </c>
      <c r="C53" s="53" t="str">
        <f aca="false">IF(C18="","",C18)</f>
        <v>Indirecto</v>
      </c>
      <c r="G53" s="38" t="n">
        <f aca="false">G18</f>
        <v>1</v>
      </c>
      <c r="H53" s="38" t="n">
        <f aca="false">H18</f>
        <v>1</v>
      </c>
      <c r="I53" s="38" t="n">
        <f aca="false">I18</f>
        <v>1</v>
      </c>
      <c r="J53" s="38" t="n">
        <f aca="false">J18</f>
        <v>1</v>
      </c>
      <c r="K53" s="38" t="n">
        <f aca="false">K18</f>
        <v>1</v>
      </c>
      <c r="L53" s="38" t="n">
        <f aca="false">L18</f>
        <v>1</v>
      </c>
      <c r="M53" s="38" t="n">
        <f aca="false">M18</f>
        <v>1</v>
      </c>
      <c r="N53" s="38" t="n">
        <f aca="false">N18</f>
        <v>1</v>
      </c>
      <c r="O53" s="38" t="n">
        <f aca="false">O18</f>
        <v>1</v>
      </c>
      <c r="P53" s="38" t="n">
        <f aca="false">P18</f>
        <v>1</v>
      </c>
    </row>
    <row r="54" customFormat="false" ht="15" hidden="false" customHeight="false" outlineLevel="0" collapsed="false">
      <c r="A54" s="15" t="n">
        <v>14</v>
      </c>
      <c r="B54" s="53" t="str">
        <f aca="false">IF(B19="","",B19)</f>
        <v>Ingeniería</v>
      </c>
      <c r="C54" s="53" t="str">
        <f aca="false">IF(C19="","",C19)</f>
        <v>Indirecto</v>
      </c>
      <c r="G54" s="38" t="n">
        <f aca="false">G19</f>
        <v>3</v>
      </c>
      <c r="H54" s="38" t="n">
        <f aca="false">H19</f>
        <v>3</v>
      </c>
      <c r="I54" s="38" t="n">
        <f aca="false">I19</f>
        <v>3</v>
      </c>
      <c r="J54" s="38" t="n">
        <f aca="false">J19</f>
        <v>3</v>
      </c>
      <c r="K54" s="38" t="n">
        <f aca="false">K19</f>
        <v>3</v>
      </c>
      <c r="L54" s="38" t="n">
        <f aca="false">L19</f>
        <v>3</v>
      </c>
      <c r="M54" s="38" t="n">
        <f aca="false">M19</f>
        <v>3</v>
      </c>
      <c r="N54" s="38" t="n">
        <f aca="false">N19</f>
        <v>3</v>
      </c>
      <c r="O54" s="38" t="n">
        <f aca="false">O19</f>
        <v>3</v>
      </c>
      <c r="P54" s="38" t="n">
        <f aca="false">P19</f>
        <v>3</v>
      </c>
    </row>
    <row r="55" customFormat="false" ht="15" hidden="false" customHeight="false" outlineLevel="0" collapsed="false">
      <c r="A55" s="15" t="n">
        <v>15</v>
      </c>
      <c r="B55" s="53" t="str">
        <f aca="false">IF(B20="","",B20)</f>
        <v>Mantenimiento</v>
      </c>
      <c r="C55" s="53" t="str">
        <f aca="false">IF(C20="","",C20)</f>
        <v>Indirecto</v>
      </c>
      <c r="G55" s="38" t="n">
        <f aca="false">G20</f>
        <v>2</v>
      </c>
      <c r="H55" s="38" t="n">
        <f aca="false">H20</f>
        <v>2</v>
      </c>
      <c r="I55" s="38" t="n">
        <f aca="false">I20</f>
        <v>2</v>
      </c>
      <c r="J55" s="38" t="n">
        <f aca="false">J20</f>
        <v>2</v>
      </c>
      <c r="K55" s="38" t="n">
        <f aca="false">K20</f>
        <v>2</v>
      </c>
      <c r="L55" s="38" t="n">
        <f aca="false">L20</f>
        <v>2</v>
      </c>
      <c r="M55" s="38" t="n">
        <f aca="false">M20</f>
        <v>2</v>
      </c>
      <c r="N55" s="38" t="n">
        <f aca="false">N20</f>
        <v>2</v>
      </c>
      <c r="O55" s="38" t="n">
        <f aca="false">O20</f>
        <v>2</v>
      </c>
      <c r="P55" s="38" t="n">
        <f aca="false">P20</f>
        <v>2</v>
      </c>
    </row>
    <row r="56" customFormat="false" ht="15" hidden="false" customHeight="false" outlineLevel="0" collapsed="false">
      <c r="A56" s="15" t="n">
        <v>16</v>
      </c>
      <c r="B56" s="53" t="str">
        <f aca="false">IF(B21="","",B21)</f>
        <v>PCP</v>
      </c>
      <c r="C56" s="53" t="str">
        <f aca="false">IF(C21="","",C21)</f>
        <v>Indirecto</v>
      </c>
      <c r="G56" s="38" t="n">
        <f aca="false">G21</f>
        <v>1</v>
      </c>
      <c r="H56" s="38" t="n">
        <f aca="false">H21</f>
        <v>1</v>
      </c>
      <c r="I56" s="38" t="n">
        <f aca="false">I21</f>
        <v>1</v>
      </c>
      <c r="J56" s="38" t="n">
        <f aca="false">J21</f>
        <v>1</v>
      </c>
      <c r="K56" s="38" t="n">
        <f aca="false">K21</f>
        <v>1</v>
      </c>
      <c r="L56" s="38" t="n">
        <f aca="false">L21</f>
        <v>1</v>
      </c>
      <c r="M56" s="38" t="n">
        <f aca="false">M21</f>
        <v>1</v>
      </c>
      <c r="N56" s="38" t="n">
        <f aca="false">N21</f>
        <v>1</v>
      </c>
      <c r="O56" s="38" t="n">
        <f aca="false">O21</f>
        <v>1</v>
      </c>
      <c r="P56" s="38" t="n">
        <f aca="false">P21</f>
        <v>1</v>
      </c>
    </row>
    <row r="57" customFormat="false" ht="15" hidden="false" customHeight="false" outlineLevel="0" collapsed="false">
      <c r="A57" s="15" t="n">
        <v>17</v>
      </c>
      <c r="B57" s="53" t="str">
        <f aca="false">IF(B22="","",B22)</f>
        <v>Analista PCP</v>
      </c>
      <c r="C57" s="53" t="str">
        <f aca="false">IF(C22="","",C22)</f>
        <v>Indirecto</v>
      </c>
      <c r="G57" s="38" t="n">
        <f aca="false">G22</f>
        <v>1</v>
      </c>
      <c r="H57" s="38" t="n">
        <f aca="false">H22</f>
        <v>1</v>
      </c>
      <c r="I57" s="38" t="n">
        <f aca="false">I22</f>
        <v>1</v>
      </c>
      <c r="J57" s="38" t="n">
        <f aca="false">J22</f>
        <v>1</v>
      </c>
      <c r="K57" s="38" t="n">
        <f aca="false">K22</f>
        <v>1</v>
      </c>
      <c r="L57" s="38" t="n">
        <f aca="false">L22</f>
        <v>1</v>
      </c>
      <c r="M57" s="38" t="n">
        <f aca="false">M22</f>
        <v>1</v>
      </c>
      <c r="N57" s="38" t="n">
        <f aca="false">N22</f>
        <v>1</v>
      </c>
      <c r="O57" s="38" t="n">
        <f aca="false">O22</f>
        <v>1</v>
      </c>
      <c r="P57" s="38" t="n">
        <f aca="false">P22</f>
        <v>1</v>
      </c>
    </row>
    <row r="58" customFormat="false" ht="15" hidden="false" customHeight="false" outlineLevel="0" collapsed="false">
      <c r="A58" s="15" t="n">
        <v>18</v>
      </c>
      <c r="B58" s="53" t="str">
        <f aca="false">IF(B23="","",B23)</f>
        <v>Depósito</v>
      </c>
      <c r="C58" s="53" t="str">
        <f aca="false">IF(C23="","",C23)</f>
        <v>Indirecto</v>
      </c>
      <c r="G58" s="38" t="n">
        <f aca="false">G23</f>
        <v>1</v>
      </c>
      <c r="H58" s="38" t="n">
        <f aca="false">H23</f>
        <v>1</v>
      </c>
      <c r="I58" s="38" t="n">
        <f aca="false">I23</f>
        <v>1</v>
      </c>
      <c r="J58" s="38" t="n">
        <f aca="false">J23</f>
        <v>1</v>
      </c>
      <c r="K58" s="38" t="n">
        <f aca="false">K23</f>
        <v>1</v>
      </c>
      <c r="L58" s="38" t="n">
        <f aca="false">L23</f>
        <v>1</v>
      </c>
      <c r="M58" s="38" t="n">
        <f aca="false">M23</f>
        <v>1</v>
      </c>
      <c r="N58" s="38" t="n">
        <f aca="false">N23</f>
        <v>1</v>
      </c>
      <c r="O58" s="38" t="n">
        <f aca="false">O23</f>
        <v>1</v>
      </c>
      <c r="P58" s="38" t="n">
        <f aca="false">P23</f>
        <v>1</v>
      </c>
    </row>
    <row r="59" customFormat="false" ht="15" hidden="false" customHeight="false" outlineLevel="0" collapsed="false">
      <c r="A59" s="15" t="n">
        <v>19</v>
      </c>
      <c r="B59" s="53" t="str">
        <f aca="false">IF(B24="","",B24)</f>
        <v>Compras</v>
      </c>
      <c r="C59" s="53" t="str">
        <f aca="false">IF(C24="","",C24)</f>
        <v>Administración</v>
      </c>
      <c r="G59" s="38" t="n">
        <f aca="false">G24</f>
        <v>1</v>
      </c>
      <c r="H59" s="38" t="n">
        <f aca="false">H24</f>
        <v>1</v>
      </c>
      <c r="I59" s="38" t="n">
        <f aca="false">I24</f>
        <v>1</v>
      </c>
      <c r="J59" s="38" t="n">
        <f aca="false">J24</f>
        <v>1</v>
      </c>
      <c r="K59" s="38" t="n">
        <f aca="false">K24</f>
        <v>1</v>
      </c>
      <c r="L59" s="38" t="n">
        <f aca="false">L24</f>
        <v>1</v>
      </c>
      <c r="M59" s="38" t="n">
        <f aca="false">M24</f>
        <v>1</v>
      </c>
      <c r="N59" s="38" t="n">
        <f aca="false">N24</f>
        <v>1</v>
      </c>
      <c r="O59" s="38" t="n">
        <f aca="false">O24</f>
        <v>1</v>
      </c>
      <c r="P59" s="38" t="n">
        <f aca="false">P24</f>
        <v>1</v>
      </c>
    </row>
    <row r="60" customFormat="false" ht="15" hidden="false" customHeight="false" outlineLevel="0" collapsed="false">
      <c r="A60" s="15" t="n">
        <v>20</v>
      </c>
      <c r="B60" s="53" t="str">
        <f aca="false">IF(B25="","",B25)</f>
        <v>Logística/Comex</v>
      </c>
      <c r="C60" s="53" t="str">
        <f aca="false">IF(C25="","",C25)</f>
        <v>Administración</v>
      </c>
      <c r="G60" s="38" t="n">
        <f aca="false">G25</f>
        <v>1</v>
      </c>
      <c r="H60" s="38" t="n">
        <f aca="false">H25</f>
        <v>1</v>
      </c>
      <c r="I60" s="38" t="n">
        <f aca="false">I25</f>
        <v>1</v>
      </c>
      <c r="J60" s="38" t="n">
        <f aca="false">J25</f>
        <v>1</v>
      </c>
      <c r="K60" s="38" t="n">
        <f aca="false">K25</f>
        <v>1</v>
      </c>
      <c r="L60" s="38" t="n">
        <f aca="false">L25</f>
        <v>1</v>
      </c>
      <c r="M60" s="38" t="n">
        <f aca="false">M25</f>
        <v>1</v>
      </c>
      <c r="N60" s="38" t="n">
        <f aca="false">N25</f>
        <v>1</v>
      </c>
      <c r="O60" s="38" t="n">
        <f aca="false">O25</f>
        <v>1</v>
      </c>
      <c r="P60" s="38" t="n">
        <f aca="false">P25</f>
        <v>1</v>
      </c>
    </row>
    <row r="61" customFormat="false" ht="15" hidden="false" customHeight="false" outlineLevel="0" collapsed="false">
      <c r="A61" s="15" t="n">
        <v>21</v>
      </c>
      <c r="B61" s="53" t="str">
        <f aca="false">IF(B26="","",B26)</f>
        <v>Coord. Control Calidad</v>
      </c>
      <c r="C61" s="53" t="str">
        <f aca="false">IF(C26="","",C26)</f>
        <v>Indirecto</v>
      </c>
      <c r="G61" s="38" t="n">
        <f aca="false">G26</f>
        <v>1</v>
      </c>
      <c r="H61" s="38" t="n">
        <f aca="false">H26</f>
        <v>1</v>
      </c>
      <c r="I61" s="38" t="n">
        <f aca="false">I26</f>
        <v>1</v>
      </c>
      <c r="J61" s="38" t="n">
        <f aca="false">J26</f>
        <v>1</v>
      </c>
      <c r="K61" s="38" t="n">
        <f aca="false">K26</f>
        <v>1</v>
      </c>
      <c r="L61" s="38" t="n">
        <f aca="false">L26</f>
        <v>1</v>
      </c>
      <c r="M61" s="38" t="n">
        <f aca="false">M26</f>
        <v>1</v>
      </c>
      <c r="N61" s="38" t="n">
        <f aca="false">N26</f>
        <v>1</v>
      </c>
      <c r="O61" s="38" t="n">
        <f aca="false">O26</f>
        <v>1</v>
      </c>
      <c r="P61" s="38" t="n">
        <f aca="false">P26</f>
        <v>1</v>
      </c>
    </row>
    <row r="62" customFormat="false" ht="15" hidden="false" customHeight="false" outlineLevel="0" collapsed="false">
      <c r="A62" s="15" t="n">
        <v>22</v>
      </c>
      <c r="B62" s="53" t="str">
        <f aca="false">IF(B27="","",B27)</f>
        <v>Asistente Control Calidad</v>
      </c>
      <c r="C62" s="53" t="str">
        <f aca="false">IF(C27="","",C27)</f>
        <v>Indirecto</v>
      </c>
      <c r="G62" s="38" t="n">
        <f aca="false">G27</f>
        <v>1</v>
      </c>
      <c r="H62" s="38" t="n">
        <f aca="false">H27</f>
        <v>1</v>
      </c>
      <c r="I62" s="38" t="n">
        <f aca="false">I27</f>
        <v>1</v>
      </c>
      <c r="J62" s="38" t="n">
        <f aca="false">J27</f>
        <v>1</v>
      </c>
      <c r="K62" s="38" t="n">
        <f aca="false">K27</f>
        <v>1</v>
      </c>
      <c r="L62" s="38" t="n">
        <f aca="false">L27</f>
        <v>1</v>
      </c>
      <c r="M62" s="38" t="n">
        <f aca="false">M27</f>
        <v>1</v>
      </c>
      <c r="N62" s="38" t="n">
        <f aca="false">N27</f>
        <v>1</v>
      </c>
      <c r="O62" s="38" t="n">
        <f aca="false">O27</f>
        <v>1</v>
      </c>
      <c r="P62" s="38" t="n">
        <f aca="false">P27</f>
        <v>1</v>
      </c>
    </row>
    <row r="63" customFormat="false" ht="15" hidden="false" customHeight="false" outlineLevel="0" collapsed="false">
      <c r="A63" s="15" t="n">
        <v>23</v>
      </c>
      <c r="B63" s="53" t="str">
        <f aca="false">IF(B28="","",B28)</f>
        <v>Coord. Procesos</v>
      </c>
      <c r="C63" s="53" t="str">
        <f aca="false">IF(C28="","",C28)</f>
        <v>Indirecto</v>
      </c>
      <c r="G63" s="38" t="n">
        <f aca="false">G28</f>
        <v>1</v>
      </c>
      <c r="H63" s="38" t="n">
        <f aca="false">H28</f>
        <v>1</v>
      </c>
      <c r="I63" s="38" t="n">
        <f aca="false">I28</f>
        <v>1</v>
      </c>
      <c r="J63" s="38" t="n">
        <f aca="false">J28</f>
        <v>1</v>
      </c>
      <c r="K63" s="38" t="n">
        <f aca="false">K28</f>
        <v>1</v>
      </c>
      <c r="L63" s="38" t="n">
        <f aca="false">L28</f>
        <v>1</v>
      </c>
      <c r="M63" s="38" t="n">
        <f aca="false">M28</f>
        <v>1</v>
      </c>
      <c r="N63" s="38" t="n">
        <f aca="false">N28</f>
        <v>1</v>
      </c>
      <c r="O63" s="38" t="n">
        <f aca="false">O28</f>
        <v>1</v>
      </c>
      <c r="P63" s="38" t="n">
        <f aca="false">P28</f>
        <v>1</v>
      </c>
    </row>
    <row r="64" customFormat="false" ht="15" hidden="false" customHeight="false" outlineLevel="0" collapsed="false">
      <c r="A64" s="15" t="n">
        <v>24</v>
      </c>
      <c r="B64" s="53" t="str">
        <f aca="false">IF(B29="","",B29)</f>
        <v>Asistente Procesos</v>
      </c>
      <c r="C64" s="53" t="str">
        <f aca="false">IF(C29="","",C29)</f>
        <v>Indirecto</v>
      </c>
      <c r="G64" s="38" t="n">
        <f aca="false">G29</f>
        <v>1</v>
      </c>
      <c r="H64" s="38" t="n">
        <f aca="false">H29</f>
        <v>1</v>
      </c>
      <c r="I64" s="38" t="n">
        <f aca="false">I29</f>
        <v>1</v>
      </c>
      <c r="J64" s="38" t="n">
        <f aca="false">J29</f>
        <v>1</v>
      </c>
      <c r="K64" s="38" t="n">
        <f aca="false">K29</f>
        <v>1</v>
      </c>
      <c r="L64" s="38" t="n">
        <f aca="false">L29</f>
        <v>1</v>
      </c>
      <c r="M64" s="38" t="n">
        <f aca="false">M29</f>
        <v>1</v>
      </c>
      <c r="N64" s="38" t="n">
        <f aca="false">N29</f>
        <v>1</v>
      </c>
      <c r="O64" s="38" t="n">
        <f aca="false">O29</f>
        <v>1</v>
      </c>
      <c r="P64" s="38" t="n">
        <f aca="false">P29</f>
        <v>1</v>
      </c>
    </row>
    <row r="65" customFormat="false" ht="15" hidden="false" customHeight="false" outlineLevel="0" collapsed="false">
      <c r="A65" s="15" t="n">
        <v>25</v>
      </c>
      <c r="B65" s="53" t="str">
        <f aca="false">IF(B30="","",B30)</f>
        <v>Administrador</v>
      </c>
      <c r="C65" s="53" t="str">
        <f aca="false">IF(C30="","",C30)</f>
        <v>Administración</v>
      </c>
      <c r="G65" s="38" t="n">
        <f aca="false">G30</f>
        <v>1</v>
      </c>
      <c r="H65" s="38" t="n">
        <f aca="false">H30</f>
        <v>1</v>
      </c>
      <c r="I65" s="38" t="n">
        <f aca="false">I30</f>
        <v>1</v>
      </c>
      <c r="J65" s="38" t="n">
        <f aca="false">J30</f>
        <v>1</v>
      </c>
      <c r="K65" s="38" t="n">
        <f aca="false">K30</f>
        <v>1</v>
      </c>
      <c r="L65" s="38" t="n">
        <f aca="false">L30</f>
        <v>1</v>
      </c>
      <c r="M65" s="38" t="n">
        <f aca="false">M30</f>
        <v>1</v>
      </c>
      <c r="N65" s="38" t="n">
        <f aca="false">N30</f>
        <v>1</v>
      </c>
      <c r="O65" s="38" t="n">
        <f aca="false">O30</f>
        <v>1</v>
      </c>
      <c r="P65" s="38" t="n">
        <f aca="false">P30</f>
        <v>1</v>
      </c>
    </row>
    <row r="66" customFormat="false" ht="15" hidden="false" customHeight="false" outlineLevel="0" collapsed="false">
      <c r="A66" s="15" t="n">
        <v>26</v>
      </c>
      <c r="B66" s="53" t="str">
        <f aca="false">IF(B31="","",B31)</f>
        <v>Asistente Administrativo</v>
      </c>
      <c r="C66" s="53" t="str">
        <f aca="false">IF(C31="","",C31)</f>
        <v>Administración</v>
      </c>
      <c r="G66" s="38" t="n">
        <f aca="false">G31</f>
        <v>1</v>
      </c>
      <c r="H66" s="38" t="n">
        <f aca="false">H31</f>
        <v>1</v>
      </c>
      <c r="I66" s="38" t="n">
        <f aca="false">I31</f>
        <v>1</v>
      </c>
      <c r="J66" s="38" t="n">
        <f aca="false">J31</f>
        <v>1</v>
      </c>
      <c r="K66" s="38" t="n">
        <f aca="false">K31</f>
        <v>1</v>
      </c>
      <c r="L66" s="38" t="n">
        <f aca="false">L31</f>
        <v>1</v>
      </c>
      <c r="M66" s="38" t="n">
        <f aca="false">M31</f>
        <v>1</v>
      </c>
      <c r="N66" s="38" t="n">
        <f aca="false">N31</f>
        <v>1</v>
      </c>
      <c r="O66" s="38" t="n">
        <f aca="false">O31</f>
        <v>1</v>
      </c>
      <c r="P66" s="38" t="n">
        <f aca="false">P31</f>
        <v>1</v>
      </c>
    </row>
    <row r="67" customFormat="false" ht="15" hidden="false" customHeight="false" outlineLevel="0" collapsed="false">
      <c r="A67" s="15" t="n">
        <v>27</v>
      </c>
      <c r="B67" s="53" t="str">
        <f aca="false">IF(B32="","",B32)</f>
        <v/>
      </c>
      <c r="C67" s="53" t="str">
        <f aca="false">IF(C32="","",C32)</f>
        <v/>
      </c>
      <c r="G67" s="38" t="n">
        <f aca="false">G32</f>
        <v>0</v>
      </c>
      <c r="H67" s="38" t="n">
        <f aca="false">H32</f>
        <v>0</v>
      </c>
      <c r="I67" s="38" t="n">
        <f aca="false">I32</f>
        <v>0</v>
      </c>
      <c r="J67" s="38" t="n">
        <f aca="false">J32</f>
        <v>0</v>
      </c>
      <c r="K67" s="38" t="n">
        <f aca="false">K32</f>
        <v>0</v>
      </c>
      <c r="L67" s="38" t="n">
        <f aca="false">L32</f>
        <v>0</v>
      </c>
      <c r="M67" s="38" t="n">
        <f aca="false">M32</f>
        <v>0</v>
      </c>
      <c r="N67" s="38" t="n">
        <f aca="false">N32</f>
        <v>0</v>
      </c>
      <c r="O67" s="38" t="n">
        <f aca="false">O32</f>
        <v>0</v>
      </c>
      <c r="P67" s="38" t="n">
        <f aca="false">P32</f>
        <v>0</v>
      </c>
    </row>
    <row r="68" customFormat="false" ht="15" hidden="false" customHeight="false" outlineLevel="0" collapsed="false">
      <c r="A68" s="15" t="n">
        <v>28</v>
      </c>
      <c r="B68" s="53" t="str">
        <f aca="false">IF(B33="","",B33)</f>
        <v/>
      </c>
      <c r="C68" s="53" t="str">
        <f aca="false">IF(C33="","",C33)</f>
        <v/>
      </c>
      <c r="G68" s="38" t="n">
        <f aca="false">G33</f>
        <v>0</v>
      </c>
      <c r="H68" s="38" t="n">
        <f aca="false">H33</f>
        <v>0</v>
      </c>
      <c r="I68" s="38" t="n">
        <f aca="false">I33</f>
        <v>0</v>
      </c>
      <c r="J68" s="38" t="n">
        <f aca="false">J33</f>
        <v>0</v>
      </c>
      <c r="K68" s="38" t="n">
        <f aca="false">K33</f>
        <v>0</v>
      </c>
      <c r="L68" s="38" t="n">
        <f aca="false">L33</f>
        <v>0</v>
      </c>
      <c r="M68" s="38" t="n">
        <f aca="false">M33</f>
        <v>0</v>
      </c>
      <c r="N68" s="38" t="n">
        <f aca="false">N33</f>
        <v>0</v>
      </c>
      <c r="O68" s="38" t="n">
        <f aca="false">O33</f>
        <v>0</v>
      </c>
      <c r="P68" s="38" t="n">
        <f aca="false">P33</f>
        <v>0</v>
      </c>
    </row>
    <row r="69" customFormat="false" ht="15" hidden="false" customHeight="false" outlineLevel="0" collapsed="false">
      <c r="A69" s="15" t="n">
        <v>29</v>
      </c>
      <c r="B69" s="53" t="str">
        <f aca="false">IF(B34="","",B34)</f>
        <v/>
      </c>
      <c r="C69" s="53" t="str">
        <f aca="false">IF(C34="","",C34)</f>
        <v/>
      </c>
      <c r="G69" s="38" t="n">
        <f aca="false">G34</f>
        <v>0</v>
      </c>
      <c r="H69" s="38" t="n">
        <f aca="false">H34</f>
        <v>0</v>
      </c>
      <c r="I69" s="38" t="n">
        <f aca="false">I34</f>
        <v>0</v>
      </c>
      <c r="J69" s="38" t="n">
        <f aca="false">J34</f>
        <v>0</v>
      </c>
      <c r="K69" s="38" t="n">
        <f aca="false">K34</f>
        <v>0</v>
      </c>
      <c r="L69" s="38" t="n">
        <f aca="false">L34</f>
        <v>0</v>
      </c>
      <c r="M69" s="38" t="n">
        <f aca="false">M34</f>
        <v>0</v>
      </c>
      <c r="N69" s="38" t="n">
        <f aca="false">N34</f>
        <v>0</v>
      </c>
      <c r="O69" s="38" t="n">
        <f aca="false">O34</f>
        <v>0</v>
      </c>
      <c r="P69" s="38" t="n">
        <f aca="false">P34</f>
        <v>0</v>
      </c>
    </row>
    <row r="70" customFormat="false" ht="15" hidden="false" customHeight="false" outlineLevel="0" collapsed="false">
      <c r="A70" s="15" t="n">
        <v>30</v>
      </c>
      <c r="B70" s="53" t="str">
        <f aca="false">IF(B35="","",B35)</f>
        <v/>
      </c>
      <c r="C70" s="53" t="str">
        <f aca="false">IF(C35="","",C35)</f>
        <v/>
      </c>
      <c r="G70" s="38" t="n">
        <f aca="false">G35</f>
        <v>0</v>
      </c>
      <c r="H70" s="38" t="n">
        <f aca="false">H35</f>
        <v>0</v>
      </c>
      <c r="I70" s="38" t="n">
        <f aca="false">I35</f>
        <v>0</v>
      </c>
      <c r="J70" s="38" t="n">
        <f aca="false">J35</f>
        <v>0</v>
      </c>
      <c r="K70" s="38" t="n">
        <f aca="false">K35</f>
        <v>0</v>
      </c>
      <c r="L70" s="38" t="n">
        <f aca="false">L35</f>
        <v>0</v>
      </c>
      <c r="M70" s="38" t="n">
        <f aca="false">M35</f>
        <v>0</v>
      </c>
      <c r="N70" s="38" t="n">
        <f aca="false">N35</f>
        <v>0</v>
      </c>
      <c r="O70" s="38" t="n">
        <f aca="false">O35</f>
        <v>0</v>
      </c>
      <c r="P70" s="38" t="n">
        <f aca="false">P35</f>
        <v>0</v>
      </c>
    </row>
    <row r="71" customFormat="false" ht="15" hidden="false" customHeight="false" outlineLevel="0" collapsed="false">
      <c r="B71" s="20" t="s">
        <v>605</v>
      </c>
      <c r="G71" s="54" t="n">
        <f aca="false">SUM(G41:G70)</f>
        <v>65</v>
      </c>
      <c r="H71" s="54" t="n">
        <f aca="false">SUM(H41:H70)</f>
        <v>65</v>
      </c>
      <c r="I71" s="54" t="n">
        <f aca="false">SUM(I41:I70)</f>
        <v>68</v>
      </c>
      <c r="J71" s="54" t="n">
        <f aca="false">SUM(J41:J70)</f>
        <v>71</v>
      </c>
      <c r="K71" s="54" t="n">
        <f aca="false">SUM(K41:K70)</f>
        <v>74</v>
      </c>
      <c r="L71" s="54" t="n">
        <f aca="false">SUM(L41:L70)</f>
        <v>74</v>
      </c>
      <c r="M71" s="54" t="n">
        <f aca="false">SUM(M41:M70)</f>
        <v>74</v>
      </c>
      <c r="N71" s="54" t="n">
        <f aca="false">SUM(N41:N70)</f>
        <v>74</v>
      </c>
      <c r="O71" s="54" t="n">
        <f aca="false">SUM(O41:O70)</f>
        <v>74</v>
      </c>
      <c r="P71" s="54" t="n">
        <f aca="false">SUM(P41:P70)</f>
        <v>74</v>
      </c>
    </row>
    <row r="73" customFormat="false" ht="15" hidden="false" customHeight="false" outlineLevel="0" collapsed="false">
      <c r="A73" s="12" t="s">
        <v>606</v>
      </c>
      <c r="B73" s="13"/>
      <c r="C73" s="13"/>
      <c r="D73" s="13"/>
      <c r="E73" s="13"/>
      <c r="F73" s="13"/>
      <c r="G73" s="13"/>
      <c r="H73" s="13"/>
      <c r="I73" s="13"/>
      <c r="J73" s="13"/>
      <c r="K73" s="13"/>
      <c r="L73" s="13"/>
      <c r="M73" s="13"/>
      <c r="N73" s="13"/>
      <c r="O73" s="13"/>
      <c r="P73" s="13"/>
      <c r="Q73" s="13"/>
    </row>
    <row r="74" customFormat="false" ht="54" hidden="false" customHeight="true" outlineLevel="0" collapsed="false">
      <c r="A74" s="14" t="s">
        <v>530</v>
      </c>
      <c r="B74" s="14" t="s">
        <v>451</v>
      </c>
      <c r="C74" s="14" t="s">
        <v>558</v>
      </c>
      <c r="D74" s="14" t="s">
        <v>559</v>
      </c>
      <c r="E74" s="14" t="s">
        <v>607</v>
      </c>
      <c r="F74" s="14" t="s">
        <v>608</v>
      </c>
      <c r="G74" s="14" t="s">
        <v>609</v>
      </c>
      <c r="H74" s="14" t="s">
        <v>610</v>
      </c>
      <c r="I74" s="14" t="s">
        <v>611</v>
      </c>
      <c r="J74" s="14" t="s">
        <v>612</v>
      </c>
      <c r="K74" s="32" t="s">
        <v>462</v>
      </c>
      <c r="L74" s="32"/>
      <c r="M74" s="32"/>
      <c r="N74" s="32"/>
      <c r="O74" s="32"/>
      <c r="P74" s="32"/>
      <c r="Q74" s="32"/>
    </row>
    <row r="75" customFormat="false" ht="15" hidden="false" customHeight="false" outlineLevel="0" collapsed="false">
      <c r="A75" s="15" t="n">
        <v>1</v>
      </c>
      <c r="B75" s="16" t="s">
        <v>613</v>
      </c>
      <c r="C75" s="16" t="s">
        <v>614</v>
      </c>
      <c r="D75" s="16" t="s">
        <v>574</v>
      </c>
      <c r="E75" s="55" t="n">
        <v>14000000</v>
      </c>
      <c r="F75" s="56" t="n">
        <f aca="false">E75</f>
        <v>14000000</v>
      </c>
      <c r="G75" s="39" t="n">
        <v>0</v>
      </c>
      <c r="H75" s="18" t="n">
        <v>1</v>
      </c>
      <c r="I75" s="39" t="n">
        <v>0</v>
      </c>
      <c r="J75" s="18" t="n">
        <v>1</v>
      </c>
      <c r="K75" s="11" t="s">
        <v>615</v>
      </c>
    </row>
    <row r="76" customFormat="false" ht="15" hidden="false" customHeight="false" outlineLevel="0" collapsed="false">
      <c r="A76" s="15" t="n">
        <v>2</v>
      </c>
      <c r="B76" s="16" t="s">
        <v>616</v>
      </c>
      <c r="C76" s="16" t="s">
        <v>614</v>
      </c>
      <c r="D76" s="16" t="s">
        <v>508</v>
      </c>
      <c r="E76" s="55" t="n">
        <v>2475.67</v>
      </c>
      <c r="F76" s="56" t="n">
        <f aca="false">E76</f>
        <v>2475.67</v>
      </c>
      <c r="G76" s="39" t="n">
        <v>0.02</v>
      </c>
      <c r="H76" s="18" t="n">
        <v>1</v>
      </c>
      <c r="I76" s="39" t="n">
        <v>0</v>
      </c>
      <c r="J76" s="18" t="n">
        <v>1</v>
      </c>
      <c r="K76" s="11" t="s">
        <v>617</v>
      </c>
    </row>
    <row r="77" customFormat="false" ht="15" hidden="false" customHeight="false" outlineLevel="0" collapsed="false">
      <c r="A77" s="15" t="n">
        <v>3</v>
      </c>
      <c r="B77" s="16" t="s">
        <v>618</v>
      </c>
      <c r="C77" s="16" t="s">
        <v>582</v>
      </c>
      <c r="D77" s="16" t="s">
        <v>508</v>
      </c>
      <c r="E77" s="55" t="n">
        <v>17006</v>
      </c>
      <c r="F77" s="56" t="n">
        <f aca="false">E77</f>
        <v>17006</v>
      </c>
      <c r="G77" s="39" t="n">
        <v>0.03</v>
      </c>
      <c r="H77" s="18" t="n">
        <v>0</v>
      </c>
      <c r="I77" s="39" t="n">
        <v>0.1</v>
      </c>
      <c r="J77" s="18" t="n">
        <v>0</v>
      </c>
      <c r="K77" s="11" t="s">
        <v>619</v>
      </c>
    </row>
    <row r="78" customFormat="false" ht="15" hidden="false" customHeight="false" outlineLevel="0" collapsed="false">
      <c r="A78" s="15" t="n">
        <v>4</v>
      </c>
      <c r="B78" s="16" t="s">
        <v>620</v>
      </c>
      <c r="C78" s="16" t="s">
        <v>582</v>
      </c>
      <c r="D78" s="16" t="s">
        <v>508</v>
      </c>
      <c r="E78" s="55" t="n">
        <v>773</v>
      </c>
      <c r="F78" s="56" t="n">
        <f aca="false">E78</f>
        <v>773</v>
      </c>
      <c r="G78" s="39" t="n">
        <v>0.03</v>
      </c>
      <c r="H78" s="18" t="n">
        <v>0</v>
      </c>
      <c r="I78" s="39" t="n">
        <v>0</v>
      </c>
      <c r="J78" s="18" t="n">
        <v>0</v>
      </c>
      <c r="K78" s="11" t="s">
        <v>621</v>
      </c>
    </row>
    <row r="79" customFormat="false" ht="15" hidden="false" customHeight="false" outlineLevel="0" collapsed="false">
      <c r="A79" s="15" t="n">
        <v>5</v>
      </c>
      <c r="B79" s="16" t="s">
        <v>622</v>
      </c>
      <c r="C79" s="16" t="s">
        <v>582</v>
      </c>
      <c r="D79" s="16" t="s">
        <v>574</v>
      </c>
      <c r="E79" s="55" t="n">
        <v>750000</v>
      </c>
      <c r="F79" s="56" t="n">
        <f aca="false">E79</f>
        <v>750000</v>
      </c>
      <c r="G79" s="39" t="n">
        <v>0</v>
      </c>
      <c r="H79" s="18" t="n">
        <v>0</v>
      </c>
      <c r="I79" s="39" t="n">
        <v>0</v>
      </c>
      <c r="J79" s="18" t="n">
        <v>1</v>
      </c>
      <c r="K79" s="11" t="s">
        <v>623</v>
      </c>
    </row>
    <row r="80" customFormat="false" ht="15" hidden="false" customHeight="false" outlineLevel="0" collapsed="false">
      <c r="A80" s="15" t="n">
        <v>6</v>
      </c>
      <c r="B80" s="16" t="s">
        <v>624</v>
      </c>
      <c r="C80" s="16" t="s">
        <v>582</v>
      </c>
      <c r="D80" s="16" t="s">
        <v>574</v>
      </c>
      <c r="E80" s="55" t="n">
        <v>3000000</v>
      </c>
      <c r="F80" s="56" t="n">
        <f aca="false">E80</f>
        <v>3000000</v>
      </c>
      <c r="G80" s="39" t="n">
        <v>0</v>
      </c>
      <c r="H80" s="18" t="n">
        <v>0</v>
      </c>
      <c r="I80" s="39" t="n">
        <v>0</v>
      </c>
      <c r="J80" s="18" t="n">
        <v>1</v>
      </c>
      <c r="K80" s="11" t="s">
        <v>625</v>
      </c>
    </row>
    <row r="81" customFormat="false" ht="15" hidden="false" customHeight="false" outlineLevel="0" collapsed="false">
      <c r="A81" s="15" t="n">
        <v>7</v>
      </c>
      <c r="B81" s="16" t="s">
        <v>626</v>
      </c>
      <c r="C81" s="16" t="s">
        <v>582</v>
      </c>
      <c r="D81" s="16" t="s">
        <v>574</v>
      </c>
      <c r="E81" s="55" t="n">
        <v>5000000</v>
      </c>
      <c r="F81" s="56" t="n">
        <f aca="false">E81</f>
        <v>5000000</v>
      </c>
      <c r="G81" s="39" t="n">
        <v>0</v>
      </c>
      <c r="H81" s="18" t="n">
        <v>0</v>
      </c>
      <c r="I81" s="39" t="n">
        <v>0</v>
      </c>
      <c r="J81" s="18" t="n">
        <v>1</v>
      </c>
      <c r="K81" s="11" t="s">
        <v>627</v>
      </c>
    </row>
    <row r="82" customFormat="false" ht="15" hidden="false" customHeight="false" outlineLevel="0" collapsed="false">
      <c r="A82" s="15" t="n">
        <v>8</v>
      </c>
      <c r="B82" s="16" t="s">
        <v>628</v>
      </c>
      <c r="C82" s="16" t="s">
        <v>582</v>
      </c>
      <c r="D82" s="16" t="s">
        <v>508</v>
      </c>
      <c r="E82" s="55" t="n">
        <v>1838.33</v>
      </c>
      <c r="F82" s="56" t="n">
        <f aca="false">E82</f>
        <v>1838.33</v>
      </c>
      <c r="G82" s="39" t="n">
        <v>0</v>
      </c>
      <c r="H82" s="18" t="n">
        <v>0</v>
      </c>
      <c r="I82" s="39" t="n">
        <v>0</v>
      </c>
      <c r="J82" s="18" t="n">
        <v>1</v>
      </c>
      <c r="K82" s="11" t="s">
        <v>629</v>
      </c>
    </row>
    <row r="83" customFormat="false" ht="15" hidden="false" customHeight="false" outlineLevel="0" collapsed="false">
      <c r="A83" s="15" t="n">
        <v>9</v>
      </c>
      <c r="B83" s="16" t="s">
        <v>630</v>
      </c>
      <c r="C83" s="16" t="s">
        <v>582</v>
      </c>
      <c r="D83" s="16" t="s">
        <v>574</v>
      </c>
      <c r="E83" s="55" t="n">
        <v>15166667</v>
      </c>
      <c r="F83" s="56" t="n">
        <f aca="false">E83</f>
        <v>15166667</v>
      </c>
      <c r="G83" s="39" t="n">
        <v>0</v>
      </c>
      <c r="H83" s="18" t="n">
        <v>0</v>
      </c>
      <c r="I83" s="39" t="n">
        <v>0</v>
      </c>
      <c r="J83" s="18" t="n">
        <v>1</v>
      </c>
      <c r="K83" s="11" t="s">
        <v>631</v>
      </c>
    </row>
    <row r="84" customFormat="false" ht="15" hidden="false" customHeight="false" outlineLevel="0" collapsed="false">
      <c r="A84" s="15" t="n">
        <v>10</v>
      </c>
      <c r="B84" s="16"/>
      <c r="C84" s="16"/>
      <c r="D84" s="16"/>
      <c r="E84" s="55"/>
      <c r="F84" s="56" t="n">
        <f aca="false">E84</f>
        <v>0</v>
      </c>
      <c r="G84" s="39"/>
      <c r="H84" s="18"/>
      <c r="I84" s="39"/>
      <c r="J84" s="18"/>
      <c r="K84" s="11"/>
    </row>
    <row r="85" customFormat="false" ht="15" hidden="false" customHeight="false" outlineLevel="0" collapsed="false">
      <c r="A85" s="15" t="n">
        <v>11</v>
      </c>
      <c r="B85" s="16"/>
      <c r="C85" s="16"/>
      <c r="D85" s="16"/>
      <c r="E85" s="55"/>
      <c r="F85" s="56" t="n">
        <f aca="false">E85</f>
        <v>0</v>
      </c>
      <c r="G85" s="39"/>
      <c r="H85" s="18"/>
      <c r="I85" s="39"/>
      <c r="J85" s="18"/>
      <c r="K85" s="11"/>
    </row>
    <row r="86" customFormat="false" ht="15" hidden="false" customHeight="false" outlineLevel="0" collapsed="false">
      <c r="A86" s="15" t="n">
        <v>12</v>
      </c>
      <c r="B86" s="16"/>
      <c r="C86" s="16"/>
      <c r="D86" s="16"/>
      <c r="E86" s="55"/>
      <c r="F86" s="56" t="n">
        <f aca="false">E86</f>
        <v>0</v>
      </c>
      <c r="G86" s="39"/>
      <c r="H86" s="18"/>
      <c r="I86" s="39"/>
      <c r="J86" s="18"/>
      <c r="K86" s="11"/>
    </row>
    <row r="87" customFormat="false" ht="15" hidden="false" customHeight="false" outlineLevel="0" collapsed="false">
      <c r="A87" s="15" t="n">
        <v>13</v>
      </c>
      <c r="B87" s="16"/>
      <c r="C87" s="16"/>
      <c r="D87" s="16"/>
      <c r="E87" s="55"/>
      <c r="F87" s="56" t="n">
        <f aca="false">E87</f>
        <v>0</v>
      </c>
      <c r="G87" s="39"/>
      <c r="H87" s="18"/>
      <c r="I87" s="39"/>
      <c r="J87" s="18"/>
      <c r="K87" s="11"/>
    </row>
    <row r="88" customFormat="false" ht="15" hidden="false" customHeight="false" outlineLevel="0" collapsed="false">
      <c r="A88" s="15" t="n">
        <v>14</v>
      </c>
      <c r="B88" s="16"/>
      <c r="C88" s="16"/>
      <c r="D88" s="16"/>
      <c r="E88" s="55"/>
      <c r="F88" s="56" t="n">
        <f aca="false">E88</f>
        <v>0</v>
      </c>
      <c r="G88" s="39"/>
      <c r="H88" s="18"/>
      <c r="I88" s="39"/>
      <c r="J88" s="18"/>
      <c r="K88" s="11"/>
    </row>
    <row r="89" customFormat="false" ht="15" hidden="false" customHeight="false" outlineLevel="0" collapsed="false">
      <c r="A89" s="15" t="n">
        <v>15</v>
      </c>
      <c r="B89" s="16"/>
      <c r="C89" s="16"/>
      <c r="D89" s="16"/>
      <c r="E89" s="55"/>
      <c r="F89" s="56" t="n">
        <f aca="false">E89</f>
        <v>0</v>
      </c>
      <c r="G89" s="39"/>
      <c r="H89" s="18"/>
      <c r="I89" s="39"/>
      <c r="J89" s="18"/>
      <c r="K89" s="11"/>
    </row>
    <row r="90" customFormat="false" ht="15" hidden="false" customHeight="false" outlineLevel="0" collapsed="false">
      <c r="A90" s="15" t="n">
        <v>16</v>
      </c>
      <c r="B90" s="16"/>
      <c r="C90" s="16"/>
      <c r="D90" s="16"/>
      <c r="E90" s="55"/>
      <c r="F90" s="56" t="n">
        <f aca="false">E90</f>
        <v>0</v>
      </c>
      <c r="G90" s="39"/>
      <c r="H90" s="18"/>
      <c r="I90" s="39"/>
      <c r="J90" s="18"/>
      <c r="K90" s="11"/>
    </row>
    <row r="91" customFormat="false" ht="15" hidden="false" customHeight="false" outlineLevel="0" collapsed="false">
      <c r="A91" s="15" t="n">
        <v>17</v>
      </c>
      <c r="B91" s="16"/>
      <c r="C91" s="16"/>
      <c r="D91" s="16"/>
      <c r="E91" s="55"/>
      <c r="F91" s="56" t="n">
        <f aca="false">E91</f>
        <v>0</v>
      </c>
      <c r="G91" s="39"/>
      <c r="H91" s="18"/>
      <c r="I91" s="39"/>
      <c r="J91" s="18"/>
      <c r="K91" s="11"/>
    </row>
    <row r="92" customFormat="false" ht="15" hidden="false" customHeight="false" outlineLevel="0" collapsed="false">
      <c r="A92" s="15" t="n">
        <v>18</v>
      </c>
      <c r="B92" s="16"/>
      <c r="C92" s="16"/>
      <c r="D92" s="16"/>
      <c r="E92" s="55"/>
      <c r="F92" s="56" t="n">
        <f aca="false">E92</f>
        <v>0</v>
      </c>
      <c r="G92" s="39"/>
      <c r="H92" s="18"/>
      <c r="I92" s="39"/>
      <c r="J92" s="18"/>
      <c r="K92" s="11"/>
    </row>
    <row r="93" customFormat="false" ht="15" hidden="false" customHeight="false" outlineLevel="0" collapsed="false">
      <c r="A93" s="15" t="n">
        <v>19</v>
      </c>
      <c r="B93" s="16"/>
      <c r="C93" s="16"/>
      <c r="D93" s="16"/>
      <c r="E93" s="55"/>
      <c r="F93" s="56" t="n">
        <f aca="false">E93</f>
        <v>0</v>
      </c>
      <c r="G93" s="39"/>
      <c r="H93" s="18"/>
      <c r="I93" s="39"/>
      <c r="J93" s="18"/>
      <c r="K93" s="11"/>
    </row>
    <row r="94" customFormat="false" ht="15" hidden="false" customHeight="false" outlineLevel="0" collapsed="false">
      <c r="A94" s="15" t="n">
        <v>20</v>
      </c>
      <c r="B94" s="16"/>
      <c r="C94" s="16"/>
      <c r="D94" s="16"/>
      <c r="E94" s="55"/>
      <c r="F94" s="56" t="n">
        <f aca="false">E94</f>
        <v>0</v>
      </c>
      <c r="G94" s="39"/>
      <c r="H94" s="18"/>
      <c r="I94" s="39"/>
      <c r="J94" s="18"/>
      <c r="K94" s="11"/>
    </row>
    <row r="95" customFormat="false" ht="15" hidden="false" customHeight="false" outlineLevel="0" collapsed="false">
      <c r="A95" s="15" t="n">
        <v>21</v>
      </c>
      <c r="B95" s="16"/>
      <c r="C95" s="16"/>
      <c r="D95" s="16"/>
      <c r="E95" s="55"/>
      <c r="F95" s="56" t="n">
        <f aca="false">E95</f>
        <v>0</v>
      </c>
      <c r="G95" s="39"/>
      <c r="H95" s="18"/>
      <c r="I95" s="39"/>
      <c r="J95" s="18"/>
      <c r="K95" s="11"/>
    </row>
    <row r="96" customFormat="false" ht="15" hidden="false" customHeight="false" outlineLevel="0" collapsed="false">
      <c r="A96" s="15" t="n">
        <v>22</v>
      </c>
      <c r="B96" s="16"/>
      <c r="C96" s="16"/>
      <c r="D96" s="16"/>
      <c r="E96" s="55"/>
      <c r="F96" s="56" t="n">
        <f aca="false">E96</f>
        <v>0</v>
      </c>
      <c r="G96" s="39"/>
      <c r="H96" s="18"/>
      <c r="I96" s="39"/>
      <c r="J96" s="18"/>
      <c r="K96" s="11"/>
    </row>
    <row r="97" customFormat="false" ht="15" hidden="false" customHeight="false" outlineLevel="0" collapsed="false">
      <c r="A97" s="15" t="n">
        <v>23</v>
      </c>
      <c r="B97" s="16"/>
      <c r="C97" s="16"/>
      <c r="D97" s="16"/>
      <c r="E97" s="55"/>
      <c r="F97" s="56" t="n">
        <f aca="false">E97</f>
        <v>0</v>
      </c>
      <c r="G97" s="39"/>
      <c r="H97" s="18"/>
      <c r="I97" s="39"/>
      <c r="J97" s="18"/>
      <c r="K97" s="11"/>
    </row>
    <row r="98" customFormat="false" ht="15" hidden="false" customHeight="false" outlineLevel="0" collapsed="false">
      <c r="A98" s="15" t="n">
        <v>24</v>
      </c>
      <c r="B98" s="16"/>
      <c r="C98" s="16"/>
      <c r="D98" s="16"/>
      <c r="E98" s="55"/>
      <c r="F98" s="56" t="n">
        <f aca="false">E98</f>
        <v>0</v>
      </c>
      <c r="G98" s="39"/>
      <c r="H98" s="18"/>
      <c r="I98" s="39"/>
      <c r="J98" s="18"/>
      <c r="K98" s="11"/>
    </row>
    <row r="99" customFormat="false" ht="15" hidden="false" customHeight="false" outlineLevel="0" collapsed="false">
      <c r="A99" s="15" t="n">
        <v>25</v>
      </c>
      <c r="B99" s="16"/>
      <c r="C99" s="16"/>
      <c r="D99" s="16"/>
      <c r="E99" s="55"/>
      <c r="F99" s="56" t="n">
        <f aca="false">E99</f>
        <v>0</v>
      </c>
      <c r="G99" s="39"/>
      <c r="H99" s="18"/>
      <c r="I99" s="39"/>
      <c r="J99" s="18"/>
      <c r="K99" s="11"/>
    </row>
    <row r="100" customFormat="false" ht="15" hidden="false" customHeight="false" outlineLevel="0" collapsed="false">
      <c r="B100" s="11" t="s">
        <v>632</v>
      </c>
    </row>
  </sheetData>
  <mergeCells count="1">
    <mergeCell ref="K74:Q74"/>
  </mergeCells>
  <conditionalFormatting sqref="F6:F35">
    <cfRule type="expression" priority="2" aboveAverage="0" equalAverage="0" bottom="0" percent="0" rank="0" text="" dxfId="3">
      <formula>F6&lt;&gt;E6</formula>
    </cfRule>
  </conditionalFormatting>
  <conditionalFormatting sqref="G41:P70">
    <cfRule type="expression" priority="3" aboveAverage="0" equalAverage="0" bottom="0" percent="0" rank="0" text="" dxfId="3">
      <formula>G41&lt;&gt;G6</formula>
    </cfRule>
  </conditionalFormatting>
  <conditionalFormatting sqref="F75:F99">
    <cfRule type="expression" priority="4" aboveAverage="0" equalAverage="0" bottom="0" percent="0" rank="0" text="" dxfId="3">
      <formula>F75&lt;&gt;E75</formula>
    </cfRule>
  </conditionalFormatting>
  <dataValidations count="4">
    <dataValidation allowBlank="true" errorStyle="stop" operator="between" showDropDown="false" showErrorMessage="false" showInputMessage="false" sqref="C6:C35" type="list">
      <formula1>"Directo,Indirecto,Administración"</formula1>
      <formula2>0</formula2>
    </dataValidation>
    <dataValidation allowBlank="true" errorStyle="stop" operator="between" showDropDown="false" showErrorMessage="false" showInputMessage="false" sqref="D6:D35" type="list">
      <formula1>"PYG,USD"</formula1>
      <formula2>0</formula2>
    </dataValidation>
    <dataValidation allowBlank="true" errorStyle="stop" operator="between" showDropDown="false" showErrorMessage="false" showInputMessage="false" sqref="C75:C99" type="list">
      <formula1>"Producción,Administración"</formula1>
      <formula2>0</formula2>
    </dataValidation>
    <dataValidation allowBlank="true" errorStyle="stop" operator="between" showDropDown="false" showErrorMessage="false" showInputMessage="false" sqref="D75:D99" type="list">
      <formula1>"PYG,USD"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U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4"/>
    <col collapsed="false" customWidth="true" hidden="false" outlineLevel="0" max="21" min="4" style="0" width="12.5"/>
  </cols>
  <sheetData>
    <row r="1" customFormat="false" ht="16.15" hidden="false" customHeight="false" outlineLevel="0" collapsed="false">
      <c r="A1" s="10" t="s">
        <v>633</v>
      </c>
    </row>
    <row r="2" customFormat="false" ht="15" hidden="false" customHeight="false" outlineLevel="0" collapsed="false">
      <c r="A2" s="11" t="s">
        <v>634</v>
      </c>
    </row>
    <row r="4" customFormat="false" ht="15" hidden="false" customHeight="false" outlineLevel="0" collapsed="false">
      <c r="A4" s="12" t="s">
        <v>635</v>
      </c>
      <c r="B4" s="13"/>
      <c r="C4" s="13"/>
      <c r="D4" s="13"/>
      <c r="E4" s="13"/>
      <c r="F4" s="13"/>
      <c r="G4" s="13"/>
      <c r="H4" s="13"/>
      <c r="I4" s="13"/>
      <c r="J4" s="13"/>
      <c r="K4" s="13"/>
      <c r="L4" s="13"/>
      <c r="M4" s="13"/>
      <c r="N4" s="13"/>
      <c r="O4" s="13"/>
      <c r="P4" s="13"/>
      <c r="Q4" s="13"/>
      <c r="R4" s="13"/>
      <c r="S4" s="13"/>
      <c r="T4" s="13"/>
      <c r="U4" s="13"/>
    </row>
    <row r="5" customFormat="false" ht="66" hidden="false" customHeight="true" outlineLevel="0" collapsed="false">
      <c r="A5" s="14" t="s">
        <v>530</v>
      </c>
      <c r="B5" s="14" t="s">
        <v>636</v>
      </c>
      <c r="C5" s="14" t="s">
        <v>558</v>
      </c>
      <c r="D5" s="14" t="s">
        <v>161</v>
      </c>
      <c r="E5" s="14" t="s">
        <v>637</v>
      </c>
      <c r="F5" s="14" t="s">
        <v>638</v>
      </c>
      <c r="G5" s="14" t="s">
        <v>639</v>
      </c>
      <c r="H5" s="14" t="s">
        <v>640</v>
      </c>
      <c r="I5" s="14" t="s">
        <v>641</v>
      </c>
      <c r="J5" s="14" t="s">
        <v>642</v>
      </c>
      <c r="K5" s="14" t="s">
        <v>643</v>
      </c>
      <c r="L5" s="14" t="s">
        <v>644</v>
      </c>
      <c r="M5" s="14" t="s">
        <v>645</v>
      </c>
      <c r="N5" s="14" t="s">
        <v>646</v>
      </c>
      <c r="O5" s="14" t="s">
        <v>647</v>
      </c>
      <c r="P5" s="14" t="s">
        <v>648</v>
      </c>
      <c r="Q5" s="14" t="s">
        <v>649</v>
      </c>
      <c r="R5" s="14" t="s">
        <v>650</v>
      </c>
      <c r="S5" s="14" t="s">
        <v>651</v>
      </c>
      <c r="T5" s="14" t="s">
        <v>652</v>
      </c>
      <c r="U5" s="14" t="s">
        <v>653</v>
      </c>
    </row>
    <row r="6" customFormat="false" ht="15" hidden="false" customHeight="false" outlineLevel="0" collapsed="false">
      <c r="A6" s="15" t="n">
        <v>1</v>
      </c>
      <c r="B6" s="16" t="s">
        <v>654</v>
      </c>
      <c r="C6" s="16" t="s">
        <v>655</v>
      </c>
      <c r="D6" s="37" t="n">
        <v>87000</v>
      </c>
      <c r="E6" s="18" t="n">
        <v>1</v>
      </c>
      <c r="F6" s="18" t="n">
        <v>10</v>
      </c>
      <c r="G6" s="37"/>
      <c r="H6" s="37"/>
      <c r="I6" s="37"/>
      <c r="J6" s="37"/>
      <c r="K6" s="18"/>
      <c r="L6" s="18"/>
      <c r="M6" s="48" t="n">
        <f aca="false">IF(J6&lt;&gt;"",N(J6),MAX(0,N(D6)-N(G6)-N(I6)))</f>
        <v>87000</v>
      </c>
      <c r="N6" s="19" t="n">
        <f aca="false">N(G6)+N(I6)+M6</f>
        <v>87000</v>
      </c>
      <c r="O6" s="48" t="n">
        <f aca="false">N6-N(D6)</f>
        <v>0</v>
      </c>
      <c r="P6" s="49" t="n">
        <f aca="false">IF(N6&gt;0,N(H6)/N6,"")</f>
        <v>0</v>
      </c>
      <c r="Q6" s="34" t="n">
        <f aca="false">IF(K6&lt;&gt;"",K6,MAX(N(E6),Corte+1))</f>
        <v>1</v>
      </c>
      <c r="R6" s="48" t="n">
        <f aca="false">N(G6)-N(H6)+N(I6)</f>
        <v>0</v>
      </c>
      <c r="S6" s="34" t="n">
        <f aca="false">MAX(N(E6),P_Inicio)</f>
        <v>1</v>
      </c>
      <c r="T6" s="34" t="n">
        <f aca="false">IF(L6&lt;&gt;"",L6,MAX(N(E6),V_Inicio))</f>
        <v>1</v>
      </c>
      <c r="U6" s="48" t="n">
        <f aca="false">N(G6)+N(I6)+M6*(1+V_dCapex)</f>
        <v>87000</v>
      </c>
    </row>
    <row r="7" customFormat="false" ht="15" hidden="false" customHeight="false" outlineLevel="0" collapsed="false">
      <c r="A7" s="15" t="n">
        <v>2</v>
      </c>
      <c r="B7" s="16" t="s">
        <v>656</v>
      </c>
      <c r="C7" s="16" t="s">
        <v>657</v>
      </c>
      <c r="D7" s="37" t="n">
        <v>183073.6</v>
      </c>
      <c r="E7" s="18" t="n">
        <v>1</v>
      </c>
      <c r="F7" s="18" t="n">
        <v>10</v>
      </c>
      <c r="G7" s="37"/>
      <c r="H7" s="37"/>
      <c r="I7" s="37"/>
      <c r="J7" s="37"/>
      <c r="K7" s="18"/>
      <c r="L7" s="18"/>
      <c r="M7" s="48" t="n">
        <f aca="false">IF(J7&lt;&gt;"",N(J7),MAX(0,N(D7)-N(G7)-N(I7)))</f>
        <v>183073.6</v>
      </c>
      <c r="N7" s="19" t="n">
        <f aca="false">N(G7)+N(I7)+M7</f>
        <v>183073.6</v>
      </c>
      <c r="O7" s="48" t="n">
        <f aca="false">N7-N(D7)</f>
        <v>0</v>
      </c>
      <c r="P7" s="49" t="n">
        <f aca="false">IF(N7&gt;0,N(H7)/N7,"")</f>
        <v>0</v>
      </c>
      <c r="Q7" s="34" t="n">
        <f aca="false">IF(K7&lt;&gt;"",K7,MAX(N(E7),Corte+1))</f>
        <v>1</v>
      </c>
      <c r="R7" s="48" t="n">
        <f aca="false">N(G7)-N(H7)+N(I7)</f>
        <v>0</v>
      </c>
      <c r="S7" s="34" t="n">
        <f aca="false">MAX(N(E7),P_Inicio)</f>
        <v>1</v>
      </c>
      <c r="T7" s="34" t="n">
        <f aca="false">IF(L7&lt;&gt;"",L7,MAX(N(E7),V_Inicio))</f>
        <v>1</v>
      </c>
      <c r="U7" s="48" t="n">
        <f aca="false">N(G7)+N(I7)+M7*(1+V_dCapex)</f>
        <v>183073.6</v>
      </c>
    </row>
    <row r="8" customFormat="false" ht="15" hidden="false" customHeight="false" outlineLevel="0" collapsed="false">
      <c r="A8" s="15" t="n">
        <v>3</v>
      </c>
      <c r="B8" s="16" t="s">
        <v>658</v>
      </c>
      <c r="C8" s="16" t="s">
        <v>657</v>
      </c>
      <c r="D8" s="37" t="n">
        <v>84295.23</v>
      </c>
      <c r="E8" s="18" t="n">
        <v>1</v>
      </c>
      <c r="F8" s="18" t="n">
        <v>10</v>
      </c>
      <c r="G8" s="37"/>
      <c r="H8" s="37"/>
      <c r="I8" s="37"/>
      <c r="J8" s="37"/>
      <c r="K8" s="18"/>
      <c r="L8" s="18"/>
      <c r="M8" s="48" t="n">
        <f aca="false">IF(J8&lt;&gt;"",N(J8),MAX(0,N(D8)-N(G8)-N(I8)))</f>
        <v>84295.23</v>
      </c>
      <c r="N8" s="19" t="n">
        <f aca="false">N(G8)+N(I8)+M8</f>
        <v>84295.23</v>
      </c>
      <c r="O8" s="48" t="n">
        <f aca="false">N8-N(D8)</f>
        <v>0</v>
      </c>
      <c r="P8" s="49" t="n">
        <f aca="false">IF(N8&gt;0,N(H8)/N8,"")</f>
        <v>0</v>
      </c>
      <c r="Q8" s="34" t="n">
        <f aca="false">IF(K8&lt;&gt;"",K8,MAX(N(E8),Corte+1))</f>
        <v>1</v>
      </c>
      <c r="R8" s="48" t="n">
        <f aca="false">N(G8)-N(H8)+N(I8)</f>
        <v>0</v>
      </c>
      <c r="S8" s="34" t="n">
        <f aca="false">MAX(N(E8),P_Inicio)</f>
        <v>1</v>
      </c>
      <c r="T8" s="34" t="n">
        <f aca="false">IF(L8&lt;&gt;"",L8,MAX(N(E8),V_Inicio))</f>
        <v>1</v>
      </c>
      <c r="U8" s="48" t="n">
        <f aca="false">N(G8)+N(I8)+M8*(1+V_dCapex)</f>
        <v>84295.23</v>
      </c>
    </row>
    <row r="9" customFormat="false" ht="15" hidden="false" customHeight="false" outlineLevel="0" collapsed="false">
      <c r="A9" s="15" t="n">
        <v>4</v>
      </c>
      <c r="B9" s="16" t="s">
        <v>659</v>
      </c>
      <c r="C9" s="16" t="s">
        <v>657</v>
      </c>
      <c r="D9" s="37" t="n">
        <v>10197</v>
      </c>
      <c r="E9" s="18" t="n">
        <v>1</v>
      </c>
      <c r="F9" s="18" t="n">
        <v>10</v>
      </c>
      <c r="G9" s="37"/>
      <c r="H9" s="37"/>
      <c r="I9" s="37"/>
      <c r="J9" s="37"/>
      <c r="K9" s="18"/>
      <c r="L9" s="18"/>
      <c r="M9" s="48" t="n">
        <f aca="false">IF(J9&lt;&gt;"",N(J9),MAX(0,N(D9)-N(G9)-N(I9)))</f>
        <v>10197</v>
      </c>
      <c r="N9" s="19" t="n">
        <f aca="false">N(G9)+N(I9)+M9</f>
        <v>10197</v>
      </c>
      <c r="O9" s="48" t="n">
        <f aca="false">N9-N(D9)</f>
        <v>0</v>
      </c>
      <c r="P9" s="49" t="n">
        <f aca="false">IF(N9&gt;0,N(H9)/N9,"")</f>
        <v>0</v>
      </c>
      <c r="Q9" s="34" t="n">
        <f aca="false">IF(K9&lt;&gt;"",K9,MAX(N(E9),Corte+1))</f>
        <v>1</v>
      </c>
      <c r="R9" s="48" t="n">
        <f aca="false">N(G9)-N(H9)+N(I9)</f>
        <v>0</v>
      </c>
      <c r="S9" s="34" t="n">
        <f aca="false">MAX(N(E9),P_Inicio)</f>
        <v>1</v>
      </c>
      <c r="T9" s="34" t="n">
        <f aca="false">IF(L9&lt;&gt;"",L9,MAX(N(E9),V_Inicio))</f>
        <v>1</v>
      </c>
      <c r="U9" s="48" t="n">
        <f aca="false">N(G9)+N(I9)+M9*(1+V_dCapex)</f>
        <v>10197</v>
      </c>
    </row>
    <row r="10" customFormat="false" ht="15" hidden="false" customHeight="false" outlineLevel="0" collapsed="false">
      <c r="A10" s="15" t="n">
        <v>5</v>
      </c>
      <c r="B10" s="16" t="s">
        <v>660</v>
      </c>
      <c r="C10" s="16" t="s">
        <v>657</v>
      </c>
      <c r="D10" s="37" t="n">
        <v>151967.08</v>
      </c>
      <c r="E10" s="18" t="n">
        <v>1</v>
      </c>
      <c r="F10" s="18" t="n">
        <v>10</v>
      </c>
      <c r="G10" s="37"/>
      <c r="H10" s="37"/>
      <c r="I10" s="37"/>
      <c r="J10" s="37"/>
      <c r="K10" s="18"/>
      <c r="L10" s="18"/>
      <c r="M10" s="48" t="n">
        <f aca="false">IF(J10&lt;&gt;"",N(J10),MAX(0,N(D10)-N(G10)-N(I10)))</f>
        <v>151967.08</v>
      </c>
      <c r="N10" s="19" t="n">
        <f aca="false">N(G10)+N(I10)+M10</f>
        <v>151967.08</v>
      </c>
      <c r="O10" s="48" t="n">
        <f aca="false">N10-N(D10)</f>
        <v>0</v>
      </c>
      <c r="P10" s="49" t="n">
        <f aca="false">IF(N10&gt;0,N(H10)/N10,"")</f>
        <v>0</v>
      </c>
      <c r="Q10" s="34" t="n">
        <f aca="false">IF(K10&lt;&gt;"",K10,MAX(N(E10),Corte+1))</f>
        <v>1</v>
      </c>
      <c r="R10" s="48" t="n">
        <f aca="false">N(G10)-N(H10)+N(I10)</f>
        <v>0</v>
      </c>
      <c r="S10" s="34" t="n">
        <f aca="false">MAX(N(E10),P_Inicio)</f>
        <v>1</v>
      </c>
      <c r="T10" s="34" t="n">
        <f aca="false">IF(L10&lt;&gt;"",L10,MAX(N(E10),V_Inicio))</f>
        <v>1</v>
      </c>
      <c r="U10" s="48" t="n">
        <f aca="false">N(G10)+N(I10)+M10*(1+V_dCapex)</f>
        <v>151967.08</v>
      </c>
    </row>
    <row r="11" customFormat="false" ht="15" hidden="false" customHeight="false" outlineLevel="0" collapsed="false">
      <c r="A11" s="15" t="n">
        <v>6</v>
      </c>
      <c r="B11" s="16" t="s">
        <v>661</v>
      </c>
      <c r="C11" s="16" t="s">
        <v>657</v>
      </c>
      <c r="D11" s="37" t="n">
        <v>3399</v>
      </c>
      <c r="E11" s="18" t="n">
        <v>1</v>
      </c>
      <c r="F11" s="18" t="n">
        <v>10</v>
      </c>
      <c r="G11" s="37"/>
      <c r="H11" s="37"/>
      <c r="I11" s="37"/>
      <c r="J11" s="37"/>
      <c r="K11" s="18"/>
      <c r="L11" s="18"/>
      <c r="M11" s="48" t="n">
        <f aca="false">IF(J11&lt;&gt;"",N(J11),MAX(0,N(D11)-N(G11)-N(I11)))</f>
        <v>3399</v>
      </c>
      <c r="N11" s="19" t="n">
        <f aca="false">N(G11)+N(I11)+M11</f>
        <v>3399</v>
      </c>
      <c r="O11" s="48" t="n">
        <f aca="false">N11-N(D11)</f>
        <v>0</v>
      </c>
      <c r="P11" s="49" t="n">
        <f aca="false">IF(N11&gt;0,N(H11)/N11,"")</f>
        <v>0</v>
      </c>
      <c r="Q11" s="34" t="n">
        <f aca="false">IF(K11&lt;&gt;"",K11,MAX(N(E11),Corte+1))</f>
        <v>1</v>
      </c>
      <c r="R11" s="48" t="n">
        <f aca="false">N(G11)-N(H11)+N(I11)</f>
        <v>0</v>
      </c>
      <c r="S11" s="34" t="n">
        <f aca="false">MAX(N(E11),P_Inicio)</f>
        <v>1</v>
      </c>
      <c r="T11" s="34" t="n">
        <f aca="false">IF(L11&lt;&gt;"",L11,MAX(N(E11),V_Inicio))</f>
        <v>1</v>
      </c>
      <c r="U11" s="48" t="n">
        <f aca="false">N(G11)+N(I11)+M11*(1+V_dCapex)</f>
        <v>3399</v>
      </c>
    </row>
    <row r="12" customFormat="false" ht="15" hidden="false" customHeight="false" outlineLevel="0" collapsed="false">
      <c r="A12" s="15" t="n">
        <v>7</v>
      </c>
      <c r="B12" s="16" t="s">
        <v>662</v>
      </c>
      <c r="C12" s="16" t="s">
        <v>657</v>
      </c>
      <c r="D12" s="37" t="n">
        <v>589.16</v>
      </c>
      <c r="E12" s="18" t="n">
        <v>1</v>
      </c>
      <c r="F12" s="18" t="n">
        <v>10</v>
      </c>
      <c r="G12" s="37"/>
      <c r="H12" s="37"/>
      <c r="I12" s="37"/>
      <c r="J12" s="37"/>
      <c r="K12" s="18"/>
      <c r="L12" s="18"/>
      <c r="M12" s="48" t="n">
        <f aca="false">IF(J12&lt;&gt;"",N(J12),MAX(0,N(D12)-N(G12)-N(I12)))</f>
        <v>589.16</v>
      </c>
      <c r="N12" s="19" t="n">
        <f aca="false">N(G12)+N(I12)+M12</f>
        <v>589.16</v>
      </c>
      <c r="O12" s="48" t="n">
        <f aca="false">N12-N(D12)</f>
        <v>0</v>
      </c>
      <c r="P12" s="49" t="n">
        <f aca="false">IF(N12&gt;0,N(H12)/N12,"")</f>
        <v>0</v>
      </c>
      <c r="Q12" s="34" t="n">
        <f aca="false">IF(K12&lt;&gt;"",K12,MAX(N(E12),Corte+1))</f>
        <v>1</v>
      </c>
      <c r="R12" s="48" t="n">
        <f aca="false">N(G12)-N(H12)+N(I12)</f>
        <v>0</v>
      </c>
      <c r="S12" s="34" t="n">
        <f aca="false">MAX(N(E12),P_Inicio)</f>
        <v>1</v>
      </c>
      <c r="T12" s="34" t="n">
        <f aca="false">IF(L12&lt;&gt;"",L12,MAX(N(E12),V_Inicio))</f>
        <v>1</v>
      </c>
      <c r="U12" s="48" t="n">
        <f aca="false">N(G12)+N(I12)+M12*(1+V_dCapex)</f>
        <v>589.16</v>
      </c>
    </row>
    <row r="13" customFormat="false" ht="15" hidden="false" customHeight="false" outlineLevel="0" collapsed="false">
      <c r="A13" s="15" t="n">
        <v>8</v>
      </c>
      <c r="B13" s="16" t="s">
        <v>663</v>
      </c>
      <c r="C13" s="16" t="s">
        <v>657</v>
      </c>
      <c r="D13" s="37" t="n">
        <v>28325.01</v>
      </c>
      <c r="E13" s="18" t="n">
        <v>1</v>
      </c>
      <c r="F13" s="18" t="n">
        <v>10</v>
      </c>
      <c r="G13" s="37"/>
      <c r="H13" s="37"/>
      <c r="I13" s="37"/>
      <c r="J13" s="37"/>
      <c r="K13" s="18"/>
      <c r="L13" s="18"/>
      <c r="M13" s="48" t="n">
        <f aca="false">IF(J13&lt;&gt;"",N(J13),MAX(0,N(D13)-N(G13)-N(I13)))</f>
        <v>28325.01</v>
      </c>
      <c r="N13" s="19" t="n">
        <f aca="false">N(G13)+N(I13)+M13</f>
        <v>28325.01</v>
      </c>
      <c r="O13" s="48" t="n">
        <f aca="false">N13-N(D13)</f>
        <v>0</v>
      </c>
      <c r="P13" s="49" t="n">
        <f aca="false">IF(N13&gt;0,N(H13)/N13,"")</f>
        <v>0</v>
      </c>
      <c r="Q13" s="34" t="n">
        <f aca="false">IF(K13&lt;&gt;"",K13,MAX(N(E13),Corte+1))</f>
        <v>1</v>
      </c>
      <c r="R13" s="48" t="n">
        <f aca="false">N(G13)-N(H13)+N(I13)</f>
        <v>0</v>
      </c>
      <c r="S13" s="34" t="n">
        <f aca="false">MAX(N(E13),P_Inicio)</f>
        <v>1</v>
      </c>
      <c r="T13" s="34" t="n">
        <f aca="false">IF(L13&lt;&gt;"",L13,MAX(N(E13),V_Inicio))</f>
        <v>1</v>
      </c>
      <c r="U13" s="48" t="n">
        <f aca="false">N(G13)+N(I13)+M13*(1+V_dCapex)</f>
        <v>28325.01</v>
      </c>
    </row>
    <row r="14" customFormat="false" ht="15" hidden="false" customHeight="false" outlineLevel="0" collapsed="false">
      <c r="A14" s="15" t="n">
        <v>9</v>
      </c>
      <c r="B14" s="16" t="s">
        <v>664</v>
      </c>
      <c r="C14" s="16" t="s">
        <v>657</v>
      </c>
      <c r="D14" s="37" t="n">
        <v>9857.1</v>
      </c>
      <c r="E14" s="18" t="n">
        <v>1</v>
      </c>
      <c r="F14" s="18" t="n">
        <v>10</v>
      </c>
      <c r="G14" s="37"/>
      <c r="H14" s="37"/>
      <c r="I14" s="37"/>
      <c r="J14" s="37"/>
      <c r="K14" s="18"/>
      <c r="L14" s="18"/>
      <c r="M14" s="48" t="n">
        <f aca="false">IF(J14&lt;&gt;"",N(J14),MAX(0,N(D14)-N(G14)-N(I14)))</f>
        <v>9857.1</v>
      </c>
      <c r="N14" s="19" t="n">
        <f aca="false">N(G14)+N(I14)+M14</f>
        <v>9857.1</v>
      </c>
      <c r="O14" s="48" t="n">
        <f aca="false">N14-N(D14)</f>
        <v>0</v>
      </c>
      <c r="P14" s="49" t="n">
        <f aca="false">IF(N14&gt;0,N(H14)/N14,"")</f>
        <v>0</v>
      </c>
      <c r="Q14" s="34" t="n">
        <f aca="false">IF(K14&lt;&gt;"",K14,MAX(N(E14),Corte+1))</f>
        <v>1</v>
      </c>
      <c r="R14" s="48" t="n">
        <f aca="false">N(G14)-N(H14)+N(I14)</f>
        <v>0</v>
      </c>
      <c r="S14" s="34" t="n">
        <f aca="false">MAX(N(E14),P_Inicio)</f>
        <v>1</v>
      </c>
      <c r="T14" s="34" t="n">
        <f aca="false">IF(L14&lt;&gt;"",L14,MAX(N(E14),V_Inicio))</f>
        <v>1</v>
      </c>
      <c r="U14" s="48" t="n">
        <f aca="false">N(G14)+N(I14)+M14*(1+V_dCapex)</f>
        <v>9857.1</v>
      </c>
    </row>
    <row r="15" customFormat="false" ht="15" hidden="false" customHeight="false" outlineLevel="0" collapsed="false">
      <c r="A15" s="15" t="n">
        <v>10</v>
      </c>
      <c r="B15" s="16" t="s">
        <v>665</v>
      </c>
      <c r="C15" s="16" t="s">
        <v>657</v>
      </c>
      <c r="D15" s="37" t="n">
        <v>29458.01</v>
      </c>
      <c r="E15" s="18" t="n">
        <v>1</v>
      </c>
      <c r="F15" s="18" t="n">
        <v>10</v>
      </c>
      <c r="G15" s="37"/>
      <c r="H15" s="37"/>
      <c r="I15" s="37"/>
      <c r="J15" s="37"/>
      <c r="K15" s="18"/>
      <c r="L15" s="18"/>
      <c r="M15" s="48" t="n">
        <f aca="false">IF(J15&lt;&gt;"",N(J15),MAX(0,N(D15)-N(G15)-N(I15)))</f>
        <v>29458.01</v>
      </c>
      <c r="N15" s="19" t="n">
        <f aca="false">N(G15)+N(I15)+M15</f>
        <v>29458.01</v>
      </c>
      <c r="O15" s="48" t="n">
        <f aca="false">N15-N(D15)</f>
        <v>0</v>
      </c>
      <c r="P15" s="49" t="n">
        <f aca="false">IF(N15&gt;0,N(H15)/N15,"")</f>
        <v>0</v>
      </c>
      <c r="Q15" s="34" t="n">
        <f aca="false">IF(K15&lt;&gt;"",K15,MAX(N(E15),Corte+1))</f>
        <v>1</v>
      </c>
      <c r="R15" s="48" t="n">
        <f aca="false">N(G15)-N(H15)+N(I15)</f>
        <v>0</v>
      </c>
      <c r="S15" s="34" t="n">
        <f aca="false">MAX(N(E15),P_Inicio)</f>
        <v>1</v>
      </c>
      <c r="T15" s="34" t="n">
        <f aca="false">IF(L15&lt;&gt;"",L15,MAX(N(E15),V_Inicio))</f>
        <v>1</v>
      </c>
      <c r="U15" s="48" t="n">
        <f aca="false">N(G15)+N(I15)+M15*(1+V_dCapex)</f>
        <v>29458.01</v>
      </c>
    </row>
    <row r="16" customFormat="false" ht="15" hidden="false" customHeight="false" outlineLevel="0" collapsed="false">
      <c r="A16" s="15" t="n">
        <v>11</v>
      </c>
      <c r="B16" s="16" t="s">
        <v>666</v>
      </c>
      <c r="C16" s="16" t="s">
        <v>657</v>
      </c>
      <c r="D16" s="37" t="n">
        <v>6004.9</v>
      </c>
      <c r="E16" s="18" t="n">
        <v>1</v>
      </c>
      <c r="F16" s="18" t="n">
        <v>10</v>
      </c>
      <c r="G16" s="37"/>
      <c r="H16" s="37"/>
      <c r="I16" s="37"/>
      <c r="J16" s="37"/>
      <c r="K16" s="18"/>
      <c r="L16" s="18"/>
      <c r="M16" s="48" t="n">
        <f aca="false">IF(J16&lt;&gt;"",N(J16),MAX(0,N(D16)-N(G16)-N(I16)))</f>
        <v>6004.9</v>
      </c>
      <c r="N16" s="19" t="n">
        <f aca="false">N(G16)+N(I16)+M16</f>
        <v>6004.9</v>
      </c>
      <c r="O16" s="48" t="n">
        <f aca="false">N16-N(D16)</f>
        <v>0</v>
      </c>
      <c r="P16" s="49" t="n">
        <f aca="false">IF(N16&gt;0,N(H16)/N16,"")</f>
        <v>0</v>
      </c>
      <c r="Q16" s="34" t="n">
        <f aca="false">IF(K16&lt;&gt;"",K16,MAX(N(E16),Corte+1))</f>
        <v>1</v>
      </c>
      <c r="R16" s="48" t="n">
        <f aca="false">N(G16)-N(H16)+N(I16)</f>
        <v>0</v>
      </c>
      <c r="S16" s="34" t="n">
        <f aca="false">MAX(N(E16),P_Inicio)</f>
        <v>1</v>
      </c>
      <c r="T16" s="34" t="n">
        <f aca="false">IF(L16&lt;&gt;"",L16,MAX(N(E16),V_Inicio))</f>
        <v>1</v>
      </c>
      <c r="U16" s="48" t="n">
        <f aca="false">N(G16)+N(I16)+M16*(1+V_dCapex)</f>
        <v>6004.9</v>
      </c>
    </row>
    <row r="17" customFormat="false" ht="15" hidden="false" customHeight="false" outlineLevel="0" collapsed="false">
      <c r="A17" s="15" t="n">
        <v>12</v>
      </c>
      <c r="B17" s="16" t="s">
        <v>667</v>
      </c>
      <c r="C17" s="16" t="s">
        <v>668</v>
      </c>
      <c r="D17" s="37" t="n">
        <v>43478</v>
      </c>
      <c r="E17" s="18" t="n">
        <v>1</v>
      </c>
      <c r="F17" s="18" t="n">
        <v>5</v>
      </c>
      <c r="G17" s="37"/>
      <c r="H17" s="37"/>
      <c r="I17" s="37"/>
      <c r="J17" s="37"/>
      <c r="K17" s="18"/>
      <c r="L17" s="18"/>
      <c r="M17" s="48" t="n">
        <f aca="false">IF(J17&lt;&gt;"",N(J17),MAX(0,N(D17)-N(G17)-N(I17)))</f>
        <v>43478</v>
      </c>
      <c r="N17" s="19" t="n">
        <f aca="false">N(G17)+N(I17)+M17</f>
        <v>43478</v>
      </c>
      <c r="O17" s="48" t="n">
        <f aca="false">N17-N(D17)</f>
        <v>0</v>
      </c>
      <c r="P17" s="49" t="n">
        <f aca="false">IF(N17&gt;0,N(H17)/N17,"")</f>
        <v>0</v>
      </c>
      <c r="Q17" s="34" t="n">
        <f aca="false">IF(K17&lt;&gt;"",K17,MAX(N(E17),Corte+1))</f>
        <v>1</v>
      </c>
      <c r="R17" s="48" t="n">
        <f aca="false">N(G17)-N(H17)+N(I17)</f>
        <v>0</v>
      </c>
      <c r="S17" s="34" t="n">
        <f aca="false">MAX(N(E17),P_Inicio)</f>
        <v>1</v>
      </c>
      <c r="T17" s="34" t="n">
        <f aca="false">IF(L17&lt;&gt;"",L17,MAX(N(E17),V_Inicio))</f>
        <v>1</v>
      </c>
      <c r="U17" s="48" t="n">
        <f aca="false">N(G17)+N(I17)+M17*(1+V_dCapex)</f>
        <v>43478</v>
      </c>
    </row>
    <row r="18" customFormat="false" ht="15" hidden="false" customHeight="false" outlineLevel="0" collapsed="false">
      <c r="A18" s="15" t="n">
        <v>13</v>
      </c>
      <c r="B18" s="16" t="s">
        <v>669</v>
      </c>
      <c r="C18" s="16" t="s">
        <v>669</v>
      </c>
      <c r="D18" s="37" t="n">
        <v>17400</v>
      </c>
      <c r="E18" s="18" t="n">
        <v>1</v>
      </c>
      <c r="F18" s="18" t="n">
        <v>5</v>
      </c>
      <c r="G18" s="37"/>
      <c r="H18" s="37"/>
      <c r="I18" s="37"/>
      <c r="J18" s="37"/>
      <c r="K18" s="18"/>
      <c r="L18" s="18"/>
      <c r="M18" s="48" t="n">
        <f aca="false">IF(J18&lt;&gt;"",N(J18),MAX(0,N(D18)-N(G18)-N(I18)))</f>
        <v>17400</v>
      </c>
      <c r="N18" s="19" t="n">
        <f aca="false">N(G18)+N(I18)+M18</f>
        <v>17400</v>
      </c>
      <c r="O18" s="48" t="n">
        <f aca="false">N18-N(D18)</f>
        <v>0</v>
      </c>
      <c r="P18" s="49" t="n">
        <f aca="false">IF(N18&gt;0,N(H18)/N18,"")</f>
        <v>0</v>
      </c>
      <c r="Q18" s="34" t="n">
        <f aca="false">IF(K18&lt;&gt;"",K18,MAX(N(E18),Corte+1))</f>
        <v>1</v>
      </c>
      <c r="R18" s="48" t="n">
        <f aca="false">N(G18)-N(H18)+N(I18)</f>
        <v>0</v>
      </c>
      <c r="S18" s="34" t="n">
        <f aca="false">MAX(N(E18),P_Inicio)</f>
        <v>1</v>
      </c>
      <c r="T18" s="34" t="n">
        <f aca="false">IF(L18&lt;&gt;"",L18,MAX(N(E18),V_Inicio))</f>
        <v>1</v>
      </c>
      <c r="U18" s="48" t="n">
        <f aca="false">N(G18)+N(I18)+M18*(1+V_dCapex)</f>
        <v>17400</v>
      </c>
    </row>
    <row r="19" customFormat="false" ht="15" hidden="false" customHeight="false" outlineLevel="0" collapsed="false">
      <c r="A19" s="15" t="n">
        <v>14</v>
      </c>
      <c r="B19" s="16" t="s">
        <v>670</v>
      </c>
      <c r="C19" s="16" t="s">
        <v>671</v>
      </c>
      <c r="D19" s="37" t="n">
        <v>100000</v>
      </c>
      <c r="E19" s="18" t="n">
        <v>13</v>
      </c>
      <c r="F19" s="18" t="n">
        <v>10</v>
      </c>
      <c r="G19" s="37"/>
      <c r="H19" s="37"/>
      <c r="I19" s="37"/>
      <c r="J19" s="37"/>
      <c r="K19" s="18"/>
      <c r="L19" s="18"/>
      <c r="M19" s="48" t="n">
        <f aca="false">IF(J19&lt;&gt;"",N(J19),MAX(0,N(D19)-N(G19)-N(I19)))</f>
        <v>100000</v>
      </c>
      <c r="N19" s="19" t="n">
        <f aca="false">N(G19)+N(I19)+M19</f>
        <v>100000</v>
      </c>
      <c r="O19" s="48" t="n">
        <f aca="false">N19-N(D19)</f>
        <v>0</v>
      </c>
      <c r="P19" s="49" t="n">
        <f aca="false">IF(N19&gt;0,N(H19)/N19,"")</f>
        <v>0</v>
      </c>
      <c r="Q19" s="34" t="n">
        <f aca="false">IF(K19&lt;&gt;"",K19,MAX(N(E19),Corte+1))</f>
        <v>13</v>
      </c>
      <c r="R19" s="48" t="n">
        <f aca="false">N(G19)-N(H19)+N(I19)</f>
        <v>0</v>
      </c>
      <c r="S19" s="34" t="n">
        <f aca="false">MAX(N(E19),P_Inicio)</f>
        <v>13</v>
      </c>
      <c r="T19" s="34" t="n">
        <f aca="false">IF(L19&lt;&gt;"",L19,MAX(N(E19),V_Inicio))</f>
        <v>13</v>
      </c>
      <c r="U19" s="48" t="n">
        <f aca="false">N(G19)+N(I19)+M19*(1+V_dCapex)</f>
        <v>100000</v>
      </c>
    </row>
    <row r="20" customFormat="false" ht="15" hidden="false" customHeight="false" outlineLevel="0" collapsed="false">
      <c r="A20" s="15" t="n">
        <v>15</v>
      </c>
      <c r="B20" s="16"/>
      <c r="C20" s="16"/>
      <c r="D20" s="37"/>
      <c r="E20" s="18"/>
      <c r="F20" s="18"/>
      <c r="G20" s="37"/>
      <c r="H20" s="37"/>
      <c r="I20" s="37"/>
      <c r="J20" s="37"/>
      <c r="K20" s="18"/>
      <c r="L20" s="18"/>
      <c r="M20" s="48" t="n">
        <f aca="false">IF(J20&lt;&gt;"",N(J20),MAX(0,N(D20)-N(G20)-N(I20)))</f>
        <v>0</v>
      </c>
      <c r="N20" s="19" t="n">
        <f aca="false">N(G20)+N(I20)+M20</f>
        <v>0</v>
      </c>
      <c r="O20" s="48" t="n">
        <f aca="false">N20-N(D20)</f>
        <v>0</v>
      </c>
      <c r="P20" s="49" t="str">
        <f aca="false">IF(N20&gt;0,N(H20)/N20,"")</f>
        <v/>
      </c>
      <c r="Q20" s="34" t="n">
        <f aca="false">IF(K20&lt;&gt;"",K20,MAX(N(E20),Corte+1))</f>
        <v>1</v>
      </c>
      <c r="R20" s="48" t="n">
        <f aca="false">N(G20)-N(H20)+N(I20)</f>
        <v>0</v>
      </c>
      <c r="S20" s="34" t="n">
        <f aca="false">MAX(N(E20),P_Inicio)</f>
        <v>1</v>
      </c>
      <c r="T20" s="34" t="n">
        <f aca="false">IF(L20&lt;&gt;"",L20,MAX(N(E20),V_Inicio))</f>
        <v>1</v>
      </c>
      <c r="U20" s="48" t="n">
        <f aca="false">N(G20)+N(I20)+M20*(1+V_dCapex)</f>
        <v>0</v>
      </c>
    </row>
    <row r="21" customFormat="false" ht="15" hidden="false" customHeight="false" outlineLevel="0" collapsed="false">
      <c r="A21" s="15" t="n">
        <v>16</v>
      </c>
      <c r="B21" s="16"/>
      <c r="C21" s="16"/>
      <c r="D21" s="37"/>
      <c r="E21" s="18"/>
      <c r="F21" s="18"/>
      <c r="G21" s="37"/>
      <c r="H21" s="37"/>
      <c r="I21" s="37"/>
      <c r="J21" s="37"/>
      <c r="K21" s="18"/>
      <c r="L21" s="18"/>
      <c r="M21" s="48" t="n">
        <f aca="false">IF(J21&lt;&gt;"",N(J21),MAX(0,N(D21)-N(G21)-N(I21)))</f>
        <v>0</v>
      </c>
      <c r="N21" s="19" t="n">
        <f aca="false">N(G21)+N(I21)+M21</f>
        <v>0</v>
      </c>
      <c r="O21" s="48" t="n">
        <f aca="false">N21-N(D21)</f>
        <v>0</v>
      </c>
      <c r="P21" s="49" t="str">
        <f aca="false">IF(N21&gt;0,N(H21)/N21,"")</f>
        <v/>
      </c>
      <c r="Q21" s="34" t="n">
        <f aca="false">IF(K21&lt;&gt;"",K21,MAX(N(E21),Corte+1))</f>
        <v>1</v>
      </c>
      <c r="R21" s="48" t="n">
        <f aca="false">N(G21)-N(H21)+N(I21)</f>
        <v>0</v>
      </c>
      <c r="S21" s="34" t="n">
        <f aca="false">MAX(N(E21),P_Inicio)</f>
        <v>1</v>
      </c>
      <c r="T21" s="34" t="n">
        <f aca="false">IF(L21&lt;&gt;"",L21,MAX(N(E21),V_Inicio))</f>
        <v>1</v>
      </c>
      <c r="U21" s="48" t="n">
        <f aca="false">N(G21)+N(I21)+M21*(1+V_dCapex)</f>
        <v>0</v>
      </c>
    </row>
    <row r="22" customFormat="false" ht="15" hidden="false" customHeight="false" outlineLevel="0" collapsed="false">
      <c r="A22" s="15" t="n">
        <v>17</v>
      </c>
      <c r="B22" s="16"/>
      <c r="C22" s="16"/>
      <c r="D22" s="37"/>
      <c r="E22" s="18"/>
      <c r="F22" s="18"/>
      <c r="G22" s="37"/>
      <c r="H22" s="37"/>
      <c r="I22" s="37"/>
      <c r="J22" s="37"/>
      <c r="K22" s="18"/>
      <c r="L22" s="18"/>
      <c r="M22" s="48" t="n">
        <f aca="false">IF(J22&lt;&gt;"",N(J22),MAX(0,N(D22)-N(G22)-N(I22)))</f>
        <v>0</v>
      </c>
      <c r="N22" s="19" t="n">
        <f aca="false">N(G22)+N(I22)+M22</f>
        <v>0</v>
      </c>
      <c r="O22" s="48" t="n">
        <f aca="false">N22-N(D22)</f>
        <v>0</v>
      </c>
      <c r="P22" s="49" t="str">
        <f aca="false">IF(N22&gt;0,N(H22)/N22,"")</f>
        <v/>
      </c>
      <c r="Q22" s="34" t="n">
        <f aca="false">IF(K22&lt;&gt;"",K22,MAX(N(E22),Corte+1))</f>
        <v>1</v>
      </c>
      <c r="R22" s="48" t="n">
        <f aca="false">N(G22)-N(H22)+N(I22)</f>
        <v>0</v>
      </c>
      <c r="S22" s="34" t="n">
        <f aca="false">MAX(N(E22),P_Inicio)</f>
        <v>1</v>
      </c>
      <c r="T22" s="34" t="n">
        <f aca="false">IF(L22&lt;&gt;"",L22,MAX(N(E22),V_Inicio))</f>
        <v>1</v>
      </c>
      <c r="U22" s="48" t="n">
        <f aca="false">N(G22)+N(I22)+M22*(1+V_dCapex)</f>
        <v>0</v>
      </c>
    </row>
    <row r="23" customFormat="false" ht="15" hidden="false" customHeight="false" outlineLevel="0" collapsed="false">
      <c r="A23" s="15" t="n">
        <v>18</v>
      </c>
      <c r="B23" s="16"/>
      <c r="C23" s="16"/>
      <c r="D23" s="37"/>
      <c r="E23" s="18"/>
      <c r="F23" s="18"/>
      <c r="G23" s="37"/>
      <c r="H23" s="37"/>
      <c r="I23" s="37"/>
      <c r="J23" s="37"/>
      <c r="K23" s="18"/>
      <c r="L23" s="18"/>
      <c r="M23" s="48" t="n">
        <f aca="false">IF(J23&lt;&gt;"",N(J23),MAX(0,N(D23)-N(G23)-N(I23)))</f>
        <v>0</v>
      </c>
      <c r="N23" s="19" t="n">
        <f aca="false">N(G23)+N(I23)+M23</f>
        <v>0</v>
      </c>
      <c r="O23" s="48" t="n">
        <f aca="false">N23-N(D23)</f>
        <v>0</v>
      </c>
      <c r="P23" s="49" t="str">
        <f aca="false">IF(N23&gt;0,N(H23)/N23,"")</f>
        <v/>
      </c>
      <c r="Q23" s="34" t="n">
        <f aca="false">IF(K23&lt;&gt;"",K23,MAX(N(E23),Corte+1))</f>
        <v>1</v>
      </c>
      <c r="R23" s="48" t="n">
        <f aca="false">N(G23)-N(H23)+N(I23)</f>
        <v>0</v>
      </c>
      <c r="S23" s="34" t="n">
        <f aca="false">MAX(N(E23),P_Inicio)</f>
        <v>1</v>
      </c>
      <c r="T23" s="34" t="n">
        <f aca="false">IF(L23&lt;&gt;"",L23,MAX(N(E23),V_Inicio))</f>
        <v>1</v>
      </c>
      <c r="U23" s="48" t="n">
        <f aca="false">N(G23)+N(I23)+M23*(1+V_dCapex)</f>
        <v>0</v>
      </c>
    </row>
    <row r="24" customFormat="false" ht="15" hidden="false" customHeight="false" outlineLevel="0" collapsed="false">
      <c r="A24" s="15" t="n">
        <v>19</v>
      </c>
      <c r="B24" s="16"/>
      <c r="C24" s="16"/>
      <c r="D24" s="37"/>
      <c r="E24" s="18"/>
      <c r="F24" s="18"/>
      <c r="G24" s="37"/>
      <c r="H24" s="37"/>
      <c r="I24" s="37"/>
      <c r="J24" s="37"/>
      <c r="K24" s="18"/>
      <c r="L24" s="18"/>
      <c r="M24" s="48" t="n">
        <f aca="false">IF(J24&lt;&gt;"",N(J24),MAX(0,N(D24)-N(G24)-N(I24)))</f>
        <v>0</v>
      </c>
      <c r="N24" s="19" t="n">
        <f aca="false">N(G24)+N(I24)+M24</f>
        <v>0</v>
      </c>
      <c r="O24" s="48" t="n">
        <f aca="false">N24-N(D24)</f>
        <v>0</v>
      </c>
      <c r="P24" s="49" t="str">
        <f aca="false">IF(N24&gt;0,N(H24)/N24,"")</f>
        <v/>
      </c>
      <c r="Q24" s="34" t="n">
        <f aca="false">IF(K24&lt;&gt;"",K24,MAX(N(E24),Corte+1))</f>
        <v>1</v>
      </c>
      <c r="R24" s="48" t="n">
        <f aca="false">N(G24)-N(H24)+N(I24)</f>
        <v>0</v>
      </c>
      <c r="S24" s="34" t="n">
        <f aca="false">MAX(N(E24),P_Inicio)</f>
        <v>1</v>
      </c>
      <c r="T24" s="34" t="n">
        <f aca="false">IF(L24&lt;&gt;"",L24,MAX(N(E24),V_Inicio))</f>
        <v>1</v>
      </c>
      <c r="U24" s="48" t="n">
        <f aca="false">N(G24)+N(I24)+M24*(1+V_dCapex)</f>
        <v>0</v>
      </c>
    </row>
    <row r="25" customFormat="false" ht="15" hidden="false" customHeight="false" outlineLevel="0" collapsed="false">
      <c r="A25" s="15" t="n">
        <v>20</v>
      </c>
      <c r="B25" s="16"/>
      <c r="C25" s="16"/>
      <c r="D25" s="37"/>
      <c r="E25" s="18"/>
      <c r="F25" s="18"/>
      <c r="G25" s="37"/>
      <c r="H25" s="37"/>
      <c r="I25" s="37"/>
      <c r="J25" s="37"/>
      <c r="K25" s="18"/>
      <c r="L25" s="18"/>
      <c r="M25" s="48" t="n">
        <f aca="false">IF(J25&lt;&gt;"",N(J25),MAX(0,N(D25)-N(G25)-N(I25)))</f>
        <v>0</v>
      </c>
      <c r="N25" s="19" t="n">
        <f aca="false">N(G25)+N(I25)+M25</f>
        <v>0</v>
      </c>
      <c r="O25" s="48" t="n">
        <f aca="false">N25-N(D25)</f>
        <v>0</v>
      </c>
      <c r="P25" s="49" t="str">
        <f aca="false">IF(N25&gt;0,N(H25)/N25,"")</f>
        <v/>
      </c>
      <c r="Q25" s="34" t="n">
        <f aca="false">IF(K25&lt;&gt;"",K25,MAX(N(E25),Corte+1))</f>
        <v>1</v>
      </c>
      <c r="R25" s="48" t="n">
        <f aca="false">N(G25)-N(H25)+N(I25)</f>
        <v>0</v>
      </c>
      <c r="S25" s="34" t="n">
        <f aca="false">MAX(N(E25),P_Inicio)</f>
        <v>1</v>
      </c>
      <c r="T25" s="34" t="n">
        <f aca="false">IF(L25&lt;&gt;"",L25,MAX(N(E25),V_Inicio))</f>
        <v>1</v>
      </c>
      <c r="U25" s="48" t="n">
        <f aca="false">N(G25)+N(I25)+M25*(1+V_dCapex)</f>
        <v>0</v>
      </c>
    </row>
    <row r="26" customFormat="false" ht="15" hidden="false" customHeight="false" outlineLevel="0" collapsed="false">
      <c r="B26" s="20" t="s">
        <v>672</v>
      </c>
      <c r="D26" s="54" t="n">
        <f aca="false">SUM(D6:D25)</f>
        <v>755044.09</v>
      </c>
      <c r="G26" s="54" t="n">
        <f aca="false">SUM(G6:G25)</f>
        <v>0</v>
      </c>
      <c r="H26" s="54" t="n">
        <f aca="false">SUM(H6:H25)</f>
        <v>0</v>
      </c>
      <c r="I26" s="54" t="n">
        <f aca="false">SUM(I6:I25)</f>
        <v>0</v>
      </c>
      <c r="M26" s="54" t="n">
        <f aca="false">SUM(M6:M25)</f>
        <v>755044.09</v>
      </c>
      <c r="N26" s="54" t="n">
        <f aca="false">SUM(N6:N25)</f>
        <v>755044.09</v>
      </c>
      <c r="O26" s="54" t="n">
        <f aca="false">SUM(O6:O25)</f>
        <v>0</v>
      </c>
      <c r="P26" s="45" t="n">
        <f aca="false">IF(N26&gt;0,H26/N26,"")</f>
        <v>0</v>
      </c>
      <c r="R26" s="54" t="n">
        <f aca="false">SUM(R6:R25)</f>
        <v>0</v>
      </c>
      <c r="U26" s="54" t="n">
        <f aca="false">SUM(U6:U25)</f>
        <v>755044.09</v>
      </c>
    </row>
    <row r="27" customFormat="false" ht="15" hidden="false" customHeight="false" outlineLevel="0" collapsed="false">
      <c r="B27" s="11" t="s">
        <v>673</v>
      </c>
    </row>
    <row r="29" customFormat="false" ht="15" hidden="false" customHeight="false" outlineLevel="0" collapsed="false">
      <c r="A29" s="12" t="s">
        <v>674</v>
      </c>
      <c r="B29" s="13"/>
      <c r="C29" s="13"/>
      <c r="D29" s="13"/>
      <c r="E29" s="13"/>
      <c r="F29" s="13"/>
      <c r="G29" s="13"/>
      <c r="H29" s="13"/>
      <c r="I29" s="13"/>
      <c r="J29" s="13"/>
      <c r="K29" s="13"/>
      <c r="L29" s="13"/>
      <c r="M29" s="13"/>
      <c r="N29" s="13"/>
      <c r="O29" s="13"/>
      <c r="P29" s="13"/>
      <c r="Q29" s="13"/>
      <c r="R29" s="13"/>
      <c r="S29" s="13"/>
      <c r="T29" s="13"/>
      <c r="U29" s="13"/>
    </row>
    <row r="30" customFormat="false" ht="42" hidden="false" customHeight="true" outlineLevel="0" collapsed="false">
      <c r="A30" s="14"/>
      <c r="B30" s="14" t="s">
        <v>675</v>
      </c>
      <c r="C30" s="14" t="s">
        <v>355</v>
      </c>
      <c r="D30" s="14" t="s">
        <v>676</v>
      </c>
      <c r="E30" s="14" t="s">
        <v>677</v>
      </c>
      <c r="F30" s="14" t="s">
        <v>678</v>
      </c>
      <c r="G30" s="14" t="s">
        <v>679</v>
      </c>
      <c r="H30" s="14" t="s">
        <v>680</v>
      </c>
      <c r="I30" s="14" t="s">
        <v>681</v>
      </c>
    </row>
    <row r="31" customFormat="false" ht="15" hidden="false" customHeight="false" outlineLevel="0" collapsed="false">
      <c r="B31" s="15" t="s">
        <v>682</v>
      </c>
      <c r="C31" s="15"/>
      <c r="D31" s="16" t="s">
        <v>683</v>
      </c>
      <c r="E31" s="22" t="str">
        <f aca="false">D31</f>
        <v>Préstamo bancario inicial</v>
      </c>
      <c r="F31" s="16"/>
      <c r="G31" s="22" t="n">
        <f aca="false">F31</f>
        <v>0</v>
      </c>
      <c r="H31" s="16"/>
      <c r="I31" s="22" t="n">
        <f aca="false">H31</f>
        <v>0</v>
      </c>
    </row>
    <row r="32" customFormat="false" ht="15" hidden="false" customHeight="false" outlineLevel="0" collapsed="false">
      <c r="B32" s="15" t="s">
        <v>684</v>
      </c>
      <c r="C32" s="15" t="s">
        <v>508</v>
      </c>
      <c r="D32" s="37" t="n">
        <v>2791587</v>
      </c>
      <c r="E32" s="38" t="n">
        <f aca="false">D32</f>
        <v>2791587</v>
      </c>
      <c r="F32" s="37"/>
      <c r="G32" s="38" t="n">
        <f aca="false">F32</f>
        <v>0</v>
      </c>
      <c r="H32" s="37"/>
      <c r="I32" s="38" t="n">
        <f aca="false">H32</f>
        <v>0</v>
      </c>
    </row>
    <row r="33" customFormat="false" ht="15" hidden="false" customHeight="false" outlineLevel="0" collapsed="false">
      <c r="B33" s="15" t="s">
        <v>685</v>
      </c>
      <c r="C33" s="15" t="s">
        <v>359</v>
      </c>
      <c r="D33" s="18" t="n">
        <v>1</v>
      </c>
      <c r="E33" s="33" t="n">
        <f aca="false">D33</f>
        <v>1</v>
      </c>
      <c r="F33" s="18"/>
      <c r="G33" s="33" t="n">
        <f aca="false">F33</f>
        <v>0</v>
      </c>
      <c r="H33" s="18"/>
      <c r="I33" s="33" t="n">
        <f aca="false">H33</f>
        <v>0</v>
      </c>
    </row>
    <row r="34" customFormat="false" ht="15" hidden="false" customHeight="false" outlineLevel="0" collapsed="false">
      <c r="B34" s="15" t="s">
        <v>686</v>
      </c>
      <c r="C34" s="15" t="s">
        <v>367</v>
      </c>
      <c r="D34" s="35" t="n">
        <v>0.09</v>
      </c>
      <c r="E34" s="36" t="n">
        <f aca="false">D34</f>
        <v>0.09</v>
      </c>
      <c r="F34" s="35"/>
      <c r="G34" s="36" t="n">
        <f aca="false">F34</f>
        <v>0</v>
      </c>
      <c r="H34" s="35"/>
      <c r="I34" s="36" t="n">
        <f aca="false">H34</f>
        <v>0</v>
      </c>
    </row>
    <row r="35" customFormat="false" ht="15" hidden="false" customHeight="false" outlineLevel="0" collapsed="false">
      <c r="B35" s="15" t="s">
        <v>687</v>
      </c>
      <c r="C35" s="15" t="s">
        <v>430</v>
      </c>
      <c r="D35" s="18" t="n">
        <v>6</v>
      </c>
      <c r="E35" s="33" t="n">
        <f aca="false">D35</f>
        <v>6</v>
      </c>
      <c r="F35" s="18"/>
      <c r="G35" s="33" t="n">
        <f aca="false">F35</f>
        <v>0</v>
      </c>
      <c r="H35" s="18"/>
      <c r="I35" s="33" t="n">
        <f aca="false">H35</f>
        <v>0</v>
      </c>
    </row>
    <row r="36" customFormat="false" ht="15" hidden="false" customHeight="false" outlineLevel="0" collapsed="false">
      <c r="B36" s="15" t="s">
        <v>688</v>
      </c>
      <c r="C36" s="15" t="s">
        <v>689</v>
      </c>
      <c r="D36" s="18" t="n">
        <v>54</v>
      </c>
      <c r="E36" s="33" t="n">
        <f aca="false">D36</f>
        <v>54</v>
      </c>
      <c r="F36" s="18"/>
      <c r="G36" s="33" t="n">
        <f aca="false">F36</f>
        <v>0</v>
      </c>
      <c r="H36" s="18"/>
      <c r="I36" s="33" t="n">
        <f aca="false">H36</f>
        <v>0</v>
      </c>
    </row>
    <row r="37" customFormat="false" ht="15" hidden="false" customHeight="false" outlineLevel="0" collapsed="false">
      <c r="B37" s="11" t="s">
        <v>690</v>
      </c>
    </row>
    <row r="39" customFormat="false" ht="15" hidden="false" customHeight="false" outlineLevel="0" collapsed="false">
      <c r="A39" s="12" t="s">
        <v>691</v>
      </c>
      <c r="B39" s="13"/>
      <c r="C39" s="13"/>
      <c r="D39" s="13"/>
      <c r="E39" s="13"/>
      <c r="F39" s="13"/>
      <c r="G39" s="13"/>
      <c r="H39" s="13"/>
      <c r="I39" s="13"/>
      <c r="J39" s="13"/>
      <c r="K39" s="13"/>
      <c r="L39" s="13"/>
      <c r="M39" s="13"/>
      <c r="N39" s="13"/>
      <c r="O39" s="13"/>
      <c r="P39" s="13"/>
      <c r="Q39" s="13"/>
      <c r="R39" s="13"/>
      <c r="S39" s="13"/>
      <c r="T39" s="13"/>
      <c r="U39" s="13"/>
    </row>
    <row r="40" customFormat="false" ht="30" hidden="false" customHeight="true" outlineLevel="0" collapsed="false">
      <c r="A40" s="14"/>
      <c r="B40" s="14" t="s">
        <v>675</v>
      </c>
      <c r="C40" s="14" t="s">
        <v>355</v>
      </c>
      <c r="D40" s="14" t="s">
        <v>692</v>
      </c>
      <c r="E40" s="14" t="s">
        <v>128</v>
      </c>
      <c r="F40" s="32" t="s">
        <v>462</v>
      </c>
      <c r="G40" s="32"/>
      <c r="H40" s="32"/>
      <c r="I40" s="32"/>
      <c r="J40" s="32"/>
      <c r="K40" s="32"/>
      <c r="L40" s="32"/>
      <c r="M40" s="32"/>
      <c r="N40" s="32"/>
    </row>
    <row r="41" customFormat="false" ht="15" hidden="false" customHeight="false" outlineLevel="0" collapsed="false">
      <c r="B41" s="15" t="s">
        <v>693</v>
      </c>
      <c r="C41" s="15" t="s">
        <v>508</v>
      </c>
      <c r="D41" s="37"/>
      <c r="E41" s="38" t="n">
        <f aca="false">D41</f>
        <v>0</v>
      </c>
      <c r="F41" s="11" t="s">
        <v>694</v>
      </c>
    </row>
    <row r="42" customFormat="false" ht="15" hidden="false" customHeight="false" outlineLevel="0" collapsed="false">
      <c r="B42" s="15" t="s">
        <v>695</v>
      </c>
      <c r="C42" s="15" t="s">
        <v>367</v>
      </c>
      <c r="D42" s="35"/>
      <c r="E42" s="36" t="n">
        <f aca="false">D42</f>
        <v>0</v>
      </c>
      <c r="F42" s="11" t="s">
        <v>696</v>
      </c>
    </row>
    <row r="43" customFormat="false" ht="15" hidden="false" customHeight="false" outlineLevel="0" collapsed="false">
      <c r="B43" s="15" t="s">
        <v>697</v>
      </c>
      <c r="C43" s="15" t="s">
        <v>359</v>
      </c>
      <c r="D43" s="18"/>
      <c r="E43" s="33" t="n">
        <f aca="false">D43</f>
        <v>0</v>
      </c>
      <c r="F43" s="11" t="s">
        <v>698</v>
      </c>
    </row>
    <row r="44" customFormat="false" ht="15" hidden="false" customHeight="false" outlineLevel="0" collapsed="false">
      <c r="B44" s="15" t="s">
        <v>699</v>
      </c>
      <c r="C44" s="15" t="s">
        <v>359</v>
      </c>
      <c r="D44" s="18"/>
      <c r="E44" s="33" t="n">
        <f aca="false">D44</f>
        <v>0</v>
      </c>
      <c r="F44" s="11" t="s">
        <v>700</v>
      </c>
    </row>
    <row r="45" customFormat="false" ht="15" hidden="false" customHeight="false" outlineLevel="0" collapsed="false">
      <c r="B45" s="15" t="s">
        <v>701</v>
      </c>
      <c r="C45" s="15" t="s">
        <v>508</v>
      </c>
      <c r="E45" s="37"/>
      <c r="F45" s="11" t="s">
        <v>702</v>
      </c>
    </row>
    <row r="46" customFormat="false" ht="15" hidden="false" customHeight="false" outlineLevel="0" collapsed="false">
      <c r="B46" s="11" t="s">
        <v>703</v>
      </c>
    </row>
    <row r="48" customFormat="false" ht="15" hidden="false" customHeight="false" outlineLevel="0" collapsed="false">
      <c r="A48" s="12" t="s">
        <v>704</v>
      </c>
      <c r="B48" s="13"/>
      <c r="C48" s="13"/>
      <c r="D48" s="13"/>
      <c r="E48" s="13"/>
      <c r="F48" s="13"/>
      <c r="G48" s="13"/>
      <c r="H48" s="13"/>
      <c r="I48" s="13"/>
      <c r="J48" s="13"/>
      <c r="K48" s="13"/>
      <c r="L48" s="13"/>
      <c r="M48" s="13"/>
      <c r="N48" s="13"/>
      <c r="O48" s="13"/>
      <c r="P48" s="13"/>
      <c r="Q48" s="13"/>
      <c r="R48" s="13"/>
      <c r="S48" s="13"/>
      <c r="T48" s="13"/>
      <c r="U48" s="13"/>
    </row>
    <row r="49" customFormat="false" ht="30" hidden="false" customHeight="true" outlineLevel="0" collapsed="false">
      <c r="A49" s="14" t="s">
        <v>530</v>
      </c>
      <c r="B49" s="14" t="s">
        <v>451</v>
      </c>
      <c r="C49" s="14" t="s">
        <v>705</v>
      </c>
      <c r="D49" s="14" t="s">
        <v>706</v>
      </c>
      <c r="E49" s="14" t="s">
        <v>707</v>
      </c>
      <c r="F49" s="14" t="s">
        <v>708</v>
      </c>
      <c r="G49" s="14" t="s">
        <v>462</v>
      </c>
    </row>
    <row r="50" customFormat="false" ht="15" hidden="false" customHeight="false" outlineLevel="0" collapsed="false">
      <c r="A50" s="15" t="n">
        <v>1</v>
      </c>
      <c r="B50" s="16" t="s">
        <v>709</v>
      </c>
      <c r="C50" s="18" t="n">
        <v>1</v>
      </c>
      <c r="D50" s="37" t="n">
        <v>200000</v>
      </c>
      <c r="E50" s="33" t="n">
        <f aca="false">C50</f>
        <v>1</v>
      </c>
      <c r="F50" s="38" t="n">
        <f aca="false">D50</f>
        <v>200000</v>
      </c>
    </row>
    <row r="51" customFormat="false" ht="15" hidden="false" customHeight="false" outlineLevel="0" collapsed="false">
      <c r="A51" s="15" t="n">
        <v>2</v>
      </c>
      <c r="B51" s="16" t="s">
        <v>710</v>
      </c>
      <c r="C51" s="18" t="n">
        <v>1</v>
      </c>
      <c r="D51" s="37" t="n">
        <v>567782</v>
      </c>
      <c r="E51" s="33" t="n">
        <f aca="false">C51</f>
        <v>1</v>
      </c>
      <c r="F51" s="38" t="n">
        <f aca="false">D51</f>
        <v>567782</v>
      </c>
    </row>
    <row r="52" customFormat="false" ht="15" hidden="false" customHeight="false" outlineLevel="0" collapsed="false">
      <c r="A52" s="15" t="n">
        <v>3</v>
      </c>
      <c r="B52" s="16" t="s">
        <v>711</v>
      </c>
      <c r="C52" s="18" t="n">
        <v>13</v>
      </c>
      <c r="D52" s="37" t="n">
        <v>371928</v>
      </c>
      <c r="E52" s="33" t="n">
        <f aca="false">C52</f>
        <v>13</v>
      </c>
      <c r="F52" s="38" t="n">
        <f aca="false">D52</f>
        <v>371928</v>
      </c>
    </row>
    <row r="53" customFormat="false" ht="15" hidden="false" customHeight="false" outlineLevel="0" collapsed="false">
      <c r="A53" s="15" t="n">
        <v>4</v>
      </c>
      <c r="B53" s="16"/>
      <c r="C53" s="18"/>
      <c r="D53" s="37"/>
      <c r="E53" s="33" t="n">
        <f aca="false">C53</f>
        <v>0</v>
      </c>
      <c r="F53" s="38" t="n">
        <f aca="false">D53</f>
        <v>0</v>
      </c>
    </row>
    <row r="54" customFormat="false" ht="15" hidden="false" customHeight="false" outlineLevel="0" collapsed="false">
      <c r="A54" s="15" t="n">
        <v>5</v>
      </c>
      <c r="B54" s="16"/>
      <c r="C54" s="18"/>
      <c r="D54" s="37"/>
      <c r="E54" s="33" t="n">
        <f aca="false">C54</f>
        <v>0</v>
      </c>
      <c r="F54" s="38" t="n">
        <f aca="false">D54</f>
        <v>0</v>
      </c>
    </row>
    <row r="55" customFormat="false" ht="15" hidden="false" customHeight="false" outlineLevel="0" collapsed="false">
      <c r="A55" s="15" t="n">
        <v>6</v>
      </c>
      <c r="B55" s="16"/>
      <c r="C55" s="18"/>
      <c r="D55" s="37"/>
      <c r="E55" s="33" t="n">
        <f aca="false">C55</f>
        <v>0</v>
      </c>
      <c r="F55" s="38" t="n">
        <f aca="false">D55</f>
        <v>0</v>
      </c>
    </row>
    <row r="56" customFormat="false" ht="15" hidden="false" customHeight="false" outlineLevel="0" collapsed="false">
      <c r="A56" s="15" t="n">
        <v>7</v>
      </c>
      <c r="B56" s="16"/>
      <c r="C56" s="18"/>
      <c r="D56" s="37"/>
      <c r="E56" s="33" t="n">
        <f aca="false">C56</f>
        <v>0</v>
      </c>
      <c r="F56" s="38" t="n">
        <f aca="false">D56</f>
        <v>0</v>
      </c>
    </row>
    <row r="57" customFormat="false" ht="15" hidden="false" customHeight="false" outlineLevel="0" collapsed="false">
      <c r="A57" s="15" t="n">
        <v>8</v>
      </c>
      <c r="B57" s="16"/>
      <c r="C57" s="18"/>
      <c r="D57" s="37"/>
      <c r="E57" s="33" t="n">
        <f aca="false">C57</f>
        <v>0</v>
      </c>
      <c r="F57" s="38" t="n">
        <f aca="false">D57</f>
        <v>0</v>
      </c>
    </row>
    <row r="58" customFormat="false" ht="15" hidden="false" customHeight="false" outlineLevel="0" collapsed="false">
      <c r="A58" s="15" t="n">
        <v>9</v>
      </c>
      <c r="B58" s="16"/>
      <c r="C58" s="18"/>
      <c r="D58" s="37"/>
      <c r="E58" s="33" t="n">
        <f aca="false">C58</f>
        <v>0</v>
      </c>
      <c r="F58" s="38" t="n">
        <f aca="false">D58</f>
        <v>0</v>
      </c>
    </row>
    <row r="59" customFormat="false" ht="15" hidden="false" customHeight="false" outlineLevel="0" collapsed="false">
      <c r="A59" s="15" t="n">
        <v>10</v>
      </c>
      <c r="B59" s="16"/>
      <c r="C59" s="18"/>
      <c r="D59" s="37"/>
      <c r="E59" s="33" t="n">
        <f aca="false">C59</f>
        <v>0</v>
      </c>
      <c r="F59" s="38" t="n">
        <f aca="false">D59</f>
        <v>0</v>
      </c>
    </row>
  </sheetData>
  <mergeCells count="1">
    <mergeCell ref="F40:N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2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9"/>
    <col collapsed="false" customWidth="true" hidden="false" outlineLevel="0" max="4" min="4" style="0" width="14"/>
    <col collapsed="false" customWidth="true" hidden="false" outlineLevel="0" max="5" min="5" style="0" width="4"/>
    <col collapsed="false" customWidth="true" hidden="false" outlineLevel="0" max="149" min="6" style="0" width="10"/>
  </cols>
  <sheetData>
    <row r="1" customFormat="false" ht="16.15" hidden="false" customHeight="false" outlineLevel="0" collapsed="false">
      <c r="A1" s="10" t="s">
        <v>712</v>
      </c>
    </row>
    <row r="2" customFormat="false" ht="15" hidden="false" customHeight="false" outlineLevel="0" collapsed="false">
      <c r="A2" s="11" t="s">
        <v>713</v>
      </c>
    </row>
    <row r="3" customFormat="false" ht="15" hidden="false" customHeight="false" outlineLevel="0" collapsed="false">
      <c r="B3" s="30" t="str">
        <f aca="false">HYPERLINK("#Detalle_24m!"&amp;ADDRESS(9,MIN(149,5+Corte+1),4),"→ Ir al primer mes de la ventana: mes "&amp;(Corte+1))</f>
        <v>→ Ir al primer mes de la ventana: mes 1</v>
      </c>
    </row>
    <row r="4" customFormat="false" ht="15" hidden="false" customHeight="false" outlineLevel="0" collapsed="false">
      <c r="A4" s="57"/>
      <c r="B4" s="58" t="s">
        <v>714</v>
      </c>
      <c r="C4" s="57"/>
      <c r="D4" s="58" t="s">
        <v>715</v>
      </c>
      <c r="E4" s="57"/>
      <c r="F4" s="14" t="n">
        <v>1</v>
      </c>
      <c r="G4" s="14" t="n">
        <v>2</v>
      </c>
      <c r="H4" s="14" t="n">
        <v>3</v>
      </c>
      <c r="I4" s="14" t="n">
        <v>4</v>
      </c>
      <c r="J4" s="14" t="n">
        <v>5</v>
      </c>
      <c r="K4" s="14" t="n">
        <v>6</v>
      </c>
      <c r="L4" s="14" t="n">
        <v>7</v>
      </c>
      <c r="M4" s="14" t="n">
        <v>8</v>
      </c>
      <c r="N4" s="14" t="n">
        <v>9</v>
      </c>
      <c r="O4" s="14" t="n">
        <v>10</v>
      </c>
      <c r="P4" s="14" t="n">
        <v>11</v>
      </c>
      <c r="Q4" s="14" t="n">
        <v>12</v>
      </c>
      <c r="R4" s="14" t="n">
        <v>13</v>
      </c>
      <c r="S4" s="14" t="n">
        <v>14</v>
      </c>
      <c r="T4" s="14" t="n">
        <v>15</v>
      </c>
      <c r="U4" s="14" t="n">
        <v>16</v>
      </c>
      <c r="V4" s="14" t="n">
        <v>17</v>
      </c>
      <c r="W4" s="14" t="n">
        <v>18</v>
      </c>
      <c r="X4" s="14" t="n">
        <v>19</v>
      </c>
      <c r="Y4" s="14" t="n">
        <v>20</v>
      </c>
      <c r="Z4" s="14" t="n">
        <v>21</v>
      </c>
      <c r="AA4" s="14" t="n">
        <v>22</v>
      </c>
      <c r="AB4" s="14" t="n">
        <v>23</v>
      </c>
      <c r="AC4" s="14" t="n">
        <v>24</v>
      </c>
      <c r="AD4" s="14" t="n">
        <v>25</v>
      </c>
      <c r="AE4" s="14" t="n">
        <v>26</v>
      </c>
      <c r="AF4" s="14" t="n">
        <v>27</v>
      </c>
      <c r="AG4" s="14" t="n">
        <v>28</v>
      </c>
      <c r="AH4" s="14" t="n">
        <v>29</v>
      </c>
      <c r="AI4" s="14" t="n">
        <v>30</v>
      </c>
      <c r="AJ4" s="14" t="n">
        <v>31</v>
      </c>
      <c r="AK4" s="14" t="n">
        <v>32</v>
      </c>
      <c r="AL4" s="14" t="n">
        <v>33</v>
      </c>
      <c r="AM4" s="14" t="n">
        <v>34</v>
      </c>
      <c r="AN4" s="14" t="n">
        <v>35</v>
      </c>
      <c r="AO4" s="14" t="n">
        <v>36</v>
      </c>
      <c r="AP4" s="14" t="n">
        <v>37</v>
      </c>
      <c r="AQ4" s="14" t="n">
        <v>38</v>
      </c>
      <c r="AR4" s="14" t="n">
        <v>39</v>
      </c>
      <c r="AS4" s="14" t="n">
        <v>40</v>
      </c>
      <c r="AT4" s="14" t="n">
        <v>41</v>
      </c>
      <c r="AU4" s="14" t="n">
        <v>42</v>
      </c>
      <c r="AV4" s="14" t="n">
        <v>43</v>
      </c>
      <c r="AW4" s="14" t="n">
        <v>44</v>
      </c>
      <c r="AX4" s="14" t="n">
        <v>45</v>
      </c>
      <c r="AY4" s="14" t="n">
        <v>46</v>
      </c>
      <c r="AZ4" s="14" t="n">
        <v>47</v>
      </c>
      <c r="BA4" s="14" t="n">
        <v>48</v>
      </c>
      <c r="BB4" s="14" t="n">
        <v>49</v>
      </c>
      <c r="BC4" s="14" t="n">
        <v>50</v>
      </c>
      <c r="BD4" s="14" t="n">
        <v>51</v>
      </c>
      <c r="BE4" s="14" t="n">
        <v>52</v>
      </c>
      <c r="BF4" s="14" t="n">
        <v>53</v>
      </c>
      <c r="BG4" s="14" t="n">
        <v>54</v>
      </c>
      <c r="BH4" s="14" t="n">
        <v>55</v>
      </c>
      <c r="BI4" s="14" t="n">
        <v>56</v>
      </c>
      <c r="BJ4" s="14" t="n">
        <v>57</v>
      </c>
      <c r="BK4" s="14" t="n">
        <v>58</v>
      </c>
      <c r="BL4" s="14" t="n">
        <v>59</v>
      </c>
      <c r="BM4" s="14" t="n">
        <v>60</v>
      </c>
      <c r="BN4" s="14" t="n">
        <v>61</v>
      </c>
      <c r="BO4" s="14" t="n">
        <v>62</v>
      </c>
      <c r="BP4" s="14" t="n">
        <v>63</v>
      </c>
      <c r="BQ4" s="14" t="n">
        <v>64</v>
      </c>
      <c r="BR4" s="14" t="n">
        <v>65</v>
      </c>
      <c r="BS4" s="14" t="n">
        <v>66</v>
      </c>
      <c r="BT4" s="14" t="n">
        <v>67</v>
      </c>
      <c r="BU4" s="14" t="n">
        <v>68</v>
      </c>
      <c r="BV4" s="14" t="n">
        <v>69</v>
      </c>
      <c r="BW4" s="14" t="n">
        <v>70</v>
      </c>
      <c r="BX4" s="14" t="n">
        <v>71</v>
      </c>
      <c r="BY4" s="14" t="n">
        <v>72</v>
      </c>
      <c r="BZ4" s="14" t="n">
        <v>73</v>
      </c>
      <c r="CA4" s="14" t="n">
        <v>74</v>
      </c>
      <c r="CB4" s="14" t="n">
        <v>75</v>
      </c>
      <c r="CC4" s="14" t="n">
        <v>76</v>
      </c>
      <c r="CD4" s="14" t="n">
        <v>77</v>
      </c>
      <c r="CE4" s="14" t="n">
        <v>78</v>
      </c>
      <c r="CF4" s="14" t="n">
        <v>79</v>
      </c>
      <c r="CG4" s="14" t="n">
        <v>80</v>
      </c>
      <c r="CH4" s="14" t="n">
        <v>81</v>
      </c>
      <c r="CI4" s="14" t="n">
        <v>82</v>
      </c>
      <c r="CJ4" s="14" t="n">
        <v>83</v>
      </c>
      <c r="CK4" s="14" t="n">
        <v>84</v>
      </c>
      <c r="CL4" s="14" t="n">
        <v>85</v>
      </c>
      <c r="CM4" s="14" t="n">
        <v>86</v>
      </c>
      <c r="CN4" s="14" t="n">
        <v>87</v>
      </c>
      <c r="CO4" s="14" t="n">
        <v>88</v>
      </c>
      <c r="CP4" s="14" t="n">
        <v>89</v>
      </c>
      <c r="CQ4" s="14" t="n">
        <v>90</v>
      </c>
      <c r="CR4" s="14" t="n">
        <v>91</v>
      </c>
      <c r="CS4" s="14" t="n">
        <v>92</v>
      </c>
      <c r="CT4" s="14" t="n">
        <v>93</v>
      </c>
      <c r="CU4" s="14" t="n">
        <v>94</v>
      </c>
      <c r="CV4" s="14" t="n">
        <v>95</v>
      </c>
      <c r="CW4" s="14" t="n">
        <v>96</v>
      </c>
      <c r="CX4" s="14" t="n">
        <v>97</v>
      </c>
      <c r="CY4" s="14" t="n">
        <v>98</v>
      </c>
      <c r="CZ4" s="14" t="n">
        <v>99</v>
      </c>
      <c r="DA4" s="14" t="n">
        <v>100</v>
      </c>
      <c r="DB4" s="14" t="n">
        <v>101</v>
      </c>
      <c r="DC4" s="14" t="n">
        <v>102</v>
      </c>
      <c r="DD4" s="14" t="n">
        <v>103</v>
      </c>
      <c r="DE4" s="14" t="n">
        <v>104</v>
      </c>
      <c r="DF4" s="14" t="n">
        <v>105</v>
      </c>
      <c r="DG4" s="14" t="n">
        <v>106</v>
      </c>
      <c r="DH4" s="14" t="n">
        <v>107</v>
      </c>
      <c r="DI4" s="14" t="n">
        <v>108</v>
      </c>
      <c r="DJ4" s="14" t="n">
        <v>109</v>
      </c>
      <c r="DK4" s="14" t="n">
        <v>110</v>
      </c>
      <c r="DL4" s="14" t="n">
        <v>111</v>
      </c>
      <c r="DM4" s="14" t="n">
        <v>112</v>
      </c>
      <c r="DN4" s="14" t="n">
        <v>113</v>
      </c>
      <c r="DO4" s="14" t="n">
        <v>114</v>
      </c>
      <c r="DP4" s="14" t="n">
        <v>115</v>
      </c>
      <c r="DQ4" s="14" t="n">
        <v>116</v>
      </c>
      <c r="DR4" s="14" t="n">
        <v>117</v>
      </c>
      <c r="DS4" s="14" t="n">
        <v>118</v>
      </c>
      <c r="DT4" s="14" t="n">
        <v>119</v>
      </c>
      <c r="DU4" s="14" t="n">
        <v>120</v>
      </c>
      <c r="DV4" s="14" t="n">
        <v>121</v>
      </c>
      <c r="DW4" s="14" t="n">
        <v>122</v>
      </c>
      <c r="DX4" s="14" t="n">
        <v>123</v>
      </c>
      <c r="DY4" s="14" t="n">
        <v>124</v>
      </c>
      <c r="DZ4" s="14" t="n">
        <v>125</v>
      </c>
      <c r="EA4" s="14" t="n">
        <v>126</v>
      </c>
      <c r="EB4" s="14" t="n">
        <v>127</v>
      </c>
      <c r="EC4" s="14" t="n">
        <v>128</v>
      </c>
      <c r="ED4" s="14" t="n">
        <v>129</v>
      </c>
      <c r="EE4" s="14" t="n">
        <v>130</v>
      </c>
      <c r="EF4" s="14" t="n">
        <v>131</v>
      </c>
      <c r="EG4" s="14" t="n">
        <v>132</v>
      </c>
      <c r="EH4" s="14" t="n">
        <v>133</v>
      </c>
      <c r="EI4" s="14" t="n">
        <v>134</v>
      </c>
      <c r="EJ4" s="14" t="n">
        <v>135</v>
      </c>
      <c r="EK4" s="14" t="n">
        <v>136</v>
      </c>
      <c r="EL4" s="14" t="n">
        <v>137</v>
      </c>
      <c r="EM4" s="14" t="n">
        <v>138</v>
      </c>
      <c r="EN4" s="14" t="n">
        <v>139</v>
      </c>
      <c r="EO4" s="14" t="n">
        <v>140</v>
      </c>
      <c r="EP4" s="14" t="n">
        <v>141</v>
      </c>
      <c r="EQ4" s="14" t="n">
        <v>142</v>
      </c>
      <c r="ER4" s="14" t="n">
        <v>143</v>
      </c>
      <c r="ES4" s="14" t="n">
        <v>144</v>
      </c>
    </row>
    <row r="5" customFormat="false" ht="15" hidden="false" customHeight="false" outlineLevel="0" collapsed="false">
      <c r="A5" s="57"/>
      <c r="B5" s="58" t="s">
        <v>1</v>
      </c>
      <c r="C5" s="57"/>
      <c r="D5" s="57"/>
      <c r="E5" s="57"/>
      <c r="F5" s="59" t="str">
        <f aca="false">IF(n_Fecha1="","",EOMONTH(n_Fecha1,1-1))</f>
        <v/>
      </c>
      <c r="G5" s="59" t="str">
        <f aca="false">IF(n_Fecha1="","",EOMONTH(n_Fecha1,2-1))</f>
        <v/>
      </c>
      <c r="H5" s="59" t="str">
        <f aca="false">IF(n_Fecha1="","",EOMONTH(n_Fecha1,3-1))</f>
        <v/>
      </c>
      <c r="I5" s="59" t="str">
        <f aca="false">IF(n_Fecha1="","",EOMONTH(n_Fecha1,4-1))</f>
        <v/>
      </c>
      <c r="J5" s="59" t="str">
        <f aca="false">IF(n_Fecha1="","",EOMONTH(n_Fecha1,5-1))</f>
        <v/>
      </c>
      <c r="K5" s="59" t="str">
        <f aca="false">IF(n_Fecha1="","",EOMONTH(n_Fecha1,6-1))</f>
        <v/>
      </c>
      <c r="L5" s="59" t="str">
        <f aca="false">IF(n_Fecha1="","",EOMONTH(n_Fecha1,7-1))</f>
        <v/>
      </c>
      <c r="M5" s="59" t="str">
        <f aca="false">IF(n_Fecha1="","",EOMONTH(n_Fecha1,8-1))</f>
        <v/>
      </c>
      <c r="N5" s="59" t="str">
        <f aca="false">IF(n_Fecha1="","",EOMONTH(n_Fecha1,9-1))</f>
        <v/>
      </c>
      <c r="O5" s="59" t="str">
        <f aca="false">IF(n_Fecha1="","",EOMONTH(n_Fecha1,10-1))</f>
        <v/>
      </c>
      <c r="P5" s="59" t="str">
        <f aca="false">IF(n_Fecha1="","",EOMONTH(n_Fecha1,11-1))</f>
        <v/>
      </c>
      <c r="Q5" s="59" t="str">
        <f aca="false">IF(n_Fecha1="","",EOMONTH(n_Fecha1,12-1))</f>
        <v/>
      </c>
      <c r="R5" s="59" t="str">
        <f aca="false">IF(n_Fecha1="","",EOMONTH(n_Fecha1,13-1))</f>
        <v/>
      </c>
      <c r="S5" s="59" t="str">
        <f aca="false">IF(n_Fecha1="","",EOMONTH(n_Fecha1,14-1))</f>
        <v/>
      </c>
      <c r="T5" s="59" t="str">
        <f aca="false">IF(n_Fecha1="","",EOMONTH(n_Fecha1,15-1))</f>
        <v/>
      </c>
      <c r="U5" s="59" t="str">
        <f aca="false">IF(n_Fecha1="","",EOMONTH(n_Fecha1,16-1))</f>
        <v/>
      </c>
      <c r="V5" s="59" t="str">
        <f aca="false">IF(n_Fecha1="","",EOMONTH(n_Fecha1,17-1))</f>
        <v/>
      </c>
      <c r="W5" s="59" t="str">
        <f aca="false">IF(n_Fecha1="","",EOMONTH(n_Fecha1,18-1))</f>
        <v/>
      </c>
      <c r="X5" s="59" t="str">
        <f aca="false">IF(n_Fecha1="","",EOMONTH(n_Fecha1,19-1))</f>
        <v/>
      </c>
      <c r="Y5" s="59" t="str">
        <f aca="false">IF(n_Fecha1="","",EOMONTH(n_Fecha1,20-1))</f>
        <v/>
      </c>
      <c r="Z5" s="59" t="str">
        <f aca="false">IF(n_Fecha1="","",EOMONTH(n_Fecha1,21-1))</f>
        <v/>
      </c>
      <c r="AA5" s="59" t="str">
        <f aca="false">IF(n_Fecha1="","",EOMONTH(n_Fecha1,22-1))</f>
        <v/>
      </c>
      <c r="AB5" s="59" t="str">
        <f aca="false">IF(n_Fecha1="","",EOMONTH(n_Fecha1,23-1))</f>
        <v/>
      </c>
      <c r="AC5" s="59" t="str">
        <f aca="false">IF(n_Fecha1="","",EOMONTH(n_Fecha1,24-1))</f>
        <v/>
      </c>
      <c r="AD5" s="59" t="str">
        <f aca="false">IF(n_Fecha1="","",EOMONTH(n_Fecha1,25-1))</f>
        <v/>
      </c>
      <c r="AE5" s="59" t="str">
        <f aca="false">IF(n_Fecha1="","",EOMONTH(n_Fecha1,26-1))</f>
        <v/>
      </c>
      <c r="AF5" s="59" t="str">
        <f aca="false">IF(n_Fecha1="","",EOMONTH(n_Fecha1,27-1))</f>
        <v/>
      </c>
      <c r="AG5" s="59" t="str">
        <f aca="false">IF(n_Fecha1="","",EOMONTH(n_Fecha1,28-1))</f>
        <v/>
      </c>
      <c r="AH5" s="59" t="str">
        <f aca="false">IF(n_Fecha1="","",EOMONTH(n_Fecha1,29-1))</f>
        <v/>
      </c>
      <c r="AI5" s="59" t="str">
        <f aca="false">IF(n_Fecha1="","",EOMONTH(n_Fecha1,30-1))</f>
        <v/>
      </c>
      <c r="AJ5" s="59" t="str">
        <f aca="false">IF(n_Fecha1="","",EOMONTH(n_Fecha1,31-1))</f>
        <v/>
      </c>
      <c r="AK5" s="59" t="str">
        <f aca="false">IF(n_Fecha1="","",EOMONTH(n_Fecha1,32-1))</f>
        <v/>
      </c>
      <c r="AL5" s="59" t="str">
        <f aca="false">IF(n_Fecha1="","",EOMONTH(n_Fecha1,33-1))</f>
        <v/>
      </c>
      <c r="AM5" s="59" t="str">
        <f aca="false">IF(n_Fecha1="","",EOMONTH(n_Fecha1,34-1))</f>
        <v/>
      </c>
      <c r="AN5" s="59" t="str">
        <f aca="false">IF(n_Fecha1="","",EOMONTH(n_Fecha1,35-1))</f>
        <v/>
      </c>
      <c r="AO5" s="59" t="str">
        <f aca="false">IF(n_Fecha1="","",EOMONTH(n_Fecha1,36-1))</f>
        <v/>
      </c>
      <c r="AP5" s="59" t="str">
        <f aca="false">IF(n_Fecha1="","",EOMONTH(n_Fecha1,37-1))</f>
        <v/>
      </c>
      <c r="AQ5" s="59" t="str">
        <f aca="false">IF(n_Fecha1="","",EOMONTH(n_Fecha1,38-1))</f>
        <v/>
      </c>
      <c r="AR5" s="59" t="str">
        <f aca="false">IF(n_Fecha1="","",EOMONTH(n_Fecha1,39-1))</f>
        <v/>
      </c>
      <c r="AS5" s="59" t="str">
        <f aca="false">IF(n_Fecha1="","",EOMONTH(n_Fecha1,40-1))</f>
        <v/>
      </c>
      <c r="AT5" s="59" t="str">
        <f aca="false">IF(n_Fecha1="","",EOMONTH(n_Fecha1,41-1))</f>
        <v/>
      </c>
      <c r="AU5" s="59" t="str">
        <f aca="false">IF(n_Fecha1="","",EOMONTH(n_Fecha1,42-1))</f>
        <v/>
      </c>
      <c r="AV5" s="59" t="str">
        <f aca="false">IF(n_Fecha1="","",EOMONTH(n_Fecha1,43-1))</f>
        <v/>
      </c>
      <c r="AW5" s="59" t="str">
        <f aca="false">IF(n_Fecha1="","",EOMONTH(n_Fecha1,44-1))</f>
        <v/>
      </c>
      <c r="AX5" s="59" t="str">
        <f aca="false">IF(n_Fecha1="","",EOMONTH(n_Fecha1,45-1))</f>
        <v/>
      </c>
      <c r="AY5" s="59" t="str">
        <f aca="false">IF(n_Fecha1="","",EOMONTH(n_Fecha1,46-1))</f>
        <v/>
      </c>
      <c r="AZ5" s="59" t="str">
        <f aca="false">IF(n_Fecha1="","",EOMONTH(n_Fecha1,47-1))</f>
        <v/>
      </c>
      <c r="BA5" s="59" t="str">
        <f aca="false">IF(n_Fecha1="","",EOMONTH(n_Fecha1,48-1))</f>
        <v/>
      </c>
      <c r="BB5" s="59" t="str">
        <f aca="false">IF(n_Fecha1="","",EOMONTH(n_Fecha1,49-1))</f>
        <v/>
      </c>
      <c r="BC5" s="59" t="str">
        <f aca="false">IF(n_Fecha1="","",EOMONTH(n_Fecha1,50-1))</f>
        <v/>
      </c>
      <c r="BD5" s="59" t="str">
        <f aca="false">IF(n_Fecha1="","",EOMONTH(n_Fecha1,51-1))</f>
        <v/>
      </c>
      <c r="BE5" s="59" t="str">
        <f aca="false">IF(n_Fecha1="","",EOMONTH(n_Fecha1,52-1))</f>
        <v/>
      </c>
      <c r="BF5" s="59" t="str">
        <f aca="false">IF(n_Fecha1="","",EOMONTH(n_Fecha1,53-1))</f>
        <v/>
      </c>
      <c r="BG5" s="59" t="str">
        <f aca="false">IF(n_Fecha1="","",EOMONTH(n_Fecha1,54-1))</f>
        <v/>
      </c>
      <c r="BH5" s="59" t="str">
        <f aca="false">IF(n_Fecha1="","",EOMONTH(n_Fecha1,55-1))</f>
        <v/>
      </c>
      <c r="BI5" s="59" t="str">
        <f aca="false">IF(n_Fecha1="","",EOMONTH(n_Fecha1,56-1))</f>
        <v/>
      </c>
      <c r="BJ5" s="59" t="str">
        <f aca="false">IF(n_Fecha1="","",EOMONTH(n_Fecha1,57-1))</f>
        <v/>
      </c>
      <c r="BK5" s="59" t="str">
        <f aca="false">IF(n_Fecha1="","",EOMONTH(n_Fecha1,58-1))</f>
        <v/>
      </c>
      <c r="BL5" s="59" t="str">
        <f aca="false">IF(n_Fecha1="","",EOMONTH(n_Fecha1,59-1))</f>
        <v/>
      </c>
      <c r="BM5" s="59" t="str">
        <f aca="false">IF(n_Fecha1="","",EOMONTH(n_Fecha1,60-1))</f>
        <v/>
      </c>
      <c r="BN5" s="59" t="str">
        <f aca="false">IF(n_Fecha1="","",EOMONTH(n_Fecha1,61-1))</f>
        <v/>
      </c>
      <c r="BO5" s="59" t="str">
        <f aca="false">IF(n_Fecha1="","",EOMONTH(n_Fecha1,62-1))</f>
        <v/>
      </c>
      <c r="BP5" s="59" t="str">
        <f aca="false">IF(n_Fecha1="","",EOMONTH(n_Fecha1,63-1))</f>
        <v/>
      </c>
      <c r="BQ5" s="59" t="str">
        <f aca="false">IF(n_Fecha1="","",EOMONTH(n_Fecha1,64-1))</f>
        <v/>
      </c>
      <c r="BR5" s="59" t="str">
        <f aca="false">IF(n_Fecha1="","",EOMONTH(n_Fecha1,65-1))</f>
        <v/>
      </c>
      <c r="BS5" s="59" t="str">
        <f aca="false">IF(n_Fecha1="","",EOMONTH(n_Fecha1,66-1))</f>
        <v/>
      </c>
      <c r="BT5" s="59" t="str">
        <f aca="false">IF(n_Fecha1="","",EOMONTH(n_Fecha1,67-1))</f>
        <v/>
      </c>
      <c r="BU5" s="59" t="str">
        <f aca="false">IF(n_Fecha1="","",EOMONTH(n_Fecha1,68-1))</f>
        <v/>
      </c>
      <c r="BV5" s="59" t="str">
        <f aca="false">IF(n_Fecha1="","",EOMONTH(n_Fecha1,69-1))</f>
        <v/>
      </c>
      <c r="BW5" s="59" t="str">
        <f aca="false">IF(n_Fecha1="","",EOMONTH(n_Fecha1,70-1))</f>
        <v/>
      </c>
      <c r="BX5" s="59" t="str">
        <f aca="false">IF(n_Fecha1="","",EOMONTH(n_Fecha1,71-1))</f>
        <v/>
      </c>
      <c r="BY5" s="59" t="str">
        <f aca="false">IF(n_Fecha1="","",EOMONTH(n_Fecha1,72-1))</f>
        <v/>
      </c>
      <c r="BZ5" s="59" t="str">
        <f aca="false">IF(n_Fecha1="","",EOMONTH(n_Fecha1,73-1))</f>
        <v/>
      </c>
      <c r="CA5" s="59" t="str">
        <f aca="false">IF(n_Fecha1="","",EOMONTH(n_Fecha1,74-1))</f>
        <v/>
      </c>
      <c r="CB5" s="59" t="str">
        <f aca="false">IF(n_Fecha1="","",EOMONTH(n_Fecha1,75-1))</f>
        <v/>
      </c>
      <c r="CC5" s="59" t="str">
        <f aca="false">IF(n_Fecha1="","",EOMONTH(n_Fecha1,76-1))</f>
        <v/>
      </c>
      <c r="CD5" s="59" t="str">
        <f aca="false">IF(n_Fecha1="","",EOMONTH(n_Fecha1,77-1))</f>
        <v/>
      </c>
      <c r="CE5" s="59" t="str">
        <f aca="false">IF(n_Fecha1="","",EOMONTH(n_Fecha1,78-1))</f>
        <v/>
      </c>
      <c r="CF5" s="59" t="str">
        <f aca="false">IF(n_Fecha1="","",EOMONTH(n_Fecha1,79-1))</f>
        <v/>
      </c>
      <c r="CG5" s="59" t="str">
        <f aca="false">IF(n_Fecha1="","",EOMONTH(n_Fecha1,80-1))</f>
        <v/>
      </c>
      <c r="CH5" s="59" t="str">
        <f aca="false">IF(n_Fecha1="","",EOMONTH(n_Fecha1,81-1))</f>
        <v/>
      </c>
      <c r="CI5" s="59" t="str">
        <f aca="false">IF(n_Fecha1="","",EOMONTH(n_Fecha1,82-1))</f>
        <v/>
      </c>
      <c r="CJ5" s="59" t="str">
        <f aca="false">IF(n_Fecha1="","",EOMONTH(n_Fecha1,83-1))</f>
        <v/>
      </c>
      <c r="CK5" s="59" t="str">
        <f aca="false">IF(n_Fecha1="","",EOMONTH(n_Fecha1,84-1))</f>
        <v/>
      </c>
      <c r="CL5" s="59" t="str">
        <f aca="false">IF(n_Fecha1="","",EOMONTH(n_Fecha1,85-1))</f>
        <v/>
      </c>
      <c r="CM5" s="59" t="str">
        <f aca="false">IF(n_Fecha1="","",EOMONTH(n_Fecha1,86-1))</f>
        <v/>
      </c>
      <c r="CN5" s="59" t="str">
        <f aca="false">IF(n_Fecha1="","",EOMONTH(n_Fecha1,87-1))</f>
        <v/>
      </c>
      <c r="CO5" s="59" t="str">
        <f aca="false">IF(n_Fecha1="","",EOMONTH(n_Fecha1,88-1))</f>
        <v/>
      </c>
      <c r="CP5" s="59" t="str">
        <f aca="false">IF(n_Fecha1="","",EOMONTH(n_Fecha1,89-1))</f>
        <v/>
      </c>
      <c r="CQ5" s="59" t="str">
        <f aca="false">IF(n_Fecha1="","",EOMONTH(n_Fecha1,90-1))</f>
        <v/>
      </c>
      <c r="CR5" s="59" t="str">
        <f aca="false">IF(n_Fecha1="","",EOMONTH(n_Fecha1,91-1))</f>
        <v/>
      </c>
      <c r="CS5" s="59" t="str">
        <f aca="false">IF(n_Fecha1="","",EOMONTH(n_Fecha1,92-1))</f>
        <v/>
      </c>
      <c r="CT5" s="59" t="str">
        <f aca="false">IF(n_Fecha1="","",EOMONTH(n_Fecha1,93-1))</f>
        <v/>
      </c>
      <c r="CU5" s="59" t="str">
        <f aca="false">IF(n_Fecha1="","",EOMONTH(n_Fecha1,94-1))</f>
        <v/>
      </c>
      <c r="CV5" s="59" t="str">
        <f aca="false">IF(n_Fecha1="","",EOMONTH(n_Fecha1,95-1))</f>
        <v/>
      </c>
      <c r="CW5" s="59" t="str">
        <f aca="false">IF(n_Fecha1="","",EOMONTH(n_Fecha1,96-1))</f>
        <v/>
      </c>
      <c r="CX5" s="59" t="str">
        <f aca="false">IF(n_Fecha1="","",EOMONTH(n_Fecha1,97-1))</f>
        <v/>
      </c>
      <c r="CY5" s="59" t="str">
        <f aca="false">IF(n_Fecha1="","",EOMONTH(n_Fecha1,98-1))</f>
        <v/>
      </c>
      <c r="CZ5" s="59" t="str">
        <f aca="false">IF(n_Fecha1="","",EOMONTH(n_Fecha1,99-1))</f>
        <v/>
      </c>
      <c r="DA5" s="59" t="str">
        <f aca="false">IF(n_Fecha1="","",EOMONTH(n_Fecha1,100-1))</f>
        <v/>
      </c>
      <c r="DB5" s="59" t="str">
        <f aca="false">IF(n_Fecha1="","",EOMONTH(n_Fecha1,101-1))</f>
        <v/>
      </c>
      <c r="DC5" s="59" t="str">
        <f aca="false">IF(n_Fecha1="","",EOMONTH(n_Fecha1,102-1))</f>
        <v/>
      </c>
      <c r="DD5" s="59" t="str">
        <f aca="false">IF(n_Fecha1="","",EOMONTH(n_Fecha1,103-1))</f>
        <v/>
      </c>
      <c r="DE5" s="59" t="str">
        <f aca="false">IF(n_Fecha1="","",EOMONTH(n_Fecha1,104-1))</f>
        <v/>
      </c>
      <c r="DF5" s="59" t="str">
        <f aca="false">IF(n_Fecha1="","",EOMONTH(n_Fecha1,105-1))</f>
        <v/>
      </c>
      <c r="DG5" s="59" t="str">
        <f aca="false">IF(n_Fecha1="","",EOMONTH(n_Fecha1,106-1))</f>
        <v/>
      </c>
      <c r="DH5" s="59" t="str">
        <f aca="false">IF(n_Fecha1="","",EOMONTH(n_Fecha1,107-1))</f>
        <v/>
      </c>
      <c r="DI5" s="59" t="str">
        <f aca="false">IF(n_Fecha1="","",EOMONTH(n_Fecha1,108-1))</f>
        <v/>
      </c>
      <c r="DJ5" s="59" t="str">
        <f aca="false">IF(n_Fecha1="","",EOMONTH(n_Fecha1,109-1))</f>
        <v/>
      </c>
      <c r="DK5" s="59" t="str">
        <f aca="false">IF(n_Fecha1="","",EOMONTH(n_Fecha1,110-1))</f>
        <v/>
      </c>
      <c r="DL5" s="59" t="str">
        <f aca="false">IF(n_Fecha1="","",EOMONTH(n_Fecha1,111-1))</f>
        <v/>
      </c>
      <c r="DM5" s="59" t="str">
        <f aca="false">IF(n_Fecha1="","",EOMONTH(n_Fecha1,112-1))</f>
        <v/>
      </c>
      <c r="DN5" s="59" t="str">
        <f aca="false">IF(n_Fecha1="","",EOMONTH(n_Fecha1,113-1))</f>
        <v/>
      </c>
      <c r="DO5" s="59" t="str">
        <f aca="false">IF(n_Fecha1="","",EOMONTH(n_Fecha1,114-1))</f>
        <v/>
      </c>
      <c r="DP5" s="59" t="str">
        <f aca="false">IF(n_Fecha1="","",EOMONTH(n_Fecha1,115-1))</f>
        <v/>
      </c>
      <c r="DQ5" s="59" t="str">
        <f aca="false">IF(n_Fecha1="","",EOMONTH(n_Fecha1,116-1))</f>
        <v/>
      </c>
      <c r="DR5" s="59" t="str">
        <f aca="false">IF(n_Fecha1="","",EOMONTH(n_Fecha1,117-1))</f>
        <v/>
      </c>
      <c r="DS5" s="59" t="str">
        <f aca="false">IF(n_Fecha1="","",EOMONTH(n_Fecha1,118-1))</f>
        <v/>
      </c>
      <c r="DT5" s="59" t="str">
        <f aca="false">IF(n_Fecha1="","",EOMONTH(n_Fecha1,119-1))</f>
        <v/>
      </c>
      <c r="DU5" s="59" t="str">
        <f aca="false">IF(n_Fecha1="","",EOMONTH(n_Fecha1,120-1))</f>
        <v/>
      </c>
      <c r="DV5" s="59" t="str">
        <f aca="false">IF(n_Fecha1="","",EOMONTH(n_Fecha1,121-1))</f>
        <v/>
      </c>
      <c r="DW5" s="59" t="str">
        <f aca="false">IF(n_Fecha1="","",EOMONTH(n_Fecha1,122-1))</f>
        <v/>
      </c>
      <c r="DX5" s="59" t="str">
        <f aca="false">IF(n_Fecha1="","",EOMONTH(n_Fecha1,123-1))</f>
        <v/>
      </c>
      <c r="DY5" s="59" t="str">
        <f aca="false">IF(n_Fecha1="","",EOMONTH(n_Fecha1,124-1))</f>
        <v/>
      </c>
      <c r="DZ5" s="59" t="str">
        <f aca="false">IF(n_Fecha1="","",EOMONTH(n_Fecha1,125-1))</f>
        <v/>
      </c>
      <c r="EA5" s="59" t="str">
        <f aca="false">IF(n_Fecha1="","",EOMONTH(n_Fecha1,126-1))</f>
        <v/>
      </c>
      <c r="EB5" s="59" t="str">
        <f aca="false">IF(n_Fecha1="","",EOMONTH(n_Fecha1,127-1))</f>
        <v/>
      </c>
      <c r="EC5" s="59" t="str">
        <f aca="false">IF(n_Fecha1="","",EOMONTH(n_Fecha1,128-1))</f>
        <v/>
      </c>
      <c r="ED5" s="59" t="str">
        <f aca="false">IF(n_Fecha1="","",EOMONTH(n_Fecha1,129-1))</f>
        <v/>
      </c>
      <c r="EE5" s="59" t="str">
        <f aca="false">IF(n_Fecha1="","",EOMONTH(n_Fecha1,130-1))</f>
        <v/>
      </c>
      <c r="EF5" s="59" t="str">
        <f aca="false">IF(n_Fecha1="","",EOMONTH(n_Fecha1,131-1))</f>
        <v/>
      </c>
      <c r="EG5" s="59" t="str">
        <f aca="false">IF(n_Fecha1="","",EOMONTH(n_Fecha1,132-1))</f>
        <v/>
      </c>
      <c r="EH5" s="59" t="str">
        <f aca="false">IF(n_Fecha1="","",EOMONTH(n_Fecha1,133-1))</f>
        <v/>
      </c>
      <c r="EI5" s="59" t="str">
        <f aca="false">IF(n_Fecha1="","",EOMONTH(n_Fecha1,134-1))</f>
        <v/>
      </c>
      <c r="EJ5" s="59" t="str">
        <f aca="false">IF(n_Fecha1="","",EOMONTH(n_Fecha1,135-1))</f>
        <v/>
      </c>
      <c r="EK5" s="59" t="str">
        <f aca="false">IF(n_Fecha1="","",EOMONTH(n_Fecha1,136-1))</f>
        <v/>
      </c>
      <c r="EL5" s="59" t="str">
        <f aca="false">IF(n_Fecha1="","",EOMONTH(n_Fecha1,137-1))</f>
        <v/>
      </c>
      <c r="EM5" s="59" t="str">
        <f aca="false">IF(n_Fecha1="","",EOMONTH(n_Fecha1,138-1))</f>
        <v/>
      </c>
      <c r="EN5" s="59" t="str">
        <f aca="false">IF(n_Fecha1="","",EOMONTH(n_Fecha1,139-1))</f>
        <v/>
      </c>
      <c r="EO5" s="59" t="str">
        <f aca="false">IF(n_Fecha1="","",EOMONTH(n_Fecha1,140-1))</f>
        <v/>
      </c>
      <c r="EP5" s="59" t="str">
        <f aca="false">IF(n_Fecha1="","",EOMONTH(n_Fecha1,141-1))</f>
        <v/>
      </c>
      <c r="EQ5" s="59" t="str">
        <f aca="false">IF(n_Fecha1="","",EOMONTH(n_Fecha1,142-1))</f>
        <v/>
      </c>
      <c r="ER5" s="59" t="str">
        <f aca="false">IF(n_Fecha1="","",EOMONTH(n_Fecha1,143-1))</f>
        <v/>
      </c>
      <c r="ES5" s="59" t="str">
        <f aca="false">IF(n_Fecha1="","",EOMONTH(n_Fecha1,144-1))</f>
        <v/>
      </c>
    </row>
    <row r="6" customFormat="false" ht="15" hidden="false" customHeight="false" outlineLevel="0" collapsed="false">
      <c r="A6" s="57"/>
      <c r="B6" s="58" t="s">
        <v>716</v>
      </c>
      <c r="C6" s="57"/>
      <c r="D6" s="57"/>
      <c r="E6" s="57"/>
      <c r="F6" s="60" t="n">
        <f aca="false">ROUNDUP(1/12,0)</f>
        <v>1</v>
      </c>
      <c r="G6" s="60" t="n">
        <f aca="false">ROUNDUP(2/12,0)</f>
        <v>1</v>
      </c>
      <c r="H6" s="60" t="n">
        <f aca="false">ROUNDUP(3/12,0)</f>
        <v>1</v>
      </c>
      <c r="I6" s="60" t="n">
        <f aca="false">ROUNDUP(4/12,0)</f>
        <v>1</v>
      </c>
      <c r="J6" s="60" t="n">
        <f aca="false">ROUNDUP(5/12,0)</f>
        <v>1</v>
      </c>
      <c r="K6" s="60" t="n">
        <f aca="false">ROUNDUP(6/12,0)</f>
        <v>1</v>
      </c>
      <c r="L6" s="60" t="n">
        <f aca="false">ROUNDUP(7/12,0)</f>
        <v>1</v>
      </c>
      <c r="M6" s="60" t="n">
        <f aca="false">ROUNDUP(8/12,0)</f>
        <v>1</v>
      </c>
      <c r="N6" s="60" t="n">
        <f aca="false">ROUNDUP(9/12,0)</f>
        <v>1</v>
      </c>
      <c r="O6" s="60" t="n">
        <f aca="false">ROUNDUP(10/12,0)</f>
        <v>1</v>
      </c>
      <c r="P6" s="60" t="n">
        <f aca="false">ROUNDUP(11/12,0)</f>
        <v>1</v>
      </c>
      <c r="Q6" s="60" t="n">
        <f aca="false">ROUNDUP(12/12,0)</f>
        <v>1</v>
      </c>
      <c r="R6" s="60" t="n">
        <f aca="false">ROUNDUP(13/12,0)</f>
        <v>2</v>
      </c>
      <c r="S6" s="60" t="n">
        <f aca="false">ROUNDUP(14/12,0)</f>
        <v>2</v>
      </c>
      <c r="T6" s="60" t="n">
        <f aca="false">ROUNDUP(15/12,0)</f>
        <v>2</v>
      </c>
      <c r="U6" s="60" t="n">
        <f aca="false">ROUNDUP(16/12,0)</f>
        <v>2</v>
      </c>
      <c r="V6" s="60" t="n">
        <f aca="false">ROUNDUP(17/12,0)</f>
        <v>2</v>
      </c>
      <c r="W6" s="60" t="n">
        <f aca="false">ROUNDUP(18/12,0)</f>
        <v>2</v>
      </c>
      <c r="X6" s="60" t="n">
        <f aca="false">ROUNDUP(19/12,0)</f>
        <v>2</v>
      </c>
      <c r="Y6" s="60" t="n">
        <f aca="false">ROUNDUP(20/12,0)</f>
        <v>2</v>
      </c>
      <c r="Z6" s="60" t="n">
        <f aca="false">ROUNDUP(21/12,0)</f>
        <v>2</v>
      </c>
      <c r="AA6" s="60" t="n">
        <f aca="false">ROUNDUP(22/12,0)</f>
        <v>2</v>
      </c>
      <c r="AB6" s="60" t="n">
        <f aca="false">ROUNDUP(23/12,0)</f>
        <v>2</v>
      </c>
      <c r="AC6" s="60" t="n">
        <f aca="false">ROUNDUP(24/12,0)</f>
        <v>2</v>
      </c>
      <c r="AD6" s="60" t="n">
        <f aca="false">ROUNDUP(25/12,0)</f>
        <v>3</v>
      </c>
      <c r="AE6" s="60" t="n">
        <f aca="false">ROUNDUP(26/12,0)</f>
        <v>3</v>
      </c>
      <c r="AF6" s="60" t="n">
        <f aca="false">ROUNDUP(27/12,0)</f>
        <v>3</v>
      </c>
      <c r="AG6" s="60" t="n">
        <f aca="false">ROUNDUP(28/12,0)</f>
        <v>3</v>
      </c>
      <c r="AH6" s="60" t="n">
        <f aca="false">ROUNDUP(29/12,0)</f>
        <v>3</v>
      </c>
      <c r="AI6" s="60" t="n">
        <f aca="false">ROUNDUP(30/12,0)</f>
        <v>3</v>
      </c>
      <c r="AJ6" s="60" t="n">
        <f aca="false">ROUNDUP(31/12,0)</f>
        <v>3</v>
      </c>
      <c r="AK6" s="60" t="n">
        <f aca="false">ROUNDUP(32/12,0)</f>
        <v>3</v>
      </c>
      <c r="AL6" s="60" t="n">
        <f aca="false">ROUNDUP(33/12,0)</f>
        <v>3</v>
      </c>
      <c r="AM6" s="60" t="n">
        <f aca="false">ROUNDUP(34/12,0)</f>
        <v>3</v>
      </c>
      <c r="AN6" s="60" t="n">
        <f aca="false">ROUNDUP(35/12,0)</f>
        <v>3</v>
      </c>
      <c r="AO6" s="60" t="n">
        <f aca="false">ROUNDUP(36/12,0)</f>
        <v>3</v>
      </c>
      <c r="AP6" s="60" t="n">
        <f aca="false">ROUNDUP(37/12,0)</f>
        <v>4</v>
      </c>
      <c r="AQ6" s="60" t="n">
        <f aca="false">ROUNDUP(38/12,0)</f>
        <v>4</v>
      </c>
      <c r="AR6" s="60" t="n">
        <f aca="false">ROUNDUP(39/12,0)</f>
        <v>4</v>
      </c>
      <c r="AS6" s="60" t="n">
        <f aca="false">ROUNDUP(40/12,0)</f>
        <v>4</v>
      </c>
      <c r="AT6" s="60" t="n">
        <f aca="false">ROUNDUP(41/12,0)</f>
        <v>4</v>
      </c>
      <c r="AU6" s="60" t="n">
        <f aca="false">ROUNDUP(42/12,0)</f>
        <v>4</v>
      </c>
      <c r="AV6" s="60" t="n">
        <f aca="false">ROUNDUP(43/12,0)</f>
        <v>4</v>
      </c>
      <c r="AW6" s="60" t="n">
        <f aca="false">ROUNDUP(44/12,0)</f>
        <v>4</v>
      </c>
      <c r="AX6" s="60" t="n">
        <f aca="false">ROUNDUP(45/12,0)</f>
        <v>4</v>
      </c>
      <c r="AY6" s="60" t="n">
        <f aca="false">ROUNDUP(46/12,0)</f>
        <v>4</v>
      </c>
      <c r="AZ6" s="60" t="n">
        <f aca="false">ROUNDUP(47/12,0)</f>
        <v>4</v>
      </c>
      <c r="BA6" s="60" t="n">
        <f aca="false">ROUNDUP(48/12,0)</f>
        <v>4</v>
      </c>
      <c r="BB6" s="60" t="n">
        <f aca="false">ROUNDUP(49/12,0)</f>
        <v>5</v>
      </c>
      <c r="BC6" s="60" t="n">
        <f aca="false">ROUNDUP(50/12,0)</f>
        <v>5</v>
      </c>
      <c r="BD6" s="60" t="n">
        <f aca="false">ROUNDUP(51/12,0)</f>
        <v>5</v>
      </c>
      <c r="BE6" s="60" t="n">
        <f aca="false">ROUNDUP(52/12,0)</f>
        <v>5</v>
      </c>
      <c r="BF6" s="60" t="n">
        <f aca="false">ROUNDUP(53/12,0)</f>
        <v>5</v>
      </c>
      <c r="BG6" s="60" t="n">
        <f aca="false">ROUNDUP(54/12,0)</f>
        <v>5</v>
      </c>
      <c r="BH6" s="60" t="n">
        <f aca="false">ROUNDUP(55/12,0)</f>
        <v>5</v>
      </c>
      <c r="BI6" s="60" t="n">
        <f aca="false">ROUNDUP(56/12,0)</f>
        <v>5</v>
      </c>
      <c r="BJ6" s="60" t="n">
        <f aca="false">ROUNDUP(57/12,0)</f>
        <v>5</v>
      </c>
      <c r="BK6" s="60" t="n">
        <f aca="false">ROUNDUP(58/12,0)</f>
        <v>5</v>
      </c>
      <c r="BL6" s="60" t="n">
        <f aca="false">ROUNDUP(59/12,0)</f>
        <v>5</v>
      </c>
      <c r="BM6" s="60" t="n">
        <f aca="false">ROUNDUP(60/12,0)</f>
        <v>5</v>
      </c>
      <c r="BN6" s="60" t="n">
        <f aca="false">ROUNDUP(61/12,0)</f>
        <v>6</v>
      </c>
      <c r="BO6" s="60" t="n">
        <f aca="false">ROUNDUP(62/12,0)</f>
        <v>6</v>
      </c>
      <c r="BP6" s="60" t="n">
        <f aca="false">ROUNDUP(63/12,0)</f>
        <v>6</v>
      </c>
      <c r="BQ6" s="60" t="n">
        <f aca="false">ROUNDUP(64/12,0)</f>
        <v>6</v>
      </c>
      <c r="BR6" s="60" t="n">
        <f aca="false">ROUNDUP(65/12,0)</f>
        <v>6</v>
      </c>
      <c r="BS6" s="60" t="n">
        <f aca="false">ROUNDUP(66/12,0)</f>
        <v>6</v>
      </c>
      <c r="BT6" s="60" t="n">
        <f aca="false">ROUNDUP(67/12,0)</f>
        <v>6</v>
      </c>
      <c r="BU6" s="60" t="n">
        <f aca="false">ROUNDUP(68/12,0)</f>
        <v>6</v>
      </c>
      <c r="BV6" s="60" t="n">
        <f aca="false">ROUNDUP(69/12,0)</f>
        <v>6</v>
      </c>
      <c r="BW6" s="60" t="n">
        <f aca="false">ROUNDUP(70/12,0)</f>
        <v>6</v>
      </c>
      <c r="BX6" s="60" t="n">
        <f aca="false">ROUNDUP(71/12,0)</f>
        <v>6</v>
      </c>
      <c r="BY6" s="60" t="n">
        <f aca="false">ROUNDUP(72/12,0)</f>
        <v>6</v>
      </c>
      <c r="BZ6" s="60" t="n">
        <f aca="false">ROUNDUP(73/12,0)</f>
        <v>7</v>
      </c>
      <c r="CA6" s="60" t="n">
        <f aca="false">ROUNDUP(74/12,0)</f>
        <v>7</v>
      </c>
      <c r="CB6" s="60" t="n">
        <f aca="false">ROUNDUP(75/12,0)</f>
        <v>7</v>
      </c>
      <c r="CC6" s="60" t="n">
        <f aca="false">ROUNDUP(76/12,0)</f>
        <v>7</v>
      </c>
      <c r="CD6" s="60" t="n">
        <f aca="false">ROUNDUP(77/12,0)</f>
        <v>7</v>
      </c>
      <c r="CE6" s="60" t="n">
        <f aca="false">ROUNDUP(78/12,0)</f>
        <v>7</v>
      </c>
      <c r="CF6" s="60" t="n">
        <f aca="false">ROUNDUP(79/12,0)</f>
        <v>7</v>
      </c>
      <c r="CG6" s="60" t="n">
        <f aca="false">ROUNDUP(80/12,0)</f>
        <v>7</v>
      </c>
      <c r="CH6" s="60" t="n">
        <f aca="false">ROUNDUP(81/12,0)</f>
        <v>7</v>
      </c>
      <c r="CI6" s="60" t="n">
        <f aca="false">ROUNDUP(82/12,0)</f>
        <v>7</v>
      </c>
      <c r="CJ6" s="60" t="n">
        <f aca="false">ROUNDUP(83/12,0)</f>
        <v>7</v>
      </c>
      <c r="CK6" s="60" t="n">
        <f aca="false">ROUNDUP(84/12,0)</f>
        <v>7</v>
      </c>
      <c r="CL6" s="60" t="n">
        <f aca="false">ROUNDUP(85/12,0)</f>
        <v>8</v>
      </c>
      <c r="CM6" s="60" t="n">
        <f aca="false">ROUNDUP(86/12,0)</f>
        <v>8</v>
      </c>
      <c r="CN6" s="60" t="n">
        <f aca="false">ROUNDUP(87/12,0)</f>
        <v>8</v>
      </c>
      <c r="CO6" s="60" t="n">
        <f aca="false">ROUNDUP(88/12,0)</f>
        <v>8</v>
      </c>
      <c r="CP6" s="60" t="n">
        <f aca="false">ROUNDUP(89/12,0)</f>
        <v>8</v>
      </c>
      <c r="CQ6" s="60" t="n">
        <f aca="false">ROUNDUP(90/12,0)</f>
        <v>8</v>
      </c>
      <c r="CR6" s="60" t="n">
        <f aca="false">ROUNDUP(91/12,0)</f>
        <v>8</v>
      </c>
      <c r="CS6" s="60" t="n">
        <f aca="false">ROUNDUP(92/12,0)</f>
        <v>8</v>
      </c>
      <c r="CT6" s="60" t="n">
        <f aca="false">ROUNDUP(93/12,0)</f>
        <v>8</v>
      </c>
      <c r="CU6" s="60" t="n">
        <f aca="false">ROUNDUP(94/12,0)</f>
        <v>8</v>
      </c>
      <c r="CV6" s="60" t="n">
        <f aca="false">ROUNDUP(95/12,0)</f>
        <v>8</v>
      </c>
      <c r="CW6" s="60" t="n">
        <f aca="false">ROUNDUP(96/12,0)</f>
        <v>8</v>
      </c>
      <c r="CX6" s="60" t="n">
        <f aca="false">ROUNDUP(97/12,0)</f>
        <v>9</v>
      </c>
      <c r="CY6" s="60" t="n">
        <f aca="false">ROUNDUP(98/12,0)</f>
        <v>9</v>
      </c>
      <c r="CZ6" s="60" t="n">
        <f aca="false">ROUNDUP(99/12,0)</f>
        <v>9</v>
      </c>
      <c r="DA6" s="60" t="n">
        <f aca="false">ROUNDUP(100/12,0)</f>
        <v>9</v>
      </c>
      <c r="DB6" s="60" t="n">
        <f aca="false">ROUNDUP(101/12,0)</f>
        <v>9</v>
      </c>
      <c r="DC6" s="60" t="n">
        <f aca="false">ROUNDUP(102/12,0)</f>
        <v>9</v>
      </c>
      <c r="DD6" s="60" t="n">
        <f aca="false">ROUNDUP(103/12,0)</f>
        <v>9</v>
      </c>
      <c r="DE6" s="60" t="n">
        <f aca="false">ROUNDUP(104/12,0)</f>
        <v>9</v>
      </c>
      <c r="DF6" s="60" t="n">
        <f aca="false">ROUNDUP(105/12,0)</f>
        <v>9</v>
      </c>
      <c r="DG6" s="60" t="n">
        <f aca="false">ROUNDUP(106/12,0)</f>
        <v>9</v>
      </c>
      <c r="DH6" s="60" t="n">
        <f aca="false">ROUNDUP(107/12,0)</f>
        <v>9</v>
      </c>
      <c r="DI6" s="60" t="n">
        <f aca="false">ROUNDUP(108/12,0)</f>
        <v>9</v>
      </c>
      <c r="DJ6" s="60" t="n">
        <f aca="false">ROUNDUP(109/12,0)</f>
        <v>10</v>
      </c>
      <c r="DK6" s="60" t="n">
        <f aca="false">ROUNDUP(110/12,0)</f>
        <v>10</v>
      </c>
      <c r="DL6" s="60" t="n">
        <f aca="false">ROUNDUP(111/12,0)</f>
        <v>10</v>
      </c>
      <c r="DM6" s="60" t="n">
        <f aca="false">ROUNDUP(112/12,0)</f>
        <v>10</v>
      </c>
      <c r="DN6" s="60" t="n">
        <f aca="false">ROUNDUP(113/12,0)</f>
        <v>10</v>
      </c>
      <c r="DO6" s="60" t="n">
        <f aca="false">ROUNDUP(114/12,0)</f>
        <v>10</v>
      </c>
      <c r="DP6" s="60" t="n">
        <f aca="false">ROUNDUP(115/12,0)</f>
        <v>10</v>
      </c>
      <c r="DQ6" s="60" t="n">
        <f aca="false">ROUNDUP(116/12,0)</f>
        <v>10</v>
      </c>
      <c r="DR6" s="60" t="n">
        <f aca="false">ROUNDUP(117/12,0)</f>
        <v>10</v>
      </c>
      <c r="DS6" s="60" t="n">
        <f aca="false">ROUNDUP(118/12,0)</f>
        <v>10</v>
      </c>
      <c r="DT6" s="60" t="n">
        <f aca="false">ROUNDUP(119/12,0)</f>
        <v>10</v>
      </c>
      <c r="DU6" s="60" t="n">
        <f aca="false">ROUNDUP(120/12,0)</f>
        <v>10</v>
      </c>
      <c r="DV6" s="60" t="n">
        <f aca="false">ROUNDUP(121/12,0)</f>
        <v>11</v>
      </c>
      <c r="DW6" s="60" t="n">
        <f aca="false">ROUNDUP(122/12,0)</f>
        <v>11</v>
      </c>
      <c r="DX6" s="60" t="n">
        <f aca="false">ROUNDUP(123/12,0)</f>
        <v>11</v>
      </c>
      <c r="DY6" s="60" t="n">
        <f aca="false">ROUNDUP(124/12,0)</f>
        <v>11</v>
      </c>
      <c r="DZ6" s="60" t="n">
        <f aca="false">ROUNDUP(125/12,0)</f>
        <v>11</v>
      </c>
      <c r="EA6" s="60" t="n">
        <f aca="false">ROUNDUP(126/12,0)</f>
        <v>11</v>
      </c>
      <c r="EB6" s="60" t="n">
        <f aca="false">ROUNDUP(127/12,0)</f>
        <v>11</v>
      </c>
      <c r="EC6" s="60" t="n">
        <f aca="false">ROUNDUP(128/12,0)</f>
        <v>11</v>
      </c>
      <c r="ED6" s="60" t="n">
        <f aca="false">ROUNDUP(129/12,0)</f>
        <v>11</v>
      </c>
      <c r="EE6" s="60" t="n">
        <f aca="false">ROUNDUP(130/12,0)</f>
        <v>11</v>
      </c>
      <c r="EF6" s="60" t="n">
        <f aca="false">ROUNDUP(131/12,0)</f>
        <v>11</v>
      </c>
      <c r="EG6" s="60" t="n">
        <f aca="false">ROUNDUP(132/12,0)</f>
        <v>11</v>
      </c>
      <c r="EH6" s="60" t="n">
        <f aca="false">ROUNDUP(133/12,0)</f>
        <v>12</v>
      </c>
      <c r="EI6" s="60" t="n">
        <f aca="false">ROUNDUP(134/12,0)</f>
        <v>12</v>
      </c>
      <c r="EJ6" s="60" t="n">
        <f aca="false">ROUNDUP(135/12,0)</f>
        <v>12</v>
      </c>
      <c r="EK6" s="60" t="n">
        <f aca="false">ROUNDUP(136/12,0)</f>
        <v>12</v>
      </c>
      <c r="EL6" s="60" t="n">
        <f aca="false">ROUNDUP(137/12,0)</f>
        <v>12</v>
      </c>
      <c r="EM6" s="60" t="n">
        <f aca="false">ROUNDUP(138/12,0)</f>
        <v>12</v>
      </c>
      <c r="EN6" s="60" t="n">
        <f aca="false">ROUNDUP(139/12,0)</f>
        <v>12</v>
      </c>
      <c r="EO6" s="60" t="n">
        <f aca="false">ROUNDUP(140/12,0)</f>
        <v>12</v>
      </c>
      <c r="EP6" s="60" t="n">
        <f aca="false">ROUNDUP(141/12,0)</f>
        <v>12</v>
      </c>
      <c r="EQ6" s="60" t="n">
        <f aca="false">ROUNDUP(142/12,0)</f>
        <v>12</v>
      </c>
      <c r="ER6" s="60" t="n">
        <f aca="false">ROUNDUP(143/12,0)</f>
        <v>12</v>
      </c>
      <c r="ES6" s="60" t="n">
        <f aca="false">ROUNDUP(144/12,0)</f>
        <v>12</v>
      </c>
    </row>
    <row r="7" customFormat="false" ht="15" hidden="false" customHeight="false" outlineLevel="0" collapsed="false">
      <c r="A7" s="57"/>
      <c r="B7" s="58" t="s">
        <v>717</v>
      </c>
      <c r="C7" s="57"/>
      <c r="D7" s="57"/>
      <c r="E7" s="57"/>
      <c r="F7" s="14" t="str">
        <f aca="false">IF(1&lt;=Corte,"Real",IF(1&lt;=Corte+n_Ventana,"Ventana","Anual"))</f>
        <v>Ventana</v>
      </c>
      <c r="G7" s="14" t="str">
        <f aca="false">IF(2&lt;=Corte,"Real",IF(2&lt;=Corte+n_Ventana,"Ventana","Anual"))</f>
        <v>Ventana</v>
      </c>
      <c r="H7" s="14" t="str">
        <f aca="false">IF(3&lt;=Corte,"Real",IF(3&lt;=Corte+n_Ventana,"Ventana","Anual"))</f>
        <v>Ventana</v>
      </c>
      <c r="I7" s="14" t="str">
        <f aca="false">IF(4&lt;=Corte,"Real",IF(4&lt;=Corte+n_Ventana,"Ventana","Anual"))</f>
        <v>Ventana</v>
      </c>
      <c r="J7" s="14" t="str">
        <f aca="false">IF(5&lt;=Corte,"Real",IF(5&lt;=Corte+n_Ventana,"Ventana","Anual"))</f>
        <v>Ventana</v>
      </c>
      <c r="K7" s="14" t="str">
        <f aca="false">IF(6&lt;=Corte,"Real",IF(6&lt;=Corte+n_Ventana,"Ventana","Anual"))</f>
        <v>Ventana</v>
      </c>
      <c r="L7" s="14" t="str">
        <f aca="false">IF(7&lt;=Corte,"Real",IF(7&lt;=Corte+n_Ventana,"Ventana","Anual"))</f>
        <v>Ventana</v>
      </c>
      <c r="M7" s="14" t="str">
        <f aca="false">IF(8&lt;=Corte,"Real",IF(8&lt;=Corte+n_Ventana,"Ventana","Anual"))</f>
        <v>Ventana</v>
      </c>
      <c r="N7" s="14" t="str">
        <f aca="false">IF(9&lt;=Corte,"Real",IF(9&lt;=Corte+n_Ventana,"Ventana","Anual"))</f>
        <v>Ventana</v>
      </c>
      <c r="O7" s="14" t="str">
        <f aca="false">IF(10&lt;=Corte,"Real",IF(10&lt;=Corte+n_Ventana,"Ventana","Anual"))</f>
        <v>Ventana</v>
      </c>
      <c r="P7" s="14" t="str">
        <f aca="false">IF(11&lt;=Corte,"Real",IF(11&lt;=Corte+n_Ventana,"Ventana","Anual"))</f>
        <v>Ventana</v>
      </c>
      <c r="Q7" s="14" t="str">
        <f aca="false">IF(12&lt;=Corte,"Real",IF(12&lt;=Corte+n_Ventana,"Ventana","Anual"))</f>
        <v>Ventana</v>
      </c>
      <c r="R7" s="14" t="str">
        <f aca="false">IF(13&lt;=Corte,"Real",IF(13&lt;=Corte+n_Ventana,"Ventana","Anual"))</f>
        <v>Ventana</v>
      </c>
      <c r="S7" s="14" t="str">
        <f aca="false">IF(14&lt;=Corte,"Real",IF(14&lt;=Corte+n_Ventana,"Ventana","Anual"))</f>
        <v>Ventana</v>
      </c>
      <c r="T7" s="14" t="str">
        <f aca="false">IF(15&lt;=Corte,"Real",IF(15&lt;=Corte+n_Ventana,"Ventana","Anual"))</f>
        <v>Ventana</v>
      </c>
      <c r="U7" s="14" t="str">
        <f aca="false">IF(16&lt;=Corte,"Real",IF(16&lt;=Corte+n_Ventana,"Ventana","Anual"))</f>
        <v>Ventana</v>
      </c>
      <c r="V7" s="14" t="str">
        <f aca="false">IF(17&lt;=Corte,"Real",IF(17&lt;=Corte+n_Ventana,"Ventana","Anual"))</f>
        <v>Ventana</v>
      </c>
      <c r="W7" s="14" t="str">
        <f aca="false">IF(18&lt;=Corte,"Real",IF(18&lt;=Corte+n_Ventana,"Ventana","Anual"))</f>
        <v>Ventana</v>
      </c>
      <c r="X7" s="14" t="str">
        <f aca="false">IF(19&lt;=Corte,"Real",IF(19&lt;=Corte+n_Ventana,"Ventana","Anual"))</f>
        <v>Ventana</v>
      </c>
      <c r="Y7" s="14" t="str">
        <f aca="false">IF(20&lt;=Corte,"Real",IF(20&lt;=Corte+n_Ventana,"Ventana","Anual"))</f>
        <v>Ventana</v>
      </c>
      <c r="Z7" s="14" t="str">
        <f aca="false">IF(21&lt;=Corte,"Real",IF(21&lt;=Corte+n_Ventana,"Ventana","Anual"))</f>
        <v>Ventana</v>
      </c>
      <c r="AA7" s="14" t="str">
        <f aca="false">IF(22&lt;=Corte,"Real",IF(22&lt;=Corte+n_Ventana,"Ventana","Anual"))</f>
        <v>Ventana</v>
      </c>
      <c r="AB7" s="14" t="str">
        <f aca="false">IF(23&lt;=Corte,"Real",IF(23&lt;=Corte+n_Ventana,"Ventana","Anual"))</f>
        <v>Ventana</v>
      </c>
      <c r="AC7" s="14" t="str">
        <f aca="false">IF(24&lt;=Corte,"Real",IF(24&lt;=Corte+n_Ventana,"Ventana","Anual"))</f>
        <v>Ventana</v>
      </c>
      <c r="AD7" s="14" t="str">
        <f aca="false">IF(25&lt;=Corte,"Real",IF(25&lt;=Corte+n_Ventana,"Ventana","Anual"))</f>
        <v>Anual</v>
      </c>
      <c r="AE7" s="14" t="str">
        <f aca="false">IF(26&lt;=Corte,"Real",IF(26&lt;=Corte+n_Ventana,"Ventana","Anual"))</f>
        <v>Anual</v>
      </c>
      <c r="AF7" s="14" t="str">
        <f aca="false">IF(27&lt;=Corte,"Real",IF(27&lt;=Corte+n_Ventana,"Ventana","Anual"))</f>
        <v>Anual</v>
      </c>
      <c r="AG7" s="14" t="str">
        <f aca="false">IF(28&lt;=Corte,"Real",IF(28&lt;=Corte+n_Ventana,"Ventana","Anual"))</f>
        <v>Anual</v>
      </c>
      <c r="AH7" s="14" t="str">
        <f aca="false">IF(29&lt;=Corte,"Real",IF(29&lt;=Corte+n_Ventana,"Ventana","Anual"))</f>
        <v>Anual</v>
      </c>
      <c r="AI7" s="14" t="str">
        <f aca="false">IF(30&lt;=Corte,"Real",IF(30&lt;=Corte+n_Ventana,"Ventana","Anual"))</f>
        <v>Anual</v>
      </c>
      <c r="AJ7" s="14" t="str">
        <f aca="false">IF(31&lt;=Corte,"Real",IF(31&lt;=Corte+n_Ventana,"Ventana","Anual"))</f>
        <v>Anual</v>
      </c>
      <c r="AK7" s="14" t="str">
        <f aca="false">IF(32&lt;=Corte,"Real",IF(32&lt;=Corte+n_Ventana,"Ventana","Anual"))</f>
        <v>Anual</v>
      </c>
      <c r="AL7" s="14" t="str">
        <f aca="false">IF(33&lt;=Corte,"Real",IF(33&lt;=Corte+n_Ventana,"Ventana","Anual"))</f>
        <v>Anual</v>
      </c>
      <c r="AM7" s="14" t="str">
        <f aca="false">IF(34&lt;=Corte,"Real",IF(34&lt;=Corte+n_Ventana,"Ventana","Anual"))</f>
        <v>Anual</v>
      </c>
      <c r="AN7" s="14" t="str">
        <f aca="false">IF(35&lt;=Corte,"Real",IF(35&lt;=Corte+n_Ventana,"Ventana","Anual"))</f>
        <v>Anual</v>
      </c>
      <c r="AO7" s="14" t="str">
        <f aca="false">IF(36&lt;=Corte,"Real",IF(36&lt;=Corte+n_Ventana,"Ventana","Anual"))</f>
        <v>Anual</v>
      </c>
      <c r="AP7" s="14" t="str">
        <f aca="false">IF(37&lt;=Corte,"Real",IF(37&lt;=Corte+n_Ventana,"Ventana","Anual"))</f>
        <v>Anual</v>
      </c>
      <c r="AQ7" s="14" t="str">
        <f aca="false">IF(38&lt;=Corte,"Real",IF(38&lt;=Corte+n_Ventana,"Ventana","Anual"))</f>
        <v>Anual</v>
      </c>
      <c r="AR7" s="14" t="str">
        <f aca="false">IF(39&lt;=Corte,"Real",IF(39&lt;=Corte+n_Ventana,"Ventana","Anual"))</f>
        <v>Anual</v>
      </c>
      <c r="AS7" s="14" t="str">
        <f aca="false">IF(40&lt;=Corte,"Real",IF(40&lt;=Corte+n_Ventana,"Ventana","Anual"))</f>
        <v>Anual</v>
      </c>
      <c r="AT7" s="14" t="str">
        <f aca="false">IF(41&lt;=Corte,"Real",IF(41&lt;=Corte+n_Ventana,"Ventana","Anual"))</f>
        <v>Anual</v>
      </c>
      <c r="AU7" s="14" t="str">
        <f aca="false">IF(42&lt;=Corte,"Real",IF(42&lt;=Corte+n_Ventana,"Ventana","Anual"))</f>
        <v>Anual</v>
      </c>
      <c r="AV7" s="14" t="str">
        <f aca="false">IF(43&lt;=Corte,"Real",IF(43&lt;=Corte+n_Ventana,"Ventana","Anual"))</f>
        <v>Anual</v>
      </c>
      <c r="AW7" s="14" t="str">
        <f aca="false">IF(44&lt;=Corte,"Real",IF(44&lt;=Corte+n_Ventana,"Ventana","Anual"))</f>
        <v>Anual</v>
      </c>
      <c r="AX7" s="14" t="str">
        <f aca="false">IF(45&lt;=Corte,"Real",IF(45&lt;=Corte+n_Ventana,"Ventana","Anual"))</f>
        <v>Anual</v>
      </c>
      <c r="AY7" s="14" t="str">
        <f aca="false">IF(46&lt;=Corte,"Real",IF(46&lt;=Corte+n_Ventana,"Ventana","Anual"))</f>
        <v>Anual</v>
      </c>
      <c r="AZ7" s="14" t="str">
        <f aca="false">IF(47&lt;=Corte,"Real",IF(47&lt;=Corte+n_Ventana,"Ventana","Anual"))</f>
        <v>Anual</v>
      </c>
      <c r="BA7" s="14" t="str">
        <f aca="false">IF(48&lt;=Corte,"Real",IF(48&lt;=Corte+n_Ventana,"Ventana","Anual"))</f>
        <v>Anual</v>
      </c>
      <c r="BB7" s="14" t="str">
        <f aca="false">IF(49&lt;=Corte,"Real",IF(49&lt;=Corte+n_Ventana,"Ventana","Anual"))</f>
        <v>Anual</v>
      </c>
      <c r="BC7" s="14" t="str">
        <f aca="false">IF(50&lt;=Corte,"Real",IF(50&lt;=Corte+n_Ventana,"Ventana","Anual"))</f>
        <v>Anual</v>
      </c>
      <c r="BD7" s="14" t="str">
        <f aca="false">IF(51&lt;=Corte,"Real",IF(51&lt;=Corte+n_Ventana,"Ventana","Anual"))</f>
        <v>Anual</v>
      </c>
      <c r="BE7" s="14" t="str">
        <f aca="false">IF(52&lt;=Corte,"Real",IF(52&lt;=Corte+n_Ventana,"Ventana","Anual"))</f>
        <v>Anual</v>
      </c>
      <c r="BF7" s="14" t="str">
        <f aca="false">IF(53&lt;=Corte,"Real",IF(53&lt;=Corte+n_Ventana,"Ventana","Anual"))</f>
        <v>Anual</v>
      </c>
      <c r="BG7" s="14" t="str">
        <f aca="false">IF(54&lt;=Corte,"Real",IF(54&lt;=Corte+n_Ventana,"Ventana","Anual"))</f>
        <v>Anual</v>
      </c>
      <c r="BH7" s="14" t="str">
        <f aca="false">IF(55&lt;=Corte,"Real",IF(55&lt;=Corte+n_Ventana,"Ventana","Anual"))</f>
        <v>Anual</v>
      </c>
      <c r="BI7" s="14" t="str">
        <f aca="false">IF(56&lt;=Corte,"Real",IF(56&lt;=Corte+n_Ventana,"Ventana","Anual"))</f>
        <v>Anual</v>
      </c>
      <c r="BJ7" s="14" t="str">
        <f aca="false">IF(57&lt;=Corte,"Real",IF(57&lt;=Corte+n_Ventana,"Ventana","Anual"))</f>
        <v>Anual</v>
      </c>
      <c r="BK7" s="14" t="str">
        <f aca="false">IF(58&lt;=Corte,"Real",IF(58&lt;=Corte+n_Ventana,"Ventana","Anual"))</f>
        <v>Anual</v>
      </c>
      <c r="BL7" s="14" t="str">
        <f aca="false">IF(59&lt;=Corte,"Real",IF(59&lt;=Corte+n_Ventana,"Ventana","Anual"))</f>
        <v>Anual</v>
      </c>
      <c r="BM7" s="14" t="str">
        <f aca="false">IF(60&lt;=Corte,"Real",IF(60&lt;=Corte+n_Ventana,"Ventana","Anual"))</f>
        <v>Anual</v>
      </c>
      <c r="BN7" s="14" t="str">
        <f aca="false">IF(61&lt;=Corte,"Real",IF(61&lt;=Corte+n_Ventana,"Ventana","Anual"))</f>
        <v>Anual</v>
      </c>
      <c r="BO7" s="14" t="str">
        <f aca="false">IF(62&lt;=Corte,"Real",IF(62&lt;=Corte+n_Ventana,"Ventana","Anual"))</f>
        <v>Anual</v>
      </c>
      <c r="BP7" s="14" t="str">
        <f aca="false">IF(63&lt;=Corte,"Real",IF(63&lt;=Corte+n_Ventana,"Ventana","Anual"))</f>
        <v>Anual</v>
      </c>
      <c r="BQ7" s="14" t="str">
        <f aca="false">IF(64&lt;=Corte,"Real",IF(64&lt;=Corte+n_Ventana,"Ventana","Anual"))</f>
        <v>Anual</v>
      </c>
      <c r="BR7" s="14" t="str">
        <f aca="false">IF(65&lt;=Corte,"Real",IF(65&lt;=Corte+n_Ventana,"Ventana","Anual"))</f>
        <v>Anual</v>
      </c>
      <c r="BS7" s="14" t="str">
        <f aca="false">IF(66&lt;=Corte,"Real",IF(66&lt;=Corte+n_Ventana,"Ventana","Anual"))</f>
        <v>Anual</v>
      </c>
      <c r="BT7" s="14" t="str">
        <f aca="false">IF(67&lt;=Corte,"Real",IF(67&lt;=Corte+n_Ventana,"Ventana","Anual"))</f>
        <v>Anual</v>
      </c>
      <c r="BU7" s="14" t="str">
        <f aca="false">IF(68&lt;=Corte,"Real",IF(68&lt;=Corte+n_Ventana,"Ventana","Anual"))</f>
        <v>Anual</v>
      </c>
      <c r="BV7" s="14" t="str">
        <f aca="false">IF(69&lt;=Corte,"Real",IF(69&lt;=Corte+n_Ventana,"Ventana","Anual"))</f>
        <v>Anual</v>
      </c>
      <c r="BW7" s="14" t="str">
        <f aca="false">IF(70&lt;=Corte,"Real",IF(70&lt;=Corte+n_Ventana,"Ventana","Anual"))</f>
        <v>Anual</v>
      </c>
      <c r="BX7" s="14" t="str">
        <f aca="false">IF(71&lt;=Corte,"Real",IF(71&lt;=Corte+n_Ventana,"Ventana","Anual"))</f>
        <v>Anual</v>
      </c>
      <c r="BY7" s="14" t="str">
        <f aca="false">IF(72&lt;=Corte,"Real",IF(72&lt;=Corte+n_Ventana,"Ventana","Anual"))</f>
        <v>Anual</v>
      </c>
      <c r="BZ7" s="14" t="str">
        <f aca="false">IF(73&lt;=Corte,"Real",IF(73&lt;=Corte+n_Ventana,"Ventana","Anual"))</f>
        <v>Anual</v>
      </c>
      <c r="CA7" s="14" t="str">
        <f aca="false">IF(74&lt;=Corte,"Real",IF(74&lt;=Corte+n_Ventana,"Ventana","Anual"))</f>
        <v>Anual</v>
      </c>
      <c r="CB7" s="14" t="str">
        <f aca="false">IF(75&lt;=Corte,"Real",IF(75&lt;=Corte+n_Ventana,"Ventana","Anual"))</f>
        <v>Anual</v>
      </c>
      <c r="CC7" s="14" t="str">
        <f aca="false">IF(76&lt;=Corte,"Real",IF(76&lt;=Corte+n_Ventana,"Ventana","Anual"))</f>
        <v>Anual</v>
      </c>
      <c r="CD7" s="14" t="str">
        <f aca="false">IF(77&lt;=Corte,"Real",IF(77&lt;=Corte+n_Ventana,"Ventana","Anual"))</f>
        <v>Anual</v>
      </c>
      <c r="CE7" s="14" t="str">
        <f aca="false">IF(78&lt;=Corte,"Real",IF(78&lt;=Corte+n_Ventana,"Ventana","Anual"))</f>
        <v>Anual</v>
      </c>
      <c r="CF7" s="14" t="str">
        <f aca="false">IF(79&lt;=Corte,"Real",IF(79&lt;=Corte+n_Ventana,"Ventana","Anual"))</f>
        <v>Anual</v>
      </c>
      <c r="CG7" s="14" t="str">
        <f aca="false">IF(80&lt;=Corte,"Real",IF(80&lt;=Corte+n_Ventana,"Ventana","Anual"))</f>
        <v>Anual</v>
      </c>
      <c r="CH7" s="14" t="str">
        <f aca="false">IF(81&lt;=Corte,"Real",IF(81&lt;=Corte+n_Ventana,"Ventana","Anual"))</f>
        <v>Anual</v>
      </c>
      <c r="CI7" s="14" t="str">
        <f aca="false">IF(82&lt;=Corte,"Real",IF(82&lt;=Corte+n_Ventana,"Ventana","Anual"))</f>
        <v>Anual</v>
      </c>
      <c r="CJ7" s="14" t="str">
        <f aca="false">IF(83&lt;=Corte,"Real",IF(83&lt;=Corte+n_Ventana,"Ventana","Anual"))</f>
        <v>Anual</v>
      </c>
      <c r="CK7" s="14" t="str">
        <f aca="false">IF(84&lt;=Corte,"Real",IF(84&lt;=Corte+n_Ventana,"Ventana","Anual"))</f>
        <v>Anual</v>
      </c>
      <c r="CL7" s="14" t="str">
        <f aca="false">IF(85&lt;=Corte,"Real",IF(85&lt;=Corte+n_Ventana,"Ventana","Anual"))</f>
        <v>Anual</v>
      </c>
      <c r="CM7" s="14" t="str">
        <f aca="false">IF(86&lt;=Corte,"Real",IF(86&lt;=Corte+n_Ventana,"Ventana","Anual"))</f>
        <v>Anual</v>
      </c>
      <c r="CN7" s="14" t="str">
        <f aca="false">IF(87&lt;=Corte,"Real",IF(87&lt;=Corte+n_Ventana,"Ventana","Anual"))</f>
        <v>Anual</v>
      </c>
      <c r="CO7" s="14" t="str">
        <f aca="false">IF(88&lt;=Corte,"Real",IF(88&lt;=Corte+n_Ventana,"Ventana","Anual"))</f>
        <v>Anual</v>
      </c>
      <c r="CP7" s="14" t="str">
        <f aca="false">IF(89&lt;=Corte,"Real",IF(89&lt;=Corte+n_Ventana,"Ventana","Anual"))</f>
        <v>Anual</v>
      </c>
      <c r="CQ7" s="14" t="str">
        <f aca="false">IF(90&lt;=Corte,"Real",IF(90&lt;=Corte+n_Ventana,"Ventana","Anual"))</f>
        <v>Anual</v>
      </c>
      <c r="CR7" s="14" t="str">
        <f aca="false">IF(91&lt;=Corte,"Real",IF(91&lt;=Corte+n_Ventana,"Ventana","Anual"))</f>
        <v>Anual</v>
      </c>
      <c r="CS7" s="14" t="str">
        <f aca="false">IF(92&lt;=Corte,"Real",IF(92&lt;=Corte+n_Ventana,"Ventana","Anual"))</f>
        <v>Anual</v>
      </c>
      <c r="CT7" s="14" t="str">
        <f aca="false">IF(93&lt;=Corte,"Real",IF(93&lt;=Corte+n_Ventana,"Ventana","Anual"))</f>
        <v>Anual</v>
      </c>
      <c r="CU7" s="14" t="str">
        <f aca="false">IF(94&lt;=Corte,"Real",IF(94&lt;=Corte+n_Ventana,"Ventana","Anual"))</f>
        <v>Anual</v>
      </c>
      <c r="CV7" s="14" t="str">
        <f aca="false">IF(95&lt;=Corte,"Real",IF(95&lt;=Corte+n_Ventana,"Ventana","Anual"))</f>
        <v>Anual</v>
      </c>
      <c r="CW7" s="14" t="str">
        <f aca="false">IF(96&lt;=Corte,"Real",IF(96&lt;=Corte+n_Ventana,"Ventana","Anual"))</f>
        <v>Anual</v>
      </c>
      <c r="CX7" s="14" t="str">
        <f aca="false">IF(97&lt;=Corte,"Real",IF(97&lt;=Corte+n_Ventana,"Ventana","Anual"))</f>
        <v>Anual</v>
      </c>
      <c r="CY7" s="14" t="str">
        <f aca="false">IF(98&lt;=Corte,"Real",IF(98&lt;=Corte+n_Ventana,"Ventana","Anual"))</f>
        <v>Anual</v>
      </c>
      <c r="CZ7" s="14" t="str">
        <f aca="false">IF(99&lt;=Corte,"Real",IF(99&lt;=Corte+n_Ventana,"Ventana","Anual"))</f>
        <v>Anual</v>
      </c>
      <c r="DA7" s="14" t="str">
        <f aca="false">IF(100&lt;=Corte,"Real",IF(100&lt;=Corte+n_Ventana,"Ventana","Anual"))</f>
        <v>Anual</v>
      </c>
      <c r="DB7" s="14" t="str">
        <f aca="false">IF(101&lt;=Corte,"Real",IF(101&lt;=Corte+n_Ventana,"Ventana","Anual"))</f>
        <v>Anual</v>
      </c>
      <c r="DC7" s="14" t="str">
        <f aca="false">IF(102&lt;=Corte,"Real",IF(102&lt;=Corte+n_Ventana,"Ventana","Anual"))</f>
        <v>Anual</v>
      </c>
      <c r="DD7" s="14" t="str">
        <f aca="false">IF(103&lt;=Corte,"Real",IF(103&lt;=Corte+n_Ventana,"Ventana","Anual"))</f>
        <v>Anual</v>
      </c>
      <c r="DE7" s="14" t="str">
        <f aca="false">IF(104&lt;=Corte,"Real",IF(104&lt;=Corte+n_Ventana,"Ventana","Anual"))</f>
        <v>Anual</v>
      </c>
      <c r="DF7" s="14" t="str">
        <f aca="false">IF(105&lt;=Corte,"Real",IF(105&lt;=Corte+n_Ventana,"Ventana","Anual"))</f>
        <v>Anual</v>
      </c>
      <c r="DG7" s="14" t="str">
        <f aca="false">IF(106&lt;=Corte,"Real",IF(106&lt;=Corte+n_Ventana,"Ventana","Anual"))</f>
        <v>Anual</v>
      </c>
      <c r="DH7" s="14" t="str">
        <f aca="false">IF(107&lt;=Corte,"Real",IF(107&lt;=Corte+n_Ventana,"Ventana","Anual"))</f>
        <v>Anual</v>
      </c>
      <c r="DI7" s="14" t="str">
        <f aca="false">IF(108&lt;=Corte,"Real",IF(108&lt;=Corte+n_Ventana,"Ventana","Anual"))</f>
        <v>Anual</v>
      </c>
      <c r="DJ7" s="14" t="str">
        <f aca="false">IF(109&lt;=Corte,"Real",IF(109&lt;=Corte+n_Ventana,"Ventana","Anual"))</f>
        <v>Anual</v>
      </c>
      <c r="DK7" s="14" t="str">
        <f aca="false">IF(110&lt;=Corte,"Real",IF(110&lt;=Corte+n_Ventana,"Ventana","Anual"))</f>
        <v>Anual</v>
      </c>
      <c r="DL7" s="14" t="str">
        <f aca="false">IF(111&lt;=Corte,"Real",IF(111&lt;=Corte+n_Ventana,"Ventana","Anual"))</f>
        <v>Anual</v>
      </c>
      <c r="DM7" s="14" t="str">
        <f aca="false">IF(112&lt;=Corte,"Real",IF(112&lt;=Corte+n_Ventana,"Ventana","Anual"))</f>
        <v>Anual</v>
      </c>
      <c r="DN7" s="14" t="str">
        <f aca="false">IF(113&lt;=Corte,"Real",IF(113&lt;=Corte+n_Ventana,"Ventana","Anual"))</f>
        <v>Anual</v>
      </c>
      <c r="DO7" s="14" t="str">
        <f aca="false">IF(114&lt;=Corte,"Real",IF(114&lt;=Corte+n_Ventana,"Ventana","Anual"))</f>
        <v>Anual</v>
      </c>
      <c r="DP7" s="14" t="str">
        <f aca="false">IF(115&lt;=Corte,"Real",IF(115&lt;=Corte+n_Ventana,"Ventana","Anual"))</f>
        <v>Anual</v>
      </c>
      <c r="DQ7" s="14" t="str">
        <f aca="false">IF(116&lt;=Corte,"Real",IF(116&lt;=Corte+n_Ventana,"Ventana","Anual"))</f>
        <v>Anual</v>
      </c>
      <c r="DR7" s="14" t="str">
        <f aca="false">IF(117&lt;=Corte,"Real",IF(117&lt;=Corte+n_Ventana,"Ventana","Anual"))</f>
        <v>Anual</v>
      </c>
      <c r="DS7" s="14" t="str">
        <f aca="false">IF(118&lt;=Corte,"Real",IF(118&lt;=Corte+n_Ventana,"Ventana","Anual"))</f>
        <v>Anual</v>
      </c>
      <c r="DT7" s="14" t="str">
        <f aca="false">IF(119&lt;=Corte,"Real",IF(119&lt;=Corte+n_Ventana,"Ventana","Anual"))</f>
        <v>Anual</v>
      </c>
      <c r="DU7" s="14" t="str">
        <f aca="false">IF(120&lt;=Corte,"Real",IF(120&lt;=Corte+n_Ventana,"Ventana","Anual"))</f>
        <v>Anual</v>
      </c>
      <c r="DV7" s="14" t="str">
        <f aca="false">IF(121&lt;=Corte,"Real",IF(121&lt;=Corte+n_Ventana,"Ventana","Anual"))</f>
        <v>Anual</v>
      </c>
      <c r="DW7" s="14" t="str">
        <f aca="false">IF(122&lt;=Corte,"Real",IF(122&lt;=Corte+n_Ventana,"Ventana","Anual"))</f>
        <v>Anual</v>
      </c>
      <c r="DX7" s="14" t="str">
        <f aca="false">IF(123&lt;=Corte,"Real",IF(123&lt;=Corte+n_Ventana,"Ventana","Anual"))</f>
        <v>Anual</v>
      </c>
      <c r="DY7" s="14" t="str">
        <f aca="false">IF(124&lt;=Corte,"Real",IF(124&lt;=Corte+n_Ventana,"Ventana","Anual"))</f>
        <v>Anual</v>
      </c>
      <c r="DZ7" s="14" t="str">
        <f aca="false">IF(125&lt;=Corte,"Real",IF(125&lt;=Corte+n_Ventana,"Ventana","Anual"))</f>
        <v>Anual</v>
      </c>
      <c r="EA7" s="14" t="str">
        <f aca="false">IF(126&lt;=Corte,"Real",IF(126&lt;=Corte+n_Ventana,"Ventana","Anual"))</f>
        <v>Anual</v>
      </c>
      <c r="EB7" s="14" t="str">
        <f aca="false">IF(127&lt;=Corte,"Real",IF(127&lt;=Corte+n_Ventana,"Ventana","Anual"))</f>
        <v>Anual</v>
      </c>
      <c r="EC7" s="14" t="str">
        <f aca="false">IF(128&lt;=Corte,"Real",IF(128&lt;=Corte+n_Ventana,"Ventana","Anual"))</f>
        <v>Anual</v>
      </c>
      <c r="ED7" s="14" t="str">
        <f aca="false">IF(129&lt;=Corte,"Real",IF(129&lt;=Corte+n_Ventana,"Ventana","Anual"))</f>
        <v>Anual</v>
      </c>
      <c r="EE7" s="14" t="str">
        <f aca="false">IF(130&lt;=Corte,"Real",IF(130&lt;=Corte+n_Ventana,"Ventana","Anual"))</f>
        <v>Anual</v>
      </c>
      <c r="EF7" s="14" t="str">
        <f aca="false">IF(131&lt;=Corte,"Real",IF(131&lt;=Corte+n_Ventana,"Ventana","Anual"))</f>
        <v>Anual</v>
      </c>
      <c r="EG7" s="14" t="str">
        <f aca="false">IF(132&lt;=Corte,"Real",IF(132&lt;=Corte+n_Ventana,"Ventana","Anual"))</f>
        <v>Anual</v>
      </c>
      <c r="EH7" s="14" t="str">
        <f aca="false">IF(133&lt;=Corte,"Real",IF(133&lt;=Corte+n_Ventana,"Ventana","Anual"))</f>
        <v>Anual</v>
      </c>
      <c r="EI7" s="14" t="str">
        <f aca="false">IF(134&lt;=Corte,"Real",IF(134&lt;=Corte+n_Ventana,"Ventana","Anual"))</f>
        <v>Anual</v>
      </c>
      <c r="EJ7" s="14" t="str">
        <f aca="false">IF(135&lt;=Corte,"Real",IF(135&lt;=Corte+n_Ventana,"Ventana","Anual"))</f>
        <v>Anual</v>
      </c>
      <c r="EK7" s="14" t="str">
        <f aca="false">IF(136&lt;=Corte,"Real",IF(136&lt;=Corte+n_Ventana,"Ventana","Anual"))</f>
        <v>Anual</v>
      </c>
      <c r="EL7" s="14" t="str">
        <f aca="false">IF(137&lt;=Corte,"Real",IF(137&lt;=Corte+n_Ventana,"Ventana","Anual"))</f>
        <v>Anual</v>
      </c>
      <c r="EM7" s="14" t="str">
        <f aca="false">IF(138&lt;=Corte,"Real",IF(138&lt;=Corte+n_Ventana,"Ventana","Anual"))</f>
        <v>Anual</v>
      </c>
      <c r="EN7" s="14" t="str">
        <f aca="false">IF(139&lt;=Corte,"Real",IF(139&lt;=Corte+n_Ventana,"Ventana","Anual"))</f>
        <v>Anual</v>
      </c>
      <c r="EO7" s="14" t="str">
        <f aca="false">IF(140&lt;=Corte,"Real",IF(140&lt;=Corte+n_Ventana,"Ventana","Anual"))</f>
        <v>Anual</v>
      </c>
      <c r="EP7" s="14" t="str">
        <f aca="false">IF(141&lt;=Corte,"Real",IF(141&lt;=Corte+n_Ventana,"Ventana","Anual"))</f>
        <v>Anual</v>
      </c>
      <c r="EQ7" s="14" t="str">
        <f aca="false">IF(142&lt;=Corte,"Real",IF(142&lt;=Corte+n_Ventana,"Ventana","Anual"))</f>
        <v>Anual</v>
      </c>
      <c r="ER7" s="14" t="str">
        <f aca="false">IF(143&lt;=Corte,"Real",IF(143&lt;=Corte+n_Ventana,"Ventana","Anual"))</f>
        <v>Anual</v>
      </c>
      <c r="ES7" s="14" t="str">
        <f aca="false">IF(144&lt;=Corte,"Real",IF(144&lt;=Corte+n_Ventana,"Ventana","Anual"))</f>
        <v>Anual</v>
      </c>
    </row>
    <row r="9" customFormat="false" ht="15" hidden="false" customHeight="false" outlineLevel="0" collapsed="false">
      <c r="A9" s="12" t="s">
        <v>718</v>
      </c>
      <c r="B9" s="13"/>
      <c r="C9" s="13"/>
      <c r="D9" s="13"/>
      <c r="E9" s="13"/>
    </row>
    <row r="10" customFormat="false" ht="15" hidden="false" customHeight="false" outlineLevel="0" collapsed="false">
      <c r="A10" s="11" t="s">
        <v>464</v>
      </c>
      <c r="B10" s="15" t="s">
        <v>719</v>
      </c>
      <c r="C10" s="15" t="s">
        <v>466</v>
      </c>
      <c r="D10" s="61" t="n">
        <f aca="false">INDEX(TC_V,1,1)</f>
        <v>7300</v>
      </c>
    </row>
    <row r="13" customFormat="false" ht="15" hidden="false" customHeight="false" outlineLevel="0" collapsed="false">
      <c r="A13" s="12" t="s">
        <v>720</v>
      </c>
      <c r="B13" s="13"/>
      <c r="C13" s="13"/>
      <c r="D13" s="13"/>
      <c r="E13" s="13"/>
    </row>
    <row r="14" customFormat="false" ht="15" hidden="false" customHeight="false" outlineLevel="0" collapsed="false">
      <c r="A14" s="11" t="s">
        <v>721</v>
      </c>
      <c r="B14" s="53" t="str">
        <f aca="false">IF(INDEX(Prod_Nombre,1)="","Producto 1",INDEX(Prod_Nombre,1))</f>
        <v>Gabinetes metálicos 153 kg</v>
      </c>
      <c r="C14" s="15" t="s">
        <v>544</v>
      </c>
      <c r="D14" s="61" t="n">
        <f aca="false">INDEX(Vol_V,1,1)/12</f>
        <v>1000</v>
      </c>
    </row>
    <row r="15" customFormat="false" ht="15" hidden="false" customHeight="false" outlineLevel="0" collapsed="false">
      <c r="A15" s="11" t="s">
        <v>722</v>
      </c>
      <c r="B15" s="53" t="str">
        <f aca="false">IF(INDEX(Prod_Nombre,2)="","Producto 2",INDEX(Prod_Nombre,2))</f>
        <v>Cajas metálicas 13 kg</v>
      </c>
      <c r="C15" s="15" t="s">
        <v>544</v>
      </c>
      <c r="D15" s="61" t="n">
        <f aca="false">INDEX(Vol_V,2,1)/12</f>
        <v>5833.33333333333</v>
      </c>
    </row>
    <row r="16" customFormat="false" ht="15" hidden="false" customHeight="false" outlineLevel="0" collapsed="false">
      <c r="A16" s="11" t="s">
        <v>723</v>
      </c>
      <c r="B16" s="53" t="str">
        <f aca="false">IF(INDEX(Prod_Nombre,3)="","Producto 3",INDEX(Prod_Nombre,3))</f>
        <v>Producto 3</v>
      </c>
      <c r="C16" s="15" t="s">
        <v>544</v>
      </c>
      <c r="D16" s="61" t="n">
        <f aca="false">INDEX(Vol_V,3,1)/12</f>
        <v>0</v>
      </c>
    </row>
    <row r="17" customFormat="false" ht="15" hidden="false" customHeight="false" outlineLevel="0" collapsed="false">
      <c r="A17" s="11" t="s">
        <v>724</v>
      </c>
      <c r="B17" s="53" t="str">
        <f aca="false">IF(INDEX(Prod_Nombre,4)="","Producto 4",INDEX(Prod_Nombre,4))</f>
        <v>Producto 4</v>
      </c>
      <c r="C17" s="15" t="s">
        <v>544</v>
      </c>
      <c r="D17" s="61" t="n">
        <f aca="false">INDEX(Vol_V,4,1)/12</f>
        <v>0</v>
      </c>
    </row>
    <row r="18" customFormat="false" ht="15" hidden="false" customHeight="false" outlineLevel="0" collapsed="false">
      <c r="A18" s="11" t="s">
        <v>725</v>
      </c>
      <c r="B18" s="53" t="str">
        <f aca="false">IF(INDEX(Prod_Nombre,5)="","Producto 5",INDEX(Prod_Nombre,5))</f>
        <v>Producto 5</v>
      </c>
      <c r="C18" s="15" t="s">
        <v>544</v>
      </c>
      <c r="D18" s="61" t="n">
        <f aca="false">INDEX(Vol_V,5,1)/12</f>
        <v>0</v>
      </c>
    </row>
    <row r="19" customFormat="false" ht="15" hidden="false" customHeight="false" outlineLevel="0" collapsed="false">
      <c r="A19" s="11" t="s">
        <v>726</v>
      </c>
      <c r="B19" s="53" t="str">
        <f aca="false">IF(INDEX(Prod_Nombre,6)="","Producto 6",INDEX(Prod_Nombre,6))</f>
        <v>Producto 6</v>
      </c>
      <c r="C19" s="15" t="s">
        <v>544</v>
      </c>
      <c r="D19" s="61" t="n">
        <f aca="false">INDEX(Vol_V,6,1)/12</f>
        <v>0</v>
      </c>
    </row>
    <row r="20" customFormat="false" ht="15" hidden="false" customHeight="false" outlineLevel="0" collapsed="false">
      <c r="A20" s="11" t="s">
        <v>727</v>
      </c>
      <c r="B20" s="53" t="str">
        <f aca="false">IF(INDEX(Prod_Nombre,7)="","Producto 7",INDEX(Prod_Nombre,7))</f>
        <v>Producto 7</v>
      </c>
      <c r="C20" s="15" t="s">
        <v>544</v>
      </c>
      <c r="D20" s="61" t="n">
        <f aca="false">INDEX(Vol_V,7,1)/12</f>
        <v>0</v>
      </c>
    </row>
    <row r="21" customFormat="false" ht="15" hidden="false" customHeight="false" outlineLevel="0" collapsed="false">
      <c r="A21" s="11" t="s">
        <v>728</v>
      </c>
      <c r="B21" s="53" t="str">
        <f aca="false">IF(INDEX(Prod_Nombre,8)="","Producto 8",INDEX(Prod_Nombre,8))</f>
        <v>Producto 8</v>
      </c>
      <c r="C21" s="15" t="s">
        <v>544</v>
      </c>
      <c r="D21" s="61" t="n">
        <f aca="false">INDEX(Vol_V,8,1)/12</f>
        <v>0</v>
      </c>
    </row>
    <row r="22" customFormat="false" ht="15" hidden="false" customHeight="false" outlineLevel="0" collapsed="false">
      <c r="A22" s="11" t="s">
        <v>729</v>
      </c>
      <c r="B22" s="53" t="str">
        <f aca="false">IF(INDEX(Prod_Nombre,9)="","Producto 9",INDEX(Prod_Nombre,9))</f>
        <v>Producto 9</v>
      </c>
      <c r="C22" s="15" t="s">
        <v>544</v>
      </c>
      <c r="D22" s="61" t="n">
        <f aca="false">INDEX(Vol_V,9,1)/12</f>
        <v>0</v>
      </c>
    </row>
    <row r="23" customFormat="false" ht="15" hidden="false" customHeight="false" outlineLevel="0" collapsed="false">
      <c r="A23" s="11" t="s">
        <v>730</v>
      </c>
      <c r="B23" s="53" t="str">
        <f aca="false">IF(INDEX(Prod_Nombre,10)="","Producto 10",INDEX(Prod_Nombre,10))</f>
        <v>Producto 10</v>
      </c>
      <c r="C23" s="15" t="s">
        <v>544</v>
      </c>
      <c r="D23" s="61" t="n">
        <f aca="false">INDEX(Vol_V,10,1)/12</f>
        <v>0</v>
      </c>
    </row>
    <row r="24" customFormat="false" ht="15" hidden="false" customHeight="false" outlineLevel="0" collapsed="false">
      <c r="A24" s="11" t="s">
        <v>731</v>
      </c>
      <c r="B24" s="53" t="str">
        <f aca="false">IF(INDEX(Prod_Nombre,11)="","Producto 11",INDEX(Prod_Nombre,11))</f>
        <v>Producto 11</v>
      </c>
      <c r="C24" s="15" t="s">
        <v>544</v>
      </c>
      <c r="D24" s="61" t="n">
        <f aca="false">INDEX(Vol_V,11,1)/12</f>
        <v>0</v>
      </c>
    </row>
    <row r="25" customFormat="false" ht="15" hidden="false" customHeight="false" outlineLevel="0" collapsed="false">
      <c r="A25" s="11" t="s">
        <v>732</v>
      </c>
      <c r="B25" s="53" t="str">
        <f aca="false">IF(INDEX(Prod_Nombre,12)="","Producto 12",INDEX(Prod_Nombre,12))</f>
        <v>Producto 12</v>
      </c>
      <c r="C25" s="15" t="s">
        <v>544</v>
      </c>
      <c r="D25" s="61" t="n">
        <f aca="false">INDEX(Vol_V,12,1)/12</f>
        <v>0</v>
      </c>
    </row>
    <row r="26" customFormat="false" ht="15" hidden="false" customHeight="false" outlineLevel="0" collapsed="false">
      <c r="A26" s="11" t="s">
        <v>733</v>
      </c>
      <c r="B26" s="53" t="str">
        <f aca="false">IF(INDEX(Prod_Nombre,13)="","Producto 13",INDEX(Prod_Nombre,13))</f>
        <v>Producto 13</v>
      </c>
      <c r="C26" s="15" t="s">
        <v>544</v>
      </c>
      <c r="D26" s="61" t="n">
        <f aca="false">INDEX(Vol_V,13,1)/12</f>
        <v>0</v>
      </c>
    </row>
    <row r="27" customFormat="false" ht="15" hidden="false" customHeight="false" outlineLevel="0" collapsed="false">
      <c r="A27" s="11" t="s">
        <v>734</v>
      </c>
      <c r="B27" s="53" t="str">
        <f aca="false">IF(INDEX(Prod_Nombre,14)="","Producto 14",INDEX(Prod_Nombre,14))</f>
        <v>Producto 14</v>
      </c>
      <c r="C27" s="15" t="s">
        <v>544</v>
      </c>
      <c r="D27" s="61" t="n">
        <f aca="false">INDEX(Vol_V,14,1)/12</f>
        <v>0</v>
      </c>
    </row>
    <row r="28" customFormat="false" ht="15" hidden="false" customHeight="false" outlineLevel="0" collapsed="false">
      <c r="A28" s="11" t="s">
        <v>735</v>
      </c>
      <c r="B28" s="53" t="str">
        <f aca="false">IF(INDEX(Prod_Nombre,15)="","Producto 15",INDEX(Prod_Nombre,15))</f>
        <v>Producto 15</v>
      </c>
      <c r="C28" s="15" t="s">
        <v>544</v>
      </c>
      <c r="D28" s="61" t="n">
        <f aca="false">INDEX(Vol_V,15,1)/12</f>
        <v>0</v>
      </c>
    </row>
    <row r="29" customFormat="false" ht="15" hidden="false" customHeight="false" outlineLevel="0" collapsed="false">
      <c r="A29" s="11" t="s">
        <v>736</v>
      </c>
      <c r="B29" s="53" t="str">
        <f aca="false">IF(INDEX(Prod_Nombre,16)="","Producto 16",INDEX(Prod_Nombre,16))</f>
        <v>Producto 16</v>
      </c>
      <c r="C29" s="15" t="s">
        <v>544</v>
      </c>
      <c r="D29" s="61" t="n">
        <f aca="false">INDEX(Vol_V,16,1)/12</f>
        <v>0</v>
      </c>
    </row>
    <row r="30" customFormat="false" ht="15" hidden="false" customHeight="false" outlineLevel="0" collapsed="false">
      <c r="A30" s="11" t="s">
        <v>737</v>
      </c>
      <c r="B30" s="53" t="str">
        <f aca="false">IF(INDEX(Prod_Nombre,17)="","Producto 17",INDEX(Prod_Nombre,17))</f>
        <v>Producto 17</v>
      </c>
      <c r="C30" s="15" t="s">
        <v>544</v>
      </c>
      <c r="D30" s="61" t="n">
        <f aca="false">INDEX(Vol_V,17,1)/12</f>
        <v>0</v>
      </c>
    </row>
    <row r="31" customFormat="false" ht="15" hidden="false" customHeight="false" outlineLevel="0" collapsed="false">
      <c r="A31" s="11" t="s">
        <v>738</v>
      </c>
      <c r="B31" s="53" t="str">
        <f aca="false">IF(INDEX(Prod_Nombre,18)="","Producto 18",INDEX(Prod_Nombre,18))</f>
        <v>Producto 18</v>
      </c>
      <c r="C31" s="15" t="s">
        <v>544</v>
      </c>
      <c r="D31" s="61" t="n">
        <f aca="false">INDEX(Vol_V,18,1)/12</f>
        <v>0</v>
      </c>
    </row>
    <row r="32" customFormat="false" ht="15" hidden="false" customHeight="false" outlineLevel="0" collapsed="false">
      <c r="A32" s="11" t="s">
        <v>739</v>
      </c>
      <c r="B32" s="53" t="str">
        <f aca="false">IF(INDEX(Prod_Nombre,19)="","Producto 19",INDEX(Prod_Nombre,19))</f>
        <v>Producto 19</v>
      </c>
      <c r="C32" s="15" t="s">
        <v>544</v>
      </c>
      <c r="D32" s="61" t="n">
        <f aca="false">INDEX(Vol_V,19,1)/12</f>
        <v>0</v>
      </c>
    </row>
    <row r="33" customFormat="false" ht="15" hidden="false" customHeight="false" outlineLevel="0" collapsed="false">
      <c r="A33" s="11" t="s">
        <v>740</v>
      </c>
      <c r="B33" s="53" t="str">
        <f aca="false">IF(INDEX(Prod_Nombre,20)="","Producto 20",INDEX(Prod_Nombre,20))</f>
        <v>Producto 20</v>
      </c>
      <c r="C33" s="15" t="s">
        <v>544</v>
      </c>
      <c r="D33" s="61" t="n">
        <f aca="false">INDEX(Vol_V,20,1)/12</f>
        <v>0</v>
      </c>
    </row>
    <row r="34" customFormat="false" ht="15" hidden="false" customHeight="false" outlineLevel="0" collapsed="false">
      <c r="A34" s="11" t="s">
        <v>741</v>
      </c>
      <c r="B34" s="53" t="str">
        <f aca="false">IF(INDEX(Prod_Nombre,21)="","Producto 21",INDEX(Prod_Nombre,21))</f>
        <v>Producto 21</v>
      </c>
      <c r="C34" s="15" t="s">
        <v>544</v>
      </c>
      <c r="D34" s="61" t="n">
        <f aca="false">INDEX(Vol_V,21,1)/12</f>
        <v>0</v>
      </c>
    </row>
    <row r="35" customFormat="false" ht="15" hidden="false" customHeight="false" outlineLevel="0" collapsed="false">
      <c r="A35" s="11" t="s">
        <v>742</v>
      </c>
      <c r="B35" s="53" t="str">
        <f aca="false">IF(INDEX(Prod_Nombre,22)="","Producto 22",INDEX(Prod_Nombre,22))</f>
        <v>Producto 22</v>
      </c>
      <c r="C35" s="15" t="s">
        <v>544</v>
      </c>
      <c r="D35" s="61" t="n">
        <f aca="false">INDEX(Vol_V,22,1)/12</f>
        <v>0</v>
      </c>
    </row>
    <row r="36" customFormat="false" ht="15" hidden="false" customHeight="false" outlineLevel="0" collapsed="false">
      <c r="A36" s="11" t="s">
        <v>743</v>
      </c>
      <c r="B36" s="53" t="str">
        <f aca="false">IF(INDEX(Prod_Nombre,23)="","Producto 23",INDEX(Prod_Nombre,23))</f>
        <v>Producto 23</v>
      </c>
      <c r="C36" s="15" t="s">
        <v>544</v>
      </c>
      <c r="D36" s="61" t="n">
        <f aca="false">INDEX(Vol_V,23,1)/12</f>
        <v>0</v>
      </c>
    </row>
    <row r="37" customFormat="false" ht="15" hidden="false" customHeight="false" outlineLevel="0" collapsed="false">
      <c r="A37" s="11" t="s">
        <v>744</v>
      </c>
      <c r="B37" s="53" t="str">
        <f aca="false">IF(INDEX(Prod_Nombre,24)="","Producto 24",INDEX(Prod_Nombre,24))</f>
        <v>Producto 24</v>
      </c>
      <c r="C37" s="15" t="s">
        <v>544</v>
      </c>
      <c r="D37" s="61" t="n">
        <f aca="false">INDEX(Vol_V,24,1)/12</f>
        <v>0</v>
      </c>
    </row>
    <row r="38" customFormat="false" ht="15" hidden="false" customHeight="false" outlineLevel="0" collapsed="false">
      <c r="A38" s="11" t="s">
        <v>745</v>
      </c>
      <c r="B38" s="53" t="str">
        <f aca="false">IF(INDEX(Prod_Nombre,25)="","Producto 25",INDEX(Prod_Nombre,25))</f>
        <v>Producto 25</v>
      </c>
      <c r="C38" s="15" t="s">
        <v>544</v>
      </c>
      <c r="D38" s="61" t="n">
        <f aca="false">INDEX(Vol_V,25,1)/12</f>
        <v>0</v>
      </c>
    </row>
    <row r="41" customFormat="false" ht="15" hidden="false" customHeight="false" outlineLevel="0" collapsed="false">
      <c r="A41" s="12" t="s">
        <v>746</v>
      </c>
      <c r="B41" s="13"/>
      <c r="C41" s="13"/>
      <c r="D41" s="13"/>
      <c r="E41" s="13"/>
    </row>
    <row r="42" customFormat="false" ht="15" hidden="false" customHeight="false" outlineLevel="0" collapsed="false">
      <c r="A42" s="11" t="s">
        <v>747</v>
      </c>
      <c r="B42" s="53" t="str">
        <f aca="false">IF(INDEX(Prod_Nombre,1)="","Producto 1",INDEX(Prod_Nombre,1))</f>
        <v>Gabinetes metálicos 153 kg</v>
      </c>
      <c r="C42" s="15" t="s">
        <v>748</v>
      </c>
      <c r="D42" s="61" t="n">
        <f aca="false">INDEX(Precio_V,1)</f>
        <v>270</v>
      </c>
    </row>
    <row r="43" customFormat="false" ht="15" hidden="false" customHeight="false" outlineLevel="0" collapsed="false">
      <c r="A43" s="11" t="s">
        <v>749</v>
      </c>
      <c r="B43" s="53" t="str">
        <f aca="false">IF(INDEX(Prod_Nombre,2)="","Producto 2",INDEX(Prod_Nombre,2))</f>
        <v>Cajas metálicas 13 kg</v>
      </c>
      <c r="C43" s="15" t="s">
        <v>748</v>
      </c>
      <c r="D43" s="61" t="n">
        <f aca="false">INDEX(Precio_V,2)</f>
        <v>23</v>
      </c>
    </row>
    <row r="44" customFormat="false" ht="15" hidden="false" customHeight="false" outlineLevel="0" collapsed="false">
      <c r="A44" s="11" t="s">
        <v>750</v>
      </c>
      <c r="B44" s="53" t="str">
        <f aca="false">IF(INDEX(Prod_Nombre,3)="","Producto 3",INDEX(Prod_Nombre,3))</f>
        <v>Producto 3</v>
      </c>
      <c r="C44" s="15" t="s">
        <v>748</v>
      </c>
      <c r="D44" s="61" t="n">
        <f aca="false">INDEX(Precio_V,3)</f>
        <v>0</v>
      </c>
    </row>
    <row r="45" customFormat="false" ht="15" hidden="false" customHeight="false" outlineLevel="0" collapsed="false">
      <c r="A45" s="11" t="s">
        <v>751</v>
      </c>
      <c r="B45" s="53" t="str">
        <f aca="false">IF(INDEX(Prod_Nombre,4)="","Producto 4",INDEX(Prod_Nombre,4))</f>
        <v>Producto 4</v>
      </c>
      <c r="C45" s="15" t="s">
        <v>748</v>
      </c>
      <c r="D45" s="61" t="n">
        <f aca="false">INDEX(Precio_V,4)</f>
        <v>0</v>
      </c>
    </row>
    <row r="46" customFormat="false" ht="15" hidden="false" customHeight="false" outlineLevel="0" collapsed="false">
      <c r="A46" s="11" t="s">
        <v>752</v>
      </c>
      <c r="B46" s="53" t="str">
        <f aca="false">IF(INDEX(Prod_Nombre,5)="","Producto 5",INDEX(Prod_Nombre,5))</f>
        <v>Producto 5</v>
      </c>
      <c r="C46" s="15" t="s">
        <v>748</v>
      </c>
      <c r="D46" s="61" t="n">
        <f aca="false">INDEX(Precio_V,5)</f>
        <v>0</v>
      </c>
    </row>
    <row r="47" customFormat="false" ht="15" hidden="false" customHeight="false" outlineLevel="0" collapsed="false">
      <c r="A47" s="11" t="s">
        <v>753</v>
      </c>
      <c r="B47" s="53" t="str">
        <f aca="false">IF(INDEX(Prod_Nombre,6)="","Producto 6",INDEX(Prod_Nombre,6))</f>
        <v>Producto 6</v>
      </c>
      <c r="C47" s="15" t="s">
        <v>748</v>
      </c>
      <c r="D47" s="61" t="n">
        <f aca="false">INDEX(Precio_V,6)</f>
        <v>0</v>
      </c>
    </row>
    <row r="48" customFormat="false" ht="15" hidden="false" customHeight="false" outlineLevel="0" collapsed="false">
      <c r="A48" s="11" t="s">
        <v>754</v>
      </c>
      <c r="B48" s="53" t="str">
        <f aca="false">IF(INDEX(Prod_Nombre,7)="","Producto 7",INDEX(Prod_Nombre,7))</f>
        <v>Producto 7</v>
      </c>
      <c r="C48" s="15" t="s">
        <v>748</v>
      </c>
      <c r="D48" s="61" t="n">
        <f aca="false">INDEX(Precio_V,7)</f>
        <v>0</v>
      </c>
    </row>
    <row r="49" customFormat="false" ht="15" hidden="false" customHeight="false" outlineLevel="0" collapsed="false">
      <c r="A49" s="11" t="s">
        <v>755</v>
      </c>
      <c r="B49" s="53" t="str">
        <f aca="false">IF(INDEX(Prod_Nombre,8)="","Producto 8",INDEX(Prod_Nombre,8))</f>
        <v>Producto 8</v>
      </c>
      <c r="C49" s="15" t="s">
        <v>748</v>
      </c>
      <c r="D49" s="61" t="n">
        <f aca="false">INDEX(Precio_V,8)</f>
        <v>0</v>
      </c>
    </row>
    <row r="50" customFormat="false" ht="15" hidden="false" customHeight="false" outlineLevel="0" collapsed="false">
      <c r="A50" s="11" t="s">
        <v>756</v>
      </c>
      <c r="B50" s="53" t="str">
        <f aca="false">IF(INDEX(Prod_Nombre,9)="","Producto 9",INDEX(Prod_Nombre,9))</f>
        <v>Producto 9</v>
      </c>
      <c r="C50" s="15" t="s">
        <v>748</v>
      </c>
      <c r="D50" s="61" t="n">
        <f aca="false">INDEX(Precio_V,9)</f>
        <v>0</v>
      </c>
    </row>
    <row r="51" customFormat="false" ht="15" hidden="false" customHeight="false" outlineLevel="0" collapsed="false">
      <c r="A51" s="11" t="s">
        <v>757</v>
      </c>
      <c r="B51" s="53" t="str">
        <f aca="false">IF(INDEX(Prod_Nombre,10)="","Producto 10",INDEX(Prod_Nombre,10))</f>
        <v>Producto 10</v>
      </c>
      <c r="C51" s="15" t="s">
        <v>748</v>
      </c>
      <c r="D51" s="61" t="n">
        <f aca="false">INDEX(Precio_V,10)</f>
        <v>0</v>
      </c>
    </row>
    <row r="52" customFormat="false" ht="15" hidden="false" customHeight="false" outlineLevel="0" collapsed="false">
      <c r="A52" s="11" t="s">
        <v>758</v>
      </c>
      <c r="B52" s="53" t="str">
        <f aca="false">IF(INDEX(Prod_Nombre,11)="","Producto 11",INDEX(Prod_Nombre,11))</f>
        <v>Producto 11</v>
      </c>
      <c r="C52" s="15" t="s">
        <v>748</v>
      </c>
      <c r="D52" s="61" t="n">
        <f aca="false">INDEX(Precio_V,11)</f>
        <v>0</v>
      </c>
    </row>
    <row r="53" customFormat="false" ht="15" hidden="false" customHeight="false" outlineLevel="0" collapsed="false">
      <c r="A53" s="11" t="s">
        <v>759</v>
      </c>
      <c r="B53" s="53" t="str">
        <f aca="false">IF(INDEX(Prod_Nombre,12)="","Producto 12",INDEX(Prod_Nombre,12))</f>
        <v>Producto 12</v>
      </c>
      <c r="C53" s="15" t="s">
        <v>748</v>
      </c>
      <c r="D53" s="61" t="n">
        <f aca="false">INDEX(Precio_V,12)</f>
        <v>0</v>
      </c>
    </row>
    <row r="54" customFormat="false" ht="15" hidden="false" customHeight="false" outlineLevel="0" collapsed="false">
      <c r="A54" s="11" t="s">
        <v>760</v>
      </c>
      <c r="B54" s="53" t="str">
        <f aca="false">IF(INDEX(Prod_Nombre,13)="","Producto 13",INDEX(Prod_Nombre,13))</f>
        <v>Producto 13</v>
      </c>
      <c r="C54" s="15" t="s">
        <v>748</v>
      </c>
      <c r="D54" s="61" t="n">
        <f aca="false">INDEX(Precio_V,13)</f>
        <v>0</v>
      </c>
    </row>
    <row r="55" customFormat="false" ht="15" hidden="false" customHeight="false" outlineLevel="0" collapsed="false">
      <c r="A55" s="11" t="s">
        <v>761</v>
      </c>
      <c r="B55" s="53" t="str">
        <f aca="false">IF(INDEX(Prod_Nombre,14)="","Producto 14",INDEX(Prod_Nombre,14))</f>
        <v>Producto 14</v>
      </c>
      <c r="C55" s="15" t="s">
        <v>748</v>
      </c>
      <c r="D55" s="61" t="n">
        <f aca="false">INDEX(Precio_V,14)</f>
        <v>0</v>
      </c>
    </row>
    <row r="56" customFormat="false" ht="15" hidden="false" customHeight="false" outlineLevel="0" collapsed="false">
      <c r="A56" s="11" t="s">
        <v>762</v>
      </c>
      <c r="B56" s="53" t="str">
        <f aca="false">IF(INDEX(Prod_Nombre,15)="","Producto 15",INDEX(Prod_Nombre,15))</f>
        <v>Producto 15</v>
      </c>
      <c r="C56" s="15" t="s">
        <v>748</v>
      </c>
      <c r="D56" s="61" t="n">
        <f aca="false">INDEX(Precio_V,15)</f>
        <v>0</v>
      </c>
    </row>
    <row r="57" customFormat="false" ht="15" hidden="false" customHeight="false" outlineLevel="0" collapsed="false">
      <c r="A57" s="11" t="s">
        <v>763</v>
      </c>
      <c r="B57" s="53" t="str">
        <f aca="false">IF(INDEX(Prod_Nombre,16)="","Producto 16",INDEX(Prod_Nombre,16))</f>
        <v>Producto 16</v>
      </c>
      <c r="C57" s="15" t="s">
        <v>748</v>
      </c>
      <c r="D57" s="61" t="n">
        <f aca="false">INDEX(Precio_V,16)</f>
        <v>0</v>
      </c>
    </row>
    <row r="58" customFormat="false" ht="15" hidden="false" customHeight="false" outlineLevel="0" collapsed="false">
      <c r="A58" s="11" t="s">
        <v>764</v>
      </c>
      <c r="B58" s="53" t="str">
        <f aca="false">IF(INDEX(Prod_Nombre,17)="","Producto 17",INDEX(Prod_Nombre,17))</f>
        <v>Producto 17</v>
      </c>
      <c r="C58" s="15" t="s">
        <v>748</v>
      </c>
      <c r="D58" s="61" t="n">
        <f aca="false">INDEX(Precio_V,17)</f>
        <v>0</v>
      </c>
    </row>
    <row r="59" customFormat="false" ht="15" hidden="false" customHeight="false" outlineLevel="0" collapsed="false">
      <c r="A59" s="11" t="s">
        <v>765</v>
      </c>
      <c r="B59" s="53" t="str">
        <f aca="false">IF(INDEX(Prod_Nombre,18)="","Producto 18",INDEX(Prod_Nombre,18))</f>
        <v>Producto 18</v>
      </c>
      <c r="C59" s="15" t="s">
        <v>748</v>
      </c>
      <c r="D59" s="61" t="n">
        <f aca="false">INDEX(Precio_V,18)</f>
        <v>0</v>
      </c>
    </row>
    <row r="60" customFormat="false" ht="15" hidden="false" customHeight="false" outlineLevel="0" collapsed="false">
      <c r="A60" s="11" t="s">
        <v>766</v>
      </c>
      <c r="B60" s="53" t="str">
        <f aca="false">IF(INDEX(Prod_Nombre,19)="","Producto 19",INDEX(Prod_Nombre,19))</f>
        <v>Producto 19</v>
      </c>
      <c r="C60" s="15" t="s">
        <v>748</v>
      </c>
      <c r="D60" s="61" t="n">
        <f aca="false">INDEX(Precio_V,19)</f>
        <v>0</v>
      </c>
    </row>
    <row r="61" customFormat="false" ht="15" hidden="false" customHeight="false" outlineLevel="0" collapsed="false">
      <c r="A61" s="11" t="s">
        <v>767</v>
      </c>
      <c r="B61" s="53" t="str">
        <f aca="false">IF(INDEX(Prod_Nombre,20)="","Producto 20",INDEX(Prod_Nombre,20))</f>
        <v>Producto 20</v>
      </c>
      <c r="C61" s="15" t="s">
        <v>748</v>
      </c>
      <c r="D61" s="61" t="n">
        <f aca="false">INDEX(Precio_V,20)</f>
        <v>0</v>
      </c>
    </row>
    <row r="62" customFormat="false" ht="15" hidden="false" customHeight="false" outlineLevel="0" collapsed="false">
      <c r="A62" s="11" t="s">
        <v>768</v>
      </c>
      <c r="B62" s="53" t="str">
        <f aca="false">IF(INDEX(Prod_Nombre,21)="","Producto 21",INDEX(Prod_Nombre,21))</f>
        <v>Producto 21</v>
      </c>
      <c r="C62" s="15" t="s">
        <v>748</v>
      </c>
      <c r="D62" s="61" t="n">
        <f aca="false">INDEX(Precio_V,21)</f>
        <v>0</v>
      </c>
    </row>
    <row r="63" customFormat="false" ht="15" hidden="false" customHeight="false" outlineLevel="0" collapsed="false">
      <c r="A63" s="11" t="s">
        <v>769</v>
      </c>
      <c r="B63" s="53" t="str">
        <f aca="false">IF(INDEX(Prod_Nombre,22)="","Producto 22",INDEX(Prod_Nombre,22))</f>
        <v>Producto 22</v>
      </c>
      <c r="C63" s="15" t="s">
        <v>748</v>
      </c>
      <c r="D63" s="61" t="n">
        <f aca="false">INDEX(Precio_V,22)</f>
        <v>0</v>
      </c>
    </row>
    <row r="64" customFormat="false" ht="15" hidden="false" customHeight="false" outlineLevel="0" collapsed="false">
      <c r="A64" s="11" t="s">
        <v>770</v>
      </c>
      <c r="B64" s="53" t="str">
        <f aca="false">IF(INDEX(Prod_Nombre,23)="","Producto 23",INDEX(Prod_Nombre,23))</f>
        <v>Producto 23</v>
      </c>
      <c r="C64" s="15" t="s">
        <v>748</v>
      </c>
      <c r="D64" s="61" t="n">
        <f aca="false">INDEX(Precio_V,23)</f>
        <v>0</v>
      </c>
    </row>
    <row r="65" customFormat="false" ht="15" hidden="false" customHeight="false" outlineLevel="0" collapsed="false">
      <c r="A65" s="11" t="s">
        <v>771</v>
      </c>
      <c r="B65" s="53" t="str">
        <f aca="false">IF(INDEX(Prod_Nombre,24)="","Producto 24",INDEX(Prod_Nombre,24))</f>
        <v>Producto 24</v>
      </c>
      <c r="C65" s="15" t="s">
        <v>748</v>
      </c>
      <c r="D65" s="61" t="n">
        <f aca="false">INDEX(Precio_V,24)</f>
        <v>0</v>
      </c>
    </row>
    <row r="66" customFormat="false" ht="15" hidden="false" customHeight="false" outlineLevel="0" collapsed="false">
      <c r="A66" s="11" t="s">
        <v>772</v>
      </c>
      <c r="B66" s="53" t="str">
        <f aca="false">IF(INDEX(Prod_Nombre,25)="","Producto 25",INDEX(Prod_Nombre,25))</f>
        <v>Producto 25</v>
      </c>
      <c r="C66" s="15" t="s">
        <v>748</v>
      </c>
      <c r="D66" s="61" t="n">
        <f aca="false">INDEX(Precio_V,25)</f>
        <v>0</v>
      </c>
    </row>
    <row r="69" customFormat="false" ht="15" hidden="false" customHeight="false" outlineLevel="0" collapsed="false">
      <c r="A69" s="12" t="s">
        <v>773</v>
      </c>
      <c r="B69" s="13"/>
      <c r="C69" s="13"/>
      <c r="D69" s="13"/>
      <c r="E69" s="13"/>
    </row>
    <row r="70" customFormat="false" ht="15" hidden="false" customHeight="false" outlineLevel="0" collapsed="false">
      <c r="A70" s="11" t="s">
        <v>774</v>
      </c>
      <c r="B70" s="53" t="str">
        <f aca="false">IF(INDEX(Prod_Nombre,1)="","Producto 1",INDEX(Prod_Nombre,1))</f>
        <v>Gabinetes metálicos 153 kg</v>
      </c>
      <c r="C70" s="15" t="s">
        <v>748</v>
      </c>
      <c r="D70" s="61" t="n">
        <f aca="false">INDEX(MP_V,1)</f>
        <v>82.65</v>
      </c>
    </row>
    <row r="71" customFormat="false" ht="15" hidden="false" customHeight="false" outlineLevel="0" collapsed="false">
      <c r="A71" s="11" t="s">
        <v>775</v>
      </c>
      <c r="B71" s="53" t="str">
        <f aca="false">IF(INDEX(Prod_Nombre,2)="","Producto 2",INDEX(Prod_Nombre,2))</f>
        <v>Cajas metálicas 13 kg</v>
      </c>
      <c r="C71" s="15" t="s">
        <v>748</v>
      </c>
      <c r="D71" s="61" t="n">
        <f aca="false">INDEX(MP_V,2)</f>
        <v>7.41</v>
      </c>
    </row>
    <row r="72" customFormat="false" ht="15" hidden="false" customHeight="false" outlineLevel="0" collapsed="false">
      <c r="A72" s="11" t="s">
        <v>776</v>
      </c>
      <c r="B72" s="53" t="str">
        <f aca="false">IF(INDEX(Prod_Nombre,3)="","Producto 3",INDEX(Prod_Nombre,3))</f>
        <v>Producto 3</v>
      </c>
      <c r="C72" s="15" t="s">
        <v>748</v>
      </c>
      <c r="D72" s="61" t="n">
        <f aca="false">INDEX(MP_V,3)</f>
        <v>0</v>
      </c>
    </row>
    <row r="73" customFormat="false" ht="15" hidden="false" customHeight="false" outlineLevel="0" collapsed="false">
      <c r="A73" s="11" t="s">
        <v>777</v>
      </c>
      <c r="B73" s="53" t="str">
        <f aca="false">IF(INDEX(Prod_Nombre,4)="","Producto 4",INDEX(Prod_Nombre,4))</f>
        <v>Producto 4</v>
      </c>
      <c r="C73" s="15" t="s">
        <v>748</v>
      </c>
      <c r="D73" s="61" t="n">
        <f aca="false">INDEX(MP_V,4)</f>
        <v>0</v>
      </c>
    </row>
    <row r="74" customFormat="false" ht="15" hidden="false" customHeight="false" outlineLevel="0" collapsed="false">
      <c r="A74" s="11" t="s">
        <v>778</v>
      </c>
      <c r="B74" s="53" t="str">
        <f aca="false">IF(INDEX(Prod_Nombre,5)="","Producto 5",INDEX(Prod_Nombre,5))</f>
        <v>Producto 5</v>
      </c>
      <c r="C74" s="15" t="s">
        <v>748</v>
      </c>
      <c r="D74" s="61" t="n">
        <f aca="false">INDEX(MP_V,5)</f>
        <v>0</v>
      </c>
    </row>
    <row r="75" customFormat="false" ht="15" hidden="false" customHeight="false" outlineLevel="0" collapsed="false">
      <c r="A75" s="11" t="s">
        <v>779</v>
      </c>
      <c r="B75" s="53" t="str">
        <f aca="false">IF(INDEX(Prod_Nombre,6)="","Producto 6",INDEX(Prod_Nombre,6))</f>
        <v>Producto 6</v>
      </c>
      <c r="C75" s="15" t="s">
        <v>748</v>
      </c>
      <c r="D75" s="61" t="n">
        <f aca="false">INDEX(MP_V,6)</f>
        <v>0</v>
      </c>
    </row>
    <row r="76" customFormat="false" ht="15" hidden="false" customHeight="false" outlineLevel="0" collapsed="false">
      <c r="A76" s="11" t="s">
        <v>780</v>
      </c>
      <c r="B76" s="53" t="str">
        <f aca="false">IF(INDEX(Prod_Nombre,7)="","Producto 7",INDEX(Prod_Nombre,7))</f>
        <v>Producto 7</v>
      </c>
      <c r="C76" s="15" t="s">
        <v>748</v>
      </c>
      <c r="D76" s="61" t="n">
        <f aca="false">INDEX(MP_V,7)</f>
        <v>0</v>
      </c>
    </row>
    <row r="77" customFormat="false" ht="15" hidden="false" customHeight="false" outlineLevel="0" collapsed="false">
      <c r="A77" s="11" t="s">
        <v>781</v>
      </c>
      <c r="B77" s="53" t="str">
        <f aca="false">IF(INDEX(Prod_Nombre,8)="","Producto 8",INDEX(Prod_Nombre,8))</f>
        <v>Producto 8</v>
      </c>
      <c r="C77" s="15" t="s">
        <v>748</v>
      </c>
      <c r="D77" s="61" t="n">
        <f aca="false">INDEX(MP_V,8)</f>
        <v>0</v>
      </c>
    </row>
    <row r="78" customFormat="false" ht="15" hidden="false" customHeight="false" outlineLevel="0" collapsed="false">
      <c r="A78" s="11" t="s">
        <v>782</v>
      </c>
      <c r="B78" s="53" t="str">
        <f aca="false">IF(INDEX(Prod_Nombre,9)="","Producto 9",INDEX(Prod_Nombre,9))</f>
        <v>Producto 9</v>
      </c>
      <c r="C78" s="15" t="s">
        <v>748</v>
      </c>
      <c r="D78" s="61" t="n">
        <f aca="false">INDEX(MP_V,9)</f>
        <v>0</v>
      </c>
    </row>
    <row r="79" customFormat="false" ht="15" hidden="false" customHeight="false" outlineLevel="0" collapsed="false">
      <c r="A79" s="11" t="s">
        <v>783</v>
      </c>
      <c r="B79" s="53" t="str">
        <f aca="false">IF(INDEX(Prod_Nombre,10)="","Producto 10",INDEX(Prod_Nombre,10))</f>
        <v>Producto 10</v>
      </c>
      <c r="C79" s="15" t="s">
        <v>748</v>
      </c>
      <c r="D79" s="61" t="n">
        <f aca="false">INDEX(MP_V,10)</f>
        <v>0</v>
      </c>
    </row>
    <row r="80" customFormat="false" ht="15" hidden="false" customHeight="false" outlineLevel="0" collapsed="false">
      <c r="A80" s="11" t="s">
        <v>784</v>
      </c>
      <c r="B80" s="53" t="str">
        <f aca="false">IF(INDEX(Prod_Nombre,11)="","Producto 11",INDEX(Prod_Nombre,11))</f>
        <v>Producto 11</v>
      </c>
      <c r="C80" s="15" t="s">
        <v>748</v>
      </c>
      <c r="D80" s="61" t="n">
        <f aca="false">INDEX(MP_V,11)</f>
        <v>0</v>
      </c>
    </row>
    <row r="81" customFormat="false" ht="15" hidden="false" customHeight="false" outlineLevel="0" collapsed="false">
      <c r="A81" s="11" t="s">
        <v>785</v>
      </c>
      <c r="B81" s="53" t="str">
        <f aca="false">IF(INDEX(Prod_Nombre,12)="","Producto 12",INDEX(Prod_Nombre,12))</f>
        <v>Producto 12</v>
      </c>
      <c r="C81" s="15" t="s">
        <v>748</v>
      </c>
      <c r="D81" s="61" t="n">
        <f aca="false">INDEX(MP_V,12)</f>
        <v>0</v>
      </c>
    </row>
    <row r="82" customFormat="false" ht="15" hidden="false" customHeight="false" outlineLevel="0" collapsed="false">
      <c r="A82" s="11" t="s">
        <v>786</v>
      </c>
      <c r="B82" s="53" t="str">
        <f aca="false">IF(INDEX(Prod_Nombre,13)="","Producto 13",INDEX(Prod_Nombre,13))</f>
        <v>Producto 13</v>
      </c>
      <c r="C82" s="15" t="s">
        <v>748</v>
      </c>
      <c r="D82" s="61" t="n">
        <f aca="false">INDEX(MP_V,13)</f>
        <v>0</v>
      </c>
    </row>
    <row r="83" customFormat="false" ht="15" hidden="false" customHeight="false" outlineLevel="0" collapsed="false">
      <c r="A83" s="11" t="s">
        <v>787</v>
      </c>
      <c r="B83" s="53" t="str">
        <f aca="false">IF(INDEX(Prod_Nombre,14)="","Producto 14",INDEX(Prod_Nombre,14))</f>
        <v>Producto 14</v>
      </c>
      <c r="C83" s="15" t="s">
        <v>748</v>
      </c>
      <c r="D83" s="61" t="n">
        <f aca="false">INDEX(MP_V,14)</f>
        <v>0</v>
      </c>
    </row>
    <row r="84" customFormat="false" ht="15" hidden="false" customHeight="false" outlineLevel="0" collapsed="false">
      <c r="A84" s="11" t="s">
        <v>788</v>
      </c>
      <c r="B84" s="53" t="str">
        <f aca="false">IF(INDEX(Prod_Nombre,15)="","Producto 15",INDEX(Prod_Nombre,15))</f>
        <v>Producto 15</v>
      </c>
      <c r="C84" s="15" t="s">
        <v>748</v>
      </c>
      <c r="D84" s="61" t="n">
        <f aca="false">INDEX(MP_V,15)</f>
        <v>0</v>
      </c>
    </row>
    <row r="85" customFormat="false" ht="15" hidden="false" customHeight="false" outlineLevel="0" collapsed="false">
      <c r="A85" s="11" t="s">
        <v>789</v>
      </c>
      <c r="B85" s="53" t="str">
        <f aca="false">IF(INDEX(Prod_Nombre,16)="","Producto 16",INDEX(Prod_Nombre,16))</f>
        <v>Producto 16</v>
      </c>
      <c r="C85" s="15" t="s">
        <v>748</v>
      </c>
      <c r="D85" s="61" t="n">
        <f aca="false">INDEX(MP_V,16)</f>
        <v>0</v>
      </c>
    </row>
    <row r="86" customFormat="false" ht="15" hidden="false" customHeight="false" outlineLevel="0" collapsed="false">
      <c r="A86" s="11" t="s">
        <v>790</v>
      </c>
      <c r="B86" s="53" t="str">
        <f aca="false">IF(INDEX(Prod_Nombre,17)="","Producto 17",INDEX(Prod_Nombre,17))</f>
        <v>Producto 17</v>
      </c>
      <c r="C86" s="15" t="s">
        <v>748</v>
      </c>
      <c r="D86" s="61" t="n">
        <f aca="false">INDEX(MP_V,17)</f>
        <v>0</v>
      </c>
    </row>
    <row r="87" customFormat="false" ht="15" hidden="false" customHeight="false" outlineLevel="0" collapsed="false">
      <c r="A87" s="11" t="s">
        <v>791</v>
      </c>
      <c r="B87" s="53" t="str">
        <f aca="false">IF(INDEX(Prod_Nombre,18)="","Producto 18",INDEX(Prod_Nombre,18))</f>
        <v>Producto 18</v>
      </c>
      <c r="C87" s="15" t="s">
        <v>748</v>
      </c>
      <c r="D87" s="61" t="n">
        <f aca="false">INDEX(MP_V,18)</f>
        <v>0</v>
      </c>
    </row>
    <row r="88" customFormat="false" ht="15" hidden="false" customHeight="false" outlineLevel="0" collapsed="false">
      <c r="A88" s="11" t="s">
        <v>792</v>
      </c>
      <c r="B88" s="53" t="str">
        <f aca="false">IF(INDEX(Prod_Nombre,19)="","Producto 19",INDEX(Prod_Nombre,19))</f>
        <v>Producto 19</v>
      </c>
      <c r="C88" s="15" t="s">
        <v>748</v>
      </c>
      <c r="D88" s="61" t="n">
        <f aca="false">INDEX(MP_V,19)</f>
        <v>0</v>
      </c>
    </row>
    <row r="89" customFormat="false" ht="15" hidden="false" customHeight="false" outlineLevel="0" collapsed="false">
      <c r="A89" s="11" t="s">
        <v>793</v>
      </c>
      <c r="B89" s="53" t="str">
        <f aca="false">IF(INDEX(Prod_Nombre,20)="","Producto 20",INDEX(Prod_Nombre,20))</f>
        <v>Producto 20</v>
      </c>
      <c r="C89" s="15" t="s">
        <v>748</v>
      </c>
      <c r="D89" s="61" t="n">
        <f aca="false">INDEX(MP_V,20)</f>
        <v>0</v>
      </c>
    </row>
    <row r="90" customFormat="false" ht="15" hidden="false" customHeight="false" outlineLevel="0" collapsed="false">
      <c r="A90" s="11" t="s">
        <v>794</v>
      </c>
      <c r="B90" s="53" t="str">
        <f aca="false">IF(INDEX(Prod_Nombre,21)="","Producto 21",INDEX(Prod_Nombre,21))</f>
        <v>Producto 21</v>
      </c>
      <c r="C90" s="15" t="s">
        <v>748</v>
      </c>
      <c r="D90" s="61" t="n">
        <f aca="false">INDEX(MP_V,21)</f>
        <v>0</v>
      </c>
    </row>
    <row r="91" customFormat="false" ht="15" hidden="false" customHeight="false" outlineLevel="0" collapsed="false">
      <c r="A91" s="11" t="s">
        <v>795</v>
      </c>
      <c r="B91" s="53" t="str">
        <f aca="false">IF(INDEX(Prod_Nombre,22)="","Producto 22",INDEX(Prod_Nombre,22))</f>
        <v>Producto 22</v>
      </c>
      <c r="C91" s="15" t="s">
        <v>748</v>
      </c>
      <c r="D91" s="61" t="n">
        <f aca="false">INDEX(MP_V,22)</f>
        <v>0</v>
      </c>
    </row>
    <row r="92" customFormat="false" ht="15" hidden="false" customHeight="false" outlineLevel="0" collapsed="false">
      <c r="A92" s="11" t="s">
        <v>796</v>
      </c>
      <c r="B92" s="53" t="str">
        <f aca="false">IF(INDEX(Prod_Nombre,23)="","Producto 23",INDEX(Prod_Nombre,23))</f>
        <v>Producto 23</v>
      </c>
      <c r="C92" s="15" t="s">
        <v>748</v>
      </c>
      <c r="D92" s="61" t="n">
        <f aca="false">INDEX(MP_V,23)</f>
        <v>0</v>
      </c>
    </row>
    <row r="93" customFormat="false" ht="15" hidden="false" customHeight="false" outlineLevel="0" collapsed="false">
      <c r="A93" s="11" t="s">
        <v>797</v>
      </c>
      <c r="B93" s="53" t="str">
        <f aca="false">IF(INDEX(Prod_Nombre,24)="","Producto 24",INDEX(Prod_Nombre,24))</f>
        <v>Producto 24</v>
      </c>
      <c r="C93" s="15" t="s">
        <v>748</v>
      </c>
      <c r="D93" s="61" t="n">
        <f aca="false">INDEX(MP_V,24)</f>
        <v>0</v>
      </c>
    </row>
    <row r="94" customFormat="false" ht="15" hidden="false" customHeight="false" outlineLevel="0" collapsed="false">
      <c r="A94" s="11" t="s">
        <v>798</v>
      </c>
      <c r="B94" s="53" t="str">
        <f aca="false">IF(INDEX(Prod_Nombre,25)="","Producto 25",INDEX(Prod_Nombre,25))</f>
        <v>Producto 25</v>
      </c>
      <c r="C94" s="15" t="s">
        <v>748</v>
      </c>
      <c r="D94" s="61" t="n">
        <f aca="false">INDEX(MP_V,25)</f>
        <v>0</v>
      </c>
    </row>
    <row r="97" customFormat="false" ht="15" hidden="false" customHeight="false" outlineLevel="0" collapsed="false">
      <c r="A97" s="12" t="s">
        <v>799</v>
      </c>
      <c r="B97" s="13"/>
      <c r="C97" s="13"/>
      <c r="D97" s="13"/>
      <c r="E97" s="13"/>
    </row>
    <row r="98" customFormat="false" ht="15" hidden="false" customHeight="false" outlineLevel="0" collapsed="false">
      <c r="A98" s="11" t="s">
        <v>800</v>
      </c>
      <c r="B98" s="53" t="str">
        <f aca="false">IF(INDEX(Prod_Nombre,1)="","Producto 1",INDEX(Prod_Nombre,1))</f>
        <v>Gabinetes metálicos 153 kg</v>
      </c>
      <c r="C98" s="15" t="s">
        <v>748</v>
      </c>
      <c r="D98" s="61" t="n">
        <f aca="false">INDEX(INS_V,1)</f>
        <v>45</v>
      </c>
    </row>
    <row r="99" customFormat="false" ht="15" hidden="false" customHeight="false" outlineLevel="0" collapsed="false">
      <c r="A99" s="11" t="s">
        <v>801</v>
      </c>
      <c r="B99" s="53" t="str">
        <f aca="false">IF(INDEX(Prod_Nombre,2)="","Producto 2",INDEX(Prod_Nombre,2))</f>
        <v>Cajas metálicas 13 kg</v>
      </c>
      <c r="C99" s="15" t="s">
        <v>748</v>
      </c>
      <c r="D99" s="61" t="n">
        <f aca="false">INDEX(INS_V,2)</f>
        <v>4.851</v>
      </c>
    </row>
    <row r="100" customFormat="false" ht="15" hidden="false" customHeight="false" outlineLevel="0" collapsed="false">
      <c r="A100" s="11" t="s">
        <v>802</v>
      </c>
      <c r="B100" s="53" t="str">
        <f aca="false">IF(INDEX(Prod_Nombre,3)="","Producto 3",INDEX(Prod_Nombre,3))</f>
        <v>Producto 3</v>
      </c>
      <c r="C100" s="15" t="s">
        <v>748</v>
      </c>
      <c r="D100" s="61" t="n">
        <f aca="false">INDEX(INS_V,3)</f>
        <v>0</v>
      </c>
    </row>
    <row r="101" customFormat="false" ht="15" hidden="false" customHeight="false" outlineLevel="0" collapsed="false">
      <c r="A101" s="11" t="s">
        <v>803</v>
      </c>
      <c r="B101" s="53" t="str">
        <f aca="false">IF(INDEX(Prod_Nombre,4)="","Producto 4",INDEX(Prod_Nombre,4))</f>
        <v>Producto 4</v>
      </c>
      <c r="C101" s="15" t="s">
        <v>748</v>
      </c>
      <c r="D101" s="61" t="n">
        <f aca="false">INDEX(INS_V,4)</f>
        <v>0</v>
      </c>
    </row>
    <row r="102" customFormat="false" ht="15" hidden="false" customHeight="false" outlineLevel="0" collapsed="false">
      <c r="A102" s="11" t="s">
        <v>804</v>
      </c>
      <c r="B102" s="53" t="str">
        <f aca="false">IF(INDEX(Prod_Nombre,5)="","Producto 5",INDEX(Prod_Nombre,5))</f>
        <v>Producto 5</v>
      </c>
      <c r="C102" s="15" t="s">
        <v>748</v>
      </c>
      <c r="D102" s="61" t="n">
        <f aca="false">INDEX(INS_V,5)</f>
        <v>0</v>
      </c>
    </row>
    <row r="103" customFormat="false" ht="15" hidden="false" customHeight="false" outlineLevel="0" collapsed="false">
      <c r="A103" s="11" t="s">
        <v>805</v>
      </c>
      <c r="B103" s="53" t="str">
        <f aca="false">IF(INDEX(Prod_Nombre,6)="","Producto 6",INDEX(Prod_Nombre,6))</f>
        <v>Producto 6</v>
      </c>
      <c r="C103" s="15" t="s">
        <v>748</v>
      </c>
      <c r="D103" s="61" t="n">
        <f aca="false">INDEX(INS_V,6)</f>
        <v>0</v>
      </c>
    </row>
    <row r="104" customFormat="false" ht="15" hidden="false" customHeight="false" outlineLevel="0" collapsed="false">
      <c r="A104" s="11" t="s">
        <v>806</v>
      </c>
      <c r="B104" s="53" t="str">
        <f aca="false">IF(INDEX(Prod_Nombre,7)="","Producto 7",INDEX(Prod_Nombre,7))</f>
        <v>Producto 7</v>
      </c>
      <c r="C104" s="15" t="s">
        <v>748</v>
      </c>
      <c r="D104" s="61" t="n">
        <f aca="false">INDEX(INS_V,7)</f>
        <v>0</v>
      </c>
    </row>
    <row r="105" customFormat="false" ht="15" hidden="false" customHeight="false" outlineLevel="0" collapsed="false">
      <c r="A105" s="11" t="s">
        <v>807</v>
      </c>
      <c r="B105" s="53" t="str">
        <f aca="false">IF(INDEX(Prod_Nombre,8)="","Producto 8",INDEX(Prod_Nombre,8))</f>
        <v>Producto 8</v>
      </c>
      <c r="C105" s="15" t="s">
        <v>748</v>
      </c>
      <c r="D105" s="61" t="n">
        <f aca="false">INDEX(INS_V,8)</f>
        <v>0</v>
      </c>
    </row>
    <row r="106" customFormat="false" ht="15" hidden="false" customHeight="false" outlineLevel="0" collapsed="false">
      <c r="A106" s="11" t="s">
        <v>808</v>
      </c>
      <c r="B106" s="53" t="str">
        <f aca="false">IF(INDEX(Prod_Nombre,9)="","Producto 9",INDEX(Prod_Nombre,9))</f>
        <v>Producto 9</v>
      </c>
      <c r="C106" s="15" t="s">
        <v>748</v>
      </c>
      <c r="D106" s="61" t="n">
        <f aca="false">INDEX(INS_V,9)</f>
        <v>0</v>
      </c>
    </row>
    <row r="107" customFormat="false" ht="15" hidden="false" customHeight="false" outlineLevel="0" collapsed="false">
      <c r="A107" s="11" t="s">
        <v>809</v>
      </c>
      <c r="B107" s="53" t="str">
        <f aca="false">IF(INDEX(Prod_Nombre,10)="","Producto 10",INDEX(Prod_Nombre,10))</f>
        <v>Producto 10</v>
      </c>
      <c r="C107" s="15" t="s">
        <v>748</v>
      </c>
      <c r="D107" s="61" t="n">
        <f aca="false">INDEX(INS_V,10)</f>
        <v>0</v>
      </c>
    </row>
    <row r="108" customFormat="false" ht="15" hidden="false" customHeight="false" outlineLevel="0" collapsed="false">
      <c r="A108" s="11" t="s">
        <v>810</v>
      </c>
      <c r="B108" s="53" t="str">
        <f aca="false">IF(INDEX(Prod_Nombre,11)="","Producto 11",INDEX(Prod_Nombre,11))</f>
        <v>Producto 11</v>
      </c>
      <c r="C108" s="15" t="s">
        <v>748</v>
      </c>
      <c r="D108" s="61" t="n">
        <f aca="false">INDEX(INS_V,11)</f>
        <v>0</v>
      </c>
    </row>
    <row r="109" customFormat="false" ht="15" hidden="false" customHeight="false" outlineLevel="0" collapsed="false">
      <c r="A109" s="11" t="s">
        <v>811</v>
      </c>
      <c r="B109" s="53" t="str">
        <f aca="false">IF(INDEX(Prod_Nombre,12)="","Producto 12",INDEX(Prod_Nombre,12))</f>
        <v>Producto 12</v>
      </c>
      <c r="C109" s="15" t="s">
        <v>748</v>
      </c>
      <c r="D109" s="61" t="n">
        <f aca="false">INDEX(INS_V,12)</f>
        <v>0</v>
      </c>
    </row>
    <row r="110" customFormat="false" ht="15" hidden="false" customHeight="false" outlineLevel="0" collapsed="false">
      <c r="A110" s="11" t="s">
        <v>812</v>
      </c>
      <c r="B110" s="53" t="str">
        <f aca="false">IF(INDEX(Prod_Nombre,13)="","Producto 13",INDEX(Prod_Nombre,13))</f>
        <v>Producto 13</v>
      </c>
      <c r="C110" s="15" t="s">
        <v>748</v>
      </c>
      <c r="D110" s="61" t="n">
        <f aca="false">INDEX(INS_V,13)</f>
        <v>0</v>
      </c>
    </row>
    <row r="111" customFormat="false" ht="15" hidden="false" customHeight="false" outlineLevel="0" collapsed="false">
      <c r="A111" s="11" t="s">
        <v>813</v>
      </c>
      <c r="B111" s="53" t="str">
        <f aca="false">IF(INDEX(Prod_Nombre,14)="","Producto 14",INDEX(Prod_Nombre,14))</f>
        <v>Producto 14</v>
      </c>
      <c r="C111" s="15" t="s">
        <v>748</v>
      </c>
      <c r="D111" s="61" t="n">
        <f aca="false">INDEX(INS_V,14)</f>
        <v>0</v>
      </c>
    </row>
    <row r="112" customFormat="false" ht="15" hidden="false" customHeight="false" outlineLevel="0" collapsed="false">
      <c r="A112" s="11" t="s">
        <v>814</v>
      </c>
      <c r="B112" s="53" t="str">
        <f aca="false">IF(INDEX(Prod_Nombre,15)="","Producto 15",INDEX(Prod_Nombre,15))</f>
        <v>Producto 15</v>
      </c>
      <c r="C112" s="15" t="s">
        <v>748</v>
      </c>
      <c r="D112" s="61" t="n">
        <f aca="false">INDEX(INS_V,15)</f>
        <v>0</v>
      </c>
    </row>
    <row r="113" customFormat="false" ht="15" hidden="false" customHeight="false" outlineLevel="0" collapsed="false">
      <c r="A113" s="11" t="s">
        <v>815</v>
      </c>
      <c r="B113" s="53" t="str">
        <f aca="false">IF(INDEX(Prod_Nombre,16)="","Producto 16",INDEX(Prod_Nombre,16))</f>
        <v>Producto 16</v>
      </c>
      <c r="C113" s="15" t="s">
        <v>748</v>
      </c>
      <c r="D113" s="61" t="n">
        <f aca="false">INDEX(INS_V,16)</f>
        <v>0</v>
      </c>
    </row>
    <row r="114" customFormat="false" ht="15" hidden="false" customHeight="false" outlineLevel="0" collapsed="false">
      <c r="A114" s="11" t="s">
        <v>816</v>
      </c>
      <c r="B114" s="53" t="str">
        <f aca="false">IF(INDEX(Prod_Nombre,17)="","Producto 17",INDEX(Prod_Nombre,17))</f>
        <v>Producto 17</v>
      </c>
      <c r="C114" s="15" t="s">
        <v>748</v>
      </c>
      <c r="D114" s="61" t="n">
        <f aca="false">INDEX(INS_V,17)</f>
        <v>0</v>
      </c>
    </row>
    <row r="115" customFormat="false" ht="15" hidden="false" customHeight="false" outlineLevel="0" collapsed="false">
      <c r="A115" s="11" t="s">
        <v>817</v>
      </c>
      <c r="B115" s="53" t="str">
        <f aca="false">IF(INDEX(Prod_Nombre,18)="","Producto 18",INDEX(Prod_Nombre,18))</f>
        <v>Producto 18</v>
      </c>
      <c r="C115" s="15" t="s">
        <v>748</v>
      </c>
      <c r="D115" s="61" t="n">
        <f aca="false">INDEX(INS_V,18)</f>
        <v>0</v>
      </c>
    </row>
    <row r="116" customFormat="false" ht="15" hidden="false" customHeight="false" outlineLevel="0" collapsed="false">
      <c r="A116" s="11" t="s">
        <v>818</v>
      </c>
      <c r="B116" s="53" t="str">
        <f aca="false">IF(INDEX(Prod_Nombre,19)="","Producto 19",INDEX(Prod_Nombre,19))</f>
        <v>Producto 19</v>
      </c>
      <c r="C116" s="15" t="s">
        <v>748</v>
      </c>
      <c r="D116" s="61" t="n">
        <f aca="false">INDEX(INS_V,19)</f>
        <v>0</v>
      </c>
    </row>
    <row r="117" customFormat="false" ht="15" hidden="false" customHeight="false" outlineLevel="0" collapsed="false">
      <c r="A117" s="11" t="s">
        <v>819</v>
      </c>
      <c r="B117" s="53" t="str">
        <f aca="false">IF(INDEX(Prod_Nombre,20)="","Producto 20",INDEX(Prod_Nombre,20))</f>
        <v>Producto 20</v>
      </c>
      <c r="C117" s="15" t="s">
        <v>748</v>
      </c>
      <c r="D117" s="61" t="n">
        <f aca="false">INDEX(INS_V,20)</f>
        <v>0</v>
      </c>
    </row>
    <row r="118" customFormat="false" ht="15" hidden="false" customHeight="false" outlineLevel="0" collapsed="false">
      <c r="A118" s="11" t="s">
        <v>820</v>
      </c>
      <c r="B118" s="53" t="str">
        <f aca="false">IF(INDEX(Prod_Nombre,21)="","Producto 21",INDEX(Prod_Nombre,21))</f>
        <v>Producto 21</v>
      </c>
      <c r="C118" s="15" t="s">
        <v>748</v>
      </c>
      <c r="D118" s="61" t="n">
        <f aca="false">INDEX(INS_V,21)</f>
        <v>0</v>
      </c>
    </row>
    <row r="119" customFormat="false" ht="15" hidden="false" customHeight="false" outlineLevel="0" collapsed="false">
      <c r="A119" s="11" t="s">
        <v>821</v>
      </c>
      <c r="B119" s="53" t="str">
        <f aca="false">IF(INDEX(Prod_Nombre,22)="","Producto 22",INDEX(Prod_Nombre,22))</f>
        <v>Producto 22</v>
      </c>
      <c r="C119" s="15" t="s">
        <v>748</v>
      </c>
      <c r="D119" s="61" t="n">
        <f aca="false">INDEX(INS_V,22)</f>
        <v>0</v>
      </c>
    </row>
    <row r="120" customFormat="false" ht="15" hidden="false" customHeight="false" outlineLevel="0" collapsed="false">
      <c r="A120" s="11" t="s">
        <v>822</v>
      </c>
      <c r="B120" s="53" t="str">
        <f aca="false">IF(INDEX(Prod_Nombre,23)="","Producto 23",INDEX(Prod_Nombre,23))</f>
        <v>Producto 23</v>
      </c>
      <c r="C120" s="15" t="s">
        <v>748</v>
      </c>
      <c r="D120" s="61" t="n">
        <f aca="false">INDEX(INS_V,23)</f>
        <v>0</v>
      </c>
    </row>
    <row r="121" customFormat="false" ht="15" hidden="false" customHeight="false" outlineLevel="0" collapsed="false">
      <c r="A121" s="11" t="s">
        <v>823</v>
      </c>
      <c r="B121" s="53" t="str">
        <f aca="false">IF(INDEX(Prod_Nombre,24)="","Producto 24",INDEX(Prod_Nombre,24))</f>
        <v>Producto 24</v>
      </c>
      <c r="C121" s="15" t="s">
        <v>748</v>
      </c>
      <c r="D121" s="61" t="n">
        <f aca="false">INDEX(INS_V,24)</f>
        <v>0</v>
      </c>
    </row>
    <row r="122" customFormat="false" ht="15" hidden="false" customHeight="false" outlineLevel="0" collapsed="false">
      <c r="A122" s="11" t="s">
        <v>824</v>
      </c>
      <c r="B122" s="53" t="str">
        <f aca="false">IF(INDEX(Prod_Nombre,25)="","Producto 25",INDEX(Prod_Nombre,25))</f>
        <v>Producto 25</v>
      </c>
      <c r="C122" s="15" t="s">
        <v>748</v>
      </c>
      <c r="D122" s="61" t="n">
        <f aca="false">INDEX(INS_V,25)</f>
        <v>0</v>
      </c>
    </row>
    <row r="125" customFormat="false" ht="15" hidden="false" customHeight="false" outlineLevel="0" collapsed="false">
      <c r="A125" s="12" t="s">
        <v>825</v>
      </c>
      <c r="B125" s="13"/>
      <c r="C125" s="13"/>
      <c r="D125" s="13"/>
      <c r="E125" s="13"/>
    </row>
    <row r="126" customFormat="false" ht="15" hidden="false" customHeight="false" outlineLevel="0" collapsed="false">
      <c r="A126" s="11" t="s">
        <v>826</v>
      </c>
      <c r="B126" s="53" t="str">
        <f aca="false">IF(INDEX(Prod_Nombre,1)="","Producto 1",INDEX(Prod_Nombre,1))</f>
        <v>Gabinetes metálicos 153 kg</v>
      </c>
      <c r="C126" s="15" t="s">
        <v>748</v>
      </c>
      <c r="D126" s="61" t="n">
        <f aca="false">INDEX(OV_V,1)</f>
        <v>27.909333</v>
      </c>
    </row>
    <row r="127" customFormat="false" ht="15" hidden="false" customHeight="false" outlineLevel="0" collapsed="false">
      <c r="A127" s="11" t="s">
        <v>827</v>
      </c>
      <c r="B127" s="53" t="str">
        <f aca="false">IF(INDEX(Prod_Nombre,2)="","Producto 2",INDEX(Prod_Nombre,2))</f>
        <v>Cajas metálicas 13 kg</v>
      </c>
      <c r="C127" s="15" t="s">
        <v>748</v>
      </c>
      <c r="D127" s="61" t="n">
        <f aca="false">INDEX(OV_V,2)</f>
        <v>2.73</v>
      </c>
    </row>
    <row r="128" customFormat="false" ht="15" hidden="false" customHeight="false" outlineLevel="0" collapsed="false">
      <c r="A128" s="11" t="s">
        <v>828</v>
      </c>
      <c r="B128" s="53" t="str">
        <f aca="false">IF(INDEX(Prod_Nombre,3)="","Producto 3",INDEX(Prod_Nombre,3))</f>
        <v>Producto 3</v>
      </c>
      <c r="C128" s="15" t="s">
        <v>748</v>
      </c>
      <c r="D128" s="61" t="n">
        <f aca="false">INDEX(OV_V,3)</f>
        <v>0</v>
      </c>
    </row>
    <row r="129" customFormat="false" ht="15" hidden="false" customHeight="false" outlineLevel="0" collapsed="false">
      <c r="A129" s="11" t="s">
        <v>829</v>
      </c>
      <c r="B129" s="53" t="str">
        <f aca="false">IF(INDEX(Prod_Nombre,4)="","Producto 4",INDEX(Prod_Nombre,4))</f>
        <v>Producto 4</v>
      </c>
      <c r="C129" s="15" t="s">
        <v>748</v>
      </c>
      <c r="D129" s="61" t="n">
        <f aca="false">INDEX(OV_V,4)</f>
        <v>0</v>
      </c>
    </row>
    <row r="130" customFormat="false" ht="15" hidden="false" customHeight="false" outlineLevel="0" collapsed="false">
      <c r="A130" s="11" t="s">
        <v>830</v>
      </c>
      <c r="B130" s="53" t="str">
        <f aca="false">IF(INDEX(Prod_Nombre,5)="","Producto 5",INDEX(Prod_Nombre,5))</f>
        <v>Producto 5</v>
      </c>
      <c r="C130" s="15" t="s">
        <v>748</v>
      </c>
      <c r="D130" s="61" t="n">
        <f aca="false">INDEX(OV_V,5)</f>
        <v>0</v>
      </c>
    </row>
    <row r="131" customFormat="false" ht="15" hidden="false" customHeight="false" outlineLevel="0" collapsed="false">
      <c r="A131" s="11" t="s">
        <v>831</v>
      </c>
      <c r="B131" s="53" t="str">
        <f aca="false">IF(INDEX(Prod_Nombre,6)="","Producto 6",INDEX(Prod_Nombre,6))</f>
        <v>Producto 6</v>
      </c>
      <c r="C131" s="15" t="s">
        <v>748</v>
      </c>
      <c r="D131" s="61" t="n">
        <f aca="false">INDEX(OV_V,6)</f>
        <v>0</v>
      </c>
    </row>
    <row r="132" customFormat="false" ht="15" hidden="false" customHeight="false" outlineLevel="0" collapsed="false">
      <c r="A132" s="11" t="s">
        <v>832</v>
      </c>
      <c r="B132" s="53" t="str">
        <f aca="false">IF(INDEX(Prod_Nombre,7)="","Producto 7",INDEX(Prod_Nombre,7))</f>
        <v>Producto 7</v>
      </c>
      <c r="C132" s="15" t="s">
        <v>748</v>
      </c>
      <c r="D132" s="61" t="n">
        <f aca="false">INDEX(OV_V,7)</f>
        <v>0</v>
      </c>
    </row>
    <row r="133" customFormat="false" ht="15" hidden="false" customHeight="false" outlineLevel="0" collapsed="false">
      <c r="A133" s="11" t="s">
        <v>833</v>
      </c>
      <c r="B133" s="53" t="str">
        <f aca="false">IF(INDEX(Prod_Nombre,8)="","Producto 8",INDEX(Prod_Nombre,8))</f>
        <v>Producto 8</v>
      </c>
      <c r="C133" s="15" t="s">
        <v>748</v>
      </c>
      <c r="D133" s="61" t="n">
        <f aca="false">INDEX(OV_V,8)</f>
        <v>0</v>
      </c>
    </row>
    <row r="134" customFormat="false" ht="15" hidden="false" customHeight="false" outlineLevel="0" collapsed="false">
      <c r="A134" s="11" t="s">
        <v>834</v>
      </c>
      <c r="B134" s="53" t="str">
        <f aca="false">IF(INDEX(Prod_Nombre,9)="","Producto 9",INDEX(Prod_Nombre,9))</f>
        <v>Producto 9</v>
      </c>
      <c r="C134" s="15" t="s">
        <v>748</v>
      </c>
      <c r="D134" s="61" t="n">
        <f aca="false">INDEX(OV_V,9)</f>
        <v>0</v>
      </c>
    </row>
    <row r="135" customFormat="false" ht="15" hidden="false" customHeight="false" outlineLevel="0" collapsed="false">
      <c r="A135" s="11" t="s">
        <v>835</v>
      </c>
      <c r="B135" s="53" t="str">
        <f aca="false">IF(INDEX(Prod_Nombre,10)="","Producto 10",INDEX(Prod_Nombre,10))</f>
        <v>Producto 10</v>
      </c>
      <c r="C135" s="15" t="s">
        <v>748</v>
      </c>
      <c r="D135" s="61" t="n">
        <f aca="false">INDEX(OV_V,10)</f>
        <v>0</v>
      </c>
    </row>
    <row r="136" customFormat="false" ht="15" hidden="false" customHeight="false" outlineLevel="0" collapsed="false">
      <c r="A136" s="11" t="s">
        <v>836</v>
      </c>
      <c r="B136" s="53" t="str">
        <f aca="false">IF(INDEX(Prod_Nombre,11)="","Producto 11",INDEX(Prod_Nombre,11))</f>
        <v>Producto 11</v>
      </c>
      <c r="C136" s="15" t="s">
        <v>748</v>
      </c>
      <c r="D136" s="61" t="n">
        <f aca="false">INDEX(OV_V,11)</f>
        <v>0</v>
      </c>
    </row>
    <row r="137" customFormat="false" ht="15" hidden="false" customHeight="false" outlineLevel="0" collapsed="false">
      <c r="A137" s="11" t="s">
        <v>837</v>
      </c>
      <c r="B137" s="53" t="str">
        <f aca="false">IF(INDEX(Prod_Nombre,12)="","Producto 12",INDEX(Prod_Nombre,12))</f>
        <v>Producto 12</v>
      </c>
      <c r="C137" s="15" t="s">
        <v>748</v>
      </c>
      <c r="D137" s="61" t="n">
        <f aca="false">INDEX(OV_V,12)</f>
        <v>0</v>
      </c>
    </row>
    <row r="138" customFormat="false" ht="15" hidden="false" customHeight="false" outlineLevel="0" collapsed="false">
      <c r="A138" s="11" t="s">
        <v>838</v>
      </c>
      <c r="B138" s="53" t="str">
        <f aca="false">IF(INDEX(Prod_Nombre,13)="","Producto 13",INDEX(Prod_Nombre,13))</f>
        <v>Producto 13</v>
      </c>
      <c r="C138" s="15" t="s">
        <v>748</v>
      </c>
      <c r="D138" s="61" t="n">
        <f aca="false">INDEX(OV_V,13)</f>
        <v>0</v>
      </c>
    </row>
    <row r="139" customFormat="false" ht="15" hidden="false" customHeight="false" outlineLevel="0" collapsed="false">
      <c r="A139" s="11" t="s">
        <v>839</v>
      </c>
      <c r="B139" s="53" t="str">
        <f aca="false">IF(INDEX(Prod_Nombre,14)="","Producto 14",INDEX(Prod_Nombre,14))</f>
        <v>Producto 14</v>
      </c>
      <c r="C139" s="15" t="s">
        <v>748</v>
      </c>
      <c r="D139" s="61" t="n">
        <f aca="false">INDEX(OV_V,14)</f>
        <v>0</v>
      </c>
    </row>
    <row r="140" customFormat="false" ht="15" hidden="false" customHeight="false" outlineLevel="0" collapsed="false">
      <c r="A140" s="11" t="s">
        <v>840</v>
      </c>
      <c r="B140" s="53" t="str">
        <f aca="false">IF(INDEX(Prod_Nombre,15)="","Producto 15",INDEX(Prod_Nombre,15))</f>
        <v>Producto 15</v>
      </c>
      <c r="C140" s="15" t="s">
        <v>748</v>
      </c>
      <c r="D140" s="61" t="n">
        <f aca="false">INDEX(OV_V,15)</f>
        <v>0</v>
      </c>
    </row>
    <row r="141" customFormat="false" ht="15" hidden="false" customHeight="false" outlineLevel="0" collapsed="false">
      <c r="A141" s="11" t="s">
        <v>841</v>
      </c>
      <c r="B141" s="53" t="str">
        <f aca="false">IF(INDEX(Prod_Nombre,16)="","Producto 16",INDEX(Prod_Nombre,16))</f>
        <v>Producto 16</v>
      </c>
      <c r="C141" s="15" t="s">
        <v>748</v>
      </c>
      <c r="D141" s="61" t="n">
        <f aca="false">INDEX(OV_V,16)</f>
        <v>0</v>
      </c>
    </row>
    <row r="142" customFormat="false" ht="15" hidden="false" customHeight="false" outlineLevel="0" collapsed="false">
      <c r="A142" s="11" t="s">
        <v>842</v>
      </c>
      <c r="B142" s="53" t="str">
        <f aca="false">IF(INDEX(Prod_Nombre,17)="","Producto 17",INDEX(Prod_Nombre,17))</f>
        <v>Producto 17</v>
      </c>
      <c r="C142" s="15" t="s">
        <v>748</v>
      </c>
      <c r="D142" s="61" t="n">
        <f aca="false">INDEX(OV_V,17)</f>
        <v>0</v>
      </c>
    </row>
    <row r="143" customFormat="false" ht="15" hidden="false" customHeight="false" outlineLevel="0" collapsed="false">
      <c r="A143" s="11" t="s">
        <v>843</v>
      </c>
      <c r="B143" s="53" t="str">
        <f aca="false">IF(INDEX(Prod_Nombre,18)="","Producto 18",INDEX(Prod_Nombre,18))</f>
        <v>Producto 18</v>
      </c>
      <c r="C143" s="15" t="s">
        <v>748</v>
      </c>
      <c r="D143" s="61" t="n">
        <f aca="false">INDEX(OV_V,18)</f>
        <v>0</v>
      </c>
    </row>
    <row r="144" customFormat="false" ht="15" hidden="false" customHeight="false" outlineLevel="0" collapsed="false">
      <c r="A144" s="11" t="s">
        <v>844</v>
      </c>
      <c r="B144" s="53" t="str">
        <f aca="false">IF(INDEX(Prod_Nombre,19)="","Producto 19",INDEX(Prod_Nombre,19))</f>
        <v>Producto 19</v>
      </c>
      <c r="C144" s="15" t="s">
        <v>748</v>
      </c>
      <c r="D144" s="61" t="n">
        <f aca="false">INDEX(OV_V,19)</f>
        <v>0</v>
      </c>
    </row>
    <row r="145" customFormat="false" ht="15" hidden="false" customHeight="false" outlineLevel="0" collapsed="false">
      <c r="A145" s="11" t="s">
        <v>845</v>
      </c>
      <c r="B145" s="53" t="str">
        <f aca="false">IF(INDEX(Prod_Nombre,20)="","Producto 20",INDEX(Prod_Nombre,20))</f>
        <v>Producto 20</v>
      </c>
      <c r="C145" s="15" t="s">
        <v>748</v>
      </c>
      <c r="D145" s="61" t="n">
        <f aca="false">INDEX(OV_V,20)</f>
        <v>0</v>
      </c>
    </row>
    <row r="146" customFormat="false" ht="15" hidden="false" customHeight="false" outlineLevel="0" collapsed="false">
      <c r="A146" s="11" t="s">
        <v>846</v>
      </c>
      <c r="B146" s="53" t="str">
        <f aca="false">IF(INDEX(Prod_Nombre,21)="","Producto 21",INDEX(Prod_Nombre,21))</f>
        <v>Producto 21</v>
      </c>
      <c r="C146" s="15" t="s">
        <v>748</v>
      </c>
      <c r="D146" s="61" t="n">
        <f aca="false">INDEX(OV_V,21)</f>
        <v>0</v>
      </c>
    </row>
    <row r="147" customFormat="false" ht="15" hidden="false" customHeight="false" outlineLevel="0" collapsed="false">
      <c r="A147" s="11" t="s">
        <v>847</v>
      </c>
      <c r="B147" s="53" t="str">
        <f aca="false">IF(INDEX(Prod_Nombre,22)="","Producto 22",INDEX(Prod_Nombre,22))</f>
        <v>Producto 22</v>
      </c>
      <c r="C147" s="15" t="s">
        <v>748</v>
      </c>
      <c r="D147" s="61" t="n">
        <f aca="false">INDEX(OV_V,22)</f>
        <v>0</v>
      </c>
    </row>
    <row r="148" customFormat="false" ht="15" hidden="false" customHeight="false" outlineLevel="0" collapsed="false">
      <c r="A148" s="11" t="s">
        <v>848</v>
      </c>
      <c r="B148" s="53" t="str">
        <f aca="false">IF(INDEX(Prod_Nombre,23)="","Producto 23",INDEX(Prod_Nombre,23))</f>
        <v>Producto 23</v>
      </c>
      <c r="C148" s="15" t="s">
        <v>748</v>
      </c>
      <c r="D148" s="61" t="n">
        <f aca="false">INDEX(OV_V,23)</f>
        <v>0</v>
      </c>
    </row>
    <row r="149" customFormat="false" ht="15" hidden="false" customHeight="false" outlineLevel="0" collapsed="false">
      <c r="A149" s="11" t="s">
        <v>849</v>
      </c>
      <c r="B149" s="53" t="str">
        <f aca="false">IF(INDEX(Prod_Nombre,24)="","Producto 24",INDEX(Prod_Nombre,24))</f>
        <v>Producto 24</v>
      </c>
      <c r="C149" s="15" t="s">
        <v>748</v>
      </c>
      <c r="D149" s="61" t="n">
        <f aca="false">INDEX(OV_V,24)</f>
        <v>0</v>
      </c>
    </row>
    <row r="150" customFormat="false" ht="15" hidden="false" customHeight="false" outlineLevel="0" collapsed="false">
      <c r="A150" s="11" t="s">
        <v>850</v>
      </c>
      <c r="B150" s="53" t="str">
        <f aca="false">IF(INDEX(Prod_Nombre,25)="","Producto 25",INDEX(Prod_Nombre,25))</f>
        <v>Producto 25</v>
      </c>
      <c r="C150" s="15" t="s">
        <v>748</v>
      </c>
      <c r="D150" s="61" t="n">
        <f aca="false">INDEX(OV_V,25)</f>
        <v>0</v>
      </c>
    </row>
    <row r="153" customFormat="false" ht="15" hidden="false" customHeight="false" outlineLevel="0" collapsed="false">
      <c r="A153" s="12" t="s">
        <v>851</v>
      </c>
      <c r="B153" s="13"/>
      <c r="C153" s="13"/>
      <c r="D153" s="13"/>
      <c r="E153" s="13"/>
    </row>
    <row r="154" customFormat="false" ht="15" hidden="false" customHeight="false" outlineLevel="0" collapsed="false">
      <c r="A154" s="11" t="s">
        <v>852</v>
      </c>
      <c r="B154" s="53" t="str">
        <f aca="false">IF(Costos!$B$6="","Puesto 1",Costos!$B$6)</f>
        <v>Operador láser</v>
      </c>
      <c r="C154" s="53" t="s">
        <v>853</v>
      </c>
      <c r="D154" s="61" t="n">
        <f aca="false">INDEX(Dot_V,1,1)</f>
        <v>4</v>
      </c>
    </row>
    <row r="155" customFormat="false" ht="15" hidden="false" customHeight="false" outlineLevel="0" collapsed="false">
      <c r="A155" s="11" t="s">
        <v>854</v>
      </c>
      <c r="B155" s="53" t="str">
        <f aca="false">IF(Costos!$B$7="","Puesto 2",Costos!$B$7)</f>
        <v>Doblador</v>
      </c>
      <c r="C155" s="53" t="s">
        <v>853</v>
      </c>
      <c r="D155" s="61" t="n">
        <f aca="false">INDEX(Dot_V,2,1)</f>
        <v>8</v>
      </c>
    </row>
    <row r="156" customFormat="false" ht="15" hidden="false" customHeight="false" outlineLevel="0" collapsed="false">
      <c r="A156" s="11" t="s">
        <v>855</v>
      </c>
      <c r="B156" s="53" t="str">
        <f aca="false">IF(Costos!$B$8="","Puesto 3",Costos!$B$8)</f>
        <v>Soldador</v>
      </c>
      <c r="C156" s="53" t="s">
        <v>853</v>
      </c>
      <c r="D156" s="61" t="n">
        <f aca="false">INDEX(Dot_V,3,1)</f>
        <v>5</v>
      </c>
    </row>
    <row r="157" customFormat="false" ht="15" hidden="false" customHeight="false" outlineLevel="0" collapsed="false">
      <c r="A157" s="11" t="s">
        <v>856</v>
      </c>
      <c r="B157" s="53" t="str">
        <f aca="false">IF(Costos!$B$9="","Puesto 4",Costos!$B$9)</f>
        <v>Baño</v>
      </c>
      <c r="C157" s="53" t="s">
        <v>853</v>
      </c>
      <c r="D157" s="61" t="n">
        <f aca="false">INDEX(Dot_V,4,1)</f>
        <v>2</v>
      </c>
    </row>
    <row r="158" customFormat="false" ht="15" hidden="false" customHeight="false" outlineLevel="0" collapsed="false">
      <c r="A158" s="11" t="s">
        <v>857</v>
      </c>
      <c r="B158" s="53" t="str">
        <f aca="false">IF(Costos!$B$10="","Puesto 5",Costos!$B$10)</f>
        <v>Pintor</v>
      </c>
      <c r="C158" s="53" t="s">
        <v>853</v>
      </c>
      <c r="D158" s="61" t="n">
        <f aca="false">INDEX(Dot_V,5,1)</f>
        <v>4</v>
      </c>
    </row>
    <row r="159" customFormat="false" ht="15" hidden="false" customHeight="false" outlineLevel="0" collapsed="false">
      <c r="A159" s="11" t="s">
        <v>858</v>
      </c>
      <c r="B159" s="53" t="str">
        <f aca="false">IF(Costos!$B$11="","Puesto 6",Costos!$B$11)</f>
        <v>Montador</v>
      </c>
      <c r="C159" s="53" t="s">
        <v>853</v>
      </c>
      <c r="D159" s="61" t="n">
        <f aca="false">INDEX(Dot_V,6,1)</f>
        <v>10</v>
      </c>
    </row>
    <row r="160" customFormat="false" ht="15" hidden="false" customHeight="false" outlineLevel="0" collapsed="false">
      <c r="A160" s="11" t="s">
        <v>859</v>
      </c>
      <c r="B160" s="53" t="str">
        <f aca="false">IF(Costos!$B$12="","Puesto 7",Costos!$B$12)</f>
        <v>Ayudante</v>
      </c>
      <c r="C160" s="53" t="s">
        <v>853</v>
      </c>
      <c r="D160" s="61" t="n">
        <f aca="false">INDEX(Dot_V,7,1)</f>
        <v>10</v>
      </c>
    </row>
    <row r="161" customFormat="false" ht="15" hidden="false" customHeight="false" outlineLevel="0" collapsed="false">
      <c r="A161" s="11" t="s">
        <v>860</v>
      </c>
      <c r="B161" s="53" t="str">
        <f aca="false">IF(Costos!$B$13="","Puesto 8",Costos!$B$13)</f>
        <v>Gerente General</v>
      </c>
      <c r="C161" s="53" t="s">
        <v>853</v>
      </c>
      <c r="D161" s="61" t="n">
        <f aca="false">INDEX(Dot_V,8,1)</f>
        <v>1</v>
      </c>
    </row>
    <row r="162" customFormat="false" ht="15" hidden="false" customHeight="false" outlineLevel="0" collapsed="false">
      <c r="A162" s="11" t="s">
        <v>861</v>
      </c>
      <c r="B162" s="53" t="str">
        <f aca="false">IF(Costos!$B$14="","Puesto 9",Costos!$B$14)</f>
        <v>Gerente Industrial</v>
      </c>
      <c r="C162" s="53" t="s">
        <v>853</v>
      </c>
      <c r="D162" s="61" t="n">
        <f aca="false">INDEX(Dot_V,9,1)</f>
        <v>1</v>
      </c>
    </row>
    <row r="163" customFormat="false" ht="15" hidden="false" customHeight="false" outlineLevel="0" collapsed="false">
      <c r="A163" s="11" t="s">
        <v>862</v>
      </c>
      <c r="B163" s="53" t="str">
        <f aca="false">IF(Costos!$B$15="","Puesto 10",Costos!$B$15)</f>
        <v>Coord. Prod. Corte y Deformación</v>
      </c>
      <c r="C163" s="53" t="s">
        <v>853</v>
      </c>
      <c r="D163" s="61" t="n">
        <f aca="false">INDEX(Dot_V,10,1)</f>
        <v>1</v>
      </c>
    </row>
    <row r="164" customFormat="false" ht="15" hidden="false" customHeight="false" outlineLevel="0" collapsed="false">
      <c r="A164" s="11" t="s">
        <v>863</v>
      </c>
      <c r="B164" s="53" t="str">
        <f aca="false">IF(Costos!$B$16="","Puesto 11",Costos!$B$16)</f>
        <v>Coord. Prod. Soldadura</v>
      </c>
      <c r="C164" s="53" t="s">
        <v>853</v>
      </c>
      <c r="D164" s="61" t="n">
        <f aca="false">INDEX(Dot_V,11,1)</f>
        <v>1</v>
      </c>
    </row>
    <row r="165" customFormat="false" ht="15" hidden="false" customHeight="false" outlineLevel="0" collapsed="false">
      <c r="A165" s="11" t="s">
        <v>864</v>
      </c>
      <c r="B165" s="53" t="str">
        <f aca="false">IF(Costos!$B$17="","Puesto 12",Costos!$B$17)</f>
        <v>Coord. Prod. Trat. Sup. y Pintura</v>
      </c>
      <c r="C165" s="53" t="s">
        <v>853</v>
      </c>
      <c r="D165" s="61" t="n">
        <f aca="false">INDEX(Dot_V,12,1)</f>
        <v>1</v>
      </c>
    </row>
    <row r="166" customFormat="false" ht="15" hidden="false" customHeight="false" outlineLevel="0" collapsed="false">
      <c r="A166" s="11" t="s">
        <v>865</v>
      </c>
      <c r="B166" s="53" t="str">
        <f aca="false">IF(Costos!$B$18="","Puesto 13",Costos!$B$18)</f>
        <v>Coord. Prod. Montaje</v>
      </c>
      <c r="C166" s="53" t="s">
        <v>853</v>
      </c>
      <c r="D166" s="61" t="n">
        <f aca="false">INDEX(Dot_V,13,1)</f>
        <v>1</v>
      </c>
    </row>
    <row r="167" customFormat="false" ht="15" hidden="false" customHeight="false" outlineLevel="0" collapsed="false">
      <c r="A167" s="11" t="s">
        <v>866</v>
      </c>
      <c r="B167" s="53" t="str">
        <f aca="false">IF(Costos!$B$19="","Puesto 14",Costos!$B$19)</f>
        <v>Ingeniería</v>
      </c>
      <c r="C167" s="53" t="s">
        <v>853</v>
      </c>
      <c r="D167" s="61" t="n">
        <f aca="false">INDEX(Dot_V,14,1)</f>
        <v>3</v>
      </c>
    </row>
    <row r="168" customFormat="false" ht="15" hidden="false" customHeight="false" outlineLevel="0" collapsed="false">
      <c r="A168" s="11" t="s">
        <v>867</v>
      </c>
      <c r="B168" s="53" t="str">
        <f aca="false">IF(Costos!$B$20="","Puesto 15",Costos!$B$20)</f>
        <v>Mantenimiento</v>
      </c>
      <c r="C168" s="53" t="s">
        <v>853</v>
      </c>
      <c r="D168" s="61" t="n">
        <f aca="false">INDEX(Dot_V,15,1)</f>
        <v>2</v>
      </c>
    </row>
    <row r="169" customFormat="false" ht="15" hidden="false" customHeight="false" outlineLevel="0" collapsed="false">
      <c r="A169" s="11" t="s">
        <v>868</v>
      </c>
      <c r="B169" s="53" t="str">
        <f aca="false">IF(Costos!$B$21="","Puesto 16",Costos!$B$21)</f>
        <v>PCP</v>
      </c>
      <c r="C169" s="53" t="s">
        <v>853</v>
      </c>
      <c r="D169" s="61" t="n">
        <f aca="false">INDEX(Dot_V,16,1)</f>
        <v>1</v>
      </c>
    </row>
    <row r="170" customFormat="false" ht="15" hidden="false" customHeight="false" outlineLevel="0" collapsed="false">
      <c r="A170" s="11" t="s">
        <v>869</v>
      </c>
      <c r="B170" s="53" t="str">
        <f aca="false">IF(Costos!$B$22="","Puesto 17",Costos!$B$22)</f>
        <v>Analista PCP</v>
      </c>
      <c r="C170" s="53" t="s">
        <v>853</v>
      </c>
      <c r="D170" s="61" t="n">
        <f aca="false">INDEX(Dot_V,17,1)</f>
        <v>1</v>
      </c>
    </row>
    <row r="171" customFormat="false" ht="15" hidden="false" customHeight="false" outlineLevel="0" collapsed="false">
      <c r="A171" s="11" t="s">
        <v>870</v>
      </c>
      <c r="B171" s="53" t="str">
        <f aca="false">IF(Costos!$B$23="","Puesto 18",Costos!$B$23)</f>
        <v>Depósito</v>
      </c>
      <c r="C171" s="53" t="s">
        <v>853</v>
      </c>
      <c r="D171" s="61" t="n">
        <f aca="false">INDEX(Dot_V,18,1)</f>
        <v>1</v>
      </c>
    </row>
    <row r="172" customFormat="false" ht="15" hidden="false" customHeight="false" outlineLevel="0" collapsed="false">
      <c r="A172" s="11" t="s">
        <v>871</v>
      </c>
      <c r="B172" s="53" t="str">
        <f aca="false">IF(Costos!$B$24="","Puesto 19",Costos!$B$24)</f>
        <v>Compras</v>
      </c>
      <c r="C172" s="53" t="s">
        <v>853</v>
      </c>
      <c r="D172" s="61" t="n">
        <f aca="false">INDEX(Dot_V,19,1)</f>
        <v>1</v>
      </c>
    </row>
    <row r="173" customFormat="false" ht="15" hidden="false" customHeight="false" outlineLevel="0" collapsed="false">
      <c r="A173" s="11" t="s">
        <v>872</v>
      </c>
      <c r="B173" s="53" t="str">
        <f aca="false">IF(Costos!$B$25="","Puesto 20",Costos!$B$25)</f>
        <v>Logística/Comex</v>
      </c>
      <c r="C173" s="53" t="s">
        <v>853</v>
      </c>
      <c r="D173" s="61" t="n">
        <f aca="false">INDEX(Dot_V,20,1)</f>
        <v>1</v>
      </c>
    </row>
    <row r="174" customFormat="false" ht="15" hidden="false" customHeight="false" outlineLevel="0" collapsed="false">
      <c r="A174" s="11" t="s">
        <v>873</v>
      </c>
      <c r="B174" s="53" t="str">
        <f aca="false">IF(Costos!$B$26="","Puesto 21",Costos!$B$26)</f>
        <v>Coord. Control Calidad</v>
      </c>
      <c r="C174" s="53" t="s">
        <v>853</v>
      </c>
      <c r="D174" s="61" t="n">
        <f aca="false">INDEX(Dot_V,21,1)</f>
        <v>1</v>
      </c>
    </row>
    <row r="175" customFormat="false" ht="15" hidden="false" customHeight="false" outlineLevel="0" collapsed="false">
      <c r="A175" s="11" t="s">
        <v>874</v>
      </c>
      <c r="B175" s="53" t="str">
        <f aca="false">IF(Costos!$B$27="","Puesto 22",Costos!$B$27)</f>
        <v>Asistente Control Calidad</v>
      </c>
      <c r="C175" s="53" t="s">
        <v>853</v>
      </c>
      <c r="D175" s="61" t="n">
        <f aca="false">INDEX(Dot_V,22,1)</f>
        <v>1</v>
      </c>
    </row>
    <row r="176" customFormat="false" ht="15" hidden="false" customHeight="false" outlineLevel="0" collapsed="false">
      <c r="A176" s="11" t="s">
        <v>875</v>
      </c>
      <c r="B176" s="53" t="str">
        <f aca="false">IF(Costos!$B$28="","Puesto 23",Costos!$B$28)</f>
        <v>Coord. Procesos</v>
      </c>
      <c r="C176" s="53" t="s">
        <v>853</v>
      </c>
      <c r="D176" s="61" t="n">
        <f aca="false">INDEX(Dot_V,23,1)</f>
        <v>1</v>
      </c>
    </row>
    <row r="177" customFormat="false" ht="15" hidden="false" customHeight="false" outlineLevel="0" collapsed="false">
      <c r="A177" s="11" t="s">
        <v>876</v>
      </c>
      <c r="B177" s="53" t="str">
        <f aca="false">IF(Costos!$B$29="","Puesto 24",Costos!$B$29)</f>
        <v>Asistente Procesos</v>
      </c>
      <c r="C177" s="53" t="s">
        <v>853</v>
      </c>
      <c r="D177" s="61" t="n">
        <f aca="false">INDEX(Dot_V,24,1)</f>
        <v>1</v>
      </c>
    </row>
    <row r="178" customFormat="false" ht="15" hidden="false" customHeight="false" outlineLevel="0" collapsed="false">
      <c r="A178" s="11" t="s">
        <v>877</v>
      </c>
      <c r="B178" s="53" t="str">
        <f aca="false">IF(Costos!$B$30="","Puesto 25",Costos!$B$30)</f>
        <v>Administrador</v>
      </c>
      <c r="C178" s="53" t="s">
        <v>853</v>
      </c>
      <c r="D178" s="61" t="n">
        <f aca="false">INDEX(Dot_V,25,1)</f>
        <v>1</v>
      </c>
    </row>
    <row r="179" customFormat="false" ht="15" hidden="false" customHeight="false" outlineLevel="0" collapsed="false">
      <c r="A179" s="11" t="s">
        <v>878</v>
      </c>
      <c r="B179" s="53" t="str">
        <f aca="false">IF(Costos!$B$31="","Puesto 26",Costos!$B$31)</f>
        <v>Asistente Administrativo</v>
      </c>
      <c r="C179" s="53" t="s">
        <v>853</v>
      </c>
      <c r="D179" s="61" t="n">
        <f aca="false">INDEX(Dot_V,26,1)</f>
        <v>1</v>
      </c>
    </row>
    <row r="180" customFormat="false" ht="15" hidden="false" customHeight="false" outlineLevel="0" collapsed="false">
      <c r="A180" s="11" t="s">
        <v>879</v>
      </c>
      <c r="B180" s="53" t="str">
        <f aca="false">IF(Costos!$B$32="","Puesto 27",Costos!$B$32)</f>
        <v>Puesto 27</v>
      </c>
      <c r="C180" s="53" t="s">
        <v>853</v>
      </c>
      <c r="D180" s="61" t="n">
        <f aca="false">INDEX(Dot_V,27,1)</f>
        <v>0</v>
      </c>
    </row>
    <row r="181" customFormat="false" ht="15" hidden="false" customHeight="false" outlineLevel="0" collapsed="false">
      <c r="A181" s="11" t="s">
        <v>880</v>
      </c>
      <c r="B181" s="53" t="str">
        <f aca="false">IF(Costos!$B$33="","Puesto 28",Costos!$B$33)</f>
        <v>Puesto 28</v>
      </c>
      <c r="C181" s="53" t="s">
        <v>853</v>
      </c>
      <c r="D181" s="61" t="n">
        <f aca="false">INDEX(Dot_V,28,1)</f>
        <v>0</v>
      </c>
    </row>
    <row r="182" customFormat="false" ht="15" hidden="false" customHeight="false" outlineLevel="0" collapsed="false">
      <c r="A182" s="11" t="s">
        <v>881</v>
      </c>
      <c r="B182" s="53" t="str">
        <f aca="false">IF(Costos!$B$34="","Puesto 29",Costos!$B$34)</f>
        <v>Puesto 29</v>
      </c>
      <c r="C182" s="53" t="s">
        <v>853</v>
      </c>
      <c r="D182" s="61" t="n">
        <f aca="false">INDEX(Dot_V,29,1)</f>
        <v>0</v>
      </c>
    </row>
    <row r="183" customFormat="false" ht="15" hidden="false" customHeight="false" outlineLevel="0" collapsed="false">
      <c r="A183" s="11" t="s">
        <v>882</v>
      </c>
      <c r="B183" s="53" t="str">
        <f aca="false">IF(Costos!$B$35="","Puesto 30",Costos!$B$35)</f>
        <v>Puesto 30</v>
      </c>
      <c r="C183" s="53" t="s">
        <v>853</v>
      </c>
      <c r="D183" s="61" t="n">
        <f aca="false">INDEX(Dot_V,30,1)</f>
        <v>0</v>
      </c>
    </row>
    <row r="186" customFormat="false" ht="15" hidden="false" customHeight="false" outlineLevel="0" collapsed="false">
      <c r="A186" s="12" t="s">
        <v>883</v>
      </c>
      <c r="B186" s="13"/>
      <c r="C186" s="13"/>
      <c r="D186" s="13"/>
      <c r="E186" s="13"/>
    </row>
    <row r="187" customFormat="false" ht="15" hidden="false" customHeight="false" outlineLevel="0" collapsed="false">
      <c r="A187" s="11" t="s">
        <v>884</v>
      </c>
      <c r="B187" s="53" t="str">
        <f aca="false">IF(Costos!$B$6="","Puesto 1",Costos!$B$6)</f>
        <v>Operador láser</v>
      </c>
      <c r="C187" s="53" t="str">
        <f aca="false">IF(Costos!$D$6="","",Costos!$D$6)</f>
        <v>PYG</v>
      </c>
      <c r="D187" s="61" t="n">
        <f aca="false">INDEX(Sal_V,1)</f>
        <v>4668900</v>
      </c>
    </row>
    <row r="188" customFormat="false" ht="15" hidden="false" customHeight="false" outlineLevel="0" collapsed="false">
      <c r="A188" s="11" t="s">
        <v>885</v>
      </c>
      <c r="B188" s="53" t="str">
        <f aca="false">IF(Costos!$B$7="","Puesto 2",Costos!$B$7)</f>
        <v>Doblador</v>
      </c>
      <c r="C188" s="53" t="str">
        <f aca="false">IF(Costos!$D$7="","",Costos!$D$7)</f>
        <v>PYG</v>
      </c>
      <c r="D188" s="61" t="n">
        <f aca="false">INDEX(Sal_V,2)</f>
        <v>3650655</v>
      </c>
    </row>
    <row r="189" customFormat="false" ht="15" hidden="false" customHeight="false" outlineLevel="0" collapsed="false">
      <c r="A189" s="11" t="s">
        <v>886</v>
      </c>
      <c r="B189" s="53" t="str">
        <f aca="false">IF(Costos!$B$8="","Puesto 3",Costos!$B$8)</f>
        <v>Soldador</v>
      </c>
      <c r="C189" s="53" t="str">
        <f aca="false">IF(Costos!$D$8="","",Costos!$D$8)</f>
        <v>PYG</v>
      </c>
      <c r="D189" s="61" t="n">
        <f aca="false">INDEX(Sal_V,3)</f>
        <v>3968900</v>
      </c>
    </row>
    <row r="190" customFormat="false" ht="15" hidden="false" customHeight="false" outlineLevel="0" collapsed="false">
      <c r="A190" s="11" t="s">
        <v>887</v>
      </c>
      <c r="B190" s="53" t="str">
        <f aca="false">IF(Costos!$B$9="","Puesto 4",Costos!$B$9)</f>
        <v>Baño</v>
      </c>
      <c r="C190" s="53" t="str">
        <f aca="false">IF(Costos!$D$9="","",Costos!$D$9)</f>
        <v>PYG</v>
      </c>
      <c r="D190" s="61" t="n">
        <f aca="false">INDEX(Sal_V,4)</f>
        <v>3650655</v>
      </c>
    </row>
    <row r="191" customFormat="false" ht="15" hidden="false" customHeight="false" outlineLevel="0" collapsed="false">
      <c r="A191" s="11" t="s">
        <v>888</v>
      </c>
      <c r="B191" s="53" t="str">
        <f aca="false">IF(Costos!$B$10="","Puesto 5",Costos!$B$10)</f>
        <v>Pintor</v>
      </c>
      <c r="C191" s="53" t="str">
        <f aca="false">IF(Costos!$D$10="","",Costos!$D$10)</f>
        <v>PYG</v>
      </c>
      <c r="D191" s="61" t="n">
        <f aca="false">INDEX(Sal_V,5)</f>
        <v>3650655</v>
      </c>
    </row>
    <row r="192" customFormat="false" ht="15" hidden="false" customHeight="false" outlineLevel="0" collapsed="false">
      <c r="A192" s="11" t="s">
        <v>889</v>
      </c>
      <c r="B192" s="53" t="str">
        <f aca="false">IF(Costos!$B$11="","Puesto 6",Costos!$B$11)</f>
        <v>Montador</v>
      </c>
      <c r="C192" s="53" t="str">
        <f aca="false">IF(Costos!$D$11="","",Costos!$D$11)</f>
        <v>PYG</v>
      </c>
      <c r="D192" s="61" t="n">
        <f aca="false">INDEX(Sal_V,6)</f>
        <v>3150655</v>
      </c>
    </row>
    <row r="193" customFormat="false" ht="15" hidden="false" customHeight="false" outlineLevel="0" collapsed="false">
      <c r="A193" s="11" t="s">
        <v>890</v>
      </c>
      <c r="B193" s="53" t="str">
        <f aca="false">IF(Costos!$B$12="","Puesto 7",Costos!$B$12)</f>
        <v>Ayudante</v>
      </c>
      <c r="C193" s="53" t="str">
        <f aca="false">IF(Costos!$D$12="","",Costos!$D$12)</f>
        <v>PYG</v>
      </c>
      <c r="D193" s="61" t="n">
        <f aca="false">INDEX(Sal_V,7)</f>
        <v>2798309</v>
      </c>
    </row>
    <row r="194" customFormat="false" ht="15" hidden="false" customHeight="false" outlineLevel="0" collapsed="false">
      <c r="A194" s="11" t="s">
        <v>891</v>
      </c>
      <c r="B194" s="53" t="str">
        <f aca="false">IF(Costos!$B$13="","Puesto 8",Costos!$B$13)</f>
        <v>Gerente General</v>
      </c>
      <c r="C194" s="53" t="str">
        <f aca="false">IF(Costos!$D$13="","",Costos!$D$13)</f>
        <v>PYG</v>
      </c>
      <c r="D194" s="61" t="n">
        <f aca="false">INDEX(Sal_V,8)</f>
        <v>18000000</v>
      </c>
    </row>
    <row r="195" customFormat="false" ht="15" hidden="false" customHeight="false" outlineLevel="0" collapsed="false">
      <c r="A195" s="11" t="s">
        <v>892</v>
      </c>
      <c r="B195" s="53" t="str">
        <f aca="false">IF(Costos!$B$14="","Puesto 9",Costos!$B$14)</f>
        <v>Gerente Industrial</v>
      </c>
      <c r="C195" s="53" t="str">
        <f aca="false">IF(Costos!$D$14="","",Costos!$D$14)</f>
        <v>PYG</v>
      </c>
      <c r="D195" s="61" t="n">
        <f aca="false">INDEX(Sal_V,9)</f>
        <v>9800000</v>
      </c>
    </row>
    <row r="196" customFormat="false" ht="15" hidden="false" customHeight="false" outlineLevel="0" collapsed="false">
      <c r="A196" s="11" t="s">
        <v>893</v>
      </c>
      <c r="B196" s="53" t="str">
        <f aca="false">IF(Costos!$B$15="","Puesto 10",Costos!$B$15)</f>
        <v>Coord. Prod. Corte y Deformación</v>
      </c>
      <c r="C196" s="53" t="str">
        <f aca="false">IF(Costos!$D$15="","",Costos!$D$15)</f>
        <v>PYG</v>
      </c>
      <c r="D196" s="61" t="n">
        <f aca="false">INDEX(Sal_V,10)</f>
        <v>6550000</v>
      </c>
    </row>
    <row r="197" customFormat="false" ht="15" hidden="false" customHeight="false" outlineLevel="0" collapsed="false">
      <c r="A197" s="11" t="s">
        <v>894</v>
      </c>
      <c r="B197" s="53" t="str">
        <f aca="false">IF(Costos!$B$16="","Puesto 11",Costos!$B$16)</f>
        <v>Coord. Prod. Soldadura</v>
      </c>
      <c r="C197" s="53" t="str">
        <f aca="false">IF(Costos!$D$16="","",Costos!$D$16)</f>
        <v>PYG</v>
      </c>
      <c r="D197" s="61" t="n">
        <f aca="false">INDEX(Sal_V,11)</f>
        <v>6550000</v>
      </c>
    </row>
    <row r="198" customFormat="false" ht="15" hidden="false" customHeight="false" outlineLevel="0" collapsed="false">
      <c r="A198" s="11" t="s">
        <v>895</v>
      </c>
      <c r="B198" s="53" t="str">
        <f aca="false">IF(Costos!$B$17="","Puesto 12",Costos!$B$17)</f>
        <v>Coord. Prod. Trat. Sup. y Pintura</v>
      </c>
      <c r="C198" s="53" t="str">
        <f aca="false">IF(Costos!$D$17="","",Costos!$D$17)</f>
        <v>PYG</v>
      </c>
      <c r="D198" s="61" t="n">
        <f aca="false">INDEX(Sal_V,12)</f>
        <v>6550000</v>
      </c>
    </row>
    <row r="199" customFormat="false" ht="15" hidden="false" customHeight="false" outlineLevel="0" collapsed="false">
      <c r="A199" s="11" t="s">
        <v>896</v>
      </c>
      <c r="B199" s="53" t="str">
        <f aca="false">IF(Costos!$B$18="","Puesto 13",Costos!$B$18)</f>
        <v>Coord. Prod. Montaje</v>
      </c>
      <c r="C199" s="53" t="str">
        <f aca="false">IF(Costos!$D$18="","",Costos!$D$18)</f>
        <v>PYG</v>
      </c>
      <c r="D199" s="61" t="n">
        <f aca="false">INDEX(Sal_V,13)</f>
        <v>6550000</v>
      </c>
    </row>
    <row r="200" customFormat="false" ht="15" hidden="false" customHeight="false" outlineLevel="0" collapsed="false">
      <c r="A200" s="11" t="s">
        <v>897</v>
      </c>
      <c r="B200" s="53" t="str">
        <f aca="false">IF(Costos!$B$19="","Puesto 14",Costos!$B$19)</f>
        <v>Ingeniería</v>
      </c>
      <c r="C200" s="53" t="str">
        <f aca="false">IF(Costos!$D$19="","",Costos!$D$19)</f>
        <v>PYG</v>
      </c>
      <c r="D200" s="61" t="n">
        <f aca="false">INDEX(Sal_V,14)</f>
        <v>6550000</v>
      </c>
    </row>
    <row r="201" customFormat="false" ht="15" hidden="false" customHeight="false" outlineLevel="0" collapsed="false">
      <c r="A201" s="11" t="s">
        <v>898</v>
      </c>
      <c r="B201" s="53" t="str">
        <f aca="false">IF(Costos!$B$20="","Puesto 15",Costos!$B$20)</f>
        <v>Mantenimiento</v>
      </c>
      <c r="C201" s="53" t="str">
        <f aca="false">IF(Costos!$D$20="","",Costos!$D$20)</f>
        <v>PYG</v>
      </c>
      <c r="D201" s="61" t="n">
        <f aca="false">INDEX(Sal_V,15)</f>
        <v>3650655</v>
      </c>
    </row>
    <row r="202" customFormat="false" ht="15" hidden="false" customHeight="false" outlineLevel="0" collapsed="false">
      <c r="A202" s="11" t="s">
        <v>899</v>
      </c>
      <c r="B202" s="53" t="str">
        <f aca="false">IF(Costos!$B$21="","Puesto 16",Costos!$B$21)</f>
        <v>PCP</v>
      </c>
      <c r="C202" s="53" t="str">
        <f aca="false">IF(Costos!$D$21="","",Costos!$D$21)</f>
        <v>PYG</v>
      </c>
      <c r="D202" s="61" t="n">
        <f aca="false">INDEX(Sal_V,16)</f>
        <v>9800000</v>
      </c>
    </row>
    <row r="203" customFormat="false" ht="15" hidden="false" customHeight="false" outlineLevel="0" collapsed="false">
      <c r="A203" s="11" t="s">
        <v>900</v>
      </c>
      <c r="B203" s="53" t="str">
        <f aca="false">IF(Costos!$B$22="","Puesto 17",Costos!$B$22)</f>
        <v>Analista PCP</v>
      </c>
      <c r="C203" s="53" t="str">
        <f aca="false">IF(Costos!$D$22="","",Costos!$D$22)</f>
        <v>PYG</v>
      </c>
      <c r="D203" s="61" t="n">
        <f aca="false">INDEX(Sal_V,17)</f>
        <v>2798309</v>
      </c>
    </row>
    <row r="204" customFormat="false" ht="15" hidden="false" customHeight="false" outlineLevel="0" collapsed="false">
      <c r="A204" s="11" t="s">
        <v>901</v>
      </c>
      <c r="B204" s="53" t="str">
        <f aca="false">IF(Costos!$B$23="","Puesto 18",Costos!$B$23)</f>
        <v>Depósito</v>
      </c>
      <c r="C204" s="53" t="str">
        <f aca="false">IF(Costos!$D$23="","",Costos!$D$23)</f>
        <v>PYG</v>
      </c>
      <c r="D204" s="61" t="n">
        <f aca="false">INDEX(Sal_V,18)</f>
        <v>3150655</v>
      </c>
    </row>
    <row r="205" customFormat="false" ht="15" hidden="false" customHeight="false" outlineLevel="0" collapsed="false">
      <c r="A205" s="11" t="s">
        <v>902</v>
      </c>
      <c r="B205" s="53" t="str">
        <f aca="false">IF(Costos!$B$24="","Puesto 19",Costos!$B$24)</f>
        <v>Compras</v>
      </c>
      <c r="C205" s="53" t="str">
        <f aca="false">IF(Costos!$D$24="","",Costos!$D$24)</f>
        <v>PYG</v>
      </c>
      <c r="D205" s="61" t="n">
        <f aca="false">INDEX(Sal_V,19)</f>
        <v>6550000</v>
      </c>
    </row>
    <row r="206" customFormat="false" ht="15" hidden="false" customHeight="false" outlineLevel="0" collapsed="false">
      <c r="A206" s="11" t="s">
        <v>903</v>
      </c>
      <c r="B206" s="53" t="str">
        <f aca="false">IF(Costos!$B$25="","Puesto 20",Costos!$B$25)</f>
        <v>Logística/Comex</v>
      </c>
      <c r="C206" s="53" t="str">
        <f aca="false">IF(Costos!$D$25="","",Costos!$D$25)</f>
        <v>PYG</v>
      </c>
      <c r="D206" s="61" t="n">
        <f aca="false">INDEX(Sal_V,20)</f>
        <v>6550000</v>
      </c>
    </row>
    <row r="207" customFormat="false" ht="15" hidden="false" customHeight="false" outlineLevel="0" collapsed="false">
      <c r="A207" s="11" t="s">
        <v>904</v>
      </c>
      <c r="B207" s="53" t="str">
        <f aca="false">IF(Costos!$B$26="","Puesto 21",Costos!$B$26)</f>
        <v>Coord. Control Calidad</v>
      </c>
      <c r="C207" s="53" t="str">
        <f aca="false">IF(Costos!$D$26="","",Costos!$D$26)</f>
        <v>PYG</v>
      </c>
      <c r="D207" s="61" t="n">
        <f aca="false">INDEX(Sal_V,21)</f>
        <v>6550000</v>
      </c>
    </row>
    <row r="208" customFormat="false" ht="15" hidden="false" customHeight="false" outlineLevel="0" collapsed="false">
      <c r="A208" s="11" t="s">
        <v>905</v>
      </c>
      <c r="B208" s="53" t="str">
        <f aca="false">IF(Costos!$B$27="","Puesto 22",Costos!$B$27)</f>
        <v>Asistente Control Calidad</v>
      </c>
      <c r="C208" s="53" t="str">
        <f aca="false">IF(Costos!$D$27="","",Costos!$D$27)</f>
        <v>PYG</v>
      </c>
      <c r="D208" s="61" t="n">
        <f aca="false">INDEX(Sal_V,22)</f>
        <v>2798309</v>
      </c>
    </row>
    <row r="209" customFormat="false" ht="15" hidden="false" customHeight="false" outlineLevel="0" collapsed="false">
      <c r="A209" s="11" t="s">
        <v>906</v>
      </c>
      <c r="B209" s="53" t="str">
        <f aca="false">IF(Costos!$B$28="","Puesto 23",Costos!$B$28)</f>
        <v>Coord. Procesos</v>
      </c>
      <c r="C209" s="53" t="str">
        <f aca="false">IF(Costos!$D$28="","",Costos!$D$28)</f>
        <v>PYG</v>
      </c>
      <c r="D209" s="61" t="n">
        <f aca="false">INDEX(Sal_V,23)</f>
        <v>6550000</v>
      </c>
    </row>
    <row r="210" customFormat="false" ht="15" hidden="false" customHeight="false" outlineLevel="0" collapsed="false">
      <c r="A210" s="11" t="s">
        <v>907</v>
      </c>
      <c r="B210" s="53" t="str">
        <f aca="false">IF(Costos!$B$29="","Puesto 24",Costos!$B$29)</f>
        <v>Asistente Procesos</v>
      </c>
      <c r="C210" s="53" t="str">
        <f aca="false">IF(Costos!$D$29="","",Costos!$D$29)</f>
        <v>PYG</v>
      </c>
      <c r="D210" s="61" t="n">
        <f aca="false">INDEX(Sal_V,24)</f>
        <v>2798309</v>
      </c>
    </row>
    <row r="211" customFormat="false" ht="15" hidden="false" customHeight="false" outlineLevel="0" collapsed="false">
      <c r="A211" s="11" t="s">
        <v>908</v>
      </c>
      <c r="B211" s="53" t="str">
        <f aca="false">IF(Costos!$B$30="","Puesto 25",Costos!$B$30)</f>
        <v>Administrador</v>
      </c>
      <c r="C211" s="53" t="str">
        <f aca="false">IF(Costos!$D$30="","",Costos!$D$30)</f>
        <v>PYG</v>
      </c>
      <c r="D211" s="61" t="n">
        <f aca="false">INDEX(Sal_V,25)</f>
        <v>9800000</v>
      </c>
    </row>
    <row r="212" customFormat="false" ht="15" hidden="false" customHeight="false" outlineLevel="0" collapsed="false">
      <c r="A212" s="11" t="s">
        <v>909</v>
      </c>
      <c r="B212" s="53" t="str">
        <f aca="false">IF(Costos!$B$31="","Puesto 26",Costos!$B$31)</f>
        <v>Asistente Administrativo</v>
      </c>
      <c r="C212" s="53" t="str">
        <f aca="false">IF(Costos!$D$31="","",Costos!$D$31)</f>
        <v>PYG</v>
      </c>
      <c r="D212" s="61" t="n">
        <f aca="false">INDEX(Sal_V,26)</f>
        <v>2798309</v>
      </c>
    </row>
    <row r="213" customFormat="false" ht="15" hidden="false" customHeight="false" outlineLevel="0" collapsed="false">
      <c r="A213" s="11" t="s">
        <v>910</v>
      </c>
      <c r="B213" s="53" t="str">
        <f aca="false">IF(Costos!$B$32="","Puesto 27",Costos!$B$32)</f>
        <v>Puesto 27</v>
      </c>
      <c r="C213" s="53" t="str">
        <f aca="false">IF(Costos!$D$32="","",Costos!$D$32)</f>
        <v/>
      </c>
      <c r="D213" s="61" t="n">
        <f aca="false">INDEX(Sal_V,27)</f>
        <v>0</v>
      </c>
    </row>
    <row r="214" customFormat="false" ht="15" hidden="false" customHeight="false" outlineLevel="0" collapsed="false">
      <c r="A214" s="11" t="s">
        <v>911</v>
      </c>
      <c r="B214" s="53" t="str">
        <f aca="false">IF(Costos!$B$33="","Puesto 28",Costos!$B$33)</f>
        <v>Puesto 28</v>
      </c>
      <c r="C214" s="53" t="str">
        <f aca="false">IF(Costos!$D$33="","",Costos!$D$33)</f>
        <v/>
      </c>
      <c r="D214" s="61" t="n">
        <f aca="false">INDEX(Sal_V,28)</f>
        <v>0</v>
      </c>
    </row>
    <row r="215" customFormat="false" ht="15" hidden="false" customHeight="false" outlineLevel="0" collapsed="false">
      <c r="A215" s="11" t="s">
        <v>912</v>
      </c>
      <c r="B215" s="53" t="str">
        <f aca="false">IF(Costos!$B$34="","Puesto 29",Costos!$B$34)</f>
        <v>Puesto 29</v>
      </c>
      <c r="C215" s="53" t="str">
        <f aca="false">IF(Costos!$D$34="","",Costos!$D$34)</f>
        <v/>
      </c>
      <c r="D215" s="61" t="n">
        <f aca="false">INDEX(Sal_V,29)</f>
        <v>0</v>
      </c>
    </row>
    <row r="216" customFormat="false" ht="15" hidden="false" customHeight="false" outlineLevel="0" collapsed="false">
      <c r="A216" s="11" t="s">
        <v>913</v>
      </c>
      <c r="B216" s="53" t="str">
        <f aca="false">IF(Costos!$B$35="","Puesto 30",Costos!$B$35)</f>
        <v>Puesto 30</v>
      </c>
      <c r="C216" s="53" t="str">
        <f aca="false">IF(Costos!$D$35="","",Costos!$D$35)</f>
        <v/>
      </c>
      <c r="D216" s="61" t="n">
        <f aca="false">INDEX(Sal_V,30)</f>
        <v>0</v>
      </c>
    </row>
    <row r="219" customFormat="false" ht="15" hidden="false" customHeight="false" outlineLevel="0" collapsed="false">
      <c r="A219" s="12" t="s">
        <v>914</v>
      </c>
      <c r="B219" s="13"/>
      <c r="C219" s="13"/>
      <c r="D219" s="13"/>
      <c r="E219" s="13"/>
    </row>
    <row r="220" customFormat="false" ht="15" hidden="false" customHeight="false" outlineLevel="0" collapsed="false">
      <c r="A220" s="11" t="s">
        <v>915</v>
      </c>
      <c r="B220" s="53" t="str">
        <f aca="false">IF(Costos!$B$75="","Concepto 1",Costos!$B$75)</f>
        <v>Energía eléctrica planta</v>
      </c>
      <c r="C220" s="53" t="str">
        <f aca="false">IF(Costos!$D$75="","",Costos!$D$75)</f>
        <v>PYG</v>
      </c>
      <c r="D220" s="61" t="n">
        <f aca="false">INDEX(FC_V,1)</f>
        <v>14000000</v>
      </c>
    </row>
    <row r="221" customFormat="false" ht="15" hidden="false" customHeight="false" outlineLevel="0" collapsed="false">
      <c r="A221" s="11" t="s">
        <v>916</v>
      </c>
      <c r="B221" s="53" t="str">
        <f aca="false">IF(Costos!$B$76="","Concepto 2",Costos!$B$76)</f>
        <v>Mantenimiento y reparaciones planta</v>
      </c>
      <c r="C221" s="53" t="str">
        <f aca="false">IF(Costos!$D$76="","",Costos!$D$76)</f>
        <v>USD</v>
      </c>
      <c r="D221" s="61" t="n">
        <f aca="false">INDEX(FC_V,2)</f>
        <v>2475.67</v>
      </c>
    </row>
    <row r="222" customFormat="false" ht="15" hidden="false" customHeight="false" outlineLevel="0" collapsed="false">
      <c r="A222" s="11" t="s">
        <v>917</v>
      </c>
      <c r="B222" s="53" t="str">
        <f aca="false">IF(Costos!$B$77="","Concepto 3",Costos!$B$77)</f>
        <v>Alquiler de nave (3.865 m2 x USD 4 + IVA)</v>
      </c>
      <c r="C222" s="53" t="str">
        <f aca="false">IF(Costos!$D$77="","",Costos!$D$77)</f>
        <v>USD</v>
      </c>
      <c r="D222" s="61" t="n">
        <f aca="false">INDEX(FC_V,3)</f>
        <v>17006</v>
      </c>
    </row>
    <row r="223" customFormat="false" ht="15" hidden="false" customHeight="false" outlineLevel="0" collapsed="false">
      <c r="A223" s="11" t="s">
        <v>918</v>
      </c>
      <c r="B223" s="53" t="str">
        <f aca="false">IF(Costos!$B$78="","Concepto 4",Costos!$B$78)</f>
        <v>Expensas (USD 0,20/m2)</v>
      </c>
      <c r="C223" s="53" t="str">
        <f aca="false">IF(Costos!$D$78="","",Costos!$D$78)</f>
        <v>USD</v>
      </c>
      <c r="D223" s="61" t="n">
        <f aca="false">INDEX(FC_V,4)</f>
        <v>773</v>
      </c>
    </row>
    <row r="224" customFormat="false" ht="15" hidden="false" customHeight="false" outlineLevel="0" collapsed="false">
      <c r="A224" s="11" t="s">
        <v>919</v>
      </c>
      <c r="B224" s="53" t="str">
        <f aca="false">IF(Costos!$B$79="","Concepto 5",Costos!$B$79)</f>
        <v>Agua, comunicaciones y electricidad</v>
      </c>
      <c r="C224" s="53" t="str">
        <f aca="false">IF(Costos!$D$79="","",Costos!$D$79)</f>
        <v>PYG</v>
      </c>
      <c r="D224" s="61" t="n">
        <f aca="false">INDEX(FC_V,5)</f>
        <v>750000</v>
      </c>
    </row>
    <row r="225" customFormat="false" ht="15" hidden="false" customHeight="false" outlineLevel="0" collapsed="false">
      <c r="A225" s="11" t="s">
        <v>920</v>
      </c>
      <c r="B225" s="53" t="str">
        <f aca="false">IF(Costos!$B$80="","Concepto 6",Costos!$B$80)</f>
        <v>Mantenimiento y reparaciones adm.</v>
      </c>
      <c r="C225" s="53" t="str">
        <f aca="false">IF(Costos!$D$80="","",Costos!$D$80)</f>
        <v>PYG</v>
      </c>
      <c r="D225" s="61" t="n">
        <f aca="false">INDEX(FC_V,6)</f>
        <v>3000000</v>
      </c>
    </row>
    <row r="226" customFormat="false" ht="15" hidden="false" customHeight="false" outlineLevel="0" collapsed="false">
      <c r="A226" s="11" t="s">
        <v>921</v>
      </c>
      <c r="B226" s="53" t="str">
        <f aca="false">IF(Costos!$B$81="","Concepto 7",Costos!$B$81)</f>
        <v>Seguros sobre activos fijos</v>
      </c>
      <c r="C226" s="53" t="str">
        <f aca="false">IF(Costos!$D$81="","",Costos!$D$81)</f>
        <v>PYG</v>
      </c>
      <c r="D226" s="61" t="n">
        <f aca="false">INDEX(FC_V,7)</f>
        <v>5000000</v>
      </c>
    </row>
    <row r="227" customFormat="false" ht="15" hidden="false" customHeight="false" outlineLevel="0" collapsed="false">
      <c r="A227" s="11" t="s">
        <v>922</v>
      </c>
      <c r="B227" s="53" t="str">
        <f aca="false">IF(Costos!$B$82="","Concepto 8",Costos!$B$82)</f>
        <v>Gastos generales</v>
      </c>
      <c r="C227" s="53" t="str">
        <f aca="false">IF(Costos!$D$82="","",Costos!$D$82)</f>
        <v>USD</v>
      </c>
      <c r="D227" s="61" t="n">
        <f aca="false">INDEX(FC_V,8)</f>
        <v>1838.33</v>
      </c>
    </row>
    <row r="228" customFormat="false" ht="15" hidden="false" customHeight="false" outlineLevel="0" collapsed="false">
      <c r="A228" s="11" t="s">
        <v>923</v>
      </c>
      <c r="B228" s="53" t="str">
        <f aca="false">IF(Costos!$B$83="","Concepto 9",Costos!$B$83)</f>
        <v>Honorarios y otros fijos</v>
      </c>
      <c r="C228" s="53" t="str">
        <f aca="false">IF(Costos!$D$83="","",Costos!$D$83)</f>
        <v>PYG</v>
      </c>
      <c r="D228" s="61" t="n">
        <f aca="false">INDEX(FC_V,9)</f>
        <v>15166667</v>
      </c>
    </row>
    <row r="229" customFormat="false" ht="15" hidden="false" customHeight="false" outlineLevel="0" collapsed="false">
      <c r="A229" s="11" t="s">
        <v>924</v>
      </c>
      <c r="B229" s="53" t="str">
        <f aca="false">IF(Costos!$B$84="","Concepto 10",Costos!$B$84)</f>
        <v>Concepto 10</v>
      </c>
      <c r="C229" s="53" t="str">
        <f aca="false">IF(Costos!$D$84="","",Costos!$D$84)</f>
        <v/>
      </c>
      <c r="D229" s="61" t="n">
        <f aca="false">INDEX(FC_V,10)</f>
        <v>0</v>
      </c>
    </row>
    <row r="230" customFormat="false" ht="15" hidden="false" customHeight="false" outlineLevel="0" collapsed="false">
      <c r="A230" s="11" t="s">
        <v>925</v>
      </c>
      <c r="B230" s="53" t="str">
        <f aca="false">IF(Costos!$B$85="","Concepto 11",Costos!$B$85)</f>
        <v>Concepto 11</v>
      </c>
      <c r="C230" s="53" t="str">
        <f aca="false">IF(Costos!$D$85="","",Costos!$D$85)</f>
        <v/>
      </c>
      <c r="D230" s="61" t="n">
        <f aca="false">INDEX(FC_V,11)</f>
        <v>0</v>
      </c>
    </row>
    <row r="231" customFormat="false" ht="15" hidden="false" customHeight="false" outlineLevel="0" collapsed="false">
      <c r="A231" s="11" t="s">
        <v>926</v>
      </c>
      <c r="B231" s="53" t="str">
        <f aca="false">IF(Costos!$B$86="","Concepto 12",Costos!$B$86)</f>
        <v>Concepto 12</v>
      </c>
      <c r="C231" s="53" t="str">
        <f aca="false">IF(Costos!$D$86="","",Costos!$D$86)</f>
        <v/>
      </c>
      <c r="D231" s="61" t="n">
        <f aca="false">INDEX(FC_V,12)</f>
        <v>0</v>
      </c>
    </row>
    <row r="232" customFormat="false" ht="15" hidden="false" customHeight="false" outlineLevel="0" collapsed="false">
      <c r="A232" s="11" t="s">
        <v>927</v>
      </c>
      <c r="B232" s="53" t="str">
        <f aca="false">IF(Costos!$B$87="","Concepto 13",Costos!$B$87)</f>
        <v>Concepto 13</v>
      </c>
      <c r="C232" s="53" t="str">
        <f aca="false">IF(Costos!$D$87="","",Costos!$D$87)</f>
        <v/>
      </c>
      <c r="D232" s="61" t="n">
        <f aca="false">INDEX(FC_V,13)</f>
        <v>0</v>
      </c>
    </row>
    <row r="233" customFormat="false" ht="15" hidden="false" customHeight="false" outlineLevel="0" collapsed="false">
      <c r="A233" s="11" t="s">
        <v>928</v>
      </c>
      <c r="B233" s="53" t="str">
        <f aca="false">IF(Costos!$B$88="","Concepto 14",Costos!$B$88)</f>
        <v>Concepto 14</v>
      </c>
      <c r="C233" s="53" t="str">
        <f aca="false">IF(Costos!$D$88="","",Costos!$D$88)</f>
        <v/>
      </c>
      <c r="D233" s="61" t="n">
        <f aca="false">INDEX(FC_V,14)</f>
        <v>0</v>
      </c>
    </row>
    <row r="234" customFormat="false" ht="15" hidden="false" customHeight="false" outlineLevel="0" collapsed="false">
      <c r="A234" s="11" t="s">
        <v>929</v>
      </c>
      <c r="B234" s="53" t="str">
        <f aca="false">IF(Costos!$B$89="","Concepto 15",Costos!$B$89)</f>
        <v>Concepto 15</v>
      </c>
      <c r="C234" s="53" t="str">
        <f aca="false">IF(Costos!$D$89="","",Costos!$D$89)</f>
        <v/>
      </c>
      <c r="D234" s="61" t="n">
        <f aca="false">INDEX(FC_V,15)</f>
        <v>0</v>
      </c>
    </row>
    <row r="235" customFormat="false" ht="15" hidden="false" customHeight="false" outlineLevel="0" collapsed="false">
      <c r="A235" s="11" t="s">
        <v>930</v>
      </c>
      <c r="B235" s="53" t="str">
        <f aca="false">IF(Costos!$B$90="","Concepto 16",Costos!$B$90)</f>
        <v>Concepto 16</v>
      </c>
      <c r="C235" s="53" t="str">
        <f aca="false">IF(Costos!$D$90="","",Costos!$D$90)</f>
        <v/>
      </c>
      <c r="D235" s="61" t="n">
        <f aca="false">INDEX(FC_V,16)</f>
        <v>0</v>
      </c>
    </row>
    <row r="236" customFormat="false" ht="15" hidden="false" customHeight="false" outlineLevel="0" collapsed="false">
      <c r="A236" s="11" t="s">
        <v>931</v>
      </c>
      <c r="B236" s="53" t="str">
        <f aca="false">IF(Costos!$B$91="","Concepto 17",Costos!$B$91)</f>
        <v>Concepto 17</v>
      </c>
      <c r="C236" s="53" t="str">
        <f aca="false">IF(Costos!$D$91="","",Costos!$D$91)</f>
        <v/>
      </c>
      <c r="D236" s="61" t="n">
        <f aca="false">INDEX(FC_V,17)</f>
        <v>0</v>
      </c>
    </row>
    <row r="237" customFormat="false" ht="15" hidden="false" customHeight="false" outlineLevel="0" collapsed="false">
      <c r="A237" s="11" t="s">
        <v>932</v>
      </c>
      <c r="B237" s="53" t="str">
        <f aca="false">IF(Costos!$B$92="","Concepto 18",Costos!$B$92)</f>
        <v>Concepto 18</v>
      </c>
      <c r="C237" s="53" t="str">
        <f aca="false">IF(Costos!$D$92="","",Costos!$D$92)</f>
        <v/>
      </c>
      <c r="D237" s="61" t="n">
        <f aca="false">INDEX(FC_V,18)</f>
        <v>0</v>
      </c>
    </row>
    <row r="238" customFormat="false" ht="15" hidden="false" customHeight="false" outlineLevel="0" collapsed="false">
      <c r="A238" s="11" t="s">
        <v>933</v>
      </c>
      <c r="B238" s="53" t="str">
        <f aca="false">IF(Costos!$B$93="","Concepto 19",Costos!$B$93)</f>
        <v>Concepto 19</v>
      </c>
      <c r="C238" s="53" t="str">
        <f aca="false">IF(Costos!$D$93="","",Costos!$D$93)</f>
        <v/>
      </c>
      <c r="D238" s="61" t="n">
        <f aca="false">INDEX(FC_V,19)</f>
        <v>0</v>
      </c>
    </row>
    <row r="239" customFormat="false" ht="15" hidden="false" customHeight="false" outlineLevel="0" collapsed="false">
      <c r="A239" s="11" t="s">
        <v>934</v>
      </c>
      <c r="B239" s="53" t="str">
        <f aca="false">IF(Costos!$B$94="","Concepto 20",Costos!$B$94)</f>
        <v>Concepto 20</v>
      </c>
      <c r="C239" s="53" t="str">
        <f aca="false">IF(Costos!$D$94="","",Costos!$D$94)</f>
        <v/>
      </c>
      <c r="D239" s="61" t="n">
        <f aca="false">INDEX(FC_V,20)</f>
        <v>0</v>
      </c>
    </row>
    <row r="240" customFormat="false" ht="15" hidden="false" customHeight="false" outlineLevel="0" collapsed="false">
      <c r="A240" s="11" t="s">
        <v>935</v>
      </c>
      <c r="B240" s="53" t="str">
        <f aca="false">IF(Costos!$B$95="","Concepto 21",Costos!$B$95)</f>
        <v>Concepto 21</v>
      </c>
      <c r="C240" s="53" t="str">
        <f aca="false">IF(Costos!$D$95="","",Costos!$D$95)</f>
        <v/>
      </c>
      <c r="D240" s="61" t="n">
        <f aca="false">INDEX(FC_V,21)</f>
        <v>0</v>
      </c>
    </row>
    <row r="241" customFormat="false" ht="15" hidden="false" customHeight="false" outlineLevel="0" collapsed="false">
      <c r="A241" s="11" t="s">
        <v>936</v>
      </c>
      <c r="B241" s="53" t="str">
        <f aca="false">IF(Costos!$B$96="","Concepto 22",Costos!$B$96)</f>
        <v>Concepto 22</v>
      </c>
      <c r="C241" s="53" t="str">
        <f aca="false">IF(Costos!$D$96="","",Costos!$D$96)</f>
        <v/>
      </c>
      <c r="D241" s="61" t="n">
        <f aca="false">INDEX(FC_V,22)</f>
        <v>0</v>
      </c>
    </row>
    <row r="242" customFormat="false" ht="15" hidden="false" customHeight="false" outlineLevel="0" collapsed="false">
      <c r="A242" s="11" t="s">
        <v>937</v>
      </c>
      <c r="B242" s="53" t="str">
        <f aca="false">IF(Costos!$B$97="","Concepto 23",Costos!$B$97)</f>
        <v>Concepto 23</v>
      </c>
      <c r="C242" s="53" t="str">
        <f aca="false">IF(Costos!$D$97="","",Costos!$D$97)</f>
        <v/>
      </c>
      <c r="D242" s="61" t="n">
        <f aca="false">INDEX(FC_V,23)</f>
        <v>0</v>
      </c>
    </row>
    <row r="243" customFormat="false" ht="15" hidden="false" customHeight="false" outlineLevel="0" collapsed="false">
      <c r="A243" s="11" t="s">
        <v>938</v>
      </c>
      <c r="B243" s="53" t="str">
        <f aca="false">IF(Costos!$B$98="","Concepto 24",Costos!$B$98)</f>
        <v>Concepto 24</v>
      </c>
      <c r="C243" s="53" t="str">
        <f aca="false">IF(Costos!$D$98="","",Costos!$D$98)</f>
        <v/>
      </c>
      <c r="D243" s="61" t="n">
        <f aca="false">INDEX(FC_V,24)</f>
        <v>0</v>
      </c>
    </row>
    <row r="244" customFormat="false" ht="15" hidden="false" customHeight="false" outlineLevel="0" collapsed="false">
      <c r="A244" s="11" t="s">
        <v>939</v>
      </c>
      <c r="B244" s="53" t="str">
        <f aca="false">IF(Costos!$B$99="","Concepto 25",Costos!$B$99)</f>
        <v>Concepto 25</v>
      </c>
      <c r="C244" s="53" t="str">
        <f aca="false">IF(Costos!$D$99="","",Costos!$D$99)</f>
        <v/>
      </c>
      <c r="D244" s="61" t="n">
        <f aca="false">INDEX(FC_V,25)</f>
        <v>0</v>
      </c>
    </row>
    <row r="247" customFormat="false" ht="15" hidden="false" customHeight="false" outlineLevel="0" collapsed="false">
      <c r="B247" s="11" t="s">
        <v>940</v>
      </c>
    </row>
  </sheetData>
  <conditionalFormatting sqref="F10:ES247">
    <cfRule type="expression" priority="2" aboveAverage="0" equalAverage="0" bottom="0" percent="0" rank="0" text="" dxfId="4">
      <formula>AND(F$4&gt;Corte,F$4&lt;=Corte+n_Ventana)</formula>
    </cfRule>
    <cfRule type="expression" priority="3" aboveAverage="0" equalAverage="0" bottom="0" percent="0" rank="0" text="" dxfId="2">
      <formula>F$4&lt;=Corte</formula>
    </cfRule>
  </conditionalFormatting>
  <conditionalFormatting sqref="F7:ES7">
    <cfRule type="cellIs" priority="4" operator="equal" aboveAverage="0" equalAverage="0" bottom="0" percent="0" rank="0" text="" dxfId="5">
      <formula>"Ventana"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149" min="6" style="0" width="11"/>
  </cols>
  <sheetData>
    <row r="1" customFormat="false" ht="16.15" hidden="false" customHeight="false" outlineLevel="0" collapsed="false">
      <c r="A1" s="10" t="s">
        <v>941</v>
      </c>
    </row>
    <row r="2" customFormat="false" ht="15" hidden="false" customHeight="false" outlineLevel="0" collapsed="false">
      <c r="A2" s="11" t="s">
        <v>942</v>
      </c>
    </row>
    <row r="4" customFormat="false" ht="15" hidden="false" customHeight="false" outlineLevel="0" collapsed="false">
      <c r="A4" s="57"/>
      <c r="B4" s="58" t="s">
        <v>714</v>
      </c>
      <c r="C4" s="57"/>
      <c r="D4" s="58" t="s">
        <v>943</v>
      </c>
      <c r="E4" s="57"/>
      <c r="F4" s="14" t="n">
        <v>1</v>
      </c>
      <c r="G4" s="14" t="n">
        <v>2</v>
      </c>
      <c r="H4" s="14" t="n">
        <v>3</v>
      </c>
      <c r="I4" s="14" t="n">
        <v>4</v>
      </c>
      <c r="J4" s="14" t="n">
        <v>5</v>
      </c>
      <c r="K4" s="14" t="n">
        <v>6</v>
      </c>
      <c r="L4" s="14" t="n">
        <v>7</v>
      </c>
      <c r="M4" s="14" t="n">
        <v>8</v>
      </c>
      <c r="N4" s="14" t="n">
        <v>9</v>
      </c>
      <c r="O4" s="14" t="n">
        <v>10</v>
      </c>
      <c r="P4" s="14" t="n">
        <v>11</v>
      </c>
      <c r="Q4" s="14" t="n">
        <v>12</v>
      </c>
      <c r="R4" s="14" t="n">
        <v>13</v>
      </c>
      <c r="S4" s="14" t="n">
        <v>14</v>
      </c>
      <c r="T4" s="14" t="n">
        <v>15</v>
      </c>
      <c r="U4" s="14" t="n">
        <v>16</v>
      </c>
      <c r="V4" s="14" t="n">
        <v>17</v>
      </c>
      <c r="W4" s="14" t="n">
        <v>18</v>
      </c>
      <c r="X4" s="14" t="n">
        <v>19</v>
      </c>
      <c r="Y4" s="14" t="n">
        <v>20</v>
      </c>
      <c r="Z4" s="14" t="n">
        <v>21</v>
      </c>
      <c r="AA4" s="14" t="n">
        <v>22</v>
      </c>
      <c r="AB4" s="14" t="n">
        <v>23</v>
      </c>
      <c r="AC4" s="14" t="n">
        <v>24</v>
      </c>
      <c r="AD4" s="14" t="n">
        <v>25</v>
      </c>
      <c r="AE4" s="14" t="n">
        <v>26</v>
      </c>
      <c r="AF4" s="14" t="n">
        <v>27</v>
      </c>
      <c r="AG4" s="14" t="n">
        <v>28</v>
      </c>
      <c r="AH4" s="14" t="n">
        <v>29</v>
      </c>
      <c r="AI4" s="14" t="n">
        <v>30</v>
      </c>
      <c r="AJ4" s="14" t="n">
        <v>31</v>
      </c>
      <c r="AK4" s="14" t="n">
        <v>32</v>
      </c>
      <c r="AL4" s="14" t="n">
        <v>33</v>
      </c>
      <c r="AM4" s="14" t="n">
        <v>34</v>
      </c>
      <c r="AN4" s="14" t="n">
        <v>35</v>
      </c>
      <c r="AO4" s="14" t="n">
        <v>36</v>
      </c>
      <c r="AP4" s="14" t="n">
        <v>37</v>
      </c>
      <c r="AQ4" s="14" t="n">
        <v>38</v>
      </c>
      <c r="AR4" s="14" t="n">
        <v>39</v>
      </c>
      <c r="AS4" s="14" t="n">
        <v>40</v>
      </c>
      <c r="AT4" s="14" t="n">
        <v>41</v>
      </c>
      <c r="AU4" s="14" t="n">
        <v>42</v>
      </c>
      <c r="AV4" s="14" t="n">
        <v>43</v>
      </c>
      <c r="AW4" s="14" t="n">
        <v>44</v>
      </c>
      <c r="AX4" s="14" t="n">
        <v>45</v>
      </c>
      <c r="AY4" s="14" t="n">
        <v>46</v>
      </c>
      <c r="AZ4" s="14" t="n">
        <v>47</v>
      </c>
      <c r="BA4" s="14" t="n">
        <v>48</v>
      </c>
      <c r="BB4" s="14" t="n">
        <v>49</v>
      </c>
      <c r="BC4" s="14" t="n">
        <v>50</v>
      </c>
      <c r="BD4" s="14" t="n">
        <v>51</v>
      </c>
      <c r="BE4" s="14" t="n">
        <v>52</v>
      </c>
      <c r="BF4" s="14" t="n">
        <v>53</v>
      </c>
      <c r="BG4" s="14" t="n">
        <v>54</v>
      </c>
      <c r="BH4" s="14" t="n">
        <v>55</v>
      </c>
      <c r="BI4" s="14" t="n">
        <v>56</v>
      </c>
      <c r="BJ4" s="14" t="n">
        <v>57</v>
      </c>
      <c r="BK4" s="14" t="n">
        <v>58</v>
      </c>
      <c r="BL4" s="14" t="n">
        <v>59</v>
      </c>
      <c r="BM4" s="14" t="n">
        <v>60</v>
      </c>
      <c r="BN4" s="14" t="n">
        <v>61</v>
      </c>
      <c r="BO4" s="14" t="n">
        <v>62</v>
      </c>
      <c r="BP4" s="14" t="n">
        <v>63</v>
      </c>
      <c r="BQ4" s="14" t="n">
        <v>64</v>
      </c>
      <c r="BR4" s="14" t="n">
        <v>65</v>
      </c>
      <c r="BS4" s="14" t="n">
        <v>66</v>
      </c>
      <c r="BT4" s="14" t="n">
        <v>67</v>
      </c>
      <c r="BU4" s="14" t="n">
        <v>68</v>
      </c>
      <c r="BV4" s="14" t="n">
        <v>69</v>
      </c>
      <c r="BW4" s="14" t="n">
        <v>70</v>
      </c>
      <c r="BX4" s="14" t="n">
        <v>71</v>
      </c>
      <c r="BY4" s="14" t="n">
        <v>72</v>
      </c>
      <c r="BZ4" s="14" t="n">
        <v>73</v>
      </c>
      <c r="CA4" s="14" t="n">
        <v>74</v>
      </c>
      <c r="CB4" s="14" t="n">
        <v>75</v>
      </c>
      <c r="CC4" s="14" t="n">
        <v>76</v>
      </c>
      <c r="CD4" s="14" t="n">
        <v>77</v>
      </c>
      <c r="CE4" s="14" t="n">
        <v>78</v>
      </c>
      <c r="CF4" s="14" t="n">
        <v>79</v>
      </c>
      <c r="CG4" s="14" t="n">
        <v>80</v>
      </c>
      <c r="CH4" s="14" t="n">
        <v>81</v>
      </c>
      <c r="CI4" s="14" t="n">
        <v>82</v>
      </c>
      <c r="CJ4" s="14" t="n">
        <v>83</v>
      </c>
      <c r="CK4" s="14" t="n">
        <v>84</v>
      </c>
      <c r="CL4" s="14" t="n">
        <v>85</v>
      </c>
      <c r="CM4" s="14" t="n">
        <v>86</v>
      </c>
      <c r="CN4" s="14" t="n">
        <v>87</v>
      </c>
      <c r="CO4" s="14" t="n">
        <v>88</v>
      </c>
      <c r="CP4" s="14" t="n">
        <v>89</v>
      </c>
      <c r="CQ4" s="14" t="n">
        <v>90</v>
      </c>
      <c r="CR4" s="14" t="n">
        <v>91</v>
      </c>
      <c r="CS4" s="14" t="n">
        <v>92</v>
      </c>
      <c r="CT4" s="14" t="n">
        <v>93</v>
      </c>
      <c r="CU4" s="14" t="n">
        <v>94</v>
      </c>
      <c r="CV4" s="14" t="n">
        <v>95</v>
      </c>
      <c r="CW4" s="14" t="n">
        <v>96</v>
      </c>
      <c r="CX4" s="14" t="n">
        <v>97</v>
      </c>
      <c r="CY4" s="14" t="n">
        <v>98</v>
      </c>
      <c r="CZ4" s="14" t="n">
        <v>99</v>
      </c>
      <c r="DA4" s="14" t="n">
        <v>100</v>
      </c>
      <c r="DB4" s="14" t="n">
        <v>101</v>
      </c>
      <c r="DC4" s="14" t="n">
        <v>102</v>
      </c>
      <c r="DD4" s="14" t="n">
        <v>103</v>
      </c>
      <c r="DE4" s="14" t="n">
        <v>104</v>
      </c>
      <c r="DF4" s="14" t="n">
        <v>105</v>
      </c>
      <c r="DG4" s="14" t="n">
        <v>106</v>
      </c>
      <c r="DH4" s="14" t="n">
        <v>107</v>
      </c>
      <c r="DI4" s="14" t="n">
        <v>108</v>
      </c>
      <c r="DJ4" s="14" t="n">
        <v>109</v>
      </c>
      <c r="DK4" s="14" t="n">
        <v>110</v>
      </c>
      <c r="DL4" s="14" t="n">
        <v>111</v>
      </c>
      <c r="DM4" s="14" t="n">
        <v>112</v>
      </c>
      <c r="DN4" s="14" t="n">
        <v>113</v>
      </c>
      <c r="DO4" s="14" t="n">
        <v>114</v>
      </c>
      <c r="DP4" s="14" t="n">
        <v>115</v>
      </c>
      <c r="DQ4" s="14" t="n">
        <v>116</v>
      </c>
      <c r="DR4" s="14" t="n">
        <v>117</v>
      </c>
      <c r="DS4" s="14" t="n">
        <v>118</v>
      </c>
      <c r="DT4" s="14" t="n">
        <v>119</v>
      </c>
      <c r="DU4" s="14" t="n">
        <v>120</v>
      </c>
      <c r="DV4" s="14" t="n">
        <v>121</v>
      </c>
      <c r="DW4" s="14" t="n">
        <v>122</v>
      </c>
      <c r="DX4" s="14" t="n">
        <v>123</v>
      </c>
      <c r="DY4" s="14" t="n">
        <v>124</v>
      </c>
      <c r="DZ4" s="14" t="n">
        <v>125</v>
      </c>
      <c r="EA4" s="14" t="n">
        <v>126</v>
      </c>
      <c r="EB4" s="14" t="n">
        <v>127</v>
      </c>
      <c r="EC4" s="14" t="n">
        <v>128</v>
      </c>
      <c r="ED4" s="14" t="n">
        <v>129</v>
      </c>
      <c r="EE4" s="14" t="n">
        <v>130</v>
      </c>
      <c r="EF4" s="14" t="n">
        <v>131</v>
      </c>
      <c r="EG4" s="14" t="n">
        <v>132</v>
      </c>
      <c r="EH4" s="14" t="n">
        <v>133</v>
      </c>
      <c r="EI4" s="14" t="n">
        <v>134</v>
      </c>
      <c r="EJ4" s="14" t="n">
        <v>135</v>
      </c>
      <c r="EK4" s="14" t="n">
        <v>136</v>
      </c>
      <c r="EL4" s="14" t="n">
        <v>137</v>
      </c>
      <c r="EM4" s="14" t="n">
        <v>138</v>
      </c>
      <c r="EN4" s="14" t="n">
        <v>139</v>
      </c>
      <c r="EO4" s="14" t="n">
        <v>140</v>
      </c>
      <c r="EP4" s="14" t="n">
        <v>141</v>
      </c>
      <c r="EQ4" s="14" t="n">
        <v>142</v>
      </c>
      <c r="ER4" s="14" t="n">
        <v>143</v>
      </c>
      <c r="ES4" s="14" t="n">
        <v>144</v>
      </c>
    </row>
    <row r="5" customFormat="false" ht="15" hidden="false" customHeight="false" outlineLevel="0" collapsed="false">
      <c r="A5" s="57"/>
      <c r="B5" s="58" t="s">
        <v>1</v>
      </c>
      <c r="C5" s="57"/>
      <c r="D5" s="57"/>
      <c r="E5" s="57"/>
      <c r="F5" s="59" t="str">
        <f aca="false">IF(n_Fecha1="","",EOMONTH(n_Fecha1,1-1))</f>
        <v/>
      </c>
      <c r="G5" s="59" t="str">
        <f aca="false">IF(n_Fecha1="","",EOMONTH(n_Fecha1,2-1))</f>
        <v/>
      </c>
      <c r="H5" s="59" t="str">
        <f aca="false">IF(n_Fecha1="","",EOMONTH(n_Fecha1,3-1))</f>
        <v/>
      </c>
      <c r="I5" s="59" t="str">
        <f aca="false">IF(n_Fecha1="","",EOMONTH(n_Fecha1,4-1))</f>
        <v/>
      </c>
      <c r="J5" s="59" t="str">
        <f aca="false">IF(n_Fecha1="","",EOMONTH(n_Fecha1,5-1))</f>
        <v/>
      </c>
      <c r="K5" s="59" t="str">
        <f aca="false">IF(n_Fecha1="","",EOMONTH(n_Fecha1,6-1))</f>
        <v/>
      </c>
      <c r="L5" s="59" t="str">
        <f aca="false">IF(n_Fecha1="","",EOMONTH(n_Fecha1,7-1))</f>
        <v/>
      </c>
      <c r="M5" s="59" t="str">
        <f aca="false">IF(n_Fecha1="","",EOMONTH(n_Fecha1,8-1))</f>
        <v/>
      </c>
      <c r="N5" s="59" t="str">
        <f aca="false">IF(n_Fecha1="","",EOMONTH(n_Fecha1,9-1))</f>
        <v/>
      </c>
      <c r="O5" s="59" t="str">
        <f aca="false">IF(n_Fecha1="","",EOMONTH(n_Fecha1,10-1))</f>
        <v/>
      </c>
      <c r="P5" s="59" t="str">
        <f aca="false">IF(n_Fecha1="","",EOMONTH(n_Fecha1,11-1))</f>
        <v/>
      </c>
      <c r="Q5" s="59" t="str">
        <f aca="false">IF(n_Fecha1="","",EOMONTH(n_Fecha1,12-1))</f>
        <v/>
      </c>
      <c r="R5" s="59" t="str">
        <f aca="false">IF(n_Fecha1="","",EOMONTH(n_Fecha1,13-1))</f>
        <v/>
      </c>
      <c r="S5" s="59" t="str">
        <f aca="false">IF(n_Fecha1="","",EOMONTH(n_Fecha1,14-1))</f>
        <v/>
      </c>
      <c r="T5" s="59" t="str">
        <f aca="false">IF(n_Fecha1="","",EOMONTH(n_Fecha1,15-1))</f>
        <v/>
      </c>
      <c r="U5" s="59" t="str">
        <f aca="false">IF(n_Fecha1="","",EOMONTH(n_Fecha1,16-1))</f>
        <v/>
      </c>
      <c r="V5" s="59" t="str">
        <f aca="false">IF(n_Fecha1="","",EOMONTH(n_Fecha1,17-1))</f>
        <v/>
      </c>
      <c r="W5" s="59" t="str">
        <f aca="false">IF(n_Fecha1="","",EOMONTH(n_Fecha1,18-1))</f>
        <v/>
      </c>
      <c r="X5" s="59" t="str">
        <f aca="false">IF(n_Fecha1="","",EOMONTH(n_Fecha1,19-1))</f>
        <v/>
      </c>
      <c r="Y5" s="59" t="str">
        <f aca="false">IF(n_Fecha1="","",EOMONTH(n_Fecha1,20-1))</f>
        <v/>
      </c>
      <c r="Z5" s="59" t="str">
        <f aca="false">IF(n_Fecha1="","",EOMONTH(n_Fecha1,21-1))</f>
        <v/>
      </c>
      <c r="AA5" s="59" t="str">
        <f aca="false">IF(n_Fecha1="","",EOMONTH(n_Fecha1,22-1))</f>
        <v/>
      </c>
      <c r="AB5" s="59" t="str">
        <f aca="false">IF(n_Fecha1="","",EOMONTH(n_Fecha1,23-1))</f>
        <v/>
      </c>
      <c r="AC5" s="59" t="str">
        <f aca="false">IF(n_Fecha1="","",EOMONTH(n_Fecha1,24-1))</f>
        <v/>
      </c>
      <c r="AD5" s="59" t="str">
        <f aca="false">IF(n_Fecha1="","",EOMONTH(n_Fecha1,25-1))</f>
        <v/>
      </c>
      <c r="AE5" s="59" t="str">
        <f aca="false">IF(n_Fecha1="","",EOMONTH(n_Fecha1,26-1))</f>
        <v/>
      </c>
      <c r="AF5" s="59" t="str">
        <f aca="false">IF(n_Fecha1="","",EOMONTH(n_Fecha1,27-1))</f>
        <v/>
      </c>
      <c r="AG5" s="59" t="str">
        <f aca="false">IF(n_Fecha1="","",EOMONTH(n_Fecha1,28-1))</f>
        <v/>
      </c>
      <c r="AH5" s="59" t="str">
        <f aca="false">IF(n_Fecha1="","",EOMONTH(n_Fecha1,29-1))</f>
        <v/>
      </c>
      <c r="AI5" s="59" t="str">
        <f aca="false">IF(n_Fecha1="","",EOMONTH(n_Fecha1,30-1))</f>
        <v/>
      </c>
      <c r="AJ5" s="59" t="str">
        <f aca="false">IF(n_Fecha1="","",EOMONTH(n_Fecha1,31-1))</f>
        <v/>
      </c>
      <c r="AK5" s="59" t="str">
        <f aca="false">IF(n_Fecha1="","",EOMONTH(n_Fecha1,32-1))</f>
        <v/>
      </c>
      <c r="AL5" s="59" t="str">
        <f aca="false">IF(n_Fecha1="","",EOMONTH(n_Fecha1,33-1))</f>
        <v/>
      </c>
      <c r="AM5" s="59" t="str">
        <f aca="false">IF(n_Fecha1="","",EOMONTH(n_Fecha1,34-1))</f>
        <v/>
      </c>
      <c r="AN5" s="59" t="str">
        <f aca="false">IF(n_Fecha1="","",EOMONTH(n_Fecha1,35-1))</f>
        <v/>
      </c>
      <c r="AO5" s="59" t="str">
        <f aca="false">IF(n_Fecha1="","",EOMONTH(n_Fecha1,36-1))</f>
        <v/>
      </c>
      <c r="AP5" s="59" t="str">
        <f aca="false">IF(n_Fecha1="","",EOMONTH(n_Fecha1,37-1))</f>
        <v/>
      </c>
      <c r="AQ5" s="59" t="str">
        <f aca="false">IF(n_Fecha1="","",EOMONTH(n_Fecha1,38-1))</f>
        <v/>
      </c>
      <c r="AR5" s="59" t="str">
        <f aca="false">IF(n_Fecha1="","",EOMONTH(n_Fecha1,39-1))</f>
        <v/>
      </c>
      <c r="AS5" s="59" t="str">
        <f aca="false">IF(n_Fecha1="","",EOMONTH(n_Fecha1,40-1))</f>
        <v/>
      </c>
      <c r="AT5" s="59" t="str">
        <f aca="false">IF(n_Fecha1="","",EOMONTH(n_Fecha1,41-1))</f>
        <v/>
      </c>
      <c r="AU5" s="59" t="str">
        <f aca="false">IF(n_Fecha1="","",EOMONTH(n_Fecha1,42-1))</f>
        <v/>
      </c>
      <c r="AV5" s="59" t="str">
        <f aca="false">IF(n_Fecha1="","",EOMONTH(n_Fecha1,43-1))</f>
        <v/>
      </c>
      <c r="AW5" s="59" t="str">
        <f aca="false">IF(n_Fecha1="","",EOMONTH(n_Fecha1,44-1))</f>
        <v/>
      </c>
      <c r="AX5" s="59" t="str">
        <f aca="false">IF(n_Fecha1="","",EOMONTH(n_Fecha1,45-1))</f>
        <v/>
      </c>
      <c r="AY5" s="59" t="str">
        <f aca="false">IF(n_Fecha1="","",EOMONTH(n_Fecha1,46-1))</f>
        <v/>
      </c>
      <c r="AZ5" s="59" t="str">
        <f aca="false">IF(n_Fecha1="","",EOMONTH(n_Fecha1,47-1))</f>
        <v/>
      </c>
      <c r="BA5" s="59" t="str">
        <f aca="false">IF(n_Fecha1="","",EOMONTH(n_Fecha1,48-1))</f>
        <v/>
      </c>
      <c r="BB5" s="59" t="str">
        <f aca="false">IF(n_Fecha1="","",EOMONTH(n_Fecha1,49-1))</f>
        <v/>
      </c>
      <c r="BC5" s="59" t="str">
        <f aca="false">IF(n_Fecha1="","",EOMONTH(n_Fecha1,50-1))</f>
        <v/>
      </c>
      <c r="BD5" s="59" t="str">
        <f aca="false">IF(n_Fecha1="","",EOMONTH(n_Fecha1,51-1))</f>
        <v/>
      </c>
      <c r="BE5" s="59" t="str">
        <f aca="false">IF(n_Fecha1="","",EOMONTH(n_Fecha1,52-1))</f>
        <v/>
      </c>
      <c r="BF5" s="59" t="str">
        <f aca="false">IF(n_Fecha1="","",EOMONTH(n_Fecha1,53-1))</f>
        <v/>
      </c>
      <c r="BG5" s="59" t="str">
        <f aca="false">IF(n_Fecha1="","",EOMONTH(n_Fecha1,54-1))</f>
        <v/>
      </c>
      <c r="BH5" s="59" t="str">
        <f aca="false">IF(n_Fecha1="","",EOMONTH(n_Fecha1,55-1))</f>
        <v/>
      </c>
      <c r="BI5" s="59" t="str">
        <f aca="false">IF(n_Fecha1="","",EOMONTH(n_Fecha1,56-1))</f>
        <v/>
      </c>
      <c r="BJ5" s="59" t="str">
        <f aca="false">IF(n_Fecha1="","",EOMONTH(n_Fecha1,57-1))</f>
        <v/>
      </c>
      <c r="BK5" s="59" t="str">
        <f aca="false">IF(n_Fecha1="","",EOMONTH(n_Fecha1,58-1))</f>
        <v/>
      </c>
      <c r="BL5" s="59" t="str">
        <f aca="false">IF(n_Fecha1="","",EOMONTH(n_Fecha1,59-1))</f>
        <v/>
      </c>
      <c r="BM5" s="59" t="str">
        <f aca="false">IF(n_Fecha1="","",EOMONTH(n_Fecha1,60-1))</f>
        <v/>
      </c>
      <c r="BN5" s="59" t="str">
        <f aca="false">IF(n_Fecha1="","",EOMONTH(n_Fecha1,61-1))</f>
        <v/>
      </c>
      <c r="BO5" s="59" t="str">
        <f aca="false">IF(n_Fecha1="","",EOMONTH(n_Fecha1,62-1))</f>
        <v/>
      </c>
      <c r="BP5" s="59" t="str">
        <f aca="false">IF(n_Fecha1="","",EOMONTH(n_Fecha1,63-1))</f>
        <v/>
      </c>
      <c r="BQ5" s="59" t="str">
        <f aca="false">IF(n_Fecha1="","",EOMONTH(n_Fecha1,64-1))</f>
        <v/>
      </c>
      <c r="BR5" s="59" t="str">
        <f aca="false">IF(n_Fecha1="","",EOMONTH(n_Fecha1,65-1))</f>
        <v/>
      </c>
      <c r="BS5" s="59" t="str">
        <f aca="false">IF(n_Fecha1="","",EOMONTH(n_Fecha1,66-1))</f>
        <v/>
      </c>
      <c r="BT5" s="59" t="str">
        <f aca="false">IF(n_Fecha1="","",EOMONTH(n_Fecha1,67-1))</f>
        <v/>
      </c>
      <c r="BU5" s="59" t="str">
        <f aca="false">IF(n_Fecha1="","",EOMONTH(n_Fecha1,68-1))</f>
        <v/>
      </c>
      <c r="BV5" s="59" t="str">
        <f aca="false">IF(n_Fecha1="","",EOMONTH(n_Fecha1,69-1))</f>
        <v/>
      </c>
      <c r="BW5" s="59" t="str">
        <f aca="false">IF(n_Fecha1="","",EOMONTH(n_Fecha1,70-1))</f>
        <v/>
      </c>
      <c r="BX5" s="59" t="str">
        <f aca="false">IF(n_Fecha1="","",EOMONTH(n_Fecha1,71-1))</f>
        <v/>
      </c>
      <c r="BY5" s="59" t="str">
        <f aca="false">IF(n_Fecha1="","",EOMONTH(n_Fecha1,72-1))</f>
        <v/>
      </c>
      <c r="BZ5" s="59" t="str">
        <f aca="false">IF(n_Fecha1="","",EOMONTH(n_Fecha1,73-1))</f>
        <v/>
      </c>
      <c r="CA5" s="59" t="str">
        <f aca="false">IF(n_Fecha1="","",EOMONTH(n_Fecha1,74-1))</f>
        <v/>
      </c>
      <c r="CB5" s="59" t="str">
        <f aca="false">IF(n_Fecha1="","",EOMONTH(n_Fecha1,75-1))</f>
        <v/>
      </c>
      <c r="CC5" s="59" t="str">
        <f aca="false">IF(n_Fecha1="","",EOMONTH(n_Fecha1,76-1))</f>
        <v/>
      </c>
      <c r="CD5" s="59" t="str">
        <f aca="false">IF(n_Fecha1="","",EOMONTH(n_Fecha1,77-1))</f>
        <v/>
      </c>
      <c r="CE5" s="59" t="str">
        <f aca="false">IF(n_Fecha1="","",EOMONTH(n_Fecha1,78-1))</f>
        <v/>
      </c>
      <c r="CF5" s="59" t="str">
        <f aca="false">IF(n_Fecha1="","",EOMONTH(n_Fecha1,79-1))</f>
        <v/>
      </c>
      <c r="CG5" s="59" t="str">
        <f aca="false">IF(n_Fecha1="","",EOMONTH(n_Fecha1,80-1))</f>
        <v/>
      </c>
      <c r="CH5" s="59" t="str">
        <f aca="false">IF(n_Fecha1="","",EOMONTH(n_Fecha1,81-1))</f>
        <v/>
      </c>
      <c r="CI5" s="59" t="str">
        <f aca="false">IF(n_Fecha1="","",EOMONTH(n_Fecha1,82-1))</f>
        <v/>
      </c>
      <c r="CJ5" s="59" t="str">
        <f aca="false">IF(n_Fecha1="","",EOMONTH(n_Fecha1,83-1))</f>
        <v/>
      </c>
      <c r="CK5" s="59" t="str">
        <f aca="false">IF(n_Fecha1="","",EOMONTH(n_Fecha1,84-1))</f>
        <v/>
      </c>
      <c r="CL5" s="59" t="str">
        <f aca="false">IF(n_Fecha1="","",EOMONTH(n_Fecha1,85-1))</f>
        <v/>
      </c>
      <c r="CM5" s="59" t="str">
        <f aca="false">IF(n_Fecha1="","",EOMONTH(n_Fecha1,86-1))</f>
        <v/>
      </c>
      <c r="CN5" s="59" t="str">
        <f aca="false">IF(n_Fecha1="","",EOMONTH(n_Fecha1,87-1))</f>
        <v/>
      </c>
      <c r="CO5" s="59" t="str">
        <f aca="false">IF(n_Fecha1="","",EOMONTH(n_Fecha1,88-1))</f>
        <v/>
      </c>
      <c r="CP5" s="59" t="str">
        <f aca="false">IF(n_Fecha1="","",EOMONTH(n_Fecha1,89-1))</f>
        <v/>
      </c>
      <c r="CQ5" s="59" t="str">
        <f aca="false">IF(n_Fecha1="","",EOMONTH(n_Fecha1,90-1))</f>
        <v/>
      </c>
      <c r="CR5" s="59" t="str">
        <f aca="false">IF(n_Fecha1="","",EOMONTH(n_Fecha1,91-1))</f>
        <v/>
      </c>
      <c r="CS5" s="59" t="str">
        <f aca="false">IF(n_Fecha1="","",EOMONTH(n_Fecha1,92-1))</f>
        <v/>
      </c>
      <c r="CT5" s="59" t="str">
        <f aca="false">IF(n_Fecha1="","",EOMONTH(n_Fecha1,93-1))</f>
        <v/>
      </c>
      <c r="CU5" s="59" t="str">
        <f aca="false">IF(n_Fecha1="","",EOMONTH(n_Fecha1,94-1))</f>
        <v/>
      </c>
      <c r="CV5" s="59" t="str">
        <f aca="false">IF(n_Fecha1="","",EOMONTH(n_Fecha1,95-1))</f>
        <v/>
      </c>
      <c r="CW5" s="59" t="str">
        <f aca="false">IF(n_Fecha1="","",EOMONTH(n_Fecha1,96-1))</f>
        <v/>
      </c>
      <c r="CX5" s="59" t="str">
        <f aca="false">IF(n_Fecha1="","",EOMONTH(n_Fecha1,97-1))</f>
        <v/>
      </c>
      <c r="CY5" s="59" t="str">
        <f aca="false">IF(n_Fecha1="","",EOMONTH(n_Fecha1,98-1))</f>
        <v/>
      </c>
      <c r="CZ5" s="59" t="str">
        <f aca="false">IF(n_Fecha1="","",EOMONTH(n_Fecha1,99-1))</f>
        <v/>
      </c>
      <c r="DA5" s="59" t="str">
        <f aca="false">IF(n_Fecha1="","",EOMONTH(n_Fecha1,100-1))</f>
        <v/>
      </c>
      <c r="DB5" s="59" t="str">
        <f aca="false">IF(n_Fecha1="","",EOMONTH(n_Fecha1,101-1))</f>
        <v/>
      </c>
      <c r="DC5" s="59" t="str">
        <f aca="false">IF(n_Fecha1="","",EOMONTH(n_Fecha1,102-1))</f>
        <v/>
      </c>
      <c r="DD5" s="59" t="str">
        <f aca="false">IF(n_Fecha1="","",EOMONTH(n_Fecha1,103-1))</f>
        <v/>
      </c>
      <c r="DE5" s="59" t="str">
        <f aca="false">IF(n_Fecha1="","",EOMONTH(n_Fecha1,104-1))</f>
        <v/>
      </c>
      <c r="DF5" s="59" t="str">
        <f aca="false">IF(n_Fecha1="","",EOMONTH(n_Fecha1,105-1))</f>
        <v/>
      </c>
      <c r="DG5" s="59" t="str">
        <f aca="false">IF(n_Fecha1="","",EOMONTH(n_Fecha1,106-1))</f>
        <v/>
      </c>
      <c r="DH5" s="59" t="str">
        <f aca="false">IF(n_Fecha1="","",EOMONTH(n_Fecha1,107-1))</f>
        <v/>
      </c>
      <c r="DI5" s="59" t="str">
        <f aca="false">IF(n_Fecha1="","",EOMONTH(n_Fecha1,108-1))</f>
        <v/>
      </c>
      <c r="DJ5" s="59" t="str">
        <f aca="false">IF(n_Fecha1="","",EOMONTH(n_Fecha1,109-1))</f>
        <v/>
      </c>
      <c r="DK5" s="59" t="str">
        <f aca="false">IF(n_Fecha1="","",EOMONTH(n_Fecha1,110-1))</f>
        <v/>
      </c>
      <c r="DL5" s="59" t="str">
        <f aca="false">IF(n_Fecha1="","",EOMONTH(n_Fecha1,111-1))</f>
        <v/>
      </c>
      <c r="DM5" s="59" t="str">
        <f aca="false">IF(n_Fecha1="","",EOMONTH(n_Fecha1,112-1))</f>
        <v/>
      </c>
      <c r="DN5" s="59" t="str">
        <f aca="false">IF(n_Fecha1="","",EOMONTH(n_Fecha1,113-1))</f>
        <v/>
      </c>
      <c r="DO5" s="59" t="str">
        <f aca="false">IF(n_Fecha1="","",EOMONTH(n_Fecha1,114-1))</f>
        <v/>
      </c>
      <c r="DP5" s="59" t="str">
        <f aca="false">IF(n_Fecha1="","",EOMONTH(n_Fecha1,115-1))</f>
        <v/>
      </c>
      <c r="DQ5" s="59" t="str">
        <f aca="false">IF(n_Fecha1="","",EOMONTH(n_Fecha1,116-1))</f>
        <v/>
      </c>
      <c r="DR5" s="59" t="str">
        <f aca="false">IF(n_Fecha1="","",EOMONTH(n_Fecha1,117-1))</f>
        <v/>
      </c>
      <c r="DS5" s="59" t="str">
        <f aca="false">IF(n_Fecha1="","",EOMONTH(n_Fecha1,118-1))</f>
        <v/>
      </c>
      <c r="DT5" s="59" t="str">
        <f aca="false">IF(n_Fecha1="","",EOMONTH(n_Fecha1,119-1))</f>
        <v/>
      </c>
      <c r="DU5" s="59" t="str">
        <f aca="false">IF(n_Fecha1="","",EOMONTH(n_Fecha1,120-1))</f>
        <v/>
      </c>
      <c r="DV5" s="59" t="str">
        <f aca="false">IF(n_Fecha1="","",EOMONTH(n_Fecha1,121-1))</f>
        <v/>
      </c>
      <c r="DW5" s="59" t="str">
        <f aca="false">IF(n_Fecha1="","",EOMONTH(n_Fecha1,122-1))</f>
        <v/>
      </c>
      <c r="DX5" s="59" t="str">
        <f aca="false">IF(n_Fecha1="","",EOMONTH(n_Fecha1,123-1))</f>
        <v/>
      </c>
      <c r="DY5" s="59" t="str">
        <f aca="false">IF(n_Fecha1="","",EOMONTH(n_Fecha1,124-1))</f>
        <v/>
      </c>
      <c r="DZ5" s="59" t="str">
        <f aca="false">IF(n_Fecha1="","",EOMONTH(n_Fecha1,125-1))</f>
        <v/>
      </c>
      <c r="EA5" s="59" t="str">
        <f aca="false">IF(n_Fecha1="","",EOMONTH(n_Fecha1,126-1))</f>
        <v/>
      </c>
      <c r="EB5" s="59" t="str">
        <f aca="false">IF(n_Fecha1="","",EOMONTH(n_Fecha1,127-1))</f>
        <v/>
      </c>
      <c r="EC5" s="59" t="str">
        <f aca="false">IF(n_Fecha1="","",EOMONTH(n_Fecha1,128-1))</f>
        <v/>
      </c>
      <c r="ED5" s="59" t="str">
        <f aca="false">IF(n_Fecha1="","",EOMONTH(n_Fecha1,129-1))</f>
        <v/>
      </c>
      <c r="EE5" s="59" t="str">
        <f aca="false">IF(n_Fecha1="","",EOMONTH(n_Fecha1,130-1))</f>
        <v/>
      </c>
      <c r="EF5" s="59" t="str">
        <f aca="false">IF(n_Fecha1="","",EOMONTH(n_Fecha1,131-1))</f>
        <v/>
      </c>
      <c r="EG5" s="59" t="str">
        <f aca="false">IF(n_Fecha1="","",EOMONTH(n_Fecha1,132-1))</f>
        <v/>
      </c>
      <c r="EH5" s="59" t="str">
        <f aca="false">IF(n_Fecha1="","",EOMONTH(n_Fecha1,133-1))</f>
        <v/>
      </c>
      <c r="EI5" s="59" t="str">
        <f aca="false">IF(n_Fecha1="","",EOMONTH(n_Fecha1,134-1))</f>
        <v/>
      </c>
      <c r="EJ5" s="59" t="str">
        <f aca="false">IF(n_Fecha1="","",EOMONTH(n_Fecha1,135-1))</f>
        <v/>
      </c>
      <c r="EK5" s="59" t="str">
        <f aca="false">IF(n_Fecha1="","",EOMONTH(n_Fecha1,136-1))</f>
        <v/>
      </c>
      <c r="EL5" s="59" t="str">
        <f aca="false">IF(n_Fecha1="","",EOMONTH(n_Fecha1,137-1))</f>
        <v/>
      </c>
      <c r="EM5" s="59" t="str">
        <f aca="false">IF(n_Fecha1="","",EOMONTH(n_Fecha1,138-1))</f>
        <v/>
      </c>
      <c r="EN5" s="59" t="str">
        <f aca="false">IF(n_Fecha1="","",EOMONTH(n_Fecha1,139-1))</f>
        <v/>
      </c>
      <c r="EO5" s="59" t="str">
        <f aca="false">IF(n_Fecha1="","",EOMONTH(n_Fecha1,140-1))</f>
        <v/>
      </c>
      <c r="EP5" s="59" t="str">
        <f aca="false">IF(n_Fecha1="","",EOMONTH(n_Fecha1,141-1))</f>
        <v/>
      </c>
      <c r="EQ5" s="59" t="str">
        <f aca="false">IF(n_Fecha1="","",EOMONTH(n_Fecha1,142-1))</f>
        <v/>
      </c>
      <c r="ER5" s="59" t="str">
        <f aca="false">IF(n_Fecha1="","",EOMONTH(n_Fecha1,143-1))</f>
        <v/>
      </c>
      <c r="ES5" s="59" t="str">
        <f aca="false">IF(n_Fecha1="","",EOMONTH(n_Fecha1,144-1))</f>
        <v/>
      </c>
    </row>
    <row r="6" customFormat="false" ht="15" hidden="false" customHeight="false" outlineLevel="0" collapsed="false">
      <c r="A6" s="57"/>
      <c r="B6" s="58" t="s">
        <v>716</v>
      </c>
      <c r="C6" s="57"/>
      <c r="D6" s="57"/>
      <c r="E6" s="57"/>
      <c r="F6" s="60" t="n">
        <f aca="false">ROUNDUP(1/12,0)</f>
        <v>1</v>
      </c>
      <c r="G6" s="60" t="n">
        <f aca="false">ROUNDUP(2/12,0)</f>
        <v>1</v>
      </c>
      <c r="H6" s="60" t="n">
        <f aca="false">ROUNDUP(3/12,0)</f>
        <v>1</v>
      </c>
      <c r="I6" s="60" t="n">
        <f aca="false">ROUNDUP(4/12,0)</f>
        <v>1</v>
      </c>
      <c r="J6" s="60" t="n">
        <f aca="false">ROUNDUP(5/12,0)</f>
        <v>1</v>
      </c>
      <c r="K6" s="60" t="n">
        <f aca="false">ROUNDUP(6/12,0)</f>
        <v>1</v>
      </c>
      <c r="L6" s="60" t="n">
        <f aca="false">ROUNDUP(7/12,0)</f>
        <v>1</v>
      </c>
      <c r="M6" s="60" t="n">
        <f aca="false">ROUNDUP(8/12,0)</f>
        <v>1</v>
      </c>
      <c r="N6" s="60" t="n">
        <f aca="false">ROUNDUP(9/12,0)</f>
        <v>1</v>
      </c>
      <c r="O6" s="60" t="n">
        <f aca="false">ROUNDUP(10/12,0)</f>
        <v>1</v>
      </c>
      <c r="P6" s="60" t="n">
        <f aca="false">ROUNDUP(11/12,0)</f>
        <v>1</v>
      </c>
      <c r="Q6" s="60" t="n">
        <f aca="false">ROUNDUP(12/12,0)</f>
        <v>1</v>
      </c>
      <c r="R6" s="60" t="n">
        <f aca="false">ROUNDUP(13/12,0)</f>
        <v>2</v>
      </c>
      <c r="S6" s="60" t="n">
        <f aca="false">ROUNDUP(14/12,0)</f>
        <v>2</v>
      </c>
      <c r="T6" s="60" t="n">
        <f aca="false">ROUNDUP(15/12,0)</f>
        <v>2</v>
      </c>
      <c r="U6" s="60" t="n">
        <f aca="false">ROUNDUP(16/12,0)</f>
        <v>2</v>
      </c>
      <c r="V6" s="60" t="n">
        <f aca="false">ROUNDUP(17/12,0)</f>
        <v>2</v>
      </c>
      <c r="W6" s="60" t="n">
        <f aca="false">ROUNDUP(18/12,0)</f>
        <v>2</v>
      </c>
      <c r="X6" s="60" t="n">
        <f aca="false">ROUNDUP(19/12,0)</f>
        <v>2</v>
      </c>
      <c r="Y6" s="60" t="n">
        <f aca="false">ROUNDUP(20/12,0)</f>
        <v>2</v>
      </c>
      <c r="Z6" s="60" t="n">
        <f aca="false">ROUNDUP(21/12,0)</f>
        <v>2</v>
      </c>
      <c r="AA6" s="60" t="n">
        <f aca="false">ROUNDUP(22/12,0)</f>
        <v>2</v>
      </c>
      <c r="AB6" s="60" t="n">
        <f aca="false">ROUNDUP(23/12,0)</f>
        <v>2</v>
      </c>
      <c r="AC6" s="60" t="n">
        <f aca="false">ROUNDUP(24/12,0)</f>
        <v>2</v>
      </c>
      <c r="AD6" s="60" t="n">
        <f aca="false">ROUNDUP(25/12,0)</f>
        <v>3</v>
      </c>
      <c r="AE6" s="60" t="n">
        <f aca="false">ROUNDUP(26/12,0)</f>
        <v>3</v>
      </c>
      <c r="AF6" s="60" t="n">
        <f aca="false">ROUNDUP(27/12,0)</f>
        <v>3</v>
      </c>
      <c r="AG6" s="60" t="n">
        <f aca="false">ROUNDUP(28/12,0)</f>
        <v>3</v>
      </c>
      <c r="AH6" s="60" t="n">
        <f aca="false">ROUNDUP(29/12,0)</f>
        <v>3</v>
      </c>
      <c r="AI6" s="60" t="n">
        <f aca="false">ROUNDUP(30/12,0)</f>
        <v>3</v>
      </c>
      <c r="AJ6" s="60" t="n">
        <f aca="false">ROUNDUP(31/12,0)</f>
        <v>3</v>
      </c>
      <c r="AK6" s="60" t="n">
        <f aca="false">ROUNDUP(32/12,0)</f>
        <v>3</v>
      </c>
      <c r="AL6" s="60" t="n">
        <f aca="false">ROUNDUP(33/12,0)</f>
        <v>3</v>
      </c>
      <c r="AM6" s="60" t="n">
        <f aca="false">ROUNDUP(34/12,0)</f>
        <v>3</v>
      </c>
      <c r="AN6" s="60" t="n">
        <f aca="false">ROUNDUP(35/12,0)</f>
        <v>3</v>
      </c>
      <c r="AO6" s="60" t="n">
        <f aca="false">ROUNDUP(36/12,0)</f>
        <v>3</v>
      </c>
      <c r="AP6" s="60" t="n">
        <f aca="false">ROUNDUP(37/12,0)</f>
        <v>4</v>
      </c>
      <c r="AQ6" s="60" t="n">
        <f aca="false">ROUNDUP(38/12,0)</f>
        <v>4</v>
      </c>
      <c r="AR6" s="60" t="n">
        <f aca="false">ROUNDUP(39/12,0)</f>
        <v>4</v>
      </c>
      <c r="AS6" s="60" t="n">
        <f aca="false">ROUNDUP(40/12,0)</f>
        <v>4</v>
      </c>
      <c r="AT6" s="60" t="n">
        <f aca="false">ROUNDUP(41/12,0)</f>
        <v>4</v>
      </c>
      <c r="AU6" s="60" t="n">
        <f aca="false">ROUNDUP(42/12,0)</f>
        <v>4</v>
      </c>
      <c r="AV6" s="60" t="n">
        <f aca="false">ROUNDUP(43/12,0)</f>
        <v>4</v>
      </c>
      <c r="AW6" s="60" t="n">
        <f aca="false">ROUNDUP(44/12,0)</f>
        <v>4</v>
      </c>
      <c r="AX6" s="60" t="n">
        <f aca="false">ROUNDUP(45/12,0)</f>
        <v>4</v>
      </c>
      <c r="AY6" s="60" t="n">
        <f aca="false">ROUNDUP(46/12,0)</f>
        <v>4</v>
      </c>
      <c r="AZ6" s="60" t="n">
        <f aca="false">ROUNDUP(47/12,0)</f>
        <v>4</v>
      </c>
      <c r="BA6" s="60" t="n">
        <f aca="false">ROUNDUP(48/12,0)</f>
        <v>4</v>
      </c>
      <c r="BB6" s="60" t="n">
        <f aca="false">ROUNDUP(49/12,0)</f>
        <v>5</v>
      </c>
      <c r="BC6" s="60" t="n">
        <f aca="false">ROUNDUP(50/12,0)</f>
        <v>5</v>
      </c>
      <c r="BD6" s="60" t="n">
        <f aca="false">ROUNDUP(51/12,0)</f>
        <v>5</v>
      </c>
      <c r="BE6" s="60" t="n">
        <f aca="false">ROUNDUP(52/12,0)</f>
        <v>5</v>
      </c>
      <c r="BF6" s="60" t="n">
        <f aca="false">ROUNDUP(53/12,0)</f>
        <v>5</v>
      </c>
      <c r="BG6" s="60" t="n">
        <f aca="false">ROUNDUP(54/12,0)</f>
        <v>5</v>
      </c>
      <c r="BH6" s="60" t="n">
        <f aca="false">ROUNDUP(55/12,0)</f>
        <v>5</v>
      </c>
      <c r="BI6" s="60" t="n">
        <f aca="false">ROUNDUP(56/12,0)</f>
        <v>5</v>
      </c>
      <c r="BJ6" s="60" t="n">
        <f aca="false">ROUNDUP(57/12,0)</f>
        <v>5</v>
      </c>
      <c r="BK6" s="60" t="n">
        <f aca="false">ROUNDUP(58/12,0)</f>
        <v>5</v>
      </c>
      <c r="BL6" s="60" t="n">
        <f aca="false">ROUNDUP(59/12,0)</f>
        <v>5</v>
      </c>
      <c r="BM6" s="60" t="n">
        <f aca="false">ROUNDUP(60/12,0)</f>
        <v>5</v>
      </c>
      <c r="BN6" s="60" t="n">
        <f aca="false">ROUNDUP(61/12,0)</f>
        <v>6</v>
      </c>
      <c r="BO6" s="60" t="n">
        <f aca="false">ROUNDUP(62/12,0)</f>
        <v>6</v>
      </c>
      <c r="BP6" s="60" t="n">
        <f aca="false">ROUNDUP(63/12,0)</f>
        <v>6</v>
      </c>
      <c r="BQ6" s="60" t="n">
        <f aca="false">ROUNDUP(64/12,0)</f>
        <v>6</v>
      </c>
      <c r="BR6" s="60" t="n">
        <f aca="false">ROUNDUP(65/12,0)</f>
        <v>6</v>
      </c>
      <c r="BS6" s="60" t="n">
        <f aca="false">ROUNDUP(66/12,0)</f>
        <v>6</v>
      </c>
      <c r="BT6" s="60" t="n">
        <f aca="false">ROUNDUP(67/12,0)</f>
        <v>6</v>
      </c>
      <c r="BU6" s="60" t="n">
        <f aca="false">ROUNDUP(68/12,0)</f>
        <v>6</v>
      </c>
      <c r="BV6" s="60" t="n">
        <f aca="false">ROUNDUP(69/12,0)</f>
        <v>6</v>
      </c>
      <c r="BW6" s="60" t="n">
        <f aca="false">ROUNDUP(70/12,0)</f>
        <v>6</v>
      </c>
      <c r="BX6" s="60" t="n">
        <f aca="false">ROUNDUP(71/12,0)</f>
        <v>6</v>
      </c>
      <c r="BY6" s="60" t="n">
        <f aca="false">ROUNDUP(72/12,0)</f>
        <v>6</v>
      </c>
      <c r="BZ6" s="60" t="n">
        <f aca="false">ROUNDUP(73/12,0)</f>
        <v>7</v>
      </c>
      <c r="CA6" s="60" t="n">
        <f aca="false">ROUNDUP(74/12,0)</f>
        <v>7</v>
      </c>
      <c r="CB6" s="60" t="n">
        <f aca="false">ROUNDUP(75/12,0)</f>
        <v>7</v>
      </c>
      <c r="CC6" s="60" t="n">
        <f aca="false">ROUNDUP(76/12,0)</f>
        <v>7</v>
      </c>
      <c r="CD6" s="60" t="n">
        <f aca="false">ROUNDUP(77/12,0)</f>
        <v>7</v>
      </c>
      <c r="CE6" s="60" t="n">
        <f aca="false">ROUNDUP(78/12,0)</f>
        <v>7</v>
      </c>
      <c r="CF6" s="60" t="n">
        <f aca="false">ROUNDUP(79/12,0)</f>
        <v>7</v>
      </c>
      <c r="CG6" s="60" t="n">
        <f aca="false">ROUNDUP(80/12,0)</f>
        <v>7</v>
      </c>
      <c r="CH6" s="60" t="n">
        <f aca="false">ROUNDUP(81/12,0)</f>
        <v>7</v>
      </c>
      <c r="CI6" s="60" t="n">
        <f aca="false">ROUNDUP(82/12,0)</f>
        <v>7</v>
      </c>
      <c r="CJ6" s="60" t="n">
        <f aca="false">ROUNDUP(83/12,0)</f>
        <v>7</v>
      </c>
      <c r="CK6" s="60" t="n">
        <f aca="false">ROUNDUP(84/12,0)</f>
        <v>7</v>
      </c>
      <c r="CL6" s="60" t="n">
        <f aca="false">ROUNDUP(85/12,0)</f>
        <v>8</v>
      </c>
      <c r="CM6" s="60" t="n">
        <f aca="false">ROUNDUP(86/12,0)</f>
        <v>8</v>
      </c>
      <c r="CN6" s="60" t="n">
        <f aca="false">ROUNDUP(87/12,0)</f>
        <v>8</v>
      </c>
      <c r="CO6" s="60" t="n">
        <f aca="false">ROUNDUP(88/12,0)</f>
        <v>8</v>
      </c>
      <c r="CP6" s="60" t="n">
        <f aca="false">ROUNDUP(89/12,0)</f>
        <v>8</v>
      </c>
      <c r="CQ6" s="60" t="n">
        <f aca="false">ROUNDUP(90/12,0)</f>
        <v>8</v>
      </c>
      <c r="CR6" s="60" t="n">
        <f aca="false">ROUNDUP(91/12,0)</f>
        <v>8</v>
      </c>
      <c r="CS6" s="60" t="n">
        <f aca="false">ROUNDUP(92/12,0)</f>
        <v>8</v>
      </c>
      <c r="CT6" s="60" t="n">
        <f aca="false">ROUNDUP(93/12,0)</f>
        <v>8</v>
      </c>
      <c r="CU6" s="60" t="n">
        <f aca="false">ROUNDUP(94/12,0)</f>
        <v>8</v>
      </c>
      <c r="CV6" s="60" t="n">
        <f aca="false">ROUNDUP(95/12,0)</f>
        <v>8</v>
      </c>
      <c r="CW6" s="60" t="n">
        <f aca="false">ROUNDUP(96/12,0)</f>
        <v>8</v>
      </c>
      <c r="CX6" s="60" t="n">
        <f aca="false">ROUNDUP(97/12,0)</f>
        <v>9</v>
      </c>
      <c r="CY6" s="60" t="n">
        <f aca="false">ROUNDUP(98/12,0)</f>
        <v>9</v>
      </c>
      <c r="CZ6" s="60" t="n">
        <f aca="false">ROUNDUP(99/12,0)</f>
        <v>9</v>
      </c>
      <c r="DA6" s="60" t="n">
        <f aca="false">ROUNDUP(100/12,0)</f>
        <v>9</v>
      </c>
      <c r="DB6" s="60" t="n">
        <f aca="false">ROUNDUP(101/12,0)</f>
        <v>9</v>
      </c>
      <c r="DC6" s="60" t="n">
        <f aca="false">ROUNDUP(102/12,0)</f>
        <v>9</v>
      </c>
      <c r="DD6" s="60" t="n">
        <f aca="false">ROUNDUP(103/12,0)</f>
        <v>9</v>
      </c>
      <c r="DE6" s="60" t="n">
        <f aca="false">ROUNDUP(104/12,0)</f>
        <v>9</v>
      </c>
      <c r="DF6" s="60" t="n">
        <f aca="false">ROUNDUP(105/12,0)</f>
        <v>9</v>
      </c>
      <c r="DG6" s="60" t="n">
        <f aca="false">ROUNDUP(106/12,0)</f>
        <v>9</v>
      </c>
      <c r="DH6" s="60" t="n">
        <f aca="false">ROUNDUP(107/12,0)</f>
        <v>9</v>
      </c>
      <c r="DI6" s="60" t="n">
        <f aca="false">ROUNDUP(108/12,0)</f>
        <v>9</v>
      </c>
      <c r="DJ6" s="60" t="n">
        <f aca="false">ROUNDUP(109/12,0)</f>
        <v>10</v>
      </c>
      <c r="DK6" s="60" t="n">
        <f aca="false">ROUNDUP(110/12,0)</f>
        <v>10</v>
      </c>
      <c r="DL6" s="60" t="n">
        <f aca="false">ROUNDUP(111/12,0)</f>
        <v>10</v>
      </c>
      <c r="DM6" s="60" t="n">
        <f aca="false">ROUNDUP(112/12,0)</f>
        <v>10</v>
      </c>
      <c r="DN6" s="60" t="n">
        <f aca="false">ROUNDUP(113/12,0)</f>
        <v>10</v>
      </c>
      <c r="DO6" s="60" t="n">
        <f aca="false">ROUNDUP(114/12,0)</f>
        <v>10</v>
      </c>
      <c r="DP6" s="60" t="n">
        <f aca="false">ROUNDUP(115/12,0)</f>
        <v>10</v>
      </c>
      <c r="DQ6" s="60" t="n">
        <f aca="false">ROUNDUP(116/12,0)</f>
        <v>10</v>
      </c>
      <c r="DR6" s="60" t="n">
        <f aca="false">ROUNDUP(117/12,0)</f>
        <v>10</v>
      </c>
      <c r="DS6" s="60" t="n">
        <f aca="false">ROUNDUP(118/12,0)</f>
        <v>10</v>
      </c>
      <c r="DT6" s="60" t="n">
        <f aca="false">ROUNDUP(119/12,0)</f>
        <v>10</v>
      </c>
      <c r="DU6" s="60" t="n">
        <f aca="false">ROUNDUP(120/12,0)</f>
        <v>10</v>
      </c>
      <c r="DV6" s="60" t="n">
        <f aca="false">ROUNDUP(121/12,0)</f>
        <v>11</v>
      </c>
      <c r="DW6" s="60" t="n">
        <f aca="false">ROUNDUP(122/12,0)</f>
        <v>11</v>
      </c>
      <c r="DX6" s="60" t="n">
        <f aca="false">ROUNDUP(123/12,0)</f>
        <v>11</v>
      </c>
      <c r="DY6" s="60" t="n">
        <f aca="false">ROUNDUP(124/12,0)</f>
        <v>11</v>
      </c>
      <c r="DZ6" s="60" t="n">
        <f aca="false">ROUNDUP(125/12,0)</f>
        <v>11</v>
      </c>
      <c r="EA6" s="60" t="n">
        <f aca="false">ROUNDUP(126/12,0)</f>
        <v>11</v>
      </c>
      <c r="EB6" s="60" t="n">
        <f aca="false">ROUNDUP(127/12,0)</f>
        <v>11</v>
      </c>
      <c r="EC6" s="60" t="n">
        <f aca="false">ROUNDUP(128/12,0)</f>
        <v>11</v>
      </c>
      <c r="ED6" s="60" t="n">
        <f aca="false">ROUNDUP(129/12,0)</f>
        <v>11</v>
      </c>
      <c r="EE6" s="60" t="n">
        <f aca="false">ROUNDUP(130/12,0)</f>
        <v>11</v>
      </c>
      <c r="EF6" s="60" t="n">
        <f aca="false">ROUNDUP(131/12,0)</f>
        <v>11</v>
      </c>
      <c r="EG6" s="60" t="n">
        <f aca="false">ROUNDUP(132/12,0)</f>
        <v>11</v>
      </c>
      <c r="EH6" s="60" t="n">
        <f aca="false">ROUNDUP(133/12,0)</f>
        <v>12</v>
      </c>
      <c r="EI6" s="60" t="n">
        <f aca="false">ROUNDUP(134/12,0)</f>
        <v>12</v>
      </c>
      <c r="EJ6" s="60" t="n">
        <f aca="false">ROUNDUP(135/12,0)</f>
        <v>12</v>
      </c>
      <c r="EK6" s="60" t="n">
        <f aca="false">ROUNDUP(136/12,0)</f>
        <v>12</v>
      </c>
      <c r="EL6" s="60" t="n">
        <f aca="false">ROUNDUP(137/12,0)</f>
        <v>12</v>
      </c>
      <c r="EM6" s="60" t="n">
        <f aca="false">ROUNDUP(138/12,0)</f>
        <v>12</v>
      </c>
      <c r="EN6" s="60" t="n">
        <f aca="false">ROUNDUP(139/12,0)</f>
        <v>12</v>
      </c>
      <c r="EO6" s="60" t="n">
        <f aca="false">ROUNDUP(140/12,0)</f>
        <v>12</v>
      </c>
      <c r="EP6" s="60" t="n">
        <f aca="false">ROUNDUP(141/12,0)</f>
        <v>12</v>
      </c>
      <c r="EQ6" s="60" t="n">
        <f aca="false">ROUNDUP(142/12,0)</f>
        <v>12</v>
      </c>
      <c r="ER6" s="60" t="n">
        <f aca="false">ROUNDUP(143/12,0)</f>
        <v>12</v>
      </c>
      <c r="ES6" s="60" t="n">
        <f aca="false">ROUNDUP(144/12,0)</f>
        <v>12</v>
      </c>
    </row>
    <row r="7" customFormat="false" ht="15" hidden="false" customHeight="false" outlineLevel="0" collapsed="false">
      <c r="A7" s="57"/>
      <c r="B7" s="58" t="s">
        <v>717</v>
      </c>
      <c r="C7" s="57"/>
      <c r="D7" s="57"/>
      <c r="E7" s="57"/>
      <c r="F7" s="14" t="str">
        <f aca="false">IF(1&lt;=Corte,"Cerrado","Abierto")</f>
        <v>Abierto</v>
      </c>
      <c r="G7" s="14" t="str">
        <f aca="false">IF(2&lt;=Corte,"Cerrado","Abierto")</f>
        <v>Abierto</v>
      </c>
      <c r="H7" s="14" t="str">
        <f aca="false">IF(3&lt;=Corte,"Cerrado","Abierto")</f>
        <v>Abierto</v>
      </c>
      <c r="I7" s="14" t="str">
        <f aca="false">IF(4&lt;=Corte,"Cerrado","Abierto")</f>
        <v>Abierto</v>
      </c>
      <c r="J7" s="14" t="str">
        <f aca="false">IF(5&lt;=Corte,"Cerrado","Abierto")</f>
        <v>Abierto</v>
      </c>
      <c r="K7" s="14" t="str">
        <f aca="false">IF(6&lt;=Corte,"Cerrado","Abierto")</f>
        <v>Abierto</v>
      </c>
      <c r="L7" s="14" t="str">
        <f aca="false">IF(7&lt;=Corte,"Cerrado","Abierto")</f>
        <v>Abierto</v>
      </c>
      <c r="M7" s="14" t="str">
        <f aca="false">IF(8&lt;=Corte,"Cerrado","Abierto")</f>
        <v>Abierto</v>
      </c>
      <c r="N7" s="14" t="str">
        <f aca="false">IF(9&lt;=Corte,"Cerrado","Abierto")</f>
        <v>Abierto</v>
      </c>
      <c r="O7" s="14" t="str">
        <f aca="false">IF(10&lt;=Corte,"Cerrado","Abierto")</f>
        <v>Abierto</v>
      </c>
      <c r="P7" s="14" t="str">
        <f aca="false">IF(11&lt;=Corte,"Cerrado","Abierto")</f>
        <v>Abierto</v>
      </c>
      <c r="Q7" s="14" t="str">
        <f aca="false">IF(12&lt;=Corte,"Cerrado","Abierto")</f>
        <v>Abierto</v>
      </c>
      <c r="R7" s="14" t="str">
        <f aca="false">IF(13&lt;=Corte,"Cerrado","Abierto")</f>
        <v>Abierto</v>
      </c>
      <c r="S7" s="14" t="str">
        <f aca="false">IF(14&lt;=Corte,"Cerrado","Abierto")</f>
        <v>Abierto</v>
      </c>
      <c r="T7" s="14" t="str">
        <f aca="false">IF(15&lt;=Corte,"Cerrado","Abierto")</f>
        <v>Abierto</v>
      </c>
      <c r="U7" s="14" t="str">
        <f aca="false">IF(16&lt;=Corte,"Cerrado","Abierto")</f>
        <v>Abierto</v>
      </c>
      <c r="V7" s="14" t="str">
        <f aca="false">IF(17&lt;=Corte,"Cerrado","Abierto")</f>
        <v>Abierto</v>
      </c>
      <c r="W7" s="14" t="str">
        <f aca="false">IF(18&lt;=Corte,"Cerrado","Abierto")</f>
        <v>Abierto</v>
      </c>
      <c r="X7" s="14" t="str">
        <f aca="false">IF(19&lt;=Corte,"Cerrado","Abierto")</f>
        <v>Abierto</v>
      </c>
      <c r="Y7" s="14" t="str">
        <f aca="false">IF(20&lt;=Corte,"Cerrado","Abierto")</f>
        <v>Abierto</v>
      </c>
      <c r="Z7" s="14" t="str">
        <f aca="false">IF(21&lt;=Corte,"Cerrado","Abierto")</f>
        <v>Abierto</v>
      </c>
      <c r="AA7" s="14" t="str">
        <f aca="false">IF(22&lt;=Corte,"Cerrado","Abierto")</f>
        <v>Abierto</v>
      </c>
      <c r="AB7" s="14" t="str">
        <f aca="false">IF(23&lt;=Corte,"Cerrado","Abierto")</f>
        <v>Abierto</v>
      </c>
      <c r="AC7" s="14" t="str">
        <f aca="false">IF(24&lt;=Corte,"Cerrado","Abierto")</f>
        <v>Abierto</v>
      </c>
      <c r="AD7" s="14" t="str">
        <f aca="false">IF(25&lt;=Corte,"Cerrado","Abierto")</f>
        <v>Abierto</v>
      </c>
      <c r="AE7" s="14" t="str">
        <f aca="false">IF(26&lt;=Corte,"Cerrado","Abierto")</f>
        <v>Abierto</v>
      </c>
      <c r="AF7" s="14" t="str">
        <f aca="false">IF(27&lt;=Corte,"Cerrado","Abierto")</f>
        <v>Abierto</v>
      </c>
      <c r="AG7" s="14" t="str">
        <f aca="false">IF(28&lt;=Corte,"Cerrado","Abierto")</f>
        <v>Abierto</v>
      </c>
      <c r="AH7" s="14" t="str">
        <f aca="false">IF(29&lt;=Corte,"Cerrado","Abierto")</f>
        <v>Abierto</v>
      </c>
      <c r="AI7" s="14" t="str">
        <f aca="false">IF(30&lt;=Corte,"Cerrado","Abierto")</f>
        <v>Abierto</v>
      </c>
      <c r="AJ7" s="14" t="str">
        <f aca="false">IF(31&lt;=Corte,"Cerrado","Abierto")</f>
        <v>Abierto</v>
      </c>
      <c r="AK7" s="14" t="str">
        <f aca="false">IF(32&lt;=Corte,"Cerrado","Abierto")</f>
        <v>Abierto</v>
      </c>
      <c r="AL7" s="14" t="str">
        <f aca="false">IF(33&lt;=Corte,"Cerrado","Abierto")</f>
        <v>Abierto</v>
      </c>
      <c r="AM7" s="14" t="str">
        <f aca="false">IF(34&lt;=Corte,"Cerrado","Abierto")</f>
        <v>Abierto</v>
      </c>
      <c r="AN7" s="14" t="str">
        <f aca="false">IF(35&lt;=Corte,"Cerrado","Abierto")</f>
        <v>Abierto</v>
      </c>
      <c r="AO7" s="14" t="str">
        <f aca="false">IF(36&lt;=Corte,"Cerrado","Abierto")</f>
        <v>Abierto</v>
      </c>
      <c r="AP7" s="14" t="str">
        <f aca="false">IF(37&lt;=Corte,"Cerrado","Abierto")</f>
        <v>Abierto</v>
      </c>
      <c r="AQ7" s="14" t="str">
        <f aca="false">IF(38&lt;=Corte,"Cerrado","Abierto")</f>
        <v>Abierto</v>
      </c>
      <c r="AR7" s="14" t="str">
        <f aca="false">IF(39&lt;=Corte,"Cerrado","Abierto")</f>
        <v>Abierto</v>
      </c>
      <c r="AS7" s="14" t="str">
        <f aca="false">IF(40&lt;=Corte,"Cerrado","Abierto")</f>
        <v>Abierto</v>
      </c>
      <c r="AT7" s="14" t="str">
        <f aca="false">IF(41&lt;=Corte,"Cerrado","Abierto")</f>
        <v>Abierto</v>
      </c>
      <c r="AU7" s="14" t="str">
        <f aca="false">IF(42&lt;=Corte,"Cerrado","Abierto")</f>
        <v>Abierto</v>
      </c>
      <c r="AV7" s="14" t="str">
        <f aca="false">IF(43&lt;=Corte,"Cerrado","Abierto")</f>
        <v>Abierto</v>
      </c>
      <c r="AW7" s="14" t="str">
        <f aca="false">IF(44&lt;=Corte,"Cerrado","Abierto")</f>
        <v>Abierto</v>
      </c>
      <c r="AX7" s="14" t="str">
        <f aca="false">IF(45&lt;=Corte,"Cerrado","Abierto")</f>
        <v>Abierto</v>
      </c>
      <c r="AY7" s="14" t="str">
        <f aca="false">IF(46&lt;=Corte,"Cerrado","Abierto")</f>
        <v>Abierto</v>
      </c>
      <c r="AZ7" s="14" t="str">
        <f aca="false">IF(47&lt;=Corte,"Cerrado","Abierto")</f>
        <v>Abierto</v>
      </c>
      <c r="BA7" s="14" t="str">
        <f aca="false">IF(48&lt;=Corte,"Cerrado","Abierto")</f>
        <v>Abierto</v>
      </c>
      <c r="BB7" s="14" t="str">
        <f aca="false">IF(49&lt;=Corte,"Cerrado","Abierto")</f>
        <v>Abierto</v>
      </c>
      <c r="BC7" s="14" t="str">
        <f aca="false">IF(50&lt;=Corte,"Cerrado","Abierto")</f>
        <v>Abierto</v>
      </c>
      <c r="BD7" s="14" t="str">
        <f aca="false">IF(51&lt;=Corte,"Cerrado","Abierto")</f>
        <v>Abierto</v>
      </c>
      <c r="BE7" s="14" t="str">
        <f aca="false">IF(52&lt;=Corte,"Cerrado","Abierto")</f>
        <v>Abierto</v>
      </c>
      <c r="BF7" s="14" t="str">
        <f aca="false">IF(53&lt;=Corte,"Cerrado","Abierto")</f>
        <v>Abierto</v>
      </c>
      <c r="BG7" s="14" t="str">
        <f aca="false">IF(54&lt;=Corte,"Cerrado","Abierto")</f>
        <v>Abierto</v>
      </c>
      <c r="BH7" s="14" t="str">
        <f aca="false">IF(55&lt;=Corte,"Cerrado","Abierto")</f>
        <v>Abierto</v>
      </c>
      <c r="BI7" s="14" t="str">
        <f aca="false">IF(56&lt;=Corte,"Cerrado","Abierto")</f>
        <v>Abierto</v>
      </c>
      <c r="BJ7" s="14" t="str">
        <f aca="false">IF(57&lt;=Corte,"Cerrado","Abierto")</f>
        <v>Abierto</v>
      </c>
      <c r="BK7" s="14" t="str">
        <f aca="false">IF(58&lt;=Corte,"Cerrado","Abierto")</f>
        <v>Abierto</v>
      </c>
      <c r="BL7" s="14" t="str">
        <f aca="false">IF(59&lt;=Corte,"Cerrado","Abierto")</f>
        <v>Abierto</v>
      </c>
      <c r="BM7" s="14" t="str">
        <f aca="false">IF(60&lt;=Corte,"Cerrado","Abierto")</f>
        <v>Abierto</v>
      </c>
      <c r="BN7" s="14" t="str">
        <f aca="false">IF(61&lt;=Corte,"Cerrado","Abierto")</f>
        <v>Abierto</v>
      </c>
      <c r="BO7" s="14" t="str">
        <f aca="false">IF(62&lt;=Corte,"Cerrado","Abierto")</f>
        <v>Abierto</v>
      </c>
      <c r="BP7" s="14" t="str">
        <f aca="false">IF(63&lt;=Corte,"Cerrado","Abierto")</f>
        <v>Abierto</v>
      </c>
      <c r="BQ7" s="14" t="str">
        <f aca="false">IF(64&lt;=Corte,"Cerrado","Abierto")</f>
        <v>Abierto</v>
      </c>
      <c r="BR7" s="14" t="str">
        <f aca="false">IF(65&lt;=Corte,"Cerrado","Abierto")</f>
        <v>Abierto</v>
      </c>
      <c r="BS7" s="14" t="str">
        <f aca="false">IF(66&lt;=Corte,"Cerrado","Abierto")</f>
        <v>Abierto</v>
      </c>
      <c r="BT7" s="14" t="str">
        <f aca="false">IF(67&lt;=Corte,"Cerrado","Abierto")</f>
        <v>Abierto</v>
      </c>
      <c r="BU7" s="14" t="str">
        <f aca="false">IF(68&lt;=Corte,"Cerrado","Abierto")</f>
        <v>Abierto</v>
      </c>
      <c r="BV7" s="14" t="str">
        <f aca="false">IF(69&lt;=Corte,"Cerrado","Abierto")</f>
        <v>Abierto</v>
      </c>
      <c r="BW7" s="14" t="str">
        <f aca="false">IF(70&lt;=Corte,"Cerrado","Abierto")</f>
        <v>Abierto</v>
      </c>
      <c r="BX7" s="14" t="str">
        <f aca="false">IF(71&lt;=Corte,"Cerrado","Abierto")</f>
        <v>Abierto</v>
      </c>
      <c r="BY7" s="14" t="str">
        <f aca="false">IF(72&lt;=Corte,"Cerrado","Abierto")</f>
        <v>Abierto</v>
      </c>
      <c r="BZ7" s="14" t="str">
        <f aca="false">IF(73&lt;=Corte,"Cerrado","Abierto")</f>
        <v>Abierto</v>
      </c>
      <c r="CA7" s="14" t="str">
        <f aca="false">IF(74&lt;=Corte,"Cerrado","Abierto")</f>
        <v>Abierto</v>
      </c>
      <c r="CB7" s="14" t="str">
        <f aca="false">IF(75&lt;=Corte,"Cerrado","Abierto")</f>
        <v>Abierto</v>
      </c>
      <c r="CC7" s="14" t="str">
        <f aca="false">IF(76&lt;=Corte,"Cerrado","Abierto")</f>
        <v>Abierto</v>
      </c>
      <c r="CD7" s="14" t="str">
        <f aca="false">IF(77&lt;=Corte,"Cerrado","Abierto")</f>
        <v>Abierto</v>
      </c>
      <c r="CE7" s="14" t="str">
        <f aca="false">IF(78&lt;=Corte,"Cerrado","Abierto")</f>
        <v>Abierto</v>
      </c>
      <c r="CF7" s="14" t="str">
        <f aca="false">IF(79&lt;=Corte,"Cerrado","Abierto")</f>
        <v>Abierto</v>
      </c>
      <c r="CG7" s="14" t="str">
        <f aca="false">IF(80&lt;=Corte,"Cerrado","Abierto")</f>
        <v>Abierto</v>
      </c>
      <c r="CH7" s="14" t="str">
        <f aca="false">IF(81&lt;=Corte,"Cerrado","Abierto")</f>
        <v>Abierto</v>
      </c>
      <c r="CI7" s="14" t="str">
        <f aca="false">IF(82&lt;=Corte,"Cerrado","Abierto")</f>
        <v>Abierto</v>
      </c>
      <c r="CJ7" s="14" t="str">
        <f aca="false">IF(83&lt;=Corte,"Cerrado","Abierto")</f>
        <v>Abierto</v>
      </c>
      <c r="CK7" s="14" t="str">
        <f aca="false">IF(84&lt;=Corte,"Cerrado","Abierto")</f>
        <v>Abierto</v>
      </c>
      <c r="CL7" s="14" t="str">
        <f aca="false">IF(85&lt;=Corte,"Cerrado","Abierto")</f>
        <v>Abierto</v>
      </c>
      <c r="CM7" s="14" t="str">
        <f aca="false">IF(86&lt;=Corte,"Cerrado","Abierto")</f>
        <v>Abierto</v>
      </c>
      <c r="CN7" s="14" t="str">
        <f aca="false">IF(87&lt;=Corte,"Cerrado","Abierto")</f>
        <v>Abierto</v>
      </c>
      <c r="CO7" s="14" t="str">
        <f aca="false">IF(88&lt;=Corte,"Cerrado","Abierto")</f>
        <v>Abierto</v>
      </c>
      <c r="CP7" s="14" t="str">
        <f aca="false">IF(89&lt;=Corte,"Cerrado","Abierto")</f>
        <v>Abierto</v>
      </c>
      <c r="CQ7" s="14" t="str">
        <f aca="false">IF(90&lt;=Corte,"Cerrado","Abierto")</f>
        <v>Abierto</v>
      </c>
      <c r="CR7" s="14" t="str">
        <f aca="false">IF(91&lt;=Corte,"Cerrado","Abierto")</f>
        <v>Abierto</v>
      </c>
      <c r="CS7" s="14" t="str">
        <f aca="false">IF(92&lt;=Corte,"Cerrado","Abierto")</f>
        <v>Abierto</v>
      </c>
      <c r="CT7" s="14" t="str">
        <f aca="false">IF(93&lt;=Corte,"Cerrado","Abierto")</f>
        <v>Abierto</v>
      </c>
      <c r="CU7" s="14" t="str">
        <f aca="false">IF(94&lt;=Corte,"Cerrado","Abierto")</f>
        <v>Abierto</v>
      </c>
      <c r="CV7" s="14" t="str">
        <f aca="false">IF(95&lt;=Corte,"Cerrado","Abierto")</f>
        <v>Abierto</v>
      </c>
      <c r="CW7" s="14" t="str">
        <f aca="false">IF(96&lt;=Corte,"Cerrado","Abierto")</f>
        <v>Abierto</v>
      </c>
      <c r="CX7" s="14" t="str">
        <f aca="false">IF(97&lt;=Corte,"Cerrado","Abierto")</f>
        <v>Abierto</v>
      </c>
      <c r="CY7" s="14" t="str">
        <f aca="false">IF(98&lt;=Corte,"Cerrado","Abierto")</f>
        <v>Abierto</v>
      </c>
      <c r="CZ7" s="14" t="str">
        <f aca="false">IF(99&lt;=Corte,"Cerrado","Abierto")</f>
        <v>Abierto</v>
      </c>
      <c r="DA7" s="14" t="str">
        <f aca="false">IF(100&lt;=Corte,"Cerrado","Abierto")</f>
        <v>Abierto</v>
      </c>
      <c r="DB7" s="14" t="str">
        <f aca="false">IF(101&lt;=Corte,"Cerrado","Abierto")</f>
        <v>Abierto</v>
      </c>
      <c r="DC7" s="14" t="str">
        <f aca="false">IF(102&lt;=Corte,"Cerrado","Abierto")</f>
        <v>Abierto</v>
      </c>
      <c r="DD7" s="14" t="str">
        <f aca="false">IF(103&lt;=Corte,"Cerrado","Abierto")</f>
        <v>Abierto</v>
      </c>
      <c r="DE7" s="14" t="str">
        <f aca="false">IF(104&lt;=Corte,"Cerrado","Abierto")</f>
        <v>Abierto</v>
      </c>
      <c r="DF7" s="14" t="str">
        <f aca="false">IF(105&lt;=Corte,"Cerrado","Abierto")</f>
        <v>Abierto</v>
      </c>
      <c r="DG7" s="14" t="str">
        <f aca="false">IF(106&lt;=Corte,"Cerrado","Abierto")</f>
        <v>Abierto</v>
      </c>
      <c r="DH7" s="14" t="str">
        <f aca="false">IF(107&lt;=Corte,"Cerrado","Abierto")</f>
        <v>Abierto</v>
      </c>
      <c r="DI7" s="14" t="str">
        <f aca="false">IF(108&lt;=Corte,"Cerrado","Abierto")</f>
        <v>Abierto</v>
      </c>
      <c r="DJ7" s="14" t="str">
        <f aca="false">IF(109&lt;=Corte,"Cerrado","Abierto")</f>
        <v>Abierto</v>
      </c>
      <c r="DK7" s="14" t="str">
        <f aca="false">IF(110&lt;=Corte,"Cerrado","Abierto")</f>
        <v>Abierto</v>
      </c>
      <c r="DL7" s="14" t="str">
        <f aca="false">IF(111&lt;=Corte,"Cerrado","Abierto")</f>
        <v>Abierto</v>
      </c>
      <c r="DM7" s="14" t="str">
        <f aca="false">IF(112&lt;=Corte,"Cerrado","Abierto")</f>
        <v>Abierto</v>
      </c>
      <c r="DN7" s="14" t="str">
        <f aca="false">IF(113&lt;=Corte,"Cerrado","Abierto")</f>
        <v>Abierto</v>
      </c>
      <c r="DO7" s="14" t="str">
        <f aca="false">IF(114&lt;=Corte,"Cerrado","Abierto")</f>
        <v>Abierto</v>
      </c>
      <c r="DP7" s="14" t="str">
        <f aca="false">IF(115&lt;=Corte,"Cerrado","Abierto")</f>
        <v>Abierto</v>
      </c>
      <c r="DQ7" s="14" t="str">
        <f aca="false">IF(116&lt;=Corte,"Cerrado","Abierto")</f>
        <v>Abierto</v>
      </c>
      <c r="DR7" s="14" t="str">
        <f aca="false">IF(117&lt;=Corte,"Cerrado","Abierto")</f>
        <v>Abierto</v>
      </c>
      <c r="DS7" s="14" t="str">
        <f aca="false">IF(118&lt;=Corte,"Cerrado","Abierto")</f>
        <v>Abierto</v>
      </c>
      <c r="DT7" s="14" t="str">
        <f aca="false">IF(119&lt;=Corte,"Cerrado","Abierto")</f>
        <v>Abierto</v>
      </c>
      <c r="DU7" s="14" t="str">
        <f aca="false">IF(120&lt;=Corte,"Cerrado","Abierto")</f>
        <v>Abierto</v>
      </c>
      <c r="DV7" s="14" t="str">
        <f aca="false">IF(121&lt;=Corte,"Cerrado","Abierto")</f>
        <v>Abierto</v>
      </c>
      <c r="DW7" s="14" t="str">
        <f aca="false">IF(122&lt;=Corte,"Cerrado","Abierto")</f>
        <v>Abierto</v>
      </c>
      <c r="DX7" s="14" t="str">
        <f aca="false">IF(123&lt;=Corte,"Cerrado","Abierto")</f>
        <v>Abierto</v>
      </c>
      <c r="DY7" s="14" t="str">
        <f aca="false">IF(124&lt;=Corte,"Cerrado","Abierto")</f>
        <v>Abierto</v>
      </c>
      <c r="DZ7" s="14" t="str">
        <f aca="false">IF(125&lt;=Corte,"Cerrado","Abierto")</f>
        <v>Abierto</v>
      </c>
      <c r="EA7" s="14" t="str">
        <f aca="false">IF(126&lt;=Corte,"Cerrado","Abierto")</f>
        <v>Abierto</v>
      </c>
      <c r="EB7" s="14" t="str">
        <f aca="false">IF(127&lt;=Corte,"Cerrado","Abierto")</f>
        <v>Abierto</v>
      </c>
      <c r="EC7" s="14" t="str">
        <f aca="false">IF(128&lt;=Corte,"Cerrado","Abierto")</f>
        <v>Abierto</v>
      </c>
      <c r="ED7" s="14" t="str">
        <f aca="false">IF(129&lt;=Corte,"Cerrado","Abierto")</f>
        <v>Abierto</v>
      </c>
      <c r="EE7" s="14" t="str">
        <f aca="false">IF(130&lt;=Corte,"Cerrado","Abierto")</f>
        <v>Abierto</v>
      </c>
      <c r="EF7" s="14" t="str">
        <f aca="false">IF(131&lt;=Corte,"Cerrado","Abierto")</f>
        <v>Abierto</v>
      </c>
      <c r="EG7" s="14" t="str">
        <f aca="false">IF(132&lt;=Corte,"Cerrado","Abierto")</f>
        <v>Abierto</v>
      </c>
      <c r="EH7" s="14" t="str">
        <f aca="false">IF(133&lt;=Corte,"Cerrado","Abierto")</f>
        <v>Abierto</v>
      </c>
      <c r="EI7" s="14" t="str">
        <f aca="false">IF(134&lt;=Corte,"Cerrado","Abierto")</f>
        <v>Abierto</v>
      </c>
      <c r="EJ7" s="14" t="str">
        <f aca="false">IF(135&lt;=Corte,"Cerrado","Abierto")</f>
        <v>Abierto</v>
      </c>
      <c r="EK7" s="14" t="str">
        <f aca="false">IF(136&lt;=Corte,"Cerrado","Abierto")</f>
        <v>Abierto</v>
      </c>
      <c r="EL7" s="14" t="str">
        <f aca="false">IF(137&lt;=Corte,"Cerrado","Abierto")</f>
        <v>Abierto</v>
      </c>
      <c r="EM7" s="14" t="str">
        <f aca="false">IF(138&lt;=Corte,"Cerrado","Abierto")</f>
        <v>Abierto</v>
      </c>
      <c r="EN7" s="14" t="str">
        <f aca="false">IF(139&lt;=Corte,"Cerrado","Abierto")</f>
        <v>Abierto</v>
      </c>
      <c r="EO7" s="14" t="str">
        <f aca="false">IF(140&lt;=Corte,"Cerrado","Abierto")</f>
        <v>Abierto</v>
      </c>
      <c r="EP7" s="14" t="str">
        <f aca="false">IF(141&lt;=Corte,"Cerrado","Abierto")</f>
        <v>Abierto</v>
      </c>
      <c r="EQ7" s="14" t="str">
        <f aca="false">IF(142&lt;=Corte,"Cerrado","Abierto")</f>
        <v>Abierto</v>
      </c>
      <c r="ER7" s="14" t="str">
        <f aca="false">IF(143&lt;=Corte,"Cerrado","Abierto")</f>
        <v>Abierto</v>
      </c>
      <c r="ES7" s="14" t="str">
        <f aca="false">IF(144&lt;=Corte,"Cerrado","Abierto")</f>
        <v>Abierto</v>
      </c>
    </row>
    <row r="9" customFormat="false" ht="15" hidden="false" customHeight="false" outlineLevel="0" collapsed="false">
      <c r="A9" s="12" t="s">
        <v>944</v>
      </c>
      <c r="B9" s="13"/>
      <c r="C9" s="13"/>
      <c r="D9" s="13"/>
      <c r="E9" s="13"/>
    </row>
    <row r="10" customFormat="false" ht="15" hidden="false" customHeight="false" outlineLevel="0" collapsed="false">
      <c r="A10" s="11" t="s">
        <v>464</v>
      </c>
      <c r="B10" s="15" t="s">
        <v>945</v>
      </c>
      <c r="C10" s="15" t="s">
        <v>466</v>
      </c>
      <c r="D10" s="19"/>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row>
    <row r="11" customFormat="false" ht="15" hidden="false" customHeight="false" outlineLevel="0" collapsed="false">
      <c r="A11" s="12" t="s">
        <v>289</v>
      </c>
      <c r="B11" s="13"/>
      <c r="C11" s="13"/>
      <c r="D11" s="13"/>
      <c r="E11" s="13"/>
    </row>
    <row r="12" customFormat="false" ht="15" hidden="false" customHeight="false" outlineLevel="0" collapsed="false">
      <c r="A12" s="11" t="s">
        <v>946</v>
      </c>
      <c r="B12" s="53" t="str">
        <f aca="false">IF(INDEX(Prod_Nombre,1)="","Producto 1 (unidades)",INDEX(Prod_Nombre,1)&amp;" (unidades)")</f>
        <v>Gabinetes metálicos 153 kg (unidades)</v>
      </c>
      <c r="C12" s="15" t="s">
        <v>544</v>
      </c>
      <c r="D12" s="19" t="n">
        <f aca="false">SUM(F12:ES12)</f>
        <v>0</v>
      </c>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row>
    <row r="13" customFormat="false" ht="15" hidden="false" customHeight="false" outlineLevel="0" collapsed="false">
      <c r="A13" s="11" t="s">
        <v>947</v>
      </c>
      <c r="B13" s="53" t="str">
        <f aca="false">IF(INDEX(Prod_Nombre,2)="","Producto 2 (unidades)",INDEX(Prod_Nombre,2)&amp;" (unidades)")</f>
        <v>Cajas metálicas 13 kg (unidades)</v>
      </c>
      <c r="C13" s="15" t="s">
        <v>544</v>
      </c>
      <c r="D13" s="19" t="n">
        <f aca="false">SUM(F13:ES13)</f>
        <v>0</v>
      </c>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row>
    <row r="14" customFormat="false" ht="15" hidden="false" customHeight="false" outlineLevel="0" collapsed="false">
      <c r="A14" s="11" t="s">
        <v>948</v>
      </c>
      <c r="B14" s="53" t="str">
        <f aca="false">IF(INDEX(Prod_Nombre,3)="","Producto 3 (unidades)",INDEX(Prod_Nombre,3)&amp;" (unidades)")</f>
        <v>Producto 3 (unidades)</v>
      </c>
      <c r="C14" s="15" t="s">
        <v>544</v>
      </c>
      <c r="D14" s="19" t="n">
        <f aca="false">SUM(F14:ES14)</f>
        <v>0</v>
      </c>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row>
    <row r="15" customFormat="false" ht="15" hidden="false" customHeight="false" outlineLevel="0" collapsed="false">
      <c r="A15" s="11" t="s">
        <v>949</v>
      </c>
      <c r="B15" s="53" t="str">
        <f aca="false">IF(INDEX(Prod_Nombre,4)="","Producto 4 (unidades)",INDEX(Prod_Nombre,4)&amp;" (unidades)")</f>
        <v>Producto 4 (unidades)</v>
      </c>
      <c r="C15" s="15" t="s">
        <v>544</v>
      </c>
      <c r="D15" s="19" t="n">
        <f aca="false">SUM(F15:ES15)</f>
        <v>0</v>
      </c>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row>
    <row r="16" customFormat="false" ht="15" hidden="false" customHeight="false" outlineLevel="0" collapsed="false">
      <c r="A16" s="11" t="s">
        <v>950</v>
      </c>
      <c r="B16" s="53" t="str">
        <f aca="false">IF(INDEX(Prod_Nombre,5)="","Producto 5 (unidades)",INDEX(Prod_Nombre,5)&amp;" (unidades)")</f>
        <v>Producto 5 (unidades)</v>
      </c>
      <c r="C16" s="15" t="s">
        <v>544</v>
      </c>
      <c r="D16" s="19" t="n">
        <f aca="false">SUM(F16:ES16)</f>
        <v>0</v>
      </c>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row>
    <row r="17" customFormat="false" ht="15" hidden="false" customHeight="false" outlineLevel="0" collapsed="false">
      <c r="A17" s="11" t="s">
        <v>951</v>
      </c>
      <c r="B17" s="53" t="str">
        <f aca="false">IF(INDEX(Prod_Nombre,6)="","Producto 6 (unidades)",INDEX(Prod_Nombre,6)&amp;" (unidades)")</f>
        <v>Producto 6 (unidades)</v>
      </c>
      <c r="C17" s="15" t="s">
        <v>544</v>
      </c>
      <c r="D17" s="19" t="n">
        <f aca="false">SUM(F17:ES17)</f>
        <v>0</v>
      </c>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row>
    <row r="18" customFormat="false" ht="15" hidden="false" customHeight="false" outlineLevel="0" collapsed="false">
      <c r="A18" s="11" t="s">
        <v>952</v>
      </c>
      <c r="B18" s="53" t="str">
        <f aca="false">IF(INDEX(Prod_Nombre,7)="","Producto 7 (unidades)",INDEX(Prod_Nombre,7)&amp;" (unidades)")</f>
        <v>Producto 7 (unidades)</v>
      </c>
      <c r="C18" s="15" t="s">
        <v>544</v>
      </c>
      <c r="D18" s="19" t="n">
        <f aca="false">SUM(F18:ES18)</f>
        <v>0</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row>
    <row r="19" customFormat="false" ht="15" hidden="false" customHeight="false" outlineLevel="0" collapsed="false">
      <c r="A19" s="11" t="s">
        <v>953</v>
      </c>
      <c r="B19" s="53" t="str">
        <f aca="false">IF(INDEX(Prod_Nombre,8)="","Producto 8 (unidades)",INDEX(Prod_Nombre,8)&amp;" (unidades)")</f>
        <v>Producto 8 (unidades)</v>
      </c>
      <c r="C19" s="15" t="s">
        <v>544</v>
      </c>
      <c r="D19" s="19" t="n">
        <f aca="false">SUM(F19:ES19)</f>
        <v>0</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row>
    <row r="20" customFormat="false" ht="15" hidden="false" customHeight="false" outlineLevel="0" collapsed="false">
      <c r="A20" s="11" t="s">
        <v>954</v>
      </c>
      <c r="B20" s="53" t="str">
        <f aca="false">IF(INDEX(Prod_Nombre,9)="","Producto 9 (unidades)",INDEX(Prod_Nombre,9)&amp;" (unidades)")</f>
        <v>Producto 9 (unidades)</v>
      </c>
      <c r="C20" s="15" t="s">
        <v>544</v>
      </c>
      <c r="D20" s="19" t="n">
        <f aca="false">SUM(F20:ES20)</f>
        <v>0</v>
      </c>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row>
    <row r="21" customFormat="false" ht="15" hidden="false" customHeight="false" outlineLevel="0" collapsed="false">
      <c r="A21" s="11" t="s">
        <v>955</v>
      </c>
      <c r="B21" s="53" t="str">
        <f aca="false">IF(INDEX(Prod_Nombre,10)="","Producto 10 (unidades)",INDEX(Prod_Nombre,10)&amp;" (unidades)")</f>
        <v>Producto 10 (unidades)</v>
      </c>
      <c r="C21" s="15" t="s">
        <v>544</v>
      </c>
      <c r="D21" s="19" t="n">
        <f aca="false">SUM(F21:ES21)</f>
        <v>0</v>
      </c>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row>
    <row r="22" customFormat="false" ht="15" hidden="false" customHeight="false" outlineLevel="0" collapsed="false">
      <c r="A22" s="11" t="s">
        <v>956</v>
      </c>
      <c r="B22" s="53" t="str">
        <f aca="false">IF(INDEX(Prod_Nombre,11)="","Producto 11 (unidades)",INDEX(Prod_Nombre,11)&amp;" (unidades)")</f>
        <v>Producto 11 (unidades)</v>
      </c>
      <c r="C22" s="15" t="s">
        <v>544</v>
      </c>
      <c r="D22" s="19" t="n">
        <f aca="false">SUM(F22:ES22)</f>
        <v>0</v>
      </c>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row>
    <row r="23" customFormat="false" ht="15" hidden="false" customHeight="false" outlineLevel="0" collapsed="false">
      <c r="A23" s="11" t="s">
        <v>957</v>
      </c>
      <c r="B23" s="53" t="str">
        <f aca="false">IF(INDEX(Prod_Nombre,12)="","Producto 12 (unidades)",INDEX(Prod_Nombre,12)&amp;" (unidades)")</f>
        <v>Producto 12 (unidades)</v>
      </c>
      <c r="C23" s="15" t="s">
        <v>544</v>
      </c>
      <c r="D23" s="19" t="n">
        <f aca="false">SUM(F23:ES23)</f>
        <v>0</v>
      </c>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row>
    <row r="24" customFormat="false" ht="15" hidden="false" customHeight="false" outlineLevel="0" collapsed="false">
      <c r="A24" s="11" t="s">
        <v>958</v>
      </c>
      <c r="B24" s="53" t="str">
        <f aca="false">IF(INDEX(Prod_Nombre,13)="","Producto 13 (unidades)",INDEX(Prod_Nombre,13)&amp;" (unidades)")</f>
        <v>Producto 13 (unidades)</v>
      </c>
      <c r="C24" s="15" t="s">
        <v>544</v>
      </c>
      <c r="D24" s="19" t="n">
        <f aca="false">SUM(F24:ES24)</f>
        <v>0</v>
      </c>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row>
    <row r="25" customFormat="false" ht="15" hidden="false" customHeight="false" outlineLevel="0" collapsed="false">
      <c r="A25" s="11" t="s">
        <v>959</v>
      </c>
      <c r="B25" s="53" t="str">
        <f aca="false">IF(INDEX(Prod_Nombre,14)="","Producto 14 (unidades)",INDEX(Prod_Nombre,14)&amp;" (unidades)")</f>
        <v>Producto 14 (unidades)</v>
      </c>
      <c r="C25" s="15" t="s">
        <v>544</v>
      </c>
      <c r="D25" s="19" t="n">
        <f aca="false">SUM(F25:ES25)</f>
        <v>0</v>
      </c>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row>
    <row r="26" customFormat="false" ht="15" hidden="false" customHeight="false" outlineLevel="0" collapsed="false">
      <c r="A26" s="11" t="s">
        <v>960</v>
      </c>
      <c r="B26" s="53" t="str">
        <f aca="false">IF(INDEX(Prod_Nombre,15)="","Producto 15 (unidades)",INDEX(Prod_Nombre,15)&amp;" (unidades)")</f>
        <v>Producto 15 (unidades)</v>
      </c>
      <c r="C26" s="15" t="s">
        <v>544</v>
      </c>
      <c r="D26" s="19" t="n">
        <f aca="false">SUM(F26:ES26)</f>
        <v>0</v>
      </c>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row>
    <row r="27" customFormat="false" ht="15" hidden="false" customHeight="false" outlineLevel="0" collapsed="false">
      <c r="A27" s="11" t="s">
        <v>961</v>
      </c>
      <c r="B27" s="53" t="str">
        <f aca="false">IF(INDEX(Prod_Nombre,16)="","Producto 16 (unidades)",INDEX(Prod_Nombre,16)&amp;" (unidades)")</f>
        <v>Producto 16 (unidades)</v>
      </c>
      <c r="C27" s="15" t="s">
        <v>544</v>
      </c>
      <c r="D27" s="19" t="n">
        <f aca="false">SUM(F27:ES27)</f>
        <v>0</v>
      </c>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row>
    <row r="28" customFormat="false" ht="15" hidden="false" customHeight="false" outlineLevel="0" collapsed="false">
      <c r="A28" s="11" t="s">
        <v>962</v>
      </c>
      <c r="B28" s="53" t="str">
        <f aca="false">IF(INDEX(Prod_Nombre,17)="","Producto 17 (unidades)",INDEX(Prod_Nombre,17)&amp;" (unidades)")</f>
        <v>Producto 17 (unidades)</v>
      </c>
      <c r="C28" s="15" t="s">
        <v>544</v>
      </c>
      <c r="D28" s="19" t="n">
        <f aca="false">SUM(F28:ES28)</f>
        <v>0</v>
      </c>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row>
    <row r="29" customFormat="false" ht="15" hidden="false" customHeight="false" outlineLevel="0" collapsed="false">
      <c r="A29" s="11" t="s">
        <v>963</v>
      </c>
      <c r="B29" s="53" t="str">
        <f aca="false">IF(INDEX(Prod_Nombre,18)="","Producto 18 (unidades)",INDEX(Prod_Nombre,18)&amp;" (unidades)")</f>
        <v>Producto 18 (unidades)</v>
      </c>
      <c r="C29" s="15" t="s">
        <v>544</v>
      </c>
      <c r="D29" s="19" t="n">
        <f aca="false">SUM(F29:ES29)</f>
        <v>0</v>
      </c>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row>
    <row r="30" customFormat="false" ht="15" hidden="false" customHeight="false" outlineLevel="0" collapsed="false">
      <c r="A30" s="11" t="s">
        <v>964</v>
      </c>
      <c r="B30" s="53" t="str">
        <f aca="false">IF(INDEX(Prod_Nombre,19)="","Producto 19 (unidades)",INDEX(Prod_Nombre,19)&amp;" (unidades)")</f>
        <v>Producto 19 (unidades)</v>
      </c>
      <c r="C30" s="15" t="s">
        <v>544</v>
      </c>
      <c r="D30" s="19" t="n">
        <f aca="false">SUM(F30:ES30)</f>
        <v>0</v>
      </c>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row>
    <row r="31" customFormat="false" ht="15" hidden="false" customHeight="false" outlineLevel="0" collapsed="false">
      <c r="A31" s="11" t="s">
        <v>965</v>
      </c>
      <c r="B31" s="53" t="str">
        <f aca="false">IF(INDEX(Prod_Nombre,20)="","Producto 20 (unidades)",INDEX(Prod_Nombre,20)&amp;" (unidades)")</f>
        <v>Producto 20 (unidades)</v>
      </c>
      <c r="C31" s="15" t="s">
        <v>544</v>
      </c>
      <c r="D31" s="19" t="n">
        <f aca="false">SUM(F31:ES31)</f>
        <v>0</v>
      </c>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row>
    <row r="32" customFormat="false" ht="15" hidden="false" customHeight="false" outlineLevel="0" collapsed="false">
      <c r="A32" s="11" t="s">
        <v>966</v>
      </c>
      <c r="B32" s="53" t="str">
        <f aca="false">IF(INDEX(Prod_Nombre,21)="","Producto 21 (unidades)",INDEX(Prod_Nombre,21)&amp;" (unidades)")</f>
        <v>Producto 21 (unidades)</v>
      </c>
      <c r="C32" s="15" t="s">
        <v>544</v>
      </c>
      <c r="D32" s="19" t="n">
        <f aca="false">SUM(F32:ES32)</f>
        <v>0</v>
      </c>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row>
    <row r="33" customFormat="false" ht="15" hidden="false" customHeight="false" outlineLevel="0" collapsed="false">
      <c r="A33" s="11" t="s">
        <v>967</v>
      </c>
      <c r="B33" s="53" t="str">
        <f aca="false">IF(INDEX(Prod_Nombre,22)="","Producto 22 (unidades)",INDEX(Prod_Nombre,22)&amp;" (unidades)")</f>
        <v>Producto 22 (unidades)</v>
      </c>
      <c r="C33" s="15" t="s">
        <v>544</v>
      </c>
      <c r="D33" s="19" t="n">
        <f aca="false">SUM(F33:ES33)</f>
        <v>0</v>
      </c>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row>
    <row r="34" customFormat="false" ht="15" hidden="false" customHeight="false" outlineLevel="0" collapsed="false">
      <c r="A34" s="11" t="s">
        <v>968</v>
      </c>
      <c r="B34" s="53" t="str">
        <f aca="false">IF(INDEX(Prod_Nombre,23)="","Producto 23 (unidades)",INDEX(Prod_Nombre,23)&amp;" (unidades)")</f>
        <v>Producto 23 (unidades)</v>
      </c>
      <c r="C34" s="15" t="s">
        <v>544</v>
      </c>
      <c r="D34" s="19" t="n">
        <f aca="false">SUM(F34:ES34)</f>
        <v>0</v>
      </c>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row>
    <row r="35" customFormat="false" ht="15" hidden="false" customHeight="false" outlineLevel="0" collapsed="false">
      <c r="A35" s="11" t="s">
        <v>969</v>
      </c>
      <c r="B35" s="53" t="str">
        <f aca="false">IF(INDEX(Prod_Nombre,24)="","Producto 24 (unidades)",INDEX(Prod_Nombre,24)&amp;" (unidades)")</f>
        <v>Producto 24 (unidades)</v>
      </c>
      <c r="C35" s="15" t="s">
        <v>544</v>
      </c>
      <c r="D35" s="19" t="n">
        <f aca="false">SUM(F35:ES35)</f>
        <v>0</v>
      </c>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row>
    <row r="36" customFormat="false" ht="15" hidden="false" customHeight="false" outlineLevel="0" collapsed="false">
      <c r="A36" s="11" t="s">
        <v>970</v>
      </c>
      <c r="B36" s="53" t="str">
        <f aca="false">IF(INDEX(Prod_Nombre,25)="","Producto 25 (unidades)",INDEX(Prod_Nombre,25)&amp;" (unidades)")</f>
        <v>Producto 25 (unidades)</v>
      </c>
      <c r="C36" s="15" t="s">
        <v>544</v>
      </c>
      <c r="D36" s="19" t="n">
        <f aca="false">SUM(F36:ES36)</f>
        <v>0</v>
      </c>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row>
    <row r="37" customFormat="false" ht="15" hidden="false" customHeight="false" outlineLevel="0" collapsed="false">
      <c r="A37" s="12" t="s">
        <v>971</v>
      </c>
      <c r="B37" s="13"/>
      <c r="C37" s="13"/>
      <c r="D37" s="13"/>
      <c r="E37" s="13"/>
    </row>
    <row r="38" customFormat="false" ht="15" hidden="false" customHeight="false" outlineLevel="0" collapsed="false">
      <c r="A38" s="11" t="s">
        <v>972</v>
      </c>
      <c r="B38" s="53" t="str">
        <f aca="false">IF(INDEX(Prod_Nombre,1)="","Producto 1 (ventas)",INDEX(Prod_Nombre,1)&amp;" (ventas)")</f>
        <v>Gabinetes metálicos 153 kg (ventas)</v>
      </c>
      <c r="C38" s="16" t="s">
        <v>508</v>
      </c>
      <c r="D38" s="19" t="n">
        <f aca="false">SUM(F38:ES38)</f>
        <v>0</v>
      </c>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row>
    <row r="39" customFormat="false" ht="15" hidden="false" customHeight="false" outlineLevel="0" collapsed="false">
      <c r="A39" s="11" t="s">
        <v>973</v>
      </c>
      <c r="B39" s="53" t="str">
        <f aca="false">IF(INDEX(Prod_Nombre,2)="","Producto 2 (ventas)",INDEX(Prod_Nombre,2)&amp;" (ventas)")</f>
        <v>Cajas metálicas 13 kg (ventas)</v>
      </c>
      <c r="C39" s="16" t="s">
        <v>508</v>
      </c>
      <c r="D39" s="19" t="n">
        <f aca="false">SUM(F39:ES39)</f>
        <v>0</v>
      </c>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row>
    <row r="40" customFormat="false" ht="15" hidden="false" customHeight="false" outlineLevel="0" collapsed="false">
      <c r="A40" s="11" t="s">
        <v>974</v>
      </c>
      <c r="B40" s="53" t="str">
        <f aca="false">IF(INDEX(Prod_Nombre,3)="","Producto 3 (ventas)",INDEX(Prod_Nombre,3)&amp;" (ventas)")</f>
        <v>Producto 3 (ventas)</v>
      </c>
      <c r="C40" s="16" t="s">
        <v>508</v>
      </c>
      <c r="D40" s="19" t="n">
        <f aca="false">SUM(F40:ES40)</f>
        <v>0</v>
      </c>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row>
    <row r="41" customFormat="false" ht="15" hidden="false" customHeight="false" outlineLevel="0" collapsed="false">
      <c r="A41" s="11" t="s">
        <v>975</v>
      </c>
      <c r="B41" s="53" t="str">
        <f aca="false">IF(INDEX(Prod_Nombre,4)="","Producto 4 (ventas)",INDEX(Prod_Nombre,4)&amp;" (ventas)")</f>
        <v>Producto 4 (ventas)</v>
      </c>
      <c r="C41" s="16" t="s">
        <v>508</v>
      </c>
      <c r="D41" s="19" t="n">
        <f aca="false">SUM(F41:ES41)</f>
        <v>0</v>
      </c>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row>
    <row r="42" customFormat="false" ht="15" hidden="false" customHeight="false" outlineLevel="0" collapsed="false">
      <c r="A42" s="11" t="s">
        <v>976</v>
      </c>
      <c r="B42" s="53" t="str">
        <f aca="false">IF(INDEX(Prod_Nombre,5)="","Producto 5 (ventas)",INDEX(Prod_Nombre,5)&amp;" (ventas)")</f>
        <v>Producto 5 (ventas)</v>
      </c>
      <c r="C42" s="16" t="s">
        <v>508</v>
      </c>
      <c r="D42" s="19" t="n">
        <f aca="false">SUM(F42:ES42)</f>
        <v>0</v>
      </c>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row>
    <row r="43" customFormat="false" ht="15" hidden="false" customHeight="false" outlineLevel="0" collapsed="false">
      <c r="A43" s="11" t="s">
        <v>977</v>
      </c>
      <c r="B43" s="53" t="str">
        <f aca="false">IF(INDEX(Prod_Nombre,6)="","Producto 6 (ventas)",INDEX(Prod_Nombre,6)&amp;" (ventas)")</f>
        <v>Producto 6 (ventas)</v>
      </c>
      <c r="C43" s="16" t="s">
        <v>508</v>
      </c>
      <c r="D43" s="19" t="n">
        <f aca="false">SUM(F43:ES43)</f>
        <v>0</v>
      </c>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row>
    <row r="44" customFormat="false" ht="15" hidden="false" customHeight="false" outlineLevel="0" collapsed="false">
      <c r="A44" s="11" t="s">
        <v>978</v>
      </c>
      <c r="B44" s="53" t="str">
        <f aca="false">IF(INDEX(Prod_Nombre,7)="","Producto 7 (ventas)",INDEX(Prod_Nombre,7)&amp;" (ventas)")</f>
        <v>Producto 7 (ventas)</v>
      </c>
      <c r="C44" s="16" t="s">
        <v>508</v>
      </c>
      <c r="D44" s="19" t="n">
        <f aca="false">SUM(F44:ES44)</f>
        <v>0</v>
      </c>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row>
    <row r="45" customFormat="false" ht="15" hidden="false" customHeight="false" outlineLevel="0" collapsed="false">
      <c r="A45" s="11" t="s">
        <v>979</v>
      </c>
      <c r="B45" s="53" t="str">
        <f aca="false">IF(INDEX(Prod_Nombre,8)="","Producto 8 (ventas)",INDEX(Prod_Nombre,8)&amp;" (ventas)")</f>
        <v>Producto 8 (ventas)</v>
      </c>
      <c r="C45" s="16" t="s">
        <v>508</v>
      </c>
      <c r="D45" s="19" t="n">
        <f aca="false">SUM(F45:ES45)</f>
        <v>0</v>
      </c>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row>
    <row r="46" customFormat="false" ht="15" hidden="false" customHeight="false" outlineLevel="0" collapsed="false">
      <c r="A46" s="11" t="s">
        <v>980</v>
      </c>
      <c r="B46" s="53" t="str">
        <f aca="false">IF(INDEX(Prod_Nombre,9)="","Producto 9 (ventas)",INDEX(Prod_Nombre,9)&amp;" (ventas)")</f>
        <v>Producto 9 (ventas)</v>
      </c>
      <c r="C46" s="16" t="s">
        <v>508</v>
      </c>
      <c r="D46" s="19" t="n">
        <f aca="false">SUM(F46:ES46)</f>
        <v>0</v>
      </c>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row>
    <row r="47" customFormat="false" ht="15" hidden="false" customHeight="false" outlineLevel="0" collapsed="false">
      <c r="A47" s="11" t="s">
        <v>981</v>
      </c>
      <c r="B47" s="53" t="str">
        <f aca="false">IF(INDEX(Prod_Nombre,10)="","Producto 10 (ventas)",INDEX(Prod_Nombre,10)&amp;" (ventas)")</f>
        <v>Producto 10 (ventas)</v>
      </c>
      <c r="C47" s="16" t="s">
        <v>508</v>
      </c>
      <c r="D47" s="19" t="n">
        <f aca="false">SUM(F47:ES47)</f>
        <v>0</v>
      </c>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row>
    <row r="48" customFormat="false" ht="15" hidden="false" customHeight="false" outlineLevel="0" collapsed="false">
      <c r="A48" s="11" t="s">
        <v>982</v>
      </c>
      <c r="B48" s="53" t="str">
        <f aca="false">IF(INDEX(Prod_Nombre,11)="","Producto 11 (ventas)",INDEX(Prod_Nombre,11)&amp;" (ventas)")</f>
        <v>Producto 11 (ventas)</v>
      </c>
      <c r="C48" s="16" t="s">
        <v>508</v>
      </c>
      <c r="D48" s="19" t="n">
        <f aca="false">SUM(F48:ES48)</f>
        <v>0</v>
      </c>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row>
    <row r="49" customFormat="false" ht="15" hidden="false" customHeight="false" outlineLevel="0" collapsed="false">
      <c r="A49" s="11" t="s">
        <v>983</v>
      </c>
      <c r="B49" s="53" t="str">
        <f aca="false">IF(INDEX(Prod_Nombre,12)="","Producto 12 (ventas)",INDEX(Prod_Nombre,12)&amp;" (ventas)")</f>
        <v>Producto 12 (ventas)</v>
      </c>
      <c r="C49" s="16" t="s">
        <v>508</v>
      </c>
      <c r="D49" s="19" t="n">
        <f aca="false">SUM(F49:ES49)</f>
        <v>0</v>
      </c>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row>
    <row r="50" customFormat="false" ht="15" hidden="false" customHeight="false" outlineLevel="0" collapsed="false">
      <c r="A50" s="11" t="s">
        <v>984</v>
      </c>
      <c r="B50" s="53" t="str">
        <f aca="false">IF(INDEX(Prod_Nombre,13)="","Producto 13 (ventas)",INDEX(Prod_Nombre,13)&amp;" (ventas)")</f>
        <v>Producto 13 (ventas)</v>
      </c>
      <c r="C50" s="16" t="s">
        <v>508</v>
      </c>
      <c r="D50" s="19" t="n">
        <f aca="false">SUM(F50:ES50)</f>
        <v>0</v>
      </c>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row>
    <row r="51" customFormat="false" ht="15" hidden="false" customHeight="false" outlineLevel="0" collapsed="false">
      <c r="A51" s="11" t="s">
        <v>985</v>
      </c>
      <c r="B51" s="53" t="str">
        <f aca="false">IF(INDEX(Prod_Nombre,14)="","Producto 14 (ventas)",INDEX(Prod_Nombre,14)&amp;" (ventas)")</f>
        <v>Producto 14 (ventas)</v>
      </c>
      <c r="C51" s="16" t="s">
        <v>508</v>
      </c>
      <c r="D51" s="19" t="n">
        <f aca="false">SUM(F51:ES51)</f>
        <v>0</v>
      </c>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row>
    <row r="52" customFormat="false" ht="15" hidden="false" customHeight="false" outlineLevel="0" collapsed="false">
      <c r="A52" s="11" t="s">
        <v>986</v>
      </c>
      <c r="B52" s="53" t="str">
        <f aca="false">IF(INDEX(Prod_Nombre,15)="","Producto 15 (ventas)",INDEX(Prod_Nombre,15)&amp;" (ventas)")</f>
        <v>Producto 15 (ventas)</v>
      </c>
      <c r="C52" s="16" t="s">
        <v>508</v>
      </c>
      <c r="D52" s="19" t="n">
        <f aca="false">SUM(F52:ES52)</f>
        <v>0</v>
      </c>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row>
    <row r="53" customFormat="false" ht="15" hidden="false" customHeight="false" outlineLevel="0" collapsed="false">
      <c r="A53" s="11" t="s">
        <v>987</v>
      </c>
      <c r="B53" s="53" t="str">
        <f aca="false">IF(INDEX(Prod_Nombre,16)="","Producto 16 (ventas)",INDEX(Prod_Nombre,16)&amp;" (ventas)")</f>
        <v>Producto 16 (ventas)</v>
      </c>
      <c r="C53" s="16" t="s">
        <v>508</v>
      </c>
      <c r="D53" s="19" t="n">
        <f aca="false">SUM(F53:ES53)</f>
        <v>0</v>
      </c>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row>
    <row r="54" customFormat="false" ht="15" hidden="false" customHeight="false" outlineLevel="0" collapsed="false">
      <c r="A54" s="11" t="s">
        <v>988</v>
      </c>
      <c r="B54" s="53" t="str">
        <f aca="false">IF(INDEX(Prod_Nombre,17)="","Producto 17 (ventas)",INDEX(Prod_Nombre,17)&amp;" (ventas)")</f>
        <v>Producto 17 (ventas)</v>
      </c>
      <c r="C54" s="16" t="s">
        <v>508</v>
      </c>
      <c r="D54" s="19" t="n">
        <f aca="false">SUM(F54:ES54)</f>
        <v>0</v>
      </c>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row>
    <row r="55" customFormat="false" ht="15" hidden="false" customHeight="false" outlineLevel="0" collapsed="false">
      <c r="A55" s="11" t="s">
        <v>989</v>
      </c>
      <c r="B55" s="53" t="str">
        <f aca="false">IF(INDEX(Prod_Nombre,18)="","Producto 18 (ventas)",INDEX(Prod_Nombre,18)&amp;" (ventas)")</f>
        <v>Producto 18 (ventas)</v>
      </c>
      <c r="C55" s="16" t="s">
        <v>508</v>
      </c>
      <c r="D55" s="19" t="n">
        <f aca="false">SUM(F55:ES55)</f>
        <v>0</v>
      </c>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row>
    <row r="56" customFormat="false" ht="15" hidden="false" customHeight="false" outlineLevel="0" collapsed="false">
      <c r="A56" s="11" t="s">
        <v>990</v>
      </c>
      <c r="B56" s="53" t="str">
        <f aca="false">IF(INDEX(Prod_Nombre,19)="","Producto 19 (ventas)",INDEX(Prod_Nombre,19)&amp;" (ventas)")</f>
        <v>Producto 19 (ventas)</v>
      </c>
      <c r="C56" s="16" t="s">
        <v>508</v>
      </c>
      <c r="D56" s="19" t="n">
        <f aca="false">SUM(F56:ES56)</f>
        <v>0</v>
      </c>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row>
    <row r="57" customFormat="false" ht="15" hidden="false" customHeight="false" outlineLevel="0" collapsed="false">
      <c r="A57" s="11" t="s">
        <v>991</v>
      </c>
      <c r="B57" s="53" t="str">
        <f aca="false">IF(INDEX(Prod_Nombre,20)="","Producto 20 (ventas)",INDEX(Prod_Nombre,20)&amp;" (ventas)")</f>
        <v>Producto 20 (ventas)</v>
      </c>
      <c r="C57" s="16" t="s">
        <v>508</v>
      </c>
      <c r="D57" s="19" t="n">
        <f aca="false">SUM(F57:ES57)</f>
        <v>0</v>
      </c>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row>
    <row r="58" customFormat="false" ht="15" hidden="false" customHeight="false" outlineLevel="0" collapsed="false">
      <c r="A58" s="11" t="s">
        <v>992</v>
      </c>
      <c r="B58" s="53" t="str">
        <f aca="false">IF(INDEX(Prod_Nombre,21)="","Producto 21 (ventas)",INDEX(Prod_Nombre,21)&amp;" (ventas)")</f>
        <v>Producto 21 (ventas)</v>
      </c>
      <c r="C58" s="16" t="s">
        <v>508</v>
      </c>
      <c r="D58" s="19" t="n">
        <f aca="false">SUM(F58:ES58)</f>
        <v>0</v>
      </c>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row>
    <row r="59" customFormat="false" ht="15" hidden="false" customHeight="false" outlineLevel="0" collapsed="false">
      <c r="A59" s="11" t="s">
        <v>993</v>
      </c>
      <c r="B59" s="53" t="str">
        <f aca="false">IF(INDEX(Prod_Nombre,22)="","Producto 22 (ventas)",INDEX(Prod_Nombre,22)&amp;" (ventas)")</f>
        <v>Producto 22 (ventas)</v>
      </c>
      <c r="C59" s="16" t="s">
        <v>508</v>
      </c>
      <c r="D59" s="19" t="n">
        <f aca="false">SUM(F59:ES59)</f>
        <v>0</v>
      </c>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row>
    <row r="60" customFormat="false" ht="15" hidden="false" customHeight="false" outlineLevel="0" collapsed="false">
      <c r="A60" s="11" t="s">
        <v>994</v>
      </c>
      <c r="B60" s="53" t="str">
        <f aca="false">IF(INDEX(Prod_Nombre,23)="","Producto 23 (ventas)",INDEX(Prod_Nombre,23)&amp;" (ventas)")</f>
        <v>Producto 23 (ventas)</v>
      </c>
      <c r="C60" s="16" t="s">
        <v>508</v>
      </c>
      <c r="D60" s="19" t="n">
        <f aca="false">SUM(F60:ES60)</f>
        <v>0</v>
      </c>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row>
    <row r="61" customFormat="false" ht="15" hidden="false" customHeight="false" outlineLevel="0" collapsed="false">
      <c r="A61" s="11" t="s">
        <v>995</v>
      </c>
      <c r="B61" s="53" t="str">
        <f aca="false">IF(INDEX(Prod_Nombre,24)="","Producto 24 (ventas)",INDEX(Prod_Nombre,24)&amp;" (ventas)")</f>
        <v>Producto 24 (ventas)</v>
      </c>
      <c r="C61" s="16" t="s">
        <v>508</v>
      </c>
      <c r="D61" s="19" t="n">
        <f aca="false">SUM(F61:ES61)</f>
        <v>0</v>
      </c>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row>
    <row r="62" customFormat="false" ht="15" hidden="false" customHeight="false" outlineLevel="0" collapsed="false">
      <c r="A62" s="11" t="s">
        <v>996</v>
      </c>
      <c r="B62" s="53" t="str">
        <f aca="false">IF(INDEX(Prod_Nombre,25)="","Producto 25 (ventas)",INDEX(Prod_Nombre,25)&amp;" (ventas)")</f>
        <v>Producto 25 (ventas)</v>
      </c>
      <c r="C62" s="16" t="s">
        <v>508</v>
      </c>
      <c r="D62" s="19" t="n">
        <f aca="false">SUM(F62:ES62)</f>
        <v>0</v>
      </c>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row>
    <row r="63" customFormat="false" ht="15" hidden="false" customHeight="false" outlineLevel="0" collapsed="false">
      <c r="A63" s="12" t="s">
        <v>997</v>
      </c>
      <c r="B63" s="13"/>
      <c r="C63" s="13"/>
      <c r="D63" s="13"/>
      <c r="E63" s="13"/>
    </row>
    <row r="64" customFormat="false" ht="15" hidden="false" customHeight="false" outlineLevel="0" collapsed="false">
      <c r="A64" s="11" t="s">
        <v>998</v>
      </c>
      <c r="B64" s="15" t="s">
        <v>999</v>
      </c>
      <c r="C64" s="16" t="s">
        <v>508</v>
      </c>
      <c r="D64" s="19" t="n">
        <f aca="false">SUM(F64:ES64)</f>
        <v>0</v>
      </c>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row>
    <row r="65" customFormat="false" ht="15" hidden="false" customHeight="false" outlineLevel="0" collapsed="false">
      <c r="A65" s="11" t="s">
        <v>1000</v>
      </c>
      <c r="B65" s="15" t="s">
        <v>1001</v>
      </c>
      <c r="C65" s="16" t="s">
        <v>508</v>
      </c>
      <c r="D65" s="19" t="n">
        <f aca="false">SUM(F65:ES65)</f>
        <v>0</v>
      </c>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row>
    <row r="66" customFormat="false" ht="15" hidden="false" customHeight="false" outlineLevel="0" collapsed="false">
      <c r="A66" s="11" t="s">
        <v>1002</v>
      </c>
      <c r="B66" s="15" t="s">
        <v>1003</v>
      </c>
      <c r="C66" s="16" t="s">
        <v>574</v>
      </c>
      <c r="D66" s="19" t="n">
        <f aca="false">SUM(F66:ES66)</f>
        <v>0</v>
      </c>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row>
    <row r="67" customFormat="false" ht="15" hidden="false" customHeight="false" outlineLevel="0" collapsed="false">
      <c r="A67" s="11" t="s">
        <v>1004</v>
      </c>
      <c r="B67" s="15" t="s">
        <v>1005</v>
      </c>
      <c r="C67" s="16" t="s">
        <v>574</v>
      </c>
      <c r="D67" s="19" t="n">
        <f aca="false">SUM(F67:ES67)</f>
        <v>0</v>
      </c>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row>
    <row r="68" customFormat="false" ht="15" hidden="false" customHeight="false" outlineLevel="0" collapsed="false">
      <c r="A68" s="11" t="s">
        <v>1006</v>
      </c>
      <c r="B68" s="15" t="s">
        <v>1007</v>
      </c>
      <c r="C68" s="16" t="s">
        <v>508</v>
      </c>
      <c r="D68" s="19" t="n">
        <f aca="false">SUM(F68:ES68)</f>
        <v>0</v>
      </c>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row>
    <row r="69" customFormat="false" ht="15" hidden="false" customHeight="false" outlineLevel="0" collapsed="false">
      <c r="A69" s="11" t="s">
        <v>1008</v>
      </c>
      <c r="B69" s="15" t="s">
        <v>1009</v>
      </c>
      <c r="C69" s="16" t="s">
        <v>508</v>
      </c>
      <c r="D69" s="19" t="n">
        <f aca="false">SUM(F69:ES69)</f>
        <v>0</v>
      </c>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row>
    <row r="70" customFormat="false" ht="15" hidden="false" customHeight="false" outlineLevel="0" collapsed="false">
      <c r="A70" s="11" t="s">
        <v>1010</v>
      </c>
      <c r="B70" s="15" t="s">
        <v>1011</v>
      </c>
      <c r="C70" s="16" t="s">
        <v>508</v>
      </c>
      <c r="D70" s="19" t="n">
        <f aca="false">SUM(F70:ES70)</f>
        <v>0</v>
      </c>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row>
    <row r="71" customFormat="false" ht="15" hidden="false" customHeight="false" outlineLevel="0" collapsed="false">
      <c r="A71" s="12" t="s">
        <v>1012</v>
      </c>
      <c r="B71" s="13"/>
      <c r="C71" s="13"/>
      <c r="D71" s="13"/>
      <c r="E71" s="13"/>
    </row>
    <row r="72" customFormat="false" ht="15" hidden="false" customHeight="false" outlineLevel="0" collapsed="false">
      <c r="A72" s="11" t="s">
        <v>1013</v>
      </c>
      <c r="B72" s="15" t="s">
        <v>1014</v>
      </c>
      <c r="C72" s="16" t="s">
        <v>508</v>
      </c>
      <c r="D72" s="19" t="n">
        <f aca="false">SUM(F72:ES72)</f>
        <v>0</v>
      </c>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row>
    <row r="73" customFormat="false" ht="15" hidden="false" customHeight="false" outlineLevel="0" collapsed="false">
      <c r="A73" s="11" t="s">
        <v>1015</v>
      </c>
      <c r="B73" s="15" t="s">
        <v>1016</v>
      </c>
      <c r="C73" s="16" t="s">
        <v>508</v>
      </c>
      <c r="D73" s="19" t="n">
        <f aca="false">SUM(F73:ES73)</f>
        <v>0</v>
      </c>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row>
    <row r="74" customFormat="false" ht="15" hidden="false" customHeight="false" outlineLevel="0" collapsed="false">
      <c r="A74" s="11" t="s">
        <v>1017</v>
      </c>
      <c r="B74" s="15" t="s">
        <v>1018</v>
      </c>
      <c r="C74" s="16" t="s">
        <v>508</v>
      </c>
      <c r="D74" s="19" t="n">
        <f aca="false">SUM(F74:ES74)</f>
        <v>0</v>
      </c>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row>
    <row r="75" customFormat="false" ht="15" hidden="false" customHeight="false" outlineLevel="0" collapsed="false">
      <c r="A75" s="11" t="s">
        <v>1019</v>
      </c>
      <c r="B75" s="15" t="s">
        <v>1020</v>
      </c>
      <c r="C75" s="16" t="s">
        <v>508</v>
      </c>
      <c r="D75" s="19" t="n">
        <f aca="false">SUM(F75:ES75)</f>
        <v>0</v>
      </c>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row>
    <row r="76" customFormat="false" ht="15" hidden="false" customHeight="false" outlineLevel="0" collapsed="false">
      <c r="A76" s="11" t="s">
        <v>1021</v>
      </c>
      <c r="B76" s="15" t="s">
        <v>1022</v>
      </c>
      <c r="C76" s="16" t="s">
        <v>508</v>
      </c>
      <c r="D76" s="19" t="n">
        <f aca="false">SUM(F76:ES76)</f>
        <v>0</v>
      </c>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row>
    <row r="77" customFormat="false" ht="15" hidden="false" customHeight="false" outlineLevel="0" collapsed="false">
      <c r="A77" s="11" t="s">
        <v>1023</v>
      </c>
      <c r="B77" s="15" t="s">
        <v>1024</v>
      </c>
      <c r="C77" s="16" t="s">
        <v>508</v>
      </c>
      <c r="D77" s="19" t="n">
        <f aca="false">SUM(F77:ES77)</f>
        <v>0</v>
      </c>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row>
    <row r="78" customFormat="false" ht="15" hidden="false" customHeight="false" outlineLevel="0" collapsed="false">
      <c r="A78" s="12" t="s">
        <v>1025</v>
      </c>
      <c r="B78" s="13"/>
      <c r="C78" s="13"/>
      <c r="D78" s="13"/>
      <c r="E78" s="13"/>
    </row>
    <row r="79" customFormat="false" ht="15" hidden="false" customHeight="false" outlineLevel="0" collapsed="false">
      <c r="A79" s="11" t="s">
        <v>1026</v>
      </c>
      <c r="B79" s="15" t="s">
        <v>1027</v>
      </c>
      <c r="C79" s="16" t="s">
        <v>508</v>
      </c>
      <c r="D79" s="19"/>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row>
    <row r="80" customFormat="false" ht="15" hidden="false" customHeight="false" outlineLevel="0" collapsed="false">
      <c r="A80" s="11" t="s">
        <v>1028</v>
      </c>
      <c r="B80" s="15" t="s">
        <v>1029</v>
      </c>
      <c r="C80" s="16" t="s">
        <v>508</v>
      </c>
      <c r="D80" s="19"/>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row>
    <row r="81" customFormat="false" ht="15" hidden="false" customHeight="false" outlineLevel="0" collapsed="false">
      <c r="A81" s="11" t="s">
        <v>1030</v>
      </c>
      <c r="B81" s="15" t="s">
        <v>1031</v>
      </c>
      <c r="C81" s="16" t="s">
        <v>508</v>
      </c>
      <c r="D81" s="19"/>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row>
    <row r="82" customFormat="false" ht="15" hidden="false" customHeight="false" outlineLevel="0" collapsed="false">
      <c r="A82" s="11" t="s">
        <v>1032</v>
      </c>
      <c r="B82" s="15" t="s">
        <v>1033</v>
      </c>
      <c r="C82" s="16" t="s">
        <v>508</v>
      </c>
      <c r="D82" s="19"/>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row>
    <row r="83" customFormat="false" ht="15" hidden="false" customHeight="false" outlineLevel="0" collapsed="false">
      <c r="A83" s="11" t="s">
        <v>1034</v>
      </c>
      <c r="B83" s="15" t="s">
        <v>1035</v>
      </c>
      <c r="C83" s="16" t="s">
        <v>508</v>
      </c>
      <c r="D83" s="19"/>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row>
    <row r="84" customFormat="false" ht="15" hidden="false" customHeight="false" outlineLevel="0" collapsed="false">
      <c r="A84" s="11" t="s">
        <v>1036</v>
      </c>
      <c r="B84" s="15" t="s">
        <v>1037</v>
      </c>
      <c r="C84" s="16" t="s">
        <v>508</v>
      </c>
      <c r="D84" s="19"/>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row>
  </sheetData>
  <conditionalFormatting sqref="F7:ES7">
    <cfRule type="cellIs" priority="2" operator="equal" aboveAverage="0" equalAverage="0" bottom="0" percent="0" rank="0" text="" dxfId="5">
      <formula>"Cerrado"</formula>
    </cfRule>
  </conditionalFormatting>
  <dataValidations count="1">
    <dataValidation allowBlank="true" errorStyle="stop" operator="between" showDropDown="false" showErrorMessage="false" showInputMessage="false" sqref="C38:C84" type="list">
      <formula1>"USD,PYG"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S3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7"/>
    <col collapsed="false" customWidth="true" hidden="false" outlineLevel="0" max="4" min="4" style="0" width="3"/>
    <col collapsed="false" customWidth="true" hidden="false" outlineLevel="0" max="5" min="5" style="0" width="15"/>
    <col collapsed="false" customWidth="true" hidden="false" outlineLevel="0" max="149" min="6" style="0" width="11"/>
  </cols>
  <sheetData>
    <row r="1" customFormat="false" ht="16.15" hidden="false" customHeight="false" outlineLevel="0" collapsed="false">
      <c r="A1" s="10" t="s">
        <v>1038</v>
      </c>
    </row>
    <row r="2" customFormat="false" ht="15" hidden="false" customHeight="false" outlineLevel="0" collapsed="false">
      <c r="A2" s="11" t="s">
        <v>1039</v>
      </c>
    </row>
    <row r="4" customFormat="false" ht="15" hidden="false" customHeight="false" outlineLevel="0" collapsed="false">
      <c r="A4" s="11" t="s">
        <v>1040</v>
      </c>
      <c r="B4" s="58" t="s">
        <v>714</v>
      </c>
      <c r="F4" s="62" t="n">
        <v>1</v>
      </c>
      <c r="G4" s="62" t="n">
        <v>2</v>
      </c>
      <c r="H4" s="62" t="n">
        <v>3</v>
      </c>
      <c r="I4" s="62" t="n">
        <v>4</v>
      </c>
      <c r="J4" s="62" t="n">
        <v>5</v>
      </c>
      <c r="K4" s="62" t="n">
        <v>6</v>
      </c>
      <c r="L4" s="62" t="n">
        <v>7</v>
      </c>
      <c r="M4" s="62" t="n">
        <v>8</v>
      </c>
      <c r="N4" s="62" t="n">
        <v>9</v>
      </c>
      <c r="O4" s="62" t="n">
        <v>10</v>
      </c>
      <c r="P4" s="62" t="n">
        <v>11</v>
      </c>
      <c r="Q4" s="62" t="n">
        <v>12</v>
      </c>
      <c r="R4" s="62" t="n">
        <v>13</v>
      </c>
      <c r="S4" s="62" t="n">
        <v>14</v>
      </c>
      <c r="T4" s="62" t="n">
        <v>15</v>
      </c>
      <c r="U4" s="62" t="n">
        <v>16</v>
      </c>
      <c r="V4" s="62" t="n">
        <v>17</v>
      </c>
      <c r="W4" s="62" t="n">
        <v>18</v>
      </c>
      <c r="X4" s="62" t="n">
        <v>19</v>
      </c>
      <c r="Y4" s="62" t="n">
        <v>20</v>
      </c>
      <c r="Z4" s="62" t="n">
        <v>21</v>
      </c>
      <c r="AA4" s="62" t="n">
        <v>22</v>
      </c>
      <c r="AB4" s="62" t="n">
        <v>23</v>
      </c>
      <c r="AC4" s="62" t="n">
        <v>24</v>
      </c>
      <c r="AD4" s="62" t="n">
        <v>25</v>
      </c>
      <c r="AE4" s="62" t="n">
        <v>26</v>
      </c>
      <c r="AF4" s="62" t="n">
        <v>27</v>
      </c>
      <c r="AG4" s="62" t="n">
        <v>28</v>
      </c>
      <c r="AH4" s="62" t="n">
        <v>29</v>
      </c>
      <c r="AI4" s="62" t="n">
        <v>30</v>
      </c>
      <c r="AJ4" s="62" t="n">
        <v>31</v>
      </c>
      <c r="AK4" s="62" t="n">
        <v>32</v>
      </c>
      <c r="AL4" s="62" t="n">
        <v>33</v>
      </c>
      <c r="AM4" s="62" t="n">
        <v>34</v>
      </c>
      <c r="AN4" s="62" t="n">
        <v>35</v>
      </c>
      <c r="AO4" s="62" t="n">
        <v>36</v>
      </c>
      <c r="AP4" s="62" t="n">
        <v>37</v>
      </c>
      <c r="AQ4" s="62" t="n">
        <v>38</v>
      </c>
      <c r="AR4" s="62" t="n">
        <v>39</v>
      </c>
      <c r="AS4" s="62" t="n">
        <v>40</v>
      </c>
      <c r="AT4" s="62" t="n">
        <v>41</v>
      </c>
      <c r="AU4" s="62" t="n">
        <v>42</v>
      </c>
      <c r="AV4" s="62" t="n">
        <v>43</v>
      </c>
      <c r="AW4" s="62" t="n">
        <v>44</v>
      </c>
      <c r="AX4" s="62" t="n">
        <v>45</v>
      </c>
      <c r="AY4" s="62" t="n">
        <v>46</v>
      </c>
      <c r="AZ4" s="62" t="n">
        <v>47</v>
      </c>
      <c r="BA4" s="62" t="n">
        <v>48</v>
      </c>
      <c r="BB4" s="62" t="n">
        <v>49</v>
      </c>
      <c r="BC4" s="62" t="n">
        <v>50</v>
      </c>
      <c r="BD4" s="62" t="n">
        <v>51</v>
      </c>
      <c r="BE4" s="62" t="n">
        <v>52</v>
      </c>
      <c r="BF4" s="62" t="n">
        <v>53</v>
      </c>
      <c r="BG4" s="62" t="n">
        <v>54</v>
      </c>
      <c r="BH4" s="62" t="n">
        <v>55</v>
      </c>
      <c r="BI4" s="62" t="n">
        <v>56</v>
      </c>
      <c r="BJ4" s="62" t="n">
        <v>57</v>
      </c>
      <c r="BK4" s="62" t="n">
        <v>58</v>
      </c>
      <c r="BL4" s="62" t="n">
        <v>59</v>
      </c>
      <c r="BM4" s="62" t="n">
        <v>60</v>
      </c>
      <c r="BN4" s="62" t="n">
        <v>61</v>
      </c>
      <c r="BO4" s="62" t="n">
        <v>62</v>
      </c>
      <c r="BP4" s="62" t="n">
        <v>63</v>
      </c>
      <c r="BQ4" s="62" t="n">
        <v>64</v>
      </c>
      <c r="BR4" s="62" t="n">
        <v>65</v>
      </c>
      <c r="BS4" s="62" t="n">
        <v>66</v>
      </c>
      <c r="BT4" s="62" t="n">
        <v>67</v>
      </c>
      <c r="BU4" s="62" t="n">
        <v>68</v>
      </c>
      <c r="BV4" s="62" t="n">
        <v>69</v>
      </c>
      <c r="BW4" s="62" t="n">
        <v>70</v>
      </c>
      <c r="BX4" s="62" t="n">
        <v>71</v>
      </c>
      <c r="BY4" s="62" t="n">
        <v>72</v>
      </c>
      <c r="BZ4" s="62" t="n">
        <v>73</v>
      </c>
      <c r="CA4" s="62" t="n">
        <v>74</v>
      </c>
      <c r="CB4" s="62" t="n">
        <v>75</v>
      </c>
      <c r="CC4" s="62" t="n">
        <v>76</v>
      </c>
      <c r="CD4" s="62" t="n">
        <v>77</v>
      </c>
      <c r="CE4" s="62" t="n">
        <v>78</v>
      </c>
      <c r="CF4" s="62" t="n">
        <v>79</v>
      </c>
      <c r="CG4" s="62" t="n">
        <v>80</v>
      </c>
      <c r="CH4" s="62" t="n">
        <v>81</v>
      </c>
      <c r="CI4" s="62" t="n">
        <v>82</v>
      </c>
      <c r="CJ4" s="62" t="n">
        <v>83</v>
      </c>
      <c r="CK4" s="62" t="n">
        <v>84</v>
      </c>
      <c r="CL4" s="62" t="n">
        <v>85</v>
      </c>
      <c r="CM4" s="62" t="n">
        <v>86</v>
      </c>
      <c r="CN4" s="62" t="n">
        <v>87</v>
      </c>
      <c r="CO4" s="62" t="n">
        <v>88</v>
      </c>
      <c r="CP4" s="62" t="n">
        <v>89</v>
      </c>
      <c r="CQ4" s="62" t="n">
        <v>90</v>
      </c>
      <c r="CR4" s="62" t="n">
        <v>91</v>
      </c>
      <c r="CS4" s="62" t="n">
        <v>92</v>
      </c>
      <c r="CT4" s="62" t="n">
        <v>93</v>
      </c>
      <c r="CU4" s="62" t="n">
        <v>94</v>
      </c>
      <c r="CV4" s="62" t="n">
        <v>95</v>
      </c>
      <c r="CW4" s="62" t="n">
        <v>96</v>
      </c>
      <c r="CX4" s="62" t="n">
        <v>97</v>
      </c>
      <c r="CY4" s="62" t="n">
        <v>98</v>
      </c>
      <c r="CZ4" s="62" t="n">
        <v>99</v>
      </c>
      <c r="DA4" s="62" t="n">
        <v>100</v>
      </c>
      <c r="DB4" s="62" t="n">
        <v>101</v>
      </c>
      <c r="DC4" s="62" t="n">
        <v>102</v>
      </c>
      <c r="DD4" s="62" t="n">
        <v>103</v>
      </c>
      <c r="DE4" s="62" t="n">
        <v>104</v>
      </c>
      <c r="DF4" s="62" t="n">
        <v>105</v>
      </c>
      <c r="DG4" s="62" t="n">
        <v>106</v>
      </c>
      <c r="DH4" s="62" t="n">
        <v>107</v>
      </c>
      <c r="DI4" s="62" t="n">
        <v>108</v>
      </c>
      <c r="DJ4" s="62" t="n">
        <v>109</v>
      </c>
      <c r="DK4" s="62" t="n">
        <v>110</v>
      </c>
      <c r="DL4" s="62" t="n">
        <v>111</v>
      </c>
      <c r="DM4" s="62" t="n">
        <v>112</v>
      </c>
      <c r="DN4" s="62" t="n">
        <v>113</v>
      </c>
      <c r="DO4" s="62" t="n">
        <v>114</v>
      </c>
      <c r="DP4" s="62" t="n">
        <v>115</v>
      </c>
      <c r="DQ4" s="62" t="n">
        <v>116</v>
      </c>
      <c r="DR4" s="62" t="n">
        <v>117</v>
      </c>
      <c r="DS4" s="62" t="n">
        <v>118</v>
      </c>
      <c r="DT4" s="62" t="n">
        <v>119</v>
      </c>
      <c r="DU4" s="62" t="n">
        <v>120</v>
      </c>
      <c r="DV4" s="62" t="n">
        <v>121</v>
      </c>
      <c r="DW4" s="62" t="n">
        <v>122</v>
      </c>
      <c r="DX4" s="62" t="n">
        <v>123</v>
      </c>
      <c r="DY4" s="62" t="n">
        <v>124</v>
      </c>
      <c r="DZ4" s="62" t="n">
        <v>125</v>
      </c>
      <c r="EA4" s="62" t="n">
        <v>126</v>
      </c>
      <c r="EB4" s="62" t="n">
        <v>127</v>
      </c>
      <c r="EC4" s="62" t="n">
        <v>128</v>
      </c>
      <c r="ED4" s="62" t="n">
        <v>129</v>
      </c>
      <c r="EE4" s="62" t="n">
        <v>130</v>
      </c>
      <c r="EF4" s="62" t="n">
        <v>131</v>
      </c>
      <c r="EG4" s="62" t="n">
        <v>132</v>
      </c>
      <c r="EH4" s="62" t="n">
        <v>133</v>
      </c>
      <c r="EI4" s="62" t="n">
        <v>134</v>
      </c>
      <c r="EJ4" s="62" t="n">
        <v>135</v>
      </c>
      <c r="EK4" s="62" t="n">
        <v>136</v>
      </c>
      <c r="EL4" s="62" t="n">
        <v>137</v>
      </c>
      <c r="EM4" s="62" t="n">
        <v>138</v>
      </c>
      <c r="EN4" s="62" t="n">
        <v>139</v>
      </c>
      <c r="EO4" s="62" t="n">
        <v>140</v>
      </c>
      <c r="EP4" s="62" t="n">
        <v>141</v>
      </c>
      <c r="EQ4" s="62" t="n">
        <v>142</v>
      </c>
      <c r="ER4" s="62" t="n">
        <v>143</v>
      </c>
      <c r="ES4" s="62" t="n">
        <v>144</v>
      </c>
    </row>
    <row r="5" customFormat="false" ht="15" hidden="false" customHeight="false" outlineLevel="0" collapsed="false">
      <c r="A5" s="11" t="s">
        <v>1041</v>
      </c>
      <c r="B5" s="20" t="s">
        <v>1</v>
      </c>
      <c r="F5" s="63" t="str">
        <f aca="false">IF(n_Fecha1="","",EOMONTH(n_Fecha1,1-1))</f>
        <v/>
      </c>
      <c r="G5" s="63" t="str">
        <f aca="false">IF(n_Fecha1="","",EOMONTH(n_Fecha1,2-1))</f>
        <v/>
      </c>
      <c r="H5" s="63" t="str">
        <f aca="false">IF(n_Fecha1="","",EOMONTH(n_Fecha1,3-1))</f>
        <v/>
      </c>
      <c r="I5" s="63" t="str">
        <f aca="false">IF(n_Fecha1="","",EOMONTH(n_Fecha1,4-1))</f>
        <v/>
      </c>
      <c r="J5" s="63" t="str">
        <f aca="false">IF(n_Fecha1="","",EOMONTH(n_Fecha1,5-1))</f>
        <v/>
      </c>
      <c r="K5" s="63" t="str">
        <f aca="false">IF(n_Fecha1="","",EOMONTH(n_Fecha1,6-1))</f>
        <v/>
      </c>
      <c r="L5" s="63" t="str">
        <f aca="false">IF(n_Fecha1="","",EOMONTH(n_Fecha1,7-1))</f>
        <v/>
      </c>
      <c r="M5" s="63" t="str">
        <f aca="false">IF(n_Fecha1="","",EOMONTH(n_Fecha1,8-1))</f>
        <v/>
      </c>
      <c r="N5" s="63" t="str">
        <f aca="false">IF(n_Fecha1="","",EOMONTH(n_Fecha1,9-1))</f>
        <v/>
      </c>
      <c r="O5" s="63" t="str">
        <f aca="false">IF(n_Fecha1="","",EOMONTH(n_Fecha1,10-1))</f>
        <v/>
      </c>
      <c r="P5" s="63" t="str">
        <f aca="false">IF(n_Fecha1="","",EOMONTH(n_Fecha1,11-1))</f>
        <v/>
      </c>
      <c r="Q5" s="63" t="str">
        <f aca="false">IF(n_Fecha1="","",EOMONTH(n_Fecha1,12-1))</f>
        <v/>
      </c>
      <c r="R5" s="63" t="str">
        <f aca="false">IF(n_Fecha1="","",EOMONTH(n_Fecha1,13-1))</f>
        <v/>
      </c>
      <c r="S5" s="63" t="str">
        <f aca="false">IF(n_Fecha1="","",EOMONTH(n_Fecha1,14-1))</f>
        <v/>
      </c>
      <c r="T5" s="63" t="str">
        <f aca="false">IF(n_Fecha1="","",EOMONTH(n_Fecha1,15-1))</f>
        <v/>
      </c>
      <c r="U5" s="63" t="str">
        <f aca="false">IF(n_Fecha1="","",EOMONTH(n_Fecha1,16-1))</f>
        <v/>
      </c>
      <c r="V5" s="63" t="str">
        <f aca="false">IF(n_Fecha1="","",EOMONTH(n_Fecha1,17-1))</f>
        <v/>
      </c>
      <c r="W5" s="63" t="str">
        <f aca="false">IF(n_Fecha1="","",EOMONTH(n_Fecha1,18-1))</f>
        <v/>
      </c>
      <c r="X5" s="63" t="str">
        <f aca="false">IF(n_Fecha1="","",EOMONTH(n_Fecha1,19-1))</f>
        <v/>
      </c>
      <c r="Y5" s="63" t="str">
        <f aca="false">IF(n_Fecha1="","",EOMONTH(n_Fecha1,20-1))</f>
        <v/>
      </c>
      <c r="Z5" s="63" t="str">
        <f aca="false">IF(n_Fecha1="","",EOMONTH(n_Fecha1,21-1))</f>
        <v/>
      </c>
      <c r="AA5" s="63" t="str">
        <f aca="false">IF(n_Fecha1="","",EOMONTH(n_Fecha1,22-1))</f>
        <v/>
      </c>
      <c r="AB5" s="63" t="str">
        <f aca="false">IF(n_Fecha1="","",EOMONTH(n_Fecha1,23-1))</f>
        <v/>
      </c>
      <c r="AC5" s="63" t="str">
        <f aca="false">IF(n_Fecha1="","",EOMONTH(n_Fecha1,24-1))</f>
        <v/>
      </c>
      <c r="AD5" s="63" t="str">
        <f aca="false">IF(n_Fecha1="","",EOMONTH(n_Fecha1,25-1))</f>
        <v/>
      </c>
      <c r="AE5" s="63" t="str">
        <f aca="false">IF(n_Fecha1="","",EOMONTH(n_Fecha1,26-1))</f>
        <v/>
      </c>
      <c r="AF5" s="63" t="str">
        <f aca="false">IF(n_Fecha1="","",EOMONTH(n_Fecha1,27-1))</f>
        <v/>
      </c>
      <c r="AG5" s="63" t="str">
        <f aca="false">IF(n_Fecha1="","",EOMONTH(n_Fecha1,28-1))</f>
        <v/>
      </c>
      <c r="AH5" s="63" t="str">
        <f aca="false">IF(n_Fecha1="","",EOMONTH(n_Fecha1,29-1))</f>
        <v/>
      </c>
      <c r="AI5" s="63" t="str">
        <f aca="false">IF(n_Fecha1="","",EOMONTH(n_Fecha1,30-1))</f>
        <v/>
      </c>
      <c r="AJ5" s="63" t="str">
        <f aca="false">IF(n_Fecha1="","",EOMONTH(n_Fecha1,31-1))</f>
        <v/>
      </c>
      <c r="AK5" s="63" t="str">
        <f aca="false">IF(n_Fecha1="","",EOMONTH(n_Fecha1,32-1))</f>
        <v/>
      </c>
      <c r="AL5" s="63" t="str">
        <f aca="false">IF(n_Fecha1="","",EOMONTH(n_Fecha1,33-1))</f>
        <v/>
      </c>
      <c r="AM5" s="63" t="str">
        <f aca="false">IF(n_Fecha1="","",EOMONTH(n_Fecha1,34-1))</f>
        <v/>
      </c>
      <c r="AN5" s="63" t="str">
        <f aca="false">IF(n_Fecha1="","",EOMONTH(n_Fecha1,35-1))</f>
        <v/>
      </c>
      <c r="AO5" s="63" t="str">
        <f aca="false">IF(n_Fecha1="","",EOMONTH(n_Fecha1,36-1))</f>
        <v/>
      </c>
      <c r="AP5" s="63" t="str">
        <f aca="false">IF(n_Fecha1="","",EOMONTH(n_Fecha1,37-1))</f>
        <v/>
      </c>
      <c r="AQ5" s="63" t="str">
        <f aca="false">IF(n_Fecha1="","",EOMONTH(n_Fecha1,38-1))</f>
        <v/>
      </c>
      <c r="AR5" s="63" t="str">
        <f aca="false">IF(n_Fecha1="","",EOMONTH(n_Fecha1,39-1))</f>
        <v/>
      </c>
      <c r="AS5" s="63" t="str">
        <f aca="false">IF(n_Fecha1="","",EOMONTH(n_Fecha1,40-1))</f>
        <v/>
      </c>
      <c r="AT5" s="63" t="str">
        <f aca="false">IF(n_Fecha1="","",EOMONTH(n_Fecha1,41-1))</f>
        <v/>
      </c>
      <c r="AU5" s="63" t="str">
        <f aca="false">IF(n_Fecha1="","",EOMONTH(n_Fecha1,42-1))</f>
        <v/>
      </c>
      <c r="AV5" s="63" t="str">
        <f aca="false">IF(n_Fecha1="","",EOMONTH(n_Fecha1,43-1))</f>
        <v/>
      </c>
      <c r="AW5" s="63" t="str">
        <f aca="false">IF(n_Fecha1="","",EOMONTH(n_Fecha1,44-1))</f>
        <v/>
      </c>
      <c r="AX5" s="63" t="str">
        <f aca="false">IF(n_Fecha1="","",EOMONTH(n_Fecha1,45-1))</f>
        <v/>
      </c>
      <c r="AY5" s="63" t="str">
        <f aca="false">IF(n_Fecha1="","",EOMONTH(n_Fecha1,46-1))</f>
        <v/>
      </c>
      <c r="AZ5" s="63" t="str">
        <f aca="false">IF(n_Fecha1="","",EOMONTH(n_Fecha1,47-1))</f>
        <v/>
      </c>
      <c r="BA5" s="63" t="str">
        <f aca="false">IF(n_Fecha1="","",EOMONTH(n_Fecha1,48-1))</f>
        <v/>
      </c>
      <c r="BB5" s="63" t="str">
        <f aca="false">IF(n_Fecha1="","",EOMONTH(n_Fecha1,49-1))</f>
        <v/>
      </c>
      <c r="BC5" s="63" t="str">
        <f aca="false">IF(n_Fecha1="","",EOMONTH(n_Fecha1,50-1))</f>
        <v/>
      </c>
      <c r="BD5" s="63" t="str">
        <f aca="false">IF(n_Fecha1="","",EOMONTH(n_Fecha1,51-1))</f>
        <v/>
      </c>
      <c r="BE5" s="63" t="str">
        <f aca="false">IF(n_Fecha1="","",EOMONTH(n_Fecha1,52-1))</f>
        <v/>
      </c>
      <c r="BF5" s="63" t="str">
        <f aca="false">IF(n_Fecha1="","",EOMONTH(n_Fecha1,53-1))</f>
        <v/>
      </c>
      <c r="BG5" s="63" t="str">
        <f aca="false">IF(n_Fecha1="","",EOMONTH(n_Fecha1,54-1))</f>
        <v/>
      </c>
      <c r="BH5" s="63" t="str">
        <f aca="false">IF(n_Fecha1="","",EOMONTH(n_Fecha1,55-1))</f>
        <v/>
      </c>
      <c r="BI5" s="63" t="str">
        <f aca="false">IF(n_Fecha1="","",EOMONTH(n_Fecha1,56-1))</f>
        <v/>
      </c>
      <c r="BJ5" s="63" t="str">
        <f aca="false">IF(n_Fecha1="","",EOMONTH(n_Fecha1,57-1))</f>
        <v/>
      </c>
      <c r="BK5" s="63" t="str">
        <f aca="false">IF(n_Fecha1="","",EOMONTH(n_Fecha1,58-1))</f>
        <v/>
      </c>
      <c r="BL5" s="63" t="str">
        <f aca="false">IF(n_Fecha1="","",EOMONTH(n_Fecha1,59-1))</f>
        <v/>
      </c>
      <c r="BM5" s="63" t="str">
        <f aca="false">IF(n_Fecha1="","",EOMONTH(n_Fecha1,60-1))</f>
        <v/>
      </c>
      <c r="BN5" s="63" t="str">
        <f aca="false">IF(n_Fecha1="","",EOMONTH(n_Fecha1,61-1))</f>
        <v/>
      </c>
      <c r="BO5" s="63" t="str">
        <f aca="false">IF(n_Fecha1="","",EOMONTH(n_Fecha1,62-1))</f>
        <v/>
      </c>
      <c r="BP5" s="63" t="str">
        <f aca="false">IF(n_Fecha1="","",EOMONTH(n_Fecha1,63-1))</f>
        <v/>
      </c>
      <c r="BQ5" s="63" t="str">
        <f aca="false">IF(n_Fecha1="","",EOMONTH(n_Fecha1,64-1))</f>
        <v/>
      </c>
      <c r="BR5" s="63" t="str">
        <f aca="false">IF(n_Fecha1="","",EOMONTH(n_Fecha1,65-1))</f>
        <v/>
      </c>
      <c r="BS5" s="63" t="str">
        <f aca="false">IF(n_Fecha1="","",EOMONTH(n_Fecha1,66-1))</f>
        <v/>
      </c>
      <c r="BT5" s="63" t="str">
        <f aca="false">IF(n_Fecha1="","",EOMONTH(n_Fecha1,67-1))</f>
        <v/>
      </c>
      <c r="BU5" s="63" t="str">
        <f aca="false">IF(n_Fecha1="","",EOMONTH(n_Fecha1,68-1))</f>
        <v/>
      </c>
      <c r="BV5" s="63" t="str">
        <f aca="false">IF(n_Fecha1="","",EOMONTH(n_Fecha1,69-1))</f>
        <v/>
      </c>
      <c r="BW5" s="63" t="str">
        <f aca="false">IF(n_Fecha1="","",EOMONTH(n_Fecha1,70-1))</f>
        <v/>
      </c>
      <c r="BX5" s="63" t="str">
        <f aca="false">IF(n_Fecha1="","",EOMONTH(n_Fecha1,71-1))</f>
        <v/>
      </c>
      <c r="BY5" s="63" t="str">
        <f aca="false">IF(n_Fecha1="","",EOMONTH(n_Fecha1,72-1))</f>
        <v/>
      </c>
      <c r="BZ5" s="63" t="str">
        <f aca="false">IF(n_Fecha1="","",EOMONTH(n_Fecha1,73-1))</f>
        <v/>
      </c>
      <c r="CA5" s="63" t="str">
        <f aca="false">IF(n_Fecha1="","",EOMONTH(n_Fecha1,74-1))</f>
        <v/>
      </c>
      <c r="CB5" s="63" t="str">
        <f aca="false">IF(n_Fecha1="","",EOMONTH(n_Fecha1,75-1))</f>
        <v/>
      </c>
      <c r="CC5" s="63" t="str">
        <f aca="false">IF(n_Fecha1="","",EOMONTH(n_Fecha1,76-1))</f>
        <v/>
      </c>
      <c r="CD5" s="63" t="str">
        <f aca="false">IF(n_Fecha1="","",EOMONTH(n_Fecha1,77-1))</f>
        <v/>
      </c>
      <c r="CE5" s="63" t="str">
        <f aca="false">IF(n_Fecha1="","",EOMONTH(n_Fecha1,78-1))</f>
        <v/>
      </c>
      <c r="CF5" s="63" t="str">
        <f aca="false">IF(n_Fecha1="","",EOMONTH(n_Fecha1,79-1))</f>
        <v/>
      </c>
      <c r="CG5" s="63" t="str">
        <f aca="false">IF(n_Fecha1="","",EOMONTH(n_Fecha1,80-1))</f>
        <v/>
      </c>
      <c r="CH5" s="63" t="str">
        <f aca="false">IF(n_Fecha1="","",EOMONTH(n_Fecha1,81-1))</f>
        <v/>
      </c>
      <c r="CI5" s="63" t="str">
        <f aca="false">IF(n_Fecha1="","",EOMONTH(n_Fecha1,82-1))</f>
        <v/>
      </c>
      <c r="CJ5" s="63" t="str">
        <f aca="false">IF(n_Fecha1="","",EOMONTH(n_Fecha1,83-1))</f>
        <v/>
      </c>
      <c r="CK5" s="63" t="str">
        <f aca="false">IF(n_Fecha1="","",EOMONTH(n_Fecha1,84-1))</f>
        <v/>
      </c>
      <c r="CL5" s="63" t="str">
        <f aca="false">IF(n_Fecha1="","",EOMONTH(n_Fecha1,85-1))</f>
        <v/>
      </c>
      <c r="CM5" s="63" t="str">
        <f aca="false">IF(n_Fecha1="","",EOMONTH(n_Fecha1,86-1))</f>
        <v/>
      </c>
      <c r="CN5" s="63" t="str">
        <f aca="false">IF(n_Fecha1="","",EOMONTH(n_Fecha1,87-1))</f>
        <v/>
      </c>
      <c r="CO5" s="63" t="str">
        <f aca="false">IF(n_Fecha1="","",EOMONTH(n_Fecha1,88-1))</f>
        <v/>
      </c>
      <c r="CP5" s="63" t="str">
        <f aca="false">IF(n_Fecha1="","",EOMONTH(n_Fecha1,89-1))</f>
        <v/>
      </c>
      <c r="CQ5" s="63" t="str">
        <f aca="false">IF(n_Fecha1="","",EOMONTH(n_Fecha1,90-1))</f>
        <v/>
      </c>
      <c r="CR5" s="63" t="str">
        <f aca="false">IF(n_Fecha1="","",EOMONTH(n_Fecha1,91-1))</f>
        <v/>
      </c>
      <c r="CS5" s="63" t="str">
        <f aca="false">IF(n_Fecha1="","",EOMONTH(n_Fecha1,92-1))</f>
        <v/>
      </c>
      <c r="CT5" s="63" t="str">
        <f aca="false">IF(n_Fecha1="","",EOMONTH(n_Fecha1,93-1))</f>
        <v/>
      </c>
      <c r="CU5" s="63" t="str">
        <f aca="false">IF(n_Fecha1="","",EOMONTH(n_Fecha1,94-1))</f>
        <v/>
      </c>
      <c r="CV5" s="63" t="str">
        <f aca="false">IF(n_Fecha1="","",EOMONTH(n_Fecha1,95-1))</f>
        <v/>
      </c>
      <c r="CW5" s="63" t="str">
        <f aca="false">IF(n_Fecha1="","",EOMONTH(n_Fecha1,96-1))</f>
        <v/>
      </c>
      <c r="CX5" s="63" t="str">
        <f aca="false">IF(n_Fecha1="","",EOMONTH(n_Fecha1,97-1))</f>
        <v/>
      </c>
      <c r="CY5" s="63" t="str">
        <f aca="false">IF(n_Fecha1="","",EOMONTH(n_Fecha1,98-1))</f>
        <v/>
      </c>
      <c r="CZ5" s="63" t="str">
        <f aca="false">IF(n_Fecha1="","",EOMONTH(n_Fecha1,99-1))</f>
        <v/>
      </c>
      <c r="DA5" s="63" t="str">
        <f aca="false">IF(n_Fecha1="","",EOMONTH(n_Fecha1,100-1))</f>
        <v/>
      </c>
      <c r="DB5" s="63" t="str">
        <f aca="false">IF(n_Fecha1="","",EOMONTH(n_Fecha1,101-1))</f>
        <v/>
      </c>
      <c r="DC5" s="63" t="str">
        <f aca="false">IF(n_Fecha1="","",EOMONTH(n_Fecha1,102-1))</f>
        <v/>
      </c>
      <c r="DD5" s="63" t="str">
        <f aca="false">IF(n_Fecha1="","",EOMONTH(n_Fecha1,103-1))</f>
        <v/>
      </c>
      <c r="DE5" s="63" t="str">
        <f aca="false">IF(n_Fecha1="","",EOMONTH(n_Fecha1,104-1))</f>
        <v/>
      </c>
      <c r="DF5" s="63" t="str">
        <f aca="false">IF(n_Fecha1="","",EOMONTH(n_Fecha1,105-1))</f>
        <v/>
      </c>
      <c r="DG5" s="63" t="str">
        <f aca="false">IF(n_Fecha1="","",EOMONTH(n_Fecha1,106-1))</f>
        <v/>
      </c>
      <c r="DH5" s="63" t="str">
        <f aca="false">IF(n_Fecha1="","",EOMONTH(n_Fecha1,107-1))</f>
        <v/>
      </c>
      <c r="DI5" s="63" t="str">
        <f aca="false">IF(n_Fecha1="","",EOMONTH(n_Fecha1,108-1))</f>
        <v/>
      </c>
      <c r="DJ5" s="63" t="str">
        <f aca="false">IF(n_Fecha1="","",EOMONTH(n_Fecha1,109-1))</f>
        <v/>
      </c>
      <c r="DK5" s="63" t="str">
        <f aca="false">IF(n_Fecha1="","",EOMONTH(n_Fecha1,110-1))</f>
        <v/>
      </c>
      <c r="DL5" s="63" t="str">
        <f aca="false">IF(n_Fecha1="","",EOMONTH(n_Fecha1,111-1))</f>
        <v/>
      </c>
      <c r="DM5" s="63" t="str">
        <f aca="false">IF(n_Fecha1="","",EOMONTH(n_Fecha1,112-1))</f>
        <v/>
      </c>
      <c r="DN5" s="63" t="str">
        <f aca="false">IF(n_Fecha1="","",EOMONTH(n_Fecha1,113-1))</f>
        <v/>
      </c>
      <c r="DO5" s="63" t="str">
        <f aca="false">IF(n_Fecha1="","",EOMONTH(n_Fecha1,114-1))</f>
        <v/>
      </c>
      <c r="DP5" s="63" t="str">
        <f aca="false">IF(n_Fecha1="","",EOMONTH(n_Fecha1,115-1))</f>
        <v/>
      </c>
      <c r="DQ5" s="63" t="str">
        <f aca="false">IF(n_Fecha1="","",EOMONTH(n_Fecha1,116-1))</f>
        <v/>
      </c>
      <c r="DR5" s="63" t="str">
        <f aca="false">IF(n_Fecha1="","",EOMONTH(n_Fecha1,117-1))</f>
        <v/>
      </c>
      <c r="DS5" s="63" t="str">
        <f aca="false">IF(n_Fecha1="","",EOMONTH(n_Fecha1,118-1))</f>
        <v/>
      </c>
      <c r="DT5" s="63" t="str">
        <f aca="false">IF(n_Fecha1="","",EOMONTH(n_Fecha1,119-1))</f>
        <v/>
      </c>
      <c r="DU5" s="63" t="str">
        <f aca="false">IF(n_Fecha1="","",EOMONTH(n_Fecha1,120-1))</f>
        <v/>
      </c>
      <c r="DV5" s="63" t="str">
        <f aca="false">IF(n_Fecha1="","",EOMONTH(n_Fecha1,121-1))</f>
        <v/>
      </c>
      <c r="DW5" s="63" t="str">
        <f aca="false">IF(n_Fecha1="","",EOMONTH(n_Fecha1,122-1))</f>
        <v/>
      </c>
      <c r="DX5" s="63" t="str">
        <f aca="false">IF(n_Fecha1="","",EOMONTH(n_Fecha1,123-1))</f>
        <v/>
      </c>
      <c r="DY5" s="63" t="str">
        <f aca="false">IF(n_Fecha1="","",EOMONTH(n_Fecha1,124-1))</f>
        <v/>
      </c>
      <c r="DZ5" s="63" t="str">
        <f aca="false">IF(n_Fecha1="","",EOMONTH(n_Fecha1,125-1))</f>
        <v/>
      </c>
      <c r="EA5" s="63" t="str">
        <f aca="false">IF(n_Fecha1="","",EOMONTH(n_Fecha1,126-1))</f>
        <v/>
      </c>
      <c r="EB5" s="63" t="str">
        <f aca="false">IF(n_Fecha1="","",EOMONTH(n_Fecha1,127-1))</f>
        <v/>
      </c>
      <c r="EC5" s="63" t="str">
        <f aca="false">IF(n_Fecha1="","",EOMONTH(n_Fecha1,128-1))</f>
        <v/>
      </c>
      <c r="ED5" s="63" t="str">
        <f aca="false">IF(n_Fecha1="","",EOMONTH(n_Fecha1,129-1))</f>
        <v/>
      </c>
      <c r="EE5" s="63" t="str">
        <f aca="false">IF(n_Fecha1="","",EOMONTH(n_Fecha1,130-1))</f>
        <v/>
      </c>
      <c r="EF5" s="63" t="str">
        <f aca="false">IF(n_Fecha1="","",EOMONTH(n_Fecha1,131-1))</f>
        <v/>
      </c>
      <c r="EG5" s="63" t="str">
        <f aca="false">IF(n_Fecha1="","",EOMONTH(n_Fecha1,132-1))</f>
        <v/>
      </c>
      <c r="EH5" s="63" t="str">
        <f aca="false">IF(n_Fecha1="","",EOMONTH(n_Fecha1,133-1))</f>
        <v/>
      </c>
      <c r="EI5" s="63" t="str">
        <f aca="false">IF(n_Fecha1="","",EOMONTH(n_Fecha1,134-1))</f>
        <v/>
      </c>
      <c r="EJ5" s="63" t="str">
        <f aca="false">IF(n_Fecha1="","",EOMONTH(n_Fecha1,135-1))</f>
        <v/>
      </c>
      <c r="EK5" s="63" t="str">
        <f aca="false">IF(n_Fecha1="","",EOMONTH(n_Fecha1,136-1))</f>
        <v/>
      </c>
      <c r="EL5" s="63" t="str">
        <f aca="false">IF(n_Fecha1="","",EOMONTH(n_Fecha1,137-1))</f>
        <v/>
      </c>
      <c r="EM5" s="63" t="str">
        <f aca="false">IF(n_Fecha1="","",EOMONTH(n_Fecha1,138-1))</f>
        <v/>
      </c>
      <c r="EN5" s="63" t="str">
        <f aca="false">IF(n_Fecha1="","",EOMONTH(n_Fecha1,139-1))</f>
        <v/>
      </c>
      <c r="EO5" s="63" t="str">
        <f aca="false">IF(n_Fecha1="","",EOMONTH(n_Fecha1,140-1))</f>
        <v/>
      </c>
      <c r="EP5" s="63" t="str">
        <f aca="false">IF(n_Fecha1="","",EOMONTH(n_Fecha1,141-1))</f>
        <v/>
      </c>
      <c r="EQ5" s="63" t="str">
        <f aca="false">IF(n_Fecha1="","",EOMONTH(n_Fecha1,142-1))</f>
        <v/>
      </c>
      <c r="ER5" s="63" t="str">
        <f aca="false">IF(n_Fecha1="","",EOMONTH(n_Fecha1,143-1))</f>
        <v/>
      </c>
      <c r="ES5" s="63" t="str">
        <f aca="false">IF(n_Fecha1="","",EOMONTH(n_Fecha1,144-1))</f>
        <v/>
      </c>
    </row>
    <row r="6" customFormat="false" ht="15" hidden="false" customHeight="false" outlineLevel="0" collapsed="false">
      <c r="A6" s="11" t="s">
        <v>1042</v>
      </c>
      <c r="B6" s="20" t="s">
        <v>716</v>
      </c>
      <c r="F6" s="34" t="n">
        <f aca="false">ROUNDUP(1/12,0)</f>
        <v>1</v>
      </c>
      <c r="G6" s="34" t="n">
        <f aca="false">ROUNDUP(2/12,0)</f>
        <v>1</v>
      </c>
      <c r="H6" s="34" t="n">
        <f aca="false">ROUNDUP(3/12,0)</f>
        <v>1</v>
      </c>
      <c r="I6" s="34" t="n">
        <f aca="false">ROUNDUP(4/12,0)</f>
        <v>1</v>
      </c>
      <c r="J6" s="34" t="n">
        <f aca="false">ROUNDUP(5/12,0)</f>
        <v>1</v>
      </c>
      <c r="K6" s="34" t="n">
        <f aca="false">ROUNDUP(6/12,0)</f>
        <v>1</v>
      </c>
      <c r="L6" s="34" t="n">
        <f aca="false">ROUNDUP(7/12,0)</f>
        <v>1</v>
      </c>
      <c r="M6" s="34" t="n">
        <f aca="false">ROUNDUP(8/12,0)</f>
        <v>1</v>
      </c>
      <c r="N6" s="34" t="n">
        <f aca="false">ROUNDUP(9/12,0)</f>
        <v>1</v>
      </c>
      <c r="O6" s="34" t="n">
        <f aca="false">ROUNDUP(10/12,0)</f>
        <v>1</v>
      </c>
      <c r="P6" s="34" t="n">
        <f aca="false">ROUNDUP(11/12,0)</f>
        <v>1</v>
      </c>
      <c r="Q6" s="34" t="n">
        <f aca="false">ROUNDUP(12/12,0)</f>
        <v>1</v>
      </c>
      <c r="R6" s="34" t="n">
        <f aca="false">ROUNDUP(13/12,0)</f>
        <v>2</v>
      </c>
      <c r="S6" s="34" t="n">
        <f aca="false">ROUNDUP(14/12,0)</f>
        <v>2</v>
      </c>
      <c r="T6" s="34" t="n">
        <f aca="false">ROUNDUP(15/12,0)</f>
        <v>2</v>
      </c>
      <c r="U6" s="34" t="n">
        <f aca="false">ROUNDUP(16/12,0)</f>
        <v>2</v>
      </c>
      <c r="V6" s="34" t="n">
        <f aca="false">ROUNDUP(17/12,0)</f>
        <v>2</v>
      </c>
      <c r="W6" s="34" t="n">
        <f aca="false">ROUNDUP(18/12,0)</f>
        <v>2</v>
      </c>
      <c r="X6" s="34" t="n">
        <f aca="false">ROUNDUP(19/12,0)</f>
        <v>2</v>
      </c>
      <c r="Y6" s="34" t="n">
        <f aca="false">ROUNDUP(20/12,0)</f>
        <v>2</v>
      </c>
      <c r="Z6" s="34" t="n">
        <f aca="false">ROUNDUP(21/12,0)</f>
        <v>2</v>
      </c>
      <c r="AA6" s="34" t="n">
        <f aca="false">ROUNDUP(22/12,0)</f>
        <v>2</v>
      </c>
      <c r="AB6" s="34" t="n">
        <f aca="false">ROUNDUP(23/12,0)</f>
        <v>2</v>
      </c>
      <c r="AC6" s="34" t="n">
        <f aca="false">ROUNDUP(24/12,0)</f>
        <v>2</v>
      </c>
      <c r="AD6" s="34" t="n">
        <f aca="false">ROUNDUP(25/12,0)</f>
        <v>3</v>
      </c>
      <c r="AE6" s="34" t="n">
        <f aca="false">ROUNDUP(26/12,0)</f>
        <v>3</v>
      </c>
      <c r="AF6" s="34" t="n">
        <f aca="false">ROUNDUP(27/12,0)</f>
        <v>3</v>
      </c>
      <c r="AG6" s="34" t="n">
        <f aca="false">ROUNDUP(28/12,0)</f>
        <v>3</v>
      </c>
      <c r="AH6" s="34" t="n">
        <f aca="false">ROUNDUP(29/12,0)</f>
        <v>3</v>
      </c>
      <c r="AI6" s="34" t="n">
        <f aca="false">ROUNDUP(30/12,0)</f>
        <v>3</v>
      </c>
      <c r="AJ6" s="34" t="n">
        <f aca="false">ROUNDUP(31/12,0)</f>
        <v>3</v>
      </c>
      <c r="AK6" s="34" t="n">
        <f aca="false">ROUNDUP(32/12,0)</f>
        <v>3</v>
      </c>
      <c r="AL6" s="34" t="n">
        <f aca="false">ROUNDUP(33/12,0)</f>
        <v>3</v>
      </c>
      <c r="AM6" s="34" t="n">
        <f aca="false">ROUNDUP(34/12,0)</f>
        <v>3</v>
      </c>
      <c r="AN6" s="34" t="n">
        <f aca="false">ROUNDUP(35/12,0)</f>
        <v>3</v>
      </c>
      <c r="AO6" s="34" t="n">
        <f aca="false">ROUNDUP(36/12,0)</f>
        <v>3</v>
      </c>
      <c r="AP6" s="34" t="n">
        <f aca="false">ROUNDUP(37/12,0)</f>
        <v>4</v>
      </c>
      <c r="AQ6" s="34" t="n">
        <f aca="false">ROUNDUP(38/12,0)</f>
        <v>4</v>
      </c>
      <c r="AR6" s="34" t="n">
        <f aca="false">ROUNDUP(39/12,0)</f>
        <v>4</v>
      </c>
      <c r="AS6" s="34" t="n">
        <f aca="false">ROUNDUP(40/12,0)</f>
        <v>4</v>
      </c>
      <c r="AT6" s="34" t="n">
        <f aca="false">ROUNDUP(41/12,0)</f>
        <v>4</v>
      </c>
      <c r="AU6" s="34" t="n">
        <f aca="false">ROUNDUP(42/12,0)</f>
        <v>4</v>
      </c>
      <c r="AV6" s="34" t="n">
        <f aca="false">ROUNDUP(43/12,0)</f>
        <v>4</v>
      </c>
      <c r="AW6" s="34" t="n">
        <f aca="false">ROUNDUP(44/12,0)</f>
        <v>4</v>
      </c>
      <c r="AX6" s="34" t="n">
        <f aca="false">ROUNDUP(45/12,0)</f>
        <v>4</v>
      </c>
      <c r="AY6" s="34" t="n">
        <f aca="false">ROUNDUP(46/12,0)</f>
        <v>4</v>
      </c>
      <c r="AZ6" s="34" t="n">
        <f aca="false">ROUNDUP(47/12,0)</f>
        <v>4</v>
      </c>
      <c r="BA6" s="34" t="n">
        <f aca="false">ROUNDUP(48/12,0)</f>
        <v>4</v>
      </c>
      <c r="BB6" s="34" t="n">
        <f aca="false">ROUNDUP(49/12,0)</f>
        <v>5</v>
      </c>
      <c r="BC6" s="34" t="n">
        <f aca="false">ROUNDUP(50/12,0)</f>
        <v>5</v>
      </c>
      <c r="BD6" s="34" t="n">
        <f aca="false">ROUNDUP(51/12,0)</f>
        <v>5</v>
      </c>
      <c r="BE6" s="34" t="n">
        <f aca="false">ROUNDUP(52/12,0)</f>
        <v>5</v>
      </c>
      <c r="BF6" s="34" t="n">
        <f aca="false">ROUNDUP(53/12,0)</f>
        <v>5</v>
      </c>
      <c r="BG6" s="34" t="n">
        <f aca="false">ROUNDUP(54/12,0)</f>
        <v>5</v>
      </c>
      <c r="BH6" s="34" t="n">
        <f aca="false">ROUNDUP(55/12,0)</f>
        <v>5</v>
      </c>
      <c r="BI6" s="34" t="n">
        <f aca="false">ROUNDUP(56/12,0)</f>
        <v>5</v>
      </c>
      <c r="BJ6" s="34" t="n">
        <f aca="false">ROUNDUP(57/12,0)</f>
        <v>5</v>
      </c>
      <c r="BK6" s="34" t="n">
        <f aca="false">ROUNDUP(58/12,0)</f>
        <v>5</v>
      </c>
      <c r="BL6" s="34" t="n">
        <f aca="false">ROUNDUP(59/12,0)</f>
        <v>5</v>
      </c>
      <c r="BM6" s="34" t="n">
        <f aca="false">ROUNDUP(60/12,0)</f>
        <v>5</v>
      </c>
      <c r="BN6" s="34" t="n">
        <f aca="false">ROUNDUP(61/12,0)</f>
        <v>6</v>
      </c>
      <c r="BO6" s="34" t="n">
        <f aca="false">ROUNDUP(62/12,0)</f>
        <v>6</v>
      </c>
      <c r="BP6" s="34" t="n">
        <f aca="false">ROUNDUP(63/12,0)</f>
        <v>6</v>
      </c>
      <c r="BQ6" s="34" t="n">
        <f aca="false">ROUNDUP(64/12,0)</f>
        <v>6</v>
      </c>
      <c r="BR6" s="34" t="n">
        <f aca="false">ROUNDUP(65/12,0)</f>
        <v>6</v>
      </c>
      <c r="BS6" s="34" t="n">
        <f aca="false">ROUNDUP(66/12,0)</f>
        <v>6</v>
      </c>
      <c r="BT6" s="34" t="n">
        <f aca="false">ROUNDUP(67/12,0)</f>
        <v>6</v>
      </c>
      <c r="BU6" s="34" t="n">
        <f aca="false">ROUNDUP(68/12,0)</f>
        <v>6</v>
      </c>
      <c r="BV6" s="34" t="n">
        <f aca="false">ROUNDUP(69/12,0)</f>
        <v>6</v>
      </c>
      <c r="BW6" s="34" t="n">
        <f aca="false">ROUNDUP(70/12,0)</f>
        <v>6</v>
      </c>
      <c r="BX6" s="34" t="n">
        <f aca="false">ROUNDUP(71/12,0)</f>
        <v>6</v>
      </c>
      <c r="BY6" s="34" t="n">
        <f aca="false">ROUNDUP(72/12,0)</f>
        <v>6</v>
      </c>
      <c r="BZ6" s="34" t="n">
        <f aca="false">ROUNDUP(73/12,0)</f>
        <v>7</v>
      </c>
      <c r="CA6" s="34" t="n">
        <f aca="false">ROUNDUP(74/12,0)</f>
        <v>7</v>
      </c>
      <c r="CB6" s="34" t="n">
        <f aca="false">ROUNDUP(75/12,0)</f>
        <v>7</v>
      </c>
      <c r="CC6" s="34" t="n">
        <f aca="false">ROUNDUP(76/12,0)</f>
        <v>7</v>
      </c>
      <c r="CD6" s="34" t="n">
        <f aca="false">ROUNDUP(77/12,0)</f>
        <v>7</v>
      </c>
      <c r="CE6" s="34" t="n">
        <f aca="false">ROUNDUP(78/12,0)</f>
        <v>7</v>
      </c>
      <c r="CF6" s="34" t="n">
        <f aca="false">ROUNDUP(79/12,0)</f>
        <v>7</v>
      </c>
      <c r="CG6" s="34" t="n">
        <f aca="false">ROUNDUP(80/12,0)</f>
        <v>7</v>
      </c>
      <c r="CH6" s="34" t="n">
        <f aca="false">ROUNDUP(81/12,0)</f>
        <v>7</v>
      </c>
      <c r="CI6" s="34" t="n">
        <f aca="false">ROUNDUP(82/12,0)</f>
        <v>7</v>
      </c>
      <c r="CJ6" s="34" t="n">
        <f aca="false">ROUNDUP(83/12,0)</f>
        <v>7</v>
      </c>
      <c r="CK6" s="34" t="n">
        <f aca="false">ROUNDUP(84/12,0)</f>
        <v>7</v>
      </c>
      <c r="CL6" s="34" t="n">
        <f aca="false">ROUNDUP(85/12,0)</f>
        <v>8</v>
      </c>
      <c r="CM6" s="34" t="n">
        <f aca="false">ROUNDUP(86/12,0)</f>
        <v>8</v>
      </c>
      <c r="CN6" s="34" t="n">
        <f aca="false">ROUNDUP(87/12,0)</f>
        <v>8</v>
      </c>
      <c r="CO6" s="34" t="n">
        <f aca="false">ROUNDUP(88/12,0)</f>
        <v>8</v>
      </c>
      <c r="CP6" s="34" t="n">
        <f aca="false">ROUNDUP(89/12,0)</f>
        <v>8</v>
      </c>
      <c r="CQ6" s="34" t="n">
        <f aca="false">ROUNDUP(90/12,0)</f>
        <v>8</v>
      </c>
      <c r="CR6" s="34" t="n">
        <f aca="false">ROUNDUP(91/12,0)</f>
        <v>8</v>
      </c>
      <c r="CS6" s="34" t="n">
        <f aca="false">ROUNDUP(92/12,0)</f>
        <v>8</v>
      </c>
      <c r="CT6" s="34" t="n">
        <f aca="false">ROUNDUP(93/12,0)</f>
        <v>8</v>
      </c>
      <c r="CU6" s="34" t="n">
        <f aca="false">ROUNDUP(94/12,0)</f>
        <v>8</v>
      </c>
      <c r="CV6" s="34" t="n">
        <f aca="false">ROUNDUP(95/12,0)</f>
        <v>8</v>
      </c>
      <c r="CW6" s="34" t="n">
        <f aca="false">ROUNDUP(96/12,0)</f>
        <v>8</v>
      </c>
      <c r="CX6" s="34" t="n">
        <f aca="false">ROUNDUP(97/12,0)</f>
        <v>9</v>
      </c>
      <c r="CY6" s="34" t="n">
        <f aca="false">ROUNDUP(98/12,0)</f>
        <v>9</v>
      </c>
      <c r="CZ6" s="34" t="n">
        <f aca="false">ROUNDUP(99/12,0)</f>
        <v>9</v>
      </c>
      <c r="DA6" s="34" t="n">
        <f aca="false">ROUNDUP(100/12,0)</f>
        <v>9</v>
      </c>
      <c r="DB6" s="34" t="n">
        <f aca="false">ROUNDUP(101/12,0)</f>
        <v>9</v>
      </c>
      <c r="DC6" s="34" t="n">
        <f aca="false">ROUNDUP(102/12,0)</f>
        <v>9</v>
      </c>
      <c r="DD6" s="34" t="n">
        <f aca="false">ROUNDUP(103/12,0)</f>
        <v>9</v>
      </c>
      <c r="DE6" s="34" t="n">
        <f aca="false">ROUNDUP(104/12,0)</f>
        <v>9</v>
      </c>
      <c r="DF6" s="34" t="n">
        <f aca="false">ROUNDUP(105/12,0)</f>
        <v>9</v>
      </c>
      <c r="DG6" s="34" t="n">
        <f aca="false">ROUNDUP(106/12,0)</f>
        <v>9</v>
      </c>
      <c r="DH6" s="34" t="n">
        <f aca="false">ROUNDUP(107/12,0)</f>
        <v>9</v>
      </c>
      <c r="DI6" s="34" t="n">
        <f aca="false">ROUNDUP(108/12,0)</f>
        <v>9</v>
      </c>
      <c r="DJ6" s="34" t="n">
        <f aca="false">ROUNDUP(109/12,0)</f>
        <v>10</v>
      </c>
      <c r="DK6" s="34" t="n">
        <f aca="false">ROUNDUP(110/12,0)</f>
        <v>10</v>
      </c>
      <c r="DL6" s="34" t="n">
        <f aca="false">ROUNDUP(111/12,0)</f>
        <v>10</v>
      </c>
      <c r="DM6" s="34" t="n">
        <f aca="false">ROUNDUP(112/12,0)</f>
        <v>10</v>
      </c>
      <c r="DN6" s="34" t="n">
        <f aca="false">ROUNDUP(113/12,0)</f>
        <v>10</v>
      </c>
      <c r="DO6" s="34" t="n">
        <f aca="false">ROUNDUP(114/12,0)</f>
        <v>10</v>
      </c>
      <c r="DP6" s="34" t="n">
        <f aca="false">ROUNDUP(115/12,0)</f>
        <v>10</v>
      </c>
      <c r="DQ6" s="34" t="n">
        <f aca="false">ROUNDUP(116/12,0)</f>
        <v>10</v>
      </c>
      <c r="DR6" s="34" t="n">
        <f aca="false">ROUNDUP(117/12,0)</f>
        <v>10</v>
      </c>
      <c r="DS6" s="34" t="n">
        <f aca="false">ROUNDUP(118/12,0)</f>
        <v>10</v>
      </c>
      <c r="DT6" s="34" t="n">
        <f aca="false">ROUNDUP(119/12,0)</f>
        <v>10</v>
      </c>
      <c r="DU6" s="34" t="n">
        <f aca="false">ROUNDUP(120/12,0)</f>
        <v>10</v>
      </c>
      <c r="DV6" s="34" t="n">
        <f aca="false">ROUNDUP(121/12,0)</f>
        <v>11</v>
      </c>
      <c r="DW6" s="34" t="n">
        <f aca="false">ROUNDUP(122/12,0)</f>
        <v>11</v>
      </c>
      <c r="DX6" s="34" t="n">
        <f aca="false">ROUNDUP(123/12,0)</f>
        <v>11</v>
      </c>
      <c r="DY6" s="34" t="n">
        <f aca="false">ROUNDUP(124/12,0)</f>
        <v>11</v>
      </c>
      <c r="DZ6" s="34" t="n">
        <f aca="false">ROUNDUP(125/12,0)</f>
        <v>11</v>
      </c>
      <c r="EA6" s="34" t="n">
        <f aca="false">ROUNDUP(126/12,0)</f>
        <v>11</v>
      </c>
      <c r="EB6" s="34" t="n">
        <f aca="false">ROUNDUP(127/12,0)</f>
        <v>11</v>
      </c>
      <c r="EC6" s="34" t="n">
        <f aca="false">ROUNDUP(128/12,0)</f>
        <v>11</v>
      </c>
      <c r="ED6" s="34" t="n">
        <f aca="false">ROUNDUP(129/12,0)</f>
        <v>11</v>
      </c>
      <c r="EE6" s="34" t="n">
        <f aca="false">ROUNDUP(130/12,0)</f>
        <v>11</v>
      </c>
      <c r="EF6" s="34" t="n">
        <f aca="false">ROUNDUP(131/12,0)</f>
        <v>11</v>
      </c>
      <c r="EG6" s="34" t="n">
        <f aca="false">ROUNDUP(132/12,0)</f>
        <v>11</v>
      </c>
      <c r="EH6" s="34" t="n">
        <f aca="false">ROUNDUP(133/12,0)</f>
        <v>12</v>
      </c>
      <c r="EI6" s="34" t="n">
        <f aca="false">ROUNDUP(134/12,0)</f>
        <v>12</v>
      </c>
      <c r="EJ6" s="34" t="n">
        <f aca="false">ROUNDUP(135/12,0)</f>
        <v>12</v>
      </c>
      <c r="EK6" s="34" t="n">
        <f aca="false">ROUNDUP(136/12,0)</f>
        <v>12</v>
      </c>
      <c r="EL6" s="34" t="n">
        <f aca="false">ROUNDUP(137/12,0)</f>
        <v>12</v>
      </c>
      <c r="EM6" s="34" t="n">
        <f aca="false">ROUNDUP(138/12,0)</f>
        <v>12</v>
      </c>
      <c r="EN6" s="34" t="n">
        <f aca="false">ROUNDUP(139/12,0)</f>
        <v>12</v>
      </c>
      <c r="EO6" s="34" t="n">
        <f aca="false">ROUNDUP(140/12,0)</f>
        <v>12</v>
      </c>
      <c r="EP6" s="34" t="n">
        <f aca="false">ROUNDUP(141/12,0)</f>
        <v>12</v>
      </c>
      <c r="EQ6" s="34" t="n">
        <f aca="false">ROUNDUP(142/12,0)</f>
        <v>12</v>
      </c>
      <c r="ER6" s="34" t="n">
        <f aca="false">ROUNDUP(143/12,0)</f>
        <v>12</v>
      </c>
      <c r="ES6" s="34" t="n">
        <f aca="false">ROUNDUP(144/12,0)</f>
        <v>12</v>
      </c>
    </row>
    <row r="7" customFormat="false" ht="15" hidden="false" customHeight="false" outlineLevel="0" collapsed="false">
      <c r="A7" s="11" t="s">
        <v>359</v>
      </c>
      <c r="B7" s="20" t="s">
        <v>1043</v>
      </c>
      <c r="F7" s="34" t="n">
        <f aca="false">MOD(1-1,12)+1</f>
        <v>1</v>
      </c>
      <c r="G7" s="34" t="n">
        <f aca="false">MOD(2-1,12)+1</f>
        <v>2</v>
      </c>
      <c r="H7" s="34" t="n">
        <f aca="false">MOD(3-1,12)+1</f>
        <v>3</v>
      </c>
      <c r="I7" s="34" t="n">
        <f aca="false">MOD(4-1,12)+1</f>
        <v>4</v>
      </c>
      <c r="J7" s="34" t="n">
        <f aca="false">MOD(5-1,12)+1</f>
        <v>5</v>
      </c>
      <c r="K7" s="34" t="n">
        <f aca="false">MOD(6-1,12)+1</f>
        <v>6</v>
      </c>
      <c r="L7" s="34" t="n">
        <f aca="false">MOD(7-1,12)+1</f>
        <v>7</v>
      </c>
      <c r="M7" s="34" t="n">
        <f aca="false">MOD(8-1,12)+1</f>
        <v>8</v>
      </c>
      <c r="N7" s="34" t="n">
        <f aca="false">MOD(9-1,12)+1</f>
        <v>9</v>
      </c>
      <c r="O7" s="34" t="n">
        <f aca="false">MOD(10-1,12)+1</f>
        <v>10</v>
      </c>
      <c r="P7" s="34" t="n">
        <f aca="false">MOD(11-1,12)+1</f>
        <v>11</v>
      </c>
      <c r="Q7" s="34" t="n">
        <f aca="false">MOD(12-1,12)+1</f>
        <v>12</v>
      </c>
      <c r="R7" s="34" t="n">
        <f aca="false">MOD(13-1,12)+1</f>
        <v>1</v>
      </c>
      <c r="S7" s="34" t="n">
        <f aca="false">MOD(14-1,12)+1</f>
        <v>2</v>
      </c>
      <c r="T7" s="34" t="n">
        <f aca="false">MOD(15-1,12)+1</f>
        <v>3</v>
      </c>
      <c r="U7" s="34" t="n">
        <f aca="false">MOD(16-1,12)+1</f>
        <v>4</v>
      </c>
      <c r="V7" s="34" t="n">
        <f aca="false">MOD(17-1,12)+1</f>
        <v>5</v>
      </c>
      <c r="W7" s="34" t="n">
        <f aca="false">MOD(18-1,12)+1</f>
        <v>6</v>
      </c>
      <c r="X7" s="34" t="n">
        <f aca="false">MOD(19-1,12)+1</f>
        <v>7</v>
      </c>
      <c r="Y7" s="34" t="n">
        <f aca="false">MOD(20-1,12)+1</f>
        <v>8</v>
      </c>
      <c r="Z7" s="34" t="n">
        <f aca="false">MOD(21-1,12)+1</f>
        <v>9</v>
      </c>
      <c r="AA7" s="34" t="n">
        <f aca="false">MOD(22-1,12)+1</f>
        <v>10</v>
      </c>
      <c r="AB7" s="34" t="n">
        <f aca="false">MOD(23-1,12)+1</f>
        <v>11</v>
      </c>
      <c r="AC7" s="34" t="n">
        <f aca="false">MOD(24-1,12)+1</f>
        <v>12</v>
      </c>
      <c r="AD7" s="34" t="n">
        <f aca="false">MOD(25-1,12)+1</f>
        <v>1</v>
      </c>
      <c r="AE7" s="34" t="n">
        <f aca="false">MOD(26-1,12)+1</f>
        <v>2</v>
      </c>
      <c r="AF7" s="34" t="n">
        <f aca="false">MOD(27-1,12)+1</f>
        <v>3</v>
      </c>
      <c r="AG7" s="34" t="n">
        <f aca="false">MOD(28-1,12)+1</f>
        <v>4</v>
      </c>
      <c r="AH7" s="34" t="n">
        <f aca="false">MOD(29-1,12)+1</f>
        <v>5</v>
      </c>
      <c r="AI7" s="34" t="n">
        <f aca="false">MOD(30-1,12)+1</f>
        <v>6</v>
      </c>
      <c r="AJ7" s="34" t="n">
        <f aca="false">MOD(31-1,12)+1</f>
        <v>7</v>
      </c>
      <c r="AK7" s="34" t="n">
        <f aca="false">MOD(32-1,12)+1</f>
        <v>8</v>
      </c>
      <c r="AL7" s="34" t="n">
        <f aca="false">MOD(33-1,12)+1</f>
        <v>9</v>
      </c>
      <c r="AM7" s="34" t="n">
        <f aca="false">MOD(34-1,12)+1</f>
        <v>10</v>
      </c>
      <c r="AN7" s="34" t="n">
        <f aca="false">MOD(35-1,12)+1</f>
        <v>11</v>
      </c>
      <c r="AO7" s="34" t="n">
        <f aca="false">MOD(36-1,12)+1</f>
        <v>12</v>
      </c>
      <c r="AP7" s="34" t="n">
        <f aca="false">MOD(37-1,12)+1</f>
        <v>1</v>
      </c>
      <c r="AQ7" s="34" t="n">
        <f aca="false">MOD(38-1,12)+1</f>
        <v>2</v>
      </c>
      <c r="AR7" s="34" t="n">
        <f aca="false">MOD(39-1,12)+1</f>
        <v>3</v>
      </c>
      <c r="AS7" s="34" t="n">
        <f aca="false">MOD(40-1,12)+1</f>
        <v>4</v>
      </c>
      <c r="AT7" s="34" t="n">
        <f aca="false">MOD(41-1,12)+1</f>
        <v>5</v>
      </c>
      <c r="AU7" s="34" t="n">
        <f aca="false">MOD(42-1,12)+1</f>
        <v>6</v>
      </c>
      <c r="AV7" s="34" t="n">
        <f aca="false">MOD(43-1,12)+1</f>
        <v>7</v>
      </c>
      <c r="AW7" s="34" t="n">
        <f aca="false">MOD(44-1,12)+1</f>
        <v>8</v>
      </c>
      <c r="AX7" s="34" t="n">
        <f aca="false">MOD(45-1,12)+1</f>
        <v>9</v>
      </c>
      <c r="AY7" s="34" t="n">
        <f aca="false">MOD(46-1,12)+1</f>
        <v>10</v>
      </c>
      <c r="AZ7" s="34" t="n">
        <f aca="false">MOD(47-1,12)+1</f>
        <v>11</v>
      </c>
      <c r="BA7" s="34" t="n">
        <f aca="false">MOD(48-1,12)+1</f>
        <v>12</v>
      </c>
      <c r="BB7" s="34" t="n">
        <f aca="false">MOD(49-1,12)+1</f>
        <v>1</v>
      </c>
      <c r="BC7" s="34" t="n">
        <f aca="false">MOD(50-1,12)+1</f>
        <v>2</v>
      </c>
      <c r="BD7" s="34" t="n">
        <f aca="false">MOD(51-1,12)+1</f>
        <v>3</v>
      </c>
      <c r="BE7" s="34" t="n">
        <f aca="false">MOD(52-1,12)+1</f>
        <v>4</v>
      </c>
      <c r="BF7" s="34" t="n">
        <f aca="false">MOD(53-1,12)+1</f>
        <v>5</v>
      </c>
      <c r="BG7" s="34" t="n">
        <f aca="false">MOD(54-1,12)+1</f>
        <v>6</v>
      </c>
      <c r="BH7" s="34" t="n">
        <f aca="false">MOD(55-1,12)+1</f>
        <v>7</v>
      </c>
      <c r="BI7" s="34" t="n">
        <f aca="false">MOD(56-1,12)+1</f>
        <v>8</v>
      </c>
      <c r="BJ7" s="34" t="n">
        <f aca="false">MOD(57-1,12)+1</f>
        <v>9</v>
      </c>
      <c r="BK7" s="34" t="n">
        <f aca="false">MOD(58-1,12)+1</f>
        <v>10</v>
      </c>
      <c r="BL7" s="34" t="n">
        <f aca="false">MOD(59-1,12)+1</f>
        <v>11</v>
      </c>
      <c r="BM7" s="34" t="n">
        <f aca="false">MOD(60-1,12)+1</f>
        <v>12</v>
      </c>
      <c r="BN7" s="34" t="n">
        <f aca="false">MOD(61-1,12)+1</f>
        <v>1</v>
      </c>
      <c r="BO7" s="34" t="n">
        <f aca="false">MOD(62-1,12)+1</f>
        <v>2</v>
      </c>
      <c r="BP7" s="34" t="n">
        <f aca="false">MOD(63-1,12)+1</f>
        <v>3</v>
      </c>
      <c r="BQ7" s="34" t="n">
        <f aca="false">MOD(64-1,12)+1</f>
        <v>4</v>
      </c>
      <c r="BR7" s="34" t="n">
        <f aca="false">MOD(65-1,12)+1</f>
        <v>5</v>
      </c>
      <c r="BS7" s="34" t="n">
        <f aca="false">MOD(66-1,12)+1</f>
        <v>6</v>
      </c>
      <c r="BT7" s="34" t="n">
        <f aca="false">MOD(67-1,12)+1</f>
        <v>7</v>
      </c>
      <c r="BU7" s="34" t="n">
        <f aca="false">MOD(68-1,12)+1</f>
        <v>8</v>
      </c>
      <c r="BV7" s="34" t="n">
        <f aca="false">MOD(69-1,12)+1</f>
        <v>9</v>
      </c>
      <c r="BW7" s="34" t="n">
        <f aca="false">MOD(70-1,12)+1</f>
        <v>10</v>
      </c>
      <c r="BX7" s="34" t="n">
        <f aca="false">MOD(71-1,12)+1</f>
        <v>11</v>
      </c>
      <c r="BY7" s="34" t="n">
        <f aca="false">MOD(72-1,12)+1</f>
        <v>12</v>
      </c>
      <c r="BZ7" s="34" t="n">
        <f aca="false">MOD(73-1,12)+1</f>
        <v>1</v>
      </c>
      <c r="CA7" s="34" t="n">
        <f aca="false">MOD(74-1,12)+1</f>
        <v>2</v>
      </c>
      <c r="CB7" s="34" t="n">
        <f aca="false">MOD(75-1,12)+1</f>
        <v>3</v>
      </c>
      <c r="CC7" s="34" t="n">
        <f aca="false">MOD(76-1,12)+1</f>
        <v>4</v>
      </c>
      <c r="CD7" s="34" t="n">
        <f aca="false">MOD(77-1,12)+1</f>
        <v>5</v>
      </c>
      <c r="CE7" s="34" t="n">
        <f aca="false">MOD(78-1,12)+1</f>
        <v>6</v>
      </c>
      <c r="CF7" s="34" t="n">
        <f aca="false">MOD(79-1,12)+1</f>
        <v>7</v>
      </c>
      <c r="CG7" s="34" t="n">
        <f aca="false">MOD(80-1,12)+1</f>
        <v>8</v>
      </c>
      <c r="CH7" s="34" t="n">
        <f aca="false">MOD(81-1,12)+1</f>
        <v>9</v>
      </c>
      <c r="CI7" s="34" t="n">
        <f aca="false">MOD(82-1,12)+1</f>
        <v>10</v>
      </c>
      <c r="CJ7" s="34" t="n">
        <f aca="false">MOD(83-1,12)+1</f>
        <v>11</v>
      </c>
      <c r="CK7" s="34" t="n">
        <f aca="false">MOD(84-1,12)+1</f>
        <v>12</v>
      </c>
      <c r="CL7" s="34" t="n">
        <f aca="false">MOD(85-1,12)+1</f>
        <v>1</v>
      </c>
      <c r="CM7" s="34" t="n">
        <f aca="false">MOD(86-1,12)+1</f>
        <v>2</v>
      </c>
      <c r="CN7" s="34" t="n">
        <f aca="false">MOD(87-1,12)+1</f>
        <v>3</v>
      </c>
      <c r="CO7" s="34" t="n">
        <f aca="false">MOD(88-1,12)+1</f>
        <v>4</v>
      </c>
      <c r="CP7" s="34" t="n">
        <f aca="false">MOD(89-1,12)+1</f>
        <v>5</v>
      </c>
      <c r="CQ7" s="34" t="n">
        <f aca="false">MOD(90-1,12)+1</f>
        <v>6</v>
      </c>
      <c r="CR7" s="34" t="n">
        <f aca="false">MOD(91-1,12)+1</f>
        <v>7</v>
      </c>
      <c r="CS7" s="34" t="n">
        <f aca="false">MOD(92-1,12)+1</f>
        <v>8</v>
      </c>
      <c r="CT7" s="34" t="n">
        <f aca="false">MOD(93-1,12)+1</f>
        <v>9</v>
      </c>
      <c r="CU7" s="34" t="n">
        <f aca="false">MOD(94-1,12)+1</f>
        <v>10</v>
      </c>
      <c r="CV7" s="34" t="n">
        <f aca="false">MOD(95-1,12)+1</f>
        <v>11</v>
      </c>
      <c r="CW7" s="34" t="n">
        <f aca="false">MOD(96-1,12)+1</f>
        <v>12</v>
      </c>
      <c r="CX7" s="34" t="n">
        <f aca="false">MOD(97-1,12)+1</f>
        <v>1</v>
      </c>
      <c r="CY7" s="34" t="n">
        <f aca="false">MOD(98-1,12)+1</f>
        <v>2</v>
      </c>
      <c r="CZ7" s="34" t="n">
        <f aca="false">MOD(99-1,12)+1</f>
        <v>3</v>
      </c>
      <c r="DA7" s="34" t="n">
        <f aca="false">MOD(100-1,12)+1</f>
        <v>4</v>
      </c>
      <c r="DB7" s="34" t="n">
        <f aca="false">MOD(101-1,12)+1</f>
        <v>5</v>
      </c>
      <c r="DC7" s="34" t="n">
        <f aca="false">MOD(102-1,12)+1</f>
        <v>6</v>
      </c>
      <c r="DD7" s="34" t="n">
        <f aca="false">MOD(103-1,12)+1</f>
        <v>7</v>
      </c>
      <c r="DE7" s="34" t="n">
        <f aca="false">MOD(104-1,12)+1</f>
        <v>8</v>
      </c>
      <c r="DF7" s="34" t="n">
        <f aca="false">MOD(105-1,12)+1</f>
        <v>9</v>
      </c>
      <c r="DG7" s="34" t="n">
        <f aca="false">MOD(106-1,12)+1</f>
        <v>10</v>
      </c>
      <c r="DH7" s="34" t="n">
        <f aca="false">MOD(107-1,12)+1</f>
        <v>11</v>
      </c>
      <c r="DI7" s="34" t="n">
        <f aca="false">MOD(108-1,12)+1</f>
        <v>12</v>
      </c>
      <c r="DJ7" s="34" t="n">
        <f aca="false">MOD(109-1,12)+1</f>
        <v>1</v>
      </c>
      <c r="DK7" s="34" t="n">
        <f aca="false">MOD(110-1,12)+1</f>
        <v>2</v>
      </c>
      <c r="DL7" s="34" t="n">
        <f aca="false">MOD(111-1,12)+1</f>
        <v>3</v>
      </c>
      <c r="DM7" s="34" t="n">
        <f aca="false">MOD(112-1,12)+1</f>
        <v>4</v>
      </c>
      <c r="DN7" s="34" t="n">
        <f aca="false">MOD(113-1,12)+1</f>
        <v>5</v>
      </c>
      <c r="DO7" s="34" t="n">
        <f aca="false">MOD(114-1,12)+1</f>
        <v>6</v>
      </c>
      <c r="DP7" s="34" t="n">
        <f aca="false">MOD(115-1,12)+1</f>
        <v>7</v>
      </c>
      <c r="DQ7" s="34" t="n">
        <f aca="false">MOD(116-1,12)+1</f>
        <v>8</v>
      </c>
      <c r="DR7" s="34" t="n">
        <f aca="false">MOD(117-1,12)+1</f>
        <v>9</v>
      </c>
      <c r="DS7" s="34" t="n">
        <f aca="false">MOD(118-1,12)+1</f>
        <v>10</v>
      </c>
      <c r="DT7" s="34" t="n">
        <f aca="false">MOD(119-1,12)+1</f>
        <v>11</v>
      </c>
      <c r="DU7" s="34" t="n">
        <f aca="false">MOD(120-1,12)+1</f>
        <v>12</v>
      </c>
      <c r="DV7" s="34" t="n">
        <f aca="false">MOD(121-1,12)+1</f>
        <v>1</v>
      </c>
      <c r="DW7" s="34" t="n">
        <f aca="false">MOD(122-1,12)+1</f>
        <v>2</v>
      </c>
      <c r="DX7" s="34" t="n">
        <f aca="false">MOD(123-1,12)+1</f>
        <v>3</v>
      </c>
      <c r="DY7" s="34" t="n">
        <f aca="false">MOD(124-1,12)+1</f>
        <v>4</v>
      </c>
      <c r="DZ7" s="34" t="n">
        <f aca="false">MOD(125-1,12)+1</f>
        <v>5</v>
      </c>
      <c r="EA7" s="34" t="n">
        <f aca="false">MOD(126-1,12)+1</f>
        <v>6</v>
      </c>
      <c r="EB7" s="34" t="n">
        <f aca="false">MOD(127-1,12)+1</f>
        <v>7</v>
      </c>
      <c r="EC7" s="34" t="n">
        <f aca="false">MOD(128-1,12)+1</f>
        <v>8</v>
      </c>
      <c r="ED7" s="34" t="n">
        <f aca="false">MOD(129-1,12)+1</f>
        <v>9</v>
      </c>
      <c r="EE7" s="34" t="n">
        <f aca="false">MOD(130-1,12)+1</f>
        <v>10</v>
      </c>
      <c r="EF7" s="34" t="n">
        <f aca="false">MOD(131-1,12)+1</f>
        <v>11</v>
      </c>
      <c r="EG7" s="34" t="n">
        <f aca="false">MOD(132-1,12)+1</f>
        <v>12</v>
      </c>
      <c r="EH7" s="34" t="n">
        <f aca="false">MOD(133-1,12)+1</f>
        <v>1</v>
      </c>
      <c r="EI7" s="34" t="n">
        <f aca="false">MOD(134-1,12)+1</f>
        <v>2</v>
      </c>
      <c r="EJ7" s="34" t="n">
        <f aca="false">MOD(135-1,12)+1</f>
        <v>3</v>
      </c>
      <c r="EK7" s="34" t="n">
        <f aca="false">MOD(136-1,12)+1</f>
        <v>4</v>
      </c>
      <c r="EL7" s="34" t="n">
        <f aca="false">MOD(137-1,12)+1</f>
        <v>5</v>
      </c>
      <c r="EM7" s="34" t="n">
        <f aca="false">MOD(138-1,12)+1</f>
        <v>6</v>
      </c>
      <c r="EN7" s="34" t="n">
        <f aca="false">MOD(139-1,12)+1</f>
        <v>7</v>
      </c>
      <c r="EO7" s="34" t="n">
        <f aca="false">MOD(140-1,12)+1</f>
        <v>8</v>
      </c>
      <c r="EP7" s="34" t="n">
        <f aca="false">MOD(141-1,12)+1</f>
        <v>9</v>
      </c>
      <c r="EQ7" s="34" t="n">
        <f aca="false">MOD(142-1,12)+1</f>
        <v>10</v>
      </c>
      <c r="ER7" s="34" t="n">
        <f aca="false">MOD(143-1,12)+1</f>
        <v>11</v>
      </c>
      <c r="ES7" s="34" t="n">
        <f aca="false">MOD(144-1,12)+1</f>
        <v>12</v>
      </c>
    </row>
    <row r="8" customFormat="false" ht="15" hidden="false" customHeight="false" outlineLevel="0" collapsed="false">
      <c r="A8" s="11" t="s">
        <v>1044</v>
      </c>
      <c r="B8" s="20" t="s">
        <v>1045</v>
      </c>
      <c r="F8" s="34" t="n">
        <f aca="false">IF(1&lt;=Corte,1,0)</f>
        <v>0</v>
      </c>
      <c r="G8" s="34" t="n">
        <f aca="false">IF(2&lt;=Corte,1,0)</f>
        <v>0</v>
      </c>
      <c r="H8" s="34" t="n">
        <f aca="false">IF(3&lt;=Corte,1,0)</f>
        <v>0</v>
      </c>
      <c r="I8" s="34" t="n">
        <f aca="false">IF(4&lt;=Corte,1,0)</f>
        <v>0</v>
      </c>
      <c r="J8" s="34" t="n">
        <f aca="false">IF(5&lt;=Corte,1,0)</f>
        <v>0</v>
      </c>
      <c r="K8" s="34" t="n">
        <f aca="false">IF(6&lt;=Corte,1,0)</f>
        <v>0</v>
      </c>
      <c r="L8" s="34" t="n">
        <f aca="false">IF(7&lt;=Corte,1,0)</f>
        <v>0</v>
      </c>
      <c r="M8" s="34" t="n">
        <f aca="false">IF(8&lt;=Corte,1,0)</f>
        <v>0</v>
      </c>
      <c r="N8" s="34" t="n">
        <f aca="false">IF(9&lt;=Corte,1,0)</f>
        <v>0</v>
      </c>
      <c r="O8" s="34" t="n">
        <f aca="false">IF(10&lt;=Corte,1,0)</f>
        <v>0</v>
      </c>
      <c r="P8" s="34" t="n">
        <f aca="false">IF(11&lt;=Corte,1,0)</f>
        <v>0</v>
      </c>
      <c r="Q8" s="34" t="n">
        <f aca="false">IF(12&lt;=Corte,1,0)</f>
        <v>0</v>
      </c>
      <c r="R8" s="34" t="n">
        <f aca="false">IF(13&lt;=Corte,1,0)</f>
        <v>0</v>
      </c>
      <c r="S8" s="34" t="n">
        <f aca="false">IF(14&lt;=Corte,1,0)</f>
        <v>0</v>
      </c>
      <c r="T8" s="34" t="n">
        <f aca="false">IF(15&lt;=Corte,1,0)</f>
        <v>0</v>
      </c>
      <c r="U8" s="34" t="n">
        <f aca="false">IF(16&lt;=Corte,1,0)</f>
        <v>0</v>
      </c>
      <c r="V8" s="34" t="n">
        <f aca="false">IF(17&lt;=Corte,1,0)</f>
        <v>0</v>
      </c>
      <c r="W8" s="34" t="n">
        <f aca="false">IF(18&lt;=Corte,1,0)</f>
        <v>0</v>
      </c>
      <c r="X8" s="34" t="n">
        <f aca="false">IF(19&lt;=Corte,1,0)</f>
        <v>0</v>
      </c>
      <c r="Y8" s="34" t="n">
        <f aca="false">IF(20&lt;=Corte,1,0)</f>
        <v>0</v>
      </c>
      <c r="Z8" s="34" t="n">
        <f aca="false">IF(21&lt;=Corte,1,0)</f>
        <v>0</v>
      </c>
      <c r="AA8" s="34" t="n">
        <f aca="false">IF(22&lt;=Corte,1,0)</f>
        <v>0</v>
      </c>
      <c r="AB8" s="34" t="n">
        <f aca="false">IF(23&lt;=Corte,1,0)</f>
        <v>0</v>
      </c>
      <c r="AC8" s="34" t="n">
        <f aca="false">IF(24&lt;=Corte,1,0)</f>
        <v>0</v>
      </c>
      <c r="AD8" s="34" t="n">
        <f aca="false">IF(25&lt;=Corte,1,0)</f>
        <v>0</v>
      </c>
      <c r="AE8" s="34" t="n">
        <f aca="false">IF(26&lt;=Corte,1,0)</f>
        <v>0</v>
      </c>
      <c r="AF8" s="34" t="n">
        <f aca="false">IF(27&lt;=Corte,1,0)</f>
        <v>0</v>
      </c>
      <c r="AG8" s="34" t="n">
        <f aca="false">IF(28&lt;=Corte,1,0)</f>
        <v>0</v>
      </c>
      <c r="AH8" s="34" t="n">
        <f aca="false">IF(29&lt;=Corte,1,0)</f>
        <v>0</v>
      </c>
      <c r="AI8" s="34" t="n">
        <f aca="false">IF(30&lt;=Corte,1,0)</f>
        <v>0</v>
      </c>
      <c r="AJ8" s="34" t="n">
        <f aca="false">IF(31&lt;=Corte,1,0)</f>
        <v>0</v>
      </c>
      <c r="AK8" s="34" t="n">
        <f aca="false">IF(32&lt;=Corte,1,0)</f>
        <v>0</v>
      </c>
      <c r="AL8" s="34" t="n">
        <f aca="false">IF(33&lt;=Corte,1,0)</f>
        <v>0</v>
      </c>
      <c r="AM8" s="34" t="n">
        <f aca="false">IF(34&lt;=Corte,1,0)</f>
        <v>0</v>
      </c>
      <c r="AN8" s="34" t="n">
        <f aca="false">IF(35&lt;=Corte,1,0)</f>
        <v>0</v>
      </c>
      <c r="AO8" s="34" t="n">
        <f aca="false">IF(36&lt;=Corte,1,0)</f>
        <v>0</v>
      </c>
      <c r="AP8" s="34" t="n">
        <f aca="false">IF(37&lt;=Corte,1,0)</f>
        <v>0</v>
      </c>
      <c r="AQ8" s="34" t="n">
        <f aca="false">IF(38&lt;=Corte,1,0)</f>
        <v>0</v>
      </c>
      <c r="AR8" s="34" t="n">
        <f aca="false">IF(39&lt;=Corte,1,0)</f>
        <v>0</v>
      </c>
      <c r="AS8" s="34" t="n">
        <f aca="false">IF(40&lt;=Corte,1,0)</f>
        <v>0</v>
      </c>
      <c r="AT8" s="34" t="n">
        <f aca="false">IF(41&lt;=Corte,1,0)</f>
        <v>0</v>
      </c>
      <c r="AU8" s="34" t="n">
        <f aca="false">IF(42&lt;=Corte,1,0)</f>
        <v>0</v>
      </c>
      <c r="AV8" s="34" t="n">
        <f aca="false">IF(43&lt;=Corte,1,0)</f>
        <v>0</v>
      </c>
      <c r="AW8" s="34" t="n">
        <f aca="false">IF(44&lt;=Corte,1,0)</f>
        <v>0</v>
      </c>
      <c r="AX8" s="34" t="n">
        <f aca="false">IF(45&lt;=Corte,1,0)</f>
        <v>0</v>
      </c>
      <c r="AY8" s="34" t="n">
        <f aca="false">IF(46&lt;=Corte,1,0)</f>
        <v>0</v>
      </c>
      <c r="AZ8" s="34" t="n">
        <f aca="false">IF(47&lt;=Corte,1,0)</f>
        <v>0</v>
      </c>
      <c r="BA8" s="34" t="n">
        <f aca="false">IF(48&lt;=Corte,1,0)</f>
        <v>0</v>
      </c>
      <c r="BB8" s="34" t="n">
        <f aca="false">IF(49&lt;=Corte,1,0)</f>
        <v>0</v>
      </c>
      <c r="BC8" s="34" t="n">
        <f aca="false">IF(50&lt;=Corte,1,0)</f>
        <v>0</v>
      </c>
      <c r="BD8" s="34" t="n">
        <f aca="false">IF(51&lt;=Corte,1,0)</f>
        <v>0</v>
      </c>
      <c r="BE8" s="34" t="n">
        <f aca="false">IF(52&lt;=Corte,1,0)</f>
        <v>0</v>
      </c>
      <c r="BF8" s="34" t="n">
        <f aca="false">IF(53&lt;=Corte,1,0)</f>
        <v>0</v>
      </c>
      <c r="BG8" s="34" t="n">
        <f aca="false">IF(54&lt;=Corte,1,0)</f>
        <v>0</v>
      </c>
      <c r="BH8" s="34" t="n">
        <f aca="false">IF(55&lt;=Corte,1,0)</f>
        <v>0</v>
      </c>
      <c r="BI8" s="34" t="n">
        <f aca="false">IF(56&lt;=Corte,1,0)</f>
        <v>0</v>
      </c>
      <c r="BJ8" s="34" t="n">
        <f aca="false">IF(57&lt;=Corte,1,0)</f>
        <v>0</v>
      </c>
      <c r="BK8" s="34" t="n">
        <f aca="false">IF(58&lt;=Corte,1,0)</f>
        <v>0</v>
      </c>
      <c r="BL8" s="34" t="n">
        <f aca="false">IF(59&lt;=Corte,1,0)</f>
        <v>0</v>
      </c>
      <c r="BM8" s="34" t="n">
        <f aca="false">IF(60&lt;=Corte,1,0)</f>
        <v>0</v>
      </c>
      <c r="BN8" s="34" t="n">
        <f aca="false">IF(61&lt;=Corte,1,0)</f>
        <v>0</v>
      </c>
      <c r="BO8" s="34" t="n">
        <f aca="false">IF(62&lt;=Corte,1,0)</f>
        <v>0</v>
      </c>
      <c r="BP8" s="34" t="n">
        <f aca="false">IF(63&lt;=Corte,1,0)</f>
        <v>0</v>
      </c>
      <c r="BQ8" s="34" t="n">
        <f aca="false">IF(64&lt;=Corte,1,0)</f>
        <v>0</v>
      </c>
      <c r="BR8" s="34" t="n">
        <f aca="false">IF(65&lt;=Corte,1,0)</f>
        <v>0</v>
      </c>
      <c r="BS8" s="34" t="n">
        <f aca="false">IF(66&lt;=Corte,1,0)</f>
        <v>0</v>
      </c>
      <c r="BT8" s="34" t="n">
        <f aca="false">IF(67&lt;=Corte,1,0)</f>
        <v>0</v>
      </c>
      <c r="BU8" s="34" t="n">
        <f aca="false">IF(68&lt;=Corte,1,0)</f>
        <v>0</v>
      </c>
      <c r="BV8" s="34" t="n">
        <f aca="false">IF(69&lt;=Corte,1,0)</f>
        <v>0</v>
      </c>
      <c r="BW8" s="34" t="n">
        <f aca="false">IF(70&lt;=Corte,1,0)</f>
        <v>0</v>
      </c>
      <c r="BX8" s="34" t="n">
        <f aca="false">IF(71&lt;=Corte,1,0)</f>
        <v>0</v>
      </c>
      <c r="BY8" s="34" t="n">
        <f aca="false">IF(72&lt;=Corte,1,0)</f>
        <v>0</v>
      </c>
      <c r="BZ8" s="34" t="n">
        <f aca="false">IF(73&lt;=Corte,1,0)</f>
        <v>0</v>
      </c>
      <c r="CA8" s="34" t="n">
        <f aca="false">IF(74&lt;=Corte,1,0)</f>
        <v>0</v>
      </c>
      <c r="CB8" s="34" t="n">
        <f aca="false">IF(75&lt;=Corte,1,0)</f>
        <v>0</v>
      </c>
      <c r="CC8" s="34" t="n">
        <f aca="false">IF(76&lt;=Corte,1,0)</f>
        <v>0</v>
      </c>
      <c r="CD8" s="34" t="n">
        <f aca="false">IF(77&lt;=Corte,1,0)</f>
        <v>0</v>
      </c>
      <c r="CE8" s="34" t="n">
        <f aca="false">IF(78&lt;=Corte,1,0)</f>
        <v>0</v>
      </c>
      <c r="CF8" s="34" t="n">
        <f aca="false">IF(79&lt;=Corte,1,0)</f>
        <v>0</v>
      </c>
      <c r="CG8" s="34" t="n">
        <f aca="false">IF(80&lt;=Corte,1,0)</f>
        <v>0</v>
      </c>
      <c r="CH8" s="34" t="n">
        <f aca="false">IF(81&lt;=Corte,1,0)</f>
        <v>0</v>
      </c>
      <c r="CI8" s="34" t="n">
        <f aca="false">IF(82&lt;=Corte,1,0)</f>
        <v>0</v>
      </c>
      <c r="CJ8" s="34" t="n">
        <f aca="false">IF(83&lt;=Corte,1,0)</f>
        <v>0</v>
      </c>
      <c r="CK8" s="34" t="n">
        <f aca="false">IF(84&lt;=Corte,1,0)</f>
        <v>0</v>
      </c>
      <c r="CL8" s="34" t="n">
        <f aca="false">IF(85&lt;=Corte,1,0)</f>
        <v>0</v>
      </c>
      <c r="CM8" s="34" t="n">
        <f aca="false">IF(86&lt;=Corte,1,0)</f>
        <v>0</v>
      </c>
      <c r="CN8" s="34" t="n">
        <f aca="false">IF(87&lt;=Corte,1,0)</f>
        <v>0</v>
      </c>
      <c r="CO8" s="34" t="n">
        <f aca="false">IF(88&lt;=Corte,1,0)</f>
        <v>0</v>
      </c>
      <c r="CP8" s="34" t="n">
        <f aca="false">IF(89&lt;=Corte,1,0)</f>
        <v>0</v>
      </c>
      <c r="CQ8" s="34" t="n">
        <f aca="false">IF(90&lt;=Corte,1,0)</f>
        <v>0</v>
      </c>
      <c r="CR8" s="34" t="n">
        <f aca="false">IF(91&lt;=Corte,1,0)</f>
        <v>0</v>
      </c>
      <c r="CS8" s="34" t="n">
        <f aca="false">IF(92&lt;=Corte,1,0)</f>
        <v>0</v>
      </c>
      <c r="CT8" s="34" t="n">
        <f aca="false">IF(93&lt;=Corte,1,0)</f>
        <v>0</v>
      </c>
      <c r="CU8" s="34" t="n">
        <f aca="false">IF(94&lt;=Corte,1,0)</f>
        <v>0</v>
      </c>
      <c r="CV8" s="34" t="n">
        <f aca="false">IF(95&lt;=Corte,1,0)</f>
        <v>0</v>
      </c>
      <c r="CW8" s="34" t="n">
        <f aca="false">IF(96&lt;=Corte,1,0)</f>
        <v>0</v>
      </c>
      <c r="CX8" s="34" t="n">
        <f aca="false">IF(97&lt;=Corte,1,0)</f>
        <v>0</v>
      </c>
      <c r="CY8" s="34" t="n">
        <f aca="false">IF(98&lt;=Corte,1,0)</f>
        <v>0</v>
      </c>
      <c r="CZ8" s="34" t="n">
        <f aca="false">IF(99&lt;=Corte,1,0)</f>
        <v>0</v>
      </c>
      <c r="DA8" s="34" t="n">
        <f aca="false">IF(100&lt;=Corte,1,0)</f>
        <v>0</v>
      </c>
      <c r="DB8" s="34" t="n">
        <f aca="false">IF(101&lt;=Corte,1,0)</f>
        <v>0</v>
      </c>
      <c r="DC8" s="34" t="n">
        <f aca="false">IF(102&lt;=Corte,1,0)</f>
        <v>0</v>
      </c>
      <c r="DD8" s="34" t="n">
        <f aca="false">IF(103&lt;=Corte,1,0)</f>
        <v>0</v>
      </c>
      <c r="DE8" s="34" t="n">
        <f aca="false">IF(104&lt;=Corte,1,0)</f>
        <v>0</v>
      </c>
      <c r="DF8" s="34" t="n">
        <f aca="false">IF(105&lt;=Corte,1,0)</f>
        <v>0</v>
      </c>
      <c r="DG8" s="34" t="n">
        <f aca="false">IF(106&lt;=Corte,1,0)</f>
        <v>0</v>
      </c>
      <c r="DH8" s="34" t="n">
        <f aca="false">IF(107&lt;=Corte,1,0)</f>
        <v>0</v>
      </c>
      <c r="DI8" s="34" t="n">
        <f aca="false">IF(108&lt;=Corte,1,0)</f>
        <v>0</v>
      </c>
      <c r="DJ8" s="34" t="n">
        <f aca="false">IF(109&lt;=Corte,1,0)</f>
        <v>0</v>
      </c>
      <c r="DK8" s="34" t="n">
        <f aca="false">IF(110&lt;=Corte,1,0)</f>
        <v>0</v>
      </c>
      <c r="DL8" s="34" t="n">
        <f aca="false">IF(111&lt;=Corte,1,0)</f>
        <v>0</v>
      </c>
      <c r="DM8" s="34" t="n">
        <f aca="false">IF(112&lt;=Corte,1,0)</f>
        <v>0</v>
      </c>
      <c r="DN8" s="34" t="n">
        <f aca="false">IF(113&lt;=Corte,1,0)</f>
        <v>0</v>
      </c>
      <c r="DO8" s="34" t="n">
        <f aca="false">IF(114&lt;=Corte,1,0)</f>
        <v>0</v>
      </c>
      <c r="DP8" s="34" t="n">
        <f aca="false">IF(115&lt;=Corte,1,0)</f>
        <v>0</v>
      </c>
      <c r="DQ8" s="34" t="n">
        <f aca="false">IF(116&lt;=Corte,1,0)</f>
        <v>0</v>
      </c>
      <c r="DR8" s="34" t="n">
        <f aca="false">IF(117&lt;=Corte,1,0)</f>
        <v>0</v>
      </c>
      <c r="DS8" s="34" t="n">
        <f aca="false">IF(118&lt;=Corte,1,0)</f>
        <v>0</v>
      </c>
      <c r="DT8" s="34" t="n">
        <f aca="false">IF(119&lt;=Corte,1,0)</f>
        <v>0</v>
      </c>
      <c r="DU8" s="34" t="n">
        <f aca="false">IF(120&lt;=Corte,1,0)</f>
        <v>0</v>
      </c>
      <c r="DV8" s="34" t="n">
        <f aca="false">IF(121&lt;=Corte,1,0)</f>
        <v>0</v>
      </c>
      <c r="DW8" s="34" t="n">
        <f aca="false">IF(122&lt;=Corte,1,0)</f>
        <v>0</v>
      </c>
      <c r="DX8" s="34" t="n">
        <f aca="false">IF(123&lt;=Corte,1,0)</f>
        <v>0</v>
      </c>
      <c r="DY8" s="34" t="n">
        <f aca="false">IF(124&lt;=Corte,1,0)</f>
        <v>0</v>
      </c>
      <c r="DZ8" s="34" t="n">
        <f aca="false">IF(125&lt;=Corte,1,0)</f>
        <v>0</v>
      </c>
      <c r="EA8" s="34" t="n">
        <f aca="false">IF(126&lt;=Corte,1,0)</f>
        <v>0</v>
      </c>
      <c r="EB8" s="34" t="n">
        <f aca="false">IF(127&lt;=Corte,1,0)</f>
        <v>0</v>
      </c>
      <c r="EC8" s="34" t="n">
        <f aca="false">IF(128&lt;=Corte,1,0)</f>
        <v>0</v>
      </c>
      <c r="ED8" s="34" t="n">
        <f aca="false">IF(129&lt;=Corte,1,0)</f>
        <v>0</v>
      </c>
      <c r="EE8" s="34" t="n">
        <f aca="false">IF(130&lt;=Corte,1,0)</f>
        <v>0</v>
      </c>
      <c r="EF8" s="34" t="n">
        <f aca="false">IF(131&lt;=Corte,1,0)</f>
        <v>0</v>
      </c>
      <c r="EG8" s="34" t="n">
        <f aca="false">IF(132&lt;=Corte,1,0)</f>
        <v>0</v>
      </c>
      <c r="EH8" s="34" t="n">
        <f aca="false">IF(133&lt;=Corte,1,0)</f>
        <v>0</v>
      </c>
      <c r="EI8" s="34" t="n">
        <f aca="false">IF(134&lt;=Corte,1,0)</f>
        <v>0</v>
      </c>
      <c r="EJ8" s="34" t="n">
        <f aca="false">IF(135&lt;=Corte,1,0)</f>
        <v>0</v>
      </c>
      <c r="EK8" s="34" t="n">
        <f aca="false">IF(136&lt;=Corte,1,0)</f>
        <v>0</v>
      </c>
      <c r="EL8" s="34" t="n">
        <f aca="false">IF(137&lt;=Corte,1,0)</f>
        <v>0</v>
      </c>
      <c r="EM8" s="34" t="n">
        <f aca="false">IF(138&lt;=Corte,1,0)</f>
        <v>0</v>
      </c>
      <c r="EN8" s="34" t="n">
        <f aca="false">IF(139&lt;=Corte,1,0)</f>
        <v>0</v>
      </c>
      <c r="EO8" s="34" t="n">
        <f aca="false">IF(140&lt;=Corte,1,0)</f>
        <v>0</v>
      </c>
      <c r="EP8" s="34" t="n">
        <f aca="false">IF(141&lt;=Corte,1,0)</f>
        <v>0</v>
      </c>
      <c r="EQ8" s="34" t="n">
        <f aca="false">IF(142&lt;=Corte,1,0)</f>
        <v>0</v>
      </c>
      <c r="ER8" s="34" t="n">
        <f aca="false">IF(143&lt;=Corte,1,0)</f>
        <v>0</v>
      </c>
      <c r="ES8" s="34" t="n">
        <f aca="false">IF(144&lt;=Corte,1,0)</f>
        <v>0</v>
      </c>
    </row>
    <row r="9" customFormat="false" ht="15" hidden="false" customHeight="false" outlineLevel="0" collapsed="false">
      <c r="A9" s="11" t="s">
        <v>1046</v>
      </c>
      <c r="B9" s="20" t="s">
        <v>1047</v>
      </c>
      <c r="F9" s="34" t="n">
        <f aca="false">IF(1&lt;=Fin,1,0)</f>
        <v>1</v>
      </c>
      <c r="G9" s="34" t="n">
        <f aca="false">IF(2&lt;=Fin,1,0)</f>
        <v>1</v>
      </c>
      <c r="H9" s="34" t="n">
        <f aca="false">IF(3&lt;=Fin,1,0)</f>
        <v>1</v>
      </c>
      <c r="I9" s="34" t="n">
        <f aca="false">IF(4&lt;=Fin,1,0)</f>
        <v>1</v>
      </c>
      <c r="J9" s="34" t="n">
        <f aca="false">IF(5&lt;=Fin,1,0)</f>
        <v>1</v>
      </c>
      <c r="K9" s="34" t="n">
        <f aca="false">IF(6&lt;=Fin,1,0)</f>
        <v>1</v>
      </c>
      <c r="L9" s="34" t="n">
        <f aca="false">IF(7&lt;=Fin,1,0)</f>
        <v>1</v>
      </c>
      <c r="M9" s="34" t="n">
        <f aca="false">IF(8&lt;=Fin,1,0)</f>
        <v>1</v>
      </c>
      <c r="N9" s="34" t="n">
        <f aca="false">IF(9&lt;=Fin,1,0)</f>
        <v>1</v>
      </c>
      <c r="O9" s="34" t="n">
        <f aca="false">IF(10&lt;=Fin,1,0)</f>
        <v>1</v>
      </c>
      <c r="P9" s="34" t="n">
        <f aca="false">IF(11&lt;=Fin,1,0)</f>
        <v>1</v>
      </c>
      <c r="Q9" s="34" t="n">
        <f aca="false">IF(12&lt;=Fin,1,0)</f>
        <v>1</v>
      </c>
      <c r="R9" s="34" t="n">
        <f aca="false">IF(13&lt;=Fin,1,0)</f>
        <v>1</v>
      </c>
      <c r="S9" s="34" t="n">
        <f aca="false">IF(14&lt;=Fin,1,0)</f>
        <v>1</v>
      </c>
      <c r="T9" s="34" t="n">
        <f aca="false">IF(15&lt;=Fin,1,0)</f>
        <v>1</v>
      </c>
      <c r="U9" s="34" t="n">
        <f aca="false">IF(16&lt;=Fin,1,0)</f>
        <v>1</v>
      </c>
      <c r="V9" s="34" t="n">
        <f aca="false">IF(17&lt;=Fin,1,0)</f>
        <v>1</v>
      </c>
      <c r="W9" s="34" t="n">
        <f aca="false">IF(18&lt;=Fin,1,0)</f>
        <v>1</v>
      </c>
      <c r="X9" s="34" t="n">
        <f aca="false">IF(19&lt;=Fin,1,0)</f>
        <v>1</v>
      </c>
      <c r="Y9" s="34" t="n">
        <f aca="false">IF(20&lt;=Fin,1,0)</f>
        <v>1</v>
      </c>
      <c r="Z9" s="34" t="n">
        <f aca="false">IF(21&lt;=Fin,1,0)</f>
        <v>1</v>
      </c>
      <c r="AA9" s="34" t="n">
        <f aca="false">IF(22&lt;=Fin,1,0)</f>
        <v>1</v>
      </c>
      <c r="AB9" s="34" t="n">
        <f aca="false">IF(23&lt;=Fin,1,0)</f>
        <v>1</v>
      </c>
      <c r="AC9" s="34" t="n">
        <f aca="false">IF(24&lt;=Fin,1,0)</f>
        <v>1</v>
      </c>
      <c r="AD9" s="34" t="n">
        <f aca="false">IF(25&lt;=Fin,1,0)</f>
        <v>1</v>
      </c>
      <c r="AE9" s="34" t="n">
        <f aca="false">IF(26&lt;=Fin,1,0)</f>
        <v>1</v>
      </c>
      <c r="AF9" s="34" t="n">
        <f aca="false">IF(27&lt;=Fin,1,0)</f>
        <v>1</v>
      </c>
      <c r="AG9" s="34" t="n">
        <f aca="false">IF(28&lt;=Fin,1,0)</f>
        <v>1</v>
      </c>
      <c r="AH9" s="34" t="n">
        <f aca="false">IF(29&lt;=Fin,1,0)</f>
        <v>1</v>
      </c>
      <c r="AI9" s="34" t="n">
        <f aca="false">IF(30&lt;=Fin,1,0)</f>
        <v>1</v>
      </c>
      <c r="AJ9" s="34" t="n">
        <f aca="false">IF(31&lt;=Fin,1,0)</f>
        <v>1</v>
      </c>
      <c r="AK9" s="34" t="n">
        <f aca="false">IF(32&lt;=Fin,1,0)</f>
        <v>1</v>
      </c>
      <c r="AL9" s="34" t="n">
        <f aca="false">IF(33&lt;=Fin,1,0)</f>
        <v>1</v>
      </c>
      <c r="AM9" s="34" t="n">
        <f aca="false">IF(34&lt;=Fin,1,0)</f>
        <v>1</v>
      </c>
      <c r="AN9" s="34" t="n">
        <f aca="false">IF(35&lt;=Fin,1,0)</f>
        <v>1</v>
      </c>
      <c r="AO9" s="34" t="n">
        <f aca="false">IF(36&lt;=Fin,1,0)</f>
        <v>1</v>
      </c>
      <c r="AP9" s="34" t="n">
        <f aca="false">IF(37&lt;=Fin,1,0)</f>
        <v>1</v>
      </c>
      <c r="AQ9" s="34" t="n">
        <f aca="false">IF(38&lt;=Fin,1,0)</f>
        <v>1</v>
      </c>
      <c r="AR9" s="34" t="n">
        <f aca="false">IF(39&lt;=Fin,1,0)</f>
        <v>1</v>
      </c>
      <c r="AS9" s="34" t="n">
        <f aca="false">IF(40&lt;=Fin,1,0)</f>
        <v>1</v>
      </c>
      <c r="AT9" s="34" t="n">
        <f aca="false">IF(41&lt;=Fin,1,0)</f>
        <v>1</v>
      </c>
      <c r="AU9" s="34" t="n">
        <f aca="false">IF(42&lt;=Fin,1,0)</f>
        <v>1</v>
      </c>
      <c r="AV9" s="34" t="n">
        <f aca="false">IF(43&lt;=Fin,1,0)</f>
        <v>1</v>
      </c>
      <c r="AW9" s="34" t="n">
        <f aca="false">IF(44&lt;=Fin,1,0)</f>
        <v>1</v>
      </c>
      <c r="AX9" s="34" t="n">
        <f aca="false">IF(45&lt;=Fin,1,0)</f>
        <v>1</v>
      </c>
      <c r="AY9" s="34" t="n">
        <f aca="false">IF(46&lt;=Fin,1,0)</f>
        <v>1</v>
      </c>
      <c r="AZ9" s="34" t="n">
        <f aca="false">IF(47&lt;=Fin,1,0)</f>
        <v>1</v>
      </c>
      <c r="BA9" s="34" t="n">
        <f aca="false">IF(48&lt;=Fin,1,0)</f>
        <v>1</v>
      </c>
      <c r="BB9" s="34" t="n">
        <f aca="false">IF(49&lt;=Fin,1,0)</f>
        <v>1</v>
      </c>
      <c r="BC9" s="34" t="n">
        <f aca="false">IF(50&lt;=Fin,1,0)</f>
        <v>1</v>
      </c>
      <c r="BD9" s="34" t="n">
        <f aca="false">IF(51&lt;=Fin,1,0)</f>
        <v>1</v>
      </c>
      <c r="BE9" s="34" t="n">
        <f aca="false">IF(52&lt;=Fin,1,0)</f>
        <v>1</v>
      </c>
      <c r="BF9" s="34" t="n">
        <f aca="false">IF(53&lt;=Fin,1,0)</f>
        <v>1</v>
      </c>
      <c r="BG9" s="34" t="n">
        <f aca="false">IF(54&lt;=Fin,1,0)</f>
        <v>1</v>
      </c>
      <c r="BH9" s="34" t="n">
        <f aca="false">IF(55&lt;=Fin,1,0)</f>
        <v>1</v>
      </c>
      <c r="BI9" s="34" t="n">
        <f aca="false">IF(56&lt;=Fin,1,0)</f>
        <v>1</v>
      </c>
      <c r="BJ9" s="34" t="n">
        <f aca="false">IF(57&lt;=Fin,1,0)</f>
        <v>1</v>
      </c>
      <c r="BK9" s="34" t="n">
        <f aca="false">IF(58&lt;=Fin,1,0)</f>
        <v>1</v>
      </c>
      <c r="BL9" s="34" t="n">
        <f aca="false">IF(59&lt;=Fin,1,0)</f>
        <v>1</v>
      </c>
      <c r="BM9" s="34" t="n">
        <f aca="false">IF(60&lt;=Fin,1,0)</f>
        <v>1</v>
      </c>
      <c r="BN9" s="34" t="n">
        <f aca="false">IF(61&lt;=Fin,1,0)</f>
        <v>1</v>
      </c>
      <c r="BO9" s="34" t="n">
        <f aca="false">IF(62&lt;=Fin,1,0)</f>
        <v>1</v>
      </c>
      <c r="BP9" s="34" t="n">
        <f aca="false">IF(63&lt;=Fin,1,0)</f>
        <v>1</v>
      </c>
      <c r="BQ9" s="34" t="n">
        <f aca="false">IF(64&lt;=Fin,1,0)</f>
        <v>1</v>
      </c>
      <c r="BR9" s="34" t="n">
        <f aca="false">IF(65&lt;=Fin,1,0)</f>
        <v>1</v>
      </c>
      <c r="BS9" s="34" t="n">
        <f aca="false">IF(66&lt;=Fin,1,0)</f>
        <v>1</v>
      </c>
      <c r="BT9" s="34" t="n">
        <f aca="false">IF(67&lt;=Fin,1,0)</f>
        <v>1</v>
      </c>
      <c r="BU9" s="34" t="n">
        <f aca="false">IF(68&lt;=Fin,1,0)</f>
        <v>1</v>
      </c>
      <c r="BV9" s="34" t="n">
        <f aca="false">IF(69&lt;=Fin,1,0)</f>
        <v>1</v>
      </c>
      <c r="BW9" s="34" t="n">
        <f aca="false">IF(70&lt;=Fin,1,0)</f>
        <v>1</v>
      </c>
      <c r="BX9" s="34" t="n">
        <f aca="false">IF(71&lt;=Fin,1,0)</f>
        <v>1</v>
      </c>
      <c r="BY9" s="34" t="n">
        <f aca="false">IF(72&lt;=Fin,1,0)</f>
        <v>1</v>
      </c>
      <c r="BZ9" s="34" t="n">
        <f aca="false">IF(73&lt;=Fin,1,0)</f>
        <v>1</v>
      </c>
      <c r="CA9" s="34" t="n">
        <f aca="false">IF(74&lt;=Fin,1,0)</f>
        <v>1</v>
      </c>
      <c r="CB9" s="34" t="n">
        <f aca="false">IF(75&lt;=Fin,1,0)</f>
        <v>1</v>
      </c>
      <c r="CC9" s="34" t="n">
        <f aca="false">IF(76&lt;=Fin,1,0)</f>
        <v>1</v>
      </c>
      <c r="CD9" s="34" t="n">
        <f aca="false">IF(77&lt;=Fin,1,0)</f>
        <v>1</v>
      </c>
      <c r="CE9" s="34" t="n">
        <f aca="false">IF(78&lt;=Fin,1,0)</f>
        <v>1</v>
      </c>
      <c r="CF9" s="34" t="n">
        <f aca="false">IF(79&lt;=Fin,1,0)</f>
        <v>1</v>
      </c>
      <c r="CG9" s="34" t="n">
        <f aca="false">IF(80&lt;=Fin,1,0)</f>
        <v>1</v>
      </c>
      <c r="CH9" s="34" t="n">
        <f aca="false">IF(81&lt;=Fin,1,0)</f>
        <v>1</v>
      </c>
      <c r="CI9" s="34" t="n">
        <f aca="false">IF(82&lt;=Fin,1,0)</f>
        <v>1</v>
      </c>
      <c r="CJ9" s="34" t="n">
        <f aca="false">IF(83&lt;=Fin,1,0)</f>
        <v>1</v>
      </c>
      <c r="CK9" s="34" t="n">
        <f aca="false">IF(84&lt;=Fin,1,0)</f>
        <v>1</v>
      </c>
      <c r="CL9" s="34" t="n">
        <f aca="false">IF(85&lt;=Fin,1,0)</f>
        <v>1</v>
      </c>
      <c r="CM9" s="34" t="n">
        <f aca="false">IF(86&lt;=Fin,1,0)</f>
        <v>1</v>
      </c>
      <c r="CN9" s="34" t="n">
        <f aca="false">IF(87&lt;=Fin,1,0)</f>
        <v>1</v>
      </c>
      <c r="CO9" s="34" t="n">
        <f aca="false">IF(88&lt;=Fin,1,0)</f>
        <v>1</v>
      </c>
      <c r="CP9" s="34" t="n">
        <f aca="false">IF(89&lt;=Fin,1,0)</f>
        <v>1</v>
      </c>
      <c r="CQ9" s="34" t="n">
        <f aca="false">IF(90&lt;=Fin,1,0)</f>
        <v>1</v>
      </c>
      <c r="CR9" s="34" t="n">
        <f aca="false">IF(91&lt;=Fin,1,0)</f>
        <v>1</v>
      </c>
      <c r="CS9" s="34" t="n">
        <f aca="false">IF(92&lt;=Fin,1,0)</f>
        <v>1</v>
      </c>
      <c r="CT9" s="34" t="n">
        <f aca="false">IF(93&lt;=Fin,1,0)</f>
        <v>1</v>
      </c>
      <c r="CU9" s="34" t="n">
        <f aca="false">IF(94&lt;=Fin,1,0)</f>
        <v>1</v>
      </c>
      <c r="CV9" s="34" t="n">
        <f aca="false">IF(95&lt;=Fin,1,0)</f>
        <v>1</v>
      </c>
      <c r="CW9" s="34" t="n">
        <f aca="false">IF(96&lt;=Fin,1,0)</f>
        <v>1</v>
      </c>
      <c r="CX9" s="34" t="n">
        <f aca="false">IF(97&lt;=Fin,1,0)</f>
        <v>1</v>
      </c>
      <c r="CY9" s="34" t="n">
        <f aca="false">IF(98&lt;=Fin,1,0)</f>
        <v>1</v>
      </c>
      <c r="CZ9" s="34" t="n">
        <f aca="false">IF(99&lt;=Fin,1,0)</f>
        <v>1</v>
      </c>
      <c r="DA9" s="34" t="n">
        <f aca="false">IF(100&lt;=Fin,1,0)</f>
        <v>1</v>
      </c>
      <c r="DB9" s="34" t="n">
        <f aca="false">IF(101&lt;=Fin,1,0)</f>
        <v>1</v>
      </c>
      <c r="DC9" s="34" t="n">
        <f aca="false">IF(102&lt;=Fin,1,0)</f>
        <v>1</v>
      </c>
      <c r="DD9" s="34" t="n">
        <f aca="false">IF(103&lt;=Fin,1,0)</f>
        <v>1</v>
      </c>
      <c r="DE9" s="34" t="n">
        <f aca="false">IF(104&lt;=Fin,1,0)</f>
        <v>1</v>
      </c>
      <c r="DF9" s="34" t="n">
        <f aca="false">IF(105&lt;=Fin,1,0)</f>
        <v>1</v>
      </c>
      <c r="DG9" s="34" t="n">
        <f aca="false">IF(106&lt;=Fin,1,0)</f>
        <v>1</v>
      </c>
      <c r="DH9" s="34" t="n">
        <f aca="false">IF(107&lt;=Fin,1,0)</f>
        <v>1</v>
      </c>
      <c r="DI9" s="34" t="n">
        <f aca="false">IF(108&lt;=Fin,1,0)</f>
        <v>1</v>
      </c>
      <c r="DJ9" s="34" t="n">
        <f aca="false">IF(109&lt;=Fin,1,0)</f>
        <v>1</v>
      </c>
      <c r="DK9" s="34" t="n">
        <f aca="false">IF(110&lt;=Fin,1,0)</f>
        <v>1</v>
      </c>
      <c r="DL9" s="34" t="n">
        <f aca="false">IF(111&lt;=Fin,1,0)</f>
        <v>1</v>
      </c>
      <c r="DM9" s="34" t="n">
        <f aca="false">IF(112&lt;=Fin,1,0)</f>
        <v>1</v>
      </c>
      <c r="DN9" s="34" t="n">
        <f aca="false">IF(113&lt;=Fin,1,0)</f>
        <v>1</v>
      </c>
      <c r="DO9" s="34" t="n">
        <f aca="false">IF(114&lt;=Fin,1,0)</f>
        <v>1</v>
      </c>
      <c r="DP9" s="34" t="n">
        <f aca="false">IF(115&lt;=Fin,1,0)</f>
        <v>1</v>
      </c>
      <c r="DQ9" s="34" t="n">
        <f aca="false">IF(116&lt;=Fin,1,0)</f>
        <v>1</v>
      </c>
      <c r="DR9" s="34" t="n">
        <f aca="false">IF(117&lt;=Fin,1,0)</f>
        <v>1</v>
      </c>
      <c r="DS9" s="34" t="n">
        <f aca="false">IF(118&lt;=Fin,1,0)</f>
        <v>1</v>
      </c>
      <c r="DT9" s="34" t="n">
        <f aca="false">IF(119&lt;=Fin,1,0)</f>
        <v>1</v>
      </c>
      <c r="DU9" s="34" t="n">
        <f aca="false">IF(120&lt;=Fin,1,0)</f>
        <v>1</v>
      </c>
      <c r="DV9" s="34" t="n">
        <f aca="false">IF(121&lt;=Fin,1,0)</f>
        <v>0</v>
      </c>
      <c r="DW9" s="34" t="n">
        <f aca="false">IF(122&lt;=Fin,1,0)</f>
        <v>0</v>
      </c>
      <c r="DX9" s="34" t="n">
        <f aca="false">IF(123&lt;=Fin,1,0)</f>
        <v>0</v>
      </c>
      <c r="DY9" s="34" t="n">
        <f aca="false">IF(124&lt;=Fin,1,0)</f>
        <v>0</v>
      </c>
      <c r="DZ9" s="34" t="n">
        <f aca="false">IF(125&lt;=Fin,1,0)</f>
        <v>0</v>
      </c>
      <c r="EA9" s="34" t="n">
        <f aca="false">IF(126&lt;=Fin,1,0)</f>
        <v>0</v>
      </c>
      <c r="EB9" s="34" t="n">
        <f aca="false">IF(127&lt;=Fin,1,0)</f>
        <v>0</v>
      </c>
      <c r="EC9" s="34" t="n">
        <f aca="false">IF(128&lt;=Fin,1,0)</f>
        <v>0</v>
      </c>
      <c r="ED9" s="34" t="n">
        <f aca="false">IF(129&lt;=Fin,1,0)</f>
        <v>0</v>
      </c>
      <c r="EE9" s="34" t="n">
        <f aca="false">IF(130&lt;=Fin,1,0)</f>
        <v>0</v>
      </c>
      <c r="EF9" s="34" t="n">
        <f aca="false">IF(131&lt;=Fin,1,0)</f>
        <v>0</v>
      </c>
      <c r="EG9" s="34" t="n">
        <f aca="false">IF(132&lt;=Fin,1,0)</f>
        <v>0</v>
      </c>
      <c r="EH9" s="34" t="n">
        <f aca="false">IF(133&lt;=Fin,1,0)</f>
        <v>0</v>
      </c>
      <c r="EI9" s="34" t="n">
        <f aca="false">IF(134&lt;=Fin,1,0)</f>
        <v>0</v>
      </c>
      <c r="EJ9" s="34" t="n">
        <f aca="false">IF(135&lt;=Fin,1,0)</f>
        <v>0</v>
      </c>
      <c r="EK9" s="34" t="n">
        <f aca="false">IF(136&lt;=Fin,1,0)</f>
        <v>0</v>
      </c>
      <c r="EL9" s="34" t="n">
        <f aca="false">IF(137&lt;=Fin,1,0)</f>
        <v>0</v>
      </c>
      <c r="EM9" s="34" t="n">
        <f aca="false">IF(138&lt;=Fin,1,0)</f>
        <v>0</v>
      </c>
      <c r="EN9" s="34" t="n">
        <f aca="false">IF(139&lt;=Fin,1,0)</f>
        <v>0</v>
      </c>
      <c r="EO9" s="34" t="n">
        <f aca="false">IF(140&lt;=Fin,1,0)</f>
        <v>0</v>
      </c>
      <c r="EP9" s="34" t="n">
        <f aca="false">IF(141&lt;=Fin,1,0)</f>
        <v>0</v>
      </c>
      <c r="EQ9" s="34" t="n">
        <f aca="false">IF(142&lt;=Fin,1,0)</f>
        <v>0</v>
      </c>
      <c r="ER9" s="34" t="n">
        <f aca="false">IF(143&lt;=Fin,1,0)</f>
        <v>0</v>
      </c>
      <c r="ES9" s="34" t="n">
        <f aca="false">IF(144&lt;=Fin,1,0)</f>
        <v>0</v>
      </c>
    </row>
    <row r="10" customFormat="false" ht="15" hidden="false" customHeight="false" outlineLevel="0" collapsed="false">
      <c r="A10" s="11" t="s">
        <v>1048</v>
      </c>
      <c r="B10" s="20" t="s">
        <v>1049</v>
      </c>
      <c r="F10" s="48" t="n">
        <f aca="false">IF(N(Reales!F10)&gt;0,Reales!F10,INDEX(TC_V,1,MIN(10,F$6)))</f>
        <v>7300</v>
      </c>
      <c r="G10" s="48" t="n">
        <f aca="false">IF(N(Reales!G10)&gt;0,Reales!G10,INDEX(TC_V,1,MIN(10,G$6)))</f>
        <v>7300</v>
      </c>
      <c r="H10" s="48" t="n">
        <f aca="false">IF(N(Reales!H10)&gt;0,Reales!H10,INDEX(TC_V,1,MIN(10,H$6)))</f>
        <v>7300</v>
      </c>
      <c r="I10" s="48" t="n">
        <f aca="false">IF(N(Reales!I10)&gt;0,Reales!I10,INDEX(TC_V,1,MIN(10,I$6)))</f>
        <v>7300</v>
      </c>
      <c r="J10" s="48" t="n">
        <f aca="false">IF(N(Reales!J10)&gt;0,Reales!J10,INDEX(TC_V,1,MIN(10,J$6)))</f>
        <v>7300</v>
      </c>
      <c r="K10" s="48" t="n">
        <f aca="false">IF(N(Reales!K10)&gt;0,Reales!K10,INDEX(TC_V,1,MIN(10,K$6)))</f>
        <v>7300</v>
      </c>
      <c r="L10" s="48" t="n">
        <f aca="false">IF(N(Reales!L10)&gt;0,Reales!L10,INDEX(TC_V,1,MIN(10,L$6)))</f>
        <v>7300</v>
      </c>
      <c r="M10" s="48" t="n">
        <f aca="false">IF(N(Reales!M10)&gt;0,Reales!M10,INDEX(TC_V,1,MIN(10,M$6)))</f>
        <v>7300</v>
      </c>
      <c r="N10" s="48" t="n">
        <f aca="false">IF(N(Reales!N10)&gt;0,Reales!N10,INDEX(TC_V,1,MIN(10,N$6)))</f>
        <v>7300</v>
      </c>
      <c r="O10" s="48" t="n">
        <f aca="false">IF(N(Reales!O10)&gt;0,Reales!O10,INDEX(TC_V,1,MIN(10,O$6)))</f>
        <v>7300</v>
      </c>
      <c r="P10" s="48" t="n">
        <f aca="false">IF(N(Reales!P10)&gt;0,Reales!P10,INDEX(TC_V,1,MIN(10,P$6)))</f>
        <v>7300</v>
      </c>
      <c r="Q10" s="48" t="n">
        <f aca="false">IF(N(Reales!Q10)&gt;0,Reales!Q10,INDEX(TC_V,1,MIN(10,Q$6)))</f>
        <v>7300</v>
      </c>
      <c r="R10" s="48" t="n">
        <f aca="false">IF(N(Reales!R10)&gt;0,Reales!R10,INDEX(TC_V,1,MIN(10,R$6)))</f>
        <v>7300</v>
      </c>
      <c r="S10" s="48" t="n">
        <f aca="false">IF(N(Reales!S10)&gt;0,Reales!S10,INDEX(TC_V,1,MIN(10,S$6)))</f>
        <v>7300</v>
      </c>
      <c r="T10" s="48" t="n">
        <f aca="false">IF(N(Reales!T10)&gt;0,Reales!T10,INDEX(TC_V,1,MIN(10,T$6)))</f>
        <v>7300</v>
      </c>
      <c r="U10" s="48" t="n">
        <f aca="false">IF(N(Reales!U10)&gt;0,Reales!U10,INDEX(TC_V,1,MIN(10,U$6)))</f>
        <v>7300</v>
      </c>
      <c r="V10" s="48" t="n">
        <f aca="false">IF(N(Reales!V10)&gt;0,Reales!V10,INDEX(TC_V,1,MIN(10,V$6)))</f>
        <v>7300</v>
      </c>
      <c r="W10" s="48" t="n">
        <f aca="false">IF(N(Reales!W10)&gt;0,Reales!W10,INDEX(TC_V,1,MIN(10,W$6)))</f>
        <v>7300</v>
      </c>
      <c r="X10" s="48" t="n">
        <f aca="false">IF(N(Reales!X10)&gt;0,Reales!X10,INDEX(TC_V,1,MIN(10,X$6)))</f>
        <v>7300</v>
      </c>
      <c r="Y10" s="48" t="n">
        <f aca="false">IF(N(Reales!Y10)&gt;0,Reales!Y10,INDEX(TC_V,1,MIN(10,Y$6)))</f>
        <v>7300</v>
      </c>
      <c r="Z10" s="48" t="n">
        <f aca="false">IF(N(Reales!Z10)&gt;0,Reales!Z10,INDEX(TC_V,1,MIN(10,Z$6)))</f>
        <v>7300</v>
      </c>
      <c r="AA10" s="48" t="n">
        <f aca="false">IF(N(Reales!AA10)&gt;0,Reales!AA10,INDEX(TC_V,1,MIN(10,AA$6)))</f>
        <v>7300</v>
      </c>
      <c r="AB10" s="48" t="n">
        <f aca="false">IF(N(Reales!AB10)&gt;0,Reales!AB10,INDEX(TC_V,1,MIN(10,AB$6)))</f>
        <v>7300</v>
      </c>
      <c r="AC10" s="48" t="n">
        <f aca="false">IF(N(Reales!AC10)&gt;0,Reales!AC10,INDEX(TC_V,1,MIN(10,AC$6)))</f>
        <v>7300</v>
      </c>
      <c r="AD10" s="48" t="n">
        <f aca="false">IF(N(Reales!AD10)&gt;0,Reales!AD10,INDEX(TC_V,1,MIN(10,AD$6)))</f>
        <v>7300</v>
      </c>
      <c r="AE10" s="48" t="n">
        <f aca="false">IF(N(Reales!AE10)&gt;0,Reales!AE10,INDEX(TC_V,1,MIN(10,AE$6)))</f>
        <v>7300</v>
      </c>
      <c r="AF10" s="48" t="n">
        <f aca="false">IF(N(Reales!AF10)&gt;0,Reales!AF10,INDEX(TC_V,1,MIN(10,AF$6)))</f>
        <v>7300</v>
      </c>
      <c r="AG10" s="48" t="n">
        <f aca="false">IF(N(Reales!AG10)&gt;0,Reales!AG10,INDEX(TC_V,1,MIN(10,AG$6)))</f>
        <v>7300</v>
      </c>
      <c r="AH10" s="48" t="n">
        <f aca="false">IF(N(Reales!AH10)&gt;0,Reales!AH10,INDEX(TC_V,1,MIN(10,AH$6)))</f>
        <v>7300</v>
      </c>
      <c r="AI10" s="48" t="n">
        <f aca="false">IF(N(Reales!AI10)&gt;0,Reales!AI10,INDEX(TC_V,1,MIN(10,AI$6)))</f>
        <v>7300</v>
      </c>
      <c r="AJ10" s="48" t="n">
        <f aca="false">IF(N(Reales!AJ10)&gt;0,Reales!AJ10,INDEX(TC_V,1,MIN(10,AJ$6)))</f>
        <v>7300</v>
      </c>
      <c r="AK10" s="48" t="n">
        <f aca="false">IF(N(Reales!AK10)&gt;0,Reales!AK10,INDEX(TC_V,1,MIN(10,AK$6)))</f>
        <v>7300</v>
      </c>
      <c r="AL10" s="48" t="n">
        <f aca="false">IF(N(Reales!AL10)&gt;0,Reales!AL10,INDEX(TC_V,1,MIN(10,AL$6)))</f>
        <v>7300</v>
      </c>
      <c r="AM10" s="48" t="n">
        <f aca="false">IF(N(Reales!AM10)&gt;0,Reales!AM10,INDEX(TC_V,1,MIN(10,AM$6)))</f>
        <v>7300</v>
      </c>
      <c r="AN10" s="48" t="n">
        <f aca="false">IF(N(Reales!AN10)&gt;0,Reales!AN10,INDEX(TC_V,1,MIN(10,AN$6)))</f>
        <v>7300</v>
      </c>
      <c r="AO10" s="48" t="n">
        <f aca="false">IF(N(Reales!AO10)&gt;0,Reales!AO10,INDEX(TC_V,1,MIN(10,AO$6)))</f>
        <v>7300</v>
      </c>
      <c r="AP10" s="48" t="n">
        <f aca="false">IF(N(Reales!AP10)&gt;0,Reales!AP10,INDEX(TC_V,1,MIN(10,AP$6)))</f>
        <v>7300</v>
      </c>
      <c r="AQ10" s="48" t="n">
        <f aca="false">IF(N(Reales!AQ10)&gt;0,Reales!AQ10,INDEX(TC_V,1,MIN(10,AQ$6)))</f>
        <v>7300</v>
      </c>
      <c r="AR10" s="48" t="n">
        <f aca="false">IF(N(Reales!AR10)&gt;0,Reales!AR10,INDEX(TC_V,1,MIN(10,AR$6)))</f>
        <v>7300</v>
      </c>
      <c r="AS10" s="48" t="n">
        <f aca="false">IF(N(Reales!AS10)&gt;0,Reales!AS10,INDEX(TC_V,1,MIN(10,AS$6)))</f>
        <v>7300</v>
      </c>
      <c r="AT10" s="48" t="n">
        <f aca="false">IF(N(Reales!AT10)&gt;0,Reales!AT10,INDEX(TC_V,1,MIN(10,AT$6)))</f>
        <v>7300</v>
      </c>
      <c r="AU10" s="48" t="n">
        <f aca="false">IF(N(Reales!AU10)&gt;0,Reales!AU10,INDEX(TC_V,1,MIN(10,AU$6)))</f>
        <v>7300</v>
      </c>
      <c r="AV10" s="48" t="n">
        <f aca="false">IF(N(Reales!AV10)&gt;0,Reales!AV10,INDEX(TC_V,1,MIN(10,AV$6)))</f>
        <v>7300</v>
      </c>
      <c r="AW10" s="48" t="n">
        <f aca="false">IF(N(Reales!AW10)&gt;0,Reales!AW10,INDEX(TC_V,1,MIN(10,AW$6)))</f>
        <v>7300</v>
      </c>
      <c r="AX10" s="48" t="n">
        <f aca="false">IF(N(Reales!AX10)&gt;0,Reales!AX10,INDEX(TC_V,1,MIN(10,AX$6)))</f>
        <v>7300</v>
      </c>
      <c r="AY10" s="48" t="n">
        <f aca="false">IF(N(Reales!AY10)&gt;0,Reales!AY10,INDEX(TC_V,1,MIN(10,AY$6)))</f>
        <v>7300</v>
      </c>
      <c r="AZ10" s="48" t="n">
        <f aca="false">IF(N(Reales!AZ10)&gt;0,Reales!AZ10,INDEX(TC_V,1,MIN(10,AZ$6)))</f>
        <v>7300</v>
      </c>
      <c r="BA10" s="48" t="n">
        <f aca="false">IF(N(Reales!BA10)&gt;0,Reales!BA10,INDEX(TC_V,1,MIN(10,BA$6)))</f>
        <v>7300</v>
      </c>
      <c r="BB10" s="48" t="n">
        <f aca="false">IF(N(Reales!BB10)&gt;0,Reales!BB10,INDEX(TC_V,1,MIN(10,BB$6)))</f>
        <v>7300</v>
      </c>
      <c r="BC10" s="48" t="n">
        <f aca="false">IF(N(Reales!BC10)&gt;0,Reales!BC10,INDEX(TC_V,1,MIN(10,BC$6)))</f>
        <v>7300</v>
      </c>
      <c r="BD10" s="48" t="n">
        <f aca="false">IF(N(Reales!BD10)&gt;0,Reales!BD10,INDEX(TC_V,1,MIN(10,BD$6)))</f>
        <v>7300</v>
      </c>
      <c r="BE10" s="48" t="n">
        <f aca="false">IF(N(Reales!BE10)&gt;0,Reales!BE10,INDEX(TC_V,1,MIN(10,BE$6)))</f>
        <v>7300</v>
      </c>
      <c r="BF10" s="48" t="n">
        <f aca="false">IF(N(Reales!BF10)&gt;0,Reales!BF10,INDEX(TC_V,1,MIN(10,BF$6)))</f>
        <v>7300</v>
      </c>
      <c r="BG10" s="48" t="n">
        <f aca="false">IF(N(Reales!BG10)&gt;0,Reales!BG10,INDEX(TC_V,1,MIN(10,BG$6)))</f>
        <v>7300</v>
      </c>
      <c r="BH10" s="48" t="n">
        <f aca="false">IF(N(Reales!BH10)&gt;0,Reales!BH10,INDEX(TC_V,1,MIN(10,BH$6)))</f>
        <v>7300</v>
      </c>
      <c r="BI10" s="48" t="n">
        <f aca="false">IF(N(Reales!BI10)&gt;0,Reales!BI10,INDEX(TC_V,1,MIN(10,BI$6)))</f>
        <v>7300</v>
      </c>
      <c r="BJ10" s="48" t="n">
        <f aca="false">IF(N(Reales!BJ10)&gt;0,Reales!BJ10,INDEX(TC_V,1,MIN(10,BJ$6)))</f>
        <v>7300</v>
      </c>
      <c r="BK10" s="48" t="n">
        <f aca="false">IF(N(Reales!BK10)&gt;0,Reales!BK10,INDEX(TC_V,1,MIN(10,BK$6)))</f>
        <v>7300</v>
      </c>
      <c r="BL10" s="48" t="n">
        <f aca="false">IF(N(Reales!BL10)&gt;0,Reales!BL10,INDEX(TC_V,1,MIN(10,BL$6)))</f>
        <v>7300</v>
      </c>
      <c r="BM10" s="48" t="n">
        <f aca="false">IF(N(Reales!BM10)&gt;0,Reales!BM10,INDEX(TC_V,1,MIN(10,BM$6)))</f>
        <v>7300</v>
      </c>
      <c r="BN10" s="48" t="n">
        <f aca="false">IF(N(Reales!BN10)&gt;0,Reales!BN10,INDEX(TC_V,1,MIN(10,BN$6)))</f>
        <v>7300</v>
      </c>
      <c r="BO10" s="48" t="n">
        <f aca="false">IF(N(Reales!BO10)&gt;0,Reales!BO10,INDEX(TC_V,1,MIN(10,BO$6)))</f>
        <v>7300</v>
      </c>
      <c r="BP10" s="48" t="n">
        <f aca="false">IF(N(Reales!BP10)&gt;0,Reales!BP10,INDEX(TC_V,1,MIN(10,BP$6)))</f>
        <v>7300</v>
      </c>
      <c r="BQ10" s="48" t="n">
        <f aca="false">IF(N(Reales!BQ10)&gt;0,Reales!BQ10,INDEX(TC_V,1,MIN(10,BQ$6)))</f>
        <v>7300</v>
      </c>
      <c r="BR10" s="48" t="n">
        <f aca="false">IF(N(Reales!BR10)&gt;0,Reales!BR10,INDEX(TC_V,1,MIN(10,BR$6)))</f>
        <v>7300</v>
      </c>
      <c r="BS10" s="48" t="n">
        <f aca="false">IF(N(Reales!BS10)&gt;0,Reales!BS10,INDEX(TC_V,1,MIN(10,BS$6)))</f>
        <v>7300</v>
      </c>
      <c r="BT10" s="48" t="n">
        <f aca="false">IF(N(Reales!BT10)&gt;0,Reales!BT10,INDEX(TC_V,1,MIN(10,BT$6)))</f>
        <v>7300</v>
      </c>
      <c r="BU10" s="48" t="n">
        <f aca="false">IF(N(Reales!BU10)&gt;0,Reales!BU10,INDEX(TC_V,1,MIN(10,BU$6)))</f>
        <v>7300</v>
      </c>
      <c r="BV10" s="48" t="n">
        <f aca="false">IF(N(Reales!BV10)&gt;0,Reales!BV10,INDEX(TC_V,1,MIN(10,BV$6)))</f>
        <v>7300</v>
      </c>
      <c r="BW10" s="48" t="n">
        <f aca="false">IF(N(Reales!BW10)&gt;0,Reales!BW10,INDEX(TC_V,1,MIN(10,BW$6)))</f>
        <v>7300</v>
      </c>
      <c r="BX10" s="48" t="n">
        <f aca="false">IF(N(Reales!BX10)&gt;0,Reales!BX10,INDEX(TC_V,1,MIN(10,BX$6)))</f>
        <v>7300</v>
      </c>
      <c r="BY10" s="48" t="n">
        <f aca="false">IF(N(Reales!BY10)&gt;0,Reales!BY10,INDEX(TC_V,1,MIN(10,BY$6)))</f>
        <v>7300</v>
      </c>
      <c r="BZ10" s="48" t="n">
        <f aca="false">IF(N(Reales!BZ10)&gt;0,Reales!BZ10,INDEX(TC_V,1,MIN(10,BZ$6)))</f>
        <v>7300</v>
      </c>
      <c r="CA10" s="48" t="n">
        <f aca="false">IF(N(Reales!CA10)&gt;0,Reales!CA10,INDEX(TC_V,1,MIN(10,CA$6)))</f>
        <v>7300</v>
      </c>
      <c r="CB10" s="48" t="n">
        <f aca="false">IF(N(Reales!CB10)&gt;0,Reales!CB10,INDEX(TC_V,1,MIN(10,CB$6)))</f>
        <v>7300</v>
      </c>
      <c r="CC10" s="48" t="n">
        <f aca="false">IF(N(Reales!CC10)&gt;0,Reales!CC10,INDEX(TC_V,1,MIN(10,CC$6)))</f>
        <v>7300</v>
      </c>
      <c r="CD10" s="48" t="n">
        <f aca="false">IF(N(Reales!CD10)&gt;0,Reales!CD10,INDEX(TC_V,1,MIN(10,CD$6)))</f>
        <v>7300</v>
      </c>
      <c r="CE10" s="48" t="n">
        <f aca="false">IF(N(Reales!CE10)&gt;0,Reales!CE10,INDEX(TC_V,1,MIN(10,CE$6)))</f>
        <v>7300</v>
      </c>
      <c r="CF10" s="48" t="n">
        <f aca="false">IF(N(Reales!CF10)&gt;0,Reales!CF10,INDEX(TC_V,1,MIN(10,CF$6)))</f>
        <v>7300</v>
      </c>
      <c r="CG10" s="48" t="n">
        <f aca="false">IF(N(Reales!CG10)&gt;0,Reales!CG10,INDEX(TC_V,1,MIN(10,CG$6)))</f>
        <v>7300</v>
      </c>
      <c r="CH10" s="48" t="n">
        <f aca="false">IF(N(Reales!CH10)&gt;0,Reales!CH10,INDEX(TC_V,1,MIN(10,CH$6)))</f>
        <v>7300</v>
      </c>
      <c r="CI10" s="48" t="n">
        <f aca="false">IF(N(Reales!CI10)&gt;0,Reales!CI10,INDEX(TC_V,1,MIN(10,CI$6)))</f>
        <v>7300</v>
      </c>
      <c r="CJ10" s="48" t="n">
        <f aca="false">IF(N(Reales!CJ10)&gt;0,Reales!CJ10,INDEX(TC_V,1,MIN(10,CJ$6)))</f>
        <v>7300</v>
      </c>
      <c r="CK10" s="48" t="n">
        <f aca="false">IF(N(Reales!CK10)&gt;0,Reales!CK10,INDEX(TC_V,1,MIN(10,CK$6)))</f>
        <v>7300</v>
      </c>
      <c r="CL10" s="48" t="n">
        <f aca="false">IF(N(Reales!CL10)&gt;0,Reales!CL10,INDEX(TC_V,1,MIN(10,CL$6)))</f>
        <v>7300</v>
      </c>
      <c r="CM10" s="48" t="n">
        <f aca="false">IF(N(Reales!CM10)&gt;0,Reales!CM10,INDEX(TC_V,1,MIN(10,CM$6)))</f>
        <v>7300</v>
      </c>
      <c r="CN10" s="48" t="n">
        <f aca="false">IF(N(Reales!CN10)&gt;0,Reales!CN10,INDEX(TC_V,1,MIN(10,CN$6)))</f>
        <v>7300</v>
      </c>
      <c r="CO10" s="48" t="n">
        <f aca="false">IF(N(Reales!CO10)&gt;0,Reales!CO10,INDEX(TC_V,1,MIN(10,CO$6)))</f>
        <v>7300</v>
      </c>
      <c r="CP10" s="48" t="n">
        <f aca="false">IF(N(Reales!CP10)&gt;0,Reales!CP10,INDEX(TC_V,1,MIN(10,CP$6)))</f>
        <v>7300</v>
      </c>
      <c r="CQ10" s="48" t="n">
        <f aca="false">IF(N(Reales!CQ10)&gt;0,Reales!CQ10,INDEX(TC_V,1,MIN(10,CQ$6)))</f>
        <v>7300</v>
      </c>
      <c r="CR10" s="48" t="n">
        <f aca="false">IF(N(Reales!CR10)&gt;0,Reales!CR10,INDEX(TC_V,1,MIN(10,CR$6)))</f>
        <v>7300</v>
      </c>
      <c r="CS10" s="48" t="n">
        <f aca="false">IF(N(Reales!CS10)&gt;0,Reales!CS10,INDEX(TC_V,1,MIN(10,CS$6)))</f>
        <v>7300</v>
      </c>
      <c r="CT10" s="48" t="n">
        <f aca="false">IF(N(Reales!CT10)&gt;0,Reales!CT10,INDEX(TC_V,1,MIN(10,CT$6)))</f>
        <v>7300</v>
      </c>
      <c r="CU10" s="48" t="n">
        <f aca="false">IF(N(Reales!CU10)&gt;0,Reales!CU10,INDEX(TC_V,1,MIN(10,CU$6)))</f>
        <v>7300</v>
      </c>
      <c r="CV10" s="48" t="n">
        <f aca="false">IF(N(Reales!CV10)&gt;0,Reales!CV10,INDEX(TC_V,1,MIN(10,CV$6)))</f>
        <v>7300</v>
      </c>
      <c r="CW10" s="48" t="n">
        <f aca="false">IF(N(Reales!CW10)&gt;0,Reales!CW10,INDEX(TC_V,1,MIN(10,CW$6)))</f>
        <v>7300</v>
      </c>
      <c r="CX10" s="48" t="n">
        <f aca="false">IF(N(Reales!CX10)&gt;0,Reales!CX10,INDEX(TC_V,1,MIN(10,CX$6)))</f>
        <v>7300</v>
      </c>
      <c r="CY10" s="48" t="n">
        <f aca="false">IF(N(Reales!CY10)&gt;0,Reales!CY10,INDEX(TC_V,1,MIN(10,CY$6)))</f>
        <v>7300</v>
      </c>
      <c r="CZ10" s="48" t="n">
        <f aca="false">IF(N(Reales!CZ10)&gt;0,Reales!CZ10,INDEX(TC_V,1,MIN(10,CZ$6)))</f>
        <v>7300</v>
      </c>
      <c r="DA10" s="48" t="n">
        <f aca="false">IF(N(Reales!DA10)&gt;0,Reales!DA10,INDEX(TC_V,1,MIN(10,DA$6)))</f>
        <v>7300</v>
      </c>
      <c r="DB10" s="48" t="n">
        <f aca="false">IF(N(Reales!DB10)&gt;0,Reales!DB10,INDEX(TC_V,1,MIN(10,DB$6)))</f>
        <v>7300</v>
      </c>
      <c r="DC10" s="48" t="n">
        <f aca="false">IF(N(Reales!DC10)&gt;0,Reales!DC10,INDEX(TC_V,1,MIN(10,DC$6)))</f>
        <v>7300</v>
      </c>
      <c r="DD10" s="48" t="n">
        <f aca="false">IF(N(Reales!DD10)&gt;0,Reales!DD10,INDEX(TC_V,1,MIN(10,DD$6)))</f>
        <v>7300</v>
      </c>
      <c r="DE10" s="48" t="n">
        <f aca="false">IF(N(Reales!DE10)&gt;0,Reales!DE10,INDEX(TC_V,1,MIN(10,DE$6)))</f>
        <v>7300</v>
      </c>
      <c r="DF10" s="48" t="n">
        <f aca="false">IF(N(Reales!DF10)&gt;0,Reales!DF10,INDEX(TC_V,1,MIN(10,DF$6)))</f>
        <v>7300</v>
      </c>
      <c r="DG10" s="48" t="n">
        <f aca="false">IF(N(Reales!DG10)&gt;0,Reales!DG10,INDEX(TC_V,1,MIN(10,DG$6)))</f>
        <v>7300</v>
      </c>
      <c r="DH10" s="48" t="n">
        <f aca="false">IF(N(Reales!DH10)&gt;0,Reales!DH10,INDEX(TC_V,1,MIN(10,DH$6)))</f>
        <v>7300</v>
      </c>
      <c r="DI10" s="48" t="n">
        <f aca="false">IF(N(Reales!DI10)&gt;0,Reales!DI10,INDEX(TC_V,1,MIN(10,DI$6)))</f>
        <v>7300</v>
      </c>
      <c r="DJ10" s="48" t="n">
        <f aca="false">IF(N(Reales!DJ10)&gt;0,Reales!DJ10,INDEX(TC_V,1,MIN(10,DJ$6)))</f>
        <v>7300</v>
      </c>
      <c r="DK10" s="48" t="n">
        <f aca="false">IF(N(Reales!DK10)&gt;0,Reales!DK10,INDEX(TC_V,1,MIN(10,DK$6)))</f>
        <v>7300</v>
      </c>
      <c r="DL10" s="48" t="n">
        <f aca="false">IF(N(Reales!DL10)&gt;0,Reales!DL10,INDEX(TC_V,1,MIN(10,DL$6)))</f>
        <v>7300</v>
      </c>
      <c r="DM10" s="48" t="n">
        <f aca="false">IF(N(Reales!DM10)&gt;0,Reales!DM10,INDEX(TC_V,1,MIN(10,DM$6)))</f>
        <v>7300</v>
      </c>
      <c r="DN10" s="48" t="n">
        <f aca="false">IF(N(Reales!DN10)&gt;0,Reales!DN10,INDEX(TC_V,1,MIN(10,DN$6)))</f>
        <v>7300</v>
      </c>
      <c r="DO10" s="48" t="n">
        <f aca="false">IF(N(Reales!DO10)&gt;0,Reales!DO10,INDEX(TC_V,1,MIN(10,DO$6)))</f>
        <v>7300</v>
      </c>
      <c r="DP10" s="48" t="n">
        <f aca="false">IF(N(Reales!DP10)&gt;0,Reales!DP10,INDEX(TC_V,1,MIN(10,DP$6)))</f>
        <v>7300</v>
      </c>
      <c r="DQ10" s="48" t="n">
        <f aca="false">IF(N(Reales!DQ10)&gt;0,Reales!DQ10,INDEX(TC_V,1,MIN(10,DQ$6)))</f>
        <v>7300</v>
      </c>
      <c r="DR10" s="48" t="n">
        <f aca="false">IF(N(Reales!DR10)&gt;0,Reales!DR10,INDEX(TC_V,1,MIN(10,DR$6)))</f>
        <v>7300</v>
      </c>
      <c r="DS10" s="48" t="n">
        <f aca="false">IF(N(Reales!DS10)&gt;0,Reales!DS10,INDEX(TC_V,1,MIN(10,DS$6)))</f>
        <v>7300</v>
      </c>
      <c r="DT10" s="48" t="n">
        <f aca="false">IF(N(Reales!DT10)&gt;0,Reales!DT10,INDEX(TC_V,1,MIN(10,DT$6)))</f>
        <v>7300</v>
      </c>
      <c r="DU10" s="48" t="n">
        <f aca="false">IF(N(Reales!DU10)&gt;0,Reales!DU10,INDEX(TC_V,1,MIN(10,DU$6)))</f>
        <v>7300</v>
      </c>
      <c r="DV10" s="48" t="n">
        <f aca="false">IF(N(Reales!DV10)&gt;0,Reales!DV10,INDEX(TC_V,1,MIN(10,DV$6)))</f>
        <v>7300</v>
      </c>
      <c r="DW10" s="48" t="n">
        <f aca="false">IF(N(Reales!DW10)&gt;0,Reales!DW10,INDEX(TC_V,1,MIN(10,DW$6)))</f>
        <v>7300</v>
      </c>
      <c r="DX10" s="48" t="n">
        <f aca="false">IF(N(Reales!DX10)&gt;0,Reales!DX10,INDEX(TC_V,1,MIN(10,DX$6)))</f>
        <v>7300</v>
      </c>
      <c r="DY10" s="48" t="n">
        <f aca="false">IF(N(Reales!DY10)&gt;0,Reales!DY10,INDEX(TC_V,1,MIN(10,DY$6)))</f>
        <v>7300</v>
      </c>
      <c r="DZ10" s="48" t="n">
        <f aca="false">IF(N(Reales!DZ10)&gt;0,Reales!DZ10,INDEX(TC_V,1,MIN(10,DZ$6)))</f>
        <v>7300</v>
      </c>
      <c r="EA10" s="48" t="n">
        <f aca="false">IF(N(Reales!EA10)&gt;0,Reales!EA10,INDEX(TC_V,1,MIN(10,EA$6)))</f>
        <v>7300</v>
      </c>
      <c r="EB10" s="48" t="n">
        <f aca="false">IF(N(Reales!EB10)&gt;0,Reales!EB10,INDEX(TC_V,1,MIN(10,EB$6)))</f>
        <v>7300</v>
      </c>
      <c r="EC10" s="48" t="n">
        <f aca="false">IF(N(Reales!EC10)&gt;0,Reales!EC10,INDEX(TC_V,1,MIN(10,EC$6)))</f>
        <v>7300</v>
      </c>
      <c r="ED10" s="48" t="n">
        <f aca="false">IF(N(Reales!ED10)&gt;0,Reales!ED10,INDEX(TC_V,1,MIN(10,ED$6)))</f>
        <v>7300</v>
      </c>
      <c r="EE10" s="48" t="n">
        <f aca="false">IF(N(Reales!EE10)&gt;0,Reales!EE10,INDEX(TC_V,1,MIN(10,EE$6)))</f>
        <v>7300</v>
      </c>
      <c r="EF10" s="48" t="n">
        <f aca="false">IF(N(Reales!EF10)&gt;0,Reales!EF10,INDEX(TC_V,1,MIN(10,EF$6)))</f>
        <v>7300</v>
      </c>
      <c r="EG10" s="48" t="n">
        <f aca="false">IF(N(Reales!EG10)&gt;0,Reales!EG10,INDEX(TC_V,1,MIN(10,EG$6)))</f>
        <v>7300</v>
      </c>
      <c r="EH10" s="48" t="n">
        <f aca="false">IF(N(Reales!EH10)&gt;0,Reales!EH10,INDEX(TC_V,1,MIN(10,EH$6)))</f>
        <v>7300</v>
      </c>
      <c r="EI10" s="48" t="n">
        <f aca="false">IF(N(Reales!EI10)&gt;0,Reales!EI10,INDEX(TC_V,1,MIN(10,EI$6)))</f>
        <v>7300</v>
      </c>
      <c r="EJ10" s="48" t="n">
        <f aca="false">IF(N(Reales!EJ10)&gt;0,Reales!EJ10,INDEX(TC_V,1,MIN(10,EJ$6)))</f>
        <v>7300</v>
      </c>
      <c r="EK10" s="48" t="n">
        <f aca="false">IF(N(Reales!EK10)&gt;0,Reales!EK10,INDEX(TC_V,1,MIN(10,EK$6)))</f>
        <v>7300</v>
      </c>
      <c r="EL10" s="48" t="n">
        <f aca="false">IF(N(Reales!EL10)&gt;0,Reales!EL10,INDEX(TC_V,1,MIN(10,EL$6)))</f>
        <v>7300</v>
      </c>
      <c r="EM10" s="48" t="n">
        <f aca="false">IF(N(Reales!EM10)&gt;0,Reales!EM10,INDEX(TC_V,1,MIN(10,EM$6)))</f>
        <v>7300</v>
      </c>
      <c r="EN10" s="48" t="n">
        <f aca="false">IF(N(Reales!EN10)&gt;0,Reales!EN10,INDEX(TC_V,1,MIN(10,EN$6)))</f>
        <v>7300</v>
      </c>
      <c r="EO10" s="48" t="n">
        <f aca="false">IF(N(Reales!EO10)&gt;0,Reales!EO10,INDEX(TC_V,1,MIN(10,EO$6)))</f>
        <v>7300</v>
      </c>
      <c r="EP10" s="48" t="n">
        <f aca="false">IF(N(Reales!EP10)&gt;0,Reales!EP10,INDEX(TC_V,1,MIN(10,EP$6)))</f>
        <v>7300</v>
      </c>
      <c r="EQ10" s="48" t="n">
        <f aca="false">IF(N(Reales!EQ10)&gt;0,Reales!EQ10,INDEX(TC_V,1,MIN(10,EQ$6)))</f>
        <v>7300</v>
      </c>
      <c r="ER10" s="48" t="n">
        <f aca="false">IF(N(Reales!ER10)&gt;0,Reales!ER10,INDEX(TC_V,1,MIN(10,ER$6)))</f>
        <v>7300</v>
      </c>
      <c r="ES10" s="48" t="n">
        <f aca="false">IF(N(Reales!ES10)&gt;0,Reales!ES10,INDEX(TC_V,1,MIN(10,ES$6)))</f>
        <v>7300</v>
      </c>
    </row>
    <row r="12" customFormat="false" ht="15" hidden="false" customHeight="false" outlineLevel="0" collapsed="false">
      <c r="A12" s="64"/>
      <c r="B12" s="65" t="s">
        <v>1050</v>
      </c>
      <c r="C12" s="64"/>
      <c r="D12" s="64"/>
      <c r="E12" s="64"/>
    </row>
    <row r="13" customFormat="false" ht="15" hidden="false" customHeight="false" outlineLevel="0" collapsed="false">
      <c r="A13" s="13"/>
      <c r="B13" s="12" t="s">
        <v>1051</v>
      </c>
      <c r="C13" s="13"/>
      <c r="D13" s="13"/>
      <c r="E13" s="13"/>
    </row>
    <row r="14" customFormat="false" ht="15" hidden="false" customHeight="false" outlineLevel="0" collapsed="false">
      <c r="A14" s="11" t="s">
        <v>1052</v>
      </c>
      <c r="B14" s="15" t="s">
        <v>1053</v>
      </c>
      <c r="C14" s="15" t="s">
        <v>1054</v>
      </c>
      <c r="F14" s="34" t="n">
        <f aca="false">IF(AND(1&gt;=P_Inicio,1&lt;=Fin),INT((1-P_Inicio)/12)+1,0)</f>
        <v>1</v>
      </c>
      <c r="G14" s="34" t="n">
        <f aca="false">IF(AND(2&gt;=P_Inicio,2&lt;=Fin),INT((2-P_Inicio)/12)+1,0)</f>
        <v>1</v>
      </c>
      <c r="H14" s="34" t="n">
        <f aca="false">IF(AND(3&gt;=P_Inicio,3&lt;=Fin),INT((3-P_Inicio)/12)+1,0)</f>
        <v>1</v>
      </c>
      <c r="I14" s="34" t="n">
        <f aca="false">IF(AND(4&gt;=P_Inicio,4&lt;=Fin),INT((4-P_Inicio)/12)+1,0)</f>
        <v>1</v>
      </c>
      <c r="J14" s="34" t="n">
        <f aca="false">IF(AND(5&gt;=P_Inicio,5&lt;=Fin),INT((5-P_Inicio)/12)+1,0)</f>
        <v>1</v>
      </c>
      <c r="K14" s="34" t="n">
        <f aca="false">IF(AND(6&gt;=P_Inicio,6&lt;=Fin),INT((6-P_Inicio)/12)+1,0)</f>
        <v>1</v>
      </c>
      <c r="L14" s="34" t="n">
        <f aca="false">IF(AND(7&gt;=P_Inicio,7&lt;=Fin),INT((7-P_Inicio)/12)+1,0)</f>
        <v>1</v>
      </c>
      <c r="M14" s="34" t="n">
        <f aca="false">IF(AND(8&gt;=P_Inicio,8&lt;=Fin),INT((8-P_Inicio)/12)+1,0)</f>
        <v>1</v>
      </c>
      <c r="N14" s="34" t="n">
        <f aca="false">IF(AND(9&gt;=P_Inicio,9&lt;=Fin),INT((9-P_Inicio)/12)+1,0)</f>
        <v>1</v>
      </c>
      <c r="O14" s="34" t="n">
        <f aca="false">IF(AND(10&gt;=P_Inicio,10&lt;=Fin),INT((10-P_Inicio)/12)+1,0)</f>
        <v>1</v>
      </c>
      <c r="P14" s="34" t="n">
        <f aca="false">IF(AND(11&gt;=P_Inicio,11&lt;=Fin),INT((11-P_Inicio)/12)+1,0)</f>
        <v>1</v>
      </c>
      <c r="Q14" s="34" t="n">
        <f aca="false">IF(AND(12&gt;=P_Inicio,12&lt;=Fin),INT((12-P_Inicio)/12)+1,0)</f>
        <v>1</v>
      </c>
      <c r="R14" s="34" t="n">
        <f aca="false">IF(AND(13&gt;=P_Inicio,13&lt;=Fin),INT((13-P_Inicio)/12)+1,0)</f>
        <v>2</v>
      </c>
      <c r="S14" s="34" t="n">
        <f aca="false">IF(AND(14&gt;=P_Inicio,14&lt;=Fin),INT((14-P_Inicio)/12)+1,0)</f>
        <v>2</v>
      </c>
      <c r="T14" s="34" t="n">
        <f aca="false">IF(AND(15&gt;=P_Inicio,15&lt;=Fin),INT((15-P_Inicio)/12)+1,0)</f>
        <v>2</v>
      </c>
      <c r="U14" s="34" t="n">
        <f aca="false">IF(AND(16&gt;=P_Inicio,16&lt;=Fin),INT((16-P_Inicio)/12)+1,0)</f>
        <v>2</v>
      </c>
      <c r="V14" s="34" t="n">
        <f aca="false">IF(AND(17&gt;=P_Inicio,17&lt;=Fin),INT((17-P_Inicio)/12)+1,0)</f>
        <v>2</v>
      </c>
      <c r="W14" s="34" t="n">
        <f aca="false">IF(AND(18&gt;=P_Inicio,18&lt;=Fin),INT((18-P_Inicio)/12)+1,0)</f>
        <v>2</v>
      </c>
      <c r="X14" s="34" t="n">
        <f aca="false">IF(AND(19&gt;=P_Inicio,19&lt;=Fin),INT((19-P_Inicio)/12)+1,0)</f>
        <v>2</v>
      </c>
      <c r="Y14" s="34" t="n">
        <f aca="false">IF(AND(20&gt;=P_Inicio,20&lt;=Fin),INT((20-P_Inicio)/12)+1,0)</f>
        <v>2</v>
      </c>
      <c r="Z14" s="34" t="n">
        <f aca="false">IF(AND(21&gt;=P_Inicio,21&lt;=Fin),INT((21-P_Inicio)/12)+1,0)</f>
        <v>2</v>
      </c>
      <c r="AA14" s="34" t="n">
        <f aca="false">IF(AND(22&gt;=P_Inicio,22&lt;=Fin),INT((22-P_Inicio)/12)+1,0)</f>
        <v>2</v>
      </c>
      <c r="AB14" s="34" t="n">
        <f aca="false">IF(AND(23&gt;=P_Inicio,23&lt;=Fin),INT((23-P_Inicio)/12)+1,0)</f>
        <v>2</v>
      </c>
      <c r="AC14" s="34" t="n">
        <f aca="false">IF(AND(24&gt;=P_Inicio,24&lt;=Fin),INT((24-P_Inicio)/12)+1,0)</f>
        <v>2</v>
      </c>
      <c r="AD14" s="34" t="n">
        <f aca="false">IF(AND(25&gt;=P_Inicio,25&lt;=Fin),INT((25-P_Inicio)/12)+1,0)</f>
        <v>3</v>
      </c>
      <c r="AE14" s="34" t="n">
        <f aca="false">IF(AND(26&gt;=P_Inicio,26&lt;=Fin),INT((26-P_Inicio)/12)+1,0)</f>
        <v>3</v>
      </c>
      <c r="AF14" s="34" t="n">
        <f aca="false">IF(AND(27&gt;=P_Inicio,27&lt;=Fin),INT((27-P_Inicio)/12)+1,0)</f>
        <v>3</v>
      </c>
      <c r="AG14" s="34" t="n">
        <f aca="false">IF(AND(28&gt;=P_Inicio,28&lt;=Fin),INT((28-P_Inicio)/12)+1,0)</f>
        <v>3</v>
      </c>
      <c r="AH14" s="34" t="n">
        <f aca="false">IF(AND(29&gt;=P_Inicio,29&lt;=Fin),INT((29-P_Inicio)/12)+1,0)</f>
        <v>3</v>
      </c>
      <c r="AI14" s="34" t="n">
        <f aca="false">IF(AND(30&gt;=P_Inicio,30&lt;=Fin),INT((30-P_Inicio)/12)+1,0)</f>
        <v>3</v>
      </c>
      <c r="AJ14" s="34" t="n">
        <f aca="false">IF(AND(31&gt;=P_Inicio,31&lt;=Fin),INT((31-P_Inicio)/12)+1,0)</f>
        <v>3</v>
      </c>
      <c r="AK14" s="34" t="n">
        <f aca="false">IF(AND(32&gt;=P_Inicio,32&lt;=Fin),INT((32-P_Inicio)/12)+1,0)</f>
        <v>3</v>
      </c>
      <c r="AL14" s="34" t="n">
        <f aca="false">IF(AND(33&gt;=P_Inicio,33&lt;=Fin),INT((33-P_Inicio)/12)+1,0)</f>
        <v>3</v>
      </c>
      <c r="AM14" s="34" t="n">
        <f aca="false">IF(AND(34&gt;=P_Inicio,34&lt;=Fin),INT((34-P_Inicio)/12)+1,0)</f>
        <v>3</v>
      </c>
      <c r="AN14" s="34" t="n">
        <f aca="false">IF(AND(35&gt;=P_Inicio,35&lt;=Fin),INT((35-P_Inicio)/12)+1,0)</f>
        <v>3</v>
      </c>
      <c r="AO14" s="34" t="n">
        <f aca="false">IF(AND(36&gt;=P_Inicio,36&lt;=Fin),INT((36-P_Inicio)/12)+1,0)</f>
        <v>3</v>
      </c>
      <c r="AP14" s="34" t="n">
        <f aca="false">IF(AND(37&gt;=P_Inicio,37&lt;=Fin),INT((37-P_Inicio)/12)+1,0)</f>
        <v>4</v>
      </c>
      <c r="AQ14" s="34" t="n">
        <f aca="false">IF(AND(38&gt;=P_Inicio,38&lt;=Fin),INT((38-P_Inicio)/12)+1,0)</f>
        <v>4</v>
      </c>
      <c r="AR14" s="34" t="n">
        <f aca="false">IF(AND(39&gt;=P_Inicio,39&lt;=Fin),INT((39-P_Inicio)/12)+1,0)</f>
        <v>4</v>
      </c>
      <c r="AS14" s="34" t="n">
        <f aca="false">IF(AND(40&gt;=P_Inicio,40&lt;=Fin),INT((40-P_Inicio)/12)+1,0)</f>
        <v>4</v>
      </c>
      <c r="AT14" s="34" t="n">
        <f aca="false">IF(AND(41&gt;=P_Inicio,41&lt;=Fin),INT((41-P_Inicio)/12)+1,0)</f>
        <v>4</v>
      </c>
      <c r="AU14" s="34" t="n">
        <f aca="false">IF(AND(42&gt;=P_Inicio,42&lt;=Fin),INT((42-P_Inicio)/12)+1,0)</f>
        <v>4</v>
      </c>
      <c r="AV14" s="34" t="n">
        <f aca="false">IF(AND(43&gt;=P_Inicio,43&lt;=Fin),INT((43-P_Inicio)/12)+1,0)</f>
        <v>4</v>
      </c>
      <c r="AW14" s="34" t="n">
        <f aca="false">IF(AND(44&gt;=P_Inicio,44&lt;=Fin),INT((44-P_Inicio)/12)+1,0)</f>
        <v>4</v>
      </c>
      <c r="AX14" s="34" t="n">
        <f aca="false">IF(AND(45&gt;=P_Inicio,45&lt;=Fin),INT((45-P_Inicio)/12)+1,0)</f>
        <v>4</v>
      </c>
      <c r="AY14" s="34" t="n">
        <f aca="false">IF(AND(46&gt;=P_Inicio,46&lt;=Fin),INT((46-P_Inicio)/12)+1,0)</f>
        <v>4</v>
      </c>
      <c r="AZ14" s="34" t="n">
        <f aca="false">IF(AND(47&gt;=P_Inicio,47&lt;=Fin),INT((47-P_Inicio)/12)+1,0)</f>
        <v>4</v>
      </c>
      <c r="BA14" s="34" t="n">
        <f aca="false">IF(AND(48&gt;=P_Inicio,48&lt;=Fin),INT((48-P_Inicio)/12)+1,0)</f>
        <v>4</v>
      </c>
      <c r="BB14" s="34" t="n">
        <f aca="false">IF(AND(49&gt;=P_Inicio,49&lt;=Fin),INT((49-P_Inicio)/12)+1,0)</f>
        <v>5</v>
      </c>
      <c r="BC14" s="34" t="n">
        <f aca="false">IF(AND(50&gt;=P_Inicio,50&lt;=Fin),INT((50-P_Inicio)/12)+1,0)</f>
        <v>5</v>
      </c>
      <c r="BD14" s="34" t="n">
        <f aca="false">IF(AND(51&gt;=P_Inicio,51&lt;=Fin),INT((51-P_Inicio)/12)+1,0)</f>
        <v>5</v>
      </c>
      <c r="BE14" s="34" t="n">
        <f aca="false">IF(AND(52&gt;=P_Inicio,52&lt;=Fin),INT((52-P_Inicio)/12)+1,0)</f>
        <v>5</v>
      </c>
      <c r="BF14" s="34" t="n">
        <f aca="false">IF(AND(53&gt;=P_Inicio,53&lt;=Fin),INT((53-P_Inicio)/12)+1,0)</f>
        <v>5</v>
      </c>
      <c r="BG14" s="34" t="n">
        <f aca="false">IF(AND(54&gt;=P_Inicio,54&lt;=Fin),INT((54-P_Inicio)/12)+1,0)</f>
        <v>5</v>
      </c>
      <c r="BH14" s="34" t="n">
        <f aca="false">IF(AND(55&gt;=P_Inicio,55&lt;=Fin),INT((55-P_Inicio)/12)+1,0)</f>
        <v>5</v>
      </c>
      <c r="BI14" s="34" t="n">
        <f aca="false">IF(AND(56&gt;=P_Inicio,56&lt;=Fin),INT((56-P_Inicio)/12)+1,0)</f>
        <v>5</v>
      </c>
      <c r="BJ14" s="34" t="n">
        <f aca="false">IF(AND(57&gt;=P_Inicio,57&lt;=Fin),INT((57-P_Inicio)/12)+1,0)</f>
        <v>5</v>
      </c>
      <c r="BK14" s="34" t="n">
        <f aca="false">IF(AND(58&gt;=P_Inicio,58&lt;=Fin),INT((58-P_Inicio)/12)+1,0)</f>
        <v>5</v>
      </c>
      <c r="BL14" s="34" t="n">
        <f aca="false">IF(AND(59&gt;=P_Inicio,59&lt;=Fin),INT((59-P_Inicio)/12)+1,0)</f>
        <v>5</v>
      </c>
      <c r="BM14" s="34" t="n">
        <f aca="false">IF(AND(60&gt;=P_Inicio,60&lt;=Fin),INT((60-P_Inicio)/12)+1,0)</f>
        <v>5</v>
      </c>
      <c r="BN14" s="34" t="n">
        <f aca="false">IF(AND(61&gt;=P_Inicio,61&lt;=Fin),INT((61-P_Inicio)/12)+1,0)</f>
        <v>6</v>
      </c>
      <c r="BO14" s="34" t="n">
        <f aca="false">IF(AND(62&gt;=P_Inicio,62&lt;=Fin),INT((62-P_Inicio)/12)+1,0)</f>
        <v>6</v>
      </c>
      <c r="BP14" s="34" t="n">
        <f aca="false">IF(AND(63&gt;=P_Inicio,63&lt;=Fin),INT((63-P_Inicio)/12)+1,0)</f>
        <v>6</v>
      </c>
      <c r="BQ14" s="34" t="n">
        <f aca="false">IF(AND(64&gt;=P_Inicio,64&lt;=Fin),INT((64-P_Inicio)/12)+1,0)</f>
        <v>6</v>
      </c>
      <c r="BR14" s="34" t="n">
        <f aca="false">IF(AND(65&gt;=P_Inicio,65&lt;=Fin),INT((65-P_Inicio)/12)+1,0)</f>
        <v>6</v>
      </c>
      <c r="BS14" s="34" t="n">
        <f aca="false">IF(AND(66&gt;=P_Inicio,66&lt;=Fin),INT((66-P_Inicio)/12)+1,0)</f>
        <v>6</v>
      </c>
      <c r="BT14" s="34" t="n">
        <f aca="false">IF(AND(67&gt;=P_Inicio,67&lt;=Fin),INT((67-P_Inicio)/12)+1,0)</f>
        <v>6</v>
      </c>
      <c r="BU14" s="34" t="n">
        <f aca="false">IF(AND(68&gt;=P_Inicio,68&lt;=Fin),INT((68-P_Inicio)/12)+1,0)</f>
        <v>6</v>
      </c>
      <c r="BV14" s="34" t="n">
        <f aca="false">IF(AND(69&gt;=P_Inicio,69&lt;=Fin),INT((69-P_Inicio)/12)+1,0)</f>
        <v>6</v>
      </c>
      <c r="BW14" s="34" t="n">
        <f aca="false">IF(AND(70&gt;=P_Inicio,70&lt;=Fin),INT((70-P_Inicio)/12)+1,0)</f>
        <v>6</v>
      </c>
      <c r="BX14" s="34" t="n">
        <f aca="false">IF(AND(71&gt;=P_Inicio,71&lt;=Fin),INT((71-P_Inicio)/12)+1,0)</f>
        <v>6</v>
      </c>
      <c r="BY14" s="34" t="n">
        <f aca="false">IF(AND(72&gt;=P_Inicio,72&lt;=Fin),INT((72-P_Inicio)/12)+1,0)</f>
        <v>6</v>
      </c>
      <c r="BZ14" s="34" t="n">
        <f aca="false">IF(AND(73&gt;=P_Inicio,73&lt;=Fin),INT((73-P_Inicio)/12)+1,0)</f>
        <v>7</v>
      </c>
      <c r="CA14" s="34" t="n">
        <f aca="false">IF(AND(74&gt;=P_Inicio,74&lt;=Fin),INT((74-P_Inicio)/12)+1,0)</f>
        <v>7</v>
      </c>
      <c r="CB14" s="34" t="n">
        <f aca="false">IF(AND(75&gt;=P_Inicio,75&lt;=Fin),INT((75-P_Inicio)/12)+1,0)</f>
        <v>7</v>
      </c>
      <c r="CC14" s="34" t="n">
        <f aca="false">IF(AND(76&gt;=P_Inicio,76&lt;=Fin),INT((76-P_Inicio)/12)+1,0)</f>
        <v>7</v>
      </c>
      <c r="CD14" s="34" t="n">
        <f aca="false">IF(AND(77&gt;=P_Inicio,77&lt;=Fin),INT((77-P_Inicio)/12)+1,0)</f>
        <v>7</v>
      </c>
      <c r="CE14" s="34" t="n">
        <f aca="false">IF(AND(78&gt;=P_Inicio,78&lt;=Fin),INT((78-P_Inicio)/12)+1,0)</f>
        <v>7</v>
      </c>
      <c r="CF14" s="34" t="n">
        <f aca="false">IF(AND(79&gt;=P_Inicio,79&lt;=Fin),INT((79-P_Inicio)/12)+1,0)</f>
        <v>7</v>
      </c>
      <c r="CG14" s="34" t="n">
        <f aca="false">IF(AND(80&gt;=P_Inicio,80&lt;=Fin),INT((80-P_Inicio)/12)+1,0)</f>
        <v>7</v>
      </c>
      <c r="CH14" s="34" t="n">
        <f aca="false">IF(AND(81&gt;=P_Inicio,81&lt;=Fin),INT((81-P_Inicio)/12)+1,0)</f>
        <v>7</v>
      </c>
      <c r="CI14" s="34" t="n">
        <f aca="false">IF(AND(82&gt;=P_Inicio,82&lt;=Fin),INT((82-P_Inicio)/12)+1,0)</f>
        <v>7</v>
      </c>
      <c r="CJ14" s="34" t="n">
        <f aca="false">IF(AND(83&gt;=P_Inicio,83&lt;=Fin),INT((83-P_Inicio)/12)+1,0)</f>
        <v>7</v>
      </c>
      <c r="CK14" s="34" t="n">
        <f aca="false">IF(AND(84&gt;=P_Inicio,84&lt;=Fin),INT((84-P_Inicio)/12)+1,0)</f>
        <v>7</v>
      </c>
      <c r="CL14" s="34" t="n">
        <f aca="false">IF(AND(85&gt;=P_Inicio,85&lt;=Fin),INT((85-P_Inicio)/12)+1,0)</f>
        <v>8</v>
      </c>
      <c r="CM14" s="34" t="n">
        <f aca="false">IF(AND(86&gt;=P_Inicio,86&lt;=Fin),INT((86-P_Inicio)/12)+1,0)</f>
        <v>8</v>
      </c>
      <c r="CN14" s="34" t="n">
        <f aca="false">IF(AND(87&gt;=P_Inicio,87&lt;=Fin),INT((87-P_Inicio)/12)+1,0)</f>
        <v>8</v>
      </c>
      <c r="CO14" s="34" t="n">
        <f aca="false">IF(AND(88&gt;=P_Inicio,88&lt;=Fin),INT((88-P_Inicio)/12)+1,0)</f>
        <v>8</v>
      </c>
      <c r="CP14" s="34" t="n">
        <f aca="false">IF(AND(89&gt;=P_Inicio,89&lt;=Fin),INT((89-P_Inicio)/12)+1,0)</f>
        <v>8</v>
      </c>
      <c r="CQ14" s="34" t="n">
        <f aca="false">IF(AND(90&gt;=P_Inicio,90&lt;=Fin),INT((90-P_Inicio)/12)+1,0)</f>
        <v>8</v>
      </c>
      <c r="CR14" s="34" t="n">
        <f aca="false">IF(AND(91&gt;=P_Inicio,91&lt;=Fin),INT((91-P_Inicio)/12)+1,0)</f>
        <v>8</v>
      </c>
      <c r="CS14" s="34" t="n">
        <f aca="false">IF(AND(92&gt;=P_Inicio,92&lt;=Fin),INT((92-P_Inicio)/12)+1,0)</f>
        <v>8</v>
      </c>
      <c r="CT14" s="34" t="n">
        <f aca="false">IF(AND(93&gt;=P_Inicio,93&lt;=Fin),INT((93-P_Inicio)/12)+1,0)</f>
        <v>8</v>
      </c>
      <c r="CU14" s="34" t="n">
        <f aca="false">IF(AND(94&gt;=P_Inicio,94&lt;=Fin),INT((94-P_Inicio)/12)+1,0)</f>
        <v>8</v>
      </c>
      <c r="CV14" s="34" t="n">
        <f aca="false">IF(AND(95&gt;=P_Inicio,95&lt;=Fin),INT((95-P_Inicio)/12)+1,0)</f>
        <v>8</v>
      </c>
      <c r="CW14" s="34" t="n">
        <f aca="false">IF(AND(96&gt;=P_Inicio,96&lt;=Fin),INT((96-P_Inicio)/12)+1,0)</f>
        <v>8</v>
      </c>
      <c r="CX14" s="34" t="n">
        <f aca="false">IF(AND(97&gt;=P_Inicio,97&lt;=Fin),INT((97-P_Inicio)/12)+1,0)</f>
        <v>9</v>
      </c>
      <c r="CY14" s="34" t="n">
        <f aca="false">IF(AND(98&gt;=P_Inicio,98&lt;=Fin),INT((98-P_Inicio)/12)+1,0)</f>
        <v>9</v>
      </c>
      <c r="CZ14" s="34" t="n">
        <f aca="false">IF(AND(99&gt;=P_Inicio,99&lt;=Fin),INT((99-P_Inicio)/12)+1,0)</f>
        <v>9</v>
      </c>
      <c r="DA14" s="34" t="n">
        <f aca="false">IF(AND(100&gt;=P_Inicio,100&lt;=Fin),INT((100-P_Inicio)/12)+1,0)</f>
        <v>9</v>
      </c>
      <c r="DB14" s="34" t="n">
        <f aca="false">IF(AND(101&gt;=P_Inicio,101&lt;=Fin),INT((101-P_Inicio)/12)+1,0)</f>
        <v>9</v>
      </c>
      <c r="DC14" s="34" t="n">
        <f aca="false">IF(AND(102&gt;=P_Inicio,102&lt;=Fin),INT((102-P_Inicio)/12)+1,0)</f>
        <v>9</v>
      </c>
      <c r="DD14" s="34" t="n">
        <f aca="false">IF(AND(103&gt;=P_Inicio,103&lt;=Fin),INT((103-P_Inicio)/12)+1,0)</f>
        <v>9</v>
      </c>
      <c r="DE14" s="34" t="n">
        <f aca="false">IF(AND(104&gt;=P_Inicio,104&lt;=Fin),INT((104-P_Inicio)/12)+1,0)</f>
        <v>9</v>
      </c>
      <c r="DF14" s="34" t="n">
        <f aca="false">IF(AND(105&gt;=P_Inicio,105&lt;=Fin),INT((105-P_Inicio)/12)+1,0)</f>
        <v>9</v>
      </c>
      <c r="DG14" s="34" t="n">
        <f aca="false">IF(AND(106&gt;=P_Inicio,106&lt;=Fin),INT((106-P_Inicio)/12)+1,0)</f>
        <v>9</v>
      </c>
      <c r="DH14" s="34" t="n">
        <f aca="false">IF(AND(107&gt;=P_Inicio,107&lt;=Fin),INT((107-P_Inicio)/12)+1,0)</f>
        <v>9</v>
      </c>
      <c r="DI14" s="34" t="n">
        <f aca="false">IF(AND(108&gt;=P_Inicio,108&lt;=Fin),INT((108-P_Inicio)/12)+1,0)</f>
        <v>9</v>
      </c>
      <c r="DJ14" s="34" t="n">
        <f aca="false">IF(AND(109&gt;=P_Inicio,109&lt;=Fin),INT((109-P_Inicio)/12)+1,0)</f>
        <v>10</v>
      </c>
      <c r="DK14" s="34" t="n">
        <f aca="false">IF(AND(110&gt;=P_Inicio,110&lt;=Fin),INT((110-P_Inicio)/12)+1,0)</f>
        <v>10</v>
      </c>
      <c r="DL14" s="34" t="n">
        <f aca="false">IF(AND(111&gt;=P_Inicio,111&lt;=Fin),INT((111-P_Inicio)/12)+1,0)</f>
        <v>10</v>
      </c>
      <c r="DM14" s="34" t="n">
        <f aca="false">IF(AND(112&gt;=P_Inicio,112&lt;=Fin),INT((112-P_Inicio)/12)+1,0)</f>
        <v>10</v>
      </c>
      <c r="DN14" s="34" t="n">
        <f aca="false">IF(AND(113&gt;=P_Inicio,113&lt;=Fin),INT((113-P_Inicio)/12)+1,0)</f>
        <v>10</v>
      </c>
      <c r="DO14" s="34" t="n">
        <f aca="false">IF(AND(114&gt;=P_Inicio,114&lt;=Fin),INT((114-P_Inicio)/12)+1,0)</f>
        <v>10</v>
      </c>
      <c r="DP14" s="34" t="n">
        <f aca="false">IF(AND(115&gt;=P_Inicio,115&lt;=Fin),INT((115-P_Inicio)/12)+1,0)</f>
        <v>10</v>
      </c>
      <c r="DQ14" s="34" t="n">
        <f aca="false">IF(AND(116&gt;=P_Inicio,116&lt;=Fin),INT((116-P_Inicio)/12)+1,0)</f>
        <v>10</v>
      </c>
      <c r="DR14" s="34" t="n">
        <f aca="false">IF(AND(117&gt;=P_Inicio,117&lt;=Fin),INT((117-P_Inicio)/12)+1,0)</f>
        <v>10</v>
      </c>
      <c r="DS14" s="34" t="n">
        <f aca="false">IF(AND(118&gt;=P_Inicio,118&lt;=Fin),INT((118-P_Inicio)/12)+1,0)</f>
        <v>10</v>
      </c>
      <c r="DT14" s="34" t="n">
        <f aca="false">IF(AND(119&gt;=P_Inicio,119&lt;=Fin),INT((119-P_Inicio)/12)+1,0)</f>
        <v>10</v>
      </c>
      <c r="DU14" s="34" t="n">
        <f aca="false">IF(AND(120&gt;=P_Inicio,120&lt;=Fin),INT((120-P_Inicio)/12)+1,0)</f>
        <v>10</v>
      </c>
      <c r="DV14" s="34" t="n">
        <f aca="false">IF(AND(121&gt;=P_Inicio,121&lt;=Fin),INT((121-P_Inicio)/12)+1,0)</f>
        <v>0</v>
      </c>
      <c r="DW14" s="34" t="n">
        <f aca="false">IF(AND(122&gt;=P_Inicio,122&lt;=Fin),INT((122-P_Inicio)/12)+1,0)</f>
        <v>0</v>
      </c>
      <c r="DX14" s="34" t="n">
        <f aca="false">IF(AND(123&gt;=P_Inicio,123&lt;=Fin),INT((123-P_Inicio)/12)+1,0)</f>
        <v>0</v>
      </c>
      <c r="DY14" s="34" t="n">
        <f aca="false">IF(AND(124&gt;=P_Inicio,124&lt;=Fin),INT((124-P_Inicio)/12)+1,0)</f>
        <v>0</v>
      </c>
      <c r="DZ14" s="34" t="n">
        <f aca="false">IF(AND(125&gt;=P_Inicio,125&lt;=Fin),INT((125-P_Inicio)/12)+1,0)</f>
        <v>0</v>
      </c>
      <c r="EA14" s="34" t="n">
        <f aca="false">IF(AND(126&gt;=P_Inicio,126&lt;=Fin),INT((126-P_Inicio)/12)+1,0)</f>
        <v>0</v>
      </c>
      <c r="EB14" s="34" t="n">
        <f aca="false">IF(AND(127&gt;=P_Inicio,127&lt;=Fin),INT((127-P_Inicio)/12)+1,0)</f>
        <v>0</v>
      </c>
      <c r="EC14" s="34" t="n">
        <f aca="false">IF(AND(128&gt;=P_Inicio,128&lt;=Fin),INT((128-P_Inicio)/12)+1,0)</f>
        <v>0</v>
      </c>
      <c r="ED14" s="34" t="n">
        <f aca="false">IF(AND(129&gt;=P_Inicio,129&lt;=Fin),INT((129-P_Inicio)/12)+1,0)</f>
        <v>0</v>
      </c>
      <c r="EE14" s="34" t="n">
        <f aca="false">IF(AND(130&gt;=P_Inicio,130&lt;=Fin),INT((130-P_Inicio)/12)+1,0)</f>
        <v>0</v>
      </c>
      <c r="EF14" s="34" t="n">
        <f aca="false">IF(AND(131&gt;=P_Inicio,131&lt;=Fin),INT((131-P_Inicio)/12)+1,0)</f>
        <v>0</v>
      </c>
      <c r="EG14" s="34" t="n">
        <f aca="false">IF(AND(132&gt;=P_Inicio,132&lt;=Fin),INT((132-P_Inicio)/12)+1,0)</f>
        <v>0</v>
      </c>
      <c r="EH14" s="34" t="n">
        <f aca="false">IF(AND(133&gt;=P_Inicio,133&lt;=Fin),INT((133-P_Inicio)/12)+1,0)</f>
        <v>0</v>
      </c>
      <c r="EI14" s="34" t="n">
        <f aca="false">IF(AND(134&gt;=P_Inicio,134&lt;=Fin),INT((134-P_Inicio)/12)+1,0)</f>
        <v>0</v>
      </c>
      <c r="EJ14" s="34" t="n">
        <f aca="false">IF(AND(135&gt;=P_Inicio,135&lt;=Fin),INT((135-P_Inicio)/12)+1,0)</f>
        <v>0</v>
      </c>
      <c r="EK14" s="34" t="n">
        <f aca="false">IF(AND(136&gt;=P_Inicio,136&lt;=Fin),INT((136-P_Inicio)/12)+1,0)</f>
        <v>0</v>
      </c>
      <c r="EL14" s="34" t="n">
        <f aca="false">IF(AND(137&gt;=P_Inicio,137&lt;=Fin),INT((137-P_Inicio)/12)+1,0)</f>
        <v>0</v>
      </c>
      <c r="EM14" s="34" t="n">
        <f aca="false">IF(AND(138&gt;=P_Inicio,138&lt;=Fin),INT((138-P_Inicio)/12)+1,0)</f>
        <v>0</v>
      </c>
      <c r="EN14" s="34" t="n">
        <f aca="false">IF(AND(139&gt;=P_Inicio,139&lt;=Fin),INT((139-P_Inicio)/12)+1,0)</f>
        <v>0</v>
      </c>
      <c r="EO14" s="34" t="n">
        <f aca="false">IF(AND(140&gt;=P_Inicio,140&lt;=Fin),INT((140-P_Inicio)/12)+1,0)</f>
        <v>0</v>
      </c>
      <c r="EP14" s="34" t="n">
        <f aca="false">IF(AND(141&gt;=P_Inicio,141&lt;=Fin),INT((141-P_Inicio)/12)+1,0)</f>
        <v>0</v>
      </c>
      <c r="EQ14" s="34" t="n">
        <f aca="false">IF(AND(142&gt;=P_Inicio,142&lt;=Fin),INT((142-P_Inicio)/12)+1,0)</f>
        <v>0</v>
      </c>
      <c r="ER14" s="34" t="n">
        <f aca="false">IF(AND(143&gt;=P_Inicio,143&lt;=Fin),INT((143-P_Inicio)/12)+1,0)</f>
        <v>0</v>
      </c>
      <c r="ES14" s="34" t="n">
        <f aca="false">IF(AND(144&gt;=P_Inicio,144&lt;=Fin),INT((144-P_Inicio)/12)+1,0)</f>
        <v>0</v>
      </c>
    </row>
    <row r="15" customFormat="false" ht="15" hidden="false" customHeight="false" outlineLevel="0" collapsed="false">
      <c r="A15" s="11" t="s">
        <v>1055</v>
      </c>
      <c r="B15" s="15" t="s">
        <v>1056</v>
      </c>
      <c r="C15" s="15" t="s">
        <v>1057</v>
      </c>
      <c r="E15" s="66" t="n">
        <f aca="false">SUM(F15:ES15)</f>
        <v>120</v>
      </c>
      <c r="F15" s="34" t="n">
        <f aca="false">IF(F$14&gt;0,1,0)</f>
        <v>1</v>
      </c>
      <c r="G15" s="34" t="n">
        <f aca="false">IF(G$14&gt;0,1,0)</f>
        <v>1</v>
      </c>
      <c r="H15" s="34" t="n">
        <f aca="false">IF(H$14&gt;0,1,0)</f>
        <v>1</v>
      </c>
      <c r="I15" s="34" t="n">
        <f aca="false">IF(I$14&gt;0,1,0)</f>
        <v>1</v>
      </c>
      <c r="J15" s="34" t="n">
        <f aca="false">IF(J$14&gt;0,1,0)</f>
        <v>1</v>
      </c>
      <c r="K15" s="34" t="n">
        <f aca="false">IF(K$14&gt;0,1,0)</f>
        <v>1</v>
      </c>
      <c r="L15" s="34" t="n">
        <f aca="false">IF(L$14&gt;0,1,0)</f>
        <v>1</v>
      </c>
      <c r="M15" s="34" t="n">
        <f aca="false">IF(M$14&gt;0,1,0)</f>
        <v>1</v>
      </c>
      <c r="N15" s="34" t="n">
        <f aca="false">IF(N$14&gt;0,1,0)</f>
        <v>1</v>
      </c>
      <c r="O15" s="34" t="n">
        <f aca="false">IF(O$14&gt;0,1,0)</f>
        <v>1</v>
      </c>
      <c r="P15" s="34" t="n">
        <f aca="false">IF(P$14&gt;0,1,0)</f>
        <v>1</v>
      </c>
      <c r="Q15" s="34" t="n">
        <f aca="false">IF(Q$14&gt;0,1,0)</f>
        <v>1</v>
      </c>
      <c r="R15" s="34" t="n">
        <f aca="false">IF(R$14&gt;0,1,0)</f>
        <v>1</v>
      </c>
      <c r="S15" s="34" t="n">
        <f aca="false">IF(S$14&gt;0,1,0)</f>
        <v>1</v>
      </c>
      <c r="T15" s="34" t="n">
        <f aca="false">IF(T$14&gt;0,1,0)</f>
        <v>1</v>
      </c>
      <c r="U15" s="34" t="n">
        <f aca="false">IF(U$14&gt;0,1,0)</f>
        <v>1</v>
      </c>
      <c r="V15" s="34" t="n">
        <f aca="false">IF(V$14&gt;0,1,0)</f>
        <v>1</v>
      </c>
      <c r="W15" s="34" t="n">
        <f aca="false">IF(W$14&gt;0,1,0)</f>
        <v>1</v>
      </c>
      <c r="X15" s="34" t="n">
        <f aca="false">IF(X$14&gt;0,1,0)</f>
        <v>1</v>
      </c>
      <c r="Y15" s="34" t="n">
        <f aca="false">IF(Y$14&gt;0,1,0)</f>
        <v>1</v>
      </c>
      <c r="Z15" s="34" t="n">
        <f aca="false">IF(Z$14&gt;0,1,0)</f>
        <v>1</v>
      </c>
      <c r="AA15" s="34" t="n">
        <f aca="false">IF(AA$14&gt;0,1,0)</f>
        <v>1</v>
      </c>
      <c r="AB15" s="34" t="n">
        <f aca="false">IF(AB$14&gt;0,1,0)</f>
        <v>1</v>
      </c>
      <c r="AC15" s="34" t="n">
        <f aca="false">IF(AC$14&gt;0,1,0)</f>
        <v>1</v>
      </c>
      <c r="AD15" s="34" t="n">
        <f aca="false">IF(AD$14&gt;0,1,0)</f>
        <v>1</v>
      </c>
      <c r="AE15" s="34" t="n">
        <f aca="false">IF(AE$14&gt;0,1,0)</f>
        <v>1</v>
      </c>
      <c r="AF15" s="34" t="n">
        <f aca="false">IF(AF$14&gt;0,1,0)</f>
        <v>1</v>
      </c>
      <c r="AG15" s="34" t="n">
        <f aca="false">IF(AG$14&gt;0,1,0)</f>
        <v>1</v>
      </c>
      <c r="AH15" s="34" t="n">
        <f aca="false">IF(AH$14&gt;0,1,0)</f>
        <v>1</v>
      </c>
      <c r="AI15" s="34" t="n">
        <f aca="false">IF(AI$14&gt;0,1,0)</f>
        <v>1</v>
      </c>
      <c r="AJ15" s="34" t="n">
        <f aca="false">IF(AJ$14&gt;0,1,0)</f>
        <v>1</v>
      </c>
      <c r="AK15" s="34" t="n">
        <f aca="false">IF(AK$14&gt;0,1,0)</f>
        <v>1</v>
      </c>
      <c r="AL15" s="34" t="n">
        <f aca="false">IF(AL$14&gt;0,1,0)</f>
        <v>1</v>
      </c>
      <c r="AM15" s="34" t="n">
        <f aca="false">IF(AM$14&gt;0,1,0)</f>
        <v>1</v>
      </c>
      <c r="AN15" s="34" t="n">
        <f aca="false">IF(AN$14&gt;0,1,0)</f>
        <v>1</v>
      </c>
      <c r="AO15" s="34" t="n">
        <f aca="false">IF(AO$14&gt;0,1,0)</f>
        <v>1</v>
      </c>
      <c r="AP15" s="34" t="n">
        <f aca="false">IF(AP$14&gt;0,1,0)</f>
        <v>1</v>
      </c>
      <c r="AQ15" s="34" t="n">
        <f aca="false">IF(AQ$14&gt;0,1,0)</f>
        <v>1</v>
      </c>
      <c r="AR15" s="34" t="n">
        <f aca="false">IF(AR$14&gt;0,1,0)</f>
        <v>1</v>
      </c>
      <c r="AS15" s="34" t="n">
        <f aca="false">IF(AS$14&gt;0,1,0)</f>
        <v>1</v>
      </c>
      <c r="AT15" s="34" t="n">
        <f aca="false">IF(AT$14&gt;0,1,0)</f>
        <v>1</v>
      </c>
      <c r="AU15" s="34" t="n">
        <f aca="false">IF(AU$14&gt;0,1,0)</f>
        <v>1</v>
      </c>
      <c r="AV15" s="34" t="n">
        <f aca="false">IF(AV$14&gt;0,1,0)</f>
        <v>1</v>
      </c>
      <c r="AW15" s="34" t="n">
        <f aca="false">IF(AW$14&gt;0,1,0)</f>
        <v>1</v>
      </c>
      <c r="AX15" s="34" t="n">
        <f aca="false">IF(AX$14&gt;0,1,0)</f>
        <v>1</v>
      </c>
      <c r="AY15" s="34" t="n">
        <f aca="false">IF(AY$14&gt;0,1,0)</f>
        <v>1</v>
      </c>
      <c r="AZ15" s="34" t="n">
        <f aca="false">IF(AZ$14&gt;0,1,0)</f>
        <v>1</v>
      </c>
      <c r="BA15" s="34" t="n">
        <f aca="false">IF(BA$14&gt;0,1,0)</f>
        <v>1</v>
      </c>
      <c r="BB15" s="34" t="n">
        <f aca="false">IF(BB$14&gt;0,1,0)</f>
        <v>1</v>
      </c>
      <c r="BC15" s="34" t="n">
        <f aca="false">IF(BC$14&gt;0,1,0)</f>
        <v>1</v>
      </c>
      <c r="BD15" s="34" t="n">
        <f aca="false">IF(BD$14&gt;0,1,0)</f>
        <v>1</v>
      </c>
      <c r="BE15" s="34" t="n">
        <f aca="false">IF(BE$14&gt;0,1,0)</f>
        <v>1</v>
      </c>
      <c r="BF15" s="34" t="n">
        <f aca="false">IF(BF$14&gt;0,1,0)</f>
        <v>1</v>
      </c>
      <c r="BG15" s="34" t="n">
        <f aca="false">IF(BG$14&gt;0,1,0)</f>
        <v>1</v>
      </c>
      <c r="BH15" s="34" t="n">
        <f aca="false">IF(BH$14&gt;0,1,0)</f>
        <v>1</v>
      </c>
      <c r="BI15" s="34" t="n">
        <f aca="false">IF(BI$14&gt;0,1,0)</f>
        <v>1</v>
      </c>
      <c r="BJ15" s="34" t="n">
        <f aca="false">IF(BJ$14&gt;0,1,0)</f>
        <v>1</v>
      </c>
      <c r="BK15" s="34" t="n">
        <f aca="false">IF(BK$14&gt;0,1,0)</f>
        <v>1</v>
      </c>
      <c r="BL15" s="34" t="n">
        <f aca="false">IF(BL$14&gt;0,1,0)</f>
        <v>1</v>
      </c>
      <c r="BM15" s="34" t="n">
        <f aca="false">IF(BM$14&gt;0,1,0)</f>
        <v>1</v>
      </c>
      <c r="BN15" s="34" t="n">
        <f aca="false">IF(BN$14&gt;0,1,0)</f>
        <v>1</v>
      </c>
      <c r="BO15" s="34" t="n">
        <f aca="false">IF(BO$14&gt;0,1,0)</f>
        <v>1</v>
      </c>
      <c r="BP15" s="34" t="n">
        <f aca="false">IF(BP$14&gt;0,1,0)</f>
        <v>1</v>
      </c>
      <c r="BQ15" s="34" t="n">
        <f aca="false">IF(BQ$14&gt;0,1,0)</f>
        <v>1</v>
      </c>
      <c r="BR15" s="34" t="n">
        <f aca="false">IF(BR$14&gt;0,1,0)</f>
        <v>1</v>
      </c>
      <c r="BS15" s="34" t="n">
        <f aca="false">IF(BS$14&gt;0,1,0)</f>
        <v>1</v>
      </c>
      <c r="BT15" s="34" t="n">
        <f aca="false">IF(BT$14&gt;0,1,0)</f>
        <v>1</v>
      </c>
      <c r="BU15" s="34" t="n">
        <f aca="false">IF(BU$14&gt;0,1,0)</f>
        <v>1</v>
      </c>
      <c r="BV15" s="34" t="n">
        <f aca="false">IF(BV$14&gt;0,1,0)</f>
        <v>1</v>
      </c>
      <c r="BW15" s="34" t="n">
        <f aca="false">IF(BW$14&gt;0,1,0)</f>
        <v>1</v>
      </c>
      <c r="BX15" s="34" t="n">
        <f aca="false">IF(BX$14&gt;0,1,0)</f>
        <v>1</v>
      </c>
      <c r="BY15" s="34" t="n">
        <f aca="false">IF(BY$14&gt;0,1,0)</f>
        <v>1</v>
      </c>
      <c r="BZ15" s="34" t="n">
        <f aca="false">IF(BZ$14&gt;0,1,0)</f>
        <v>1</v>
      </c>
      <c r="CA15" s="34" t="n">
        <f aca="false">IF(CA$14&gt;0,1,0)</f>
        <v>1</v>
      </c>
      <c r="CB15" s="34" t="n">
        <f aca="false">IF(CB$14&gt;0,1,0)</f>
        <v>1</v>
      </c>
      <c r="CC15" s="34" t="n">
        <f aca="false">IF(CC$14&gt;0,1,0)</f>
        <v>1</v>
      </c>
      <c r="CD15" s="34" t="n">
        <f aca="false">IF(CD$14&gt;0,1,0)</f>
        <v>1</v>
      </c>
      <c r="CE15" s="34" t="n">
        <f aca="false">IF(CE$14&gt;0,1,0)</f>
        <v>1</v>
      </c>
      <c r="CF15" s="34" t="n">
        <f aca="false">IF(CF$14&gt;0,1,0)</f>
        <v>1</v>
      </c>
      <c r="CG15" s="34" t="n">
        <f aca="false">IF(CG$14&gt;0,1,0)</f>
        <v>1</v>
      </c>
      <c r="CH15" s="34" t="n">
        <f aca="false">IF(CH$14&gt;0,1,0)</f>
        <v>1</v>
      </c>
      <c r="CI15" s="34" t="n">
        <f aca="false">IF(CI$14&gt;0,1,0)</f>
        <v>1</v>
      </c>
      <c r="CJ15" s="34" t="n">
        <f aca="false">IF(CJ$14&gt;0,1,0)</f>
        <v>1</v>
      </c>
      <c r="CK15" s="34" t="n">
        <f aca="false">IF(CK$14&gt;0,1,0)</f>
        <v>1</v>
      </c>
      <c r="CL15" s="34" t="n">
        <f aca="false">IF(CL$14&gt;0,1,0)</f>
        <v>1</v>
      </c>
      <c r="CM15" s="34" t="n">
        <f aca="false">IF(CM$14&gt;0,1,0)</f>
        <v>1</v>
      </c>
      <c r="CN15" s="34" t="n">
        <f aca="false">IF(CN$14&gt;0,1,0)</f>
        <v>1</v>
      </c>
      <c r="CO15" s="34" t="n">
        <f aca="false">IF(CO$14&gt;0,1,0)</f>
        <v>1</v>
      </c>
      <c r="CP15" s="34" t="n">
        <f aca="false">IF(CP$14&gt;0,1,0)</f>
        <v>1</v>
      </c>
      <c r="CQ15" s="34" t="n">
        <f aca="false">IF(CQ$14&gt;0,1,0)</f>
        <v>1</v>
      </c>
      <c r="CR15" s="34" t="n">
        <f aca="false">IF(CR$14&gt;0,1,0)</f>
        <v>1</v>
      </c>
      <c r="CS15" s="34" t="n">
        <f aca="false">IF(CS$14&gt;0,1,0)</f>
        <v>1</v>
      </c>
      <c r="CT15" s="34" t="n">
        <f aca="false">IF(CT$14&gt;0,1,0)</f>
        <v>1</v>
      </c>
      <c r="CU15" s="34" t="n">
        <f aca="false">IF(CU$14&gt;0,1,0)</f>
        <v>1</v>
      </c>
      <c r="CV15" s="34" t="n">
        <f aca="false">IF(CV$14&gt;0,1,0)</f>
        <v>1</v>
      </c>
      <c r="CW15" s="34" t="n">
        <f aca="false">IF(CW$14&gt;0,1,0)</f>
        <v>1</v>
      </c>
      <c r="CX15" s="34" t="n">
        <f aca="false">IF(CX$14&gt;0,1,0)</f>
        <v>1</v>
      </c>
      <c r="CY15" s="34" t="n">
        <f aca="false">IF(CY$14&gt;0,1,0)</f>
        <v>1</v>
      </c>
      <c r="CZ15" s="34" t="n">
        <f aca="false">IF(CZ$14&gt;0,1,0)</f>
        <v>1</v>
      </c>
      <c r="DA15" s="34" t="n">
        <f aca="false">IF(DA$14&gt;0,1,0)</f>
        <v>1</v>
      </c>
      <c r="DB15" s="34" t="n">
        <f aca="false">IF(DB$14&gt;0,1,0)</f>
        <v>1</v>
      </c>
      <c r="DC15" s="34" t="n">
        <f aca="false">IF(DC$14&gt;0,1,0)</f>
        <v>1</v>
      </c>
      <c r="DD15" s="34" t="n">
        <f aca="false">IF(DD$14&gt;0,1,0)</f>
        <v>1</v>
      </c>
      <c r="DE15" s="34" t="n">
        <f aca="false">IF(DE$14&gt;0,1,0)</f>
        <v>1</v>
      </c>
      <c r="DF15" s="34" t="n">
        <f aca="false">IF(DF$14&gt;0,1,0)</f>
        <v>1</v>
      </c>
      <c r="DG15" s="34" t="n">
        <f aca="false">IF(DG$14&gt;0,1,0)</f>
        <v>1</v>
      </c>
      <c r="DH15" s="34" t="n">
        <f aca="false">IF(DH$14&gt;0,1,0)</f>
        <v>1</v>
      </c>
      <c r="DI15" s="34" t="n">
        <f aca="false">IF(DI$14&gt;0,1,0)</f>
        <v>1</v>
      </c>
      <c r="DJ15" s="34" t="n">
        <f aca="false">IF(DJ$14&gt;0,1,0)</f>
        <v>1</v>
      </c>
      <c r="DK15" s="34" t="n">
        <f aca="false">IF(DK$14&gt;0,1,0)</f>
        <v>1</v>
      </c>
      <c r="DL15" s="34" t="n">
        <f aca="false">IF(DL$14&gt;0,1,0)</f>
        <v>1</v>
      </c>
      <c r="DM15" s="34" t="n">
        <f aca="false">IF(DM$14&gt;0,1,0)</f>
        <v>1</v>
      </c>
      <c r="DN15" s="34" t="n">
        <f aca="false">IF(DN$14&gt;0,1,0)</f>
        <v>1</v>
      </c>
      <c r="DO15" s="34" t="n">
        <f aca="false">IF(DO$14&gt;0,1,0)</f>
        <v>1</v>
      </c>
      <c r="DP15" s="34" t="n">
        <f aca="false">IF(DP$14&gt;0,1,0)</f>
        <v>1</v>
      </c>
      <c r="DQ15" s="34" t="n">
        <f aca="false">IF(DQ$14&gt;0,1,0)</f>
        <v>1</v>
      </c>
      <c r="DR15" s="34" t="n">
        <f aca="false">IF(DR$14&gt;0,1,0)</f>
        <v>1</v>
      </c>
      <c r="DS15" s="34" t="n">
        <f aca="false">IF(DS$14&gt;0,1,0)</f>
        <v>1</v>
      </c>
      <c r="DT15" s="34" t="n">
        <f aca="false">IF(DT$14&gt;0,1,0)</f>
        <v>1</v>
      </c>
      <c r="DU15" s="34" t="n">
        <f aca="false">IF(DU$14&gt;0,1,0)</f>
        <v>1</v>
      </c>
      <c r="DV15" s="34" t="n">
        <f aca="false">IF(DV$14&gt;0,1,0)</f>
        <v>0</v>
      </c>
      <c r="DW15" s="34" t="n">
        <f aca="false">IF(DW$14&gt;0,1,0)</f>
        <v>0</v>
      </c>
      <c r="DX15" s="34" t="n">
        <f aca="false">IF(DX$14&gt;0,1,0)</f>
        <v>0</v>
      </c>
      <c r="DY15" s="34" t="n">
        <f aca="false">IF(DY$14&gt;0,1,0)</f>
        <v>0</v>
      </c>
      <c r="DZ15" s="34" t="n">
        <f aca="false">IF(DZ$14&gt;0,1,0)</f>
        <v>0</v>
      </c>
      <c r="EA15" s="34" t="n">
        <f aca="false">IF(EA$14&gt;0,1,0)</f>
        <v>0</v>
      </c>
      <c r="EB15" s="34" t="n">
        <f aca="false">IF(EB$14&gt;0,1,0)</f>
        <v>0</v>
      </c>
      <c r="EC15" s="34" t="n">
        <f aca="false">IF(EC$14&gt;0,1,0)</f>
        <v>0</v>
      </c>
      <c r="ED15" s="34" t="n">
        <f aca="false">IF(ED$14&gt;0,1,0)</f>
        <v>0</v>
      </c>
      <c r="EE15" s="34" t="n">
        <f aca="false">IF(EE$14&gt;0,1,0)</f>
        <v>0</v>
      </c>
      <c r="EF15" s="34" t="n">
        <f aca="false">IF(EF$14&gt;0,1,0)</f>
        <v>0</v>
      </c>
      <c r="EG15" s="34" t="n">
        <f aca="false">IF(EG$14&gt;0,1,0)</f>
        <v>0</v>
      </c>
      <c r="EH15" s="34" t="n">
        <f aca="false">IF(EH$14&gt;0,1,0)</f>
        <v>0</v>
      </c>
      <c r="EI15" s="34" t="n">
        <f aca="false">IF(EI$14&gt;0,1,0)</f>
        <v>0</v>
      </c>
      <c r="EJ15" s="34" t="n">
        <f aca="false">IF(EJ$14&gt;0,1,0)</f>
        <v>0</v>
      </c>
      <c r="EK15" s="34" t="n">
        <f aca="false">IF(EK$14&gt;0,1,0)</f>
        <v>0</v>
      </c>
      <c r="EL15" s="34" t="n">
        <f aca="false">IF(EL$14&gt;0,1,0)</f>
        <v>0</v>
      </c>
      <c r="EM15" s="34" t="n">
        <f aca="false">IF(EM$14&gt;0,1,0)</f>
        <v>0</v>
      </c>
      <c r="EN15" s="34" t="n">
        <f aca="false">IF(EN$14&gt;0,1,0)</f>
        <v>0</v>
      </c>
      <c r="EO15" s="34" t="n">
        <f aca="false">IF(EO$14&gt;0,1,0)</f>
        <v>0</v>
      </c>
      <c r="EP15" s="34" t="n">
        <f aca="false">IF(EP$14&gt;0,1,0)</f>
        <v>0</v>
      </c>
      <c r="EQ15" s="34" t="n">
        <f aca="false">IF(EQ$14&gt;0,1,0)</f>
        <v>0</v>
      </c>
      <c r="ER15" s="34" t="n">
        <f aca="false">IF(ER$14&gt;0,1,0)</f>
        <v>0</v>
      </c>
      <c r="ES15" s="34" t="n">
        <f aca="false">IF(ES$14&gt;0,1,0)</f>
        <v>0</v>
      </c>
    </row>
    <row r="16" customFormat="false" ht="15" hidden="false" customHeight="false" outlineLevel="0" collapsed="false">
      <c r="A16" s="11" t="s">
        <v>1058</v>
      </c>
      <c r="B16" s="15" t="s">
        <v>1059</v>
      </c>
      <c r="C16" s="15" t="s">
        <v>1057</v>
      </c>
      <c r="E16" s="66" t="n">
        <f aca="false">SUM(F16:ES16)</f>
        <v>0</v>
      </c>
      <c r="F16" s="34" t="n">
        <f aca="false">IF(AND(1&lt;P_Inicio,1&lt;=Fin),1,0)</f>
        <v>0</v>
      </c>
      <c r="G16" s="34" t="n">
        <f aca="false">IF(AND(2&lt;P_Inicio,2&lt;=Fin),1,0)</f>
        <v>0</v>
      </c>
      <c r="H16" s="34" t="n">
        <f aca="false">IF(AND(3&lt;P_Inicio,3&lt;=Fin),1,0)</f>
        <v>0</v>
      </c>
      <c r="I16" s="34" t="n">
        <f aca="false">IF(AND(4&lt;P_Inicio,4&lt;=Fin),1,0)</f>
        <v>0</v>
      </c>
      <c r="J16" s="34" t="n">
        <f aca="false">IF(AND(5&lt;P_Inicio,5&lt;=Fin),1,0)</f>
        <v>0</v>
      </c>
      <c r="K16" s="34" t="n">
        <f aca="false">IF(AND(6&lt;P_Inicio,6&lt;=Fin),1,0)</f>
        <v>0</v>
      </c>
      <c r="L16" s="34" t="n">
        <f aca="false">IF(AND(7&lt;P_Inicio,7&lt;=Fin),1,0)</f>
        <v>0</v>
      </c>
      <c r="M16" s="34" t="n">
        <f aca="false">IF(AND(8&lt;P_Inicio,8&lt;=Fin),1,0)</f>
        <v>0</v>
      </c>
      <c r="N16" s="34" t="n">
        <f aca="false">IF(AND(9&lt;P_Inicio,9&lt;=Fin),1,0)</f>
        <v>0</v>
      </c>
      <c r="O16" s="34" t="n">
        <f aca="false">IF(AND(10&lt;P_Inicio,10&lt;=Fin),1,0)</f>
        <v>0</v>
      </c>
      <c r="P16" s="34" t="n">
        <f aca="false">IF(AND(11&lt;P_Inicio,11&lt;=Fin),1,0)</f>
        <v>0</v>
      </c>
      <c r="Q16" s="34" t="n">
        <f aca="false">IF(AND(12&lt;P_Inicio,12&lt;=Fin),1,0)</f>
        <v>0</v>
      </c>
      <c r="R16" s="34" t="n">
        <f aca="false">IF(AND(13&lt;P_Inicio,13&lt;=Fin),1,0)</f>
        <v>0</v>
      </c>
      <c r="S16" s="34" t="n">
        <f aca="false">IF(AND(14&lt;P_Inicio,14&lt;=Fin),1,0)</f>
        <v>0</v>
      </c>
      <c r="T16" s="34" t="n">
        <f aca="false">IF(AND(15&lt;P_Inicio,15&lt;=Fin),1,0)</f>
        <v>0</v>
      </c>
      <c r="U16" s="34" t="n">
        <f aca="false">IF(AND(16&lt;P_Inicio,16&lt;=Fin),1,0)</f>
        <v>0</v>
      </c>
      <c r="V16" s="34" t="n">
        <f aca="false">IF(AND(17&lt;P_Inicio,17&lt;=Fin),1,0)</f>
        <v>0</v>
      </c>
      <c r="W16" s="34" t="n">
        <f aca="false">IF(AND(18&lt;P_Inicio,18&lt;=Fin),1,0)</f>
        <v>0</v>
      </c>
      <c r="X16" s="34" t="n">
        <f aca="false">IF(AND(19&lt;P_Inicio,19&lt;=Fin),1,0)</f>
        <v>0</v>
      </c>
      <c r="Y16" s="34" t="n">
        <f aca="false">IF(AND(20&lt;P_Inicio,20&lt;=Fin),1,0)</f>
        <v>0</v>
      </c>
      <c r="Z16" s="34" t="n">
        <f aca="false">IF(AND(21&lt;P_Inicio,21&lt;=Fin),1,0)</f>
        <v>0</v>
      </c>
      <c r="AA16" s="34" t="n">
        <f aca="false">IF(AND(22&lt;P_Inicio,22&lt;=Fin),1,0)</f>
        <v>0</v>
      </c>
      <c r="AB16" s="34" t="n">
        <f aca="false">IF(AND(23&lt;P_Inicio,23&lt;=Fin),1,0)</f>
        <v>0</v>
      </c>
      <c r="AC16" s="34" t="n">
        <f aca="false">IF(AND(24&lt;P_Inicio,24&lt;=Fin),1,0)</f>
        <v>0</v>
      </c>
      <c r="AD16" s="34" t="n">
        <f aca="false">IF(AND(25&lt;P_Inicio,25&lt;=Fin),1,0)</f>
        <v>0</v>
      </c>
      <c r="AE16" s="34" t="n">
        <f aca="false">IF(AND(26&lt;P_Inicio,26&lt;=Fin),1,0)</f>
        <v>0</v>
      </c>
      <c r="AF16" s="34" t="n">
        <f aca="false">IF(AND(27&lt;P_Inicio,27&lt;=Fin),1,0)</f>
        <v>0</v>
      </c>
      <c r="AG16" s="34" t="n">
        <f aca="false">IF(AND(28&lt;P_Inicio,28&lt;=Fin),1,0)</f>
        <v>0</v>
      </c>
      <c r="AH16" s="34" t="n">
        <f aca="false">IF(AND(29&lt;P_Inicio,29&lt;=Fin),1,0)</f>
        <v>0</v>
      </c>
      <c r="AI16" s="34" t="n">
        <f aca="false">IF(AND(30&lt;P_Inicio,30&lt;=Fin),1,0)</f>
        <v>0</v>
      </c>
      <c r="AJ16" s="34" t="n">
        <f aca="false">IF(AND(31&lt;P_Inicio,31&lt;=Fin),1,0)</f>
        <v>0</v>
      </c>
      <c r="AK16" s="34" t="n">
        <f aca="false">IF(AND(32&lt;P_Inicio,32&lt;=Fin),1,0)</f>
        <v>0</v>
      </c>
      <c r="AL16" s="34" t="n">
        <f aca="false">IF(AND(33&lt;P_Inicio,33&lt;=Fin),1,0)</f>
        <v>0</v>
      </c>
      <c r="AM16" s="34" t="n">
        <f aca="false">IF(AND(34&lt;P_Inicio,34&lt;=Fin),1,0)</f>
        <v>0</v>
      </c>
      <c r="AN16" s="34" t="n">
        <f aca="false">IF(AND(35&lt;P_Inicio,35&lt;=Fin),1,0)</f>
        <v>0</v>
      </c>
      <c r="AO16" s="34" t="n">
        <f aca="false">IF(AND(36&lt;P_Inicio,36&lt;=Fin),1,0)</f>
        <v>0</v>
      </c>
      <c r="AP16" s="34" t="n">
        <f aca="false">IF(AND(37&lt;P_Inicio,37&lt;=Fin),1,0)</f>
        <v>0</v>
      </c>
      <c r="AQ16" s="34" t="n">
        <f aca="false">IF(AND(38&lt;P_Inicio,38&lt;=Fin),1,0)</f>
        <v>0</v>
      </c>
      <c r="AR16" s="34" t="n">
        <f aca="false">IF(AND(39&lt;P_Inicio,39&lt;=Fin),1,0)</f>
        <v>0</v>
      </c>
      <c r="AS16" s="34" t="n">
        <f aca="false">IF(AND(40&lt;P_Inicio,40&lt;=Fin),1,0)</f>
        <v>0</v>
      </c>
      <c r="AT16" s="34" t="n">
        <f aca="false">IF(AND(41&lt;P_Inicio,41&lt;=Fin),1,0)</f>
        <v>0</v>
      </c>
      <c r="AU16" s="34" t="n">
        <f aca="false">IF(AND(42&lt;P_Inicio,42&lt;=Fin),1,0)</f>
        <v>0</v>
      </c>
      <c r="AV16" s="34" t="n">
        <f aca="false">IF(AND(43&lt;P_Inicio,43&lt;=Fin),1,0)</f>
        <v>0</v>
      </c>
      <c r="AW16" s="34" t="n">
        <f aca="false">IF(AND(44&lt;P_Inicio,44&lt;=Fin),1,0)</f>
        <v>0</v>
      </c>
      <c r="AX16" s="34" t="n">
        <f aca="false">IF(AND(45&lt;P_Inicio,45&lt;=Fin),1,0)</f>
        <v>0</v>
      </c>
      <c r="AY16" s="34" t="n">
        <f aca="false">IF(AND(46&lt;P_Inicio,46&lt;=Fin),1,0)</f>
        <v>0</v>
      </c>
      <c r="AZ16" s="34" t="n">
        <f aca="false">IF(AND(47&lt;P_Inicio,47&lt;=Fin),1,0)</f>
        <v>0</v>
      </c>
      <c r="BA16" s="34" t="n">
        <f aca="false">IF(AND(48&lt;P_Inicio,48&lt;=Fin),1,0)</f>
        <v>0</v>
      </c>
      <c r="BB16" s="34" t="n">
        <f aca="false">IF(AND(49&lt;P_Inicio,49&lt;=Fin),1,0)</f>
        <v>0</v>
      </c>
      <c r="BC16" s="34" t="n">
        <f aca="false">IF(AND(50&lt;P_Inicio,50&lt;=Fin),1,0)</f>
        <v>0</v>
      </c>
      <c r="BD16" s="34" t="n">
        <f aca="false">IF(AND(51&lt;P_Inicio,51&lt;=Fin),1,0)</f>
        <v>0</v>
      </c>
      <c r="BE16" s="34" t="n">
        <f aca="false">IF(AND(52&lt;P_Inicio,52&lt;=Fin),1,0)</f>
        <v>0</v>
      </c>
      <c r="BF16" s="34" t="n">
        <f aca="false">IF(AND(53&lt;P_Inicio,53&lt;=Fin),1,0)</f>
        <v>0</v>
      </c>
      <c r="BG16" s="34" t="n">
        <f aca="false">IF(AND(54&lt;P_Inicio,54&lt;=Fin),1,0)</f>
        <v>0</v>
      </c>
      <c r="BH16" s="34" t="n">
        <f aca="false">IF(AND(55&lt;P_Inicio,55&lt;=Fin),1,0)</f>
        <v>0</v>
      </c>
      <c r="BI16" s="34" t="n">
        <f aca="false">IF(AND(56&lt;P_Inicio,56&lt;=Fin),1,0)</f>
        <v>0</v>
      </c>
      <c r="BJ16" s="34" t="n">
        <f aca="false">IF(AND(57&lt;P_Inicio,57&lt;=Fin),1,0)</f>
        <v>0</v>
      </c>
      <c r="BK16" s="34" t="n">
        <f aca="false">IF(AND(58&lt;P_Inicio,58&lt;=Fin),1,0)</f>
        <v>0</v>
      </c>
      <c r="BL16" s="34" t="n">
        <f aca="false">IF(AND(59&lt;P_Inicio,59&lt;=Fin),1,0)</f>
        <v>0</v>
      </c>
      <c r="BM16" s="34" t="n">
        <f aca="false">IF(AND(60&lt;P_Inicio,60&lt;=Fin),1,0)</f>
        <v>0</v>
      </c>
      <c r="BN16" s="34" t="n">
        <f aca="false">IF(AND(61&lt;P_Inicio,61&lt;=Fin),1,0)</f>
        <v>0</v>
      </c>
      <c r="BO16" s="34" t="n">
        <f aca="false">IF(AND(62&lt;P_Inicio,62&lt;=Fin),1,0)</f>
        <v>0</v>
      </c>
      <c r="BP16" s="34" t="n">
        <f aca="false">IF(AND(63&lt;P_Inicio,63&lt;=Fin),1,0)</f>
        <v>0</v>
      </c>
      <c r="BQ16" s="34" t="n">
        <f aca="false">IF(AND(64&lt;P_Inicio,64&lt;=Fin),1,0)</f>
        <v>0</v>
      </c>
      <c r="BR16" s="34" t="n">
        <f aca="false">IF(AND(65&lt;P_Inicio,65&lt;=Fin),1,0)</f>
        <v>0</v>
      </c>
      <c r="BS16" s="34" t="n">
        <f aca="false">IF(AND(66&lt;P_Inicio,66&lt;=Fin),1,0)</f>
        <v>0</v>
      </c>
      <c r="BT16" s="34" t="n">
        <f aca="false">IF(AND(67&lt;P_Inicio,67&lt;=Fin),1,0)</f>
        <v>0</v>
      </c>
      <c r="BU16" s="34" t="n">
        <f aca="false">IF(AND(68&lt;P_Inicio,68&lt;=Fin),1,0)</f>
        <v>0</v>
      </c>
      <c r="BV16" s="34" t="n">
        <f aca="false">IF(AND(69&lt;P_Inicio,69&lt;=Fin),1,0)</f>
        <v>0</v>
      </c>
      <c r="BW16" s="34" t="n">
        <f aca="false">IF(AND(70&lt;P_Inicio,70&lt;=Fin),1,0)</f>
        <v>0</v>
      </c>
      <c r="BX16" s="34" t="n">
        <f aca="false">IF(AND(71&lt;P_Inicio,71&lt;=Fin),1,0)</f>
        <v>0</v>
      </c>
      <c r="BY16" s="34" t="n">
        <f aca="false">IF(AND(72&lt;P_Inicio,72&lt;=Fin),1,0)</f>
        <v>0</v>
      </c>
      <c r="BZ16" s="34" t="n">
        <f aca="false">IF(AND(73&lt;P_Inicio,73&lt;=Fin),1,0)</f>
        <v>0</v>
      </c>
      <c r="CA16" s="34" t="n">
        <f aca="false">IF(AND(74&lt;P_Inicio,74&lt;=Fin),1,0)</f>
        <v>0</v>
      </c>
      <c r="CB16" s="34" t="n">
        <f aca="false">IF(AND(75&lt;P_Inicio,75&lt;=Fin),1,0)</f>
        <v>0</v>
      </c>
      <c r="CC16" s="34" t="n">
        <f aca="false">IF(AND(76&lt;P_Inicio,76&lt;=Fin),1,0)</f>
        <v>0</v>
      </c>
      <c r="CD16" s="34" t="n">
        <f aca="false">IF(AND(77&lt;P_Inicio,77&lt;=Fin),1,0)</f>
        <v>0</v>
      </c>
      <c r="CE16" s="34" t="n">
        <f aca="false">IF(AND(78&lt;P_Inicio,78&lt;=Fin),1,0)</f>
        <v>0</v>
      </c>
      <c r="CF16" s="34" t="n">
        <f aca="false">IF(AND(79&lt;P_Inicio,79&lt;=Fin),1,0)</f>
        <v>0</v>
      </c>
      <c r="CG16" s="34" t="n">
        <f aca="false">IF(AND(80&lt;P_Inicio,80&lt;=Fin),1,0)</f>
        <v>0</v>
      </c>
      <c r="CH16" s="34" t="n">
        <f aca="false">IF(AND(81&lt;P_Inicio,81&lt;=Fin),1,0)</f>
        <v>0</v>
      </c>
      <c r="CI16" s="34" t="n">
        <f aca="false">IF(AND(82&lt;P_Inicio,82&lt;=Fin),1,0)</f>
        <v>0</v>
      </c>
      <c r="CJ16" s="34" t="n">
        <f aca="false">IF(AND(83&lt;P_Inicio,83&lt;=Fin),1,0)</f>
        <v>0</v>
      </c>
      <c r="CK16" s="34" t="n">
        <f aca="false">IF(AND(84&lt;P_Inicio,84&lt;=Fin),1,0)</f>
        <v>0</v>
      </c>
      <c r="CL16" s="34" t="n">
        <f aca="false">IF(AND(85&lt;P_Inicio,85&lt;=Fin),1,0)</f>
        <v>0</v>
      </c>
      <c r="CM16" s="34" t="n">
        <f aca="false">IF(AND(86&lt;P_Inicio,86&lt;=Fin),1,0)</f>
        <v>0</v>
      </c>
      <c r="CN16" s="34" t="n">
        <f aca="false">IF(AND(87&lt;P_Inicio,87&lt;=Fin),1,0)</f>
        <v>0</v>
      </c>
      <c r="CO16" s="34" t="n">
        <f aca="false">IF(AND(88&lt;P_Inicio,88&lt;=Fin),1,0)</f>
        <v>0</v>
      </c>
      <c r="CP16" s="34" t="n">
        <f aca="false">IF(AND(89&lt;P_Inicio,89&lt;=Fin),1,0)</f>
        <v>0</v>
      </c>
      <c r="CQ16" s="34" t="n">
        <f aca="false">IF(AND(90&lt;P_Inicio,90&lt;=Fin),1,0)</f>
        <v>0</v>
      </c>
      <c r="CR16" s="34" t="n">
        <f aca="false">IF(AND(91&lt;P_Inicio,91&lt;=Fin),1,0)</f>
        <v>0</v>
      </c>
      <c r="CS16" s="34" t="n">
        <f aca="false">IF(AND(92&lt;P_Inicio,92&lt;=Fin),1,0)</f>
        <v>0</v>
      </c>
      <c r="CT16" s="34" t="n">
        <f aca="false">IF(AND(93&lt;P_Inicio,93&lt;=Fin),1,0)</f>
        <v>0</v>
      </c>
      <c r="CU16" s="34" t="n">
        <f aca="false">IF(AND(94&lt;P_Inicio,94&lt;=Fin),1,0)</f>
        <v>0</v>
      </c>
      <c r="CV16" s="34" t="n">
        <f aca="false">IF(AND(95&lt;P_Inicio,95&lt;=Fin),1,0)</f>
        <v>0</v>
      </c>
      <c r="CW16" s="34" t="n">
        <f aca="false">IF(AND(96&lt;P_Inicio,96&lt;=Fin),1,0)</f>
        <v>0</v>
      </c>
      <c r="CX16" s="34" t="n">
        <f aca="false">IF(AND(97&lt;P_Inicio,97&lt;=Fin),1,0)</f>
        <v>0</v>
      </c>
      <c r="CY16" s="34" t="n">
        <f aca="false">IF(AND(98&lt;P_Inicio,98&lt;=Fin),1,0)</f>
        <v>0</v>
      </c>
      <c r="CZ16" s="34" t="n">
        <f aca="false">IF(AND(99&lt;P_Inicio,99&lt;=Fin),1,0)</f>
        <v>0</v>
      </c>
      <c r="DA16" s="34" t="n">
        <f aca="false">IF(AND(100&lt;P_Inicio,100&lt;=Fin),1,0)</f>
        <v>0</v>
      </c>
      <c r="DB16" s="34" t="n">
        <f aca="false">IF(AND(101&lt;P_Inicio,101&lt;=Fin),1,0)</f>
        <v>0</v>
      </c>
      <c r="DC16" s="34" t="n">
        <f aca="false">IF(AND(102&lt;P_Inicio,102&lt;=Fin),1,0)</f>
        <v>0</v>
      </c>
      <c r="DD16" s="34" t="n">
        <f aca="false">IF(AND(103&lt;P_Inicio,103&lt;=Fin),1,0)</f>
        <v>0</v>
      </c>
      <c r="DE16" s="34" t="n">
        <f aca="false">IF(AND(104&lt;P_Inicio,104&lt;=Fin),1,0)</f>
        <v>0</v>
      </c>
      <c r="DF16" s="34" t="n">
        <f aca="false">IF(AND(105&lt;P_Inicio,105&lt;=Fin),1,0)</f>
        <v>0</v>
      </c>
      <c r="DG16" s="34" t="n">
        <f aca="false">IF(AND(106&lt;P_Inicio,106&lt;=Fin),1,0)</f>
        <v>0</v>
      </c>
      <c r="DH16" s="34" t="n">
        <f aca="false">IF(AND(107&lt;P_Inicio,107&lt;=Fin),1,0)</f>
        <v>0</v>
      </c>
      <c r="DI16" s="34" t="n">
        <f aca="false">IF(AND(108&lt;P_Inicio,108&lt;=Fin),1,0)</f>
        <v>0</v>
      </c>
      <c r="DJ16" s="34" t="n">
        <f aca="false">IF(AND(109&lt;P_Inicio,109&lt;=Fin),1,0)</f>
        <v>0</v>
      </c>
      <c r="DK16" s="34" t="n">
        <f aca="false">IF(AND(110&lt;P_Inicio,110&lt;=Fin),1,0)</f>
        <v>0</v>
      </c>
      <c r="DL16" s="34" t="n">
        <f aca="false">IF(AND(111&lt;P_Inicio,111&lt;=Fin),1,0)</f>
        <v>0</v>
      </c>
      <c r="DM16" s="34" t="n">
        <f aca="false">IF(AND(112&lt;P_Inicio,112&lt;=Fin),1,0)</f>
        <v>0</v>
      </c>
      <c r="DN16" s="34" t="n">
        <f aca="false">IF(AND(113&lt;P_Inicio,113&lt;=Fin),1,0)</f>
        <v>0</v>
      </c>
      <c r="DO16" s="34" t="n">
        <f aca="false">IF(AND(114&lt;P_Inicio,114&lt;=Fin),1,0)</f>
        <v>0</v>
      </c>
      <c r="DP16" s="34" t="n">
        <f aca="false">IF(AND(115&lt;P_Inicio,115&lt;=Fin),1,0)</f>
        <v>0</v>
      </c>
      <c r="DQ16" s="34" t="n">
        <f aca="false">IF(AND(116&lt;P_Inicio,116&lt;=Fin),1,0)</f>
        <v>0</v>
      </c>
      <c r="DR16" s="34" t="n">
        <f aca="false">IF(AND(117&lt;P_Inicio,117&lt;=Fin),1,0)</f>
        <v>0</v>
      </c>
      <c r="DS16" s="34" t="n">
        <f aca="false">IF(AND(118&lt;P_Inicio,118&lt;=Fin),1,0)</f>
        <v>0</v>
      </c>
      <c r="DT16" s="34" t="n">
        <f aca="false">IF(AND(119&lt;P_Inicio,119&lt;=Fin),1,0)</f>
        <v>0</v>
      </c>
      <c r="DU16" s="34" t="n">
        <f aca="false">IF(AND(120&lt;P_Inicio,120&lt;=Fin),1,0)</f>
        <v>0</v>
      </c>
      <c r="DV16" s="34" t="n">
        <f aca="false">IF(AND(121&lt;P_Inicio,121&lt;=Fin),1,0)</f>
        <v>0</v>
      </c>
      <c r="DW16" s="34" t="n">
        <f aca="false">IF(AND(122&lt;P_Inicio,122&lt;=Fin),1,0)</f>
        <v>0</v>
      </c>
      <c r="DX16" s="34" t="n">
        <f aca="false">IF(AND(123&lt;P_Inicio,123&lt;=Fin),1,0)</f>
        <v>0</v>
      </c>
      <c r="DY16" s="34" t="n">
        <f aca="false">IF(AND(124&lt;P_Inicio,124&lt;=Fin),1,0)</f>
        <v>0</v>
      </c>
      <c r="DZ16" s="34" t="n">
        <f aca="false">IF(AND(125&lt;P_Inicio,125&lt;=Fin),1,0)</f>
        <v>0</v>
      </c>
      <c r="EA16" s="34" t="n">
        <f aca="false">IF(AND(126&lt;P_Inicio,126&lt;=Fin),1,0)</f>
        <v>0</v>
      </c>
      <c r="EB16" s="34" t="n">
        <f aca="false">IF(AND(127&lt;P_Inicio,127&lt;=Fin),1,0)</f>
        <v>0</v>
      </c>
      <c r="EC16" s="34" t="n">
        <f aca="false">IF(AND(128&lt;P_Inicio,128&lt;=Fin),1,0)</f>
        <v>0</v>
      </c>
      <c r="ED16" s="34" t="n">
        <f aca="false">IF(AND(129&lt;P_Inicio,129&lt;=Fin),1,0)</f>
        <v>0</v>
      </c>
      <c r="EE16" s="34" t="n">
        <f aca="false">IF(AND(130&lt;P_Inicio,130&lt;=Fin),1,0)</f>
        <v>0</v>
      </c>
      <c r="EF16" s="34" t="n">
        <f aca="false">IF(AND(131&lt;P_Inicio,131&lt;=Fin),1,0)</f>
        <v>0</v>
      </c>
      <c r="EG16" s="34" t="n">
        <f aca="false">IF(AND(132&lt;P_Inicio,132&lt;=Fin),1,0)</f>
        <v>0</v>
      </c>
      <c r="EH16" s="34" t="n">
        <f aca="false">IF(AND(133&lt;P_Inicio,133&lt;=Fin),1,0)</f>
        <v>0</v>
      </c>
      <c r="EI16" s="34" t="n">
        <f aca="false">IF(AND(134&lt;P_Inicio,134&lt;=Fin),1,0)</f>
        <v>0</v>
      </c>
      <c r="EJ16" s="34" t="n">
        <f aca="false">IF(AND(135&lt;P_Inicio,135&lt;=Fin),1,0)</f>
        <v>0</v>
      </c>
      <c r="EK16" s="34" t="n">
        <f aca="false">IF(AND(136&lt;P_Inicio,136&lt;=Fin),1,0)</f>
        <v>0</v>
      </c>
      <c r="EL16" s="34" t="n">
        <f aca="false">IF(AND(137&lt;P_Inicio,137&lt;=Fin),1,0)</f>
        <v>0</v>
      </c>
      <c r="EM16" s="34" t="n">
        <f aca="false">IF(AND(138&lt;P_Inicio,138&lt;=Fin),1,0)</f>
        <v>0</v>
      </c>
      <c r="EN16" s="34" t="n">
        <f aca="false">IF(AND(139&lt;P_Inicio,139&lt;=Fin),1,0)</f>
        <v>0</v>
      </c>
      <c r="EO16" s="34" t="n">
        <f aca="false">IF(AND(140&lt;P_Inicio,140&lt;=Fin),1,0)</f>
        <v>0</v>
      </c>
      <c r="EP16" s="34" t="n">
        <f aca="false">IF(AND(141&lt;P_Inicio,141&lt;=Fin),1,0)</f>
        <v>0</v>
      </c>
      <c r="EQ16" s="34" t="n">
        <f aca="false">IF(AND(142&lt;P_Inicio,142&lt;=Fin),1,0)</f>
        <v>0</v>
      </c>
      <c r="ER16" s="34" t="n">
        <f aca="false">IF(AND(143&lt;P_Inicio,143&lt;=Fin),1,0)</f>
        <v>0</v>
      </c>
      <c r="ES16" s="34" t="n">
        <f aca="false">IF(AND(144&lt;P_Inicio,144&lt;=Fin),1,0)</f>
        <v>0</v>
      </c>
    </row>
    <row r="17" customFormat="false" ht="15" hidden="false" customHeight="false" outlineLevel="0" collapsed="false">
      <c r="A17" s="11" t="s">
        <v>1060</v>
      </c>
      <c r="B17" s="15" t="s">
        <v>1061</v>
      </c>
      <c r="C17" s="15" t="s">
        <v>1054</v>
      </c>
      <c r="F17" s="34" t="n">
        <f aca="false">MAX(1,F$14)</f>
        <v>1</v>
      </c>
      <c r="G17" s="34" t="n">
        <f aca="false">MAX(1,G$14)</f>
        <v>1</v>
      </c>
      <c r="H17" s="34" t="n">
        <f aca="false">MAX(1,H$14)</f>
        <v>1</v>
      </c>
      <c r="I17" s="34" t="n">
        <f aca="false">MAX(1,I$14)</f>
        <v>1</v>
      </c>
      <c r="J17" s="34" t="n">
        <f aca="false">MAX(1,J$14)</f>
        <v>1</v>
      </c>
      <c r="K17" s="34" t="n">
        <f aca="false">MAX(1,K$14)</f>
        <v>1</v>
      </c>
      <c r="L17" s="34" t="n">
        <f aca="false">MAX(1,L$14)</f>
        <v>1</v>
      </c>
      <c r="M17" s="34" t="n">
        <f aca="false">MAX(1,M$14)</f>
        <v>1</v>
      </c>
      <c r="N17" s="34" t="n">
        <f aca="false">MAX(1,N$14)</f>
        <v>1</v>
      </c>
      <c r="O17" s="34" t="n">
        <f aca="false">MAX(1,O$14)</f>
        <v>1</v>
      </c>
      <c r="P17" s="34" t="n">
        <f aca="false">MAX(1,P$14)</f>
        <v>1</v>
      </c>
      <c r="Q17" s="34" t="n">
        <f aca="false">MAX(1,Q$14)</f>
        <v>1</v>
      </c>
      <c r="R17" s="34" t="n">
        <f aca="false">MAX(1,R$14)</f>
        <v>2</v>
      </c>
      <c r="S17" s="34" t="n">
        <f aca="false">MAX(1,S$14)</f>
        <v>2</v>
      </c>
      <c r="T17" s="34" t="n">
        <f aca="false">MAX(1,T$14)</f>
        <v>2</v>
      </c>
      <c r="U17" s="34" t="n">
        <f aca="false">MAX(1,U$14)</f>
        <v>2</v>
      </c>
      <c r="V17" s="34" t="n">
        <f aca="false">MAX(1,V$14)</f>
        <v>2</v>
      </c>
      <c r="W17" s="34" t="n">
        <f aca="false">MAX(1,W$14)</f>
        <v>2</v>
      </c>
      <c r="X17" s="34" t="n">
        <f aca="false">MAX(1,X$14)</f>
        <v>2</v>
      </c>
      <c r="Y17" s="34" t="n">
        <f aca="false">MAX(1,Y$14)</f>
        <v>2</v>
      </c>
      <c r="Z17" s="34" t="n">
        <f aca="false">MAX(1,Z$14)</f>
        <v>2</v>
      </c>
      <c r="AA17" s="34" t="n">
        <f aca="false">MAX(1,AA$14)</f>
        <v>2</v>
      </c>
      <c r="AB17" s="34" t="n">
        <f aca="false">MAX(1,AB$14)</f>
        <v>2</v>
      </c>
      <c r="AC17" s="34" t="n">
        <f aca="false">MAX(1,AC$14)</f>
        <v>2</v>
      </c>
      <c r="AD17" s="34" t="n">
        <f aca="false">MAX(1,AD$14)</f>
        <v>3</v>
      </c>
      <c r="AE17" s="34" t="n">
        <f aca="false">MAX(1,AE$14)</f>
        <v>3</v>
      </c>
      <c r="AF17" s="34" t="n">
        <f aca="false">MAX(1,AF$14)</f>
        <v>3</v>
      </c>
      <c r="AG17" s="34" t="n">
        <f aca="false">MAX(1,AG$14)</f>
        <v>3</v>
      </c>
      <c r="AH17" s="34" t="n">
        <f aca="false">MAX(1,AH$14)</f>
        <v>3</v>
      </c>
      <c r="AI17" s="34" t="n">
        <f aca="false">MAX(1,AI$14)</f>
        <v>3</v>
      </c>
      <c r="AJ17" s="34" t="n">
        <f aca="false">MAX(1,AJ$14)</f>
        <v>3</v>
      </c>
      <c r="AK17" s="34" t="n">
        <f aca="false">MAX(1,AK$14)</f>
        <v>3</v>
      </c>
      <c r="AL17" s="34" t="n">
        <f aca="false">MAX(1,AL$14)</f>
        <v>3</v>
      </c>
      <c r="AM17" s="34" t="n">
        <f aca="false">MAX(1,AM$14)</f>
        <v>3</v>
      </c>
      <c r="AN17" s="34" t="n">
        <f aca="false">MAX(1,AN$14)</f>
        <v>3</v>
      </c>
      <c r="AO17" s="34" t="n">
        <f aca="false">MAX(1,AO$14)</f>
        <v>3</v>
      </c>
      <c r="AP17" s="34" t="n">
        <f aca="false">MAX(1,AP$14)</f>
        <v>4</v>
      </c>
      <c r="AQ17" s="34" t="n">
        <f aca="false">MAX(1,AQ$14)</f>
        <v>4</v>
      </c>
      <c r="AR17" s="34" t="n">
        <f aca="false">MAX(1,AR$14)</f>
        <v>4</v>
      </c>
      <c r="AS17" s="34" t="n">
        <f aca="false">MAX(1,AS$14)</f>
        <v>4</v>
      </c>
      <c r="AT17" s="34" t="n">
        <f aca="false">MAX(1,AT$14)</f>
        <v>4</v>
      </c>
      <c r="AU17" s="34" t="n">
        <f aca="false">MAX(1,AU$14)</f>
        <v>4</v>
      </c>
      <c r="AV17" s="34" t="n">
        <f aca="false">MAX(1,AV$14)</f>
        <v>4</v>
      </c>
      <c r="AW17" s="34" t="n">
        <f aca="false">MAX(1,AW$14)</f>
        <v>4</v>
      </c>
      <c r="AX17" s="34" t="n">
        <f aca="false">MAX(1,AX$14)</f>
        <v>4</v>
      </c>
      <c r="AY17" s="34" t="n">
        <f aca="false">MAX(1,AY$14)</f>
        <v>4</v>
      </c>
      <c r="AZ17" s="34" t="n">
        <f aca="false">MAX(1,AZ$14)</f>
        <v>4</v>
      </c>
      <c r="BA17" s="34" t="n">
        <f aca="false">MAX(1,BA$14)</f>
        <v>4</v>
      </c>
      <c r="BB17" s="34" t="n">
        <f aca="false">MAX(1,BB$14)</f>
        <v>5</v>
      </c>
      <c r="BC17" s="34" t="n">
        <f aca="false">MAX(1,BC$14)</f>
        <v>5</v>
      </c>
      <c r="BD17" s="34" t="n">
        <f aca="false">MAX(1,BD$14)</f>
        <v>5</v>
      </c>
      <c r="BE17" s="34" t="n">
        <f aca="false">MAX(1,BE$14)</f>
        <v>5</v>
      </c>
      <c r="BF17" s="34" t="n">
        <f aca="false">MAX(1,BF$14)</f>
        <v>5</v>
      </c>
      <c r="BG17" s="34" t="n">
        <f aca="false">MAX(1,BG$14)</f>
        <v>5</v>
      </c>
      <c r="BH17" s="34" t="n">
        <f aca="false">MAX(1,BH$14)</f>
        <v>5</v>
      </c>
      <c r="BI17" s="34" t="n">
        <f aca="false">MAX(1,BI$14)</f>
        <v>5</v>
      </c>
      <c r="BJ17" s="34" t="n">
        <f aca="false">MAX(1,BJ$14)</f>
        <v>5</v>
      </c>
      <c r="BK17" s="34" t="n">
        <f aca="false">MAX(1,BK$14)</f>
        <v>5</v>
      </c>
      <c r="BL17" s="34" t="n">
        <f aca="false">MAX(1,BL$14)</f>
        <v>5</v>
      </c>
      <c r="BM17" s="34" t="n">
        <f aca="false">MAX(1,BM$14)</f>
        <v>5</v>
      </c>
      <c r="BN17" s="34" t="n">
        <f aca="false">MAX(1,BN$14)</f>
        <v>6</v>
      </c>
      <c r="BO17" s="34" t="n">
        <f aca="false">MAX(1,BO$14)</f>
        <v>6</v>
      </c>
      <c r="BP17" s="34" t="n">
        <f aca="false">MAX(1,BP$14)</f>
        <v>6</v>
      </c>
      <c r="BQ17" s="34" t="n">
        <f aca="false">MAX(1,BQ$14)</f>
        <v>6</v>
      </c>
      <c r="BR17" s="34" t="n">
        <f aca="false">MAX(1,BR$14)</f>
        <v>6</v>
      </c>
      <c r="BS17" s="34" t="n">
        <f aca="false">MAX(1,BS$14)</f>
        <v>6</v>
      </c>
      <c r="BT17" s="34" t="n">
        <f aca="false">MAX(1,BT$14)</f>
        <v>6</v>
      </c>
      <c r="BU17" s="34" t="n">
        <f aca="false">MAX(1,BU$14)</f>
        <v>6</v>
      </c>
      <c r="BV17" s="34" t="n">
        <f aca="false">MAX(1,BV$14)</f>
        <v>6</v>
      </c>
      <c r="BW17" s="34" t="n">
        <f aca="false">MAX(1,BW$14)</f>
        <v>6</v>
      </c>
      <c r="BX17" s="34" t="n">
        <f aca="false">MAX(1,BX$14)</f>
        <v>6</v>
      </c>
      <c r="BY17" s="34" t="n">
        <f aca="false">MAX(1,BY$14)</f>
        <v>6</v>
      </c>
      <c r="BZ17" s="34" t="n">
        <f aca="false">MAX(1,BZ$14)</f>
        <v>7</v>
      </c>
      <c r="CA17" s="34" t="n">
        <f aca="false">MAX(1,CA$14)</f>
        <v>7</v>
      </c>
      <c r="CB17" s="34" t="n">
        <f aca="false">MAX(1,CB$14)</f>
        <v>7</v>
      </c>
      <c r="CC17" s="34" t="n">
        <f aca="false">MAX(1,CC$14)</f>
        <v>7</v>
      </c>
      <c r="CD17" s="34" t="n">
        <f aca="false">MAX(1,CD$14)</f>
        <v>7</v>
      </c>
      <c r="CE17" s="34" t="n">
        <f aca="false">MAX(1,CE$14)</f>
        <v>7</v>
      </c>
      <c r="CF17" s="34" t="n">
        <f aca="false">MAX(1,CF$14)</f>
        <v>7</v>
      </c>
      <c r="CG17" s="34" t="n">
        <f aca="false">MAX(1,CG$14)</f>
        <v>7</v>
      </c>
      <c r="CH17" s="34" t="n">
        <f aca="false">MAX(1,CH$14)</f>
        <v>7</v>
      </c>
      <c r="CI17" s="34" t="n">
        <f aca="false">MAX(1,CI$14)</f>
        <v>7</v>
      </c>
      <c r="CJ17" s="34" t="n">
        <f aca="false">MAX(1,CJ$14)</f>
        <v>7</v>
      </c>
      <c r="CK17" s="34" t="n">
        <f aca="false">MAX(1,CK$14)</f>
        <v>7</v>
      </c>
      <c r="CL17" s="34" t="n">
        <f aca="false">MAX(1,CL$14)</f>
        <v>8</v>
      </c>
      <c r="CM17" s="34" t="n">
        <f aca="false">MAX(1,CM$14)</f>
        <v>8</v>
      </c>
      <c r="CN17" s="34" t="n">
        <f aca="false">MAX(1,CN$14)</f>
        <v>8</v>
      </c>
      <c r="CO17" s="34" t="n">
        <f aca="false">MAX(1,CO$14)</f>
        <v>8</v>
      </c>
      <c r="CP17" s="34" t="n">
        <f aca="false">MAX(1,CP$14)</f>
        <v>8</v>
      </c>
      <c r="CQ17" s="34" t="n">
        <f aca="false">MAX(1,CQ$14)</f>
        <v>8</v>
      </c>
      <c r="CR17" s="34" t="n">
        <f aca="false">MAX(1,CR$14)</f>
        <v>8</v>
      </c>
      <c r="CS17" s="34" t="n">
        <f aca="false">MAX(1,CS$14)</f>
        <v>8</v>
      </c>
      <c r="CT17" s="34" t="n">
        <f aca="false">MAX(1,CT$14)</f>
        <v>8</v>
      </c>
      <c r="CU17" s="34" t="n">
        <f aca="false">MAX(1,CU$14)</f>
        <v>8</v>
      </c>
      <c r="CV17" s="34" t="n">
        <f aca="false">MAX(1,CV$14)</f>
        <v>8</v>
      </c>
      <c r="CW17" s="34" t="n">
        <f aca="false">MAX(1,CW$14)</f>
        <v>8</v>
      </c>
      <c r="CX17" s="34" t="n">
        <f aca="false">MAX(1,CX$14)</f>
        <v>9</v>
      </c>
      <c r="CY17" s="34" t="n">
        <f aca="false">MAX(1,CY$14)</f>
        <v>9</v>
      </c>
      <c r="CZ17" s="34" t="n">
        <f aca="false">MAX(1,CZ$14)</f>
        <v>9</v>
      </c>
      <c r="DA17" s="34" t="n">
        <f aca="false">MAX(1,DA$14)</f>
        <v>9</v>
      </c>
      <c r="DB17" s="34" t="n">
        <f aca="false">MAX(1,DB$14)</f>
        <v>9</v>
      </c>
      <c r="DC17" s="34" t="n">
        <f aca="false">MAX(1,DC$14)</f>
        <v>9</v>
      </c>
      <c r="DD17" s="34" t="n">
        <f aca="false">MAX(1,DD$14)</f>
        <v>9</v>
      </c>
      <c r="DE17" s="34" t="n">
        <f aca="false">MAX(1,DE$14)</f>
        <v>9</v>
      </c>
      <c r="DF17" s="34" t="n">
        <f aca="false">MAX(1,DF$14)</f>
        <v>9</v>
      </c>
      <c r="DG17" s="34" t="n">
        <f aca="false">MAX(1,DG$14)</f>
        <v>9</v>
      </c>
      <c r="DH17" s="34" t="n">
        <f aca="false">MAX(1,DH$14)</f>
        <v>9</v>
      </c>
      <c r="DI17" s="34" t="n">
        <f aca="false">MAX(1,DI$14)</f>
        <v>9</v>
      </c>
      <c r="DJ17" s="34" t="n">
        <f aca="false">MAX(1,DJ$14)</f>
        <v>10</v>
      </c>
      <c r="DK17" s="34" t="n">
        <f aca="false">MAX(1,DK$14)</f>
        <v>10</v>
      </c>
      <c r="DL17" s="34" t="n">
        <f aca="false">MAX(1,DL$14)</f>
        <v>10</v>
      </c>
      <c r="DM17" s="34" t="n">
        <f aca="false">MAX(1,DM$14)</f>
        <v>10</v>
      </c>
      <c r="DN17" s="34" t="n">
        <f aca="false">MAX(1,DN$14)</f>
        <v>10</v>
      </c>
      <c r="DO17" s="34" t="n">
        <f aca="false">MAX(1,DO$14)</f>
        <v>10</v>
      </c>
      <c r="DP17" s="34" t="n">
        <f aca="false">MAX(1,DP$14)</f>
        <v>10</v>
      </c>
      <c r="DQ17" s="34" t="n">
        <f aca="false">MAX(1,DQ$14)</f>
        <v>10</v>
      </c>
      <c r="DR17" s="34" t="n">
        <f aca="false">MAX(1,DR$14)</f>
        <v>10</v>
      </c>
      <c r="DS17" s="34" t="n">
        <f aca="false">MAX(1,DS$14)</f>
        <v>10</v>
      </c>
      <c r="DT17" s="34" t="n">
        <f aca="false">MAX(1,DT$14)</f>
        <v>10</v>
      </c>
      <c r="DU17" s="34" t="n">
        <f aca="false">MAX(1,DU$14)</f>
        <v>10</v>
      </c>
      <c r="DV17" s="34" t="n">
        <f aca="false">MAX(1,DV$14)</f>
        <v>1</v>
      </c>
      <c r="DW17" s="34" t="n">
        <f aca="false">MAX(1,DW$14)</f>
        <v>1</v>
      </c>
      <c r="DX17" s="34" t="n">
        <f aca="false">MAX(1,DX$14)</f>
        <v>1</v>
      </c>
      <c r="DY17" s="34" t="n">
        <f aca="false">MAX(1,DY$14)</f>
        <v>1</v>
      </c>
      <c r="DZ17" s="34" t="n">
        <f aca="false">MAX(1,DZ$14)</f>
        <v>1</v>
      </c>
      <c r="EA17" s="34" t="n">
        <f aca="false">MAX(1,EA$14)</f>
        <v>1</v>
      </c>
      <c r="EB17" s="34" t="n">
        <f aca="false">MAX(1,EB$14)</f>
        <v>1</v>
      </c>
      <c r="EC17" s="34" t="n">
        <f aca="false">MAX(1,EC$14)</f>
        <v>1</v>
      </c>
      <c r="ED17" s="34" t="n">
        <f aca="false">MAX(1,ED$14)</f>
        <v>1</v>
      </c>
      <c r="EE17" s="34" t="n">
        <f aca="false">MAX(1,EE$14)</f>
        <v>1</v>
      </c>
      <c r="EF17" s="34" t="n">
        <f aca="false">MAX(1,EF$14)</f>
        <v>1</v>
      </c>
      <c r="EG17" s="34" t="n">
        <f aca="false">MAX(1,EG$14)</f>
        <v>1</v>
      </c>
      <c r="EH17" s="34" t="n">
        <f aca="false">MAX(1,EH$14)</f>
        <v>1</v>
      </c>
      <c r="EI17" s="34" t="n">
        <f aca="false">MAX(1,EI$14)</f>
        <v>1</v>
      </c>
      <c r="EJ17" s="34" t="n">
        <f aca="false">MAX(1,EJ$14)</f>
        <v>1</v>
      </c>
      <c r="EK17" s="34" t="n">
        <f aca="false">MAX(1,EK$14)</f>
        <v>1</v>
      </c>
      <c r="EL17" s="34" t="n">
        <f aca="false">MAX(1,EL$14)</f>
        <v>1</v>
      </c>
      <c r="EM17" s="34" t="n">
        <f aca="false">MAX(1,EM$14)</f>
        <v>1</v>
      </c>
      <c r="EN17" s="34" t="n">
        <f aca="false">MAX(1,EN$14)</f>
        <v>1</v>
      </c>
      <c r="EO17" s="34" t="n">
        <f aca="false">MAX(1,EO$14)</f>
        <v>1</v>
      </c>
      <c r="EP17" s="34" t="n">
        <f aca="false">MAX(1,EP$14)</f>
        <v>1</v>
      </c>
      <c r="EQ17" s="34" t="n">
        <f aca="false">MAX(1,EQ$14)</f>
        <v>1</v>
      </c>
      <c r="ER17" s="34" t="n">
        <f aca="false">MAX(1,ER$14)</f>
        <v>1</v>
      </c>
      <c r="ES17" s="34" t="n">
        <f aca="false">MAX(1,ES$14)</f>
        <v>1</v>
      </c>
    </row>
    <row r="18" customFormat="false" ht="15" hidden="false" customHeight="false" outlineLevel="0" collapsed="false">
      <c r="A18" s="11" t="s">
        <v>1062</v>
      </c>
      <c r="B18" s="15" t="s">
        <v>1063</v>
      </c>
      <c r="C18" s="15" t="s">
        <v>466</v>
      </c>
      <c r="F18" s="48" t="n">
        <f aca="false">INDEX(TC_O,1,MIN(10,F$6))*(1+P_dTC)</f>
        <v>7300</v>
      </c>
      <c r="G18" s="48" t="n">
        <f aca="false">INDEX(TC_O,1,MIN(10,G$6))*(1+P_dTC)</f>
        <v>7300</v>
      </c>
      <c r="H18" s="48" t="n">
        <f aca="false">INDEX(TC_O,1,MIN(10,H$6))*(1+P_dTC)</f>
        <v>7300</v>
      </c>
      <c r="I18" s="48" t="n">
        <f aca="false">INDEX(TC_O,1,MIN(10,I$6))*(1+P_dTC)</f>
        <v>7300</v>
      </c>
      <c r="J18" s="48" t="n">
        <f aca="false">INDEX(TC_O,1,MIN(10,J$6))*(1+P_dTC)</f>
        <v>7300</v>
      </c>
      <c r="K18" s="48" t="n">
        <f aca="false">INDEX(TC_O,1,MIN(10,K$6))*(1+P_dTC)</f>
        <v>7300</v>
      </c>
      <c r="L18" s="48" t="n">
        <f aca="false">INDEX(TC_O,1,MIN(10,L$6))*(1+P_dTC)</f>
        <v>7300</v>
      </c>
      <c r="M18" s="48" t="n">
        <f aca="false">INDEX(TC_O,1,MIN(10,M$6))*(1+P_dTC)</f>
        <v>7300</v>
      </c>
      <c r="N18" s="48" t="n">
        <f aca="false">INDEX(TC_O,1,MIN(10,N$6))*(1+P_dTC)</f>
        <v>7300</v>
      </c>
      <c r="O18" s="48" t="n">
        <f aca="false">INDEX(TC_O,1,MIN(10,O$6))*(1+P_dTC)</f>
        <v>7300</v>
      </c>
      <c r="P18" s="48" t="n">
        <f aca="false">INDEX(TC_O,1,MIN(10,P$6))*(1+P_dTC)</f>
        <v>7300</v>
      </c>
      <c r="Q18" s="48" t="n">
        <f aca="false">INDEX(TC_O,1,MIN(10,Q$6))*(1+P_dTC)</f>
        <v>7300</v>
      </c>
      <c r="R18" s="48" t="n">
        <f aca="false">INDEX(TC_O,1,MIN(10,R$6))*(1+P_dTC)</f>
        <v>7300</v>
      </c>
      <c r="S18" s="48" t="n">
        <f aca="false">INDEX(TC_O,1,MIN(10,S$6))*(1+P_dTC)</f>
        <v>7300</v>
      </c>
      <c r="T18" s="48" t="n">
        <f aca="false">INDEX(TC_O,1,MIN(10,T$6))*(1+P_dTC)</f>
        <v>7300</v>
      </c>
      <c r="U18" s="48" t="n">
        <f aca="false">INDEX(TC_O,1,MIN(10,U$6))*(1+P_dTC)</f>
        <v>7300</v>
      </c>
      <c r="V18" s="48" t="n">
        <f aca="false">INDEX(TC_O,1,MIN(10,V$6))*(1+P_dTC)</f>
        <v>7300</v>
      </c>
      <c r="W18" s="48" t="n">
        <f aca="false">INDEX(TC_O,1,MIN(10,W$6))*(1+P_dTC)</f>
        <v>7300</v>
      </c>
      <c r="X18" s="48" t="n">
        <f aca="false">INDEX(TC_O,1,MIN(10,X$6))*(1+P_dTC)</f>
        <v>7300</v>
      </c>
      <c r="Y18" s="48" t="n">
        <f aca="false">INDEX(TC_O,1,MIN(10,Y$6))*(1+P_dTC)</f>
        <v>7300</v>
      </c>
      <c r="Z18" s="48" t="n">
        <f aca="false">INDEX(TC_O,1,MIN(10,Z$6))*(1+P_dTC)</f>
        <v>7300</v>
      </c>
      <c r="AA18" s="48" t="n">
        <f aca="false">INDEX(TC_O,1,MIN(10,AA$6))*(1+P_dTC)</f>
        <v>7300</v>
      </c>
      <c r="AB18" s="48" t="n">
        <f aca="false">INDEX(TC_O,1,MIN(10,AB$6))*(1+P_dTC)</f>
        <v>7300</v>
      </c>
      <c r="AC18" s="48" t="n">
        <f aca="false">INDEX(TC_O,1,MIN(10,AC$6))*(1+P_dTC)</f>
        <v>7300</v>
      </c>
      <c r="AD18" s="48" t="n">
        <f aca="false">INDEX(TC_O,1,MIN(10,AD$6))*(1+P_dTC)</f>
        <v>7300</v>
      </c>
      <c r="AE18" s="48" t="n">
        <f aca="false">INDEX(TC_O,1,MIN(10,AE$6))*(1+P_dTC)</f>
        <v>7300</v>
      </c>
      <c r="AF18" s="48" t="n">
        <f aca="false">INDEX(TC_O,1,MIN(10,AF$6))*(1+P_dTC)</f>
        <v>7300</v>
      </c>
      <c r="AG18" s="48" t="n">
        <f aca="false">INDEX(TC_O,1,MIN(10,AG$6))*(1+P_dTC)</f>
        <v>7300</v>
      </c>
      <c r="AH18" s="48" t="n">
        <f aca="false">INDEX(TC_O,1,MIN(10,AH$6))*(1+P_dTC)</f>
        <v>7300</v>
      </c>
      <c r="AI18" s="48" t="n">
        <f aca="false">INDEX(TC_O,1,MIN(10,AI$6))*(1+P_dTC)</f>
        <v>7300</v>
      </c>
      <c r="AJ18" s="48" t="n">
        <f aca="false">INDEX(TC_O,1,MIN(10,AJ$6))*(1+P_dTC)</f>
        <v>7300</v>
      </c>
      <c r="AK18" s="48" t="n">
        <f aca="false">INDEX(TC_O,1,MIN(10,AK$6))*(1+P_dTC)</f>
        <v>7300</v>
      </c>
      <c r="AL18" s="48" t="n">
        <f aca="false">INDEX(TC_O,1,MIN(10,AL$6))*(1+P_dTC)</f>
        <v>7300</v>
      </c>
      <c r="AM18" s="48" t="n">
        <f aca="false">INDEX(TC_O,1,MIN(10,AM$6))*(1+P_dTC)</f>
        <v>7300</v>
      </c>
      <c r="AN18" s="48" t="n">
        <f aca="false">INDEX(TC_O,1,MIN(10,AN$6))*(1+P_dTC)</f>
        <v>7300</v>
      </c>
      <c r="AO18" s="48" t="n">
        <f aca="false">INDEX(TC_O,1,MIN(10,AO$6))*(1+P_dTC)</f>
        <v>7300</v>
      </c>
      <c r="AP18" s="48" t="n">
        <f aca="false">INDEX(TC_O,1,MIN(10,AP$6))*(1+P_dTC)</f>
        <v>7300</v>
      </c>
      <c r="AQ18" s="48" t="n">
        <f aca="false">INDEX(TC_O,1,MIN(10,AQ$6))*(1+P_dTC)</f>
        <v>7300</v>
      </c>
      <c r="AR18" s="48" t="n">
        <f aca="false">INDEX(TC_O,1,MIN(10,AR$6))*(1+P_dTC)</f>
        <v>7300</v>
      </c>
      <c r="AS18" s="48" t="n">
        <f aca="false">INDEX(TC_O,1,MIN(10,AS$6))*(1+P_dTC)</f>
        <v>7300</v>
      </c>
      <c r="AT18" s="48" t="n">
        <f aca="false">INDEX(TC_O,1,MIN(10,AT$6))*(1+P_dTC)</f>
        <v>7300</v>
      </c>
      <c r="AU18" s="48" t="n">
        <f aca="false">INDEX(TC_O,1,MIN(10,AU$6))*(1+P_dTC)</f>
        <v>7300</v>
      </c>
      <c r="AV18" s="48" t="n">
        <f aca="false">INDEX(TC_O,1,MIN(10,AV$6))*(1+P_dTC)</f>
        <v>7300</v>
      </c>
      <c r="AW18" s="48" t="n">
        <f aca="false">INDEX(TC_O,1,MIN(10,AW$6))*(1+P_dTC)</f>
        <v>7300</v>
      </c>
      <c r="AX18" s="48" t="n">
        <f aca="false">INDEX(TC_O,1,MIN(10,AX$6))*(1+P_dTC)</f>
        <v>7300</v>
      </c>
      <c r="AY18" s="48" t="n">
        <f aca="false">INDEX(TC_O,1,MIN(10,AY$6))*(1+P_dTC)</f>
        <v>7300</v>
      </c>
      <c r="AZ18" s="48" t="n">
        <f aca="false">INDEX(TC_O,1,MIN(10,AZ$6))*(1+P_dTC)</f>
        <v>7300</v>
      </c>
      <c r="BA18" s="48" t="n">
        <f aca="false">INDEX(TC_O,1,MIN(10,BA$6))*(1+P_dTC)</f>
        <v>7300</v>
      </c>
      <c r="BB18" s="48" t="n">
        <f aca="false">INDEX(TC_O,1,MIN(10,BB$6))*(1+P_dTC)</f>
        <v>7300</v>
      </c>
      <c r="BC18" s="48" t="n">
        <f aca="false">INDEX(TC_O,1,MIN(10,BC$6))*(1+P_dTC)</f>
        <v>7300</v>
      </c>
      <c r="BD18" s="48" t="n">
        <f aca="false">INDEX(TC_O,1,MIN(10,BD$6))*(1+P_dTC)</f>
        <v>7300</v>
      </c>
      <c r="BE18" s="48" t="n">
        <f aca="false">INDEX(TC_O,1,MIN(10,BE$6))*(1+P_dTC)</f>
        <v>7300</v>
      </c>
      <c r="BF18" s="48" t="n">
        <f aca="false">INDEX(TC_O,1,MIN(10,BF$6))*(1+P_dTC)</f>
        <v>7300</v>
      </c>
      <c r="BG18" s="48" t="n">
        <f aca="false">INDEX(TC_O,1,MIN(10,BG$6))*(1+P_dTC)</f>
        <v>7300</v>
      </c>
      <c r="BH18" s="48" t="n">
        <f aca="false">INDEX(TC_O,1,MIN(10,BH$6))*(1+P_dTC)</f>
        <v>7300</v>
      </c>
      <c r="BI18" s="48" t="n">
        <f aca="false">INDEX(TC_O,1,MIN(10,BI$6))*(1+P_dTC)</f>
        <v>7300</v>
      </c>
      <c r="BJ18" s="48" t="n">
        <f aca="false">INDEX(TC_O,1,MIN(10,BJ$6))*(1+P_dTC)</f>
        <v>7300</v>
      </c>
      <c r="BK18" s="48" t="n">
        <f aca="false">INDEX(TC_O,1,MIN(10,BK$6))*(1+P_dTC)</f>
        <v>7300</v>
      </c>
      <c r="BL18" s="48" t="n">
        <f aca="false">INDEX(TC_O,1,MIN(10,BL$6))*(1+P_dTC)</f>
        <v>7300</v>
      </c>
      <c r="BM18" s="48" t="n">
        <f aca="false">INDEX(TC_O,1,MIN(10,BM$6))*(1+P_dTC)</f>
        <v>7300</v>
      </c>
      <c r="BN18" s="48" t="n">
        <f aca="false">INDEX(TC_O,1,MIN(10,BN$6))*(1+P_dTC)</f>
        <v>7300</v>
      </c>
      <c r="BO18" s="48" t="n">
        <f aca="false">INDEX(TC_O,1,MIN(10,BO$6))*(1+P_dTC)</f>
        <v>7300</v>
      </c>
      <c r="BP18" s="48" t="n">
        <f aca="false">INDEX(TC_O,1,MIN(10,BP$6))*(1+P_dTC)</f>
        <v>7300</v>
      </c>
      <c r="BQ18" s="48" t="n">
        <f aca="false">INDEX(TC_O,1,MIN(10,BQ$6))*(1+P_dTC)</f>
        <v>7300</v>
      </c>
      <c r="BR18" s="48" t="n">
        <f aca="false">INDEX(TC_O,1,MIN(10,BR$6))*(1+P_dTC)</f>
        <v>7300</v>
      </c>
      <c r="BS18" s="48" t="n">
        <f aca="false">INDEX(TC_O,1,MIN(10,BS$6))*(1+P_dTC)</f>
        <v>7300</v>
      </c>
      <c r="BT18" s="48" t="n">
        <f aca="false">INDEX(TC_O,1,MIN(10,BT$6))*(1+P_dTC)</f>
        <v>7300</v>
      </c>
      <c r="BU18" s="48" t="n">
        <f aca="false">INDEX(TC_O,1,MIN(10,BU$6))*(1+P_dTC)</f>
        <v>7300</v>
      </c>
      <c r="BV18" s="48" t="n">
        <f aca="false">INDEX(TC_O,1,MIN(10,BV$6))*(1+P_dTC)</f>
        <v>7300</v>
      </c>
      <c r="BW18" s="48" t="n">
        <f aca="false">INDEX(TC_O,1,MIN(10,BW$6))*(1+P_dTC)</f>
        <v>7300</v>
      </c>
      <c r="BX18" s="48" t="n">
        <f aca="false">INDEX(TC_O,1,MIN(10,BX$6))*(1+P_dTC)</f>
        <v>7300</v>
      </c>
      <c r="BY18" s="48" t="n">
        <f aca="false">INDEX(TC_O,1,MIN(10,BY$6))*(1+P_dTC)</f>
        <v>7300</v>
      </c>
      <c r="BZ18" s="48" t="n">
        <f aca="false">INDEX(TC_O,1,MIN(10,BZ$6))*(1+P_dTC)</f>
        <v>7300</v>
      </c>
      <c r="CA18" s="48" t="n">
        <f aca="false">INDEX(TC_O,1,MIN(10,CA$6))*(1+P_dTC)</f>
        <v>7300</v>
      </c>
      <c r="CB18" s="48" t="n">
        <f aca="false">INDEX(TC_O,1,MIN(10,CB$6))*(1+P_dTC)</f>
        <v>7300</v>
      </c>
      <c r="CC18" s="48" t="n">
        <f aca="false">INDEX(TC_O,1,MIN(10,CC$6))*(1+P_dTC)</f>
        <v>7300</v>
      </c>
      <c r="CD18" s="48" t="n">
        <f aca="false">INDEX(TC_O,1,MIN(10,CD$6))*(1+P_dTC)</f>
        <v>7300</v>
      </c>
      <c r="CE18" s="48" t="n">
        <f aca="false">INDEX(TC_O,1,MIN(10,CE$6))*(1+P_dTC)</f>
        <v>7300</v>
      </c>
      <c r="CF18" s="48" t="n">
        <f aca="false">INDEX(TC_O,1,MIN(10,CF$6))*(1+P_dTC)</f>
        <v>7300</v>
      </c>
      <c r="CG18" s="48" t="n">
        <f aca="false">INDEX(TC_O,1,MIN(10,CG$6))*(1+P_dTC)</f>
        <v>7300</v>
      </c>
      <c r="CH18" s="48" t="n">
        <f aca="false">INDEX(TC_O,1,MIN(10,CH$6))*(1+P_dTC)</f>
        <v>7300</v>
      </c>
      <c r="CI18" s="48" t="n">
        <f aca="false">INDEX(TC_O,1,MIN(10,CI$6))*(1+P_dTC)</f>
        <v>7300</v>
      </c>
      <c r="CJ18" s="48" t="n">
        <f aca="false">INDEX(TC_O,1,MIN(10,CJ$6))*(1+P_dTC)</f>
        <v>7300</v>
      </c>
      <c r="CK18" s="48" t="n">
        <f aca="false">INDEX(TC_O,1,MIN(10,CK$6))*(1+P_dTC)</f>
        <v>7300</v>
      </c>
      <c r="CL18" s="48" t="n">
        <f aca="false">INDEX(TC_O,1,MIN(10,CL$6))*(1+P_dTC)</f>
        <v>7300</v>
      </c>
      <c r="CM18" s="48" t="n">
        <f aca="false">INDEX(TC_O,1,MIN(10,CM$6))*(1+P_dTC)</f>
        <v>7300</v>
      </c>
      <c r="CN18" s="48" t="n">
        <f aca="false">INDEX(TC_O,1,MIN(10,CN$6))*(1+P_dTC)</f>
        <v>7300</v>
      </c>
      <c r="CO18" s="48" t="n">
        <f aca="false">INDEX(TC_O,1,MIN(10,CO$6))*(1+P_dTC)</f>
        <v>7300</v>
      </c>
      <c r="CP18" s="48" t="n">
        <f aca="false">INDEX(TC_O,1,MIN(10,CP$6))*(1+P_dTC)</f>
        <v>7300</v>
      </c>
      <c r="CQ18" s="48" t="n">
        <f aca="false">INDEX(TC_O,1,MIN(10,CQ$6))*(1+P_dTC)</f>
        <v>7300</v>
      </c>
      <c r="CR18" s="48" t="n">
        <f aca="false">INDEX(TC_O,1,MIN(10,CR$6))*(1+P_dTC)</f>
        <v>7300</v>
      </c>
      <c r="CS18" s="48" t="n">
        <f aca="false">INDEX(TC_O,1,MIN(10,CS$6))*(1+P_dTC)</f>
        <v>7300</v>
      </c>
      <c r="CT18" s="48" t="n">
        <f aca="false">INDEX(TC_O,1,MIN(10,CT$6))*(1+P_dTC)</f>
        <v>7300</v>
      </c>
      <c r="CU18" s="48" t="n">
        <f aca="false">INDEX(TC_O,1,MIN(10,CU$6))*(1+P_dTC)</f>
        <v>7300</v>
      </c>
      <c r="CV18" s="48" t="n">
        <f aca="false">INDEX(TC_O,1,MIN(10,CV$6))*(1+P_dTC)</f>
        <v>7300</v>
      </c>
      <c r="CW18" s="48" t="n">
        <f aca="false">INDEX(TC_O,1,MIN(10,CW$6))*(1+P_dTC)</f>
        <v>7300</v>
      </c>
      <c r="CX18" s="48" t="n">
        <f aca="false">INDEX(TC_O,1,MIN(10,CX$6))*(1+P_dTC)</f>
        <v>7300</v>
      </c>
      <c r="CY18" s="48" t="n">
        <f aca="false">INDEX(TC_O,1,MIN(10,CY$6))*(1+P_dTC)</f>
        <v>7300</v>
      </c>
      <c r="CZ18" s="48" t="n">
        <f aca="false">INDEX(TC_O,1,MIN(10,CZ$6))*(1+P_dTC)</f>
        <v>7300</v>
      </c>
      <c r="DA18" s="48" t="n">
        <f aca="false">INDEX(TC_O,1,MIN(10,DA$6))*(1+P_dTC)</f>
        <v>7300</v>
      </c>
      <c r="DB18" s="48" t="n">
        <f aca="false">INDEX(TC_O,1,MIN(10,DB$6))*(1+P_dTC)</f>
        <v>7300</v>
      </c>
      <c r="DC18" s="48" t="n">
        <f aca="false">INDEX(TC_O,1,MIN(10,DC$6))*(1+P_dTC)</f>
        <v>7300</v>
      </c>
      <c r="DD18" s="48" t="n">
        <f aca="false">INDEX(TC_O,1,MIN(10,DD$6))*(1+P_dTC)</f>
        <v>7300</v>
      </c>
      <c r="DE18" s="48" t="n">
        <f aca="false">INDEX(TC_O,1,MIN(10,DE$6))*(1+P_dTC)</f>
        <v>7300</v>
      </c>
      <c r="DF18" s="48" t="n">
        <f aca="false">INDEX(TC_O,1,MIN(10,DF$6))*(1+P_dTC)</f>
        <v>7300</v>
      </c>
      <c r="DG18" s="48" t="n">
        <f aca="false">INDEX(TC_O,1,MIN(10,DG$6))*(1+P_dTC)</f>
        <v>7300</v>
      </c>
      <c r="DH18" s="48" t="n">
        <f aca="false">INDEX(TC_O,1,MIN(10,DH$6))*(1+P_dTC)</f>
        <v>7300</v>
      </c>
      <c r="DI18" s="48" t="n">
        <f aca="false">INDEX(TC_O,1,MIN(10,DI$6))*(1+P_dTC)</f>
        <v>7300</v>
      </c>
      <c r="DJ18" s="48" t="n">
        <f aca="false">INDEX(TC_O,1,MIN(10,DJ$6))*(1+P_dTC)</f>
        <v>7300</v>
      </c>
      <c r="DK18" s="48" t="n">
        <f aca="false">INDEX(TC_O,1,MIN(10,DK$6))*(1+P_dTC)</f>
        <v>7300</v>
      </c>
      <c r="DL18" s="48" t="n">
        <f aca="false">INDEX(TC_O,1,MIN(10,DL$6))*(1+P_dTC)</f>
        <v>7300</v>
      </c>
      <c r="DM18" s="48" t="n">
        <f aca="false">INDEX(TC_O,1,MIN(10,DM$6))*(1+P_dTC)</f>
        <v>7300</v>
      </c>
      <c r="DN18" s="48" t="n">
        <f aca="false">INDEX(TC_O,1,MIN(10,DN$6))*(1+P_dTC)</f>
        <v>7300</v>
      </c>
      <c r="DO18" s="48" t="n">
        <f aca="false">INDEX(TC_O,1,MIN(10,DO$6))*(1+P_dTC)</f>
        <v>7300</v>
      </c>
      <c r="DP18" s="48" t="n">
        <f aca="false">INDEX(TC_O,1,MIN(10,DP$6))*(1+P_dTC)</f>
        <v>7300</v>
      </c>
      <c r="DQ18" s="48" t="n">
        <f aca="false">INDEX(TC_O,1,MIN(10,DQ$6))*(1+P_dTC)</f>
        <v>7300</v>
      </c>
      <c r="DR18" s="48" t="n">
        <f aca="false">INDEX(TC_O,1,MIN(10,DR$6))*(1+P_dTC)</f>
        <v>7300</v>
      </c>
      <c r="DS18" s="48" t="n">
        <f aca="false">INDEX(TC_O,1,MIN(10,DS$6))*(1+P_dTC)</f>
        <v>7300</v>
      </c>
      <c r="DT18" s="48" t="n">
        <f aca="false">INDEX(TC_O,1,MIN(10,DT$6))*(1+P_dTC)</f>
        <v>7300</v>
      </c>
      <c r="DU18" s="48" t="n">
        <f aca="false">INDEX(TC_O,1,MIN(10,DU$6))*(1+P_dTC)</f>
        <v>7300</v>
      </c>
      <c r="DV18" s="48" t="n">
        <f aca="false">INDEX(TC_O,1,MIN(10,DV$6))*(1+P_dTC)</f>
        <v>7300</v>
      </c>
      <c r="DW18" s="48" t="n">
        <f aca="false">INDEX(TC_O,1,MIN(10,DW$6))*(1+P_dTC)</f>
        <v>7300</v>
      </c>
      <c r="DX18" s="48" t="n">
        <f aca="false">INDEX(TC_O,1,MIN(10,DX$6))*(1+P_dTC)</f>
        <v>7300</v>
      </c>
      <c r="DY18" s="48" t="n">
        <f aca="false">INDEX(TC_O,1,MIN(10,DY$6))*(1+P_dTC)</f>
        <v>7300</v>
      </c>
      <c r="DZ18" s="48" t="n">
        <f aca="false">INDEX(TC_O,1,MIN(10,DZ$6))*(1+P_dTC)</f>
        <v>7300</v>
      </c>
      <c r="EA18" s="48" t="n">
        <f aca="false">INDEX(TC_O,1,MIN(10,EA$6))*(1+P_dTC)</f>
        <v>7300</v>
      </c>
      <c r="EB18" s="48" t="n">
        <f aca="false">INDEX(TC_O,1,MIN(10,EB$6))*(1+P_dTC)</f>
        <v>7300</v>
      </c>
      <c r="EC18" s="48" t="n">
        <f aca="false">INDEX(TC_O,1,MIN(10,EC$6))*(1+P_dTC)</f>
        <v>7300</v>
      </c>
      <c r="ED18" s="48" t="n">
        <f aca="false">INDEX(TC_O,1,MIN(10,ED$6))*(1+P_dTC)</f>
        <v>7300</v>
      </c>
      <c r="EE18" s="48" t="n">
        <f aca="false">INDEX(TC_O,1,MIN(10,EE$6))*(1+P_dTC)</f>
        <v>7300</v>
      </c>
      <c r="EF18" s="48" t="n">
        <f aca="false">INDEX(TC_O,1,MIN(10,EF$6))*(1+P_dTC)</f>
        <v>7300</v>
      </c>
      <c r="EG18" s="48" t="n">
        <f aca="false">INDEX(TC_O,1,MIN(10,EG$6))*(1+P_dTC)</f>
        <v>7300</v>
      </c>
      <c r="EH18" s="48" t="n">
        <f aca="false">INDEX(TC_O,1,MIN(10,EH$6))*(1+P_dTC)</f>
        <v>7300</v>
      </c>
      <c r="EI18" s="48" t="n">
        <f aca="false">INDEX(TC_O,1,MIN(10,EI$6))*(1+P_dTC)</f>
        <v>7300</v>
      </c>
      <c r="EJ18" s="48" t="n">
        <f aca="false">INDEX(TC_O,1,MIN(10,EJ$6))*(1+P_dTC)</f>
        <v>7300</v>
      </c>
      <c r="EK18" s="48" t="n">
        <f aca="false">INDEX(TC_O,1,MIN(10,EK$6))*(1+P_dTC)</f>
        <v>7300</v>
      </c>
      <c r="EL18" s="48" t="n">
        <f aca="false">INDEX(TC_O,1,MIN(10,EL$6))*(1+P_dTC)</f>
        <v>7300</v>
      </c>
      <c r="EM18" s="48" t="n">
        <f aca="false">INDEX(TC_O,1,MIN(10,EM$6))*(1+P_dTC)</f>
        <v>7300</v>
      </c>
      <c r="EN18" s="48" t="n">
        <f aca="false">INDEX(TC_O,1,MIN(10,EN$6))*(1+P_dTC)</f>
        <v>7300</v>
      </c>
      <c r="EO18" s="48" t="n">
        <f aca="false">INDEX(TC_O,1,MIN(10,EO$6))*(1+P_dTC)</f>
        <v>7300</v>
      </c>
      <c r="EP18" s="48" t="n">
        <f aca="false">INDEX(TC_O,1,MIN(10,EP$6))*(1+P_dTC)</f>
        <v>7300</v>
      </c>
      <c r="EQ18" s="48" t="n">
        <f aca="false">INDEX(TC_O,1,MIN(10,EQ$6))*(1+P_dTC)</f>
        <v>7300</v>
      </c>
      <c r="ER18" s="48" t="n">
        <f aca="false">INDEX(TC_O,1,MIN(10,ER$6))*(1+P_dTC)</f>
        <v>7300</v>
      </c>
      <c r="ES18" s="48" t="n">
        <f aca="false">INDEX(TC_O,1,MIN(10,ES$6))*(1+P_dTC)</f>
        <v>7300</v>
      </c>
    </row>
    <row r="19" customFormat="false" ht="15" hidden="false" customHeight="false" outlineLevel="0" collapsed="false">
      <c r="A19" s="11" t="s">
        <v>1064</v>
      </c>
      <c r="B19" s="15" t="s">
        <v>1065</v>
      </c>
      <c r="C19" s="15"/>
      <c r="F19" s="42" t="n">
        <f aca="false">IF(F$18&gt;0,1/F$18,0)</f>
        <v>0.000136986301369863</v>
      </c>
      <c r="G19" s="42" t="n">
        <f aca="false">IF(G$18&gt;0,1/G$18,0)</f>
        <v>0.000136986301369863</v>
      </c>
      <c r="H19" s="42" t="n">
        <f aca="false">IF(H$18&gt;0,1/H$18,0)</f>
        <v>0.000136986301369863</v>
      </c>
      <c r="I19" s="42" t="n">
        <f aca="false">IF(I$18&gt;0,1/I$18,0)</f>
        <v>0.000136986301369863</v>
      </c>
      <c r="J19" s="42" t="n">
        <f aca="false">IF(J$18&gt;0,1/J$18,0)</f>
        <v>0.000136986301369863</v>
      </c>
      <c r="K19" s="42" t="n">
        <f aca="false">IF(K$18&gt;0,1/K$18,0)</f>
        <v>0.000136986301369863</v>
      </c>
      <c r="L19" s="42" t="n">
        <f aca="false">IF(L$18&gt;0,1/L$18,0)</f>
        <v>0.000136986301369863</v>
      </c>
      <c r="M19" s="42" t="n">
        <f aca="false">IF(M$18&gt;0,1/M$18,0)</f>
        <v>0.000136986301369863</v>
      </c>
      <c r="N19" s="42" t="n">
        <f aca="false">IF(N$18&gt;0,1/N$18,0)</f>
        <v>0.000136986301369863</v>
      </c>
      <c r="O19" s="42" t="n">
        <f aca="false">IF(O$18&gt;0,1/O$18,0)</f>
        <v>0.000136986301369863</v>
      </c>
      <c r="P19" s="42" t="n">
        <f aca="false">IF(P$18&gt;0,1/P$18,0)</f>
        <v>0.000136986301369863</v>
      </c>
      <c r="Q19" s="42" t="n">
        <f aca="false">IF(Q$18&gt;0,1/Q$18,0)</f>
        <v>0.000136986301369863</v>
      </c>
      <c r="R19" s="42" t="n">
        <f aca="false">IF(R$18&gt;0,1/R$18,0)</f>
        <v>0.000136986301369863</v>
      </c>
      <c r="S19" s="42" t="n">
        <f aca="false">IF(S$18&gt;0,1/S$18,0)</f>
        <v>0.000136986301369863</v>
      </c>
      <c r="T19" s="42" t="n">
        <f aca="false">IF(T$18&gt;0,1/T$18,0)</f>
        <v>0.000136986301369863</v>
      </c>
      <c r="U19" s="42" t="n">
        <f aca="false">IF(U$18&gt;0,1/U$18,0)</f>
        <v>0.000136986301369863</v>
      </c>
      <c r="V19" s="42" t="n">
        <f aca="false">IF(V$18&gt;0,1/V$18,0)</f>
        <v>0.000136986301369863</v>
      </c>
      <c r="W19" s="42" t="n">
        <f aca="false">IF(W$18&gt;0,1/W$18,0)</f>
        <v>0.000136986301369863</v>
      </c>
      <c r="X19" s="42" t="n">
        <f aca="false">IF(X$18&gt;0,1/X$18,0)</f>
        <v>0.000136986301369863</v>
      </c>
      <c r="Y19" s="42" t="n">
        <f aca="false">IF(Y$18&gt;0,1/Y$18,0)</f>
        <v>0.000136986301369863</v>
      </c>
      <c r="Z19" s="42" t="n">
        <f aca="false">IF(Z$18&gt;0,1/Z$18,0)</f>
        <v>0.000136986301369863</v>
      </c>
      <c r="AA19" s="42" t="n">
        <f aca="false">IF(AA$18&gt;0,1/AA$18,0)</f>
        <v>0.000136986301369863</v>
      </c>
      <c r="AB19" s="42" t="n">
        <f aca="false">IF(AB$18&gt;0,1/AB$18,0)</f>
        <v>0.000136986301369863</v>
      </c>
      <c r="AC19" s="42" t="n">
        <f aca="false">IF(AC$18&gt;0,1/AC$18,0)</f>
        <v>0.000136986301369863</v>
      </c>
      <c r="AD19" s="42" t="n">
        <f aca="false">IF(AD$18&gt;0,1/AD$18,0)</f>
        <v>0.000136986301369863</v>
      </c>
      <c r="AE19" s="42" t="n">
        <f aca="false">IF(AE$18&gt;0,1/AE$18,0)</f>
        <v>0.000136986301369863</v>
      </c>
      <c r="AF19" s="42" t="n">
        <f aca="false">IF(AF$18&gt;0,1/AF$18,0)</f>
        <v>0.000136986301369863</v>
      </c>
      <c r="AG19" s="42" t="n">
        <f aca="false">IF(AG$18&gt;0,1/AG$18,0)</f>
        <v>0.000136986301369863</v>
      </c>
      <c r="AH19" s="42" t="n">
        <f aca="false">IF(AH$18&gt;0,1/AH$18,0)</f>
        <v>0.000136986301369863</v>
      </c>
      <c r="AI19" s="42" t="n">
        <f aca="false">IF(AI$18&gt;0,1/AI$18,0)</f>
        <v>0.000136986301369863</v>
      </c>
      <c r="AJ19" s="42" t="n">
        <f aca="false">IF(AJ$18&gt;0,1/AJ$18,0)</f>
        <v>0.000136986301369863</v>
      </c>
      <c r="AK19" s="42" t="n">
        <f aca="false">IF(AK$18&gt;0,1/AK$18,0)</f>
        <v>0.000136986301369863</v>
      </c>
      <c r="AL19" s="42" t="n">
        <f aca="false">IF(AL$18&gt;0,1/AL$18,0)</f>
        <v>0.000136986301369863</v>
      </c>
      <c r="AM19" s="42" t="n">
        <f aca="false">IF(AM$18&gt;0,1/AM$18,0)</f>
        <v>0.000136986301369863</v>
      </c>
      <c r="AN19" s="42" t="n">
        <f aca="false">IF(AN$18&gt;0,1/AN$18,0)</f>
        <v>0.000136986301369863</v>
      </c>
      <c r="AO19" s="42" t="n">
        <f aca="false">IF(AO$18&gt;0,1/AO$18,0)</f>
        <v>0.000136986301369863</v>
      </c>
      <c r="AP19" s="42" t="n">
        <f aca="false">IF(AP$18&gt;0,1/AP$18,0)</f>
        <v>0.000136986301369863</v>
      </c>
      <c r="AQ19" s="42" t="n">
        <f aca="false">IF(AQ$18&gt;0,1/AQ$18,0)</f>
        <v>0.000136986301369863</v>
      </c>
      <c r="AR19" s="42" t="n">
        <f aca="false">IF(AR$18&gt;0,1/AR$18,0)</f>
        <v>0.000136986301369863</v>
      </c>
      <c r="AS19" s="42" t="n">
        <f aca="false">IF(AS$18&gt;0,1/AS$18,0)</f>
        <v>0.000136986301369863</v>
      </c>
      <c r="AT19" s="42" t="n">
        <f aca="false">IF(AT$18&gt;0,1/AT$18,0)</f>
        <v>0.000136986301369863</v>
      </c>
      <c r="AU19" s="42" t="n">
        <f aca="false">IF(AU$18&gt;0,1/AU$18,0)</f>
        <v>0.000136986301369863</v>
      </c>
      <c r="AV19" s="42" t="n">
        <f aca="false">IF(AV$18&gt;0,1/AV$18,0)</f>
        <v>0.000136986301369863</v>
      </c>
      <c r="AW19" s="42" t="n">
        <f aca="false">IF(AW$18&gt;0,1/AW$18,0)</f>
        <v>0.000136986301369863</v>
      </c>
      <c r="AX19" s="42" t="n">
        <f aca="false">IF(AX$18&gt;0,1/AX$18,0)</f>
        <v>0.000136986301369863</v>
      </c>
      <c r="AY19" s="42" t="n">
        <f aca="false">IF(AY$18&gt;0,1/AY$18,0)</f>
        <v>0.000136986301369863</v>
      </c>
      <c r="AZ19" s="42" t="n">
        <f aca="false">IF(AZ$18&gt;0,1/AZ$18,0)</f>
        <v>0.000136986301369863</v>
      </c>
      <c r="BA19" s="42" t="n">
        <f aca="false">IF(BA$18&gt;0,1/BA$18,0)</f>
        <v>0.000136986301369863</v>
      </c>
      <c r="BB19" s="42" t="n">
        <f aca="false">IF(BB$18&gt;0,1/BB$18,0)</f>
        <v>0.000136986301369863</v>
      </c>
      <c r="BC19" s="42" t="n">
        <f aca="false">IF(BC$18&gt;0,1/BC$18,0)</f>
        <v>0.000136986301369863</v>
      </c>
      <c r="BD19" s="42" t="n">
        <f aca="false">IF(BD$18&gt;0,1/BD$18,0)</f>
        <v>0.000136986301369863</v>
      </c>
      <c r="BE19" s="42" t="n">
        <f aca="false">IF(BE$18&gt;0,1/BE$18,0)</f>
        <v>0.000136986301369863</v>
      </c>
      <c r="BF19" s="42" t="n">
        <f aca="false">IF(BF$18&gt;0,1/BF$18,0)</f>
        <v>0.000136986301369863</v>
      </c>
      <c r="BG19" s="42" t="n">
        <f aca="false">IF(BG$18&gt;0,1/BG$18,0)</f>
        <v>0.000136986301369863</v>
      </c>
      <c r="BH19" s="42" t="n">
        <f aca="false">IF(BH$18&gt;0,1/BH$18,0)</f>
        <v>0.000136986301369863</v>
      </c>
      <c r="BI19" s="42" t="n">
        <f aca="false">IF(BI$18&gt;0,1/BI$18,0)</f>
        <v>0.000136986301369863</v>
      </c>
      <c r="BJ19" s="42" t="n">
        <f aca="false">IF(BJ$18&gt;0,1/BJ$18,0)</f>
        <v>0.000136986301369863</v>
      </c>
      <c r="BK19" s="42" t="n">
        <f aca="false">IF(BK$18&gt;0,1/BK$18,0)</f>
        <v>0.000136986301369863</v>
      </c>
      <c r="BL19" s="42" t="n">
        <f aca="false">IF(BL$18&gt;0,1/BL$18,0)</f>
        <v>0.000136986301369863</v>
      </c>
      <c r="BM19" s="42" t="n">
        <f aca="false">IF(BM$18&gt;0,1/BM$18,0)</f>
        <v>0.000136986301369863</v>
      </c>
      <c r="BN19" s="42" t="n">
        <f aca="false">IF(BN$18&gt;0,1/BN$18,0)</f>
        <v>0.000136986301369863</v>
      </c>
      <c r="BO19" s="42" t="n">
        <f aca="false">IF(BO$18&gt;0,1/BO$18,0)</f>
        <v>0.000136986301369863</v>
      </c>
      <c r="BP19" s="42" t="n">
        <f aca="false">IF(BP$18&gt;0,1/BP$18,0)</f>
        <v>0.000136986301369863</v>
      </c>
      <c r="BQ19" s="42" t="n">
        <f aca="false">IF(BQ$18&gt;0,1/BQ$18,0)</f>
        <v>0.000136986301369863</v>
      </c>
      <c r="BR19" s="42" t="n">
        <f aca="false">IF(BR$18&gt;0,1/BR$18,0)</f>
        <v>0.000136986301369863</v>
      </c>
      <c r="BS19" s="42" t="n">
        <f aca="false">IF(BS$18&gt;0,1/BS$18,0)</f>
        <v>0.000136986301369863</v>
      </c>
      <c r="BT19" s="42" t="n">
        <f aca="false">IF(BT$18&gt;0,1/BT$18,0)</f>
        <v>0.000136986301369863</v>
      </c>
      <c r="BU19" s="42" t="n">
        <f aca="false">IF(BU$18&gt;0,1/BU$18,0)</f>
        <v>0.000136986301369863</v>
      </c>
      <c r="BV19" s="42" t="n">
        <f aca="false">IF(BV$18&gt;0,1/BV$18,0)</f>
        <v>0.000136986301369863</v>
      </c>
      <c r="BW19" s="42" t="n">
        <f aca="false">IF(BW$18&gt;0,1/BW$18,0)</f>
        <v>0.000136986301369863</v>
      </c>
      <c r="BX19" s="42" t="n">
        <f aca="false">IF(BX$18&gt;0,1/BX$18,0)</f>
        <v>0.000136986301369863</v>
      </c>
      <c r="BY19" s="42" t="n">
        <f aca="false">IF(BY$18&gt;0,1/BY$18,0)</f>
        <v>0.000136986301369863</v>
      </c>
      <c r="BZ19" s="42" t="n">
        <f aca="false">IF(BZ$18&gt;0,1/BZ$18,0)</f>
        <v>0.000136986301369863</v>
      </c>
      <c r="CA19" s="42" t="n">
        <f aca="false">IF(CA$18&gt;0,1/CA$18,0)</f>
        <v>0.000136986301369863</v>
      </c>
      <c r="CB19" s="42" t="n">
        <f aca="false">IF(CB$18&gt;0,1/CB$18,0)</f>
        <v>0.000136986301369863</v>
      </c>
      <c r="CC19" s="42" t="n">
        <f aca="false">IF(CC$18&gt;0,1/CC$18,0)</f>
        <v>0.000136986301369863</v>
      </c>
      <c r="CD19" s="42" t="n">
        <f aca="false">IF(CD$18&gt;0,1/CD$18,0)</f>
        <v>0.000136986301369863</v>
      </c>
      <c r="CE19" s="42" t="n">
        <f aca="false">IF(CE$18&gt;0,1/CE$18,0)</f>
        <v>0.000136986301369863</v>
      </c>
      <c r="CF19" s="42" t="n">
        <f aca="false">IF(CF$18&gt;0,1/CF$18,0)</f>
        <v>0.000136986301369863</v>
      </c>
      <c r="CG19" s="42" t="n">
        <f aca="false">IF(CG$18&gt;0,1/CG$18,0)</f>
        <v>0.000136986301369863</v>
      </c>
      <c r="CH19" s="42" t="n">
        <f aca="false">IF(CH$18&gt;0,1/CH$18,0)</f>
        <v>0.000136986301369863</v>
      </c>
      <c r="CI19" s="42" t="n">
        <f aca="false">IF(CI$18&gt;0,1/CI$18,0)</f>
        <v>0.000136986301369863</v>
      </c>
      <c r="CJ19" s="42" t="n">
        <f aca="false">IF(CJ$18&gt;0,1/CJ$18,0)</f>
        <v>0.000136986301369863</v>
      </c>
      <c r="CK19" s="42" t="n">
        <f aca="false">IF(CK$18&gt;0,1/CK$18,0)</f>
        <v>0.000136986301369863</v>
      </c>
      <c r="CL19" s="42" t="n">
        <f aca="false">IF(CL$18&gt;0,1/CL$18,0)</f>
        <v>0.000136986301369863</v>
      </c>
      <c r="CM19" s="42" t="n">
        <f aca="false">IF(CM$18&gt;0,1/CM$18,0)</f>
        <v>0.000136986301369863</v>
      </c>
      <c r="CN19" s="42" t="n">
        <f aca="false">IF(CN$18&gt;0,1/CN$18,0)</f>
        <v>0.000136986301369863</v>
      </c>
      <c r="CO19" s="42" t="n">
        <f aca="false">IF(CO$18&gt;0,1/CO$18,0)</f>
        <v>0.000136986301369863</v>
      </c>
      <c r="CP19" s="42" t="n">
        <f aca="false">IF(CP$18&gt;0,1/CP$18,0)</f>
        <v>0.000136986301369863</v>
      </c>
      <c r="CQ19" s="42" t="n">
        <f aca="false">IF(CQ$18&gt;0,1/CQ$18,0)</f>
        <v>0.000136986301369863</v>
      </c>
      <c r="CR19" s="42" t="n">
        <f aca="false">IF(CR$18&gt;0,1/CR$18,0)</f>
        <v>0.000136986301369863</v>
      </c>
      <c r="CS19" s="42" t="n">
        <f aca="false">IF(CS$18&gt;0,1/CS$18,0)</f>
        <v>0.000136986301369863</v>
      </c>
      <c r="CT19" s="42" t="n">
        <f aca="false">IF(CT$18&gt;0,1/CT$18,0)</f>
        <v>0.000136986301369863</v>
      </c>
      <c r="CU19" s="42" t="n">
        <f aca="false">IF(CU$18&gt;0,1/CU$18,0)</f>
        <v>0.000136986301369863</v>
      </c>
      <c r="CV19" s="42" t="n">
        <f aca="false">IF(CV$18&gt;0,1/CV$18,0)</f>
        <v>0.000136986301369863</v>
      </c>
      <c r="CW19" s="42" t="n">
        <f aca="false">IF(CW$18&gt;0,1/CW$18,0)</f>
        <v>0.000136986301369863</v>
      </c>
      <c r="CX19" s="42" t="n">
        <f aca="false">IF(CX$18&gt;0,1/CX$18,0)</f>
        <v>0.000136986301369863</v>
      </c>
      <c r="CY19" s="42" t="n">
        <f aca="false">IF(CY$18&gt;0,1/CY$18,0)</f>
        <v>0.000136986301369863</v>
      </c>
      <c r="CZ19" s="42" t="n">
        <f aca="false">IF(CZ$18&gt;0,1/CZ$18,0)</f>
        <v>0.000136986301369863</v>
      </c>
      <c r="DA19" s="42" t="n">
        <f aca="false">IF(DA$18&gt;0,1/DA$18,0)</f>
        <v>0.000136986301369863</v>
      </c>
      <c r="DB19" s="42" t="n">
        <f aca="false">IF(DB$18&gt;0,1/DB$18,0)</f>
        <v>0.000136986301369863</v>
      </c>
      <c r="DC19" s="42" t="n">
        <f aca="false">IF(DC$18&gt;0,1/DC$18,0)</f>
        <v>0.000136986301369863</v>
      </c>
      <c r="DD19" s="42" t="n">
        <f aca="false">IF(DD$18&gt;0,1/DD$18,0)</f>
        <v>0.000136986301369863</v>
      </c>
      <c r="DE19" s="42" t="n">
        <f aca="false">IF(DE$18&gt;0,1/DE$18,0)</f>
        <v>0.000136986301369863</v>
      </c>
      <c r="DF19" s="42" t="n">
        <f aca="false">IF(DF$18&gt;0,1/DF$18,0)</f>
        <v>0.000136986301369863</v>
      </c>
      <c r="DG19" s="42" t="n">
        <f aca="false">IF(DG$18&gt;0,1/DG$18,0)</f>
        <v>0.000136986301369863</v>
      </c>
      <c r="DH19" s="42" t="n">
        <f aca="false">IF(DH$18&gt;0,1/DH$18,0)</f>
        <v>0.000136986301369863</v>
      </c>
      <c r="DI19" s="42" t="n">
        <f aca="false">IF(DI$18&gt;0,1/DI$18,0)</f>
        <v>0.000136986301369863</v>
      </c>
      <c r="DJ19" s="42" t="n">
        <f aca="false">IF(DJ$18&gt;0,1/DJ$18,0)</f>
        <v>0.000136986301369863</v>
      </c>
      <c r="DK19" s="42" t="n">
        <f aca="false">IF(DK$18&gt;0,1/DK$18,0)</f>
        <v>0.000136986301369863</v>
      </c>
      <c r="DL19" s="42" t="n">
        <f aca="false">IF(DL$18&gt;0,1/DL$18,0)</f>
        <v>0.000136986301369863</v>
      </c>
      <c r="DM19" s="42" t="n">
        <f aca="false">IF(DM$18&gt;0,1/DM$18,0)</f>
        <v>0.000136986301369863</v>
      </c>
      <c r="DN19" s="42" t="n">
        <f aca="false">IF(DN$18&gt;0,1/DN$18,0)</f>
        <v>0.000136986301369863</v>
      </c>
      <c r="DO19" s="42" t="n">
        <f aca="false">IF(DO$18&gt;0,1/DO$18,0)</f>
        <v>0.000136986301369863</v>
      </c>
      <c r="DP19" s="42" t="n">
        <f aca="false">IF(DP$18&gt;0,1/DP$18,0)</f>
        <v>0.000136986301369863</v>
      </c>
      <c r="DQ19" s="42" t="n">
        <f aca="false">IF(DQ$18&gt;0,1/DQ$18,0)</f>
        <v>0.000136986301369863</v>
      </c>
      <c r="DR19" s="42" t="n">
        <f aca="false">IF(DR$18&gt;0,1/DR$18,0)</f>
        <v>0.000136986301369863</v>
      </c>
      <c r="DS19" s="42" t="n">
        <f aca="false">IF(DS$18&gt;0,1/DS$18,0)</f>
        <v>0.000136986301369863</v>
      </c>
      <c r="DT19" s="42" t="n">
        <f aca="false">IF(DT$18&gt;0,1/DT$18,0)</f>
        <v>0.000136986301369863</v>
      </c>
      <c r="DU19" s="42" t="n">
        <f aca="false">IF(DU$18&gt;0,1/DU$18,0)</f>
        <v>0.000136986301369863</v>
      </c>
      <c r="DV19" s="42" t="n">
        <f aca="false">IF(DV$18&gt;0,1/DV$18,0)</f>
        <v>0.000136986301369863</v>
      </c>
      <c r="DW19" s="42" t="n">
        <f aca="false">IF(DW$18&gt;0,1/DW$18,0)</f>
        <v>0.000136986301369863</v>
      </c>
      <c r="DX19" s="42" t="n">
        <f aca="false">IF(DX$18&gt;0,1/DX$18,0)</f>
        <v>0.000136986301369863</v>
      </c>
      <c r="DY19" s="42" t="n">
        <f aca="false">IF(DY$18&gt;0,1/DY$18,0)</f>
        <v>0.000136986301369863</v>
      </c>
      <c r="DZ19" s="42" t="n">
        <f aca="false">IF(DZ$18&gt;0,1/DZ$18,0)</f>
        <v>0.000136986301369863</v>
      </c>
      <c r="EA19" s="42" t="n">
        <f aca="false">IF(EA$18&gt;0,1/EA$18,0)</f>
        <v>0.000136986301369863</v>
      </c>
      <c r="EB19" s="42" t="n">
        <f aca="false">IF(EB$18&gt;0,1/EB$18,0)</f>
        <v>0.000136986301369863</v>
      </c>
      <c r="EC19" s="42" t="n">
        <f aca="false">IF(EC$18&gt;0,1/EC$18,0)</f>
        <v>0.000136986301369863</v>
      </c>
      <c r="ED19" s="42" t="n">
        <f aca="false">IF(ED$18&gt;0,1/ED$18,0)</f>
        <v>0.000136986301369863</v>
      </c>
      <c r="EE19" s="42" t="n">
        <f aca="false">IF(EE$18&gt;0,1/EE$18,0)</f>
        <v>0.000136986301369863</v>
      </c>
      <c r="EF19" s="42" t="n">
        <f aca="false">IF(EF$18&gt;0,1/EF$18,0)</f>
        <v>0.000136986301369863</v>
      </c>
      <c r="EG19" s="42" t="n">
        <f aca="false">IF(EG$18&gt;0,1/EG$18,0)</f>
        <v>0.000136986301369863</v>
      </c>
      <c r="EH19" s="42" t="n">
        <f aca="false">IF(EH$18&gt;0,1/EH$18,0)</f>
        <v>0.000136986301369863</v>
      </c>
      <c r="EI19" s="42" t="n">
        <f aca="false">IF(EI$18&gt;0,1/EI$18,0)</f>
        <v>0.000136986301369863</v>
      </c>
      <c r="EJ19" s="42" t="n">
        <f aca="false">IF(EJ$18&gt;0,1/EJ$18,0)</f>
        <v>0.000136986301369863</v>
      </c>
      <c r="EK19" s="42" t="n">
        <f aca="false">IF(EK$18&gt;0,1/EK$18,0)</f>
        <v>0.000136986301369863</v>
      </c>
      <c r="EL19" s="42" t="n">
        <f aca="false">IF(EL$18&gt;0,1/EL$18,0)</f>
        <v>0.000136986301369863</v>
      </c>
      <c r="EM19" s="42" t="n">
        <f aca="false">IF(EM$18&gt;0,1/EM$18,0)</f>
        <v>0.000136986301369863</v>
      </c>
      <c r="EN19" s="42" t="n">
        <f aca="false">IF(EN$18&gt;0,1/EN$18,0)</f>
        <v>0.000136986301369863</v>
      </c>
      <c r="EO19" s="42" t="n">
        <f aca="false">IF(EO$18&gt;0,1/EO$18,0)</f>
        <v>0.000136986301369863</v>
      </c>
      <c r="EP19" s="42" t="n">
        <f aca="false">IF(EP$18&gt;0,1/EP$18,0)</f>
        <v>0.000136986301369863</v>
      </c>
      <c r="EQ19" s="42" t="n">
        <f aca="false">IF(EQ$18&gt;0,1/EQ$18,0)</f>
        <v>0.000136986301369863</v>
      </c>
      <c r="ER19" s="42" t="n">
        <f aca="false">IF(ER$18&gt;0,1/ER$18,0)</f>
        <v>0.000136986301369863</v>
      </c>
      <c r="ES19" s="42" t="n">
        <f aca="false">IF(ES$18&gt;0,1/ES$18,0)</f>
        <v>0.000136986301369863</v>
      </c>
    </row>
    <row r="20" customFormat="false" ht="15" hidden="false" customHeight="false" outlineLevel="0" collapsed="false">
      <c r="A20" s="13"/>
      <c r="B20" s="12" t="s">
        <v>506</v>
      </c>
      <c r="C20" s="13"/>
      <c r="D20" s="13"/>
      <c r="E20" s="13"/>
    </row>
    <row r="21" customFormat="false" ht="15" hidden="false" customHeight="false" outlineLevel="0" collapsed="false">
      <c r="A21" s="11" t="s">
        <v>1066</v>
      </c>
      <c r="B21" s="53" t="str">
        <f aca="false">IF(INDEX(Prod_Nombre,1)="","Producto 1",INDEX(Prod_Nombre,1))&amp;" — unidades"</f>
        <v>Gabinetes metálicos 153 kg — unidades</v>
      </c>
      <c r="C21" s="15" t="s">
        <v>544</v>
      </c>
      <c r="E21" s="54" t="n">
        <f aca="false">SUM(F21:ES21)</f>
        <v>192000</v>
      </c>
      <c r="F21" s="48" t="n">
        <f aca="false">IF(F$15=1,INDEX(Vol_O,1,F$14)/12*(1+P_dVol),0)</f>
        <v>1000</v>
      </c>
      <c r="G21" s="48" t="n">
        <f aca="false">IF(G$15=1,INDEX(Vol_O,1,G$14)/12*(1+P_dVol),0)</f>
        <v>1000</v>
      </c>
      <c r="H21" s="48" t="n">
        <f aca="false">IF(H$15=1,INDEX(Vol_O,1,H$14)/12*(1+P_dVol),0)</f>
        <v>1000</v>
      </c>
      <c r="I21" s="48" t="n">
        <f aca="false">IF(I$15=1,INDEX(Vol_O,1,I$14)/12*(1+P_dVol),0)</f>
        <v>1000</v>
      </c>
      <c r="J21" s="48" t="n">
        <f aca="false">IF(J$15=1,INDEX(Vol_O,1,J$14)/12*(1+P_dVol),0)</f>
        <v>1000</v>
      </c>
      <c r="K21" s="48" t="n">
        <f aca="false">IF(K$15=1,INDEX(Vol_O,1,K$14)/12*(1+P_dVol),0)</f>
        <v>1000</v>
      </c>
      <c r="L21" s="48" t="n">
        <f aca="false">IF(L$15=1,INDEX(Vol_O,1,L$14)/12*(1+P_dVol),0)</f>
        <v>1000</v>
      </c>
      <c r="M21" s="48" t="n">
        <f aca="false">IF(M$15=1,INDEX(Vol_O,1,M$14)/12*(1+P_dVol),0)</f>
        <v>1000</v>
      </c>
      <c r="N21" s="48" t="n">
        <f aca="false">IF(N$15=1,INDEX(Vol_O,1,N$14)/12*(1+P_dVol),0)</f>
        <v>1000</v>
      </c>
      <c r="O21" s="48" t="n">
        <f aca="false">IF(O$15=1,INDEX(Vol_O,1,O$14)/12*(1+P_dVol),0)</f>
        <v>1000</v>
      </c>
      <c r="P21" s="48" t="n">
        <f aca="false">IF(P$15=1,INDEX(Vol_O,1,P$14)/12*(1+P_dVol),0)</f>
        <v>1000</v>
      </c>
      <c r="Q21" s="48" t="n">
        <f aca="false">IF(Q$15=1,INDEX(Vol_O,1,Q$14)/12*(1+P_dVol),0)</f>
        <v>1000</v>
      </c>
      <c r="R21" s="48" t="n">
        <f aca="false">IF(R$15=1,INDEX(Vol_O,1,R$14)/12*(1+P_dVol),0)</f>
        <v>1250</v>
      </c>
      <c r="S21" s="48" t="n">
        <f aca="false">IF(S$15=1,INDEX(Vol_O,1,S$14)/12*(1+P_dVol),0)</f>
        <v>1250</v>
      </c>
      <c r="T21" s="48" t="n">
        <f aca="false">IF(T$15=1,INDEX(Vol_O,1,T$14)/12*(1+P_dVol),0)</f>
        <v>1250</v>
      </c>
      <c r="U21" s="48" t="n">
        <f aca="false">IF(U$15=1,INDEX(Vol_O,1,U$14)/12*(1+P_dVol),0)</f>
        <v>1250</v>
      </c>
      <c r="V21" s="48" t="n">
        <f aca="false">IF(V$15=1,INDEX(Vol_O,1,V$14)/12*(1+P_dVol),0)</f>
        <v>1250</v>
      </c>
      <c r="W21" s="48" t="n">
        <f aca="false">IF(W$15=1,INDEX(Vol_O,1,W$14)/12*(1+P_dVol),0)</f>
        <v>1250</v>
      </c>
      <c r="X21" s="48" t="n">
        <f aca="false">IF(X$15=1,INDEX(Vol_O,1,X$14)/12*(1+P_dVol),0)</f>
        <v>1250</v>
      </c>
      <c r="Y21" s="48" t="n">
        <f aca="false">IF(Y$15=1,INDEX(Vol_O,1,Y$14)/12*(1+P_dVol),0)</f>
        <v>1250</v>
      </c>
      <c r="Z21" s="48" t="n">
        <f aca="false">IF(Z$15=1,INDEX(Vol_O,1,Z$14)/12*(1+P_dVol),0)</f>
        <v>1250</v>
      </c>
      <c r="AA21" s="48" t="n">
        <f aca="false">IF(AA$15=1,INDEX(Vol_O,1,AA$14)/12*(1+P_dVol),0)</f>
        <v>1250</v>
      </c>
      <c r="AB21" s="48" t="n">
        <f aca="false">IF(AB$15=1,INDEX(Vol_O,1,AB$14)/12*(1+P_dVol),0)</f>
        <v>1250</v>
      </c>
      <c r="AC21" s="48" t="n">
        <f aca="false">IF(AC$15=1,INDEX(Vol_O,1,AC$14)/12*(1+P_dVol),0)</f>
        <v>1250</v>
      </c>
      <c r="AD21" s="48" t="n">
        <f aca="false">IF(AD$15=1,INDEX(Vol_O,1,AD$14)/12*(1+P_dVol),0)</f>
        <v>1500</v>
      </c>
      <c r="AE21" s="48" t="n">
        <f aca="false">IF(AE$15=1,INDEX(Vol_O,1,AE$14)/12*(1+P_dVol),0)</f>
        <v>1500</v>
      </c>
      <c r="AF21" s="48" t="n">
        <f aca="false">IF(AF$15=1,INDEX(Vol_O,1,AF$14)/12*(1+P_dVol),0)</f>
        <v>1500</v>
      </c>
      <c r="AG21" s="48" t="n">
        <f aca="false">IF(AG$15=1,INDEX(Vol_O,1,AG$14)/12*(1+P_dVol),0)</f>
        <v>1500</v>
      </c>
      <c r="AH21" s="48" t="n">
        <f aca="false">IF(AH$15=1,INDEX(Vol_O,1,AH$14)/12*(1+P_dVol),0)</f>
        <v>1500</v>
      </c>
      <c r="AI21" s="48" t="n">
        <f aca="false">IF(AI$15=1,INDEX(Vol_O,1,AI$14)/12*(1+P_dVol),0)</f>
        <v>1500</v>
      </c>
      <c r="AJ21" s="48" t="n">
        <f aca="false">IF(AJ$15=1,INDEX(Vol_O,1,AJ$14)/12*(1+P_dVol),0)</f>
        <v>1500</v>
      </c>
      <c r="AK21" s="48" t="n">
        <f aca="false">IF(AK$15=1,INDEX(Vol_O,1,AK$14)/12*(1+P_dVol),0)</f>
        <v>1500</v>
      </c>
      <c r="AL21" s="48" t="n">
        <f aca="false">IF(AL$15=1,INDEX(Vol_O,1,AL$14)/12*(1+P_dVol),0)</f>
        <v>1500</v>
      </c>
      <c r="AM21" s="48" t="n">
        <f aca="false">IF(AM$15=1,INDEX(Vol_O,1,AM$14)/12*(1+P_dVol),0)</f>
        <v>1500</v>
      </c>
      <c r="AN21" s="48" t="n">
        <f aca="false">IF(AN$15=1,INDEX(Vol_O,1,AN$14)/12*(1+P_dVol),0)</f>
        <v>1500</v>
      </c>
      <c r="AO21" s="48" t="n">
        <f aca="false">IF(AO$15=1,INDEX(Vol_O,1,AO$14)/12*(1+P_dVol),0)</f>
        <v>1500</v>
      </c>
      <c r="AP21" s="48" t="n">
        <f aca="false">IF(AP$15=1,INDEX(Vol_O,1,AP$14)/12*(1+P_dVol),0)</f>
        <v>1750</v>
      </c>
      <c r="AQ21" s="48" t="n">
        <f aca="false">IF(AQ$15=1,INDEX(Vol_O,1,AQ$14)/12*(1+P_dVol),0)</f>
        <v>1750</v>
      </c>
      <c r="AR21" s="48" t="n">
        <f aca="false">IF(AR$15=1,INDEX(Vol_O,1,AR$14)/12*(1+P_dVol),0)</f>
        <v>1750</v>
      </c>
      <c r="AS21" s="48" t="n">
        <f aca="false">IF(AS$15=1,INDEX(Vol_O,1,AS$14)/12*(1+P_dVol),0)</f>
        <v>1750</v>
      </c>
      <c r="AT21" s="48" t="n">
        <f aca="false">IF(AT$15=1,INDEX(Vol_O,1,AT$14)/12*(1+P_dVol),0)</f>
        <v>1750</v>
      </c>
      <c r="AU21" s="48" t="n">
        <f aca="false">IF(AU$15=1,INDEX(Vol_O,1,AU$14)/12*(1+P_dVol),0)</f>
        <v>1750</v>
      </c>
      <c r="AV21" s="48" t="n">
        <f aca="false">IF(AV$15=1,INDEX(Vol_O,1,AV$14)/12*(1+P_dVol),0)</f>
        <v>1750</v>
      </c>
      <c r="AW21" s="48" t="n">
        <f aca="false">IF(AW$15=1,INDEX(Vol_O,1,AW$14)/12*(1+P_dVol),0)</f>
        <v>1750</v>
      </c>
      <c r="AX21" s="48" t="n">
        <f aca="false">IF(AX$15=1,INDEX(Vol_O,1,AX$14)/12*(1+P_dVol),0)</f>
        <v>1750</v>
      </c>
      <c r="AY21" s="48" t="n">
        <f aca="false">IF(AY$15=1,INDEX(Vol_O,1,AY$14)/12*(1+P_dVol),0)</f>
        <v>1750</v>
      </c>
      <c r="AZ21" s="48" t="n">
        <f aca="false">IF(AZ$15=1,INDEX(Vol_O,1,AZ$14)/12*(1+P_dVol),0)</f>
        <v>1750</v>
      </c>
      <c r="BA21" s="48" t="n">
        <f aca="false">IF(BA$15=1,INDEX(Vol_O,1,BA$14)/12*(1+P_dVol),0)</f>
        <v>1750</v>
      </c>
      <c r="BB21" s="48" t="n">
        <f aca="false">IF(BB$15=1,INDEX(Vol_O,1,BB$14)/12*(1+P_dVol),0)</f>
        <v>1750</v>
      </c>
      <c r="BC21" s="48" t="n">
        <f aca="false">IF(BC$15=1,INDEX(Vol_O,1,BC$14)/12*(1+P_dVol),0)</f>
        <v>1750</v>
      </c>
      <c r="BD21" s="48" t="n">
        <f aca="false">IF(BD$15=1,INDEX(Vol_O,1,BD$14)/12*(1+P_dVol),0)</f>
        <v>1750</v>
      </c>
      <c r="BE21" s="48" t="n">
        <f aca="false">IF(BE$15=1,INDEX(Vol_O,1,BE$14)/12*(1+P_dVol),0)</f>
        <v>1750</v>
      </c>
      <c r="BF21" s="48" t="n">
        <f aca="false">IF(BF$15=1,INDEX(Vol_O,1,BF$14)/12*(1+P_dVol),0)</f>
        <v>1750</v>
      </c>
      <c r="BG21" s="48" t="n">
        <f aca="false">IF(BG$15=1,INDEX(Vol_O,1,BG$14)/12*(1+P_dVol),0)</f>
        <v>1750</v>
      </c>
      <c r="BH21" s="48" t="n">
        <f aca="false">IF(BH$15=1,INDEX(Vol_O,1,BH$14)/12*(1+P_dVol),0)</f>
        <v>1750</v>
      </c>
      <c r="BI21" s="48" t="n">
        <f aca="false">IF(BI$15=1,INDEX(Vol_O,1,BI$14)/12*(1+P_dVol),0)</f>
        <v>1750</v>
      </c>
      <c r="BJ21" s="48" t="n">
        <f aca="false">IF(BJ$15=1,INDEX(Vol_O,1,BJ$14)/12*(1+P_dVol),0)</f>
        <v>1750</v>
      </c>
      <c r="BK21" s="48" t="n">
        <f aca="false">IF(BK$15=1,INDEX(Vol_O,1,BK$14)/12*(1+P_dVol),0)</f>
        <v>1750</v>
      </c>
      <c r="BL21" s="48" t="n">
        <f aca="false">IF(BL$15=1,INDEX(Vol_O,1,BL$14)/12*(1+P_dVol),0)</f>
        <v>1750</v>
      </c>
      <c r="BM21" s="48" t="n">
        <f aca="false">IF(BM$15=1,INDEX(Vol_O,1,BM$14)/12*(1+P_dVol),0)</f>
        <v>1750</v>
      </c>
      <c r="BN21" s="48" t="n">
        <f aca="false">IF(BN$15=1,INDEX(Vol_O,1,BN$14)/12*(1+P_dVol),0)</f>
        <v>1750</v>
      </c>
      <c r="BO21" s="48" t="n">
        <f aca="false">IF(BO$15=1,INDEX(Vol_O,1,BO$14)/12*(1+P_dVol),0)</f>
        <v>1750</v>
      </c>
      <c r="BP21" s="48" t="n">
        <f aca="false">IF(BP$15=1,INDEX(Vol_O,1,BP$14)/12*(1+P_dVol),0)</f>
        <v>1750</v>
      </c>
      <c r="BQ21" s="48" t="n">
        <f aca="false">IF(BQ$15=1,INDEX(Vol_O,1,BQ$14)/12*(1+P_dVol),0)</f>
        <v>1750</v>
      </c>
      <c r="BR21" s="48" t="n">
        <f aca="false">IF(BR$15=1,INDEX(Vol_O,1,BR$14)/12*(1+P_dVol),0)</f>
        <v>1750</v>
      </c>
      <c r="BS21" s="48" t="n">
        <f aca="false">IF(BS$15=1,INDEX(Vol_O,1,BS$14)/12*(1+P_dVol),0)</f>
        <v>1750</v>
      </c>
      <c r="BT21" s="48" t="n">
        <f aca="false">IF(BT$15=1,INDEX(Vol_O,1,BT$14)/12*(1+P_dVol),0)</f>
        <v>1750</v>
      </c>
      <c r="BU21" s="48" t="n">
        <f aca="false">IF(BU$15=1,INDEX(Vol_O,1,BU$14)/12*(1+P_dVol),0)</f>
        <v>1750</v>
      </c>
      <c r="BV21" s="48" t="n">
        <f aca="false">IF(BV$15=1,INDEX(Vol_O,1,BV$14)/12*(1+P_dVol),0)</f>
        <v>1750</v>
      </c>
      <c r="BW21" s="48" t="n">
        <f aca="false">IF(BW$15=1,INDEX(Vol_O,1,BW$14)/12*(1+P_dVol),0)</f>
        <v>1750</v>
      </c>
      <c r="BX21" s="48" t="n">
        <f aca="false">IF(BX$15=1,INDEX(Vol_O,1,BX$14)/12*(1+P_dVol),0)</f>
        <v>1750</v>
      </c>
      <c r="BY21" s="48" t="n">
        <f aca="false">IF(BY$15=1,INDEX(Vol_O,1,BY$14)/12*(1+P_dVol),0)</f>
        <v>1750</v>
      </c>
      <c r="BZ21" s="48" t="n">
        <f aca="false">IF(BZ$15=1,INDEX(Vol_O,1,BZ$14)/12*(1+P_dVol),0)</f>
        <v>1750</v>
      </c>
      <c r="CA21" s="48" t="n">
        <f aca="false">IF(CA$15=1,INDEX(Vol_O,1,CA$14)/12*(1+P_dVol),0)</f>
        <v>1750</v>
      </c>
      <c r="CB21" s="48" t="n">
        <f aca="false">IF(CB$15=1,INDEX(Vol_O,1,CB$14)/12*(1+P_dVol),0)</f>
        <v>1750</v>
      </c>
      <c r="CC21" s="48" t="n">
        <f aca="false">IF(CC$15=1,INDEX(Vol_O,1,CC$14)/12*(1+P_dVol),0)</f>
        <v>1750</v>
      </c>
      <c r="CD21" s="48" t="n">
        <f aca="false">IF(CD$15=1,INDEX(Vol_O,1,CD$14)/12*(1+P_dVol),0)</f>
        <v>1750</v>
      </c>
      <c r="CE21" s="48" t="n">
        <f aca="false">IF(CE$15=1,INDEX(Vol_O,1,CE$14)/12*(1+P_dVol),0)</f>
        <v>1750</v>
      </c>
      <c r="CF21" s="48" t="n">
        <f aca="false">IF(CF$15=1,INDEX(Vol_O,1,CF$14)/12*(1+P_dVol),0)</f>
        <v>1750</v>
      </c>
      <c r="CG21" s="48" t="n">
        <f aca="false">IF(CG$15=1,INDEX(Vol_O,1,CG$14)/12*(1+P_dVol),0)</f>
        <v>1750</v>
      </c>
      <c r="CH21" s="48" t="n">
        <f aca="false">IF(CH$15=1,INDEX(Vol_O,1,CH$14)/12*(1+P_dVol),0)</f>
        <v>1750</v>
      </c>
      <c r="CI21" s="48" t="n">
        <f aca="false">IF(CI$15=1,INDEX(Vol_O,1,CI$14)/12*(1+P_dVol),0)</f>
        <v>1750</v>
      </c>
      <c r="CJ21" s="48" t="n">
        <f aca="false">IF(CJ$15=1,INDEX(Vol_O,1,CJ$14)/12*(1+P_dVol),0)</f>
        <v>1750</v>
      </c>
      <c r="CK21" s="48" t="n">
        <f aca="false">IF(CK$15=1,INDEX(Vol_O,1,CK$14)/12*(1+P_dVol),0)</f>
        <v>1750</v>
      </c>
      <c r="CL21" s="48" t="n">
        <f aca="false">IF(CL$15=1,INDEX(Vol_O,1,CL$14)/12*(1+P_dVol),0)</f>
        <v>1750</v>
      </c>
      <c r="CM21" s="48" t="n">
        <f aca="false">IF(CM$15=1,INDEX(Vol_O,1,CM$14)/12*(1+P_dVol),0)</f>
        <v>1750</v>
      </c>
      <c r="CN21" s="48" t="n">
        <f aca="false">IF(CN$15=1,INDEX(Vol_O,1,CN$14)/12*(1+P_dVol),0)</f>
        <v>1750</v>
      </c>
      <c r="CO21" s="48" t="n">
        <f aca="false">IF(CO$15=1,INDEX(Vol_O,1,CO$14)/12*(1+P_dVol),0)</f>
        <v>1750</v>
      </c>
      <c r="CP21" s="48" t="n">
        <f aca="false">IF(CP$15=1,INDEX(Vol_O,1,CP$14)/12*(1+P_dVol),0)</f>
        <v>1750</v>
      </c>
      <c r="CQ21" s="48" t="n">
        <f aca="false">IF(CQ$15=1,INDEX(Vol_O,1,CQ$14)/12*(1+P_dVol),0)</f>
        <v>1750</v>
      </c>
      <c r="CR21" s="48" t="n">
        <f aca="false">IF(CR$15=1,INDEX(Vol_O,1,CR$14)/12*(1+P_dVol),0)</f>
        <v>1750</v>
      </c>
      <c r="CS21" s="48" t="n">
        <f aca="false">IF(CS$15=1,INDEX(Vol_O,1,CS$14)/12*(1+P_dVol),0)</f>
        <v>1750</v>
      </c>
      <c r="CT21" s="48" t="n">
        <f aca="false">IF(CT$15=1,INDEX(Vol_O,1,CT$14)/12*(1+P_dVol),0)</f>
        <v>1750</v>
      </c>
      <c r="CU21" s="48" t="n">
        <f aca="false">IF(CU$15=1,INDEX(Vol_O,1,CU$14)/12*(1+P_dVol),0)</f>
        <v>1750</v>
      </c>
      <c r="CV21" s="48" t="n">
        <f aca="false">IF(CV$15=1,INDEX(Vol_O,1,CV$14)/12*(1+P_dVol),0)</f>
        <v>1750</v>
      </c>
      <c r="CW21" s="48" t="n">
        <f aca="false">IF(CW$15=1,INDEX(Vol_O,1,CW$14)/12*(1+P_dVol),0)</f>
        <v>1750</v>
      </c>
      <c r="CX21" s="48" t="n">
        <f aca="false">IF(CX$15=1,INDEX(Vol_O,1,CX$14)/12*(1+P_dVol),0)</f>
        <v>1750</v>
      </c>
      <c r="CY21" s="48" t="n">
        <f aca="false">IF(CY$15=1,INDEX(Vol_O,1,CY$14)/12*(1+P_dVol),0)</f>
        <v>1750</v>
      </c>
      <c r="CZ21" s="48" t="n">
        <f aca="false">IF(CZ$15=1,INDEX(Vol_O,1,CZ$14)/12*(1+P_dVol),0)</f>
        <v>1750</v>
      </c>
      <c r="DA21" s="48" t="n">
        <f aca="false">IF(DA$15=1,INDEX(Vol_O,1,DA$14)/12*(1+P_dVol),0)</f>
        <v>1750</v>
      </c>
      <c r="DB21" s="48" t="n">
        <f aca="false">IF(DB$15=1,INDEX(Vol_O,1,DB$14)/12*(1+P_dVol),0)</f>
        <v>1750</v>
      </c>
      <c r="DC21" s="48" t="n">
        <f aca="false">IF(DC$15=1,INDEX(Vol_O,1,DC$14)/12*(1+P_dVol),0)</f>
        <v>1750</v>
      </c>
      <c r="DD21" s="48" t="n">
        <f aca="false">IF(DD$15=1,INDEX(Vol_O,1,DD$14)/12*(1+P_dVol),0)</f>
        <v>1750</v>
      </c>
      <c r="DE21" s="48" t="n">
        <f aca="false">IF(DE$15=1,INDEX(Vol_O,1,DE$14)/12*(1+P_dVol),0)</f>
        <v>1750</v>
      </c>
      <c r="DF21" s="48" t="n">
        <f aca="false">IF(DF$15=1,INDEX(Vol_O,1,DF$14)/12*(1+P_dVol),0)</f>
        <v>1750</v>
      </c>
      <c r="DG21" s="48" t="n">
        <f aca="false">IF(DG$15=1,INDEX(Vol_O,1,DG$14)/12*(1+P_dVol),0)</f>
        <v>1750</v>
      </c>
      <c r="DH21" s="48" t="n">
        <f aca="false">IF(DH$15=1,INDEX(Vol_O,1,DH$14)/12*(1+P_dVol),0)</f>
        <v>1750</v>
      </c>
      <c r="DI21" s="48" t="n">
        <f aca="false">IF(DI$15=1,INDEX(Vol_O,1,DI$14)/12*(1+P_dVol),0)</f>
        <v>1750</v>
      </c>
      <c r="DJ21" s="48" t="n">
        <f aca="false">IF(DJ$15=1,INDEX(Vol_O,1,DJ$14)/12*(1+P_dVol),0)</f>
        <v>1750</v>
      </c>
      <c r="DK21" s="48" t="n">
        <f aca="false">IF(DK$15=1,INDEX(Vol_O,1,DK$14)/12*(1+P_dVol),0)</f>
        <v>1750</v>
      </c>
      <c r="DL21" s="48" t="n">
        <f aca="false">IF(DL$15=1,INDEX(Vol_O,1,DL$14)/12*(1+P_dVol),0)</f>
        <v>1750</v>
      </c>
      <c r="DM21" s="48" t="n">
        <f aca="false">IF(DM$15=1,INDEX(Vol_O,1,DM$14)/12*(1+P_dVol),0)</f>
        <v>1750</v>
      </c>
      <c r="DN21" s="48" t="n">
        <f aca="false">IF(DN$15=1,INDEX(Vol_O,1,DN$14)/12*(1+P_dVol),0)</f>
        <v>1750</v>
      </c>
      <c r="DO21" s="48" t="n">
        <f aca="false">IF(DO$15=1,INDEX(Vol_O,1,DO$14)/12*(1+P_dVol),0)</f>
        <v>1750</v>
      </c>
      <c r="DP21" s="48" t="n">
        <f aca="false">IF(DP$15=1,INDEX(Vol_O,1,DP$14)/12*(1+P_dVol),0)</f>
        <v>1750</v>
      </c>
      <c r="DQ21" s="48" t="n">
        <f aca="false">IF(DQ$15=1,INDEX(Vol_O,1,DQ$14)/12*(1+P_dVol),0)</f>
        <v>1750</v>
      </c>
      <c r="DR21" s="48" t="n">
        <f aca="false">IF(DR$15=1,INDEX(Vol_O,1,DR$14)/12*(1+P_dVol),0)</f>
        <v>1750</v>
      </c>
      <c r="DS21" s="48" t="n">
        <f aca="false">IF(DS$15=1,INDEX(Vol_O,1,DS$14)/12*(1+P_dVol),0)</f>
        <v>1750</v>
      </c>
      <c r="DT21" s="48" t="n">
        <f aca="false">IF(DT$15=1,INDEX(Vol_O,1,DT$14)/12*(1+P_dVol),0)</f>
        <v>1750</v>
      </c>
      <c r="DU21" s="48" t="n">
        <f aca="false">IF(DU$15=1,INDEX(Vol_O,1,DU$14)/12*(1+P_dVol),0)</f>
        <v>1750</v>
      </c>
      <c r="DV21" s="48" t="n">
        <f aca="false">IF(DV$15=1,INDEX(Vol_O,1,DV$14)/12*(1+P_dVol),0)</f>
        <v>0</v>
      </c>
      <c r="DW21" s="48" t="n">
        <f aca="false">IF(DW$15=1,INDEX(Vol_O,1,DW$14)/12*(1+P_dVol),0)</f>
        <v>0</v>
      </c>
      <c r="DX21" s="48" t="n">
        <f aca="false">IF(DX$15=1,INDEX(Vol_O,1,DX$14)/12*(1+P_dVol),0)</f>
        <v>0</v>
      </c>
      <c r="DY21" s="48" t="n">
        <f aca="false">IF(DY$15=1,INDEX(Vol_O,1,DY$14)/12*(1+P_dVol),0)</f>
        <v>0</v>
      </c>
      <c r="DZ21" s="48" t="n">
        <f aca="false">IF(DZ$15=1,INDEX(Vol_O,1,DZ$14)/12*(1+P_dVol),0)</f>
        <v>0</v>
      </c>
      <c r="EA21" s="48" t="n">
        <f aca="false">IF(EA$15=1,INDEX(Vol_O,1,EA$14)/12*(1+P_dVol),0)</f>
        <v>0</v>
      </c>
      <c r="EB21" s="48" t="n">
        <f aca="false">IF(EB$15=1,INDEX(Vol_O,1,EB$14)/12*(1+P_dVol),0)</f>
        <v>0</v>
      </c>
      <c r="EC21" s="48" t="n">
        <f aca="false">IF(EC$15=1,INDEX(Vol_O,1,EC$14)/12*(1+P_dVol),0)</f>
        <v>0</v>
      </c>
      <c r="ED21" s="48" t="n">
        <f aca="false">IF(ED$15=1,INDEX(Vol_O,1,ED$14)/12*(1+P_dVol),0)</f>
        <v>0</v>
      </c>
      <c r="EE21" s="48" t="n">
        <f aca="false">IF(EE$15=1,INDEX(Vol_O,1,EE$14)/12*(1+P_dVol),0)</f>
        <v>0</v>
      </c>
      <c r="EF21" s="48" t="n">
        <f aca="false">IF(EF$15=1,INDEX(Vol_O,1,EF$14)/12*(1+P_dVol),0)</f>
        <v>0</v>
      </c>
      <c r="EG21" s="48" t="n">
        <f aca="false">IF(EG$15=1,INDEX(Vol_O,1,EG$14)/12*(1+P_dVol),0)</f>
        <v>0</v>
      </c>
      <c r="EH21" s="48" t="n">
        <f aca="false">IF(EH$15=1,INDEX(Vol_O,1,EH$14)/12*(1+P_dVol),0)</f>
        <v>0</v>
      </c>
      <c r="EI21" s="48" t="n">
        <f aca="false">IF(EI$15=1,INDEX(Vol_O,1,EI$14)/12*(1+P_dVol),0)</f>
        <v>0</v>
      </c>
      <c r="EJ21" s="48" t="n">
        <f aca="false">IF(EJ$15=1,INDEX(Vol_O,1,EJ$14)/12*(1+P_dVol),0)</f>
        <v>0</v>
      </c>
      <c r="EK21" s="48" t="n">
        <f aca="false">IF(EK$15=1,INDEX(Vol_O,1,EK$14)/12*(1+P_dVol),0)</f>
        <v>0</v>
      </c>
      <c r="EL21" s="48" t="n">
        <f aca="false">IF(EL$15=1,INDEX(Vol_O,1,EL$14)/12*(1+P_dVol),0)</f>
        <v>0</v>
      </c>
      <c r="EM21" s="48" t="n">
        <f aca="false">IF(EM$15=1,INDEX(Vol_O,1,EM$14)/12*(1+P_dVol),0)</f>
        <v>0</v>
      </c>
      <c r="EN21" s="48" t="n">
        <f aca="false">IF(EN$15=1,INDEX(Vol_O,1,EN$14)/12*(1+P_dVol),0)</f>
        <v>0</v>
      </c>
      <c r="EO21" s="48" t="n">
        <f aca="false">IF(EO$15=1,INDEX(Vol_O,1,EO$14)/12*(1+P_dVol),0)</f>
        <v>0</v>
      </c>
      <c r="EP21" s="48" t="n">
        <f aca="false">IF(EP$15=1,INDEX(Vol_O,1,EP$14)/12*(1+P_dVol),0)</f>
        <v>0</v>
      </c>
      <c r="EQ21" s="48" t="n">
        <f aca="false">IF(EQ$15=1,INDEX(Vol_O,1,EQ$14)/12*(1+P_dVol),0)</f>
        <v>0</v>
      </c>
      <c r="ER21" s="48" t="n">
        <f aca="false">IF(ER$15=1,INDEX(Vol_O,1,ER$14)/12*(1+P_dVol),0)</f>
        <v>0</v>
      </c>
      <c r="ES21" s="48" t="n">
        <f aca="false">IF(ES$15=1,INDEX(Vol_O,1,ES$14)/12*(1+P_dVol),0)</f>
        <v>0</v>
      </c>
    </row>
    <row r="22" customFormat="false" ht="15" hidden="false" customHeight="false" outlineLevel="0" collapsed="false">
      <c r="A22" s="11" t="s">
        <v>1067</v>
      </c>
      <c r="B22" s="53" t="str">
        <f aca="false">IF(INDEX(Prod_Nombre,2)="","Producto 2",INDEX(Prod_Nombre,2))&amp;" — unidades"</f>
        <v>Cajas metálicas 13 kg — unidades</v>
      </c>
      <c r="C22" s="15" t="s">
        <v>544</v>
      </c>
      <c r="E22" s="54" t="n">
        <f aca="false">SUM(F22:ES22)</f>
        <v>1110000</v>
      </c>
      <c r="F22" s="48" t="n">
        <f aca="false">IF(F$15=1,INDEX(Vol_O,2,F$14)/12*(1+P_dVol),0)</f>
        <v>5833.33333333333</v>
      </c>
      <c r="G22" s="48" t="n">
        <f aca="false">IF(G$15=1,INDEX(Vol_O,2,G$14)/12*(1+P_dVol),0)</f>
        <v>5833.33333333333</v>
      </c>
      <c r="H22" s="48" t="n">
        <f aca="false">IF(H$15=1,INDEX(Vol_O,2,H$14)/12*(1+P_dVol),0)</f>
        <v>5833.33333333333</v>
      </c>
      <c r="I22" s="48" t="n">
        <f aca="false">IF(I$15=1,INDEX(Vol_O,2,I$14)/12*(1+P_dVol),0)</f>
        <v>5833.33333333333</v>
      </c>
      <c r="J22" s="48" t="n">
        <f aca="false">IF(J$15=1,INDEX(Vol_O,2,J$14)/12*(1+P_dVol),0)</f>
        <v>5833.33333333333</v>
      </c>
      <c r="K22" s="48" t="n">
        <f aca="false">IF(K$15=1,INDEX(Vol_O,2,K$14)/12*(1+P_dVol),0)</f>
        <v>5833.33333333333</v>
      </c>
      <c r="L22" s="48" t="n">
        <f aca="false">IF(L$15=1,INDEX(Vol_O,2,L$14)/12*(1+P_dVol),0)</f>
        <v>5833.33333333333</v>
      </c>
      <c r="M22" s="48" t="n">
        <f aca="false">IF(M$15=1,INDEX(Vol_O,2,M$14)/12*(1+P_dVol),0)</f>
        <v>5833.33333333333</v>
      </c>
      <c r="N22" s="48" t="n">
        <f aca="false">IF(N$15=1,INDEX(Vol_O,2,N$14)/12*(1+P_dVol),0)</f>
        <v>5833.33333333333</v>
      </c>
      <c r="O22" s="48" t="n">
        <f aca="false">IF(O$15=1,INDEX(Vol_O,2,O$14)/12*(1+P_dVol),0)</f>
        <v>5833.33333333333</v>
      </c>
      <c r="P22" s="48" t="n">
        <f aca="false">IF(P$15=1,INDEX(Vol_O,2,P$14)/12*(1+P_dVol),0)</f>
        <v>5833.33333333333</v>
      </c>
      <c r="Q22" s="48" t="n">
        <f aca="false">IF(Q$15=1,INDEX(Vol_O,2,Q$14)/12*(1+P_dVol),0)</f>
        <v>5833.33333333333</v>
      </c>
      <c r="R22" s="48" t="n">
        <f aca="false">IF(R$15=1,INDEX(Vol_O,2,R$14)/12*(1+P_dVol),0)</f>
        <v>7500</v>
      </c>
      <c r="S22" s="48" t="n">
        <f aca="false">IF(S$15=1,INDEX(Vol_O,2,S$14)/12*(1+P_dVol),0)</f>
        <v>7500</v>
      </c>
      <c r="T22" s="48" t="n">
        <f aca="false">IF(T$15=1,INDEX(Vol_O,2,T$14)/12*(1+P_dVol),0)</f>
        <v>7500</v>
      </c>
      <c r="U22" s="48" t="n">
        <f aca="false">IF(U$15=1,INDEX(Vol_O,2,U$14)/12*(1+P_dVol),0)</f>
        <v>7500</v>
      </c>
      <c r="V22" s="48" t="n">
        <f aca="false">IF(V$15=1,INDEX(Vol_O,2,V$14)/12*(1+P_dVol),0)</f>
        <v>7500</v>
      </c>
      <c r="W22" s="48" t="n">
        <f aca="false">IF(W$15=1,INDEX(Vol_O,2,W$14)/12*(1+P_dVol),0)</f>
        <v>7500</v>
      </c>
      <c r="X22" s="48" t="n">
        <f aca="false">IF(X$15=1,INDEX(Vol_O,2,X$14)/12*(1+P_dVol),0)</f>
        <v>7500</v>
      </c>
      <c r="Y22" s="48" t="n">
        <f aca="false">IF(Y$15=1,INDEX(Vol_O,2,Y$14)/12*(1+P_dVol),0)</f>
        <v>7500</v>
      </c>
      <c r="Z22" s="48" t="n">
        <f aca="false">IF(Z$15=1,INDEX(Vol_O,2,Z$14)/12*(1+P_dVol),0)</f>
        <v>7500</v>
      </c>
      <c r="AA22" s="48" t="n">
        <f aca="false">IF(AA$15=1,INDEX(Vol_O,2,AA$14)/12*(1+P_dVol),0)</f>
        <v>7500</v>
      </c>
      <c r="AB22" s="48" t="n">
        <f aca="false">IF(AB$15=1,INDEX(Vol_O,2,AB$14)/12*(1+P_dVol),0)</f>
        <v>7500</v>
      </c>
      <c r="AC22" s="48" t="n">
        <f aca="false">IF(AC$15=1,INDEX(Vol_O,2,AC$14)/12*(1+P_dVol),0)</f>
        <v>7500</v>
      </c>
      <c r="AD22" s="48" t="n">
        <f aca="false">IF(AD$15=1,INDEX(Vol_O,2,AD$14)/12*(1+P_dVol),0)</f>
        <v>9166.66666666667</v>
      </c>
      <c r="AE22" s="48" t="n">
        <f aca="false">IF(AE$15=1,INDEX(Vol_O,2,AE$14)/12*(1+P_dVol),0)</f>
        <v>9166.66666666667</v>
      </c>
      <c r="AF22" s="48" t="n">
        <f aca="false">IF(AF$15=1,INDEX(Vol_O,2,AF$14)/12*(1+P_dVol),0)</f>
        <v>9166.66666666667</v>
      </c>
      <c r="AG22" s="48" t="n">
        <f aca="false">IF(AG$15=1,INDEX(Vol_O,2,AG$14)/12*(1+P_dVol),0)</f>
        <v>9166.66666666667</v>
      </c>
      <c r="AH22" s="48" t="n">
        <f aca="false">IF(AH$15=1,INDEX(Vol_O,2,AH$14)/12*(1+P_dVol),0)</f>
        <v>9166.66666666667</v>
      </c>
      <c r="AI22" s="48" t="n">
        <f aca="false">IF(AI$15=1,INDEX(Vol_O,2,AI$14)/12*(1+P_dVol),0)</f>
        <v>9166.66666666667</v>
      </c>
      <c r="AJ22" s="48" t="n">
        <f aca="false">IF(AJ$15=1,INDEX(Vol_O,2,AJ$14)/12*(1+P_dVol),0)</f>
        <v>9166.66666666667</v>
      </c>
      <c r="AK22" s="48" t="n">
        <f aca="false">IF(AK$15=1,INDEX(Vol_O,2,AK$14)/12*(1+P_dVol),0)</f>
        <v>9166.66666666667</v>
      </c>
      <c r="AL22" s="48" t="n">
        <f aca="false">IF(AL$15=1,INDEX(Vol_O,2,AL$14)/12*(1+P_dVol),0)</f>
        <v>9166.66666666667</v>
      </c>
      <c r="AM22" s="48" t="n">
        <f aca="false">IF(AM$15=1,INDEX(Vol_O,2,AM$14)/12*(1+P_dVol),0)</f>
        <v>9166.66666666667</v>
      </c>
      <c r="AN22" s="48" t="n">
        <f aca="false">IF(AN$15=1,INDEX(Vol_O,2,AN$14)/12*(1+P_dVol),0)</f>
        <v>9166.66666666667</v>
      </c>
      <c r="AO22" s="48" t="n">
        <f aca="false">IF(AO$15=1,INDEX(Vol_O,2,AO$14)/12*(1+P_dVol),0)</f>
        <v>9166.66666666667</v>
      </c>
      <c r="AP22" s="48" t="n">
        <f aca="false">IF(AP$15=1,INDEX(Vol_O,2,AP$14)/12*(1+P_dVol),0)</f>
        <v>10000</v>
      </c>
      <c r="AQ22" s="48" t="n">
        <f aca="false">IF(AQ$15=1,INDEX(Vol_O,2,AQ$14)/12*(1+P_dVol),0)</f>
        <v>10000</v>
      </c>
      <c r="AR22" s="48" t="n">
        <f aca="false">IF(AR$15=1,INDEX(Vol_O,2,AR$14)/12*(1+P_dVol),0)</f>
        <v>10000</v>
      </c>
      <c r="AS22" s="48" t="n">
        <f aca="false">IF(AS$15=1,INDEX(Vol_O,2,AS$14)/12*(1+P_dVol),0)</f>
        <v>10000</v>
      </c>
      <c r="AT22" s="48" t="n">
        <f aca="false">IF(AT$15=1,INDEX(Vol_O,2,AT$14)/12*(1+P_dVol),0)</f>
        <v>10000</v>
      </c>
      <c r="AU22" s="48" t="n">
        <f aca="false">IF(AU$15=1,INDEX(Vol_O,2,AU$14)/12*(1+P_dVol),0)</f>
        <v>10000</v>
      </c>
      <c r="AV22" s="48" t="n">
        <f aca="false">IF(AV$15=1,INDEX(Vol_O,2,AV$14)/12*(1+P_dVol),0)</f>
        <v>10000</v>
      </c>
      <c r="AW22" s="48" t="n">
        <f aca="false">IF(AW$15=1,INDEX(Vol_O,2,AW$14)/12*(1+P_dVol),0)</f>
        <v>10000</v>
      </c>
      <c r="AX22" s="48" t="n">
        <f aca="false">IF(AX$15=1,INDEX(Vol_O,2,AX$14)/12*(1+P_dVol),0)</f>
        <v>10000</v>
      </c>
      <c r="AY22" s="48" t="n">
        <f aca="false">IF(AY$15=1,INDEX(Vol_O,2,AY$14)/12*(1+P_dVol),0)</f>
        <v>10000</v>
      </c>
      <c r="AZ22" s="48" t="n">
        <f aca="false">IF(AZ$15=1,INDEX(Vol_O,2,AZ$14)/12*(1+P_dVol),0)</f>
        <v>10000</v>
      </c>
      <c r="BA22" s="48" t="n">
        <f aca="false">IF(BA$15=1,INDEX(Vol_O,2,BA$14)/12*(1+P_dVol),0)</f>
        <v>10000</v>
      </c>
      <c r="BB22" s="48" t="n">
        <f aca="false">IF(BB$15=1,INDEX(Vol_O,2,BB$14)/12*(1+P_dVol),0)</f>
        <v>10000</v>
      </c>
      <c r="BC22" s="48" t="n">
        <f aca="false">IF(BC$15=1,INDEX(Vol_O,2,BC$14)/12*(1+P_dVol),0)</f>
        <v>10000</v>
      </c>
      <c r="BD22" s="48" t="n">
        <f aca="false">IF(BD$15=1,INDEX(Vol_O,2,BD$14)/12*(1+P_dVol),0)</f>
        <v>10000</v>
      </c>
      <c r="BE22" s="48" t="n">
        <f aca="false">IF(BE$15=1,INDEX(Vol_O,2,BE$14)/12*(1+P_dVol),0)</f>
        <v>10000</v>
      </c>
      <c r="BF22" s="48" t="n">
        <f aca="false">IF(BF$15=1,INDEX(Vol_O,2,BF$14)/12*(1+P_dVol),0)</f>
        <v>10000</v>
      </c>
      <c r="BG22" s="48" t="n">
        <f aca="false">IF(BG$15=1,INDEX(Vol_O,2,BG$14)/12*(1+P_dVol),0)</f>
        <v>10000</v>
      </c>
      <c r="BH22" s="48" t="n">
        <f aca="false">IF(BH$15=1,INDEX(Vol_O,2,BH$14)/12*(1+P_dVol),0)</f>
        <v>10000</v>
      </c>
      <c r="BI22" s="48" t="n">
        <f aca="false">IF(BI$15=1,INDEX(Vol_O,2,BI$14)/12*(1+P_dVol),0)</f>
        <v>10000</v>
      </c>
      <c r="BJ22" s="48" t="n">
        <f aca="false">IF(BJ$15=1,INDEX(Vol_O,2,BJ$14)/12*(1+P_dVol),0)</f>
        <v>10000</v>
      </c>
      <c r="BK22" s="48" t="n">
        <f aca="false">IF(BK$15=1,INDEX(Vol_O,2,BK$14)/12*(1+P_dVol),0)</f>
        <v>10000</v>
      </c>
      <c r="BL22" s="48" t="n">
        <f aca="false">IF(BL$15=1,INDEX(Vol_O,2,BL$14)/12*(1+P_dVol),0)</f>
        <v>10000</v>
      </c>
      <c r="BM22" s="48" t="n">
        <f aca="false">IF(BM$15=1,INDEX(Vol_O,2,BM$14)/12*(1+P_dVol),0)</f>
        <v>10000</v>
      </c>
      <c r="BN22" s="48" t="n">
        <f aca="false">IF(BN$15=1,INDEX(Vol_O,2,BN$14)/12*(1+P_dVol),0)</f>
        <v>10000</v>
      </c>
      <c r="BO22" s="48" t="n">
        <f aca="false">IF(BO$15=1,INDEX(Vol_O,2,BO$14)/12*(1+P_dVol),0)</f>
        <v>10000</v>
      </c>
      <c r="BP22" s="48" t="n">
        <f aca="false">IF(BP$15=1,INDEX(Vol_O,2,BP$14)/12*(1+P_dVol),0)</f>
        <v>10000</v>
      </c>
      <c r="BQ22" s="48" t="n">
        <f aca="false">IF(BQ$15=1,INDEX(Vol_O,2,BQ$14)/12*(1+P_dVol),0)</f>
        <v>10000</v>
      </c>
      <c r="BR22" s="48" t="n">
        <f aca="false">IF(BR$15=1,INDEX(Vol_O,2,BR$14)/12*(1+P_dVol),0)</f>
        <v>10000</v>
      </c>
      <c r="BS22" s="48" t="n">
        <f aca="false">IF(BS$15=1,INDEX(Vol_O,2,BS$14)/12*(1+P_dVol),0)</f>
        <v>10000</v>
      </c>
      <c r="BT22" s="48" t="n">
        <f aca="false">IF(BT$15=1,INDEX(Vol_O,2,BT$14)/12*(1+P_dVol),0)</f>
        <v>10000</v>
      </c>
      <c r="BU22" s="48" t="n">
        <f aca="false">IF(BU$15=1,INDEX(Vol_O,2,BU$14)/12*(1+P_dVol),0)</f>
        <v>10000</v>
      </c>
      <c r="BV22" s="48" t="n">
        <f aca="false">IF(BV$15=1,INDEX(Vol_O,2,BV$14)/12*(1+P_dVol),0)</f>
        <v>10000</v>
      </c>
      <c r="BW22" s="48" t="n">
        <f aca="false">IF(BW$15=1,INDEX(Vol_O,2,BW$14)/12*(1+P_dVol),0)</f>
        <v>10000</v>
      </c>
      <c r="BX22" s="48" t="n">
        <f aca="false">IF(BX$15=1,INDEX(Vol_O,2,BX$14)/12*(1+P_dVol),0)</f>
        <v>10000</v>
      </c>
      <c r="BY22" s="48" t="n">
        <f aca="false">IF(BY$15=1,INDEX(Vol_O,2,BY$14)/12*(1+P_dVol),0)</f>
        <v>10000</v>
      </c>
      <c r="BZ22" s="48" t="n">
        <f aca="false">IF(BZ$15=1,INDEX(Vol_O,2,BZ$14)/12*(1+P_dVol),0)</f>
        <v>10000</v>
      </c>
      <c r="CA22" s="48" t="n">
        <f aca="false">IF(CA$15=1,INDEX(Vol_O,2,CA$14)/12*(1+P_dVol),0)</f>
        <v>10000</v>
      </c>
      <c r="CB22" s="48" t="n">
        <f aca="false">IF(CB$15=1,INDEX(Vol_O,2,CB$14)/12*(1+P_dVol),0)</f>
        <v>10000</v>
      </c>
      <c r="CC22" s="48" t="n">
        <f aca="false">IF(CC$15=1,INDEX(Vol_O,2,CC$14)/12*(1+P_dVol),0)</f>
        <v>10000</v>
      </c>
      <c r="CD22" s="48" t="n">
        <f aca="false">IF(CD$15=1,INDEX(Vol_O,2,CD$14)/12*(1+P_dVol),0)</f>
        <v>10000</v>
      </c>
      <c r="CE22" s="48" t="n">
        <f aca="false">IF(CE$15=1,INDEX(Vol_O,2,CE$14)/12*(1+P_dVol),0)</f>
        <v>10000</v>
      </c>
      <c r="CF22" s="48" t="n">
        <f aca="false">IF(CF$15=1,INDEX(Vol_O,2,CF$14)/12*(1+P_dVol),0)</f>
        <v>10000</v>
      </c>
      <c r="CG22" s="48" t="n">
        <f aca="false">IF(CG$15=1,INDEX(Vol_O,2,CG$14)/12*(1+P_dVol),0)</f>
        <v>10000</v>
      </c>
      <c r="CH22" s="48" t="n">
        <f aca="false">IF(CH$15=1,INDEX(Vol_O,2,CH$14)/12*(1+P_dVol),0)</f>
        <v>10000</v>
      </c>
      <c r="CI22" s="48" t="n">
        <f aca="false">IF(CI$15=1,INDEX(Vol_O,2,CI$14)/12*(1+P_dVol),0)</f>
        <v>10000</v>
      </c>
      <c r="CJ22" s="48" t="n">
        <f aca="false">IF(CJ$15=1,INDEX(Vol_O,2,CJ$14)/12*(1+P_dVol),0)</f>
        <v>10000</v>
      </c>
      <c r="CK22" s="48" t="n">
        <f aca="false">IF(CK$15=1,INDEX(Vol_O,2,CK$14)/12*(1+P_dVol),0)</f>
        <v>10000</v>
      </c>
      <c r="CL22" s="48" t="n">
        <f aca="false">IF(CL$15=1,INDEX(Vol_O,2,CL$14)/12*(1+P_dVol),0)</f>
        <v>10000</v>
      </c>
      <c r="CM22" s="48" t="n">
        <f aca="false">IF(CM$15=1,INDEX(Vol_O,2,CM$14)/12*(1+P_dVol),0)</f>
        <v>10000</v>
      </c>
      <c r="CN22" s="48" t="n">
        <f aca="false">IF(CN$15=1,INDEX(Vol_O,2,CN$14)/12*(1+P_dVol),0)</f>
        <v>10000</v>
      </c>
      <c r="CO22" s="48" t="n">
        <f aca="false">IF(CO$15=1,INDEX(Vol_O,2,CO$14)/12*(1+P_dVol),0)</f>
        <v>10000</v>
      </c>
      <c r="CP22" s="48" t="n">
        <f aca="false">IF(CP$15=1,INDEX(Vol_O,2,CP$14)/12*(1+P_dVol),0)</f>
        <v>10000</v>
      </c>
      <c r="CQ22" s="48" t="n">
        <f aca="false">IF(CQ$15=1,INDEX(Vol_O,2,CQ$14)/12*(1+P_dVol),0)</f>
        <v>10000</v>
      </c>
      <c r="CR22" s="48" t="n">
        <f aca="false">IF(CR$15=1,INDEX(Vol_O,2,CR$14)/12*(1+P_dVol),0)</f>
        <v>10000</v>
      </c>
      <c r="CS22" s="48" t="n">
        <f aca="false">IF(CS$15=1,INDEX(Vol_O,2,CS$14)/12*(1+P_dVol),0)</f>
        <v>10000</v>
      </c>
      <c r="CT22" s="48" t="n">
        <f aca="false">IF(CT$15=1,INDEX(Vol_O,2,CT$14)/12*(1+P_dVol),0)</f>
        <v>10000</v>
      </c>
      <c r="CU22" s="48" t="n">
        <f aca="false">IF(CU$15=1,INDEX(Vol_O,2,CU$14)/12*(1+P_dVol),0)</f>
        <v>10000</v>
      </c>
      <c r="CV22" s="48" t="n">
        <f aca="false">IF(CV$15=1,INDEX(Vol_O,2,CV$14)/12*(1+P_dVol),0)</f>
        <v>10000</v>
      </c>
      <c r="CW22" s="48" t="n">
        <f aca="false">IF(CW$15=1,INDEX(Vol_O,2,CW$14)/12*(1+P_dVol),0)</f>
        <v>10000</v>
      </c>
      <c r="CX22" s="48" t="n">
        <f aca="false">IF(CX$15=1,INDEX(Vol_O,2,CX$14)/12*(1+P_dVol),0)</f>
        <v>10000</v>
      </c>
      <c r="CY22" s="48" t="n">
        <f aca="false">IF(CY$15=1,INDEX(Vol_O,2,CY$14)/12*(1+P_dVol),0)</f>
        <v>10000</v>
      </c>
      <c r="CZ22" s="48" t="n">
        <f aca="false">IF(CZ$15=1,INDEX(Vol_O,2,CZ$14)/12*(1+P_dVol),0)</f>
        <v>10000</v>
      </c>
      <c r="DA22" s="48" t="n">
        <f aca="false">IF(DA$15=1,INDEX(Vol_O,2,DA$14)/12*(1+P_dVol),0)</f>
        <v>10000</v>
      </c>
      <c r="DB22" s="48" t="n">
        <f aca="false">IF(DB$15=1,INDEX(Vol_O,2,DB$14)/12*(1+P_dVol),0)</f>
        <v>10000</v>
      </c>
      <c r="DC22" s="48" t="n">
        <f aca="false">IF(DC$15=1,INDEX(Vol_O,2,DC$14)/12*(1+P_dVol),0)</f>
        <v>10000</v>
      </c>
      <c r="DD22" s="48" t="n">
        <f aca="false">IF(DD$15=1,INDEX(Vol_O,2,DD$14)/12*(1+P_dVol),0)</f>
        <v>10000</v>
      </c>
      <c r="DE22" s="48" t="n">
        <f aca="false">IF(DE$15=1,INDEX(Vol_O,2,DE$14)/12*(1+P_dVol),0)</f>
        <v>10000</v>
      </c>
      <c r="DF22" s="48" t="n">
        <f aca="false">IF(DF$15=1,INDEX(Vol_O,2,DF$14)/12*(1+P_dVol),0)</f>
        <v>10000</v>
      </c>
      <c r="DG22" s="48" t="n">
        <f aca="false">IF(DG$15=1,INDEX(Vol_O,2,DG$14)/12*(1+P_dVol),0)</f>
        <v>10000</v>
      </c>
      <c r="DH22" s="48" t="n">
        <f aca="false">IF(DH$15=1,INDEX(Vol_O,2,DH$14)/12*(1+P_dVol),0)</f>
        <v>10000</v>
      </c>
      <c r="DI22" s="48" t="n">
        <f aca="false">IF(DI$15=1,INDEX(Vol_O,2,DI$14)/12*(1+P_dVol),0)</f>
        <v>10000</v>
      </c>
      <c r="DJ22" s="48" t="n">
        <f aca="false">IF(DJ$15=1,INDEX(Vol_O,2,DJ$14)/12*(1+P_dVol),0)</f>
        <v>10000</v>
      </c>
      <c r="DK22" s="48" t="n">
        <f aca="false">IF(DK$15=1,INDEX(Vol_O,2,DK$14)/12*(1+P_dVol),0)</f>
        <v>10000</v>
      </c>
      <c r="DL22" s="48" t="n">
        <f aca="false">IF(DL$15=1,INDEX(Vol_O,2,DL$14)/12*(1+P_dVol),0)</f>
        <v>10000</v>
      </c>
      <c r="DM22" s="48" t="n">
        <f aca="false">IF(DM$15=1,INDEX(Vol_O,2,DM$14)/12*(1+P_dVol),0)</f>
        <v>10000</v>
      </c>
      <c r="DN22" s="48" t="n">
        <f aca="false">IF(DN$15=1,INDEX(Vol_O,2,DN$14)/12*(1+P_dVol),0)</f>
        <v>10000</v>
      </c>
      <c r="DO22" s="48" t="n">
        <f aca="false">IF(DO$15=1,INDEX(Vol_O,2,DO$14)/12*(1+P_dVol),0)</f>
        <v>10000</v>
      </c>
      <c r="DP22" s="48" t="n">
        <f aca="false">IF(DP$15=1,INDEX(Vol_O,2,DP$14)/12*(1+P_dVol),0)</f>
        <v>10000</v>
      </c>
      <c r="DQ22" s="48" t="n">
        <f aca="false">IF(DQ$15=1,INDEX(Vol_O,2,DQ$14)/12*(1+P_dVol),0)</f>
        <v>10000</v>
      </c>
      <c r="DR22" s="48" t="n">
        <f aca="false">IF(DR$15=1,INDEX(Vol_O,2,DR$14)/12*(1+P_dVol),0)</f>
        <v>10000</v>
      </c>
      <c r="DS22" s="48" t="n">
        <f aca="false">IF(DS$15=1,INDEX(Vol_O,2,DS$14)/12*(1+P_dVol),0)</f>
        <v>10000</v>
      </c>
      <c r="DT22" s="48" t="n">
        <f aca="false">IF(DT$15=1,INDEX(Vol_O,2,DT$14)/12*(1+P_dVol),0)</f>
        <v>10000</v>
      </c>
      <c r="DU22" s="48" t="n">
        <f aca="false">IF(DU$15=1,INDEX(Vol_O,2,DU$14)/12*(1+P_dVol),0)</f>
        <v>10000</v>
      </c>
      <c r="DV22" s="48" t="n">
        <f aca="false">IF(DV$15=1,INDEX(Vol_O,2,DV$14)/12*(1+P_dVol),0)</f>
        <v>0</v>
      </c>
      <c r="DW22" s="48" t="n">
        <f aca="false">IF(DW$15=1,INDEX(Vol_O,2,DW$14)/12*(1+P_dVol),0)</f>
        <v>0</v>
      </c>
      <c r="DX22" s="48" t="n">
        <f aca="false">IF(DX$15=1,INDEX(Vol_O,2,DX$14)/12*(1+P_dVol),0)</f>
        <v>0</v>
      </c>
      <c r="DY22" s="48" t="n">
        <f aca="false">IF(DY$15=1,INDEX(Vol_O,2,DY$14)/12*(1+P_dVol),0)</f>
        <v>0</v>
      </c>
      <c r="DZ22" s="48" t="n">
        <f aca="false">IF(DZ$15=1,INDEX(Vol_O,2,DZ$14)/12*(1+P_dVol),0)</f>
        <v>0</v>
      </c>
      <c r="EA22" s="48" t="n">
        <f aca="false">IF(EA$15=1,INDEX(Vol_O,2,EA$14)/12*(1+P_dVol),0)</f>
        <v>0</v>
      </c>
      <c r="EB22" s="48" t="n">
        <f aca="false">IF(EB$15=1,INDEX(Vol_O,2,EB$14)/12*(1+P_dVol),0)</f>
        <v>0</v>
      </c>
      <c r="EC22" s="48" t="n">
        <f aca="false">IF(EC$15=1,INDEX(Vol_O,2,EC$14)/12*(1+P_dVol),0)</f>
        <v>0</v>
      </c>
      <c r="ED22" s="48" t="n">
        <f aca="false">IF(ED$15=1,INDEX(Vol_O,2,ED$14)/12*(1+P_dVol),0)</f>
        <v>0</v>
      </c>
      <c r="EE22" s="48" t="n">
        <f aca="false">IF(EE$15=1,INDEX(Vol_O,2,EE$14)/12*(1+P_dVol),0)</f>
        <v>0</v>
      </c>
      <c r="EF22" s="48" t="n">
        <f aca="false">IF(EF$15=1,INDEX(Vol_O,2,EF$14)/12*(1+P_dVol),0)</f>
        <v>0</v>
      </c>
      <c r="EG22" s="48" t="n">
        <f aca="false">IF(EG$15=1,INDEX(Vol_O,2,EG$14)/12*(1+P_dVol),0)</f>
        <v>0</v>
      </c>
      <c r="EH22" s="48" t="n">
        <f aca="false">IF(EH$15=1,INDEX(Vol_O,2,EH$14)/12*(1+P_dVol),0)</f>
        <v>0</v>
      </c>
      <c r="EI22" s="48" t="n">
        <f aca="false">IF(EI$15=1,INDEX(Vol_O,2,EI$14)/12*(1+P_dVol),0)</f>
        <v>0</v>
      </c>
      <c r="EJ22" s="48" t="n">
        <f aca="false">IF(EJ$15=1,INDEX(Vol_O,2,EJ$14)/12*(1+P_dVol),0)</f>
        <v>0</v>
      </c>
      <c r="EK22" s="48" t="n">
        <f aca="false">IF(EK$15=1,INDEX(Vol_O,2,EK$14)/12*(1+P_dVol),0)</f>
        <v>0</v>
      </c>
      <c r="EL22" s="48" t="n">
        <f aca="false">IF(EL$15=1,INDEX(Vol_O,2,EL$14)/12*(1+P_dVol),0)</f>
        <v>0</v>
      </c>
      <c r="EM22" s="48" t="n">
        <f aca="false">IF(EM$15=1,INDEX(Vol_O,2,EM$14)/12*(1+P_dVol),0)</f>
        <v>0</v>
      </c>
      <c r="EN22" s="48" t="n">
        <f aca="false">IF(EN$15=1,INDEX(Vol_O,2,EN$14)/12*(1+P_dVol),0)</f>
        <v>0</v>
      </c>
      <c r="EO22" s="48" t="n">
        <f aca="false">IF(EO$15=1,INDEX(Vol_O,2,EO$14)/12*(1+P_dVol),0)</f>
        <v>0</v>
      </c>
      <c r="EP22" s="48" t="n">
        <f aca="false">IF(EP$15=1,INDEX(Vol_O,2,EP$14)/12*(1+P_dVol),0)</f>
        <v>0</v>
      </c>
      <c r="EQ22" s="48" t="n">
        <f aca="false">IF(EQ$15=1,INDEX(Vol_O,2,EQ$14)/12*(1+P_dVol),0)</f>
        <v>0</v>
      </c>
      <c r="ER22" s="48" t="n">
        <f aca="false">IF(ER$15=1,INDEX(Vol_O,2,ER$14)/12*(1+P_dVol),0)</f>
        <v>0</v>
      </c>
      <c r="ES22" s="48" t="n">
        <f aca="false">IF(ES$15=1,INDEX(Vol_O,2,ES$14)/12*(1+P_dVol),0)</f>
        <v>0</v>
      </c>
    </row>
    <row r="23" customFormat="false" ht="15" hidden="false" customHeight="false" outlineLevel="0" collapsed="false">
      <c r="A23" s="11" t="s">
        <v>1068</v>
      </c>
      <c r="B23" s="53" t="str">
        <f aca="false">IF(INDEX(Prod_Nombre,3)="","Producto 3",INDEX(Prod_Nombre,3))&amp;" — unidades"</f>
        <v>Producto 3 — unidades</v>
      </c>
      <c r="C23" s="15" t="s">
        <v>544</v>
      </c>
      <c r="E23" s="54" t="n">
        <f aca="false">SUM(F23:ES23)</f>
        <v>0</v>
      </c>
      <c r="F23" s="48" t="n">
        <f aca="false">IF(F$15=1,INDEX(Vol_O,3,F$14)/12*(1+P_dVol),0)</f>
        <v>0</v>
      </c>
      <c r="G23" s="48" t="n">
        <f aca="false">IF(G$15=1,INDEX(Vol_O,3,G$14)/12*(1+P_dVol),0)</f>
        <v>0</v>
      </c>
      <c r="H23" s="48" t="n">
        <f aca="false">IF(H$15=1,INDEX(Vol_O,3,H$14)/12*(1+P_dVol),0)</f>
        <v>0</v>
      </c>
      <c r="I23" s="48" t="n">
        <f aca="false">IF(I$15=1,INDEX(Vol_O,3,I$14)/12*(1+P_dVol),0)</f>
        <v>0</v>
      </c>
      <c r="J23" s="48" t="n">
        <f aca="false">IF(J$15=1,INDEX(Vol_O,3,J$14)/12*(1+P_dVol),0)</f>
        <v>0</v>
      </c>
      <c r="K23" s="48" t="n">
        <f aca="false">IF(K$15=1,INDEX(Vol_O,3,K$14)/12*(1+P_dVol),0)</f>
        <v>0</v>
      </c>
      <c r="L23" s="48" t="n">
        <f aca="false">IF(L$15=1,INDEX(Vol_O,3,L$14)/12*(1+P_dVol),0)</f>
        <v>0</v>
      </c>
      <c r="M23" s="48" t="n">
        <f aca="false">IF(M$15=1,INDEX(Vol_O,3,M$14)/12*(1+P_dVol),0)</f>
        <v>0</v>
      </c>
      <c r="N23" s="48" t="n">
        <f aca="false">IF(N$15=1,INDEX(Vol_O,3,N$14)/12*(1+P_dVol),0)</f>
        <v>0</v>
      </c>
      <c r="O23" s="48" t="n">
        <f aca="false">IF(O$15=1,INDEX(Vol_O,3,O$14)/12*(1+P_dVol),0)</f>
        <v>0</v>
      </c>
      <c r="P23" s="48" t="n">
        <f aca="false">IF(P$15=1,INDEX(Vol_O,3,P$14)/12*(1+P_dVol),0)</f>
        <v>0</v>
      </c>
      <c r="Q23" s="48" t="n">
        <f aca="false">IF(Q$15=1,INDEX(Vol_O,3,Q$14)/12*(1+P_dVol),0)</f>
        <v>0</v>
      </c>
      <c r="R23" s="48" t="n">
        <f aca="false">IF(R$15=1,INDEX(Vol_O,3,R$14)/12*(1+P_dVol),0)</f>
        <v>0</v>
      </c>
      <c r="S23" s="48" t="n">
        <f aca="false">IF(S$15=1,INDEX(Vol_O,3,S$14)/12*(1+P_dVol),0)</f>
        <v>0</v>
      </c>
      <c r="T23" s="48" t="n">
        <f aca="false">IF(T$15=1,INDEX(Vol_O,3,T$14)/12*(1+P_dVol),0)</f>
        <v>0</v>
      </c>
      <c r="U23" s="48" t="n">
        <f aca="false">IF(U$15=1,INDEX(Vol_O,3,U$14)/12*(1+P_dVol),0)</f>
        <v>0</v>
      </c>
      <c r="V23" s="48" t="n">
        <f aca="false">IF(V$15=1,INDEX(Vol_O,3,V$14)/12*(1+P_dVol),0)</f>
        <v>0</v>
      </c>
      <c r="W23" s="48" t="n">
        <f aca="false">IF(W$15=1,INDEX(Vol_O,3,W$14)/12*(1+P_dVol),0)</f>
        <v>0</v>
      </c>
      <c r="X23" s="48" t="n">
        <f aca="false">IF(X$15=1,INDEX(Vol_O,3,X$14)/12*(1+P_dVol),0)</f>
        <v>0</v>
      </c>
      <c r="Y23" s="48" t="n">
        <f aca="false">IF(Y$15=1,INDEX(Vol_O,3,Y$14)/12*(1+P_dVol),0)</f>
        <v>0</v>
      </c>
      <c r="Z23" s="48" t="n">
        <f aca="false">IF(Z$15=1,INDEX(Vol_O,3,Z$14)/12*(1+P_dVol),0)</f>
        <v>0</v>
      </c>
      <c r="AA23" s="48" t="n">
        <f aca="false">IF(AA$15=1,INDEX(Vol_O,3,AA$14)/12*(1+P_dVol),0)</f>
        <v>0</v>
      </c>
      <c r="AB23" s="48" t="n">
        <f aca="false">IF(AB$15=1,INDEX(Vol_O,3,AB$14)/12*(1+P_dVol),0)</f>
        <v>0</v>
      </c>
      <c r="AC23" s="48" t="n">
        <f aca="false">IF(AC$15=1,INDEX(Vol_O,3,AC$14)/12*(1+P_dVol),0)</f>
        <v>0</v>
      </c>
      <c r="AD23" s="48" t="n">
        <f aca="false">IF(AD$15=1,INDEX(Vol_O,3,AD$14)/12*(1+P_dVol),0)</f>
        <v>0</v>
      </c>
      <c r="AE23" s="48" t="n">
        <f aca="false">IF(AE$15=1,INDEX(Vol_O,3,AE$14)/12*(1+P_dVol),0)</f>
        <v>0</v>
      </c>
      <c r="AF23" s="48" t="n">
        <f aca="false">IF(AF$15=1,INDEX(Vol_O,3,AF$14)/12*(1+P_dVol),0)</f>
        <v>0</v>
      </c>
      <c r="AG23" s="48" t="n">
        <f aca="false">IF(AG$15=1,INDEX(Vol_O,3,AG$14)/12*(1+P_dVol),0)</f>
        <v>0</v>
      </c>
      <c r="AH23" s="48" t="n">
        <f aca="false">IF(AH$15=1,INDEX(Vol_O,3,AH$14)/12*(1+P_dVol),0)</f>
        <v>0</v>
      </c>
      <c r="AI23" s="48" t="n">
        <f aca="false">IF(AI$15=1,INDEX(Vol_O,3,AI$14)/12*(1+P_dVol),0)</f>
        <v>0</v>
      </c>
      <c r="AJ23" s="48" t="n">
        <f aca="false">IF(AJ$15=1,INDEX(Vol_O,3,AJ$14)/12*(1+P_dVol),0)</f>
        <v>0</v>
      </c>
      <c r="AK23" s="48" t="n">
        <f aca="false">IF(AK$15=1,INDEX(Vol_O,3,AK$14)/12*(1+P_dVol),0)</f>
        <v>0</v>
      </c>
      <c r="AL23" s="48" t="n">
        <f aca="false">IF(AL$15=1,INDEX(Vol_O,3,AL$14)/12*(1+P_dVol),0)</f>
        <v>0</v>
      </c>
      <c r="AM23" s="48" t="n">
        <f aca="false">IF(AM$15=1,INDEX(Vol_O,3,AM$14)/12*(1+P_dVol),0)</f>
        <v>0</v>
      </c>
      <c r="AN23" s="48" t="n">
        <f aca="false">IF(AN$15=1,INDEX(Vol_O,3,AN$14)/12*(1+P_dVol),0)</f>
        <v>0</v>
      </c>
      <c r="AO23" s="48" t="n">
        <f aca="false">IF(AO$15=1,INDEX(Vol_O,3,AO$14)/12*(1+P_dVol),0)</f>
        <v>0</v>
      </c>
      <c r="AP23" s="48" t="n">
        <f aca="false">IF(AP$15=1,INDEX(Vol_O,3,AP$14)/12*(1+P_dVol),0)</f>
        <v>0</v>
      </c>
      <c r="AQ23" s="48" t="n">
        <f aca="false">IF(AQ$15=1,INDEX(Vol_O,3,AQ$14)/12*(1+P_dVol),0)</f>
        <v>0</v>
      </c>
      <c r="AR23" s="48" t="n">
        <f aca="false">IF(AR$15=1,INDEX(Vol_O,3,AR$14)/12*(1+P_dVol),0)</f>
        <v>0</v>
      </c>
      <c r="AS23" s="48" t="n">
        <f aca="false">IF(AS$15=1,INDEX(Vol_O,3,AS$14)/12*(1+P_dVol),0)</f>
        <v>0</v>
      </c>
      <c r="AT23" s="48" t="n">
        <f aca="false">IF(AT$15=1,INDEX(Vol_O,3,AT$14)/12*(1+P_dVol),0)</f>
        <v>0</v>
      </c>
      <c r="AU23" s="48" t="n">
        <f aca="false">IF(AU$15=1,INDEX(Vol_O,3,AU$14)/12*(1+P_dVol),0)</f>
        <v>0</v>
      </c>
      <c r="AV23" s="48" t="n">
        <f aca="false">IF(AV$15=1,INDEX(Vol_O,3,AV$14)/12*(1+P_dVol),0)</f>
        <v>0</v>
      </c>
      <c r="AW23" s="48" t="n">
        <f aca="false">IF(AW$15=1,INDEX(Vol_O,3,AW$14)/12*(1+P_dVol),0)</f>
        <v>0</v>
      </c>
      <c r="AX23" s="48" t="n">
        <f aca="false">IF(AX$15=1,INDEX(Vol_O,3,AX$14)/12*(1+P_dVol),0)</f>
        <v>0</v>
      </c>
      <c r="AY23" s="48" t="n">
        <f aca="false">IF(AY$15=1,INDEX(Vol_O,3,AY$14)/12*(1+P_dVol),0)</f>
        <v>0</v>
      </c>
      <c r="AZ23" s="48" t="n">
        <f aca="false">IF(AZ$15=1,INDEX(Vol_O,3,AZ$14)/12*(1+P_dVol),0)</f>
        <v>0</v>
      </c>
      <c r="BA23" s="48" t="n">
        <f aca="false">IF(BA$15=1,INDEX(Vol_O,3,BA$14)/12*(1+P_dVol),0)</f>
        <v>0</v>
      </c>
      <c r="BB23" s="48" t="n">
        <f aca="false">IF(BB$15=1,INDEX(Vol_O,3,BB$14)/12*(1+P_dVol),0)</f>
        <v>0</v>
      </c>
      <c r="BC23" s="48" t="n">
        <f aca="false">IF(BC$15=1,INDEX(Vol_O,3,BC$14)/12*(1+P_dVol),0)</f>
        <v>0</v>
      </c>
      <c r="BD23" s="48" t="n">
        <f aca="false">IF(BD$15=1,INDEX(Vol_O,3,BD$14)/12*(1+P_dVol),0)</f>
        <v>0</v>
      </c>
      <c r="BE23" s="48" t="n">
        <f aca="false">IF(BE$15=1,INDEX(Vol_O,3,BE$14)/12*(1+P_dVol),0)</f>
        <v>0</v>
      </c>
      <c r="BF23" s="48" t="n">
        <f aca="false">IF(BF$15=1,INDEX(Vol_O,3,BF$14)/12*(1+P_dVol),0)</f>
        <v>0</v>
      </c>
      <c r="BG23" s="48" t="n">
        <f aca="false">IF(BG$15=1,INDEX(Vol_O,3,BG$14)/12*(1+P_dVol),0)</f>
        <v>0</v>
      </c>
      <c r="BH23" s="48" t="n">
        <f aca="false">IF(BH$15=1,INDEX(Vol_O,3,BH$14)/12*(1+P_dVol),0)</f>
        <v>0</v>
      </c>
      <c r="BI23" s="48" t="n">
        <f aca="false">IF(BI$15=1,INDEX(Vol_O,3,BI$14)/12*(1+P_dVol),0)</f>
        <v>0</v>
      </c>
      <c r="BJ23" s="48" t="n">
        <f aca="false">IF(BJ$15=1,INDEX(Vol_O,3,BJ$14)/12*(1+P_dVol),0)</f>
        <v>0</v>
      </c>
      <c r="BK23" s="48" t="n">
        <f aca="false">IF(BK$15=1,INDEX(Vol_O,3,BK$14)/12*(1+P_dVol),0)</f>
        <v>0</v>
      </c>
      <c r="BL23" s="48" t="n">
        <f aca="false">IF(BL$15=1,INDEX(Vol_O,3,BL$14)/12*(1+P_dVol),0)</f>
        <v>0</v>
      </c>
      <c r="BM23" s="48" t="n">
        <f aca="false">IF(BM$15=1,INDEX(Vol_O,3,BM$14)/12*(1+P_dVol),0)</f>
        <v>0</v>
      </c>
      <c r="BN23" s="48" t="n">
        <f aca="false">IF(BN$15=1,INDEX(Vol_O,3,BN$14)/12*(1+P_dVol),0)</f>
        <v>0</v>
      </c>
      <c r="BO23" s="48" t="n">
        <f aca="false">IF(BO$15=1,INDEX(Vol_O,3,BO$14)/12*(1+P_dVol),0)</f>
        <v>0</v>
      </c>
      <c r="BP23" s="48" t="n">
        <f aca="false">IF(BP$15=1,INDEX(Vol_O,3,BP$14)/12*(1+P_dVol),0)</f>
        <v>0</v>
      </c>
      <c r="BQ23" s="48" t="n">
        <f aca="false">IF(BQ$15=1,INDEX(Vol_O,3,BQ$14)/12*(1+P_dVol),0)</f>
        <v>0</v>
      </c>
      <c r="BR23" s="48" t="n">
        <f aca="false">IF(BR$15=1,INDEX(Vol_O,3,BR$14)/12*(1+P_dVol),0)</f>
        <v>0</v>
      </c>
      <c r="BS23" s="48" t="n">
        <f aca="false">IF(BS$15=1,INDEX(Vol_O,3,BS$14)/12*(1+P_dVol),0)</f>
        <v>0</v>
      </c>
      <c r="BT23" s="48" t="n">
        <f aca="false">IF(BT$15=1,INDEX(Vol_O,3,BT$14)/12*(1+P_dVol),0)</f>
        <v>0</v>
      </c>
      <c r="BU23" s="48" t="n">
        <f aca="false">IF(BU$15=1,INDEX(Vol_O,3,BU$14)/12*(1+P_dVol),0)</f>
        <v>0</v>
      </c>
      <c r="BV23" s="48" t="n">
        <f aca="false">IF(BV$15=1,INDEX(Vol_O,3,BV$14)/12*(1+P_dVol),0)</f>
        <v>0</v>
      </c>
      <c r="BW23" s="48" t="n">
        <f aca="false">IF(BW$15=1,INDEX(Vol_O,3,BW$14)/12*(1+P_dVol),0)</f>
        <v>0</v>
      </c>
      <c r="BX23" s="48" t="n">
        <f aca="false">IF(BX$15=1,INDEX(Vol_O,3,BX$14)/12*(1+P_dVol),0)</f>
        <v>0</v>
      </c>
      <c r="BY23" s="48" t="n">
        <f aca="false">IF(BY$15=1,INDEX(Vol_O,3,BY$14)/12*(1+P_dVol),0)</f>
        <v>0</v>
      </c>
      <c r="BZ23" s="48" t="n">
        <f aca="false">IF(BZ$15=1,INDEX(Vol_O,3,BZ$14)/12*(1+P_dVol),0)</f>
        <v>0</v>
      </c>
      <c r="CA23" s="48" t="n">
        <f aca="false">IF(CA$15=1,INDEX(Vol_O,3,CA$14)/12*(1+P_dVol),0)</f>
        <v>0</v>
      </c>
      <c r="CB23" s="48" t="n">
        <f aca="false">IF(CB$15=1,INDEX(Vol_O,3,CB$14)/12*(1+P_dVol),0)</f>
        <v>0</v>
      </c>
      <c r="CC23" s="48" t="n">
        <f aca="false">IF(CC$15=1,INDEX(Vol_O,3,CC$14)/12*(1+P_dVol),0)</f>
        <v>0</v>
      </c>
      <c r="CD23" s="48" t="n">
        <f aca="false">IF(CD$15=1,INDEX(Vol_O,3,CD$14)/12*(1+P_dVol),0)</f>
        <v>0</v>
      </c>
      <c r="CE23" s="48" t="n">
        <f aca="false">IF(CE$15=1,INDEX(Vol_O,3,CE$14)/12*(1+P_dVol),0)</f>
        <v>0</v>
      </c>
      <c r="CF23" s="48" t="n">
        <f aca="false">IF(CF$15=1,INDEX(Vol_O,3,CF$14)/12*(1+P_dVol),0)</f>
        <v>0</v>
      </c>
      <c r="CG23" s="48" t="n">
        <f aca="false">IF(CG$15=1,INDEX(Vol_O,3,CG$14)/12*(1+P_dVol),0)</f>
        <v>0</v>
      </c>
      <c r="CH23" s="48" t="n">
        <f aca="false">IF(CH$15=1,INDEX(Vol_O,3,CH$14)/12*(1+P_dVol),0)</f>
        <v>0</v>
      </c>
      <c r="CI23" s="48" t="n">
        <f aca="false">IF(CI$15=1,INDEX(Vol_O,3,CI$14)/12*(1+P_dVol),0)</f>
        <v>0</v>
      </c>
      <c r="CJ23" s="48" t="n">
        <f aca="false">IF(CJ$15=1,INDEX(Vol_O,3,CJ$14)/12*(1+P_dVol),0)</f>
        <v>0</v>
      </c>
      <c r="CK23" s="48" t="n">
        <f aca="false">IF(CK$15=1,INDEX(Vol_O,3,CK$14)/12*(1+P_dVol),0)</f>
        <v>0</v>
      </c>
      <c r="CL23" s="48" t="n">
        <f aca="false">IF(CL$15=1,INDEX(Vol_O,3,CL$14)/12*(1+P_dVol),0)</f>
        <v>0</v>
      </c>
      <c r="CM23" s="48" t="n">
        <f aca="false">IF(CM$15=1,INDEX(Vol_O,3,CM$14)/12*(1+P_dVol),0)</f>
        <v>0</v>
      </c>
      <c r="CN23" s="48" t="n">
        <f aca="false">IF(CN$15=1,INDEX(Vol_O,3,CN$14)/12*(1+P_dVol),0)</f>
        <v>0</v>
      </c>
      <c r="CO23" s="48" t="n">
        <f aca="false">IF(CO$15=1,INDEX(Vol_O,3,CO$14)/12*(1+P_dVol),0)</f>
        <v>0</v>
      </c>
      <c r="CP23" s="48" t="n">
        <f aca="false">IF(CP$15=1,INDEX(Vol_O,3,CP$14)/12*(1+P_dVol),0)</f>
        <v>0</v>
      </c>
      <c r="CQ23" s="48" t="n">
        <f aca="false">IF(CQ$15=1,INDEX(Vol_O,3,CQ$14)/12*(1+P_dVol),0)</f>
        <v>0</v>
      </c>
      <c r="CR23" s="48" t="n">
        <f aca="false">IF(CR$15=1,INDEX(Vol_O,3,CR$14)/12*(1+P_dVol),0)</f>
        <v>0</v>
      </c>
      <c r="CS23" s="48" t="n">
        <f aca="false">IF(CS$15=1,INDEX(Vol_O,3,CS$14)/12*(1+P_dVol),0)</f>
        <v>0</v>
      </c>
      <c r="CT23" s="48" t="n">
        <f aca="false">IF(CT$15=1,INDEX(Vol_O,3,CT$14)/12*(1+P_dVol),0)</f>
        <v>0</v>
      </c>
      <c r="CU23" s="48" t="n">
        <f aca="false">IF(CU$15=1,INDEX(Vol_O,3,CU$14)/12*(1+P_dVol),0)</f>
        <v>0</v>
      </c>
      <c r="CV23" s="48" t="n">
        <f aca="false">IF(CV$15=1,INDEX(Vol_O,3,CV$14)/12*(1+P_dVol),0)</f>
        <v>0</v>
      </c>
      <c r="CW23" s="48" t="n">
        <f aca="false">IF(CW$15=1,INDEX(Vol_O,3,CW$14)/12*(1+P_dVol),0)</f>
        <v>0</v>
      </c>
      <c r="CX23" s="48" t="n">
        <f aca="false">IF(CX$15=1,INDEX(Vol_O,3,CX$14)/12*(1+P_dVol),0)</f>
        <v>0</v>
      </c>
      <c r="CY23" s="48" t="n">
        <f aca="false">IF(CY$15=1,INDEX(Vol_O,3,CY$14)/12*(1+P_dVol),0)</f>
        <v>0</v>
      </c>
      <c r="CZ23" s="48" t="n">
        <f aca="false">IF(CZ$15=1,INDEX(Vol_O,3,CZ$14)/12*(1+P_dVol),0)</f>
        <v>0</v>
      </c>
      <c r="DA23" s="48" t="n">
        <f aca="false">IF(DA$15=1,INDEX(Vol_O,3,DA$14)/12*(1+P_dVol),0)</f>
        <v>0</v>
      </c>
      <c r="DB23" s="48" t="n">
        <f aca="false">IF(DB$15=1,INDEX(Vol_O,3,DB$14)/12*(1+P_dVol),0)</f>
        <v>0</v>
      </c>
      <c r="DC23" s="48" t="n">
        <f aca="false">IF(DC$15=1,INDEX(Vol_O,3,DC$14)/12*(1+P_dVol),0)</f>
        <v>0</v>
      </c>
      <c r="DD23" s="48" t="n">
        <f aca="false">IF(DD$15=1,INDEX(Vol_O,3,DD$14)/12*(1+P_dVol),0)</f>
        <v>0</v>
      </c>
      <c r="DE23" s="48" t="n">
        <f aca="false">IF(DE$15=1,INDEX(Vol_O,3,DE$14)/12*(1+P_dVol),0)</f>
        <v>0</v>
      </c>
      <c r="DF23" s="48" t="n">
        <f aca="false">IF(DF$15=1,INDEX(Vol_O,3,DF$14)/12*(1+P_dVol),0)</f>
        <v>0</v>
      </c>
      <c r="DG23" s="48" t="n">
        <f aca="false">IF(DG$15=1,INDEX(Vol_O,3,DG$14)/12*(1+P_dVol),0)</f>
        <v>0</v>
      </c>
      <c r="DH23" s="48" t="n">
        <f aca="false">IF(DH$15=1,INDEX(Vol_O,3,DH$14)/12*(1+P_dVol),0)</f>
        <v>0</v>
      </c>
      <c r="DI23" s="48" t="n">
        <f aca="false">IF(DI$15=1,INDEX(Vol_O,3,DI$14)/12*(1+P_dVol),0)</f>
        <v>0</v>
      </c>
      <c r="DJ23" s="48" t="n">
        <f aca="false">IF(DJ$15=1,INDEX(Vol_O,3,DJ$14)/12*(1+P_dVol),0)</f>
        <v>0</v>
      </c>
      <c r="DK23" s="48" t="n">
        <f aca="false">IF(DK$15=1,INDEX(Vol_O,3,DK$14)/12*(1+P_dVol),0)</f>
        <v>0</v>
      </c>
      <c r="DL23" s="48" t="n">
        <f aca="false">IF(DL$15=1,INDEX(Vol_O,3,DL$14)/12*(1+P_dVol),0)</f>
        <v>0</v>
      </c>
      <c r="DM23" s="48" t="n">
        <f aca="false">IF(DM$15=1,INDEX(Vol_O,3,DM$14)/12*(1+P_dVol),0)</f>
        <v>0</v>
      </c>
      <c r="DN23" s="48" t="n">
        <f aca="false">IF(DN$15=1,INDEX(Vol_O,3,DN$14)/12*(1+P_dVol),0)</f>
        <v>0</v>
      </c>
      <c r="DO23" s="48" t="n">
        <f aca="false">IF(DO$15=1,INDEX(Vol_O,3,DO$14)/12*(1+P_dVol),0)</f>
        <v>0</v>
      </c>
      <c r="DP23" s="48" t="n">
        <f aca="false">IF(DP$15=1,INDEX(Vol_O,3,DP$14)/12*(1+P_dVol),0)</f>
        <v>0</v>
      </c>
      <c r="DQ23" s="48" t="n">
        <f aca="false">IF(DQ$15=1,INDEX(Vol_O,3,DQ$14)/12*(1+P_dVol),0)</f>
        <v>0</v>
      </c>
      <c r="DR23" s="48" t="n">
        <f aca="false">IF(DR$15=1,INDEX(Vol_O,3,DR$14)/12*(1+P_dVol),0)</f>
        <v>0</v>
      </c>
      <c r="DS23" s="48" t="n">
        <f aca="false">IF(DS$15=1,INDEX(Vol_O,3,DS$14)/12*(1+P_dVol),0)</f>
        <v>0</v>
      </c>
      <c r="DT23" s="48" t="n">
        <f aca="false">IF(DT$15=1,INDEX(Vol_O,3,DT$14)/12*(1+P_dVol),0)</f>
        <v>0</v>
      </c>
      <c r="DU23" s="48" t="n">
        <f aca="false">IF(DU$15=1,INDEX(Vol_O,3,DU$14)/12*(1+P_dVol),0)</f>
        <v>0</v>
      </c>
      <c r="DV23" s="48" t="n">
        <f aca="false">IF(DV$15=1,INDEX(Vol_O,3,DV$14)/12*(1+P_dVol),0)</f>
        <v>0</v>
      </c>
      <c r="DW23" s="48" t="n">
        <f aca="false">IF(DW$15=1,INDEX(Vol_O,3,DW$14)/12*(1+P_dVol),0)</f>
        <v>0</v>
      </c>
      <c r="DX23" s="48" t="n">
        <f aca="false">IF(DX$15=1,INDEX(Vol_O,3,DX$14)/12*(1+P_dVol),0)</f>
        <v>0</v>
      </c>
      <c r="DY23" s="48" t="n">
        <f aca="false">IF(DY$15=1,INDEX(Vol_O,3,DY$14)/12*(1+P_dVol),0)</f>
        <v>0</v>
      </c>
      <c r="DZ23" s="48" t="n">
        <f aca="false">IF(DZ$15=1,INDEX(Vol_O,3,DZ$14)/12*(1+P_dVol),0)</f>
        <v>0</v>
      </c>
      <c r="EA23" s="48" t="n">
        <f aca="false">IF(EA$15=1,INDEX(Vol_O,3,EA$14)/12*(1+P_dVol),0)</f>
        <v>0</v>
      </c>
      <c r="EB23" s="48" t="n">
        <f aca="false">IF(EB$15=1,INDEX(Vol_O,3,EB$14)/12*(1+P_dVol),0)</f>
        <v>0</v>
      </c>
      <c r="EC23" s="48" t="n">
        <f aca="false">IF(EC$15=1,INDEX(Vol_O,3,EC$14)/12*(1+P_dVol),0)</f>
        <v>0</v>
      </c>
      <c r="ED23" s="48" t="n">
        <f aca="false">IF(ED$15=1,INDEX(Vol_O,3,ED$14)/12*(1+P_dVol),0)</f>
        <v>0</v>
      </c>
      <c r="EE23" s="48" t="n">
        <f aca="false">IF(EE$15=1,INDEX(Vol_O,3,EE$14)/12*(1+P_dVol),0)</f>
        <v>0</v>
      </c>
      <c r="EF23" s="48" t="n">
        <f aca="false">IF(EF$15=1,INDEX(Vol_O,3,EF$14)/12*(1+P_dVol),0)</f>
        <v>0</v>
      </c>
      <c r="EG23" s="48" t="n">
        <f aca="false">IF(EG$15=1,INDEX(Vol_O,3,EG$14)/12*(1+P_dVol),0)</f>
        <v>0</v>
      </c>
      <c r="EH23" s="48" t="n">
        <f aca="false">IF(EH$15=1,INDEX(Vol_O,3,EH$14)/12*(1+P_dVol),0)</f>
        <v>0</v>
      </c>
      <c r="EI23" s="48" t="n">
        <f aca="false">IF(EI$15=1,INDEX(Vol_O,3,EI$14)/12*(1+P_dVol),0)</f>
        <v>0</v>
      </c>
      <c r="EJ23" s="48" t="n">
        <f aca="false">IF(EJ$15=1,INDEX(Vol_O,3,EJ$14)/12*(1+P_dVol),0)</f>
        <v>0</v>
      </c>
      <c r="EK23" s="48" t="n">
        <f aca="false">IF(EK$15=1,INDEX(Vol_O,3,EK$14)/12*(1+P_dVol),0)</f>
        <v>0</v>
      </c>
      <c r="EL23" s="48" t="n">
        <f aca="false">IF(EL$15=1,INDEX(Vol_O,3,EL$14)/12*(1+P_dVol),0)</f>
        <v>0</v>
      </c>
      <c r="EM23" s="48" t="n">
        <f aca="false">IF(EM$15=1,INDEX(Vol_O,3,EM$14)/12*(1+P_dVol),0)</f>
        <v>0</v>
      </c>
      <c r="EN23" s="48" t="n">
        <f aca="false">IF(EN$15=1,INDEX(Vol_O,3,EN$14)/12*(1+P_dVol),0)</f>
        <v>0</v>
      </c>
      <c r="EO23" s="48" t="n">
        <f aca="false">IF(EO$15=1,INDEX(Vol_O,3,EO$14)/12*(1+P_dVol),0)</f>
        <v>0</v>
      </c>
      <c r="EP23" s="48" t="n">
        <f aca="false">IF(EP$15=1,INDEX(Vol_O,3,EP$14)/12*(1+P_dVol),0)</f>
        <v>0</v>
      </c>
      <c r="EQ23" s="48" t="n">
        <f aca="false">IF(EQ$15=1,INDEX(Vol_O,3,EQ$14)/12*(1+P_dVol),0)</f>
        <v>0</v>
      </c>
      <c r="ER23" s="48" t="n">
        <f aca="false">IF(ER$15=1,INDEX(Vol_O,3,ER$14)/12*(1+P_dVol),0)</f>
        <v>0</v>
      </c>
      <c r="ES23" s="48" t="n">
        <f aca="false">IF(ES$15=1,INDEX(Vol_O,3,ES$14)/12*(1+P_dVol),0)</f>
        <v>0</v>
      </c>
    </row>
    <row r="24" customFormat="false" ht="15" hidden="false" customHeight="false" outlineLevel="0" collapsed="false">
      <c r="A24" s="11" t="s">
        <v>1069</v>
      </c>
      <c r="B24" s="53" t="str">
        <f aca="false">IF(INDEX(Prod_Nombre,4)="","Producto 4",INDEX(Prod_Nombre,4))&amp;" — unidades"</f>
        <v>Producto 4 — unidades</v>
      </c>
      <c r="C24" s="15" t="s">
        <v>544</v>
      </c>
      <c r="E24" s="54" t="n">
        <f aca="false">SUM(F24:ES24)</f>
        <v>0</v>
      </c>
      <c r="F24" s="48" t="n">
        <f aca="false">IF(F$15=1,INDEX(Vol_O,4,F$14)/12*(1+P_dVol),0)</f>
        <v>0</v>
      </c>
      <c r="G24" s="48" t="n">
        <f aca="false">IF(G$15=1,INDEX(Vol_O,4,G$14)/12*(1+P_dVol),0)</f>
        <v>0</v>
      </c>
      <c r="H24" s="48" t="n">
        <f aca="false">IF(H$15=1,INDEX(Vol_O,4,H$14)/12*(1+P_dVol),0)</f>
        <v>0</v>
      </c>
      <c r="I24" s="48" t="n">
        <f aca="false">IF(I$15=1,INDEX(Vol_O,4,I$14)/12*(1+P_dVol),0)</f>
        <v>0</v>
      </c>
      <c r="J24" s="48" t="n">
        <f aca="false">IF(J$15=1,INDEX(Vol_O,4,J$14)/12*(1+P_dVol),0)</f>
        <v>0</v>
      </c>
      <c r="K24" s="48" t="n">
        <f aca="false">IF(K$15=1,INDEX(Vol_O,4,K$14)/12*(1+P_dVol),0)</f>
        <v>0</v>
      </c>
      <c r="L24" s="48" t="n">
        <f aca="false">IF(L$15=1,INDEX(Vol_O,4,L$14)/12*(1+P_dVol),0)</f>
        <v>0</v>
      </c>
      <c r="M24" s="48" t="n">
        <f aca="false">IF(M$15=1,INDEX(Vol_O,4,M$14)/12*(1+P_dVol),0)</f>
        <v>0</v>
      </c>
      <c r="N24" s="48" t="n">
        <f aca="false">IF(N$15=1,INDEX(Vol_O,4,N$14)/12*(1+P_dVol),0)</f>
        <v>0</v>
      </c>
      <c r="O24" s="48" t="n">
        <f aca="false">IF(O$15=1,INDEX(Vol_O,4,O$14)/12*(1+P_dVol),0)</f>
        <v>0</v>
      </c>
      <c r="P24" s="48" t="n">
        <f aca="false">IF(P$15=1,INDEX(Vol_O,4,P$14)/12*(1+P_dVol),0)</f>
        <v>0</v>
      </c>
      <c r="Q24" s="48" t="n">
        <f aca="false">IF(Q$15=1,INDEX(Vol_O,4,Q$14)/12*(1+P_dVol),0)</f>
        <v>0</v>
      </c>
      <c r="R24" s="48" t="n">
        <f aca="false">IF(R$15=1,INDEX(Vol_O,4,R$14)/12*(1+P_dVol),0)</f>
        <v>0</v>
      </c>
      <c r="S24" s="48" t="n">
        <f aca="false">IF(S$15=1,INDEX(Vol_O,4,S$14)/12*(1+P_dVol),0)</f>
        <v>0</v>
      </c>
      <c r="T24" s="48" t="n">
        <f aca="false">IF(T$15=1,INDEX(Vol_O,4,T$14)/12*(1+P_dVol),0)</f>
        <v>0</v>
      </c>
      <c r="U24" s="48" t="n">
        <f aca="false">IF(U$15=1,INDEX(Vol_O,4,U$14)/12*(1+P_dVol),0)</f>
        <v>0</v>
      </c>
      <c r="V24" s="48" t="n">
        <f aca="false">IF(V$15=1,INDEX(Vol_O,4,V$14)/12*(1+P_dVol),0)</f>
        <v>0</v>
      </c>
      <c r="W24" s="48" t="n">
        <f aca="false">IF(W$15=1,INDEX(Vol_O,4,W$14)/12*(1+P_dVol),0)</f>
        <v>0</v>
      </c>
      <c r="X24" s="48" t="n">
        <f aca="false">IF(X$15=1,INDEX(Vol_O,4,X$14)/12*(1+P_dVol),0)</f>
        <v>0</v>
      </c>
      <c r="Y24" s="48" t="n">
        <f aca="false">IF(Y$15=1,INDEX(Vol_O,4,Y$14)/12*(1+P_dVol),0)</f>
        <v>0</v>
      </c>
      <c r="Z24" s="48" t="n">
        <f aca="false">IF(Z$15=1,INDEX(Vol_O,4,Z$14)/12*(1+P_dVol),0)</f>
        <v>0</v>
      </c>
      <c r="AA24" s="48" t="n">
        <f aca="false">IF(AA$15=1,INDEX(Vol_O,4,AA$14)/12*(1+P_dVol),0)</f>
        <v>0</v>
      </c>
      <c r="AB24" s="48" t="n">
        <f aca="false">IF(AB$15=1,INDEX(Vol_O,4,AB$14)/12*(1+P_dVol),0)</f>
        <v>0</v>
      </c>
      <c r="AC24" s="48" t="n">
        <f aca="false">IF(AC$15=1,INDEX(Vol_O,4,AC$14)/12*(1+P_dVol),0)</f>
        <v>0</v>
      </c>
      <c r="AD24" s="48" t="n">
        <f aca="false">IF(AD$15=1,INDEX(Vol_O,4,AD$14)/12*(1+P_dVol),0)</f>
        <v>0</v>
      </c>
      <c r="AE24" s="48" t="n">
        <f aca="false">IF(AE$15=1,INDEX(Vol_O,4,AE$14)/12*(1+P_dVol),0)</f>
        <v>0</v>
      </c>
      <c r="AF24" s="48" t="n">
        <f aca="false">IF(AF$15=1,INDEX(Vol_O,4,AF$14)/12*(1+P_dVol),0)</f>
        <v>0</v>
      </c>
      <c r="AG24" s="48" t="n">
        <f aca="false">IF(AG$15=1,INDEX(Vol_O,4,AG$14)/12*(1+P_dVol),0)</f>
        <v>0</v>
      </c>
      <c r="AH24" s="48" t="n">
        <f aca="false">IF(AH$15=1,INDEX(Vol_O,4,AH$14)/12*(1+P_dVol),0)</f>
        <v>0</v>
      </c>
      <c r="AI24" s="48" t="n">
        <f aca="false">IF(AI$15=1,INDEX(Vol_O,4,AI$14)/12*(1+P_dVol),0)</f>
        <v>0</v>
      </c>
      <c r="AJ24" s="48" t="n">
        <f aca="false">IF(AJ$15=1,INDEX(Vol_O,4,AJ$14)/12*(1+P_dVol),0)</f>
        <v>0</v>
      </c>
      <c r="AK24" s="48" t="n">
        <f aca="false">IF(AK$15=1,INDEX(Vol_O,4,AK$14)/12*(1+P_dVol),0)</f>
        <v>0</v>
      </c>
      <c r="AL24" s="48" t="n">
        <f aca="false">IF(AL$15=1,INDEX(Vol_O,4,AL$14)/12*(1+P_dVol),0)</f>
        <v>0</v>
      </c>
      <c r="AM24" s="48" t="n">
        <f aca="false">IF(AM$15=1,INDEX(Vol_O,4,AM$14)/12*(1+P_dVol),0)</f>
        <v>0</v>
      </c>
      <c r="AN24" s="48" t="n">
        <f aca="false">IF(AN$15=1,INDEX(Vol_O,4,AN$14)/12*(1+P_dVol),0)</f>
        <v>0</v>
      </c>
      <c r="AO24" s="48" t="n">
        <f aca="false">IF(AO$15=1,INDEX(Vol_O,4,AO$14)/12*(1+P_dVol),0)</f>
        <v>0</v>
      </c>
      <c r="AP24" s="48" t="n">
        <f aca="false">IF(AP$15=1,INDEX(Vol_O,4,AP$14)/12*(1+P_dVol),0)</f>
        <v>0</v>
      </c>
      <c r="AQ24" s="48" t="n">
        <f aca="false">IF(AQ$15=1,INDEX(Vol_O,4,AQ$14)/12*(1+P_dVol),0)</f>
        <v>0</v>
      </c>
      <c r="AR24" s="48" t="n">
        <f aca="false">IF(AR$15=1,INDEX(Vol_O,4,AR$14)/12*(1+P_dVol),0)</f>
        <v>0</v>
      </c>
      <c r="AS24" s="48" t="n">
        <f aca="false">IF(AS$15=1,INDEX(Vol_O,4,AS$14)/12*(1+P_dVol),0)</f>
        <v>0</v>
      </c>
      <c r="AT24" s="48" t="n">
        <f aca="false">IF(AT$15=1,INDEX(Vol_O,4,AT$14)/12*(1+P_dVol),0)</f>
        <v>0</v>
      </c>
      <c r="AU24" s="48" t="n">
        <f aca="false">IF(AU$15=1,INDEX(Vol_O,4,AU$14)/12*(1+P_dVol),0)</f>
        <v>0</v>
      </c>
      <c r="AV24" s="48" t="n">
        <f aca="false">IF(AV$15=1,INDEX(Vol_O,4,AV$14)/12*(1+P_dVol),0)</f>
        <v>0</v>
      </c>
      <c r="AW24" s="48" t="n">
        <f aca="false">IF(AW$15=1,INDEX(Vol_O,4,AW$14)/12*(1+P_dVol),0)</f>
        <v>0</v>
      </c>
      <c r="AX24" s="48" t="n">
        <f aca="false">IF(AX$15=1,INDEX(Vol_O,4,AX$14)/12*(1+P_dVol),0)</f>
        <v>0</v>
      </c>
      <c r="AY24" s="48" t="n">
        <f aca="false">IF(AY$15=1,INDEX(Vol_O,4,AY$14)/12*(1+P_dVol),0)</f>
        <v>0</v>
      </c>
      <c r="AZ24" s="48" t="n">
        <f aca="false">IF(AZ$15=1,INDEX(Vol_O,4,AZ$14)/12*(1+P_dVol),0)</f>
        <v>0</v>
      </c>
      <c r="BA24" s="48" t="n">
        <f aca="false">IF(BA$15=1,INDEX(Vol_O,4,BA$14)/12*(1+P_dVol),0)</f>
        <v>0</v>
      </c>
      <c r="BB24" s="48" t="n">
        <f aca="false">IF(BB$15=1,INDEX(Vol_O,4,BB$14)/12*(1+P_dVol),0)</f>
        <v>0</v>
      </c>
      <c r="BC24" s="48" t="n">
        <f aca="false">IF(BC$15=1,INDEX(Vol_O,4,BC$14)/12*(1+P_dVol),0)</f>
        <v>0</v>
      </c>
      <c r="BD24" s="48" t="n">
        <f aca="false">IF(BD$15=1,INDEX(Vol_O,4,BD$14)/12*(1+P_dVol),0)</f>
        <v>0</v>
      </c>
      <c r="BE24" s="48" t="n">
        <f aca="false">IF(BE$15=1,INDEX(Vol_O,4,BE$14)/12*(1+P_dVol),0)</f>
        <v>0</v>
      </c>
      <c r="BF24" s="48" t="n">
        <f aca="false">IF(BF$15=1,INDEX(Vol_O,4,BF$14)/12*(1+P_dVol),0)</f>
        <v>0</v>
      </c>
      <c r="BG24" s="48" t="n">
        <f aca="false">IF(BG$15=1,INDEX(Vol_O,4,BG$14)/12*(1+P_dVol),0)</f>
        <v>0</v>
      </c>
      <c r="BH24" s="48" t="n">
        <f aca="false">IF(BH$15=1,INDEX(Vol_O,4,BH$14)/12*(1+P_dVol),0)</f>
        <v>0</v>
      </c>
      <c r="BI24" s="48" t="n">
        <f aca="false">IF(BI$15=1,INDEX(Vol_O,4,BI$14)/12*(1+P_dVol),0)</f>
        <v>0</v>
      </c>
      <c r="BJ24" s="48" t="n">
        <f aca="false">IF(BJ$15=1,INDEX(Vol_O,4,BJ$14)/12*(1+P_dVol),0)</f>
        <v>0</v>
      </c>
      <c r="BK24" s="48" t="n">
        <f aca="false">IF(BK$15=1,INDEX(Vol_O,4,BK$14)/12*(1+P_dVol),0)</f>
        <v>0</v>
      </c>
      <c r="BL24" s="48" t="n">
        <f aca="false">IF(BL$15=1,INDEX(Vol_O,4,BL$14)/12*(1+P_dVol),0)</f>
        <v>0</v>
      </c>
      <c r="BM24" s="48" t="n">
        <f aca="false">IF(BM$15=1,INDEX(Vol_O,4,BM$14)/12*(1+P_dVol),0)</f>
        <v>0</v>
      </c>
      <c r="BN24" s="48" t="n">
        <f aca="false">IF(BN$15=1,INDEX(Vol_O,4,BN$14)/12*(1+P_dVol),0)</f>
        <v>0</v>
      </c>
      <c r="BO24" s="48" t="n">
        <f aca="false">IF(BO$15=1,INDEX(Vol_O,4,BO$14)/12*(1+P_dVol),0)</f>
        <v>0</v>
      </c>
      <c r="BP24" s="48" t="n">
        <f aca="false">IF(BP$15=1,INDEX(Vol_O,4,BP$14)/12*(1+P_dVol),0)</f>
        <v>0</v>
      </c>
      <c r="BQ24" s="48" t="n">
        <f aca="false">IF(BQ$15=1,INDEX(Vol_O,4,BQ$14)/12*(1+P_dVol),0)</f>
        <v>0</v>
      </c>
      <c r="BR24" s="48" t="n">
        <f aca="false">IF(BR$15=1,INDEX(Vol_O,4,BR$14)/12*(1+P_dVol),0)</f>
        <v>0</v>
      </c>
      <c r="BS24" s="48" t="n">
        <f aca="false">IF(BS$15=1,INDEX(Vol_O,4,BS$14)/12*(1+P_dVol),0)</f>
        <v>0</v>
      </c>
      <c r="BT24" s="48" t="n">
        <f aca="false">IF(BT$15=1,INDEX(Vol_O,4,BT$14)/12*(1+P_dVol),0)</f>
        <v>0</v>
      </c>
      <c r="BU24" s="48" t="n">
        <f aca="false">IF(BU$15=1,INDEX(Vol_O,4,BU$14)/12*(1+P_dVol),0)</f>
        <v>0</v>
      </c>
      <c r="BV24" s="48" t="n">
        <f aca="false">IF(BV$15=1,INDEX(Vol_O,4,BV$14)/12*(1+P_dVol),0)</f>
        <v>0</v>
      </c>
      <c r="BW24" s="48" t="n">
        <f aca="false">IF(BW$15=1,INDEX(Vol_O,4,BW$14)/12*(1+P_dVol),0)</f>
        <v>0</v>
      </c>
      <c r="BX24" s="48" t="n">
        <f aca="false">IF(BX$15=1,INDEX(Vol_O,4,BX$14)/12*(1+P_dVol),0)</f>
        <v>0</v>
      </c>
      <c r="BY24" s="48" t="n">
        <f aca="false">IF(BY$15=1,INDEX(Vol_O,4,BY$14)/12*(1+P_dVol),0)</f>
        <v>0</v>
      </c>
      <c r="BZ24" s="48" t="n">
        <f aca="false">IF(BZ$15=1,INDEX(Vol_O,4,BZ$14)/12*(1+P_dVol),0)</f>
        <v>0</v>
      </c>
      <c r="CA24" s="48" t="n">
        <f aca="false">IF(CA$15=1,INDEX(Vol_O,4,CA$14)/12*(1+P_dVol),0)</f>
        <v>0</v>
      </c>
      <c r="CB24" s="48" t="n">
        <f aca="false">IF(CB$15=1,INDEX(Vol_O,4,CB$14)/12*(1+P_dVol),0)</f>
        <v>0</v>
      </c>
      <c r="CC24" s="48" t="n">
        <f aca="false">IF(CC$15=1,INDEX(Vol_O,4,CC$14)/12*(1+P_dVol),0)</f>
        <v>0</v>
      </c>
      <c r="CD24" s="48" t="n">
        <f aca="false">IF(CD$15=1,INDEX(Vol_O,4,CD$14)/12*(1+P_dVol),0)</f>
        <v>0</v>
      </c>
      <c r="CE24" s="48" t="n">
        <f aca="false">IF(CE$15=1,INDEX(Vol_O,4,CE$14)/12*(1+P_dVol),0)</f>
        <v>0</v>
      </c>
      <c r="CF24" s="48" t="n">
        <f aca="false">IF(CF$15=1,INDEX(Vol_O,4,CF$14)/12*(1+P_dVol),0)</f>
        <v>0</v>
      </c>
      <c r="CG24" s="48" t="n">
        <f aca="false">IF(CG$15=1,INDEX(Vol_O,4,CG$14)/12*(1+P_dVol),0)</f>
        <v>0</v>
      </c>
      <c r="CH24" s="48" t="n">
        <f aca="false">IF(CH$15=1,INDEX(Vol_O,4,CH$14)/12*(1+P_dVol),0)</f>
        <v>0</v>
      </c>
      <c r="CI24" s="48" t="n">
        <f aca="false">IF(CI$15=1,INDEX(Vol_O,4,CI$14)/12*(1+P_dVol),0)</f>
        <v>0</v>
      </c>
      <c r="CJ24" s="48" t="n">
        <f aca="false">IF(CJ$15=1,INDEX(Vol_O,4,CJ$14)/12*(1+P_dVol),0)</f>
        <v>0</v>
      </c>
      <c r="CK24" s="48" t="n">
        <f aca="false">IF(CK$15=1,INDEX(Vol_O,4,CK$14)/12*(1+P_dVol),0)</f>
        <v>0</v>
      </c>
      <c r="CL24" s="48" t="n">
        <f aca="false">IF(CL$15=1,INDEX(Vol_O,4,CL$14)/12*(1+P_dVol),0)</f>
        <v>0</v>
      </c>
      <c r="CM24" s="48" t="n">
        <f aca="false">IF(CM$15=1,INDEX(Vol_O,4,CM$14)/12*(1+P_dVol),0)</f>
        <v>0</v>
      </c>
      <c r="CN24" s="48" t="n">
        <f aca="false">IF(CN$15=1,INDEX(Vol_O,4,CN$14)/12*(1+P_dVol),0)</f>
        <v>0</v>
      </c>
      <c r="CO24" s="48" t="n">
        <f aca="false">IF(CO$15=1,INDEX(Vol_O,4,CO$14)/12*(1+P_dVol),0)</f>
        <v>0</v>
      </c>
      <c r="CP24" s="48" t="n">
        <f aca="false">IF(CP$15=1,INDEX(Vol_O,4,CP$14)/12*(1+P_dVol),0)</f>
        <v>0</v>
      </c>
      <c r="CQ24" s="48" t="n">
        <f aca="false">IF(CQ$15=1,INDEX(Vol_O,4,CQ$14)/12*(1+P_dVol),0)</f>
        <v>0</v>
      </c>
      <c r="CR24" s="48" t="n">
        <f aca="false">IF(CR$15=1,INDEX(Vol_O,4,CR$14)/12*(1+P_dVol),0)</f>
        <v>0</v>
      </c>
      <c r="CS24" s="48" t="n">
        <f aca="false">IF(CS$15=1,INDEX(Vol_O,4,CS$14)/12*(1+P_dVol),0)</f>
        <v>0</v>
      </c>
      <c r="CT24" s="48" t="n">
        <f aca="false">IF(CT$15=1,INDEX(Vol_O,4,CT$14)/12*(1+P_dVol),0)</f>
        <v>0</v>
      </c>
      <c r="CU24" s="48" t="n">
        <f aca="false">IF(CU$15=1,INDEX(Vol_O,4,CU$14)/12*(1+P_dVol),0)</f>
        <v>0</v>
      </c>
      <c r="CV24" s="48" t="n">
        <f aca="false">IF(CV$15=1,INDEX(Vol_O,4,CV$14)/12*(1+P_dVol),0)</f>
        <v>0</v>
      </c>
      <c r="CW24" s="48" t="n">
        <f aca="false">IF(CW$15=1,INDEX(Vol_O,4,CW$14)/12*(1+P_dVol),0)</f>
        <v>0</v>
      </c>
      <c r="CX24" s="48" t="n">
        <f aca="false">IF(CX$15=1,INDEX(Vol_O,4,CX$14)/12*(1+P_dVol),0)</f>
        <v>0</v>
      </c>
      <c r="CY24" s="48" t="n">
        <f aca="false">IF(CY$15=1,INDEX(Vol_O,4,CY$14)/12*(1+P_dVol),0)</f>
        <v>0</v>
      </c>
      <c r="CZ24" s="48" t="n">
        <f aca="false">IF(CZ$15=1,INDEX(Vol_O,4,CZ$14)/12*(1+P_dVol),0)</f>
        <v>0</v>
      </c>
      <c r="DA24" s="48" t="n">
        <f aca="false">IF(DA$15=1,INDEX(Vol_O,4,DA$14)/12*(1+P_dVol),0)</f>
        <v>0</v>
      </c>
      <c r="DB24" s="48" t="n">
        <f aca="false">IF(DB$15=1,INDEX(Vol_O,4,DB$14)/12*(1+P_dVol),0)</f>
        <v>0</v>
      </c>
      <c r="DC24" s="48" t="n">
        <f aca="false">IF(DC$15=1,INDEX(Vol_O,4,DC$14)/12*(1+P_dVol),0)</f>
        <v>0</v>
      </c>
      <c r="DD24" s="48" t="n">
        <f aca="false">IF(DD$15=1,INDEX(Vol_O,4,DD$14)/12*(1+P_dVol),0)</f>
        <v>0</v>
      </c>
      <c r="DE24" s="48" t="n">
        <f aca="false">IF(DE$15=1,INDEX(Vol_O,4,DE$14)/12*(1+P_dVol),0)</f>
        <v>0</v>
      </c>
      <c r="DF24" s="48" t="n">
        <f aca="false">IF(DF$15=1,INDEX(Vol_O,4,DF$14)/12*(1+P_dVol),0)</f>
        <v>0</v>
      </c>
      <c r="DG24" s="48" t="n">
        <f aca="false">IF(DG$15=1,INDEX(Vol_O,4,DG$14)/12*(1+P_dVol),0)</f>
        <v>0</v>
      </c>
      <c r="DH24" s="48" t="n">
        <f aca="false">IF(DH$15=1,INDEX(Vol_O,4,DH$14)/12*(1+P_dVol),0)</f>
        <v>0</v>
      </c>
      <c r="DI24" s="48" t="n">
        <f aca="false">IF(DI$15=1,INDEX(Vol_O,4,DI$14)/12*(1+P_dVol),0)</f>
        <v>0</v>
      </c>
      <c r="DJ24" s="48" t="n">
        <f aca="false">IF(DJ$15=1,INDEX(Vol_O,4,DJ$14)/12*(1+P_dVol),0)</f>
        <v>0</v>
      </c>
      <c r="DK24" s="48" t="n">
        <f aca="false">IF(DK$15=1,INDEX(Vol_O,4,DK$14)/12*(1+P_dVol),0)</f>
        <v>0</v>
      </c>
      <c r="DL24" s="48" t="n">
        <f aca="false">IF(DL$15=1,INDEX(Vol_O,4,DL$14)/12*(1+P_dVol),0)</f>
        <v>0</v>
      </c>
      <c r="DM24" s="48" t="n">
        <f aca="false">IF(DM$15=1,INDEX(Vol_O,4,DM$14)/12*(1+P_dVol),0)</f>
        <v>0</v>
      </c>
      <c r="DN24" s="48" t="n">
        <f aca="false">IF(DN$15=1,INDEX(Vol_O,4,DN$14)/12*(1+P_dVol),0)</f>
        <v>0</v>
      </c>
      <c r="DO24" s="48" t="n">
        <f aca="false">IF(DO$15=1,INDEX(Vol_O,4,DO$14)/12*(1+P_dVol),0)</f>
        <v>0</v>
      </c>
      <c r="DP24" s="48" t="n">
        <f aca="false">IF(DP$15=1,INDEX(Vol_O,4,DP$14)/12*(1+P_dVol),0)</f>
        <v>0</v>
      </c>
      <c r="DQ24" s="48" t="n">
        <f aca="false">IF(DQ$15=1,INDEX(Vol_O,4,DQ$14)/12*(1+P_dVol),0)</f>
        <v>0</v>
      </c>
      <c r="DR24" s="48" t="n">
        <f aca="false">IF(DR$15=1,INDEX(Vol_O,4,DR$14)/12*(1+P_dVol),0)</f>
        <v>0</v>
      </c>
      <c r="DS24" s="48" t="n">
        <f aca="false">IF(DS$15=1,INDEX(Vol_O,4,DS$14)/12*(1+P_dVol),0)</f>
        <v>0</v>
      </c>
      <c r="DT24" s="48" t="n">
        <f aca="false">IF(DT$15=1,INDEX(Vol_O,4,DT$14)/12*(1+P_dVol),0)</f>
        <v>0</v>
      </c>
      <c r="DU24" s="48" t="n">
        <f aca="false">IF(DU$15=1,INDEX(Vol_O,4,DU$14)/12*(1+P_dVol),0)</f>
        <v>0</v>
      </c>
      <c r="DV24" s="48" t="n">
        <f aca="false">IF(DV$15=1,INDEX(Vol_O,4,DV$14)/12*(1+P_dVol),0)</f>
        <v>0</v>
      </c>
      <c r="DW24" s="48" t="n">
        <f aca="false">IF(DW$15=1,INDEX(Vol_O,4,DW$14)/12*(1+P_dVol),0)</f>
        <v>0</v>
      </c>
      <c r="DX24" s="48" t="n">
        <f aca="false">IF(DX$15=1,INDEX(Vol_O,4,DX$14)/12*(1+P_dVol),0)</f>
        <v>0</v>
      </c>
      <c r="DY24" s="48" t="n">
        <f aca="false">IF(DY$15=1,INDEX(Vol_O,4,DY$14)/12*(1+P_dVol),0)</f>
        <v>0</v>
      </c>
      <c r="DZ24" s="48" t="n">
        <f aca="false">IF(DZ$15=1,INDEX(Vol_O,4,DZ$14)/12*(1+P_dVol),0)</f>
        <v>0</v>
      </c>
      <c r="EA24" s="48" t="n">
        <f aca="false">IF(EA$15=1,INDEX(Vol_O,4,EA$14)/12*(1+P_dVol),0)</f>
        <v>0</v>
      </c>
      <c r="EB24" s="48" t="n">
        <f aca="false">IF(EB$15=1,INDEX(Vol_O,4,EB$14)/12*(1+P_dVol),0)</f>
        <v>0</v>
      </c>
      <c r="EC24" s="48" t="n">
        <f aca="false">IF(EC$15=1,INDEX(Vol_O,4,EC$14)/12*(1+P_dVol),0)</f>
        <v>0</v>
      </c>
      <c r="ED24" s="48" t="n">
        <f aca="false">IF(ED$15=1,INDEX(Vol_O,4,ED$14)/12*(1+P_dVol),0)</f>
        <v>0</v>
      </c>
      <c r="EE24" s="48" t="n">
        <f aca="false">IF(EE$15=1,INDEX(Vol_O,4,EE$14)/12*(1+P_dVol),0)</f>
        <v>0</v>
      </c>
      <c r="EF24" s="48" t="n">
        <f aca="false">IF(EF$15=1,INDEX(Vol_O,4,EF$14)/12*(1+P_dVol),0)</f>
        <v>0</v>
      </c>
      <c r="EG24" s="48" t="n">
        <f aca="false">IF(EG$15=1,INDEX(Vol_O,4,EG$14)/12*(1+P_dVol),0)</f>
        <v>0</v>
      </c>
      <c r="EH24" s="48" t="n">
        <f aca="false">IF(EH$15=1,INDEX(Vol_O,4,EH$14)/12*(1+P_dVol),0)</f>
        <v>0</v>
      </c>
      <c r="EI24" s="48" t="n">
        <f aca="false">IF(EI$15=1,INDEX(Vol_O,4,EI$14)/12*(1+P_dVol),0)</f>
        <v>0</v>
      </c>
      <c r="EJ24" s="48" t="n">
        <f aca="false">IF(EJ$15=1,INDEX(Vol_O,4,EJ$14)/12*(1+P_dVol),0)</f>
        <v>0</v>
      </c>
      <c r="EK24" s="48" t="n">
        <f aca="false">IF(EK$15=1,INDEX(Vol_O,4,EK$14)/12*(1+P_dVol),0)</f>
        <v>0</v>
      </c>
      <c r="EL24" s="48" t="n">
        <f aca="false">IF(EL$15=1,INDEX(Vol_O,4,EL$14)/12*(1+P_dVol),0)</f>
        <v>0</v>
      </c>
      <c r="EM24" s="48" t="n">
        <f aca="false">IF(EM$15=1,INDEX(Vol_O,4,EM$14)/12*(1+P_dVol),0)</f>
        <v>0</v>
      </c>
      <c r="EN24" s="48" t="n">
        <f aca="false">IF(EN$15=1,INDEX(Vol_O,4,EN$14)/12*(1+P_dVol),0)</f>
        <v>0</v>
      </c>
      <c r="EO24" s="48" t="n">
        <f aca="false">IF(EO$15=1,INDEX(Vol_O,4,EO$14)/12*(1+P_dVol),0)</f>
        <v>0</v>
      </c>
      <c r="EP24" s="48" t="n">
        <f aca="false">IF(EP$15=1,INDEX(Vol_O,4,EP$14)/12*(1+P_dVol),0)</f>
        <v>0</v>
      </c>
      <c r="EQ24" s="48" t="n">
        <f aca="false">IF(EQ$15=1,INDEX(Vol_O,4,EQ$14)/12*(1+P_dVol),0)</f>
        <v>0</v>
      </c>
      <c r="ER24" s="48" t="n">
        <f aca="false">IF(ER$15=1,INDEX(Vol_O,4,ER$14)/12*(1+P_dVol),0)</f>
        <v>0</v>
      </c>
      <c r="ES24" s="48" t="n">
        <f aca="false">IF(ES$15=1,INDEX(Vol_O,4,ES$14)/12*(1+P_dVol),0)</f>
        <v>0</v>
      </c>
    </row>
    <row r="25" customFormat="false" ht="15" hidden="false" customHeight="false" outlineLevel="0" collapsed="false">
      <c r="A25" s="11" t="s">
        <v>1070</v>
      </c>
      <c r="B25" s="53" t="str">
        <f aca="false">IF(INDEX(Prod_Nombre,5)="","Producto 5",INDEX(Prod_Nombre,5))&amp;" — unidades"</f>
        <v>Producto 5 — unidades</v>
      </c>
      <c r="C25" s="15" t="s">
        <v>544</v>
      </c>
      <c r="E25" s="54" t="n">
        <f aca="false">SUM(F25:ES25)</f>
        <v>0</v>
      </c>
      <c r="F25" s="48" t="n">
        <f aca="false">IF(F$15=1,INDEX(Vol_O,5,F$14)/12*(1+P_dVol),0)</f>
        <v>0</v>
      </c>
      <c r="G25" s="48" t="n">
        <f aca="false">IF(G$15=1,INDEX(Vol_O,5,G$14)/12*(1+P_dVol),0)</f>
        <v>0</v>
      </c>
      <c r="H25" s="48" t="n">
        <f aca="false">IF(H$15=1,INDEX(Vol_O,5,H$14)/12*(1+P_dVol),0)</f>
        <v>0</v>
      </c>
      <c r="I25" s="48" t="n">
        <f aca="false">IF(I$15=1,INDEX(Vol_O,5,I$14)/12*(1+P_dVol),0)</f>
        <v>0</v>
      </c>
      <c r="J25" s="48" t="n">
        <f aca="false">IF(J$15=1,INDEX(Vol_O,5,J$14)/12*(1+P_dVol),0)</f>
        <v>0</v>
      </c>
      <c r="K25" s="48" t="n">
        <f aca="false">IF(K$15=1,INDEX(Vol_O,5,K$14)/12*(1+P_dVol),0)</f>
        <v>0</v>
      </c>
      <c r="L25" s="48" t="n">
        <f aca="false">IF(L$15=1,INDEX(Vol_O,5,L$14)/12*(1+P_dVol),0)</f>
        <v>0</v>
      </c>
      <c r="M25" s="48" t="n">
        <f aca="false">IF(M$15=1,INDEX(Vol_O,5,M$14)/12*(1+P_dVol),0)</f>
        <v>0</v>
      </c>
      <c r="N25" s="48" t="n">
        <f aca="false">IF(N$15=1,INDEX(Vol_O,5,N$14)/12*(1+P_dVol),0)</f>
        <v>0</v>
      </c>
      <c r="O25" s="48" t="n">
        <f aca="false">IF(O$15=1,INDEX(Vol_O,5,O$14)/12*(1+P_dVol),0)</f>
        <v>0</v>
      </c>
      <c r="P25" s="48" t="n">
        <f aca="false">IF(P$15=1,INDEX(Vol_O,5,P$14)/12*(1+P_dVol),0)</f>
        <v>0</v>
      </c>
      <c r="Q25" s="48" t="n">
        <f aca="false">IF(Q$15=1,INDEX(Vol_O,5,Q$14)/12*(1+P_dVol),0)</f>
        <v>0</v>
      </c>
      <c r="R25" s="48" t="n">
        <f aca="false">IF(R$15=1,INDEX(Vol_O,5,R$14)/12*(1+P_dVol),0)</f>
        <v>0</v>
      </c>
      <c r="S25" s="48" t="n">
        <f aca="false">IF(S$15=1,INDEX(Vol_O,5,S$14)/12*(1+P_dVol),0)</f>
        <v>0</v>
      </c>
      <c r="T25" s="48" t="n">
        <f aca="false">IF(T$15=1,INDEX(Vol_O,5,T$14)/12*(1+P_dVol),0)</f>
        <v>0</v>
      </c>
      <c r="U25" s="48" t="n">
        <f aca="false">IF(U$15=1,INDEX(Vol_O,5,U$14)/12*(1+P_dVol),0)</f>
        <v>0</v>
      </c>
      <c r="V25" s="48" t="n">
        <f aca="false">IF(V$15=1,INDEX(Vol_O,5,V$14)/12*(1+P_dVol),0)</f>
        <v>0</v>
      </c>
      <c r="W25" s="48" t="n">
        <f aca="false">IF(W$15=1,INDEX(Vol_O,5,W$14)/12*(1+P_dVol),0)</f>
        <v>0</v>
      </c>
      <c r="X25" s="48" t="n">
        <f aca="false">IF(X$15=1,INDEX(Vol_O,5,X$14)/12*(1+P_dVol),0)</f>
        <v>0</v>
      </c>
      <c r="Y25" s="48" t="n">
        <f aca="false">IF(Y$15=1,INDEX(Vol_O,5,Y$14)/12*(1+P_dVol),0)</f>
        <v>0</v>
      </c>
      <c r="Z25" s="48" t="n">
        <f aca="false">IF(Z$15=1,INDEX(Vol_O,5,Z$14)/12*(1+P_dVol),0)</f>
        <v>0</v>
      </c>
      <c r="AA25" s="48" t="n">
        <f aca="false">IF(AA$15=1,INDEX(Vol_O,5,AA$14)/12*(1+P_dVol),0)</f>
        <v>0</v>
      </c>
      <c r="AB25" s="48" t="n">
        <f aca="false">IF(AB$15=1,INDEX(Vol_O,5,AB$14)/12*(1+P_dVol),0)</f>
        <v>0</v>
      </c>
      <c r="AC25" s="48" t="n">
        <f aca="false">IF(AC$15=1,INDEX(Vol_O,5,AC$14)/12*(1+P_dVol),0)</f>
        <v>0</v>
      </c>
      <c r="AD25" s="48" t="n">
        <f aca="false">IF(AD$15=1,INDEX(Vol_O,5,AD$14)/12*(1+P_dVol),0)</f>
        <v>0</v>
      </c>
      <c r="AE25" s="48" t="n">
        <f aca="false">IF(AE$15=1,INDEX(Vol_O,5,AE$14)/12*(1+P_dVol),0)</f>
        <v>0</v>
      </c>
      <c r="AF25" s="48" t="n">
        <f aca="false">IF(AF$15=1,INDEX(Vol_O,5,AF$14)/12*(1+P_dVol),0)</f>
        <v>0</v>
      </c>
      <c r="AG25" s="48" t="n">
        <f aca="false">IF(AG$15=1,INDEX(Vol_O,5,AG$14)/12*(1+P_dVol),0)</f>
        <v>0</v>
      </c>
      <c r="AH25" s="48" t="n">
        <f aca="false">IF(AH$15=1,INDEX(Vol_O,5,AH$14)/12*(1+P_dVol),0)</f>
        <v>0</v>
      </c>
      <c r="AI25" s="48" t="n">
        <f aca="false">IF(AI$15=1,INDEX(Vol_O,5,AI$14)/12*(1+P_dVol),0)</f>
        <v>0</v>
      </c>
      <c r="AJ25" s="48" t="n">
        <f aca="false">IF(AJ$15=1,INDEX(Vol_O,5,AJ$14)/12*(1+P_dVol),0)</f>
        <v>0</v>
      </c>
      <c r="AK25" s="48" t="n">
        <f aca="false">IF(AK$15=1,INDEX(Vol_O,5,AK$14)/12*(1+P_dVol),0)</f>
        <v>0</v>
      </c>
      <c r="AL25" s="48" t="n">
        <f aca="false">IF(AL$15=1,INDEX(Vol_O,5,AL$14)/12*(1+P_dVol),0)</f>
        <v>0</v>
      </c>
      <c r="AM25" s="48" t="n">
        <f aca="false">IF(AM$15=1,INDEX(Vol_O,5,AM$14)/12*(1+P_dVol),0)</f>
        <v>0</v>
      </c>
      <c r="AN25" s="48" t="n">
        <f aca="false">IF(AN$15=1,INDEX(Vol_O,5,AN$14)/12*(1+P_dVol),0)</f>
        <v>0</v>
      </c>
      <c r="AO25" s="48" t="n">
        <f aca="false">IF(AO$15=1,INDEX(Vol_O,5,AO$14)/12*(1+P_dVol),0)</f>
        <v>0</v>
      </c>
      <c r="AP25" s="48" t="n">
        <f aca="false">IF(AP$15=1,INDEX(Vol_O,5,AP$14)/12*(1+P_dVol),0)</f>
        <v>0</v>
      </c>
      <c r="AQ25" s="48" t="n">
        <f aca="false">IF(AQ$15=1,INDEX(Vol_O,5,AQ$14)/12*(1+P_dVol),0)</f>
        <v>0</v>
      </c>
      <c r="AR25" s="48" t="n">
        <f aca="false">IF(AR$15=1,INDEX(Vol_O,5,AR$14)/12*(1+P_dVol),0)</f>
        <v>0</v>
      </c>
      <c r="AS25" s="48" t="n">
        <f aca="false">IF(AS$15=1,INDEX(Vol_O,5,AS$14)/12*(1+P_dVol),0)</f>
        <v>0</v>
      </c>
      <c r="AT25" s="48" t="n">
        <f aca="false">IF(AT$15=1,INDEX(Vol_O,5,AT$14)/12*(1+P_dVol),0)</f>
        <v>0</v>
      </c>
      <c r="AU25" s="48" t="n">
        <f aca="false">IF(AU$15=1,INDEX(Vol_O,5,AU$14)/12*(1+P_dVol),0)</f>
        <v>0</v>
      </c>
      <c r="AV25" s="48" t="n">
        <f aca="false">IF(AV$15=1,INDEX(Vol_O,5,AV$14)/12*(1+P_dVol),0)</f>
        <v>0</v>
      </c>
      <c r="AW25" s="48" t="n">
        <f aca="false">IF(AW$15=1,INDEX(Vol_O,5,AW$14)/12*(1+P_dVol),0)</f>
        <v>0</v>
      </c>
      <c r="AX25" s="48" t="n">
        <f aca="false">IF(AX$15=1,INDEX(Vol_O,5,AX$14)/12*(1+P_dVol),0)</f>
        <v>0</v>
      </c>
      <c r="AY25" s="48" t="n">
        <f aca="false">IF(AY$15=1,INDEX(Vol_O,5,AY$14)/12*(1+P_dVol),0)</f>
        <v>0</v>
      </c>
      <c r="AZ25" s="48" t="n">
        <f aca="false">IF(AZ$15=1,INDEX(Vol_O,5,AZ$14)/12*(1+P_dVol),0)</f>
        <v>0</v>
      </c>
      <c r="BA25" s="48" t="n">
        <f aca="false">IF(BA$15=1,INDEX(Vol_O,5,BA$14)/12*(1+P_dVol),0)</f>
        <v>0</v>
      </c>
      <c r="BB25" s="48" t="n">
        <f aca="false">IF(BB$15=1,INDEX(Vol_O,5,BB$14)/12*(1+P_dVol),0)</f>
        <v>0</v>
      </c>
      <c r="BC25" s="48" t="n">
        <f aca="false">IF(BC$15=1,INDEX(Vol_O,5,BC$14)/12*(1+P_dVol),0)</f>
        <v>0</v>
      </c>
      <c r="BD25" s="48" t="n">
        <f aca="false">IF(BD$15=1,INDEX(Vol_O,5,BD$14)/12*(1+P_dVol),0)</f>
        <v>0</v>
      </c>
      <c r="BE25" s="48" t="n">
        <f aca="false">IF(BE$15=1,INDEX(Vol_O,5,BE$14)/12*(1+P_dVol),0)</f>
        <v>0</v>
      </c>
      <c r="BF25" s="48" t="n">
        <f aca="false">IF(BF$15=1,INDEX(Vol_O,5,BF$14)/12*(1+P_dVol),0)</f>
        <v>0</v>
      </c>
      <c r="BG25" s="48" t="n">
        <f aca="false">IF(BG$15=1,INDEX(Vol_O,5,BG$14)/12*(1+P_dVol),0)</f>
        <v>0</v>
      </c>
      <c r="BH25" s="48" t="n">
        <f aca="false">IF(BH$15=1,INDEX(Vol_O,5,BH$14)/12*(1+P_dVol),0)</f>
        <v>0</v>
      </c>
      <c r="BI25" s="48" t="n">
        <f aca="false">IF(BI$15=1,INDEX(Vol_O,5,BI$14)/12*(1+P_dVol),0)</f>
        <v>0</v>
      </c>
      <c r="BJ25" s="48" t="n">
        <f aca="false">IF(BJ$15=1,INDEX(Vol_O,5,BJ$14)/12*(1+P_dVol),0)</f>
        <v>0</v>
      </c>
      <c r="BK25" s="48" t="n">
        <f aca="false">IF(BK$15=1,INDEX(Vol_O,5,BK$14)/12*(1+P_dVol),0)</f>
        <v>0</v>
      </c>
      <c r="BL25" s="48" t="n">
        <f aca="false">IF(BL$15=1,INDEX(Vol_O,5,BL$14)/12*(1+P_dVol),0)</f>
        <v>0</v>
      </c>
      <c r="BM25" s="48" t="n">
        <f aca="false">IF(BM$15=1,INDEX(Vol_O,5,BM$14)/12*(1+P_dVol),0)</f>
        <v>0</v>
      </c>
      <c r="BN25" s="48" t="n">
        <f aca="false">IF(BN$15=1,INDEX(Vol_O,5,BN$14)/12*(1+P_dVol),0)</f>
        <v>0</v>
      </c>
      <c r="BO25" s="48" t="n">
        <f aca="false">IF(BO$15=1,INDEX(Vol_O,5,BO$14)/12*(1+P_dVol),0)</f>
        <v>0</v>
      </c>
      <c r="BP25" s="48" t="n">
        <f aca="false">IF(BP$15=1,INDEX(Vol_O,5,BP$14)/12*(1+P_dVol),0)</f>
        <v>0</v>
      </c>
      <c r="BQ25" s="48" t="n">
        <f aca="false">IF(BQ$15=1,INDEX(Vol_O,5,BQ$14)/12*(1+P_dVol),0)</f>
        <v>0</v>
      </c>
      <c r="BR25" s="48" t="n">
        <f aca="false">IF(BR$15=1,INDEX(Vol_O,5,BR$14)/12*(1+P_dVol),0)</f>
        <v>0</v>
      </c>
      <c r="BS25" s="48" t="n">
        <f aca="false">IF(BS$15=1,INDEX(Vol_O,5,BS$14)/12*(1+P_dVol),0)</f>
        <v>0</v>
      </c>
      <c r="BT25" s="48" t="n">
        <f aca="false">IF(BT$15=1,INDEX(Vol_O,5,BT$14)/12*(1+P_dVol),0)</f>
        <v>0</v>
      </c>
      <c r="BU25" s="48" t="n">
        <f aca="false">IF(BU$15=1,INDEX(Vol_O,5,BU$14)/12*(1+P_dVol),0)</f>
        <v>0</v>
      </c>
      <c r="BV25" s="48" t="n">
        <f aca="false">IF(BV$15=1,INDEX(Vol_O,5,BV$14)/12*(1+P_dVol),0)</f>
        <v>0</v>
      </c>
      <c r="BW25" s="48" t="n">
        <f aca="false">IF(BW$15=1,INDEX(Vol_O,5,BW$14)/12*(1+P_dVol),0)</f>
        <v>0</v>
      </c>
      <c r="BX25" s="48" t="n">
        <f aca="false">IF(BX$15=1,INDEX(Vol_O,5,BX$14)/12*(1+P_dVol),0)</f>
        <v>0</v>
      </c>
      <c r="BY25" s="48" t="n">
        <f aca="false">IF(BY$15=1,INDEX(Vol_O,5,BY$14)/12*(1+P_dVol),0)</f>
        <v>0</v>
      </c>
      <c r="BZ25" s="48" t="n">
        <f aca="false">IF(BZ$15=1,INDEX(Vol_O,5,BZ$14)/12*(1+P_dVol),0)</f>
        <v>0</v>
      </c>
      <c r="CA25" s="48" t="n">
        <f aca="false">IF(CA$15=1,INDEX(Vol_O,5,CA$14)/12*(1+P_dVol),0)</f>
        <v>0</v>
      </c>
      <c r="CB25" s="48" t="n">
        <f aca="false">IF(CB$15=1,INDEX(Vol_O,5,CB$14)/12*(1+P_dVol),0)</f>
        <v>0</v>
      </c>
      <c r="CC25" s="48" t="n">
        <f aca="false">IF(CC$15=1,INDEX(Vol_O,5,CC$14)/12*(1+P_dVol),0)</f>
        <v>0</v>
      </c>
      <c r="CD25" s="48" t="n">
        <f aca="false">IF(CD$15=1,INDEX(Vol_O,5,CD$14)/12*(1+P_dVol),0)</f>
        <v>0</v>
      </c>
      <c r="CE25" s="48" t="n">
        <f aca="false">IF(CE$15=1,INDEX(Vol_O,5,CE$14)/12*(1+P_dVol),0)</f>
        <v>0</v>
      </c>
      <c r="CF25" s="48" t="n">
        <f aca="false">IF(CF$15=1,INDEX(Vol_O,5,CF$14)/12*(1+P_dVol),0)</f>
        <v>0</v>
      </c>
      <c r="CG25" s="48" t="n">
        <f aca="false">IF(CG$15=1,INDEX(Vol_O,5,CG$14)/12*(1+P_dVol),0)</f>
        <v>0</v>
      </c>
      <c r="CH25" s="48" t="n">
        <f aca="false">IF(CH$15=1,INDEX(Vol_O,5,CH$14)/12*(1+P_dVol),0)</f>
        <v>0</v>
      </c>
      <c r="CI25" s="48" t="n">
        <f aca="false">IF(CI$15=1,INDEX(Vol_O,5,CI$14)/12*(1+P_dVol),0)</f>
        <v>0</v>
      </c>
      <c r="CJ25" s="48" t="n">
        <f aca="false">IF(CJ$15=1,INDEX(Vol_O,5,CJ$14)/12*(1+P_dVol),0)</f>
        <v>0</v>
      </c>
      <c r="CK25" s="48" t="n">
        <f aca="false">IF(CK$15=1,INDEX(Vol_O,5,CK$14)/12*(1+P_dVol),0)</f>
        <v>0</v>
      </c>
      <c r="CL25" s="48" t="n">
        <f aca="false">IF(CL$15=1,INDEX(Vol_O,5,CL$14)/12*(1+P_dVol),0)</f>
        <v>0</v>
      </c>
      <c r="CM25" s="48" t="n">
        <f aca="false">IF(CM$15=1,INDEX(Vol_O,5,CM$14)/12*(1+P_dVol),0)</f>
        <v>0</v>
      </c>
      <c r="CN25" s="48" t="n">
        <f aca="false">IF(CN$15=1,INDEX(Vol_O,5,CN$14)/12*(1+P_dVol),0)</f>
        <v>0</v>
      </c>
      <c r="CO25" s="48" t="n">
        <f aca="false">IF(CO$15=1,INDEX(Vol_O,5,CO$14)/12*(1+P_dVol),0)</f>
        <v>0</v>
      </c>
      <c r="CP25" s="48" t="n">
        <f aca="false">IF(CP$15=1,INDEX(Vol_O,5,CP$14)/12*(1+P_dVol),0)</f>
        <v>0</v>
      </c>
      <c r="CQ25" s="48" t="n">
        <f aca="false">IF(CQ$15=1,INDEX(Vol_O,5,CQ$14)/12*(1+P_dVol),0)</f>
        <v>0</v>
      </c>
      <c r="CR25" s="48" t="n">
        <f aca="false">IF(CR$15=1,INDEX(Vol_O,5,CR$14)/12*(1+P_dVol),0)</f>
        <v>0</v>
      </c>
      <c r="CS25" s="48" t="n">
        <f aca="false">IF(CS$15=1,INDEX(Vol_O,5,CS$14)/12*(1+P_dVol),0)</f>
        <v>0</v>
      </c>
      <c r="CT25" s="48" t="n">
        <f aca="false">IF(CT$15=1,INDEX(Vol_O,5,CT$14)/12*(1+P_dVol),0)</f>
        <v>0</v>
      </c>
      <c r="CU25" s="48" t="n">
        <f aca="false">IF(CU$15=1,INDEX(Vol_O,5,CU$14)/12*(1+P_dVol),0)</f>
        <v>0</v>
      </c>
      <c r="CV25" s="48" t="n">
        <f aca="false">IF(CV$15=1,INDEX(Vol_O,5,CV$14)/12*(1+P_dVol),0)</f>
        <v>0</v>
      </c>
      <c r="CW25" s="48" t="n">
        <f aca="false">IF(CW$15=1,INDEX(Vol_O,5,CW$14)/12*(1+P_dVol),0)</f>
        <v>0</v>
      </c>
      <c r="CX25" s="48" t="n">
        <f aca="false">IF(CX$15=1,INDEX(Vol_O,5,CX$14)/12*(1+P_dVol),0)</f>
        <v>0</v>
      </c>
      <c r="CY25" s="48" t="n">
        <f aca="false">IF(CY$15=1,INDEX(Vol_O,5,CY$14)/12*(1+P_dVol),0)</f>
        <v>0</v>
      </c>
      <c r="CZ25" s="48" t="n">
        <f aca="false">IF(CZ$15=1,INDEX(Vol_O,5,CZ$14)/12*(1+P_dVol),0)</f>
        <v>0</v>
      </c>
      <c r="DA25" s="48" t="n">
        <f aca="false">IF(DA$15=1,INDEX(Vol_O,5,DA$14)/12*(1+P_dVol),0)</f>
        <v>0</v>
      </c>
      <c r="DB25" s="48" t="n">
        <f aca="false">IF(DB$15=1,INDEX(Vol_O,5,DB$14)/12*(1+P_dVol),0)</f>
        <v>0</v>
      </c>
      <c r="DC25" s="48" t="n">
        <f aca="false">IF(DC$15=1,INDEX(Vol_O,5,DC$14)/12*(1+P_dVol),0)</f>
        <v>0</v>
      </c>
      <c r="DD25" s="48" t="n">
        <f aca="false">IF(DD$15=1,INDEX(Vol_O,5,DD$14)/12*(1+P_dVol),0)</f>
        <v>0</v>
      </c>
      <c r="DE25" s="48" t="n">
        <f aca="false">IF(DE$15=1,INDEX(Vol_O,5,DE$14)/12*(1+P_dVol),0)</f>
        <v>0</v>
      </c>
      <c r="DF25" s="48" t="n">
        <f aca="false">IF(DF$15=1,INDEX(Vol_O,5,DF$14)/12*(1+P_dVol),0)</f>
        <v>0</v>
      </c>
      <c r="DG25" s="48" t="n">
        <f aca="false">IF(DG$15=1,INDEX(Vol_O,5,DG$14)/12*(1+P_dVol),0)</f>
        <v>0</v>
      </c>
      <c r="DH25" s="48" t="n">
        <f aca="false">IF(DH$15=1,INDEX(Vol_O,5,DH$14)/12*(1+P_dVol),0)</f>
        <v>0</v>
      </c>
      <c r="DI25" s="48" t="n">
        <f aca="false">IF(DI$15=1,INDEX(Vol_O,5,DI$14)/12*(1+P_dVol),0)</f>
        <v>0</v>
      </c>
      <c r="DJ25" s="48" t="n">
        <f aca="false">IF(DJ$15=1,INDEX(Vol_O,5,DJ$14)/12*(1+P_dVol),0)</f>
        <v>0</v>
      </c>
      <c r="DK25" s="48" t="n">
        <f aca="false">IF(DK$15=1,INDEX(Vol_O,5,DK$14)/12*(1+P_dVol),0)</f>
        <v>0</v>
      </c>
      <c r="DL25" s="48" t="n">
        <f aca="false">IF(DL$15=1,INDEX(Vol_O,5,DL$14)/12*(1+P_dVol),0)</f>
        <v>0</v>
      </c>
      <c r="DM25" s="48" t="n">
        <f aca="false">IF(DM$15=1,INDEX(Vol_O,5,DM$14)/12*(1+P_dVol),0)</f>
        <v>0</v>
      </c>
      <c r="DN25" s="48" t="n">
        <f aca="false">IF(DN$15=1,INDEX(Vol_O,5,DN$14)/12*(1+P_dVol),0)</f>
        <v>0</v>
      </c>
      <c r="DO25" s="48" t="n">
        <f aca="false">IF(DO$15=1,INDEX(Vol_O,5,DO$14)/12*(1+P_dVol),0)</f>
        <v>0</v>
      </c>
      <c r="DP25" s="48" t="n">
        <f aca="false">IF(DP$15=1,INDEX(Vol_O,5,DP$14)/12*(1+P_dVol),0)</f>
        <v>0</v>
      </c>
      <c r="DQ25" s="48" t="n">
        <f aca="false">IF(DQ$15=1,INDEX(Vol_O,5,DQ$14)/12*(1+P_dVol),0)</f>
        <v>0</v>
      </c>
      <c r="DR25" s="48" t="n">
        <f aca="false">IF(DR$15=1,INDEX(Vol_O,5,DR$14)/12*(1+P_dVol),0)</f>
        <v>0</v>
      </c>
      <c r="DS25" s="48" t="n">
        <f aca="false">IF(DS$15=1,INDEX(Vol_O,5,DS$14)/12*(1+P_dVol),0)</f>
        <v>0</v>
      </c>
      <c r="DT25" s="48" t="n">
        <f aca="false">IF(DT$15=1,INDEX(Vol_O,5,DT$14)/12*(1+P_dVol),0)</f>
        <v>0</v>
      </c>
      <c r="DU25" s="48" t="n">
        <f aca="false">IF(DU$15=1,INDEX(Vol_O,5,DU$14)/12*(1+P_dVol),0)</f>
        <v>0</v>
      </c>
      <c r="DV25" s="48" t="n">
        <f aca="false">IF(DV$15=1,INDEX(Vol_O,5,DV$14)/12*(1+P_dVol),0)</f>
        <v>0</v>
      </c>
      <c r="DW25" s="48" t="n">
        <f aca="false">IF(DW$15=1,INDEX(Vol_O,5,DW$14)/12*(1+P_dVol),0)</f>
        <v>0</v>
      </c>
      <c r="DX25" s="48" t="n">
        <f aca="false">IF(DX$15=1,INDEX(Vol_O,5,DX$14)/12*(1+P_dVol),0)</f>
        <v>0</v>
      </c>
      <c r="DY25" s="48" t="n">
        <f aca="false">IF(DY$15=1,INDEX(Vol_O,5,DY$14)/12*(1+P_dVol),0)</f>
        <v>0</v>
      </c>
      <c r="DZ25" s="48" t="n">
        <f aca="false">IF(DZ$15=1,INDEX(Vol_O,5,DZ$14)/12*(1+P_dVol),0)</f>
        <v>0</v>
      </c>
      <c r="EA25" s="48" t="n">
        <f aca="false">IF(EA$15=1,INDEX(Vol_O,5,EA$14)/12*(1+P_dVol),0)</f>
        <v>0</v>
      </c>
      <c r="EB25" s="48" t="n">
        <f aca="false">IF(EB$15=1,INDEX(Vol_O,5,EB$14)/12*(1+P_dVol),0)</f>
        <v>0</v>
      </c>
      <c r="EC25" s="48" t="n">
        <f aca="false">IF(EC$15=1,INDEX(Vol_O,5,EC$14)/12*(1+P_dVol),0)</f>
        <v>0</v>
      </c>
      <c r="ED25" s="48" t="n">
        <f aca="false">IF(ED$15=1,INDEX(Vol_O,5,ED$14)/12*(1+P_dVol),0)</f>
        <v>0</v>
      </c>
      <c r="EE25" s="48" t="n">
        <f aca="false">IF(EE$15=1,INDEX(Vol_O,5,EE$14)/12*(1+P_dVol),0)</f>
        <v>0</v>
      </c>
      <c r="EF25" s="48" t="n">
        <f aca="false">IF(EF$15=1,INDEX(Vol_O,5,EF$14)/12*(1+P_dVol),0)</f>
        <v>0</v>
      </c>
      <c r="EG25" s="48" t="n">
        <f aca="false">IF(EG$15=1,INDEX(Vol_O,5,EG$14)/12*(1+P_dVol),0)</f>
        <v>0</v>
      </c>
      <c r="EH25" s="48" t="n">
        <f aca="false">IF(EH$15=1,INDEX(Vol_O,5,EH$14)/12*(1+P_dVol),0)</f>
        <v>0</v>
      </c>
      <c r="EI25" s="48" t="n">
        <f aca="false">IF(EI$15=1,INDEX(Vol_O,5,EI$14)/12*(1+P_dVol),0)</f>
        <v>0</v>
      </c>
      <c r="EJ25" s="48" t="n">
        <f aca="false">IF(EJ$15=1,INDEX(Vol_O,5,EJ$14)/12*(1+P_dVol),0)</f>
        <v>0</v>
      </c>
      <c r="EK25" s="48" t="n">
        <f aca="false">IF(EK$15=1,INDEX(Vol_O,5,EK$14)/12*(1+P_dVol),0)</f>
        <v>0</v>
      </c>
      <c r="EL25" s="48" t="n">
        <f aca="false">IF(EL$15=1,INDEX(Vol_O,5,EL$14)/12*(1+P_dVol),0)</f>
        <v>0</v>
      </c>
      <c r="EM25" s="48" t="n">
        <f aca="false">IF(EM$15=1,INDEX(Vol_O,5,EM$14)/12*(1+P_dVol),0)</f>
        <v>0</v>
      </c>
      <c r="EN25" s="48" t="n">
        <f aca="false">IF(EN$15=1,INDEX(Vol_O,5,EN$14)/12*(1+P_dVol),0)</f>
        <v>0</v>
      </c>
      <c r="EO25" s="48" t="n">
        <f aca="false">IF(EO$15=1,INDEX(Vol_O,5,EO$14)/12*(1+P_dVol),0)</f>
        <v>0</v>
      </c>
      <c r="EP25" s="48" t="n">
        <f aca="false">IF(EP$15=1,INDEX(Vol_O,5,EP$14)/12*(1+P_dVol),0)</f>
        <v>0</v>
      </c>
      <c r="EQ25" s="48" t="n">
        <f aca="false">IF(EQ$15=1,INDEX(Vol_O,5,EQ$14)/12*(1+P_dVol),0)</f>
        <v>0</v>
      </c>
      <c r="ER25" s="48" t="n">
        <f aca="false">IF(ER$15=1,INDEX(Vol_O,5,ER$14)/12*(1+P_dVol),0)</f>
        <v>0</v>
      </c>
      <c r="ES25" s="48" t="n">
        <f aca="false">IF(ES$15=1,INDEX(Vol_O,5,ES$14)/12*(1+P_dVol),0)</f>
        <v>0</v>
      </c>
    </row>
    <row r="26" customFormat="false" ht="15" hidden="false" customHeight="false" outlineLevel="0" collapsed="false">
      <c r="A26" s="11" t="s">
        <v>1071</v>
      </c>
      <c r="B26" s="53" t="str">
        <f aca="false">IF(INDEX(Prod_Nombre,6)="","Producto 6",INDEX(Prod_Nombre,6))&amp;" — unidades"</f>
        <v>Producto 6 — unidades</v>
      </c>
      <c r="C26" s="15" t="s">
        <v>544</v>
      </c>
      <c r="E26" s="54" t="n">
        <f aca="false">SUM(F26:ES26)</f>
        <v>0</v>
      </c>
      <c r="F26" s="48" t="n">
        <f aca="false">IF(F$15=1,INDEX(Vol_O,6,F$14)/12*(1+P_dVol),0)</f>
        <v>0</v>
      </c>
      <c r="G26" s="48" t="n">
        <f aca="false">IF(G$15=1,INDEX(Vol_O,6,G$14)/12*(1+P_dVol),0)</f>
        <v>0</v>
      </c>
      <c r="H26" s="48" t="n">
        <f aca="false">IF(H$15=1,INDEX(Vol_O,6,H$14)/12*(1+P_dVol),0)</f>
        <v>0</v>
      </c>
      <c r="I26" s="48" t="n">
        <f aca="false">IF(I$15=1,INDEX(Vol_O,6,I$14)/12*(1+P_dVol),0)</f>
        <v>0</v>
      </c>
      <c r="J26" s="48" t="n">
        <f aca="false">IF(J$15=1,INDEX(Vol_O,6,J$14)/12*(1+P_dVol),0)</f>
        <v>0</v>
      </c>
      <c r="K26" s="48" t="n">
        <f aca="false">IF(K$15=1,INDEX(Vol_O,6,K$14)/12*(1+P_dVol),0)</f>
        <v>0</v>
      </c>
      <c r="L26" s="48" t="n">
        <f aca="false">IF(L$15=1,INDEX(Vol_O,6,L$14)/12*(1+P_dVol),0)</f>
        <v>0</v>
      </c>
      <c r="M26" s="48" t="n">
        <f aca="false">IF(M$15=1,INDEX(Vol_O,6,M$14)/12*(1+P_dVol),0)</f>
        <v>0</v>
      </c>
      <c r="N26" s="48" t="n">
        <f aca="false">IF(N$15=1,INDEX(Vol_O,6,N$14)/12*(1+P_dVol),0)</f>
        <v>0</v>
      </c>
      <c r="O26" s="48" t="n">
        <f aca="false">IF(O$15=1,INDEX(Vol_O,6,O$14)/12*(1+P_dVol),0)</f>
        <v>0</v>
      </c>
      <c r="P26" s="48" t="n">
        <f aca="false">IF(P$15=1,INDEX(Vol_O,6,P$14)/12*(1+P_dVol),0)</f>
        <v>0</v>
      </c>
      <c r="Q26" s="48" t="n">
        <f aca="false">IF(Q$15=1,INDEX(Vol_O,6,Q$14)/12*(1+P_dVol),0)</f>
        <v>0</v>
      </c>
      <c r="R26" s="48" t="n">
        <f aca="false">IF(R$15=1,INDEX(Vol_O,6,R$14)/12*(1+P_dVol),0)</f>
        <v>0</v>
      </c>
      <c r="S26" s="48" t="n">
        <f aca="false">IF(S$15=1,INDEX(Vol_O,6,S$14)/12*(1+P_dVol),0)</f>
        <v>0</v>
      </c>
      <c r="T26" s="48" t="n">
        <f aca="false">IF(T$15=1,INDEX(Vol_O,6,T$14)/12*(1+P_dVol),0)</f>
        <v>0</v>
      </c>
      <c r="U26" s="48" t="n">
        <f aca="false">IF(U$15=1,INDEX(Vol_O,6,U$14)/12*(1+P_dVol),0)</f>
        <v>0</v>
      </c>
      <c r="V26" s="48" t="n">
        <f aca="false">IF(V$15=1,INDEX(Vol_O,6,V$14)/12*(1+P_dVol),0)</f>
        <v>0</v>
      </c>
      <c r="W26" s="48" t="n">
        <f aca="false">IF(W$15=1,INDEX(Vol_O,6,W$14)/12*(1+P_dVol),0)</f>
        <v>0</v>
      </c>
      <c r="X26" s="48" t="n">
        <f aca="false">IF(X$15=1,INDEX(Vol_O,6,X$14)/12*(1+P_dVol),0)</f>
        <v>0</v>
      </c>
      <c r="Y26" s="48" t="n">
        <f aca="false">IF(Y$15=1,INDEX(Vol_O,6,Y$14)/12*(1+P_dVol),0)</f>
        <v>0</v>
      </c>
      <c r="Z26" s="48" t="n">
        <f aca="false">IF(Z$15=1,INDEX(Vol_O,6,Z$14)/12*(1+P_dVol),0)</f>
        <v>0</v>
      </c>
      <c r="AA26" s="48" t="n">
        <f aca="false">IF(AA$15=1,INDEX(Vol_O,6,AA$14)/12*(1+P_dVol),0)</f>
        <v>0</v>
      </c>
      <c r="AB26" s="48" t="n">
        <f aca="false">IF(AB$15=1,INDEX(Vol_O,6,AB$14)/12*(1+P_dVol),0)</f>
        <v>0</v>
      </c>
      <c r="AC26" s="48" t="n">
        <f aca="false">IF(AC$15=1,INDEX(Vol_O,6,AC$14)/12*(1+P_dVol),0)</f>
        <v>0</v>
      </c>
      <c r="AD26" s="48" t="n">
        <f aca="false">IF(AD$15=1,INDEX(Vol_O,6,AD$14)/12*(1+P_dVol),0)</f>
        <v>0</v>
      </c>
      <c r="AE26" s="48" t="n">
        <f aca="false">IF(AE$15=1,INDEX(Vol_O,6,AE$14)/12*(1+P_dVol),0)</f>
        <v>0</v>
      </c>
      <c r="AF26" s="48" t="n">
        <f aca="false">IF(AF$15=1,INDEX(Vol_O,6,AF$14)/12*(1+P_dVol),0)</f>
        <v>0</v>
      </c>
      <c r="AG26" s="48" t="n">
        <f aca="false">IF(AG$15=1,INDEX(Vol_O,6,AG$14)/12*(1+P_dVol),0)</f>
        <v>0</v>
      </c>
      <c r="AH26" s="48" t="n">
        <f aca="false">IF(AH$15=1,INDEX(Vol_O,6,AH$14)/12*(1+P_dVol),0)</f>
        <v>0</v>
      </c>
      <c r="AI26" s="48" t="n">
        <f aca="false">IF(AI$15=1,INDEX(Vol_O,6,AI$14)/12*(1+P_dVol),0)</f>
        <v>0</v>
      </c>
      <c r="AJ26" s="48" t="n">
        <f aca="false">IF(AJ$15=1,INDEX(Vol_O,6,AJ$14)/12*(1+P_dVol),0)</f>
        <v>0</v>
      </c>
      <c r="AK26" s="48" t="n">
        <f aca="false">IF(AK$15=1,INDEX(Vol_O,6,AK$14)/12*(1+P_dVol),0)</f>
        <v>0</v>
      </c>
      <c r="AL26" s="48" t="n">
        <f aca="false">IF(AL$15=1,INDEX(Vol_O,6,AL$14)/12*(1+P_dVol),0)</f>
        <v>0</v>
      </c>
      <c r="AM26" s="48" t="n">
        <f aca="false">IF(AM$15=1,INDEX(Vol_O,6,AM$14)/12*(1+P_dVol),0)</f>
        <v>0</v>
      </c>
      <c r="AN26" s="48" t="n">
        <f aca="false">IF(AN$15=1,INDEX(Vol_O,6,AN$14)/12*(1+P_dVol),0)</f>
        <v>0</v>
      </c>
      <c r="AO26" s="48" t="n">
        <f aca="false">IF(AO$15=1,INDEX(Vol_O,6,AO$14)/12*(1+P_dVol),0)</f>
        <v>0</v>
      </c>
      <c r="AP26" s="48" t="n">
        <f aca="false">IF(AP$15=1,INDEX(Vol_O,6,AP$14)/12*(1+P_dVol),0)</f>
        <v>0</v>
      </c>
      <c r="AQ26" s="48" t="n">
        <f aca="false">IF(AQ$15=1,INDEX(Vol_O,6,AQ$14)/12*(1+P_dVol),0)</f>
        <v>0</v>
      </c>
      <c r="AR26" s="48" t="n">
        <f aca="false">IF(AR$15=1,INDEX(Vol_O,6,AR$14)/12*(1+P_dVol),0)</f>
        <v>0</v>
      </c>
      <c r="AS26" s="48" t="n">
        <f aca="false">IF(AS$15=1,INDEX(Vol_O,6,AS$14)/12*(1+P_dVol),0)</f>
        <v>0</v>
      </c>
      <c r="AT26" s="48" t="n">
        <f aca="false">IF(AT$15=1,INDEX(Vol_O,6,AT$14)/12*(1+P_dVol),0)</f>
        <v>0</v>
      </c>
      <c r="AU26" s="48" t="n">
        <f aca="false">IF(AU$15=1,INDEX(Vol_O,6,AU$14)/12*(1+P_dVol),0)</f>
        <v>0</v>
      </c>
      <c r="AV26" s="48" t="n">
        <f aca="false">IF(AV$15=1,INDEX(Vol_O,6,AV$14)/12*(1+P_dVol),0)</f>
        <v>0</v>
      </c>
      <c r="AW26" s="48" t="n">
        <f aca="false">IF(AW$15=1,INDEX(Vol_O,6,AW$14)/12*(1+P_dVol),0)</f>
        <v>0</v>
      </c>
      <c r="AX26" s="48" t="n">
        <f aca="false">IF(AX$15=1,INDEX(Vol_O,6,AX$14)/12*(1+P_dVol),0)</f>
        <v>0</v>
      </c>
      <c r="AY26" s="48" t="n">
        <f aca="false">IF(AY$15=1,INDEX(Vol_O,6,AY$14)/12*(1+P_dVol),0)</f>
        <v>0</v>
      </c>
      <c r="AZ26" s="48" t="n">
        <f aca="false">IF(AZ$15=1,INDEX(Vol_O,6,AZ$14)/12*(1+P_dVol),0)</f>
        <v>0</v>
      </c>
      <c r="BA26" s="48" t="n">
        <f aca="false">IF(BA$15=1,INDEX(Vol_O,6,BA$14)/12*(1+P_dVol),0)</f>
        <v>0</v>
      </c>
      <c r="BB26" s="48" t="n">
        <f aca="false">IF(BB$15=1,INDEX(Vol_O,6,BB$14)/12*(1+P_dVol),0)</f>
        <v>0</v>
      </c>
      <c r="BC26" s="48" t="n">
        <f aca="false">IF(BC$15=1,INDEX(Vol_O,6,BC$14)/12*(1+P_dVol),0)</f>
        <v>0</v>
      </c>
      <c r="BD26" s="48" t="n">
        <f aca="false">IF(BD$15=1,INDEX(Vol_O,6,BD$14)/12*(1+P_dVol),0)</f>
        <v>0</v>
      </c>
      <c r="BE26" s="48" t="n">
        <f aca="false">IF(BE$15=1,INDEX(Vol_O,6,BE$14)/12*(1+P_dVol),0)</f>
        <v>0</v>
      </c>
      <c r="BF26" s="48" t="n">
        <f aca="false">IF(BF$15=1,INDEX(Vol_O,6,BF$14)/12*(1+P_dVol),0)</f>
        <v>0</v>
      </c>
      <c r="BG26" s="48" t="n">
        <f aca="false">IF(BG$15=1,INDEX(Vol_O,6,BG$14)/12*(1+P_dVol),0)</f>
        <v>0</v>
      </c>
      <c r="BH26" s="48" t="n">
        <f aca="false">IF(BH$15=1,INDEX(Vol_O,6,BH$14)/12*(1+P_dVol),0)</f>
        <v>0</v>
      </c>
      <c r="BI26" s="48" t="n">
        <f aca="false">IF(BI$15=1,INDEX(Vol_O,6,BI$14)/12*(1+P_dVol),0)</f>
        <v>0</v>
      </c>
      <c r="BJ26" s="48" t="n">
        <f aca="false">IF(BJ$15=1,INDEX(Vol_O,6,BJ$14)/12*(1+P_dVol),0)</f>
        <v>0</v>
      </c>
      <c r="BK26" s="48" t="n">
        <f aca="false">IF(BK$15=1,INDEX(Vol_O,6,BK$14)/12*(1+P_dVol),0)</f>
        <v>0</v>
      </c>
      <c r="BL26" s="48" t="n">
        <f aca="false">IF(BL$15=1,INDEX(Vol_O,6,BL$14)/12*(1+P_dVol),0)</f>
        <v>0</v>
      </c>
      <c r="BM26" s="48" t="n">
        <f aca="false">IF(BM$15=1,INDEX(Vol_O,6,BM$14)/12*(1+P_dVol),0)</f>
        <v>0</v>
      </c>
      <c r="BN26" s="48" t="n">
        <f aca="false">IF(BN$15=1,INDEX(Vol_O,6,BN$14)/12*(1+P_dVol),0)</f>
        <v>0</v>
      </c>
      <c r="BO26" s="48" t="n">
        <f aca="false">IF(BO$15=1,INDEX(Vol_O,6,BO$14)/12*(1+P_dVol),0)</f>
        <v>0</v>
      </c>
      <c r="BP26" s="48" t="n">
        <f aca="false">IF(BP$15=1,INDEX(Vol_O,6,BP$14)/12*(1+P_dVol),0)</f>
        <v>0</v>
      </c>
      <c r="BQ26" s="48" t="n">
        <f aca="false">IF(BQ$15=1,INDEX(Vol_O,6,BQ$14)/12*(1+P_dVol),0)</f>
        <v>0</v>
      </c>
      <c r="BR26" s="48" t="n">
        <f aca="false">IF(BR$15=1,INDEX(Vol_O,6,BR$14)/12*(1+P_dVol),0)</f>
        <v>0</v>
      </c>
      <c r="BS26" s="48" t="n">
        <f aca="false">IF(BS$15=1,INDEX(Vol_O,6,BS$14)/12*(1+P_dVol),0)</f>
        <v>0</v>
      </c>
      <c r="BT26" s="48" t="n">
        <f aca="false">IF(BT$15=1,INDEX(Vol_O,6,BT$14)/12*(1+P_dVol),0)</f>
        <v>0</v>
      </c>
      <c r="BU26" s="48" t="n">
        <f aca="false">IF(BU$15=1,INDEX(Vol_O,6,BU$14)/12*(1+P_dVol),0)</f>
        <v>0</v>
      </c>
      <c r="BV26" s="48" t="n">
        <f aca="false">IF(BV$15=1,INDEX(Vol_O,6,BV$14)/12*(1+P_dVol),0)</f>
        <v>0</v>
      </c>
      <c r="BW26" s="48" t="n">
        <f aca="false">IF(BW$15=1,INDEX(Vol_O,6,BW$14)/12*(1+P_dVol),0)</f>
        <v>0</v>
      </c>
      <c r="BX26" s="48" t="n">
        <f aca="false">IF(BX$15=1,INDEX(Vol_O,6,BX$14)/12*(1+P_dVol),0)</f>
        <v>0</v>
      </c>
      <c r="BY26" s="48" t="n">
        <f aca="false">IF(BY$15=1,INDEX(Vol_O,6,BY$14)/12*(1+P_dVol),0)</f>
        <v>0</v>
      </c>
      <c r="BZ26" s="48" t="n">
        <f aca="false">IF(BZ$15=1,INDEX(Vol_O,6,BZ$14)/12*(1+P_dVol),0)</f>
        <v>0</v>
      </c>
      <c r="CA26" s="48" t="n">
        <f aca="false">IF(CA$15=1,INDEX(Vol_O,6,CA$14)/12*(1+P_dVol),0)</f>
        <v>0</v>
      </c>
      <c r="CB26" s="48" t="n">
        <f aca="false">IF(CB$15=1,INDEX(Vol_O,6,CB$14)/12*(1+P_dVol),0)</f>
        <v>0</v>
      </c>
      <c r="CC26" s="48" t="n">
        <f aca="false">IF(CC$15=1,INDEX(Vol_O,6,CC$14)/12*(1+P_dVol),0)</f>
        <v>0</v>
      </c>
      <c r="CD26" s="48" t="n">
        <f aca="false">IF(CD$15=1,INDEX(Vol_O,6,CD$14)/12*(1+P_dVol),0)</f>
        <v>0</v>
      </c>
      <c r="CE26" s="48" t="n">
        <f aca="false">IF(CE$15=1,INDEX(Vol_O,6,CE$14)/12*(1+P_dVol),0)</f>
        <v>0</v>
      </c>
      <c r="CF26" s="48" t="n">
        <f aca="false">IF(CF$15=1,INDEX(Vol_O,6,CF$14)/12*(1+P_dVol),0)</f>
        <v>0</v>
      </c>
      <c r="CG26" s="48" t="n">
        <f aca="false">IF(CG$15=1,INDEX(Vol_O,6,CG$14)/12*(1+P_dVol),0)</f>
        <v>0</v>
      </c>
      <c r="CH26" s="48" t="n">
        <f aca="false">IF(CH$15=1,INDEX(Vol_O,6,CH$14)/12*(1+P_dVol),0)</f>
        <v>0</v>
      </c>
      <c r="CI26" s="48" t="n">
        <f aca="false">IF(CI$15=1,INDEX(Vol_O,6,CI$14)/12*(1+P_dVol),0)</f>
        <v>0</v>
      </c>
      <c r="CJ26" s="48" t="n">
        <f aca="false">IF(CJ$15=1,INDEX(Vol_O,6,CJ$14)/12*(1+P_dVol),0)</f>
        <v>0</v>
      </c>
      <c r="CK26" s="48" t="n">
        <f aca="false">IF(CK$15=1,INDEX(Vol_O,6,CK$14)/12*(1+P_dVol),0)</f>
        <v>0</v>
      </c>
      <c r="CL26" s="48" t="n">
        <f aca="false">IF(CL$15=1,INDEX(Vol_O,6,CL$14)/12*(1+P_dVol),0)</f>
        <v>0</v>
      </c>
      <c r="CM26" s="48" t="n">
        <f aca="false">IF(CM$15=1,INDEX(Vol_O,6,CM$14)/12*(1+P_dVol),0)</f>
        <v>0</v>
      </c>
      <c r="CN26" s="48" t="n">
        <f aca="false">IF(CN$15=1,INDEX(Vol_O,6,CN$14)/12*(1+P_dVol),0)</f>
        <v>0</v>
      </c>
      <c r="CO26" s="48" t="n">
        <f aca="false">IF(CO$15=1,INDEX(Vol_O,6,CO$14)/12*(1+P_dVol),0)</f>
        <v>0</v>
      </c>
      <c r="CP26" s="48" t="n">
        <f aca="false">IF(CP$15=1,INDEX(Vol_O,6,CP$14)/12*(1+P_dVol),0)</f>
        <v>0</v>
      </c>
      <c r="CQ26" s="48" t="n">
        <f aca="false">IF(CQ$15=1,INDEX(Vol_O,6,CQ$14)/12*(1+P_dVol),0)</f>
        <v>0</v>
      </c>
      <c r="CR26" s="48" t="n">
        <f aca="false">IF(CR$15=1,INDEX(Vol_O,6,CR$14)/12*(1+P_dVol),0)</f>
        <v>0</v>
      </c>
      <c r="CS26" s="48" t="n">
        <f aca="false">IF(CS$15=1,INDEX(Vol_O,6,CS$14)/12*(1+P_dVol),0)</f>
        <v>0</v>
      </c>
      <c r="CT26" s="48" t="n">
        <f aca="false">IF(CT$15=1,INDEX(Vol_O,6,CT$14)/12*(1+P_dVol),0)</f>
        <v>0</v>
      </c>
      <c r="CU26" s="48" t="n">
        <f aca="false">IF(CU$15=1,INDEX(Vol_O,6,CU$14)/12*(1+P_dVol),0)</f>
        <v>0</v>
      </c>
      <c r="CV26" s="48" t="n">
        <f aca="false">IF(CV$15=1,INDEX(Vol_O,6,CV$14)/12*(1+P_dVol),0)</f>
        <v>0</v>
      </c>
      <c r="CW26" s="48" t="n">
        <f aca="false">IF(CW$15=1,INDEX(Vol_O,6,CW$14)/12*(1+P_dVol),0)</f>
        <v>0</v>
      </c>
      <c r="CX26" s="48" t="n">
        <f aca="false">IF(CX$15=1,INDEX(Vol_O,6,CX$14)/12*(1+P_dVol),0)</f>
        <v>0</v>
      </c>
      <c r="CY26" s="48" t="n">
        <f aca="false">IF(CY$15=1,INDEX(Vol_O,6,CY$14)/12*(1+P_dVol),0)</f>
        <v>0</v>
      </c>
      <c r="CZ26" s="48" t="n">
        <f aca="false">IF(CZ$15=1,INDEX(Vol_O,6,CZ$14)/12*(1+P_dVol),0)</f>
        <v>0</v>
      </c>
      <c r="DA26" s="48" t="n">
        <f aca="false">IF(DA$15=1,INDEX(Vol_O,6,DA$14)/12*(1+P_dVol),0)</f>
        <v>0</v>
      </c>
      <c r="DB26" s="48" t="n">
        <f aca="false">IF(DB$15=1,INDEX(Vol_O,6,DB$14)/12*(1+P_dVol),0)</f>
        <v>0</v>
      </c>
      <c r="DC26" s="48" t="n">
        <f aca="false">IF(DC$15=1,INDEX(Vol_O,6,DC$14)/12*(1+P_dVol),0)</f>
        <v>0</v>
      </c>
      <c r="DD26" s="48" t="n">
        <f aca="false">IF(DD$15=1,INDEX(Vol_O,6,DD$14)/12*(1+P_dVol),0)</f>
        <v>0</v>
      </c>
      <c r="DE26" s="48" t="n">
        <f aca="false">IF(DE$15=1,INDEX(Vol_O,6,DE$14)/12*(1+P_dVol),0)</f>
        <v>0</v>
      </c>
      <c r="DF26" s="48" t="n">
        <f aca="false">IF(DF$15=1,INDEX(Vol_O,6,DF$14)/12*(1+P_dVol),0)</f>
        <v>0</v>
      </c>
      <c r="DG26" s="48" t="n">
        <f aca="false">IF(DG$15=1,INDEX(Vol_O,6,DG$14)/12*(1+P_dVol),0)</f>
        <v>0</v>
      </c>
      <c r="DH26" s="48" t="n">
        <f aca="false">IF(DH$15=1,INDEX(Vol_O,6,DH$14)/12*(1+P_dVol),0)</f>
        <v>0</v>
      </c>
      <c r="DI26" s="48" t="n">
        <f aca="false">IF(DI$15=1,INDEX(Vol_O,6,DI$14)/12*(1+P_dVol),0)</f>
        <v>0</v>
      </c>
      <c r="DJ26" s="48" t="n">
        <f aca="false">IF(DJ$15=1,INDEX(Vol_O,6,DJ$14)/12*(1+P_dVol),0)</f>
        <v>0</v>
      </c>
      <c r="DK26" s="48" t="n">
        <f aca="false">IF(DK$15=1,INDEX(Vol_O,6,DK$14)/12*(1+P_dVol),0)</f>
        <v>0</v>
      </c>
      <c r="DL26" s="48" t="n">
        <f aca="false">IF(DL$15=1,INDEX(Vol_O,6,DL$14)/12*(1+P_dVol),0)</f>
        <v>0</v>
      </c>
      <c r="DM26" s="48" t="n">
        <f aca="false">IF(DM$15=1,INDEX(Vol_O,6,DM$14)/12*(1+P_dVol),0)</f>
        <v>0</v>
      </c>
      <c r="DN26" s="48" t="n">
        <f aca="false">IF(DN$15=1,INDEX(Vol_O,6,DN$14)/12*(1+P_dVol),0)</f>
        <v>0</v>
      </c>
      <c r="DO26" s="48" t="n">
        <f aca="false">IF(DO$15=1,INDEX(Vol_O,6,DO$14)/12*(1+P_dVol),0)</f>
        <v>0</v>
      </c>
      <c r="DP26" s="48" t="n">
        <f aca="false">IF(DP$15=1,INDEX(Vol_O,6,DP$14)/12*(1+P_dVol),0)</f>
        <v>0</v>
      </c>
      <c r="DQ26" s="48" t="n">
        <f aca="false">IF(DQ$15=1,INDEX(Vol_O,6,DQ$14)/12*(1+P_dVol),0)</f>
        <v>0</v>
      </c>
      <c r="DR26" s="48" t="n">
        <f aca="false">IF(DR$15=1,INDEX(Vol_O,6,DR$14)/12*(1+P_dVol),0)</f>
        <v>0</v>
      </c>
      <c r="DS26" s="48" t="n">
        <f aca="false">IF(DS$15=1,INDEX(Vol_O,6,DS$14)/12*(1+P_dVol),0)</f>
        <v>0</v>
      </c>
      <c r="DT26" s="48" t="n">
        <f aca="false">IF(DT$15=1,INDEX(Vol_O,6,DT$14)/12*(1+P_dVol),0)</f>
        <v>0</v>
      </c>
      <c r="DU26" s="48" t="n">
        <f aca="false">IF(DU$15=1,INDEX(Vol_O,6,DU$14)/12*(1+P_dVol),0)</f>
        <v>0</v>
      </c>
      <c r="DV26" s="48" t="n">
        <f aca="false">IF(DV$15=1,INDEX(Vol_O,6,DV$14)/12*(1+P_dVol),0)</f>
        <v>0</v>
      </c>
      <c r="DW26" s="48" t="n">
        <f aca="false">IF(DW$15=1,INDEX(Vol_O,6,DW$14)/12*(1+P_dVol),0)</f>
        <v>0</v>
      </c>
      <c r="DX26" s="48" t="n">
        <f aca="false">IF(DX$15=1,INDEX(Vol_O,6,DX$14)/12*(1+P_dVol),0)</f>
        <v>0</v>
      </c>
      <c r="DY26" s="48" t="n">
        <f aca="false">IF(DY$15=1,INDEX(Vol_O,6,DY$14)/12*(1+P_dVol),0)</f>
        <v>0</v>
      </c>
      <c r="DZ26" s="48" t="n">
        <f aca="false">IF(DZ$15=1,INDEX(Vol_O,6,DZ$14)/12*(1+P_dVol),0)</f>
        <v>0</v>
      </c>
      <c r="EA26" s="48" t="n">
        <f aca="false">IF(EA$15=1,INDEX(Vol_O,6,EA$14)/12*(1+P_dVol),0)</f>
        <v>0</v>
      </c>
      <c r="EB26" s="48" t="n">
        <f aca="false">IF(EB$15=1,INDEX(Vol_O,6,EB$14)/12*(1+P_dVol),0)</f>
        <v>0</v>
      </c>
      <c r="EC26" s="48" t="n">
        <f aca="false">IF(EC$15=1,INDEX(Vol_O,6,EC$14)/12*(1+P_dVol),0)</f>
        <v>0</v>
      </c>
      <c r="ED26" s="48" t="n">
        <f aca="false">IF(ED$15=1,INDEX(Vol_O,6,ED$14)/12*(1+P_dVol),0)</f>
        <v>0</v>
      </c>
      <c r="EE26" s="48" t="n">
        <f aca="false">IF(EE$15=1,INDEX(Vol_O,6,EE$14)/12*(1+P_dVol),0)</f>
        <v>0</v>
      </c>
      <c r="EF26" s="48" t="n">
        <f aca="false">IF(EF$15=1,INDEX(Vol_O,6,EF$14)/12*(1+P_dVol),0)</f>
        <v>0</v>
      </c>
      <c r="EG26" s="48" t="n">
        <f aca="false">IF(EG$15=1,INDEX(Vol_O,6,EG$14)/12*(1+P_dVol),0)</f>
        <v>0</v>
      </c>
      <c r="EH26" s="48" t="n">
        <f aca="false">IF(EH$15=1,INDEX(Vol_O,6,EH$14)/12*(1+P_dVol),0)</f>
        <v>0</v>
      </c>
      <c r="EI26" s="48" t="n">
        <f aca="false">IF(EI$15=1,INDEX(Vol_O,6,EI$14)/12*(1+P_dVol),0)</f>
        <v>0</v>
      </c>
      <c r="EJ26" s="48" t="n">
        <f aca="false">IF(EJ$15=1,INDEX(Vol_O,6,EJ$14)/12*(1+P_dVol),0)</f>
        <v>0</v>
      </c>
      <c r="EK26" s="48" t="n">
        <f aca="false">IF(EK$15=1,INDEX(Vol_O,6,EK$14)/12*(1+P_dVol),0)</f>
        <v>0</v>
      </c>
      <c r="EL26" s="48" t="n">
        <f aca="false">IF(EL$15=1,INDEX(Vol_O,6,EL$14)/12*(1+P_dVol),0)</f>
        <v>0</v>
      </c>
      <c r="EM26" s="48" t="n">
        <f aca="false">IF(EM$15=1,INDEX(Vol_O,6,EM$14)/12*(1+P_dVol),0)</f>
        <v>0</v>
      </c>
      <c r="EN26" s="48" t="n">
        <f aca="false">IF(EN$15=1,INDEX(Vol_O,6,EN$14)/12*(1+P_dVol),0)</f>
        <v>0</v>
      </c>
      <c r="EO26" s="48" t="n">
        <f aca="false">IF(EO$15=1,INDEX(Vol_O,6,EO$14)/12*(1+P_dVol),0)</f>
        <v>0</v>
      </c>
      <c r="EP26" s="48" t="n">
        <f aca="false">IF(EP$15=1,INDEX(Vol_O,6,EP$14)/12*(1+P_dVol),0)</f>
        <v>0</v>
      </c>
      <c r="EQ26" s="48" t="n">
        <f aca="false">IF(EQ$15=1,INDEX(Vol_O,6,EQ$14)/12*(1+P_dVol),0)</f>
        <v>0</v>
      </c>
      <c r="ER26" s="48" t="n">
        <f aca="false">IF(ER$15=1,INDEX(Vol_O,6,ER$14)/12*(1+P_dVol),0)</f>
        <v>0</v>
      </c>
      <c r="ES26" s="48" t="n">
        <f aca="false">IF(ES$15=1,INDEX(Vol_O,6,ES$14)/12*(1+P_dVol),0)</f>
        <v>0</v>
      </c>
    </row>
    <row r="27" customFormat="false" ht="15" hidden="false" customHeight="false" outlineLevel="0" collapsed="false">
      <c r="A27" s="11" t="s">
        <v>1072</v>
      </c>
      <c r="B27" s="53" t="str">
        <f aca="false">IF(INDEX(Prod_Nombre,7)="","Producto 7",INDEX(Prod_Nombre,7))&amp;" — unidades"</f>
        <v>Producto 7 — unidades</v>
      </c>
      <c r="C27" s="15" t="s">
        <v>544</v>
      </c>
      <c r="E27" s="54" t="n">
        <f aca="false">SUM(F27:ES27)</f>
        <v>0</v>
      </c>
      <c r="F27" s="48" t="n">
        <f aca="false">IF(F$15=1,INDEX(Vol_O,7,F$14)/12*(1+P_dVol),0)</f>
        <v>0</v>
      </c>
      <c r="G27" s="48" t="n">
        <f aca="false">IF(G$15=1,INDEX(Vol_O,7,G$14)/12*(1+P_dVol),0)</f>
        <v>0</v>
      </c>
      <c r="H27" s="48" t="n">
        <f aca="false">IF(H$15=1,INDEX(Vol_O,7,H$14)/12*(1+P_dVol),0)</f>
        <v>0</v>
      </c>
      <c r="I27" s="48" t="n">
        <f aca="false">IF(I$15=1,INDEX(Vol_O,7,I$14)/12*(1+P_dVol),0)</f>
        <v>0</v>
      </c>
      <c r="J27" s="48" t="n">
        <f aca="false">IF(J$15=1,INDEX(Vol_O,7,J$14)/12*(1+P_dVol),0)</f>
        <v>0</v>
      </c>
      <c r="K27" s="48" t="n">
        <f aca="false">IF(K$15=1,INDEX(Vol_O,7,K$14)/12*(1+P_dVol),0)</f>
        <v>0</v>
      </c>
      <c r="L27" s="48" t="n">
        <f aca="false">IF(L$15=1,INDEX(Vol_O,7,L$14)/12*(1+P_dVol),0)</f>
        <v>0</v>
      </c>
      <c r="M27" s="48" t="n">
        <f aca="false">IF(M$15=1,INDEX(Vol_O,7,M$14)/12*(1+P_dVol),0)</f>
        <v>0</v>
      </c>
      <c r="N27" s="48" t="n">
        <f aca="false">IF(N$15=1,INDEX(Vol_O,7,N$14)/12*(1+P_dVol),0)</f>
        <v>0</v>
      </c>
      <c r="O27" s="48" t="n">
        <f aca="false">IF(O$15=1,INDEX(Vol_O,7,O$14)/12*(1+P_dVol),0)</f>
        <v>0</v>
      </c>
      <c r="P27" s="48" t="n">
        <f aca="false">IF(P$15=1,INDEX(Vol_O,7,P$14)/12*(1+P_dVol),0)</f>
        <v>0</v>
      </c>
      <c r="Q27" s="48" t="n">
        <f aca="false">IF(Q$15=1,INDEX(Vol_O,7,Q$14)/12*(1+P_dVol),0)</f>
        <v>0</v>
      </c>
      <c r="R27" s="48" t="n">
        <f aca="false">IF(R$15=1,INDEX(Vol_O,7,R$14)/12*(1+P_dVol),0)</f>
        <v>0</v>
      </c>
      <c r="S27" s="48" t="n">
        <f aca="false">IF(S$15=1,INDEX(Vol_O,7,S$14)/12*(1+P_dVol),0)</f>
        <v>0</v>
      </c>
      <c r="T27" s="48" t="n">
        <f aca="false">IF(T$15=1,INDEX(Vol_O,7,T$14)/12*(1+P_dVol),0)</f>
        <v>0</v>
      </c>
      <c r="U27" s="48" t="n">
        <f aca="false">IF(U$15=1,INDEX(Vol_O,7,U$14)/12*(1+P_dVol),0)</f>
        <v>0</v>
      </c>
      <c r="V27" s="48" t="n">
        <f aca="false">IF(V$15=1,INDEX(Vol_O,7,V$14)/12*(1+P_dVol),0)</f>
        <v>0</v>
      </c>
      <c r="W27" s="48" t="n">
        <f aca="false">IF(W$15=1,INDEX(Vol_O,7,W$14)/12*(1+P_dVol),0)</f>
        <v>0</v>
      </c>
      <c r="X27" s="48" t="n">
        <f aca="false">IF(X$15=1,INDEX(Vol_O,7,X$14)/12*(1+P_dVol),0)</f>
        <v>0</v>
      </c>
      <c r="Y27" s="48" t="n">
        <f aca="false">IF(Y$15=1,INDEX(Vol_O,7,Y$14)/12*(1+P_dVol),0)</f>
        <v>0</v>
      </c>
      <c r="Z27" s="48" t="n">
        <f aca="false">IF(Z$15=1,INDEX(Vol_O,7,Z$14)/12*(1+P_dVol),0)</f>
        <v>0</v>
      </c>
      <c r="AA27" s="48" t="n">
        <f aca="false">IF(AA$15=1,INDEX(Vol_O,7,AA$14)/12*(1+P_dVol),0)</f>
        <v>0</v>
      </c>
      <c r="AB27" s="48" t="n">
        <f aca="false">IF(AB$15=1,INDEX(Vol_O,7,AB$14)/12*(1+P_dVol),0)</f>
        <v>0</v>
      </c>
      <c r="AC27" s="48" t="n">
        <f aca="false">IF(AC$15=1,INDEX(Vol_O,7,AC$14)/12*(1+P_dVol),0)</f>
        <v>0</v>
      </c>
      <c r="AD27" s="48" t="n">
        <f aca="false">IF(AD$15=1,INDEX(Vol_O,7,AD$14)/12*(1+P_dVol),0)</f>
        <v>0</v>
      </c>
      <c r="AE27" s="48" t="n">
        <f aca="false">IF(AE$15=1,INDEX(Vol_O,7,AE$14)/12*(1+P_dVol),0)</f>
        <v>0</v>
      </c>
      <c r="AF27" s="48" t="n">
        <f aca="false">IF(AF$15=1,INDEX(Vol_O,7,AF$14)/12*(1+P_dVol),0)</f>
        <v>0</v>
      </c>
      <c r="AG27" s="48" t="n">
        <f aca="false">IF(AG$15=1,INDEX(Vol_O,7,AG$14)/12*(1+P_dVol),0)</f>
        <v>0</v>
      </c>
      <c r="AH27" s="48" t="n">
        <f aca="false">IF(AH$15=1,INDEX(Vol_O,7,AH$14)/12*(1+P_dVol),0)</f>
        <v>0</v>
      </c>
      <c r="AI27" s="48" t="n">
        <f aca="false">IF(AI$15=1,INDEX(Vol_O,7,AI$14)/12*(1+P_dVol),0)</f>
        <v>0</v>
      </c>
      <c r="AJ27" s="48" t="n">
        <f aca="false">IF(AJ$15=1,INDEX(Vol_O,7,AJ$14)/12*(1+P_dVol),0)</f>
        <v>0</v>
      </c>
      <c r="AK27" s="48" t="n">
        <f aca="false">IF(AK$15=1,INDEX(Vol_O,7,AK$14)/12*(1+P_dVol),0)</f>
        <v>0</v>
      </c>
      <c r="AL27" s="48" t="n">
        <f aca="false">IF(AL$15=1,INDEX(Vol_O,7,AL$14)/12*(1+P_dVol),0)</f>
        <v>0</v>
      </c>
      <c r="AM27" s="48" t="n">
        <f aca="false">IF(AM$15=1,INDEX(Vol_O,7,AM$14)/12*(1+P_dVol),0)</f>
        <v>0</v>
      </c>
      <c r="AN27" s="48" t="n">
        <f aca="false">IF(AN$15=1,INDEX(Vol_O,7,AN$14)/12*(1+P_dVol),0)</f>
        <v>0</v>
      </c>
      <c r="AO27" s="48" t="n">
        <f aca="false">IF(AO$15=1,INDEX(Vol_O,7,AO$14)/12*(1+P_dVol),0)</f>
        <v>0</v>
      </c>
      <c r="AP27" s="48" t="n">
        <f aca="false">IF(AP$15=1,INDEX(Vol_O,7,AP$14)/12*(1+P_dVol),0)</f>
        <v>0</v>
      </c>
      <c r="AQ27" s="48" t="n">
        <f aca="false">IF(AQ$15=1,INDEX(Vol_O,7,AQ$14)/12*(1+P_dVol),0)</f>
        <v>0</v>
      </c>
      <c r="AR27" s="48" t="n">
        <f aca="false">IF(AR$15=1,INDEX(Vol_O,7,AR$14)/12*(1+P_dVol),0)</f>
        <v>0</v>
      </c>
      <c r="AS27" s="48" t="n">
        <f aca="false">IF(AS$15=1,INDEX(Vol_O,7,AS$14)/12*(1+P_dVol),0)</f>
        <v>0</v>
      </c>
      <c r="AT27" s="48" t="n">
        <f aca="false">IF(AT$15=1,INDEX(Vol_O,7,AT$14)/12*(1+P_dVol),0)</f>
        <v>0</v>
      </c>
      <c r="AU27" s="48" t="n">
        <f aca="false">IF(AU$15=1,INDEX(Vol_O,7,AU$14)/12*(1+P_dVol),0)</f>
        <v>0</v>
      </c>
      <c r="AV27" s="48" t="n">
        <f aca="false">IF(AV$15=1,INDEX(Vol_O,7,AV$14)/12*(1+P_dVol),0)</f>
        <v>0</v>
      </c>
      <c r="AW27" s="48" t="n">
        <f aca="false">IF(AW$15=1,INDEX(Vol_O,7,AW$14)/12*(1+P_dVol),0)</f>
        <v>0</v>
      </c>
      <c r="AX27" s="48" t="n">
        <f aca="false">IF(AX$15=1,INDEX(Vol_O,7,AX$14)/12*(1+P_dVol),0)</f>
        <v>0</v>
      </c>
      <c r="AY27" s="48" t="n">
        <f aca="false">IF(AY$15=1,INDEX(Vol_O,7,AY$14)/12*(1+P_dVol),0)</f>
        <v>0</v>
      </c>
      <c r="AZ27" s="48" t="n">
        <f aca="false">IF(AZ$15=1,INDEX(Vol_O,7,AZ$14)/12*(1+P_dVol),0)</f>
        <v>0</v>
      </c>
      <c r="BA27" s="48" t="n">
        <f aca="false">IF(BA$15=1,INDEX(Vol_O,7,BA$14)/12*(1+P_dVol),0)</f>
        <v>0</v>
      </c>
      <c r="BB27" s="48" t="n">
        <f aca="false">IF(BB$15=1,INDEX(Vol_O,7,BB$14)/12*(1+P_dVol),0)</f>
        <v>0</v>
      </c>
      <c r="BC27" s="48" t="n">
        <f aca="false">IF(BC$15=1,INDEX(Vol_O,7,BC$14)/12*(1+P_dVol),0)</f>
        <v>0</v>
      </c>
      <c r="BD27" s="48" t="n">
        <f aca="false">IF(BD$15=1,INDEX(Vol_O,7,BD$14)/12*(1+P_dVol),0)</f>
        <v>0</v>
      </c>
      <c r="BE27" s="48" t="n">
        <f aca="false">IF(BE$15=1,INDEX(Vol_O,7,BE$14)/12*(1+P_dVol),0)</f>
        <v>0</v>
      </c>
      <c r="BF27" s="48" t="n">
        <f aca="false">IF(BF$15=1,INDEX(Vol_O,7,BF$14)/12*(1+P_dVol),0)</f>
        <v>0</v>
      </c>
      <c r="BG27" s="48" t="n">
        <f aca="false">IF(BG$15=1,INDEX(Vol_O,7,BG$14)/12*(1+P_dVol),0)</f>
        <v>0</v>
      </c>
      <c r="BH27" s="48" t="n">
        <f aca="false">IF(BH$15=1,INDEX(Vol_O,7,BH$14)/12*(1+P_dVol),0)</f>
        <v>0</v>
      </c>
      <c r="BI27" s="48" t="n">
        <f aca="false">IF(BI$15=1,INDEX(Vol_O,7,BI$14)/12*(1+P_dVol),0)</f>
        <v>0</v>
      </c>
      <c r="BJ27" s="48" t="n">
        <f aca="false">IF(BJ$15=1,INDEX(Vol_O,7,BJ$14)/12*(1+P_dVol),0)</f>
        <v>0</v>
      </c>
      <c r="BK27" s="48" t="n">
        <f aca="false">IF(BK$15=1,INDEX(Vol_O,7,BK$14)/12*(1+P_dVol),0)</f>
        <v>0</v>
      </c>
      <c r="BL27" s="48" t="n">
        <f aca="false">IF(BL$15=1,INDEX(Vol_O,7,BL$14)/12*(1+P_dVol),0)</f>
        <v>0</v>
      </c>
      <c r="BM27" s="48" t="n">
        <f aca="false">IF(BM$15=1,INDEX(Vol_O,7,BM$14)/12*(1+P_dVol),0)</f>
        <v>0</v>
      </c>
      <c r="BN27" s="48" t="n">
        <f aca="false">IF(BN$15=1,INDEX(Vol_O,7,BN$14)/12*(1+P_dVol),0)</f>
        <v>0</v>
      </c>
      <c r="BO27" s="48" t="n">
        <f aca="false">IF(BO$15=1,INDEX(Vol_O,7,BO$14)/12*(1+P_dVol),0)</f>
        <v>0</v>
      </c>
      <c r="BP27" s="48" t="n">
        <f aca="false">IF(BP$15=1,INDEX(Vol_O,7,BP$14)/12*(1+P_dVol),0)</f>
        <v>0</v>
      </c>
      <c r="BQ27" s="48" t="n">
        <f aca="false">IF(BQ$15=1,INDEX(Vol_O,7,BQ$14)/12*(1+P_dVol),0)</f>
        <v>0</v>
      </c>
      <c r="BR27" s="48" t="n">
        <f aca="false">IF(BR$15=1,INDEX(Vol_O,7,BR$14)/12*(1+P_dVol),0)</f>
        <v>0</v>
      </c>
      <c r="BS27" s="48" t="n">
        <f aca="false">IF(BS$15=1,INDEX(Vol_O,7,BS$14)/12*(1+P_dVol),0)</f>
        <v>0</v>
      </c>
      <c r="BT27" s="48" t="n">
        <f aca="false">IF(BT$15=1,INDEX(Vol_O,7,BT$14)/12*(1+P_dVol),0)</f>
        <v>0</v>
      </c>
      <c r="BU27" s="48" t="n">
        <f aca="false">IF(BU$15=1,INDEX(Vol_O,7,BU$14)/12*(1+P_dVol),0)</f>
        <v>0</v>
      </c>
      <c r="BV27" s="48" t="n">
        <f aca="false">IF(BV$15=1,INDEX(Vol_O,7,BV$14)/12*(1+P_dVol),0)</f>
        <v>0</v>
      </c>
      <c r="BW27" s="48" t="n">
        <f aca="false">IF(BW$15=1,INDEX(Vol_O,7,BW$14)/12*(1+P_dVol),0)</f>
        <v>0</v>
      </c>
      <c r="BX27" s="48" t="n">
        <f aca="false">IF(BX$15=1,INDEX(Vol_O,7,BX$14)/12*(1+P_dVol),0)</f>
        <v>0</v>
      </c>
      <c r="BY27" s="48" t="n">
        <f aca="false">IF(BY$15=1,INDEX(Vol_O,7,BY$14)/12*(1+P_dVol),0)</f>
        <v>0</v>
      </c>
      <c r="BZ27" s="48" t="n">
        <f aca="false">IF(BZ$15=1,INDEX(Vol_O,7,BZ$14)/12*(1+P_dVol),0)</f>
        <v>0</v>
      </c>
      <c r="CA27" s="48" t="n">
        <f aca="false">IF(CA$15=1,INDEX(Vol_O,7,CA$14)/12*(1+P_dVol),0)</f>
        <v>0</v>
      </c>
      <c r="CB27" s="48" t="n">
        <f aca="false">IF(CB$15=1,INDEX(Vol_O,7,CB$14)/12*(1+P_dVol),0)</f>
        <v>0</v>
      </c>
      <c r="CC27" s="48" t="n">
        <f aca="false">IF(CC$15=1,INDEX(Vol_O,7,CC$14)/12*(1+P_dVol),0)</f>
        <v>0</v>
      </c>
      <c r="CD27" s="48" t="n">
        <f aca="false">IF(CD$15=1,INDEX(Vol_O,7,CD$14)/12*(1+P_dVol),0)</f>
        <v>0</v>
      </c>
      <c r="CE27" s="48" t="n">
        <f aca="false">IF(CE$15=1,INDEX(Vol_O,7,CE$14)/12*(1+P_dVol),0)</f>
        <v>0</v>
      </c>
      <c r="CF27" s="48" t="n">
        <f aca="false">IF(CF$15=1,INDEX(Vol_O,7,CF$14)/12*(1+P_dVol),0)</f>
        <v>0</v>
      </c>
      <c r="CG27" s="48" t="n">
        <f aca="false">IF(CG$15=1,INDEX(Vol_O,7,CG$14)/12*(1+P_dVol),0)</f>
        <v>0</v>
      </c>
      <c r="CH27" s="48" t="n">
        <f aca="false">IF(CH$15=1,INDEX(Vol_O,7,CH$14)/12*(1+P_dVol),0)</f>
        <v>0</v>
      </c>
      <c r="CI27" s="48" t="n">
        <f aca="false">IF(CI$15=1,INDEX(Vol_O,7,CI$14)/12*(1+P_dVol),0)</f>
        <v>0</v>
      </c>
      <c r="CJ27" s="48" t="n">
        <f aca="false">IF(CJ$15=1,INDEX(Vol_O,7,CJ$14)/12*(1+P_dVol),0)</f>
        <v>0</v>
      </c>
      <c r="CK27" s="48" t="n">
        <f aca="false">IF(CK$15=1,INDEX(Vol_O,7,CK$14)/12*(1+P_dVol),0)</f>
        <v>0</v>
      </c>
      <c r="CL27" s="48" t="n">
        <f aca="false">IF(CL$15=1,INDEX(Vol_O,7,CL$14)/12*(1+P_dVol),0)</f>
        <v>0</v>
      </c>
      <c r="CM27" s="48" t="n">
        <f aca="false">IF(CM$15=1,INDEX(Vol_O,7,CM$14)/12*(1+P_dVol),0)</f>
        <v>0</v>
      </c>
      <c r="CN27" s="48" t="n">
        <f aca="false">IF(CN$15=1,INDEX(Vol_O,7,CN$14)/12*(1+P_dVol),0)</f>
        <v>0</v>
      </c>
      <c r="CO27" s="48" t="n">
        <f aca="false">IF(CO$15=1,INDEX(Vol_O,7,CO$14)/12*(1+P_dVol),0)</f>
        <v>0</v>
      </c>
      <c r="CP27" s="48" t="n">
        <f aca="false">IF(CP$15=1,INDEX(Vol_O,7,CP$14)/12*(1+P_dVol),0)</f>
        <v>0</v>
      </c>
      <c r="CQ27" s="48" t="n">
        <f aca="false">IF(CQ$15=1,INDEX(Vol_O,7,CQ$14)/12*(1+P_dVol),0)</f>
        <v>0</v>
      </c>
      <c r="CR27" s="48" t="n">
        <f aca="false">IF(CR$15=1,INDEX(Vol_O,7,CR$14)/12*(1+P_dVol),0)</f>
        <v>0</v>
      </c>
      <c r="CS27" s="48" t="n">
        <f aca="false">IF(CS$15=1,INDEX(Vol_O,7,CS$14)/12*(1+P_dVol),0)</f>
        <v>0</v>
      </c>
      <c r="CT27" s="48" t="n">
        <f aca="false">IF(CT$15=1,INDEX(Vol_O,7,CT$14)/12*(1+P_dVol),0)</f>
        <v>0</v>
      </c>
      <c r="CU27" s="48" t="n">
        <f aca="false">IF(CU$15=1,INDEX(Vol_O,7,CU$14)/12*(1+P_dVol),0)</f>
        <v>0</v>
      </c>
      <c r="CV27" s="48" t="n">
        <f aca="false">IF(CV$15=1,INDEX(Vol_O,7,CV$14)/12*(1+P_dVol),0)</f>
        <v>0</v>
      </c>
      <c r="CW27" s="48" t="n">
        <f aca="false">IF(CW$15=1,INDEX(Vol_O,7,CW$14)/12*(1+P_dVol),0)</f>
        <v>0</v>
      </c>
      <c r="CX27" s="48" t="n">
        <f aca="false">IF(CX$15=1,INDEX(Vol_O,7,CX$14)/12*(1+P_dVol),0)</f>
        <v>0</v>
      </c>
      <c r="CY27" s="48" t="n">
        <f aca="false">IF(CY$15=1,INDEX(Vol_O,7,CY$14)/12*(1+P_dVol),0)</f>
        <v>0</v>
      </c>
      <c r="CZ27" s="48" t="n">
        <f aca="false">IF(CZ$15=1,INDEX(Vol_O,7,CZ$14)/12*(1+P_dVol),0)</f>
        <v>0</v>
      </c>
      <c r="DA27" s="48" t="n">
        <f aca="false">IF(DA$15=1,INDEX(Vol_O,7,DA$14)/12*(1+P_dVol),0)</f>
        <v>0</v>
      </c>
      <c r="DB27" s="48" t="n">
        <f aca="false">IF(DB$15=1,INDEX(Vol_O,7,DB$14)/12*(1+P_dVol),0)</f>
        <v>0</v>
      </c>
      <c r="DC27" s="48" t="n">
        <f aca="false">IF(DC$15=1,INDEX(Vol_O,7,DC$14)/12*(1+P_dVol),0)</f>
        <v>0</v>
      </c>
      <c r="DD27" s="48" t="n">
        <f aca="false">IF(DD$15=1,INDEX(Vol_O,7,DD$14)/12*(1+P_dVol),0)</f>
        <v>0</v>
      </c>
      <c r="DE27" s="48" t="n">
        <f aca="false">IF(DE$15=1,INDEX(Vol_O,7,DE$14)/12*(1+P_dVol),0)</f>
        <v>0</v>
      </c>
      <c r="DF27" s="48" t="n">
        <f aca="false">IF(DF$15=1,INDEX(Vol_O,7,DF$14)/12*(1+P_dVol),0)</f>
        <v>0</v>
      </c>
      <c r="DG27" s="48" t="n">
        <f aca="false">IF(DG$15=1,INDEX(Vol_O,7,DG$14)/12*(1+P_dVol),0)</f>
        <v>0</v>
      </c>
      <c r="DH27" s="48" t="n">
        <f aca="false">IF(DH$15=1,INDEX(Vol_O,7,DH$14)/12*(1+P_dVol),0)</f>
        <v>0</v>
      </c>
      <c r="DI27" s="48" t="n">
        <f aca="false">IF(DI$15=1,INDEX(Vol_O,7,DI$14)/12*(1+P_dVol),0)</f>
        <v>0</v>
      </c>
      <c r="DJ27" s="48" t="n">
        <f aca="false">IF(DJ$15=1,INDEX(Vol_O,7,DJ$14)/12*(1+P_dVol),0)</f>
        <v>0</v>
      </c>
      <c r="DK27" s="48" t="n">
        <f aca="false">IF(DK$15=1,INDEX(Vol_O,7,DK$14)/12*(1+P_dVol),0)</f>
        <v>0</v>
      </c>
      <c r="DL27" s="48" t="n">
        <f aca="false">IF(DL$15=1,INDEX(Vol_O,7,DL$14)/12*(1+P_dVol),0)</f>
        <v>0</v>
      </c>
      <c r="DM27" s="48" t="n">
        <f aca="false">IF(DM$15=1,INDEX(Vol_O,7,DM$14)/12*(1+P_dVol),0)</f>
        <v>0</v>
      </c>
      <c r="DN27" s="48" t="n">
        <f aca="false">IF(DN$15=1,INDEX(Vol_O,7,DN$14)/12*(1+P_dVol),0)</f>
        <v>0</v>
      </c>
      <c r="DO27" s="48" t="n">
        <f aca="false">IF(DO$15=1,INDEX(Vol_O,7,DO$14)/12*(1+P_dVol),0)</f>
        <v>0</v>
      </c>
      <c r="DP27" s="48" t="n">
        <f aca="false">IF(DP$15=1,INDEX(Vol_O,7,DP$14)/12*(1+P_dVol),0)</f>
        <v>0</v>
      </c>
      <c r="DQ27" s="48" t="n">
        <f aca="false">IF(DQ$15=1,INDEX(Vol_O,7,DQ$14)/12*(1+P_dVol),0)</f>
        <v>0</v>
      </c>
      <c r="DR27" s="48" t="n">
        <f aca="false">IF(DR$15=1,INDEX(Vol_O,7,DR$14)/12*(1+P_dVol),0)</f>
        <v>0</v>
      </c>
      <c r="DS27" s="48" t="n">
        <f aca="false">IF(DS$15=1,INDEX(Vol_O,7,DS$14)/12*(1+P_dVol),0)</f>
        <v>0</v>
      </c>
      <c r="DT27" s="48" t="n">
        <f aca="false">IF(DT$15=1,INDEX(Vol_O,7,DT$14)/12*(1+P_dVol),0)</f>
        <v>0</v>
      </c>
      <c r="DU27" s="48" t="n">
        <f aca="false">IF(DU$15=1,INDEX(Vol_O,7,DU$14)/12*(1+P_dVol),0)</f>
        <v>0</v>
      </c>
      <c r="DV27" s="48" t="n">
        <f aca="false">IF(DV$15=1,INDEX(Vol_O,7,DV$14)/12*(1+P_dVol),0)</f>
        <v>0</v>
      </c>
      <c r="DW27" s="48" t="n">
        <f aca="false">IF(DW$15=1,INDEX(Vol_O,7,DW$14)/12*(1+P_dVol),0)</f>
        <v>0</v>
      </c>
      <c r="DX27" s="48" t="n">
        <f aca="false">IF(DX$15=1,INDEX(Vol_O,7,DX$14)/12*(1+P_dVol),0)</f>
        <v>0</v>
      </c>
      <c r="DY27" s="48" t="n">
        <f aca="false">IF(DY$15=1,INDEX(Vol_O,7,DY$14)/12*(1+P_dVol),0)</f>
        <v>0</v>
      </c>
      <c r="DZ27" s="48" t="n">
        <f aca="false">IF(DZ$15=1,INDEX(Vol_O,7,DZ$14)/12*(1+P_dVol),0)</f>
        <v>0</v>
      </c>
      <c r="EA27" s="48" t="n">
        <f aca="false">IF(EA$15=1,INDEX(Vol_O,7,EA$14)/12*(1+P_dVol),0)</f>
        <v>0</v>
      </c>
      <c r="EB27" s="48" t="n">
        <f aca="false">IF(EB$15=1,INDEX(Vol_O,7,EB$14)/12*(1+P_dVol),0)</f>
        <v>0</v>
      </c>
      <c r="EC27" s="48" t="n">
        <f aca="false">IF(EC$15=1,INDEX(Vol_O,7,EC$14)/12*(1+P_dVol),0)</f>
        <v>0</v>
      </c>
      <c r="ED27" s="48" t="n">
        <f aca="false">IF(ED$15=1,INDEX(Vol_O,7,ED$14)/12*(1+P_dVol),0)</f>
        <v>0</v>
      </c>
      <c r="EE27" s="48" t="n">
        <f aca="false">IF(EE$15=1,INDEX(Vol_O,7,EE$14)/12*(1+P_dVol),0)</f>
        <v>0</v>
      </c>
      <c r="EF27" s="48" t="n">
        <f aca="false">IF(EF$15=1,INDEX(Vol_O,7,EF$14)/12*(1+P_dVol),0)</f>
        <v>0</v>
      </c>
      <c r="EG27" s="48" t="n">
        <f aca="false">IF(EG$15=1,INDEX(Vol_O,7,EG$14)/12*(1+P_dVol),0)</f>
        <v>0</v>
      </c>
      <c r="EH27" s="48" t="n">
        <f aca="false">IF(EH$15=1,INDEX(Vol_O,7,EH$14)/12*(1+P_dVol),0)</f>
        <v>0</v>
      </c>
      <c r="EI27" s="48" t="n">
        <f aca="false">IF(EI$15=1,INDEX(Vol_O,7,EI$14)/12*(1+P_dVol),0)</f>
        <v>0</v>
      </c>
      <c r="EJ27" s="48" t="n">
        <f aca="false">IF(EJ$15=1,INDEX(Vol_O,7,EJ$14)/12*(1+P_dVol),0)</f>
        <v>0</v>
      </c>
      <c r="EK27" s="48" t="n">
        <f aca="false">IF(EK$15=1,INDEX(Vol_O,7,EK$14)/12*(1+P_dVol),0)</f>
        <v>0</v>
      </c>
      <c r="EL27" s="48" t="n">
        <f aca="false">IF(EL$15=1,INDEX(Vol_O,7,EL$14)/12*(1+P_dVol),0)</f>
        <v>0</v>
      </c>
      <c r="EM27" s="48" t="n">
        <f aca="false">IF(EM$15=1,INDEX(Vol_O,7,EM$14)/12*(1+P_dVol),0)</f>
        <v>0</v>
      </c>
      <c r="EN27" s="48" t="n">
        <f aca="false">IF(EN$15=1,INDEX(Vol_O,7,EN$14)/12*(1+P_dVol),0)</f>
        <v>0</v>
      </c>
      <c r="EO27" s="48" t="n">
        <f aca="false">IF(EO$15=1,INDEX(Vol_O,7,EO$14)/12*(1+P_dVol),0)</f>
        <v>0</v>
      </c>
      <c r="EP27" s="48" t="n">
        <f aca="false">IF(EP$15=1,INDEX(Vol_O,7,EP$14)/12*(1+P_dVol),0)</f>
        <v>0</v>
      </c>
      <c r="EQ27" s="48" t="n">
        <f aca="false">IF(EQ$15=1,INDEX(Vol_O,7,EQ$14)/12*(1+P_dVol),0)</f>
        <v>0</v>
      </c>
      <c r="ER27" s="48" t="n">
        <f aca="false">IF(ER$15=1,INDEX(Vol_O,7,ER$14)/12*(1+P_dVol),0)</f>
        <v>0</v>
      </c>
      <c r="ES27" s="48" t="n">
        <f aca="false">IF(ES$15=1,INDEX(Vol_O,7,ES$14)/12*(1+P_dVol),0)</f>
        <v>0</v>
      </c>
    </row>
    <row r="28" customFormat="false" ht="15" hidden="false" customHeight="false" outlineLevel="0" collapsed="false">
      <c r="A28" s="11" t="s">
        <v>1073</v>
      </c>
      <c r="B28" s="53" t="str">
        <f aca="false">IF(INDEX(Prod_Nombre,8)="","Producto 8",INDEX(Prod_Nombre,8))&amp;" — unidades"</f>
        <v>Producto 8 — unidades</v>
      </c>
      <c r="C28" s="15" t="s">
        <v>544</v>
      </c>
      <c r="E28" s="54" t="n">
        <f aca="false">SUM(F28:ES28)</f>
        <v>0</v>
      </c>
      <c r="F28" s="48" t="n">
        <f aca="false">IF(F$15=1,INDEX(Vol_O,8,F$14)/12*(1+P_dVol),0)</f>
        <v>0</v>
      </c>
      <c r="G28" s="48" t="n">
        <f aca="false">IF(G$15=1,INDEX(Vol_O,8,G$14)/12*(1+P_dVol),0)</f>
        <v>0</v>
      </c>
      <c r="H28" s="48" t="n">
        <f aca="false">IF(H$15=1,INDEX(Vol_O,8,H$14)/12*(1+P_dVol),0)</f>
        <v>0</v>
      </c>
      <c r="I28" s="48" t="n">
        <f aca="false">IF(I$15=1,INDEX(Vol_O,8,I$14)/12*(1+P_dVol),0)</f>
        <v>0</v>
      </c>
      <c r="J28" s="48" t="n">
        <f aca="false">IF(J$15=1,INDEX(Vol_O,8,J$14)/12*(1+P_dVol),0)</f>
        <v>0</v>
      </c>
      <c r="K28" s="48" t="n">
        <f aca="false">IF(K$15=1,INDEX(Vol_O,8,K$14)/12*(1+P_dVol),0)</f>
        <v>0</v>
      </c>
      <c r="L28" s="48" t="n">
        <f aca="false">IF(L$15=1,INDEX(Vol_O,8,L$14)/12*(1+P_dVol),0)</f>
        <v>0</v>
      </c>
      <c r="M28" s="48" t="n">
        <f aca="false">IF(M$15=1,INDEX(Vol_O,8,M$14)/12*(1+P_dVol),0)</f>
        <v>0</v>
      </c>
      <c r="N28" s="48" t="n">
        <f aca="false">IF(N$15=1,INDEX(Vol_O,8,N$14)/12*(1+P_dVol),0)</f>
        <v>0</v>
      </c>
      <c r="O28" s="48" t="n">
        <f aca="false">IF(O$15=1,INDEX(Vol_O,8,O$14)/12*(1+P_dVol),0)</f>
        <v>0</v>
      </c>
      <c r="P28" s="48" t="n">
        <f aca="false">IF(P$15=1,INDEX(Vol_O,8,P$14)/12*(1+P_dVol),0)</f>
        <v>0</v>
      </c>
      <c r="Q28" s="48" t="n">
        <f aca="false">IF(Q$15=1,INDEX(Vol_O,8,Q$14)/12*(1+P_dVol),0)</f>
        <v>0</v>
      </c>
      <c r="R28" s="48" t="n">
        <f aca="false">IF(R$15=1,INDEX(Vol_O,8,R$14)/12*(1+P_dVol),0)</f>
        <v>0</v>
      </c>
      <c r="S28" s="48" t="n">
        <f aca="false">IF(S$15=1,INDEX(Vol_O,8,S$14)/12*(1+P_dVol),0)</f>
        <v>0</v>
      </c>
      <c r="T28" s="48" t="n">
        <f aca="false">IF(T$15=1,INDEX(Vol_O,8,T$14)/12*(1+P_dVol),0)</f>
        <v>0</v>
      </c>
      <c r="U28" s="48" t="n">
        <f aca="false">IF(U$15=1,INDEX(Vol_O,8,U$14)/12*(1+P_dVol),0)</f>
        <v>0</v>
      </c>
      <c r="V28" s="48" t="n">
        <f aca="false">IF(V$15=1,INDEX(Vol_O,8,V$14)/12*(1+P_dVol),0)</f>
        <v>0</v>
      </c>
      <c r="W28" s="48" t="n">
        <f aca="false">IF(W$15=1,INDEX(Vol_O,8,W$14)/12*(1+P_dVol),0)</f>
        <v>0</v>
      </c>
      <c r="X28" s="48" t="n">
        <f aca="false">IF(X$15=1,INDEX(Vol_O,8,X$14)/12*(1+P_dVol),0)</f>
        <v>0</v>
      </c>
      <c r="Y28" s="48" t="n">
        <f aca="false">IF(Y$15=1,INDEX(Vol_O,8,Y$14)/12*(1+P_dVol),0)</f>
        <v>0</v>
      </c>
      <c r="Z28" s="48" t="n">
        <f aca="false">IF(Z$15=1,INDEX(Vol_O,8,Z$14)/12*(1+P_dVol),0)</f>
        <v>0</v>
      </c>
      <c r="AA28" s="48" t="n">
        <f aca="false">IF(AA$15=1,INDEX(Vol_O,8,AA$14)/12*(1+P_dVol),0)</f>
        <v>0</v>
      </c>
      <c r="AB28" s="48" t="n">
        <f aca="false">IF(AB$15=1,INDEX(Vol_O,8,AB$14)/12*(1+P_dVol),0)</f>
        <v>0</v>
      </c>
      <c r="AC28" s="48" t="n">
        <f aca="false">IF(AC$15=1,INDEX(Vol_O,8,AC$14)/12*(1+P_dVol),0)</f>
        <v>0</v>
      </c>
      <c r="AD28" s="48" t="n">
        <f aca="false">IF(AD$15=1,INDEX(Vol_O,8,AD$14)/12*(1+P_dVol),0)</f>
        <v>0</v>
      </c>
      <c r="AE28" s="48" t="n">
        <f aca="false">IF(AE$15=1,INDEX(Vol_O,8,AE$14)/12*(1+P_dVol),0)</f>
        <v>0</v>
      </c>
      <c r="AF28" s="48" t="n">
        <f aca="false">IF(AF$15=1,INDEX(Vol_O,8,AF$14)/12*(1+P_dVol),0)</f>
        <v>0</v>
      </c>
      <c r="AG28" s="48" t="n">
        <f aca="false">IF(AG$15=1,INDEX(Vol_O,8,AG$14)/12*(1+P_dVol),0)</f>
        <v>0</v>
      </c>
      <c r="AH28" s="48" t="n">
        <f aca="false">IF(AH$15=1,INDEX(Vol_O,8,AH$14)/12*(1+P_dVol),0)</f>
        <v>0</v>
      </c>
      <c r="AI28" s="48" t="n">
        <f aca="false">IF(AI$15=1,INDEX(Vol_O,8,AI$14)/12*(1+P_dVol),0)</f>
        <v>0</v>
      </c>
      <c r="AJ28" s="48" t="n">
        <f aca="false">IF(AJ$15=1,INDEX(Vol_O,8,AJ$14)/12*(1+P_dVol),0)</f>
        <v>0</v>
      </c>
      <c r="AK28" s="48" t="n">
        <f aca="false">IF(AK$15=1,INDEX(Vol_O,8,AK$14)/12*(1+P_dVol),0)</f>
        <v>0</v>
      </c>
      <c r="AL28" s="48" t="n">
        <f aca="false">IF(AL$15=1,INDEX(Vol_O,8,AL$14)/12*(1+P_dVol),0)</f>
        <v>0</v>
      </c>
      <c r="AM28" s="48" t="n">
        <f aca="false">IF(AM$15=1,INDEX(Vol_O,8,AM$14)/12*(1+P_dVol),0)</f>
        <v>0</v>
      </c>
      <c r="AN28" s="48" t="n">
        <f aca="false">IF(AN$15=1,INDEX(Vol_O,8,AN$14)/12*(1+P_dVol),0)</f>
        <v>0</v>
      </c>
      <c r="AO28" s="48" t="n">
        <f aca="false">IF(AO$15=1,INDEX(Vol_O,8,AO$14)/12*(1+P_dVol),0)</f>
        <v>0</v>
      </c>
      <c r="AP28" s="48" t="n">
        <f aca="false">IF(AP$15=1,INDEX(Vol_O,8,AP$14)/12*(1+P_dVol),0)</f>
        <v>0</v>
      </c>
      <c r="AQ28" s="48" t="n">
        <f aca="false">IF(AQ$15=1,INDEX(Vol_O,8,AQ$14)/12*(1+P_dVol),0)</f>
        <v>0</v>
      </c>
      <c r="AR28" s="48" t="n">
        <f aca="false">IF(AR$15=1,INDEX(Vol_O,8,AR$14)/12*(1+P_dVol),0)</f>
        <v>0</v>
      </c>
      <c r="AS28" s="48" t="n">
        <f aca="false">IF(AS$15=1,INDEX(Vol_O,8,AS$14)/12*(1+P_dVol),0)</f>
        <v>0</v>
      </c>
      <c r="AT28" s="48" t="n">
        <f aca="false">IF(AT$15=1,INDEX(Vol_O,8,AT$14)/12*(1+P_dVol),0)</f>
        <v>0</v>
      </c>
      <c r="AU28" s="48" t="n">
        <f aca="false">IF(AU$15=1,INDEX(Vol_O,8,AU$14)/12*(1+P_dVol),0)</f>
        <v>0</v>
      </c>
      <c r="AV28" s="48" t="n">
        <f aca="false">IF(AV$15=1,INDEX(Vol_O,8,AV$14)/12*(1+P_dVol),0)</f>
        <v>0</v>
      </c>
      <c r="AW28" s="48" t="n">
        <f aca="false">IF(AW$15=1,INDEX(Vol_O,8,AW$14)/12*(1+P_dVol),0)</f>
        <v>0</v>
      </c>
      <c r="AX28" s="48" t="n">
        <f aca="false">IF(AX$15=1,INDEX(Vol_O,8,AX$14)/12*(1+P_dVol),0)</f>
        <v>0</v>
      </c>
      <c r="AY28" s="48" t="n">
        <f aca="false">IF(AY$15=1,INDEX(Vol_O,8,AY$14)/12*(1+P_dVol),0)</f>
        <v>0</v>
      </c>
      <c r="AZ28" s="48" t="n">
        <f aca="false">IF(AZ$15=1,INDEX(Vol_O,8,AZ$14)/12*(1+P_dVol),0)</f>
        <v>0</v>
      </c>
      <c r="BA28" s="48" t="n">
        <f aca="false">IF(BA$15=1,INDEX(Vol_O,8,BA$14)/12*(1+P_dVol),0)</f>
        <v>0</v>
      </c>
      <c r="BB28" s="48" t="n">
        <f aca="false">IF(BB$15=1,INDEX(Vol_O,8,BB$14)/12*(1+P_dVol),0)</f>
        <v>0</v>
      </c>
      <c r="BC28" s="48" t="n">
        <f aca="false">IF(BC$15=1,INDEX(Vol_O,8,BC$14)/12*(1+P_dVol),0)</f>
        <v>0</v>
      </c>
      <c r="BD28" s="48" t="n">
        <f aca="false">IF(BD$15=1,INDEX(Vol_O,8,BD$14)/12*(1+P_dVol),0)</f>
        <v>0</v>
      </c>
      <c r="BE28" s="48" t="n">
        <f aca="false">IF(BE$15=1,INDEX(Vol_O,8,BE$14)/12*(1+P_dVol),0)</f>
        <v>0</v>
      </c>
      <c r="BF28" s="48" t="n">
        <f aca="false">IF(BF$15=1,INDEX(Vol_O,8,BF$14)/12*(1+P_dVol),0)</f>
        <v>0</v>
      </c>
      <c r="BG28" s="48" t="n">
        <f aca="false">IF(BG$15=1,INDEX(Vol_O,8,BG$14)/12*(1+P_dVol),0)</f>
        <v>0</v>
      </c>
      <c r="BH28" s="48" t="n">
        <f aca="false">IF(BH$15=1,INDEX(Vol_O,8,BH$14)/12*(1+P_dVol),0)</f>
        <v>0</v>
      </c>
      <c r="BI28" s="48" t="n">
        <f aca="false">IF(BI$15=1,INDEX(Vol_O,8,BI$14)/12*(1+P_dVol),0)</f>
        <v>0</v>
      </c>
      <c r="BJ28" s="48" t="n">
        <f aca="false">IF(BJ$15=1,INDEX(Vol_O,8,BJ$14)/12*(1+P_dVol),0)</f>
        <v>0</v>
      </c>
      <c r="BK28" s="48" t="n">
        <f aca="false">IF(BK$15=1,INDEX(Vol_O,8,BK$14)/12*(1+P_dVol),0)</f>
        <v>0</v>
      </c>
      <c r="BL28" s="48" t="n">
        <f aca="false">IF(BL$15=1,INDEX(Vol_O,8,BL$14)/12*(1+P_dVol),0)</f>
        <v>0</v>
      </c>
      <c r="BM28" s="48" t="n">
        <f aca="false">IF(BM$15=1,INDEX(Vol_O,8,BM$14)/12*(1+P_dVol),0)</f>
        <v>0</v>
      </c>
      <c r="BN28" s="48" t="n">
        <f aca="false">IF(BN$15=1,INDEX(Vol_O,8,BN$14)/12*(1+P_dVol),0)</f>
        <v>0</v>
      </c>
      <c r="BO28" s="48" t="n">
        <f aca="false">IF(BO$15=1,INDEX(Vol_O,8,BO$14)/12*(1+P_dVol),0)</f>
        <v>0</v>
      </c>
      <c r="BP28" s="48" t="n">
        <f aca="false">IF(BP$15=1,INDEX(Vol_O,8,BP$14)/12*(1+P_dVol),0)</f>
        <v>0</v>
      </c>
      <c r="BQ28" s="48" t="n">
        <f aca="false">IF(BQ$15=1,INDEX(Vol_O,8,BQ$14)/12*(1+P_dVol),0)</f>
        <v>0</v>
      </c>
      <c r="BR28" s="48" t="n">
        <f aca="false">IF(BR$15=1,INDEX(Vol_O,8,BR$14)/12*(1+P_dVol),0)</f>
        <v>0</v>
      </c>
      <c r="BS28" s="48" t="n">
        <f aca="false">IF(BS$15=1,INDEX(Vol_O,8,BS$14)/12*(1+P_dVol),0)</f>
        <v>0</v>
      </c>
      <c r="BT28" s="48" t="n">
        <f aca="false">IF(BT$15=1,INDEX(Vol_O,8,BT$14)/12*(1+P_dVol),0)</f>
        <v>0</v>
      </c>
      <c r="BU28" s="48" t="n">
        <f aca="false">IF(BU$15=1,INDEX(Vol_O,8,BU$14)/12*(1+P_dVol),0)</f>
        <v>0</v>
      </c>
      <c r="BV28" s="48" t="n">
        <f aca="false">IF(BV$15=1,INDEX(Vol_O,8,BV$14)/12*(1+P_dVol),0)</f>
        <v>0</v>
      </c>
      <c r="BW28" s="48" t="n">
        <f aca="false">IF(BW$15=1,INDEX(Vol_O,8,BW$14)/12*(1+P_dVol),0)</f>
        <v>0</v>
      </c>
      <c r="BX28" s="48" t="n">
        <f aca="false">IF(BX$15=1,INDEX(Vol_O,8,BX$14)/12*(1+P_dVol),0)</f>
        <v>0</v>
      </c>
      <c r="BY28" s="48" t="n">
        <f aca="false">IF(BY$15=1,INDEX(Vol_O,8,BY$14)/12*(1+P_dVol),0)</f>
        <v>0</v>
      </c>
      <c r="BZ28" s="48" t="n">
        <f aca="false">IF(BZ$15=1,INDEX(Vol_O,8,BZ$14)/12*(1+P_dVol),0)</f>
        <v>0</v>
      </c>
      <c r="CA28" s="48" t="n">
        <f aca="false">IF(CA$15=1,INDEX(Vol_O,8,CA$14)/12*(1+P_dVol),0)</f>
        <v>0</v>
      </c>
      <c r="CB28" s="48" t="n">
        <f aca="false">IF(CB$15=1,INDEX(Vol_O,8,CB$14)/12*(1+P_dVol),0)</f>
        <v>0</v>
      </c>
      <c r="CC28" s="48" t="n">
        <f aca="false">IF(CC$15=1,INDEX(Vol_O,8,CC$14)/12*(1+P_dVol),0)</f>
        <v>0</v>
      </c>
      <c r="CD28" s="48" t="n">
        <f aca="false">IF(CD$15=1,INDEX(Vol_O,8,CD$14)/12*(1+P_dVol),0)</f>
        <v>0</v>
      </c>
      <c r="CE28" s="48" t="n">
        <f aca="false">IF(CE$15=1,INDEX(Vol_O,8,CE$14)/12*(1+P_dVol),0)</f>
        <v>0</v>
      </c>
      <c r="CF28" s="48" t="n">
        <f aca="false">IF(CF$15=1,INDEX(Vol_O,8,CF$14)/12*(1+P_dVol),0)</f>
        <v>0</v>
      </c>
      <c r="CG28" s="48" t="n">
        <f aca="false">IF(CG$15=1,INDEX(Vol_O,8,CG$14)/12*(1+P_dVol),0)</f>
        <v>0</v>
      </c>
      <c r="CH28" s="48" t="n">
        <f aca="false">IF(CH$15=1,INDEX(Vol_O,8,CH$14)/12*(1+P_dVol),0)</f>
        <v>0</v>
      </c>
      <c r="CI28" s="48" t="n">
        <f aca="false">IF(CI$15=1,INDEX(Vol_O,8,CI$14)/12*(1+P_dVol),0)</f>
        <v>0</v>
      </c>
      <c r="CJ28" s="48" t="n">
        <f aca="false">IF(CJ$15=1,INDEX(Vol_O,8,CJ$14)/12*(1+P_dVol),0)</f>
        <v>0</v>
      </c>
      <c r="CK28" s="48" t="n">
        <f aca="false">IF(CK$15=1,INDEX(Vol_O,8,CK$14)/12*(1+P_dVol),0)</f>
        <v>0</v>
      </c>
      <c r="CL28" s="48" t="n">
        <f aca="false">IF(CL$15=1,INDEX(Vol_O,8,CL$14)/12*(1+P_dVol),0)</f>
        <v>0</v>
      </c>
      <c r="CM28" s="48" t="n">
        <f aca="false">IF(CM$15=1,INDEX(Vol_O,8,CM$14)/12*(1+P_dVol),0)</f>
        <v>0</v>
      </c>
      <c r="CN28" s="48" t="n">
        <f aca="false">IF(CN$15=1,INDEX(Vol_O,8,CN$14)/12*(1+P_dVol),0)</f>
        <v>0</v>
      </c>
      <c r="CO28" s="48" t="n">
        <f aca="false">IF(CO$15=1,INDEX(Vol_O,8,CO$14)/12*(1+P_dVol),0)</f>
        <v>0</v>
      </c>
      <c r="CP28" s="48" t="n">
        <f aca="false">IF(CP$15=1,INDEX(Vol_O,8,CP$14)/12*(1+P_dVol),0)</f>
        <v>0</v>
      </c>
      <c r="CQ28" s="48" t="n">
        <f aca="false">IF(CQ$15=1,INDEX(Vol_O,8,CQ$14)/12*(1+P_dVol),0)</f>
        <v>0</v>
      </c>
      <c r="CR28" s="48" t="n">
        <f aca="false">IF(CR$15=1,INDEX(Vol_O,8,CR$14)/12*(1+P_dVol),0)</f>
        <v>0</v>
      </c>
      <c r="CS28" s="48" t="n">
        <f aca="false">IF(CS$15=1,INDEX(Vol_O,8,CS$14)/12*(1+P_dVol),0)</f>
        <v>0</v>
      </c>
      <c r="CT28" s="48" t="n">
        <f aca="false">IF(CT$15=1,INDEX(Vol_O,8,CT$14)/12*(1+P_dVol),0)</f>
        <v>0</v>
      </c>
      <c r="CU28" s="48" t="n">
        <f aca="false">IF(CU$15=1,INDEX(Vol_O,8,CU$14)/12*(1+P_dVol),0)</f>
        <v>0</v>
      </c>
      <c r="CV28" s="48" t="n">
        <f aca="false">IF(CV$15=1,INDEX(Vol_O,8,CV$14)/12*(1+P_dVol),0)</f>
        <v>0</v>
      </c>
      <c r="CW28" s="48" t="n">
        <f aca="false">IF(CW$15=1,INDEX(Vol_O,8,CW$14)/12*(1+P_dVol),0)</f>
        <v>0</v>
      </c>
      <c r="CX28" s="48" t="n">
        <f aca="false">IF(CX$15=1,INDEX(Vol_O,8,CX$14)/12*(1+P_dVol),0)</f>
        <v>0</v>
      </c>
      <c r="CY28" s="48" t="n">
        <f aca="false">IF(CY$15=1,INDEX(Vol_O,8,CY$14)/12*(1+P_dVol),0)</f>
        <v>0</v>
      </c>
      <c r="CZ28" s="48" t="n">
        <f aca="false">IF(CZ$15=1,INDEX(Vol_O,8,CZ$14)/12*(1+P_dVol),0)</f>
        <v>0</v>
      </c>
      <c r="DA28" s="48" t="n">
        <f aca="false">IF(DA$15=1,INDEX(Vol_O,8,DA$14)/12*(1+P_dVol),0)</f>
        <v>0</v>
      </c>
      <c r="DB28" s="48" t="n">
        <f aca="false">IF(DB$15=1,INDEX(Vol_O,8,DB$14)/12*(1+P_dVol),0)</f>
        <v>0</v>
      </c>
      <c r="DC28" s="48" t="n">
        <f aca="false">IF(DC$15=1,INDEX(Vol_O,8,DC$14)/12*(1+P_dVol),0)</f>
        <v>0</v>
      </c>
      <c r="DD28" s="48" t="n">
        <f aca="false">IF(DD$15=1,INDEX(Vol_O,8,DD$14)/12*(1+P_dVol),0)</f>
        <v>0</v>
      </c>
      <c r="DE28" s="48" t="n">
        <f aca="false">IF(DE$15=1,INDEX(Vol_O,8,DE$14)/12*(1+P_dVol),0)</f>
        <v>0</v>
      </c>
      <c r="DF28" s="48" t="n">
        <f aca="false">IF(DF$15=1,INDEX(Vol_O,8,DF$14)/12*(1+P_dVol),0)</f>
        <v>0</v>
      </c>
      <c r="DG28" s="48" t="n">
        <f aca="false">IF(DG$15=1,INDEX(Vol_O,8,DG$14)/12*(1+P_dVol),0)</f>
        <v>0</v>
      </c>
      <c r="DH28" s="48" t="n">
        <f aca="false">IF(DH$15=1,INDEX(Vol_O,8,DH$14)/12*(1+P_dVol),0)</f>
        <v>0</v>
      </c>
      <c r="DI28" s="48" t="n">
        <f aca="false">IF(DI$15=1,INDEX(Vol_O,8,DI$14)/12*(1+P_dVol),0)</f>
        <v>0</v>
      </c>
      <c r="DJ28" s="48" t="n">
        <f aca="false">IF(DJ$15=1,INDEX(Vol_O,8,DJ$14)/12*(1+P_dVol),0)</f>
        <v>0</v>
      </c>
      <c r="DK28" s="48" t="n">
        <f aca="false">IF(DK$15=1,INDEX(Vol_O,8,DK$14)/12*(1+P_dVol),0)</f>
        <v>0</v>
      </c>
      <c r="DL28" s="48" t="n">
        <f aca="false">IF(DL$15=1,INDEX(Vol_O,8,DL$14)/12*(1+P_dVol),0)</f>
        <v>0</v>
      </c>
      <c r="DM28" s="48" t="n">
        <f aca="false">IF(DM$15=1,INDEX(Vol_O,8,DM$14)/12*(1+P_dVol),0)</f>
        <v>0</v>
      </c>
      <c r="DN28" s="48" t="n">
        <f aca="false">IF(DN$15=1,INDEX(Vol_O,8,DN$14)/12*(1+P_dVol),0)</f>
        <v>0</v>
      </c>
      <c r="DO28" s="48" t="n">
        <f aca="false">IF(DO$15=1,INDEX(Vol_O,8,DO$14)/12*(1+P_dVol),0)</f>
        <v>0</v>
      </c>
      <c r="DP28" s="48" t="n">
        <f aca="false">IF(DP$15=1,INDEX(Vol_O,8,DP$14)/12*(1+P_dVol),0)</f>
        <v>0</v>
      </c>
      <c r="DQ28" s="48" t="n">
        <f aca="false">IF(DQ$15=1,INDEX(Vol_O,8,DQ$14)/12*(1+P_dVol),0)</f>
        <v>0</v>
      </c>
      <c r="DR28" s="48" t="n">
        <f aca="false">IF(DR$15=1,INDEX(Vol_O,8,DR$14)/12*(1+P_dVol),0)</f>
        <v>0</v>
      </c>
      <c r="DS28" s="48" t="n">
        <f aca="false">IF(DS$15=1,INDEX(Vol_O,8,DS$14)/12*(1+P_dVol),0)</f>
        <v>0</v>
      </c>
      <c r="DT28" s="48" t="n">
        <f aca="false">IF(DT$15=1,INDEX(Vol_O,8,DT$14)/12*(1+P_dVol),0)</f>
        <v>0</v>
      </c>
      <c r="DU28" s="48" t="n">
        <f aca="false">IF(DU$15=1,INDEX(Vol_O,8,DU$14)/12*(1+P_dVol),0)</f>
        <v>0</v>
      </c>
      <c r="DV28" s="48" t="n">
        <f aca="false">IF(DV$15=1,INDEX(Vol_O,8,DV$14)/12*(1+P_dVol),0)</f>
        <v>0</v>
      </c>
      <c r="DW28" s="48" t="n">
        <f aca="false">IF(DW$15=1,INDEX(Vol_O,8,DW$14)/12*(1+P_dVol),0)</f>
        <v>0</v>
      </c>
      <c r="DX28" s="48" t="n">
        <f aca="false">IF(DX$15=1,INDEX(Vol_O,8,DX$14)/12*(1+P_dVol),0)</f>
        <v>0</v>
      </c>
      <c r="DY28" s="48" t="n">
        <f aca="false">IF(DY$15=1,INDEX(Vol_O,8,DY$14)/12*(1+P_dVol),0)</f>
        <v>0</v>
      </c>
      <c r="DZ28" s="48" t="n">
        <f aca="false">IF(DZ$15=1,INDEX(Vol_O,8,DZ$14)/12*(1+P_dVol),0)</f>
        <v>0</v>
      </c>
      <c r="EA28" s="48" t="n">
        <f aca="false">IF(EA$15=1,INDEX(Vol_O,8,EA$14)/12*(1+P_dVol),0)</f>
        <v>0</v>
      </c>
      <c r="EB28" s="48" t="n">
        <f aca="false">IF(EB$15=1,INDEX(Vol_O,8,EB$14)/12*(1+P_dVol),0)</f>
        <v>0</v>
      </c>
      <c r="EC28" s="48" t="n">
        <f aca="false">IF(EC$15=1,INDEX(Vol_O,8,EC$14)/12*(1+P_dVol),0)</f>
        <v>0</v>
      </c>
      <c r="ED28" s="48" t="n">
        <f aca="false">IF(ED$15=1,INDEX(Vol_O,8,ED$14)/12*(1+P_dVol),0)</f>
        <v>0</v>
      </c>
      <c r="EE28" s="48" t="n">
        <f aca="false">IF(EE$15=1,INDEX(Vol_O,8,EE$14)/12*(1+P_dVol),0)</f>
        <v>0</v>
      </c>
      <c r="EF28" s="48" t="n">
        <f aca="false">IF(EF$15=1,INDEX(Vol_O,8,EF$14)/12*(1+P_dVol),0)</f>
        <v>0</v>
      </c>
      <c r="EG28" s="48" t="n">
        <f aca="false">IF(EG$15=1,INDEX(Vol_O,8,EG$14)/12*(1+P_dVol),0)</f>
        <v>0</v>
      </c>
      <c r="EH28" s="48" t="n">
        <f aca="false">IF(EH$15=1,INDEX(Vol_O,8,EH$14)/12*(1+P_dVol),0)</f>
        <v>0</v>
      </c>
      <c r="EI28" s="48" t="n">
        <f aca="false">IF(EI$15=1,INDEX(Vol_O,8,EI$14)/12*(1+P_dVol),0)</f>
        <v>0</v>
      </c>
      <c r="EJ28" s="48" t="n">
        <f aca="false">IF(EJ$15=1,INDEX(Vol_O,8,EJ$14)/12*(1+P_dVol),0)</f>
        <v>0</v>
      </c>
      <c r="EK28" s="48" t="n">
        <f aca="false">IF(EK$15=1,INDEX(Vol_O,8,EK$14)/12*(1+P_dVol),0)</f>
        <v>0</v>
      </c>
      <c r="EL28" s="48" t="n">
        <f aca="false">IF(EL$15=1,INDEX(Vol_O,8,EL$14)/12*(1+P_dVol),0)</f>
        <v>0</v>
      </c>
      <c r="EM28" s="48" t="n">
        <f aca="false">IF(EM$15=1,INDEX(Vol_O,8,EM$14)/12*(1+P_dVol),0)</f>
        <v>0</v>
      </c>
      <c r="EN28" s="48" t="n">
        <f aca="false">IF(EN$15=1,INDEX(Vol_O,8,EN$14)/12*(1+P_dVol),0)</f>
        <v>0</v>
      </c>
      <c r="EO28" s="48" t="n">
        <f aca="false">IF(EO$15=1,INDEX(Vol_O,8,EO$14)/12*(1+P_dVol),0)</f>
        <v>0</v>
      </c>
      <c r="EP28" s="48" t="n">
        <f aca="false">IF(EP$15=1,INDEX(Vol_O,8,EP$14)/12*(1+P_dVol),0)</f>
        <v>0</v>
      </c>
      <c r="EQ28" s="48" t="n">
        <f aca="false">IF(EQ$15=1,INDEX(Vol_O,8,EQ$14)/12*(1+P_dVol),0)</f>
        <v>0</v>
      </c>
      <c r="ER28" s="48" t="n">
        <f aca="false">IF(ER$15=1,INDEX(Vol_O,8,ER$14)/12*(1+P_dVol),0)</f>
        <v>0</v>
      </c>
      <c r="ES28" s="48" t="n">
        <f aca="false">IF(ES$15=1,INDEX(Vol_O,8,ES$14)/12*(1+P_dVol),0)</f>
        <v>0</v>
      </c>
    </row>
    <row r="29" customFormat="false" ht="15" hidden="false" customHeight="false" outlineLevel="0" collapsed="false">
      <c r="A29" s="11" t="s">
        <v>1074</v>
      </c>
      <c r="B29" s="53" t="str">
        <f aca="false">IF(INDEX(Prod_Nombre,9)="","Producto 9",INDEX(Prod_Nombre,9))&amp;" — unidades"</f>
        <v>Producto 9 — unidades</v>
      </c>
      <c r="C29" s="15" t="s">
        <v>544</v>
      </c>
      <c r="E29" s="54" t="n">
        <f aca="false">SUM(F29:ES29)</f>
        <v>0</v>
      </c>
      <c r="F29" s="48" t="n">
        <f aca="false">IF(F$15=1,INDEX(Vol_O,9,F$14)/12*(1+P_dVol),0)</f>
        <v>0</v>
      </c>
      <c r="G29" s="48" t="n">
        <f aca="false">IF(G$15=1,INDEX(Vol_O,9,G$14)/12*(1+P_dVol),0)</f>
        <v>0</v>
      </c>
      <c r="H29" s="48" t="n">
        <f aca="false">IF(H$15=1,INDEX(Vol_O,9,H$14)/12*(1+P_dVol),0)</f>
        <v>0</v>
      </c>
      <c r="I29" s="48" t="n">
        <f aca="false">IF(I$15=1,INDEX(Vol_O,9,I$14)/12*(1+P_dVol),0)</f>
        <v>0</v>
      </c>
      <c r="J29" s="48" t="n">
        <f aca="false">IF(J$15=1,INDEX(Vol_O,9,J$14)/12*(1+P_dVol),0)</f>
        <v>0</v>
      </c>
      <c r="K29" s="48" t="n">
        <f aca="false">IF(K$15=1,INDEX(Vol_O,9,K$14)/12*(1+P_dVol),0)</f>
        <v>0</v>
      </c>
      <c r="L29" s="48" t="n">
        <f aca="false">IF(L$15=1,INDEX(Vol_O,9,L$14)/12*(1+P_dVol),0)</f>
        <v>0</v>
      </c>
      <c r="M29" s="48" t="n">
        <f aca="false">IF(M$15=1,INDEX(Vol_O,9,M$14)/12*(1+P_dVol),0)</f>
        <v>0</v>
      </c>
      <c r="N29" s="48" t="n">
        <f aca="false">IF(N$15=1,INDEX(Vol_O,9,N$14)/12*(1+P_dVol),0)</f>
        <v>0</v>
      </c>
      <c r="O29" s="48" t="n">
        <f aca="false">IF(O$15=1,INDEX(Vol_O,9,O$14)/12*(1+P_dVol),0)</f>
        <v>0</v>
      </c>
      <c r="P29" s="48" t="n">
        <f aca="false">IF(P$15=1,INDEX(Vol_O,9,P$14)/12*(1+P_dVol),0)</f>
        <v>0</v>
      </c>
      <c r="Q29" s="48" t="n">
        <f aca="false">IF(Q$15=1,INDEX(Vol_O,9,Q$14)/12*(1+P_dVol),0)</f>
        <v>0</v>
      </c>
      <c r="R29" s="48" t="n">
        <f aca="false">IF(R$15=1,INDEX(Vol_O,9,R$14)/12*(1+P_dVol),0)</f>
        <v>0</v>
      </c>
      <c r="S29" s="48" t="n">
        <f aca="false">IF(S$15=1,INDEX(Vol_O,9,S$14)/12*(1+P_dVol),0)</f>
        <v>0</v>
      </c>
      <c r="T29" s="48" t="n">
        <f aca="false">IF(T$15=1,INDEX(Vol_O,9,T$14)/12*(1+P_dVol),0)</f>
        <v>0</v>
      </c>
      <c r="U29" s="48" t="n">
        <f aca="false">IF(U$15=1,INDEX(Vol_O,9,U$14)/12*(1+P_dVol),0)</f>
        <v>0</v>
      </c>
      <c r="V29" s="48" t="n">
        <f aca="false">IF(V$15=1,INDEX(Vol_O,9,V$14)/12*(1+P_dVol),0)</f>
        <v>0</v>
      </c>
      <c r="W29" s="48" t="n">
        <f aca="false">IF(W$15=1,INDEX(Vol_O,9,W$14)/12*(1+P_dVol),0)</f>
        <v>0</v>
      </c>
      <c r="X29" s="48" t="n">
        <f aca="false">IF(X$15=1,INDEX(Vol_O,9,X$14)/12*(1+P_dVol),0)</f>
        <v>0</v>
      </c>
      <c r="Y29" s="48" t="n">
        <f aca="false">IF(Y$15=1,INDEX(Vol_O,9,Y$14)/12*(1+P_dVol),0)</f>
        <v>0</v>
      </c>
      <c r="Z29" s="48" t="n">
        <f aca="false">IF(Z$15=1,INDEX(Vol_O,9,Z$14)/12*(1+P_dVol),0)</f>
        <v>0</v>
      </c>
      <c r="AA29" s="48" t="n">
        <f aca="false">IF(AA$15=1,INDEX(Vol_O,9,AA$14)/12*(1+P_dVol),0)</f>
        <v>0</v>
      </c>
      <c r="AB29" s="48" t="n">
        <f aca="false">IF(AB$15=1,INDEX(Vol_O,9,AB$14)/12*(1+P_dVol),0)</f>
        <v>0</v>
      </c>
      <c r="AC29" s="48" t="n">
        <f aca="false">IF(AC$15=1,INDEX(Vol_O,9,AC$14)/12*(1+P_dVol),0)</f>
        <v>0</v>
      </c>
      <c r="AD29" s="48" t="n">
        <f aca="false">IF(AD$15=1,INDEX(Vol_O,9,AD$14)/12*(1+P_dVol),0)</f>
        <v>0</v>
      </c>
      <c r="AE29" s="48" t="n">
        <f aca="false">IF(AE$15=1,INDEX(Vol_O,9,AE$14)/12*(1+P_dVol),0)</f>
        <v>0</v>
      </c>
      <c r="AF29" s="48" t="n">
        <f aca="false">IF(AF$15=1,INDEX(Vol_O,9,AF$14)/12*(1+P_dVol),0)</f>
        <v>0</v>
      </c>
      <c r="AG29" s="48" t="n">
        <f aca="false">IF(AG$15=1,INDEX(Vol_O,9,AG$14)/12*(1+P_dVol),0)</f>
        <v>0</v>
      </c>
      <c r="AH29" s="48" t="n">
        <f aca="false">IF(AH$15=1,INDEX(Vol_O,9,AH$14)/12*(1+P_dVol),0)</f>
        <v>0</v>
      </c>
      <c r="AI29" s="48" t="n">
        <f aca="false">IF(AI$15=1,INDEX(Vol_O,9,AI$14)/12*(1+P_dVol),0)</f>
        <v>0</v>
      </c>
      <c r="AJ29" s="48" t="n">
        <f aca="false">IF(AJ$15=1,INDEX(Vol_O,9,AJ$14)/12*(1+P_dVol),0)</f>
        <v>0</v>
      </c>
      <c r="AK29" s="48" t="n">
        <f aca="false">IF(AK$15=1,INDEX(Vol_O,9,AK$14)/12*(1+P_dVol),0)</f>
        <v>0</v>
      </c>
      <c r="AL29" s="48" t="n">
        <f aca="false">IF(AL$15=1,INDEX(Vol_O,9,AL$14)/12*(1+P_dVol),0)</f>
        <v>0</v>
      </c>
      <c r="AM29" s="48" t="n">
        <f aca="false">IF(AM$15=1,INDEX(Vol_O,9,AM$14)/12*(1+P_dVol),0)</f>
        <v>0</v>
      </c>
      <c r="AN29" s="48" t="n">
        <f aca="false">IF(AN$15=1,INDEX(Vol_O,9,AN$14)/12*(1+P_dVol),0)</f>
        <v>0</v>
      </c>
      <c r="AO29" s="48" t="n">
        <f aca="false">IF(AO$15=1,INDEX(Vol_O,9,AO$14)/12*(1+P_dVol),0)</f>
        <v>0</v>
      </c>
      <c r="AP29" s="48" t="n">
        <f aca="false">IF(AP$15=1,INDEX(Vol_O,9,AP$14)/12*(1+P_dVol),0)</f>
        <v>0</v>
      </c>
      <c r="AQ29" s="48" t="n">
        <f aca="false">IF(AQ$15=1,INDEX(Vol_O,9,AQ$14)/12*(1+P_dVol),0)</f>
        <v>0</v>
      </c>
      <c r="AR29" s="48" t="n">
        <f aca="false">IF(AR$15=1,INDEX(Vol_O,9,AR$14)/12*(1+P_dVol),0)</f>
        <v>0</v>
      </c>
      <c r="AS29" s="48" t="n">
        <f aca="false">IF(AS$15=1,INDEX(Vol_O,9,AS$14)/12*(1+P_dVol),0)</f>
        <v>0</v>
      </c>
      <c r="AT29" s="48" t="n">
        <f aca="false">IF(AT$15=1,INDEX(Vol_O,9,AT$14)/12*(1+P_dVol),0)</f>
        <v>0</v>
      </c>
      <c r="AU29" s="48" t="n">
        <f aca="false">IF(AU$15=1,INDEX(Vol_O,9,AU$14)/12*(1+P_dVol),0)</f>
        <v>0</v>
      </c>
      <c r="AV29" s="48" t="n">
        <f aca="false">IF(AV$15=1,INDEX(Vol_O,9,AV$14)/12*(1+P_dVol),0)</f>
        <v>0</v>
      </c>
      <c r="AW29" s="48" t="n">
        <f aca="false">IF(AW$15=1,INDEX(Vol_O,9,AW$14)/12*(1+P_dVol),0)</f>
        <v>0</v>
      </c>
      <c r="AX29" s="48" t="n">
        <f aca="false">IF(AX$15=1,INDEX(Vol_O,9,AX$14)/12*(1+P_dVol),0)</f>
        <v>0</v>
      </c>
      <c r="AY29" s="48" t="n">
        <f aca="false">IF(AY$15=1,INDEX(Vol_O,9,AY$14)/12*(1+P_dVol),0)</f>
        <v>0</v>
      </c>
      <c r="AZ29" s="48" t="n">
        <f aca="false">IF(AZ$15=1,INDEX(Vol_O,9,AZ$14)/12*(1+P_dVol),0)</f>
        <v>0</v>
      </c>
      <c r="BA29" s="48" t="n">
        <f aca="false">IF(BA$15=1,INDEX(Vol_O,9,BA$14)/12*(1+P_dVol),0)</f>
        <v>0</v>
      </c>
      <c r="BB29" s="48" t="n">
        <f aca="false">IF(BB$15=1,INDEX(Vol_O,9,BB$14)/12*(1+P_dVol),0)</f>
        <v>0</v>
      </c>
      <c r="BC29" s="48" t="n">
        <f aca="false">IF(BC$15=1,INDEX(Vol_O,9,BC$14)/12*(1+P_dVol),0)</f>
        <v>0</v>
      </c>
      <c r="BD29" s="48" t="n">
        <f aca="false">IF(BD$15=1,INDEX(Vol_O,9,BD$14)/12*(1+P_dVol),0)</f>
        <v>0</v>
      </c>
      <c r="BE29" s="48" t="n">
        <f aca="false">IF(BE$15=1,INDEX(Vol_O,9,BE$14)/12*(1+P_dVol),0)</f>
        <v>0</v>
      </c>
      <c r="BF29" s="48" t="n">
        <f aca="false">IF(BF$15=1,INDEX(Vol_O,9,BF$14)/12*(1+P_dVol),0)</f>
        <v>0</v>
      </c>
      <c r="BG29" s="48" t="n">
        <f aca="false">IF(BG$15=1,INDEX(Vol_O,9,BG$14)/12*(1+P_dVol),0)</f>
        <v>0</v>
      </c>
      <c r="BH29" s="48" t="n">
        <f aca="false">IF(BH$15=1,INDEX(Vol_O,9,BH$14)/12*(1+P_dVol),0)</f>
        <v>0</v>
      </c>
      <c r="BI29" s="48" t="n">
        <f aca="false">IF(BI$15=1,INDEX(Vol_O,9,BI$14)/12*(1+P_dVol),0)</f>
        <v>0</v>
      </c>
      <c r="BJ29" s="48" t="n">
        <f aca="false">IF(BJ$15=1,INDEX(Vol_O,9,BJ$14)/12*(1+P_dVol),0)</f>
        <v>0</v>
      </c>
      <c r="BK29" s="48" t="n">
        <f aca="false">IF(BK$15=1,INDEX(Vol_O,9,BK$14)/12*(1+P_dVol),0)</f>
        <v>0</v>
      </c>
      <c r="BL29" s="48" t="n">
        <f aca="false">IF(BL$15=1,INDEX(Vol_O,9,BL$14)/12*(1+P_dVol),0)</f>
        <v>0</v>
      </c>
      <c r="BM29" s="48" t="n">
        <f aca="false">IF(BM$15=1,INDEX(Vol_O,9,BM$14)/12*(1+P_dVol),0)</f>
        <v>0</v>
      </c>
      <c r="BN29" s="48" t="n">
        <f aca="false">IF(BN$15=1,INDEX(Vol_O,9,BN$14)/12*(1+P_dVol),0)</f>
        <v>0</v>
      </c>
      <c r="BO29" s="48" t="n">
        <f aca="false">IF(BO$15=1,INDEX(Vol_O,9,BO$14)/12*(1+P_dVol),0)</f>
        <v>0</v>
      </c>
      <c r="BP29" s="48" t="n">
        <f aca="false">IF(BP$15=1,INDEX(Vol_O,9,BP$14)/12*(1+P_dVol),0)</f>
        <v>0</v>
      </c>
      <c r="BQ29" s="48" t="n">
        <f aca="false">IF(BQ$15=1,INDEX(Vol_O,9,BQ$14)/12*(1+P_dVol),0)</f>
        <v>0</v>
      </c>
      <c r="BR29" s="48" t="n">
        <f aca="false">IF(BR$15=1,INDEX(Vol_O,9,BR$14)/12*(1+P_dVol),0)</f>
        <v>0</v>
      </c>
      <c r="BS29" s="48" t="n">
        <f aca="false">IF(BS$15=1,INDEX(Vol_O,9,BS$14)/12*(1+P_dVol),0)</f>
        <v>0</v>
      </c>
      <c r="BT29" s="48" t="n">
        <f aca="false">IF(BT$15=1,INDEX(Vol_O,9,BT$14)/12*(1+P_dVol),0)</f>
        <v>0</v>
      </c>
      <c r="BU29" s="48" t="n">
        <f aca="false">IF(BU$15=1,INDEX(Vol_O,9,BU$14)/12*(1+P_dVol),0)</f>
        <v>0</v>
      </c>
      <c r="BV29" s="48" t="n">
        <f aca="false">IF(BV$15=1,INDEX(Vol_O,9,BV$14)/12*(1+P_dVol),0)</f>
        <v>0</v>
      </c>
      <c r="BW29" s="48" t="n">
        <f aca="false">IF(BW$15=1,INDEX(Vol_O,9,BW$14)/12*(1+P_dVol),0)</f>
        <v>0</v>
      </c>
      <c r="BX29" s="48" t="n">
        <f aca="false">IF(BX$15=1,INDEX(Vol_O,9,BX$14)/12*(1+P_dVol),0)</f>
        <v>0</v>
      </c>
      <c r="BY29" s="48" t="n">
        <f aca="false">IF(BY$15=1,INDEX(Vol_O,9,BY$14)/12*(1+P_dVol),0)</f>
        <v>0</v>
      </c>
      <c r="BZ29" s="48" t="n">
        <f aca="false">IF(BZ$15=1,INDEX(Vol_O,9,BZ$14)/12*(1+P_dVol),0)</f>
        <v>0</v>
      </c>
      <c r="CA29" s="48" t="n">
        <f aca="false">IF(CA$15=1,INDEX(Vol_O,9,CA$14)/12*(1+P_dVol),0)</f>
        <v>0</v>
      </c>
      <c r="CB29" s="48" t="n">
        <f aca="false">IF(CB$15=1,INDEX(Vol_O,9,CB$14)/12*(1+P_dVol),0)</f>
        <v>0</v>
      </c>
      <c r="CC29" s="48" t="n">
        <f aca="false">IF(CC$15=1,INDEX(Vol_O,9,CC$14)/12*(1+P_dVol),0)</f>
        <v>0</v>
      </c>
      <c r="CD29" s="48" t="n">
        <f aca="false">IF(CD$15=1,INDEX(Vol_O,9,CD$14)/12*(1+P_dVol),0)</f>
        <v>0</v>
      </c>
      <c r="CE29" s="48" t="n">
        <f aca="false">IF(CE$15=1,INDEX(Vol_O,9,CE$14)/12*(1+P_dVol),0)</f>
        <v>0</v>
      </c>
      <c r="CF29" s="48" t="n">
        <f aca="false">IF(CF$15=1,INDEX(Vol_O,9,CF$14)/12*(1+P_dVol),0)</f>
        <v>0</v>
      </c>
      <c r="CG29" s="48" t="n">
        <f aca="false">IF(CG$15=1,INDEX(Vol_O,9,CG$14)/12*(1+P_dVol),0)</f>
        <v>0</v>
      </c>
      <c r="CH29" s="48" t="n">
        <f aca="false">IF(CH$15=1,INDEX(Vol_O,9,CH$14)/12*(1+P_dVol),0)</f>
        <v>0</v>
      </c>
      <c r="CI29" s="48" t="n">
        <f aca="false">IF(CI$15=1,INDEX(Vol_O,9,CI$14)/12*(1+P_dVol),0)</f>
        <v>0</v>
      </c>
      <c r="CJ29" s="48" t="n">
        <f aca="false">IF(CJ$15=1,INDEX(Vol_O,9,CJ$14)/12*(1+P_dVol),0)</f>
        <v>0</v>
      </c>
      <c r="CK29" s="48" t="n">
        <f aca="false">IF(CK$15=1,INDEX(Vol_O,9,CK$14)/12*(1+P_dVol),0)</f>
        <v>0</v>
      </c>
      <c r="CL29" s="48" t="n">
        <f aca="false">IF(CL$15=1,INDEX(Vol_O,9,CL$14)/12*(1+P_dVol),0)</f>
        <v>0</v>
      </c>
      <c r="CM29" s="48" t="n">
        <f aca="false">IF(CM$15=1,INDEX(Vol_O,9,CM$14)/12*(1+P_dVol),0)</f>
        <v>0</v>
      </c>
      <c r="CN29" s="48" t="n">
        <f aca="false">IF(CN$15=1,INDEX(Vol_O,9,CN$14)/12*(1+P_dVol),0)</f>
        <v>0</v>
      </c>
      <c r="CO29" s="48" t="n">
        <f aca="false">IF(CO$15=1,INDEX(Vol_O,9,CO$14)/12*(1+P_dVol),0)</f>
        <v>0</v>
      </c>
      <c r="CP29" s="48" t="n">
        <f aca="false">IF(CP$15=1,INDEX(Vol_O,9,CP$14)/12*(1+P_dVol),0)</f>
        <v>0</v>
      </c>
      <c r="CQ29" s="48" t="n">
        <f aca="false">IF(CQ$15=1,INDEX(Vol_O,9,CQ$14)/12*(1+P_dVol),0)</f>
        <v>0</v>
      </c>
      <c r="CR29" s="48" t="n">
        <f aca="false">IF(CR$15=1,INDEX(Vol_O,9,CR$14)/12*(1+P_dVol),0)</f>
        <v>0</v>
      </c>
      <c r="CS29" s="48" t="n">
        <f aca="false">IF(CS$15=1,INDEX(Vol_O,9,CS$14)/12*(1+P_dVol),0)</f>
        <v>0</v>
      </c>
      <c r="CT29" s="48" t="n">
        <f aca="false">IF(CT$15=1,INDEX(Vol_O,9,CT$14)/12*(1+P_dVol),0)</f>
        <v>0</v>
      </c>
      <c r="CU29" s="48" t="n">
        <f aca="false">IF(CU$15=1,INDEX(Vol_O,9,CU$14)/12*(1+P_dVol),0)</f>
        <v>0</v>
      </c>
      <c r="CV29" s="48" t="n">
        <f aca="false">IF(CV$15=1,INDEX(Vol_O,9,CV$14)/12*(1+P_dVol),0)</f>
        <v>0</v>
      </c>
      <c r="CW29" s="48" t="n">
        <f aca="false">IF(CW$15=1,INDEX(Vol_O,9,CW$14)/12*(1+P_dVol),0)</f>
        <v>0</v>
      </c>
      <c r="CX29" s="48" t="n">
        <f aca="false">IF(CX$15=1,INDEX(Vol_O,9,CX$14)/12*(1+P_dVol),0)</f>
        <v>0</v>
      </c>
      <c r="CY29" s="48" t="n">
        <f aca="false">IF(CY$15=1,INDEX(Vol_O,9,CY$14)/12*(1+P_dVol),0)</f>
        <v>0</v>
      </c>
      <c r="CZ29" s="48" t="n">
        <f aca="false">IF(CZ$15=1,INDEX(Vol_O,9,CZ$14)/12*(1+P_dVol),0)</f>
        <v>0</v>
      </c>
      <c r="DA29" s="48" t="n">
        <f aca="false">IF(DA$15=1,INDEX(Vol_O,9,DA$14)/12*(1+P_dVol),0)</f>
        <v>0</v>
      </c>
      <c r="DB29" s="48" t="n">
        <f aca="false">IF(DB$15=1,INDEX(Vol_O,9,DB$14)/12*(1+P_dVol),0)</f>
        <v>0</v>
      </c>
      <c r="DC29" s="48" t="n">
        <f aca="false">IF(DC$15=1,INDEX(Vol_O,9,DC$14)/12*(1+P_dVol),0)</f>
        <v>0</v>
      </c>
      <c r="DD29" s="48" t="n">
        <f aca="false">IF(DD$15=1,INDEX(Vol_O,9,DD$14)/12*(1+P_dVol),0)</f>
        <v>0</v>
      </c>
      <c r="DE29" s="48" t="n">
        <f aca="false">IF(DE$15=1,INDEX(Vol_O,9,DE$14)/12*(1+P_dVol),0)</f>
        <v>0</v>
      </c>
      <c r="DF29" s="48" t="n">
        <f aca="false">IF(DF$15=1,INDEX(Vol_O,9,DF$14)/12*(1+P_dVol),0)</f>
        <v>0</v>
      </c>
      <c r="DG29" s="48" t="n">
        <f aca="false">IF(DG$15=1,INDEX(Vol_O,9,DG$14)/12*(1+P_dVol),0)</f>
        <v>0</v>
      </c>
      <c r="DH29" s="48" t="n">
        <f aca="false">IF(DH$15=1,INDEX(Vol_O,9,DH$14)/12*(1+P_dVol),0)</f>
        <v>0</v>
      </c>
      <c r="DI29" s="48" t="n">
        <f aca="false">IF(DI$15=1,INDEX(Vol_O,9,DI$14)/12*(1+P_dVol),0)</f>
        <v>0</v>
      </c>
      <c r="DJ29" s="48" t="n">
        <f aca="false">IF(DJ$15=1,INDEX(Vol_O,9,DJ$14)/12*(1+P_dVol),0)</f>
        <v>0</v>
      </c>
      <c r="DK29" s="48" t="n">
        <f aca="false">IF(DK$15=1,INDEX(Vol_O,9,DK$14)/12*(1+P_dVol),0)</f>
        <v>0</v>
      </c>
      <c r="DL29" s="48" t="n">
        <f aca="false">IF(DL$15=1,INDEX(Vol_O,9,DL$14)/12*(1+P_dVol),0)</f>
        <v>0</v>
      </c>
      <c r="DM29" s="48" t="n">
        <f aca="false">IF(DM$15=1,INDEX(Vol_O,9,DM$14)/12*(1+P_dVol),0)</f>
        <v>0</v>
      </c>
      <c r="DN29" s="48" t="n">
        <f aca="false">IF(DN$15=1,INDEX(Vol_O,9,DN$14)/12*(1+P_dVol),0)</f>
        <v>0</v>
      </c>
      <c r="DO29" s="48" t="n">
        <f aca="false">IF(DO$15=1,INDEX(Vol_O,9,DO$14)/12*(1+P_dVol),0)</f>
        <v>0</v>
      </c>
      <c r="DP29" s="48" t="n">
        <f aca="false">IF(DP$15=1,INDEX(Vol_O,9,DP$14)/12*(1+P_dVol),0)</f>
        <v>0</v>
      </c>
      <c r="DQ29" s="48" t="n">
        <f aca="false">IF(DQ$15=1,INDEX(Vol_O,9,DQ$14)/12*(1+P_dVol),0)</f>
        <v>0</v>
      </c>
      <c r="DR29" s="48" t="n">
        <f aca="false">IF(DR$15=1,INDEX(Vol_O,9,DR$14)/12*(1+P_dVol),0)</f>
        <v>0</v>
      </c>
      <c r="DS29" s="48" t="n">
        <f aca="false">IF(DS$15=1,INDEX(Vol_O,9,DS$14)/12*(1+P_dVol),0)</f>
        <v>0</v>
      </c>
      <c r="DT29" s="48" t="n">
        <f aca="false">IF(DT$15=1,INDEX(Vol_O,9,DT$14)/12*(1+P_dVol),0)</f>
        <v>0</v>
      </c>
      <c r="DU29" s="48" t="n">
        <f aca="false">IF(DU$15=1,INDEX(Vol_O,9,DU$14)/12*(1+P_dVol),0)</f>
        <v>0</v>
      </c>
      <c r="DV29" s="48" t="n">
        <f aca="false">IF(DV$15=1,INDEX(Vol_O,9,DV$14)/12*(1+P_dVol),0)</f>
        <v>0</v>
      </c>
      <c r="DW29" s="48" t="n">
        <f aca="false">IF(DW$15=1,INDEX(Vol_O,9,DW$14)/12*(1+P_dVol),0)</f>
        <v>0</v>
      </c>
      <c r="DX29" s="48" t="n">
        <f aca="false">IF(DX$15=1,INDEX(Vol_O,9,DX$14)/12*(1+P_dVol),0)</f>
        <v>0</v>
      </c>
      <c r="DY29" s="48" t="n">
        <f aca="false">IF(DY$15=1,INDEX(Vol_O,9,DY$14)/12*(1+P_dVol),0)</f>
        <v>0</v>
      </c>
      <c r="DZ29" s="48" t="n">
        <f aca="false">IF(DZ$15=1,INDEX(Vol_O,9,DZ$14)/12*(1+P_dVol),0)</f>
        <v>0</v>
      </c>
      <c r="EA29" s="48" t="n">
        <f aca="false">IF(EA$15=1,INDEX(Vol_O,9,EA$14)/12*(1+P_dVol),0)</f>
        <v>0</v>
      </c>
      <c r="EB29" s="48" t="n">
        <f aca="false">IF(EB$15=1,INDEX(Vol_O,9,EB$14)/12*(1+P_dVol),0)</f>
        <v>0</v>
      </c>
      <c r="EC29" s="48" t="n">
        <f aca="false">IF(EC$15=1,INDEX(Vol_O,9,EC$14)/12*(1+P_dVol),0)</f>
        <v>0</v>
      </c>
      <c r="ED29" s="48" t="n">
        <f aca="false">IF(ED$15=1,INDEX(Vol_O,9,ED$14)/12*(1+P_dVol),0)</f>
        <v>0</v>
      </c>
      <c r="EE29" s="48" t="n">
        <f aca="false">IF(EE$15=1,INDEX(Vol_O,9,EE$14)/12*(1+P_dVol),0)</f>
        <v>0</v>
      </c>
      <c r="EF29" s="48" t="n">
        <f aca="false">IF(EF$15=1,INDEX(Vol_O,9,EF$14)/12*(1+P_dVol),0)</f>
        <v>0</v>
      </c>
      <c r="EG29" s="48" t="n">
        <f aca="false">IF(EG$15=1,INDEX(Vol_O,9,EG$14)/12*(1+P_dVol),0)</f>
        <v>0</v>
      </c>
      <c r="EH29" s="48" t="n">
        <f aca="false">IF(EH$15=1,INDEX(Vol_O,9,EH$14)/12*(1+P_dVol),0)</f>
        <v>0</v>
      </c>
      <c r="EI29" s="48" t="n">
        <f aca="false">IF(EI$15=1,INDEX(Vol_O,9,EI$14)/12*(1+P_dVol),0)</f>
        <v>0</v>
      </c>
      <c r="EJ29" s="48" t="n">
        <f aca="false">IF(EJ$15=1,INDEX(Vol_O,9,EJ$14)/12*(1+P_dVol),0)</f>
        <v>0</v>
      </c>
      <c r="EK29" s="48" t="n">
        <f aca="false">IF(EK$15=1,INDEX(Vol_O,9,EK$14)/12*(1+P_dVol),0)</f>
        <v>0</v>
      </c>
      <c r="EL29" s="48" t="n">
        <f aca="false">IF(EL$15=1,INDEX(Vol_O,9,EL$14)/12*(1+P_dVol),0)</f>
        <v>0</v>
      </c>
      <c r="EM29" s="48" t="n">
        <f aca="false">IF(EM$15=1,INDEX(Vol_O,9,EM$14)/12*(1+P_dVol),0)</f>
        <v>0</v>
      </c>
      <c r="EN29" s="48" t="n">
        <f aca="false">IF(EN$15=1,INDEX(Vol_O,9,EN$14)/12*(1+P_dVol),0)</f>
        <v>0</v>
      </c>
      <c r="EO29" s="48" t="n">
        <f aca="false">IF(EO$15=1,INDEX(Vol_O,9,EO$14)/12*(1+P_dVol),0)</f>
        <v>0</v>
      </c>
      <c r="EP29" s="48" t="n">
        <f aca="false">IF(EP$15=1,INDEX(Vol_O,9,EP$14)/12*(1+P_dVol),0)</f>
        <v>0</v>
      </c>
      <c r="EQ29" s="48" t="n">
        <f aca="false">IF(EQ$15=1,INDEX(Vol_O,9,EQ$14)/12*(1+P_dVol),0)</f>
        <v>0</v>
      </c>
      <c r="ER29" s="48" t="n">
        <f aca="false">IF(ER$15=1,INDEX(Vol_O,9,ER$14)/12*(1+P_dVol),0)</f>
        <v>0</v>
      </c>
      <c r="ES29" s="48" t="n">
        <f aca="false">IF(ES$15=1,INDEX(Vol_O,9,ES$14)/12*(1+P_dVol),0)</f>
        <v>0</v>
      </c>
    </row>
    <row r="30" customFormat="false" ht="15" hidden="false" customHeight="false" outlineLevel="0" collapsed="false">
      <c r="A30" s="11" t="s">
        <v>1075</v>
      </c>
      <c r="B30" s="53" t="str">
        <f aca="false">IF(INDEX(Prod_Nombre,10)="","Producto 10",INDEX(Prod_Nombre,10))&amp;" — unidades"</f>
        <v>Producto 10 — unidades</v>
      </c>
      <c r="C30" s="15" t="s">
        <v>544</v>
      </c>
      <c r="E30" s="54" t="n">
        <f aca="false">SUM(F30:ES30)</f>
        <v>0</v>
      </c>
      <c r="F30" s="48" t="n">
        <f aca="false">IF(F$15=1,INDEX(Vol_O,10,F$14)/12*(1+P_dVol),0)</f>
        <v>0</v>
      </c>
      <c r="G30" s="48" t="n">
        <f aca="false">IF(G$15=1,INDEX(Vol_O,10,G$14)/12*(1+P_dVol),0)</f>
        <v>0</v>
      </c>
      <c r="H30" s="48" t="n">
        <f aca="false">IF(H$15=1,INDEX(Vol_O,10,H$14)/12*(1+P_dVol),0)</f>
        <v>0</v>
      </c>
      <c r="I30" s="48" t="n">
        <f aca="false">IF(I$15=1,INDEX(Vol_O,10,I$14)/12*(1+P_dVol),0)</f>
        <v>0</v>
      </c>
      <c r="J30" s="48" t="n">
        <f aca="false">IF(J$15=1,INDEX(Vol_O,10,J$14)/12*(1+P_dVol),0)</f>
        <v>0</v>
      </c>
      <c r="K30" s="48" t="n">
        <f aca="false">IF(K$15=1,INDEX(Vol_O,10,K$14)/12*(1+P_dVol),0)</f>
        <v>0</v>
      </c>
      <c r="L30" s="48" t="n">
        <f aca="false">IF(L$15=1,INDEX(Vol_O,10,L$14)/12*(1+P_dVol),0)</f>
        <v>0</v>
      </c>
      <c r="M30" s="48" t="n">
        <f aca="false">IF(M$15=1,INDEX(Vol_O,10,M$14)/12*(1+P_dVol),0)</f>
        <v>0</v>
      </c>
      <c r="N30" s="48" t="n">
        <f aca="false">IF(N$15=1,INDEX(Vol_O,10,N$14)/12*(1+P_dVol),0)</f>
        <v>0</v>
      </c>
      <c r="O30" s="48" t="n">
        <f aca="false">IF(O$15=1,INDEX(Vol_O,10,O$14)/12*(1+P_dVol),0)</f>
        <v>0</v>
      </c>
      <c r="P30" s="48" t="n">
        <f aca="false">IF(P$15=1,INDEX(Vol_O,10,P$14)/12*(1+P_dVol),0)</f>
        <v>0</v>
      </c>
      <c r="Q30" s="48" t="n">
        <f aca="false">IF(Q$15=1,INDEX(Vol_O,10,Q$14)/12*(1+P_dVol),0)</f>
        <v>0</v>
      </c>
      <c r="R30" s="48" t="n">
        <f aca="false">IF(R$15=1,INDEX(Vol_O,10,R$14)/12*(1+P_dVol),0)</f>
        <v>0</v>
      </c>
      <c r="S30" s="48" t="n">
        <f aca="false">IF(S$15=1,INDEX(Vol_O,10,S$14)/12*(1+P_dVol),0)</f>
        <v>0</v>
      </c>
      <c r="T30" s="48" t="n">
        <f aca="false">IF(T$15=1,INDEX(Vol_O,10,T$14)/12*(1+P_dVol),0)</f>
        <v>0</v>
      </c>
      <c r="U30" s="48" t="n">
        <f aca="false">IF(U$15=1,INDEX(Vol_O,10,U$14)/12*(1+P_dVol),0)</f>
        <v>0</v>
      </c>
      <c r="V30" s="48" t="n">
        <f aca="false">IF(V$15=1,INDEX(Vol_O,10,V$14)/12*(1+P_dVol),0)</f>
        <v>0</v>
      </c>
      <c r="W30" s="48" t="n">
        <f aca="false">IF(W$15=1,INDEX(Vol_O,10,W$14)/12*(1+P_dVol),0)</f>
        <v>0</v>
      </c>
      <c r="X30" s="48" t="n">
        <f aca="false">IF(X$15=1,INDEX(Vol_O,10,X$14)/12*(1+P_dVol),0)</f>
        <v>0</v>
      </c>
      <c r="Y30" s="48" t="n">
        <f aca="false">IF(Y$15=1,INDEX(Vol_O,10,Y$14)/12*(1+P_dVol),0)</f>
        <v>0</v>
      </c>
      <c r="Z30" s="48" t="n">
        <f aca="false">IF(Z$15=1,INDEX(Vol_O,10,Z$14)/12*(1+P_dVol),0)</f>
        <v>0</v>
      </c>
      <c r="AA30" s="48" t="n">
        <f aca="false">IF(AA$15=1,INDEX(Vol_O,10,AA$14)/12*(1+P_dVol),0)</f>
        <v>0</v>
      </c>
      <c r="AB30" s="48" t="n">
        <f aca="false">IF(AB$15=1,INDEX(Vol_O,10,AB$14)/12*(1+P_dVol),0)</f>
        <v>0</v>
      </c>
      <c r="AC30" s="48" t="n">
        <f aca="false">IF(AC$15=1,INDEX(Vol_O,10,AC$14)/12*(1+P_dVol),0)</f>
        <v>0</v>
      </c>
      <c r="AD30" s="48" t="n">
        <f aca="false">IF(AD$15=1,INDEX(Vol_O,10,AD$14)/12*(1+P_dVol),0)</f>
        <v>0</v>
      </c>
      <c r="AE30" s="48" t="n">
        <f aca="false">IF(AE$15=1,INDEX(Vol_O,10,AE$14)/12*(1+P_dVol),0)</f>
        <v>0</v>
      </c>
      <c r="AF30" s="48" t="n">
        <f aca="false">IF(AF$15=1,INDEX(Vol_O,10,AF$14)/12*(1+P_dVol),0)</f>
        <v>0</v>
      </c>
      <c r="AG30" s="48" t="n">
        <f aca="false">IF(AG$15=1,INDEX(Vol_O,10,AG$14)/12*(1+P_dVol),0)</f>
        <v>0</v>
      </c>
      <c r="AH30" s="48" t="n">
        <f aca="false">IF(AH$15=1,INDEX(Vol_O,10,AH$14)/12*(1+P_dVol),0)</f>
        <v>0</v>
      </c>
      <c r="AI30" s="48" t="n">
        <f aca="false">IF(AI$15=1,INDEX(Vol_O,10,AI$14)/12*(1+P_dVol),0)</f>
        <v>0</v>
      </c>
      <c r="AJ30" s="48" t="n">
        <f aca="false">IF(AJ$15=1,INDEX(Vol_O,10,AJ$14)/12*(1+P_dVol),0)</f>
        <v>0</v>
      </c>
      <c r="AK30" s="48" t="n">
        <f aca="false">IF(AK$15=1,INDEX(Vol_O,10,AK$14)/12*(1+P_dVol),0)</f>
        <v>0</v>
      </c>
      <c r="AL30" s="48" t="n">
        <f aca="false">IF(AL$15=1,INDEX(Vol_O,10,AL$14)/12*(1+P_dVol),0)</f>
        <v>0</v>
      </c>
      <c r="AM30" s="48" t="n">
        <f aca="false">IF(AM$15=1,INDEX(Vol_O,10,AM$14)/12*(1+P_dVol),0)</f>
        <v>0</v>
      </c>
      <c r="AN30" s="48" t="n">
        <f aca="false">IF(AN$15=1,INDEX(Vol_O,10,AN$14)/12*(1+P_dVol),0)</f>
        <v>0</v>
      </c>
      <c r="AO30" s="48" t="n">
        <f aca="false">IF(AO$15=1,INDEX(Vol_O,10,AO$14)/12*(1+P_dVol),0)</f>
        <v>0</v>
      </c>
      <c r="AP30" s="48" t="n">
        <f aca="false">IF(AP$15=1,INDEX(Vol_O,10,AP$14)/12*(1+P_dVol),0)</f>
        <v>0</v>
      </c>
      <c r="AQ30" s="48" t="n">
        <f aca="false">IF(AQ$15=1,INDEX(Vol_O,10,AQ$14)/12*(1+P_dVol),0)</f>
        <v>0</v>
      </c>
      <c r="AR30" s="48" t="n">
        <f aca="false">IF(AR$15=1,INDEX(Vol_O,10,AR$14)/12*(1+P_dVol),0)</f>
        <v>0</v>
      </c>
      <c r="AS30" s="48" t="n">
        <f aca="false">IF(AS$15=1,INDEX(Vol_O,10,AS$14)/12*(1+P_dVol),0)</f>
        <v>0</v>
      </c>
      <c r="AT30" s="48" t="n">
        <f aca="false">IF(AT$15=1,INDEX(Vol_O,10,AT$14)/12*(1+P_dVol),0)</f>
        <v>0</v>
      </c>
      <c r="AU30" s="48" t="n">
        <f aca="false">IF(AU$15=1,INDEX(Vol_O,10,AU$14)/12*(1+P_dVol),0)</f>
        <v>0</v>
      </c>
      <c r="AV30" s="48" t="n">
        <f aca="false">IF(AV$15=1,INDEX(Vol_O,10,AV$14)/12*(1+P_dVol),0)</f>
        <v>0</v>
      </c>
      <c r="AW30" s="48" t="n">
        <f aca="false">IF(AW$15=1,INDEX(Vol_O,10,AW$14)/12*(1+P_dVol),0)</f>
        <v>0</v>
      </c>
      <c r="AX30" s="48" t="n">
        <f aca="false">IF(AX$15=1,INDEX(Vol_O,10,AX$14)/12*(1+P_dVol),0)</f>
        <v>0</v>
      </c>
      <c r="AY30" s="48" t="n">
        <f aca="false">IF(AY$15=1,INDEX(Vol_O,10,AY$14)/12*(1+P_dVol),0)</f>
        <v>0</v>
      </c>
      <c r="AZ30" s="48" t="n">
        <f aca="false">IF(AZ$15=1,INDEX(Vol_O,10,AZ$14)/12*(1+P_dVol),0)</f>
        <v>0</v>
      </c>
      <c r="BA30" s="48" t="n">
        <f aca="false">IF(BA$15=1,INDEX(Vol_O,10,BA$14)/12*(1+P_dVol),0)</f>
        <v>0</v>
      </c>
      <c r="BB30" s="48" t="n">
        <f aca="false">IF(BB$15=1,INDEX(Vol_O,10,BB$14)/12*(1+P_dVol),0)</f>
        <v>0</v>
      </c>
      <c r="BC30" s="48" t="n">
        <f aca="false">IF(BC$15=1,INDEX(Vol_O,10,BC$14)/12*(1+P_dVol),0)</f>
        <v>0</v>
      </c>
      <c r="BD30" s="48" t="n">
        <f aca="false">IF(BD$15=1,INDEX(Vol_O,10,BD$14)/12*(1+P_dVol),0)</f>
        <v>0</v>
      </c>
      <c r="BE30" s="48" t="n">
        <f aca="false">IF(BE$15=1,INDEX(Vol_O,10,BE$14)/12*(1+P_dVol),0)</f>
        <v>0</v>
      </c>
      <c r="BF30" s="48" t="n">
        <f aca="false">IF(BF$15=1,INDEX(Vol_O,10,BF$14)/12*(1+P_dVol),0)</f>
        <v>0</v>
      </c>
      <c r="BG30" s="48" t="n">
        <f aca="false">IF(BG$15=1,INDEX(Vol_O,10,BG$14)/12*(1+P_dVol),0)</f>
        <v>0</v>
      </c>
      <c r="BH30" s="48" t="n">
        <f aca="false">IF(BH$15=1,INDEX(Vol_O,10,BH$14)/12*(1+P_dVol),0)</f>
        <v>0</v>
      </c>
      <c r="BI30" s="48" t="n">
        <f aca="false">IF(BI$15=1,INDEX(Vol_O,10,BI$14)/12*(1+P_dVol),0)</f>
        <v>0</v>
      </c>
      <c r="BJ30" s="48" t="n">
        <f aca="false">IF(BJ$15=1,INDEX(Vol_O,10,BJ$14)/12*(1+P_dVol),0)</f>
        <v>0</v>
      </c>
      <c r="BK30" s="48" t="n">
        <f aca="false">IF(BK$15=1,INDEX(Vol_O,10,BK$14)/12*(1+P_dVol),0)</f>
        <v>0</v>
      </c>
      <c r="BL30" s="48" t="n">
        <f aca="false">IF(BL$15=1,INDEX(Vol_O,10,BL$14)/12*(1+P_dVol),0)</f>
        <v>0</v>
      </c>
      <c r="BM30" s="48" t="n">
        <f aca="false">IF(BM$15=1,INDEX(Vol_O,10,BM$14)/12*(1+P_dVol),0)</f>
        <v>0</v>
      </c>
      <c r="BN30" s="48" t="n">
        <f aca="false">IF(BN$15=1,INDEX(Vol_O,10,BN$14)/12*(1+P_dVol),0)</f>
        <v>0</v>
      </c>
      <c r="BO30" s="48" t="n">
        <f aca="false">IF(BO$15=1,INDEX(Vol_O,10,BO$14)/12*(1+P_dVol),0)</f>
        <v>0</v>
      </c>
      <c r="BP30" s="48" t="n">
        <f aca="false">IF(BP$15=1,INDEX(Vol_O,10,BP$14)/12*(1+P_dVol),0)</f>
        <v>0</v>
      </c>
      <c r="BQ30" s="48" t="n">
        <f aca="false">IF(BQ$15=1,INDEX(Vol_O,10,BQ$14)/12*(1+P_dVol),0)</f>
        <v>0</v>
      </c>
      <c r="BR30" s="48" t="n">
        <f aca="false">IF(BR$15=1,INDEX(Vol_O,10,BR$14)/12*(1+P_dVol),0)</f>
        <v>0</v>
      </c>
      <c r="BS30" s="48" t="n">
        <f aca="false">IF(BS$15=1,INDEX(Vol_O,10,BS$14)/12*(1+P_dVol),0)</f>
        <v>0</v>
      </c>
      <c r="BT30" s="48" t="n">
        <f aca="false">IF(BT$15=1,INDEX(Vol_O,10,BT$14)/12*(1+P_dVol),0)</f>
        <v>0</v>
      </c>
      <c r="BU30" s="48" t="n">
        <f aca="false">IF(BU$15=1,INDEX(Vol_O,10,BU$14)/12*(1+P_dVol),0)</f>
        <v>0</v>
      </c>
      <c r="BV30" s="48" t="n">
        <f aca="false">IF(BV$15=1,INDEX(Vol_O,10,BV$14)/12*(1+P_dVol),0)</f>
        <v>0</v>
      </c>
      <c r="BW30" s="48" t="n">
        <f aca="false">IF(BW$15=1,INDEX(Vol_O,10,BW$14)/12*(1+P_dVol),0)</f>
        <v>0</v>
      </c>
      <c r="BX30" s="48" t="n">
        <f aca="false">IF(BX$15=1,INDEX(Vol_O,10,BX$14)/12*(1+P_dVol),0)</f>
        <v>0</v>
      </c>
      <c r="BY30" s="48" t="n">
        <f aca="false">IF(BY$15=1,INDEX(Vol_O,10,BY$14)/12*(1+P_dVol),0)</f>
        <v>0</v>
      </c>
      <c r="BZ30" s="48" t="n">
        <f aca="false">IF(BZ$15=1,INDEX(Vol_O,10,BZ$14)/12*(1+P_dVol),0)</f>
        <v>0</v>
      </c>
      <c r="CA30" s="48" t="n">
        <f aca="false">IF(CA$15=1,INDEX(Vol_O,10,CA$14)/12*(1+P_dVol),0)</f>
        <v>0</v>
      </c>
      <c r="CB30" s="48" t="n">
        <f aca="false">IF(CB$15=1,INDEX(Vol_O,10,CB$14)/12*(1+P_dVol),0)</f>
        <v>0</v>
      </c>
      <c r="CC30" s="48" t="n">
        <f aca="false">IF(CC$15=1,INDEX(Vol_O,10,CC$14)/12*(1+P_dVol),0)</f>
        <v>0</v>
      </c>
      <c r="CD30" s="48" t="n">
        <f aca="false">IF(CD$15=1,INDEX(Vol_O,10,CD$14)/12*(1+P_dVol),0)</f>
        <v>0</v>
      </c>
      <c r="CE30" s="48" t="n">
        <f aca="false">IF(CE$15=1,INDEX(Vol_O,10,CE$14)/12*(1+P_dVol),0)</f>
        <v>0</v>
      </c>
      <c r="CF30" s="48" t="n">
        <f aca="false">IF(CF$15=1,INDEX(Vol_O,10,CF$14)/12*(1+P_dVol),0)</f>
        <v>0</v>
      </c>
      <c r="CG30" s="48" t="n">
        <f aca="false">IF(CG$15=1,INDEX(Vol_O,10,CG$14)/12*(1+P_dVol),0)</f>
        <v>0</v>
      </c>
      <c r="CH30" s="48" t="n">
        <f aca="false">IF(CH$15=1,INDEX(Vol_O,10,CH$14)/12*(1+P_dVol),0)</f>
        <v>0</v>
      </c>
      <c r="CI30" s="48" t="n">
        <f aca="false">IF(CI$15=1,INDEX(Vol_O,10,CI$14)/12*(1+P_dVol),0)</f>
        <v>0</v>
      </c>
      <c r="CJ30" s="48" t="n">
        <f aca="false">IF(CJ$15=1,INDEX(Vol_O,10,CJ$14)/12*(1+P_dVol),0)</f>
        <v>0</v>
      </c>
      <c r="CK30" s="48" t="n">
        <f aca="false">IF(CK$15=1,INDEX(Vol_O,10,CK$14)/12*(1+P_dVol),0)</f>
        <v>0</v>
      </c>
      <c r="CL30" s="48" t="n">
        <f aca="false">IF(CL$15=1,INDEX(Vol_O,10,CL$14)/12*(1+P_dVol),0)</f>
        <v>0</v>
      </c>
      <c r="CM30" s="48" t="n">
        <f aca="false">IF(CM$15=1,INDEX(Vol_O,10,CM$14)/12*(1+P_dVol),0)</f>
        <v>0</v>
      </c>
      <c r="CN30" s="48" t="n">
        <f aca="false">IF(CN$15=1,INDEX(Vol_O,10,CN$14)/12*(1+P_dVol),0)</f>
        <v>0</v>
      </c>
      <c r="CO30" s="48" t="n">
        <f aca="false">IF(CO$15=1,INDEX(Vol_O,10,CO$14)/12*(1+P_dVol),0)</f>
        <v>0</v>
      </c>
      <c r="CP30" s="48" t="n">
        <f aca="false">IF(CP$15=1,INDEX(Vol_O,10,CP$14)/12*(1+P_dVol),0)</f>
        <v>0</v>
      </c>
      <c r="CQ30" s="48" t="n">
        <f aca="false">IF(CQ$15=1,INDEX(Vol_O,10,CQ$14)/12*(1+P_dVol),0)</f>
        <v>0</v>
      </c>
      <c r="CR30" s="48" t="n">
        <f aca="false">IF(CR$15=1,INDEX(Vol_O,10,CR$14)/12*(1+P_dVol),0)</f>
        <v>0</v>
      </c>
      <c r="CS30" s="48" t="n">
        <f aca="false">IF(CS$15=1,INDEX(Vol_O,10,CS$14)/12*(1+P_dVol),0)</f>
        <v>0</v>
      </c>
      <c r="CT30" s="48" t="n">
        <f aca="false">IF(CT$15=1,INDEX(Vol_O,10,CT$14)/12*(1+P_dVol),0)</f>
        <v>0</v>
      </c>
      <c r="CU30" s="48" t="n">
        <f aca="false">IF(CU$15=1,INDEX(Vol_O,10,CU$14)/12*(1+P_dVol),0)</f>
        <v>0</v>
      </c>
      <c r="CV30" s="48" t="n">
        <f aca="false">IF(CV$15=1,INDEX(Vol_O,10,CV$14)/12*(1+P_dVol),0)</f>
        <v>0</v>
      </c>
      <c r="CW30" s="48" t="n">
        <f aca="false">IF(CW$15=1,INDEX(Vol_O,10,CW$14)/12*(1+P_dVol),0)</f>
        <v>0</v>
      </c>
      <c r="CX30" s="48" t="n">
        <f aca="false">IF(CX$15=1,INDEX(Vol_O,10,CX$14)/12*(1+P_dVol),0)</f>
        <v>0</v>
      </c>
      <c r="CY30" s="48" t="n">
        <f aca="false">IF(CY$15=1,INDEX(Vol_O,10,CY$14)/12*(1+P_dVol),0)</f>
        <v>0</v>
      </c>
      <c r="CZ30" s="48" t="n">
        <f aca="false">IF(CZ$15=1,INDEX(Vol_O,10,CZ$14)/12*(1+P_dVol),0)</f>
        <v>0</v>
      </c>
      <c r="DA30" s="48" t="n">
        <f aca="false">IF(DA$15=1,INDEX(Vol_O,10,DA$14)/12*(1+P_dVol),0)</f>
        <v>0</v>
      </c>
      <c r="DB30" s="48" t="n">
        <f aca="false">IF(DB$15=1,INDEX(Vol_O,10,DB$14)/12*(1+P_dVol),0)</f>
        <v>0</v>
      </c>
      <c r="DC30" s="48" t="n">
        <f aca="false">IF(DC$15=1,INDEX(Vol_O,10,DC$14)/12*(1+P_dVol),0)</f>
        <v>0</v>
      </c>
      <c r="DD30" s="48" t="n">
        <f aca="false">IF(DD$15=1,INDEX(Vol_O,10,DD$14)/12*(1+P_dVol),0)</f>
        <v>0</v>
      </c>
      <c r="DE30" s="48" t="n">
        <f aca="false">IF(DE$15=1,INDEX(Vol_O,10,DE$14)/12*(1+P_dVol),0)</f>
        <v>0</v>
      </c>
      <c r="DF30" s="48" t="n">
        <f aca="false">IF(DF$15=1,INDEX(Vol_O,10,DF$14)/12*(1+P_dVol),0)</f>
        <v>0</v>
      </c>
      <c r="DG30" s="48" t="n">
        <f aca="false">IF(DG$15=1,INDEX(Vol_O,10,DG$14)/12*(1+P_dVol),0)</f>
        <v>0</v>
      </c>
      <c r="DH30" s="48" t="n">
        <f aca="false">IF(DH$15=1,INDEX(Vol_O,10,DH$14)/12*(1+P_dVol),0)</f>
        <v>0</v>
      </c>
      <c r="DI30" s="48" t="n">
        <f aca="false">IF(DI$15=1,INDEX(Vol_O,10,DI$14)/12*(1+P_dVol),0)</f>
        <v>0</v>
      </c>
      <c r="DJ30" s="48" t="n">
        <f aca="false">IF(DJ$15=1,INDEX(Vol_O,10,DJ$14)/12*(1+P_dVol),0)</f>
        <v>0</v>
      </c>
      <c r="DK30" s="48" t="n">
        <f aca="false">IF(DK$15=1,INDEX(Vol_O,10,DK$14)/12*(1+P_dVol),0)</f>
        <v>0</v>
      </c>
      <c r="DL30" s="48" t="n">
        <f aca="false">IF(DL$15=1,INDEX(Vol_O,10,DL$14)/12*(1+P_dVol),0)</f>
        <v>0</v>
      </c>
      <c r="DM30" s="48" t="n">
        <f aca="false">IF(DM$15=1,INDEX(Vol_O,10,DM$14)/12*(1+P_dVol),0)</f>
        <v>0</v>
      </c>
      <c r="DN30" s="48" t="n">
        <f aca="false">IF(DN$15=1,INDEX(Vol_O,10,DN$14)/12*(1+P_dVol),0)</f>
        <v>0</v>
      </c>
      <c r="DO30" s="48" t="n">
        <f aca="false">IF(DO$15=1,INDEX(Vol_O,10,DO$14)/12*(1+P_dVol),0)</f>
        <v>0</v>
      </c>
      <c r="DP30" s="48" t="n">
        <f aca="false">IF(DP$15=1,INDEX(Vol_O,10,DP$14)/12*(1+P_dVol),0)</f>
        <v>0</v>
      </c>
      <c r="DQ30" s="48" t="n">
        <f aca="false">IF(DQ$15=1,INDEX(Vol_O,10,DQ$14)/12*(1+P_dVol),0)</f>
        <v>0</v>
      </c>
      <c r="DR30" s="48" t="n">
        <f aca="false">IF(DR$15=1,INDEX(Vol_O,10,DR$14)/12*(1+P_dVol),0)</f>
        <v>0</v>
      </c>
      <c r="DS30" s="48" t="n">
        <f aca="false">IF(DS$15=1,INDEX(Vol_O,10,DS$14)/12*(1+P_dVol),0)</f>
        <v>0</v>
      </c>
      <c r="DT30" s="48" t="n">
        <f aca="false">IF(DT$15=1,INDEX(Vol_O,10,DT$14)/12*(1+P_dVol),0)</f>
        <v>0</v>
      </c>
      <c r="DU30" s="48" t="n">
        <f aca="false">IF(DU$15=1,INDEX(Vol_O,10,DU$14)/12*(1+P_dVol),0)</f>
        <v>0</v>
      </c>
      <c r="DV30" s="48" t="n">
        <f aca="false">IF(DV$15=1,INDEX(Vol_O,10,DV$14)/12*(1+P_dVol),0)</f>
        <v>0</v>
      </c>
      <c r="DW30" s="48" t="n">
        <f aca="false">IF(DW$15=1,INDEX(Vol_O,10,DW$14)/12*(1+P_dVol),0)</f>
        <v>0</v>
      </c>
      <c r="DX30" s="48" t="n">
        <f aca="false">IF(DX$15=1,INDEX(Vol_O,10,DX$14)/12*(1+P_dVol),0)</f>
        <v>0</v>
      </c>
      <c r="DY30" s="48" t="n">
        <f aca="false">IF(DY$15=1,INDEX(Vol_O,10,DY$14)/12*(1+P_dVol),0)</f>
        <v>0</v>
      </c>
      <c r="DZ30" s="48" t="n">
        <f aca="false">IF(DZ$15=1,INDEX(Vol_O,10,DZ$14)/12*(1+P_dVol),0)</f>
        <v>0</v>
      </c>
      <c r="EA30" s="48" t="n">
        <f aca="false">IF(EA$15=1,INDEX(Vol_O,10,EA$14)/12*(1+P_dVol),0)</f>
        <v>0</v>
      </c>
      <c r="EB30" s="48" t="n">
        <f aca="false">IF(EB$15=1,INDEX(Vol_O,10,EB$14)/12*(1+P_dVol),0)</f>
        <v>0</v>
      </c>
      <c r="EC30" s="48" t="n">
        <f aca="false">IF(EC$15=1,INDEX(Vol_O,10,EC$14)/12*(1+P_dVol),0)</f>
        <v>0</v>
      </c>
      <c r="ED30" s="48" t="n">
        <f aca="false">IF(ED$15=1,INDEX(Vol_O,10,ED$14)/12*(1+P_dVol),0)</f>
        <v>0</v>
      </c>
      <c r="EE30" s="48" t="n">
        <f aca="false">IF(EE$15=1,INDEX(Vol_O,10,EE$14)/12*(1+P_dVol),0)</f>
        <v>0</v>
      </c>
      <c r="EF30" s="48" t="n">
        <f aca="false">IF(EF$15=1,INDEX(Vol_O,10,EF$14)/12*(1+P_dVol),0)</f>
        <v>0</v>
      </c>
      <c r="EG30" s="48" t="n">
        <f aca="false">IF(EG$15=1,INDEX(Vol_O,10,EG$14)/12*(1+P_dVol),0)</f>
        <v>0</v>
      </c>
      <c r="EH30" s="48" t="n">
        <f aca="false">IF(EH$15=1,INDEX(Vol_O,10,EH$14)/12*(1+P_dVol),0)</f>
        <v>0</v>
      </c>
      <c r="EI30" s="48" t="n">
        <f aca="false">IF(EI$15=1,INDEX(Vol_O,10,EI$14)/12*(1+P_dVol),0)</f>
        <v>0</v>
      </c>
      <c r="EJ30" s="48" t="n">
        <f aca="false">IF(EJ$15=1,INDEX(Vol_O,10,EJ$14)/12*(1+P_dVol),0)</f>
        <v>0</v>
      </c>
      <c r="EK30" s="48" t="n">
        <f aca="false">IF(EK$15=1,INDEX(Vol_O,10,EK$14)/12*(1+P_dVol),0)</f>
        <v>0</v>
      </c>
      <c r="EL30" s="48" t="n">
        <f aca="false">IF(EL$15=1,INDEX(Vol_O,10,EL$14)/12*(1+P_dVol),0)</f>
        <v>0</v>
      </c>
      <c r="EM30" s="48" t="n">
        <f aca="false">IF(EM$15=1,INDEX(Vol_O,10,EM$14)/12*(1+P_dVol),0)</f>
        <v>0</v>
      </c>
      <c r="EN30" s="48" t="n">
        <f aca="false">IF(EN$15=1,INDEX(Vol_O,10,EN$14)/12*(1+P_dVol),0)</f>
        <v>0</v>
      </c>
      <c r="EO30" s="48" t="n">
        <f aca="false">IF(EO$15=1,INDEX(Vol_O,10,EO$14)/12*(1+P_dVol),0)</f>
        <v>0</v>
      </c>
      <c r="EP30" s="48" t="n">
        <f aca="false">IF(EP$15=1,INDEX(Vol_O,10,EP$14)/12*(1+P_dVol),0)</f>
        <v>0</v>
      </c>
      <c r="EQ30" s="48" t="n">
        <f aca="false">IF(EQ$15=1,INDEX(Vol_O,10,EQ$14)/12*(1+P_dVol),0)</f>
        <v>0</v>
      </c>
      <c r="ER30" s="48" t="n">
        <f aca="false">IF(ER$15=1,INDEX(Vol_O,10,ER$14)/12*(1+P_dVol),0)</f>
        <v>0</v>
      </c>
      <c r="ES30" s="48" t="n">
        <f aca="false">IF(ES$15=1,INDEX(Vol_O,10,ES$14)/12*(1+P_dVol),0)</f>
        <v>0</v>
      </c>
    </row>
    <row r="31" customFormat="false" ht="15" hidden="false" customHeight="false" outlineLevel="0" collapsed="false">
      <c r="A31" s="11" t="s">
        <v>1076</v>
      </c>
      <c r="B31" s="53" t="str">
        <f aca="false">IF(INDEX(Prod_Nombre,11)="","Producto 11",INDEX(Prod_Nombre,11))&amp;" — unidades"</f>
        <v>Producto 11 — unidades</v>
      </c>
      <c r="C31" s="15" t="s">
        <v>544</v>
      </c>
      <c r="E31" s="54" t="n">
        <f aca="false">SUM(F31:ES31)</f>
        <v>0</v>
      </c>
      <c r="F31" s="48" t="n">
        <f aca="false">IF(F$15=1,INDEX(Vol_O,11,F$14)/12*(1+P_dVol),0)</f>
        <v>0</v>
      </c>
      <c r="G31" s="48" t="n">
        <f aca="false">IF(G$15=1,INDEX(Vol_O,11,G$14)/12*(1+P_dVol),0)</f>
        <v>0</v>
      </c>
      <c r="H31" s="48" t="n">
        <f aca="false">IF(H$15=1,INDEX(Vol_O,11,H$14)/12*(1+P_dVol),0)</f>
        <v>0</v>
      </c>
      <c r="I31" s="48" t="n">
        <f aca="false">IF(I$15=1,INDEX(Vol_O,11,I$14)/12*(1+P_dVol),0)</f>
        <v>0</v>
      </c>
      <c r="J31" s="48" t="n">
        <f aca="false">IF(J$15=1,INDEX(Vol_O,11,J$14)/12*(1+P_dVol),0)</f>
        <v>0</v>
      </c>
      <c r="K31" s="48" t="n">
        <f aca="false">IF(K$15=1,INDEX(Vol_O,11,K$14)/12*(1+P_dVol),0)</f>
        <v>0</v>
      </c>
      <c r="L31" s="48" t="n">
        <f aca="false">IF(L$15=1,INDEX(Vol_O,11,L$14)/12*(1+P_dVol),0)</f>
        <v>0</v>
      </c>
      <c r="M31" s="48" t="n">
        <f aca="false">IF(M$15=1,INDEX(Vol_O,11,M$14)/12*(1+P_dVol),0)</f>
        <v>0</v>
      </c>
      <c r="N31" s="48" t="n">
        <f aca="false">IF(N$15=1,INDEX(Vol_O,11,N$14)/12*(1+P_dVol),0)</f>
        <v>0</v>
      </c>
      <c r="O31" s="48" t="n">
        <f aca="false">IF(O$15=1,INDEX(Vol_O,11,O$14)/12*(1+P_dVol),0)</f>
        <v>0</v>
      </c>
      <c r="P31" s="48" t="n">
        <f aca="false">IF(P$15=1,INDEX(Vol_O,11,P$14)/12*(1+P_dVol),0)</f>
        <v>0</v>
      </c>
      <c r="Q31" s="48" t="n">
        <f aca="false">IF(Q$15=1,INDEX(Vol_O,11,Q$14)/12*(1+P_dVol),0)</f>
        <v>0</v>
      </c>
      <c r="R31" s="48" t="n">
        <f aca="false">IF(R$15=1,INDEX(Vol_O,11,R$14)/12*(1+P_dVol),0)</f>
        <v>0</v>
      </c>
      <c r="S31" s="48" t="n">
        <f aca="false">IF(S$15=1,INDEX(Vol_O,11,S$14)/12*(1+P_dVol),0)</f>
        <v>0</v>
      </c>
      <c r="T31" s="48" t="n">
        <f aca="false">IF(T$15=1,INDEX(Vol_O,11,T$14)/12*(1+P_dVol),0)</f>
        <v>0</v>
      </c>
      <c r="U31" s="48" t="n">
        <f aca="false">IF(U$15=1,INDEX(Vol_O,11,U$14)/12*(1+P_dVol),0)</f>
        <v>0</v>
      </c>
      <c r="V31" s="48" t="n">
        <f aca="false">IF(V$15=1,INDEX(Vol_O,11,V$14)/12*(1+P_dVol),0)</f>
        <v>0</v>
      </c>
      <c r="W31" s="48" t="n">
        <f aca="false">IF(W$15=1,INDEX(Vol_O,11,W$14)/12*(1+P_dVol),0)</f>
        <v>0</v>
      </c>
      <c r="X31" s="48" t="n">
        <f aca="false">IF(X$15=1,INDEX(Vol_O,11,X$14)/12*(1+P_dVol),0)</f>
        <v>0</v>
      </c>
      <c r="Y31" s="48" t="n">
        <f aca="false">IF(Y$15=1,INDEX(Vol_O,11,Y$14)/12*(1+P_dVol),0)</f>
        <v>0</v>
      </c>
      <c r="Z31" s="48" t="n">
        <f aca="false">IF(Z$15=1,INDEX(Vol_O,11,Z$14)/12*(1+P_dVol),0)</f>
        <v>0</v>
      </c>
      <c r="AA31" s="48" t="n">
        <f aca="false">IF(AA$15=1,INDEX(Vol_O,11,AA$14)/12*(1+P_dVol),0)</f>
        <v>0</v>
      </c>
      <c r="AB31" s="48" t="n">
        <f aca="false">IF(AB$15=1,INDEX(Vol_O,11,AB$14)/12*(1+P_dVol),0)</f>
        <v>0</v>
      </c>
      <c r="AC31" s="48" t="n">
        <f aca="false">IF(AC$15=1,INDEX(Vol_O,11,AC$14)/12*(1+P_dVol),0)</f>
        <v>0</v>
      </c>
      <c r="AD31" s="48" t="n">
        <f aca="false">IF(AD$15=1,INDEX(Vol_O,11,AD$14)/12*(1+P_dVol),0)</f>
        <v>0</v>
      </c>
      <c r="AE31" s="48" t="n">
        <f aca="false">IF(AE$15=1,INDEX(Vol_O,11,AE$14)/12*(1+P_dVol),0)</f>
        <v>0</v>
      </c>
      <c r="AF31" s="48" t="n">
        <f aca="false">IF(AF$15=1,INDEX(Vol_O,11,AF$14)/12*(1+P_dVol),0)</f>
        <v>0</v>
      </c>
      <c r="AG31" s="48" t="n">
        <f aca="false">IF(AG$15=1,INDEX(Vol_O,11,AG$14)/12*(1+P_dVol),0)</f>
        <v>0</v>
      </c>
      <c r="AH31" s="48" t="n">
        <f aca="false">IF(AH$15=1,INDEX(Vol_O,11,AH$14)/12*(1+P_dVol),0)</f>
        <v>0</v>
      </c>
      <c r="AI31" s="48" t="n">
        <f aca="false">IF(AI$15=1,INDEX(Vol_O,11,AI$14)/12*(1+P_dVol),0)</f>
        <v>0</v>
      </c>
      <c r="AJ31" s="48" t="n">
        <f aca="false">IF(AJ$15=1,INDEX(Vol_O,11,AJ$14)/12*(1+P_dVol),0)</f>
        <v>0</v>
      </c>
      <c r="AK31" s="48" t="n">
        <f aca="false">IF(AK$15=1,INDEX(Vol_O,11,AK$14)/12*(1+P_dVol),0)</f>
        <v>0</v>
      </c>
      <c r="AL31" s="48" t="n">
        <f aca="false">IF(AL$15=1,INDEX(Vol_O,11,AL$14)/12*(1+P_dVol),0)</f>
        <v>0</v>
      </c>
      <c r="AM31" s="48" t="n">
        <f aca="false">IF(AM$15=1,INDEX(Vol_O,11,AM$14)/12*(1+P_dVol),0)</f>
        <v>0</v>
      </c>
      <c r="AN31" s="48" t="n">
        <f aca="false">IF(AN$15=1,INDEX(Vol_O,11,AN$14)/12*(1+P_dVol),0)</f>
        <v>0</v>
      </c>
      <c r="AO31" s="48" t="n">
        <f aca="false">IF(AO$15=1,INDEX(Vol_O,11,AO$14)/12*(1+P_dVol),0)</f>
        <v>0</v>
      </c>
      <c r="AP31" s="48" t="n">
        <f aca="false">IF(AP$15=1,INDEX(Vol_O,11,AP$14)/12*(1+P_dVol),0)</f>
        <v>0</v>
      </c>
      <c r="AQ31" s="48" t="n">
        <f aca="false">IF(AQ$15=1,INDEX(Vol_O,11,AQ$14)/12*(1+P_dVol),0)</f>
        <v>0</v>
      </c>
      <c r="AR31" s="48" t="n">
        <f aca="false">IF(AR$15=1,INDEX(Vol_O,11,AR$14)/12*(1+P_dVol),0)</f>
        <v>0</v>
      </c>
      <c r="AS31" s="48" t="n">
        <f aca="false">IF(AS$15=1,INDEX(Vol_O,11,AS$14)/12*(1+P_dVol),0)</f>
        <v>0</v>
      </c>
      <c r="AT31" s="48" t="n">
        <f aca="false">IF(AT$15=1,INDEX(Vol_O,11,AT$14)/12*(1+P_dVol),0)</f>
        <v>0</v>
      </c>
      <c r="AU31" s="48" t="n">
        <f aca="false">IF(AU$15=1,INDEX(Vol_O,11,AU$14)/12*(1+P_dVol),0)</f>
        <v>0</v>
      </c>
      <c r="AV31" s="48" t="n">
        <f aca="false">IF(AV$15=1,INDEX(Vol_O,11,AV$14)/12*(1+P_dVol),0)</f>
        <v>0</v>
      </c>
      <c r="AW31" s="48" t="n">
        <f aca="false">IF(AW$15=1,INDEX(Vol_O,11,AW$14)/12*(1+P_dVol),0)</f>
        <v>0</v>
      </c>
      <c r="AX31" s="48" t="n">
        <f aca="false">IF(AX$15=1,INDEX(Vol_O,11,AX$14)/12*(1+P_dVol),0)</f>
        <v>0</v>
      </c>
      <c r="AY31" s="48" t="n">
        <f aca="false">IF(AY$15=1,INDEX(Vol_O,11,AY$14)/12*(1+P_dVol),0)</f>
        <v>0</v>
      </c>
      <c r="AZ31" s="48" t="n">
        <f aca="false">IF(AZ$15=1,INDEX(Vol_O,11,AZ$14)/12*(1+P_dVol),0)</f>
        <v>0</v>
      </c>
      <c r="BA31" s="48" t="n">
        <f aca="false">IF(BA$15=1,INDEX(Vol_O,11,BA$14)/12*(1+P_dVol),0)</f>
        <v>0</v>
      </c>
      <c r="BB31" s="48" t="n">
        <f aca="false">IF(BB$15=1,INDEX(Vol_O,11,BB$14)/12*(1+P_dVol),0)</f>
        <v>0</v>
      </c>
      <c r="BC31" s="48" t="n">
        <f aca="false">IF(BC$15=1,INDEX(Vol_O,11,BC$14)/12*(1+P_dVol),0)</f>
        <v>0</v>
      </c>
      <c r="BD31" s="48" t="n">
        <f aca="false">IF(BD$15=1,INDEX(Vol_O,11,BD$14)/12*(1+P_dVol),0)</f>
        <v>0</v>
      </c>
      <c r="BE31" s="48" t="n">
        <f aca="false">IF(BE$15=1,INDEX(Vol_O,11,BE$14)/12*(1+P_dVol),0)</f>
        <v>0</v>
      </c>
      <c r="BF31" s="48" t="n">
        <f aca="false">IF(BF$15=1,INDEX(Vol_O,11,BF$14)/12*(1+P_dVol),0)</f>
        <v>0</v>
      </c>
      <c r="BG31" s="48" t="n">
        <f aca="false">IF(BG$15=1,INDEX(Vol_O,11,BG$14)/12*(1+P_dVol),0)</f>
        <v>0</v>
      </c>
      <c r="BH31" s="48" t="n">
        <f aca="false">IF(BH$15=1,INDEX(Vol_O,11,BH$14)/12*(1+P_dVol),0)</f>
        <v>0</v>
      </c>
      <c r="BI31" s="48" t="n">
        <f aca="false">IF(BI$15=1,INDEX(Vol_O,11,BI$14)/12*(1+P_dVol),0)</f>
        <v>0</v>
      </c>
      <c r="BJ31" s="48" t="n">
        <f aca="false">IF(BJ$15=1,INDEX(Vol_O,11,BJ$14)/12*(1+P_dVol),0)</f>
        <v>0</v>
      </c>
      <c r="BK31" s="48" t="n">
        <f aca="false">IF(BK$15=1,INDEX(Vol_O,11,BK$14)/12*(1+P_dVol),0)</f>
        <v>0</v>
      </c>
      <c r="BL31" s="48" t="n">
        <f aca="false">IF(BL$15=1,INDEX(Vol_O,11,BL$14)/12*(1+P_dVol),0)</f>
        <v>0</v>
      </c>
      <c r="BM31" s="48" t="n">
        <f aca="false">IF(BM$15=1,INDEX(Vol_O,11,BM$14)/12*(1+P_dVol),0)</f>
        <v>0</v>
      </c>
      <c r="BN31" s="48" t="n">
        <f aca="false">IF(BN$15=1,INDEX(Vol_O,11,BN$14)/12*(1+P_dVol),0)</f>
        <v>0</v>
      </c>
      <c r="BO31" s="48" t="n">
        <f aca="false">IF(BO$15=1,INDEX(Vol_O,11,BO$14)/12*(1+P_dVol),0)</f>
        <v>0</v>
      </c>
      <c r="BP31" s="48" t="n">
        <f aca="false">IF(BP$15=1,INDEX(Vol_O,11,BP$14)/12*(1+P_dVol),0)</f>
        <v>0</v>
      </c>
      <c r="BQ31" s="48" t="n">
        <f aca="false">IF(BQ$15=1,INDEX(Vol_O,11,BQ$14)/12*(1+P_dVol),0)</f>
        <v>0</v>
      </c>
      <c r="BR31" s="48" t="n">
        <f aca="false">IF(BR$15=1,INDEX(Vol_O,11,BR$14)/12*(1+P_dVol),0)</f>
        <v>0</v>
      </c>
      <c r="BS31" s="48" t="n">
        <f aca="false">IF(BS$15=1,INDEX(Vol_O,11,BS$14)/12*(1+P_dVol),0)</f>
        <v>0</v>
      </c>
      <c r="BT31" s="48" t="n">
        <f aca="false">IF(BT$15=1,INDEX(Vol_O,11,BT$14)/12*(1+P_dVol),0)</f>
        <v>0</v>
      </c>
      <c r="BU31" s="48" t="n">
        <f aca="false">IF(BU$15=1,INDEX(Vol_O,11,BU$14)/12*(1+P_dVol),0)</f>
        <v>0</v>
      </c>
      <c r="BV31" s="48" t="n">
        <f aca="false">IF(BV$15=1,INDEX(Vol_O,11,BV$14)/12*(1+P_dVol),0)</f>
        <v>0</v>
      </c>
      <c r="BW31" s="48" t="n">
        <f aca="false">IF(BW$15=1,INDEX(Vol_O,11,BW$14)/12*(1+P_dVol),0)</f>
        <v>0</v>
      </c>
      <c r="BX31" s="48" t="n">
        <f aca="false">IF(BX$15=1,INDEX(Vol_O,11,BX$14)/12*(1+P_dVol),0)</f>
        <v>0</v>
      </c>
      <c r="BY31" s="48" t="n">
        <f aca="false">IF(BY$15=1,INDEX(Vol_O,11,BY$14)/12*(1+P_dVol),0)</f>
        <v>0</v>
      </c>
      <c r="BZ31" s="48" t="n">
        <f aca="false">IF(BZ$15=1,INDEX(Vol_O,11,BZ$14)/12*(1+P_dVol),0)</f>
        <v>0</v>
      </c>
      <c r="CA31" s="48" t="n">
        <f aca="false">IF(CA$15=1,INDEX(Vol_O,11,CA$14)/12*(1+P_dVol),0)</f>
        <v>0</v>
      </c>
      <c r="CB31" s="48" t="n">
        <f aca="false">IF(CB$15=1,INDEX(Vol_O,11,CB$14)/12*(1+P_dVol),0)</f>
        <v>0</v>
      </c>
      <c r="CC31" s="48" t="n">
        <f aca="false">IF(CC$15=1,INDEX(Vol_O,11,CC$14)/12*(1+P_dVol),0)</f>
        <v>0</v>
      </c>
      <c r="CD31" s="48" t="n">
        <f aca="false">IF(CD$15=1,INDEX(Vol_O,11,CD$14)/12*(1+P_dVol),0)</f>
        <v>0</v>
      </c>
      <c r="CE31" s="48" t="n">
        <f aca="false">IF(CE$15=1,INDEX(Vol_O,11,CE$14)/12*(1+P_dVol),0)</f>
        <v>0</v>
      </c>
      <c r="CF31" s="48" t="n">
        <f aca="false">IF(CF$15=1,INDEX(Vol_O,11,CF$14)/12*(1+P_dVol),0)</f>
        <v>0</v>
      </c>
      <c r="CG31" s="48" t="n">
        <f aca="false">IF(CG$15=1,INDEX(Vol_O,11,CG$14)/12*(1+P_dVol),0)</f>
        <v>0</v>
      </c>
      <c r="CH31" s="48" t="n">
        <f aca="false">IF(CH$15=1,INDEX(Vol_O,11,CH$14)/12*(1+P_dVol),0)</f>
        <v>0</v>
      </c>
      <c r="CI31" s="48" t="n">
        <f aca="false">IF(CI$15=1,INDEX(Vol_O,11,CI$14)/12*(1+P_dVol),0)</f>
        <v>0</v>
      </c>
      <c r="CJ31" s="48" t="n">
        <f aca="false">IF(CJ$15=1,INDEX(Vol_O,11,CJ$14)/12*(1+P_dVol),0)</f>
        <v>0</v>
      </c>
      <c r="CK31" s="48" t="n">
        <f aca="false">IF(CK$15=1,INDEX(Vol_O,11,CK$14)/12*(1+P_dVol),0)</f>
        <v>0</v>
      </c>
      <c r="CL31" s="48" t="n">
        <f aca="false">IF(CL$15=1,INDEX(Vol_O,11,CL$14)/12*(1+P_dVol),0)</f>
        <v>0</v>
      </c>
      <c r="CM31" s="48" t="n">
        <f aca="false">IF(CM$15=1,INDEX(Vol_O,11,CM$14)/12*(1+P_dVol),0)</f>
        <v>0</v>
      </c>
      <c r="CN31" s="48" t="n">
        <f aca="false">IF(CN$15=1,INDEX(Vol_O,11,CN$14)/12*(1+P_dVol),0)</f>
        <v>0</v>
      </c>
      <c r="CO31" s="48" t="n">
        <f aca="false">IF(CO$15=1,INDEX(Vol_O,11,CO$14)/12*(1+P_dVol),0)</f>
        <v>0</v>
      </c>
      <c r="CP31" s="48" t="n">
        <f aca="false">IF(CP$15=1,INDEX(Vol_O,11,CP$14)/12*(1+P_dVol),0)</f>
        <v>0</v>
      </c>
      <c r="CQ31" s="48" t="n">
        <f aca="false">IF(CQ$15=1,INDEX(Vol_O,11,CQ$14)/12*(1+P_dVol),0)</f>
        <v>0</v>
      </c>
      <c r="CR31" s="48" t="n">
        <f aca="false">IF(CR$15=1,INDEX(Vol_O,11,CR$14)/12*(1+P_dVol),0)</f>
        <v>0</v>
      </c>
      <c r="CS31" s="48" t="n">
        <f aca="false">IF(CS$15=1,INDEX(Vol_O,11,CS$14)/12*(1+P_dVol),0)</f>
        <v>0</v>
      </c>
      <c r="CT31" s="48" t="n">
        <f aca="false">IF(CT$15=1,INDEX(Vol_O,11,CT$14)/12*(1+P_dVol),0)</f>
        <v>0</v>
      </c>
      <c r="CU31" s="48" t="n">
        <f aca="false">IF(CU$15=1,INDEX(Vol_O,11,CU$14)/12*(1+P_dVol),0)</f>
        <v>0</v>
      </c>
      <c r="CV31" s="48" t="n">
        <f aca="false">IF(CV$15=1,INDEX(Vol_O,11,CV$14)/12*(1+P_dVol),0)</f>
        <v>0</v>
      </c>
      <c r="CW31" s="48" t="n">
        <f aca="false">IF(CW$15=1,INDEX(Vol_O,11,CW$14)/12*(1+P_dVol),0)</f>
        <v>0</v>
      </c>
      <c r="CX31" s="48" t="n">
        <f aca="false">IF(CX$15=1,INDEX(Vol_O,11,CX$14)/12*(1+P_dVol),0)</f>
        <v>0</v>
      </c>
      <c r="CY31" s="48" t="n">
        <f aca="false">IF(CY$15=1,INDEX(Vol_O,11,CY$14)/12*(1+P_dVol),0)</f>
        <v>0</v>
      </c>
      <c r="CZ31" s="48" t="n">
        <f aca="false">IF(CZ$15=1,INDEX(Vol_O,11,CZ$14)/12*(1+P_dVol),0)</f>
        <v>0</v>
      </c>
      <c r="DA31" s="48" t="n">
        <f aca="false">IF(DA$15=1,INDEX(Vol_O,11,DA$14)/12*(1+P_dVol),0)</f>
        <v>0</v>
      </c>
      <c r="DB31" s="48" t="n">
        <f aca="false">IF(DB$15=1,INDEX(Vol_O,11,DB$14)/12*(1+P_dVol),0)</f>
        <v>0</v>
      </c>
      <c r="DC31" s="48" t="n">
        <f aca="false">IF(DC$15=1,INDEX(Vol_O,11,DC$14)/12*(1+P_dVol),0)</f>
        <v>0</v>
      </c>
      <c r="DD31" s="48" t="n">
        <f aca="false">IF(DD$15=1,INDEX(Vol_O,11,DD$14)/12*(1+P_dVol),0)</f>
        <v>0</v>
      </c>
      <c r="DE31" s="48" t="n">
        <f aca="false">IF(DE$15=1,INDEX(Vol_O,11,DE$14)/12*(1+P_dVol),0)</f>
        <v>0</v>
      </c>
      <c r="DF31" s="48" t="n">
        <f aca="false">IF(DF$15=1,INDEX(Vol_O,11,DF$14)/12*(1+P_dVol),0)</f>
        <v>0</v>
      </c>
      <c r="DG31" s="48" t="n">
        <f aca="false">IF(DG$15=1,INDEX(Vol_O,11,DG$14)/12*(1+P_dVol),0)</f>
        <v>0</v>
      </c>
      <c r="DH31" s="48" t="n">
        <f aca="false">IF(DH$15=1,INDEX(Vol_O,11,DH$14)/12*(1+P_dVol),0)</f>
        <v>0</v>
      </c>
      <c r="DI31" s="48" t="n">
        <f aca="false">IF(DI$15=1,INDEX(Vol_O,11,DI$14)/12*(1+P_dVol),0)</f>
        <v>0</v>
      </c>
      <c r="DJ31" s="48" t="n">
        <f aca="false">IF(DJ$15=1,INDEX(Vol_O,11,DJ$14)/12*(1+P_dVol),0)</f>
        <v>0</v>
      </c>
      <c r="DK31" s="48" t="n">
        <f aca="false">IF(DK$15=1,INDEX(Vol_O,11,DK$14)/12*(1+P_dVol),0)</f>
        <v>0</v>
      </c>
      <c r="DL31" s="48" t="n">
        <f aca="false">IF(DL$15=1,INDEX(Vol_O,11,DL$14)/12*(1+P_dVol),0)</f>
        <v>0</v>
      </c>
      <c r="DM31" s="48" t="n">
        <f aca="false">IF(DM$15=1,INDEX(Vol_O,11,DM$14)/12*(1+P_dVol),0)</f>
        <v>0</v>
      </c>
      <c r="DN31" s="48" t="n">
        <f aca="false">IF(DN$15=1,INDEX(Vol_O,11,DN$14)/12*(1+P_dVol),0)</f>
        <v>0</v>
      </c>
      <c r="DO31" s="48" t="n">
        <f aca="false">IF(DO$15=1,INDEX(Vol_O,11,DO$14)/12*(1+P_dVol),0)</f>
        <v>0</v>
      </c>
      <c r="DP31" s="48" t="n">
        <f aca="false">IF(DP$15=1,INDEX(Vol_O,11,DP$14)/12*(1+P_dVol),0)</f>
        <v>0</v>
      </c>
      <c r="DQ31" s="48" t="n">
        <f aca="false">IF(DQ$15=1,INDEX(Vol_O,11,DQ$14)/12*(1+P_dVol),0)</f>
        <v>0</v>
      </c>
      <c r="DR31" s="48" t="n">
        <f aca="false">IF(DR$15=1,INDEX(Vol_O,11,DR$14)/12*(1+P_dVol),0)</f>
        <v>0</v>
      </c>
      <c r="DS31" s="48" t="n">
        <f aca="false">IF(DS$15=1,INDEX(Vol_O,11,DS$14)/12*(1+P_dVol),0)</f>
        <v>0</v>
      </c>
      <c r="DT31" s="48" t="n">
        <f aca="false">IF(DT$15=1,INDEX(Vol_O,11,DT$14)/12*(1+P_dVol),0)</f>
        <v>0</v>
      </c>
      <c r="DU31" s="48" t="n">
        <f aca="false">IF(DU$15=1,INDEX(Vol_O,11,DU$14)/12*(1+P_dVol),0)</f>
        <v>0</v>
      </c>
      <c r="DV31" s="48" t="n">
        <f aca="false">IF(DV$15=1,INDEX(Vol_O,11,DV$14)/12*(1+P_dVol),0)</f>
        <v>0</v>
      </c>
      <c r="DW31" s="48" t="n">
        <f aca="false">IF(DW$15=1,INDEX(Vol_O,11,DW$14)/12*(1+P_dVol),0)</f>
        <v>0</v>
      </c>
      <c r="DX31" s="48" t="n">
        <f aca="false">IF(DX$15=1,INDEX(Vol_O,11,DX$14)/12*(1+P_dVol),0)</f>
        <v>0</v>
      </c>
      <c r="DY31" s="48" t="n">
        <f aca="false">IF(DY$15=1,INDEX(Vol_O,11,DY$14)/12*(1+P_dVol),0)</f>
        <v>0</v>
      </c>
      <c r="DZ31" s="48" t="n">
        <f aca="false">IF(DZ$15=1,INDEX(Vol_O,11,DZ$14)/12*(1+P_dVol),0)</f>
        <v>0</v>
      </c>
      <c r="EA31" s="48" t="n">
        <f aca="false">IF(EA$15=1,INDEX(Vol_O,11,EA$14)/12*(1+P_dVol),0)</f>
        <v>0</v>
      </c>
      <c r="EB31" s="48" t="n">
        <f aca="false">IF(EB$15=1,INDEX(Vol_O,11,EB$14)/12*(1+P_dVol),0)</f>
        <v>0</v>
      </c>
      <c r="EC31" s="48" t="n">
        <f aca="false">IF(EC$15=1,INDEX(Vol_O,11,EC$14)/12*(1+P_dVol),0)</f>
        <v>0</v>
      </c>
      <c r="ED31" s="48" t="n">
        <f aca="false">IF(ED$15=1,INDEX(Vol_O,11,ED$14)/12*(1+P_dVol),0)</f>
        <v>0</v>
      </c>
      <c r="EE31" s="48" t="n">
        <f aca="false">IF(EE$15=1,INDEX(Vol_O,11,EE$14)/12*(1+P_dVol),0)</f>
        <v>0</v>
      </c>
      <c r="EF31" s="48" t="n">
        <f aca="false">IF(EF$15=1,INDEX(Vol_O,11,EF$14)/12*(1+P_dVol),0)</f>
        <v>0</v>
      </c>
      <c r="EG31" s="48" t="n">
        <f aca="false">IF(EG$15=1,INDEX(Vol_O,11,EG$14)/12*(1+P_dVol),0)</f>
        <v>0</v>
      </c>
      <c r="EH31" s="48" t="n">
        <f aca="false">IF(EH$15=1,INDEX(Vol_O,11,EH$14)/12*(1+P_dVol),0)</f>
        <v>0</v>
      </c>
      <c r="EI31" s="48" t="n">
        <f aca="false">IF(EI$15=1,INDEX(Vol_O,11,EI$14)/12*(1+P_dVol),0)</f>
        <v>0</v>
      </c>
      <c r="EJ31" s="48" t="n">
        <f aca="false">IF(EJ$15=1,INDEX(Vol_O,11,EJ$14)/12*(1+P_dVol),0)</f>
        <v>0</v>
      </c>
      <c r="EK31" s="48" t="n">
        <f aca="false">IF(EK$15=1,INDEX(Vol_O,11,EK$14)/12*(1+P_dVol),0)</f>
        <v>0</v>
      </c>
      <c r="EL31" s="48" t="n">
        <f aca="false">IF(EL$15=1,INDEX(Vol_O,11,EL$14)/12*(1+P_dVol),0)</f>
        <v>0</v>
      </c>
      <c r="EM31" s="48" t="n">
        <f aca="false">IF(EM$15=1,INDEX(Vol_O,11,EM$14)/12*(1+P_dVol),0)</f>
        <v>0</v>
      </c>
      <c r="EN31" s="48" t="n">
        <f aca="false">IF(EN$15=1,INDEX(Vol_O,11,EN$14)/12*(1+P_dVol),0)</f>
        <v>0</v>
      </c>
      <c r="EO31" s="48" t="n">
        <f aca="false">IF(EO$15=1,INDEX(Vol_O,11,EO$14)/12*(1+P_dVol),0)</f>
        <v>0</v>
      </c>
      <c r="EP31" s="48" t="n">
        <f aca="false">IF(EP$15=1,INDEX(Vol_O,11,EP$14)/12*(1+P_dVol),0)</f>
        <v>0</v>
      </c>
      <c r="EQ31" s="48" t="n">
        <f aca="false">IF(EQ$15=1,INDEX(Vol_O,11,EQ$14)/12*(1+P_dVol),0)</f>
        <v>0</v>
      </c>
      <c r="ER31" s="48" t="n">
        <f aca="false">IF(ER$15=1,INDEX(Vol_O,11,ER$14)/12*(1+P_dVol),0)</f>
        <v>0</v>
      </c>
      <c r="ES31" s="48" t="n">
        <f aca="false">IF(ES$15=1,INDEX(Vol_O,11,ES$14)/12*(1+P_dVol),0)</f>
        <v>0</v>
      </c>
    </row>
    <row r="32" customFormat="false" ht="15" hidden="false" customHeight="false" outlineLevel="0" collapsed="false">
      <c r="A32" s="11" t="s">
        <v>1077</v>
      </c>
      <c r="B32" s="53" t="str">
        <f aca="false">IF(INDEX(Prod_Nombre,12)="","Producto 12",INDEX(Prod_Nombre,12))&amp;" — unidades"</f>
        <v>Producto 12 — unidades</v>
      </c>
      <c r="C32" s="15" t="s">
        <v>544</v>
      </c>
      <c r="E32" s="54" t="n">
        <f aca="false">SUM(F32:ES32)</f>
        <v>0</v>
      </c>
      <c r="F32" s="48" t="n">
        <f aca="false">IF(F$15=1,INDEX(Vol_O,12,F$14)/12*(1+P_dVol),0)</f>
        <v>0</v>
      </c>
      <c r="G32" s="48" t="n">
        <f aca="false">IF(G$15=1,INDEX(Vol_O,12,G$14)/12*(1+P_dVol),0)</f>
        <v>0</v>
      </c>
      <c r="H32" s="48" t="n">
        <f aca="false">IF(H$15=1,INDEX(Vol_O,12,H$14)/12*(1+P_dVol),0)</f>
        <v>0</v>
      </c>
      <c r="I32" s="48" t="n">
        <f aca="false">IF(I$15=1,INDEX(Vol_O,12,I$14)/12*(1+P_dVol),0)</f>
        <v>0</v>
      </c>
      <c r="J32" s="48" t="n">
        <f aca="false">IF(J$15=1,INDEX(Vol_O,12,J$14)/12*(1+P_dVol),0)</f>
        <v>0</v>
      </c>
      <c r="K32" s="48" t="n">
        <f aca="false">IF(K$15=1,INDEX(Vol_O,12,K$14)/12*(1+P_dVol),0)</f>
        <v>0</v>
      </c>
      <c r="L32" s="48" t="n">
        <f aca="false">IF(L$15=1,INDEX(Vol_O,12,L$14)/12*(1+P_dVol),0)</f>
        <v>0</v>
      </c>
      <c r="M32" s="48" t="n">
        <f aca="false">IF(M$15=1,INDEX(Vol_O,12,M$14)/12*(1+P_dVol),0)</f>
        <v>0</v>
      </c>
      <c r="N32" s="48" t="n">
        <f aca="false">IF(N$15=1,INDEX(Vol_O,12,N$14)/12*(1+P_dVol),0)</f>
        <v>0</v>
      </c>
      <c r="O32" s="48" t="n">
        <f aca="false">IF(O$15=1,INDEX(Vol_O,12,O$14)/12*(1+P_dVol),0)</f>
        <v>0</v>
      </c>
      <c r="P32" s="48" t="n">
        <f aca="false">IF(P$15=1,INDEX(Vol_O,12,P$14)/12*(1+P_dVol),0)</f>
        <v>0</v>
      </c>
      <c r="Q32" s="48" t="n">
        <f aca="false">IF(Q$15=1,INDEX(Vol_O,12,Q$14)/12*(1+P_dVol),0)</f>
        <v>0</v>
      </c>
      <c r="R32" s="48" t="n">
        <f aca="false">IF(R$15=1,INDEX(Vol_O,12,R$14)/12*(1+P_dVol),0)</f>
        <v>0</v>
      </c>
      <c r="S32" s="48" t="n">
        <f aca="false">IF(S$15=1,INDEX(Vol_O,12,S$14)/12*(1+P_dVol),0)</f>
        <v>0</v>
      </c>
      <c r="T32" s="48" t="n">
        <f aca="false">IF(T$15=1,INDEX(Vol_O,12,T$14)/12*(1+P_dVol),0)</f>
        <v>0</v>
      </c>
      <c r="U32" s="48" t="n">
        <f aca="false">IF(U$15=1,INDEX(Vol_O,12,U$14)/12*(1+P_dVol),0)</f>
        <v>0</v>
      </c>
      <c r="V32" s="48" t="n">
        <f aca="false">IF(V$15=1,INDEX(Vol_O,12,V$14)/12*(1+P_dVol),0)</f>
        <v>0</v>
      </c>
      <c r="W32" s="48" t="n">
        <f aca="false">IF(W$15=1,INDEX(Vol_O,12,W$14)/12*(1+P_dVol),0)</f>
        <v>0</v>
      </c>
      <c r="X32" s="48" t="n">
        <f aca="false">IF(X$15=1,INDEX(Vol_O,12,X$14)/12*(1+P_dVol),0)</f>
        <v>0</v>
      </c>
      <c r="Y32" s="48" t="n">
        <f aca="false">IF(Y$15=1,INDEX(Vol_O,12,Y$14)/12*(1+P_dVol),0)</f>
        <v>0</v>
      </c>
      <c r="Z32" s="48" t="n">
        <f aca="false">IF(Z$15=1,INDEX(Vol_O,12,Z$14)/12*(1+P_dVol),0)</f>
        <v>0</v>
      </c>
      <c r="AA32" s="48" t="n">
        <f aca="false">IF(AA$15=1,INDEX(Vol_O,12,AA$14)/12*(1+P_dVol),0)</f>
        <v>0</v>
      </c>
      <c r="AB32" s="48" t="n">
        <f aca="false">IF(AB$15=1,INDEX(Vol_O,12,AB$14)/12*(1+P_dVol),0)</f>
        <v>0</v>
      </c>
      <c r="AC32" s="48" t="n">
        <f aca="false">IF(AC$15=1,INDEX(Vol_O,12,AC$14)/12*(1+P_dVol),0)</f>
        <v>0</v>
      </c>
      <c r="AD32" s="48" t="n">
        <f aca="false">IF(AD$15=1,INDEX(Vol_O,12,AD$14)/12*(1+P_dVol),0)</f>
        <v>0</v>
      </c>
      <c r="AE32" s="48" t="n">
        <f aca="false">IF(AE$15=1,INDEX(Vol_O,12,AE$14)/12*(1+P_dVol),0)</f>
        <v>0</v>
      </c>
      <c r="AF32" s="48" t="n">
        <f aca="false">IF(AF$15=1,INDEX(Vol_O,12,AF$14)/12*(1+P_dVol),0)</f>
        <v>0</v>
      </c>
      <c r="AG32" s="48" t="n">
        <f aca="false">IF(AG$15=1,INDEX(Vol_O,12,AG$14)/12*(1+P_dVol),0)</f>
        <v>0</v>
      </c>
      <c r="AH32" s="48" t="n">
        <f aca="false">IF(AH$15=1,INDEX(Vol_O,12,AH$14)/12*(1+P_dVol),0)</f>
        <v>0</v>
      </c>
      <c r="AI32" s="48" t="n">
        <f aca="false">IF(AI$15=1,INDEX(Vol_O,12,AI$14)/12*(1+P_dVol),0)</f>
        <v>0</v>
      </c>
      <c r="AJ32" s="48" t="n">
        <f aca="false">IF(AJ$15=1,INDEX(Vol_O,12,AJ$14)/12*(1+P_dVol),0)</f>
        <v>0</v>
      </c>
      <c r="AK32" s="48" t="n">
        <f aca="false">IF(AK$15=1,INDEX(Vol_O,12,AK$14)/12*(1+P_dVol),0)</f>
        <v>0</v>
      </c>
      <c r="AL32" s="48" t="n">
        <f aca="false">IF(AL$15=1,INDEX(Vol_O,12,AL$14)/12*(1+P_dVol),0)</f>
        <v>0</v>
      </c>
      <c r="AM32" s="48" t="n">
        <f aca="false">IF(AM$15=1,INDEX(Vol_O,12,AM$14)/12*(1+P_dVol),0)</f>
        <v>0</v>
      </c>
      <c r="AN32" s="48" t="n">
        <f aca="false">IF(AN$15=1,INDEX(Vol_O,12,AN$14)/12*(1+P_dVol),0)</f>
        <v>0</v>
      </c>
      <c r="AO32" s="48" t="n">
        <f aca="false">IF(AO$15=1,INDEX(Vol_O,12,AO$14)/12*(1+P_dVol),0)</f>
        <v>0</v>
      </c>
      <c r="AP32" s="48" t="n">
        <f aca="false">IF(AP$15=1,INDEX(Vol_O,12,AP$14)/12*(1+P_dVol),0)</f>
        <v>0</v>
      </c>
      <c r="AQ32" s="48" t="n">
        <f aca="false">IF(AQ$15=1,INDEX(Vol_O,12,AQ$14)/12*(1+P_dVol),0)</f>
        <v>0</v>
      </c>
      <c r="AR32" s="48" t="n">
        <f aca="false">IF(AR$15=1,INDEX(Vol_O,12,AR$14)/12*(1+P_dVol),0)</f>
        <v>0</v>
      </c>
      <c r="AS32" s="48" t="n">
        <f aca="false">IF(AS$15=1,INDEX(Vol_O,12,AS$14)/12*(1+P_dVol),0)</f>
        <v>0</v>
      </c>
      <c r="AT32" s="48" t="n">
        <f aca="false">IF(AT$15=1,INDEX(Vol_O,12,AT$14)/12*(1+P_dVol),0)</f>
        <v>0</v>
      </c>
      <c r="AU32" s="48" t="n">
        <f aca="false">IF(AU$15=1,INDEX(Vol_O,12,AU$14)/12*(1+P_dVol),0)</f>
        <v>0</v>
      </c>
      <c r="AV32" s="48" t="n">
        <f aca="false">IF(AV$15=1,INDEX(Vol_O,12,AV$14)/12*(1+P_dVol),0)</f>
        <v>0</v>
      </c>
      <c r="AW32" s="48" t="n">
        <f aca="false">IF(AW$15=1,INDEX(Vol_O,12,AW$14)/12*(1+P_dVol),0)</f>
        <v>0</v>
      </c>
      <c r="AX32" s="48" t="n">
        <f aca="false">IF(AX$15=1,INDEX(Vol_O,12,AX$14)/12*(1+P_dVol),0)</f>
        <v>0</v>
      </c>
      <c r="AY32" s="48" t="n">
        <f aca="false">IF(AY$15=1,INDEX(Vol_O,12,AY$14)/12*(1+P_dVol),0)</f>
        <v>0</v>
      </c>
      <c r="AZ32" s="48" t="n">
        <f aca="false">IF(AZ$15=1,INDEX(Vol_O,12,AZ$14)/12*(1+P_dVol),0)</f>
        <v>0</v>
      </c>
      <c r="BA32" s="48" t="n">
        <f aca="false">IF(BA$15=1,INDEX(Vol_O,12,BA$14)/12*(1+P_dVol),0)</f>
        <v>0</v>
      </c>
      <c r="BB32" s="48" t="n">
        <f aca="false">IF(BB$15=1,INDEX(Vol_O,12,BB$14)/12*(1+P_dVol),0)</f>
        <v>0</v>
      </c>
      <c r="BC32" s="48" t="n">
        <f aca="false">IF(BC$15=1,INDEX(Vol_O,12,BC$14)/12*(1+P_dVol),0)</f>
        <v>0</v>
      </c>
      <c r="BD32" s="48" t="n">
        <f aca="false">IF(BD$15=1,INDEX(Vol_O,12,BD$14)/12*(1+P_dVol),0)</f>
        <v>0</v>
      </c>
      <c r="BE32" s="48" t="n">
        <f aca="false">IF(BE$15=1,INDEX(Vol_O,12,BE$14)/12*(1+P_dVol),0)</f>
        <v>0</v>
      </c>
      <c r="BF32" s="48" t="n">
        <f aca="false">IF(BF$15=1,INDEX(Vol_O,12,BF$14)/12*(1+P_dVol),0)</f>
        <v>0</v>
      </c>
      <c r="BG32" s="48" t="n">
        <f aca="false">IF(BG$15=1,INDEX(Vol_O,12,BG$14)/12*(1+P_dVol),0)</f>
        <v>0</v>
      </c>
      <c r="BH32" s="48" t="n">
        <f aca="false">IF(BH$15=1,INDEX(Vol_O,12,BH$14)/12*(1+P_dVol),0)</f>
        <v>0</v>
      </c>
      <c r="BI32" s="48" t="n">
        <f aca="false">IF(BI$15=1,INDEX(Vol_O,12,BI$14)/12*(1+P_dVol),0)</f>
        <v>0</v>
      </c>
      <c r="BJ32" s="48" t="n">
        <f aca="false">IF(BJ$15=1,INDEX(Vol_O,12,BJ$14)/12*(1+P_dVol),0)</f>
        <v>0</v>
      </c>
      <c r="BK32" s="48" t="n">
        <f aca="false">IF(BK$15=1,INDEX(Vol_O,12,BK$14)/12*(1+P_dVol),0)</f>
        <v>0</v>
      </c>
      <c r="BL32" s="48" t="n">
        <f aca="false">IF(BL$15=1,INDEX(Vol_O,12,BL$14)/12*(1+P_dVol),0)</f>
        <v>0</v>
      </c>
      <c r="BM32" s="48" t="n">
        <f aca="false">IF(BM$15=1,INDEX(Vol_O,12,BM$14)/12*(1+P_dVol),0)</f>
        <v>0</v>
      </c>
      <c r="BN32" s="48" t="n">
        <f aca="false">IF(BN$15=1,INDEX(Vol_O,12,BN$14)/12*(1+P_dVol),0)</f>
        <v>0</v>
      </c>
      <c r="BO32" s="48" t="n">
        <f aca="false">IF(BO$15=1,INDEX(Vol_O,12,BO$14)/12*(1+P_dVol),0)</f>
        <v>0</v>
      </c>
      <c r="BP32" s="48" t="n">
        <f aca="false">IF(BP$15=1,INDEX(Vol_O,12,BP$14)/12*(1+P_dVol),0)</f>
        <v>0</v>
      </c>
      <c r="BQ32" s="48" t="n">
        <f aca="false">IF(BQ$15=1,INDEX(Vol_O,12,BQ$14)/12*(1+P_dVol),0)</f>
        <v>0</v>
      </c>
      <c r="BR32" s="48" t="n">
        <f aca="false">IF(BR$15=1,INDEX(Vol_O,12,BR$14)/12*(1+P_dVol),0)</f>
        <v>0</v>
      </c>
      <c r="BS32" s="48" t="n">
        <f aca="false">IF(BS$15=1,INDEX(Vol_O,12,BS$14)/12*(1+P_dVol),0)</f>
        <v>0</v>
      </c>
      <c r="BT32" s="48" t="n">
        <f aca="false">IF(BT$15=1,INDEX(Vol_O,12,BT$14)/12*(1+P_dVol),0)</f>
        <v>0</v>
      </c>
      <c r="BU32" s="48" t="n">
        <f aca="false">IF(BU$15=1,INDEX(Vol_O,12,BU$14)/12*(1+P_dVol),0)</f>
        <v>0</v>
      </c>
      <c r="BV32" s="48" t="n">
        <f aca="false">IF(BV$15=1,INDEX(Vol_O,12,BV$14)/12*(1+P_dVol),0)</f>
        <v>0</v>
      </c>
      <c r="BW32" s="48" t="n">
        <f aca="false">IF(BW$15=1,INDEX(Vol_O,12,BW$14)/12*(1+P_dVol),0)</f>
        <v>0</v>
      </c>
      <c r="BX32" s="48" t="n">
        <f aca="false">IF(BX$15=1,INDEX(Vol_O,12,BX$14)/12*(1+P_dVol),0)</f>
        <v>0</v>
      </c>
      <c r="BY32" s="48" t="n">
        <f aca="false">IF(BY$15=1,INDEX(Vol_O,12,BY$14)/12*(1+P_dVol),0)</f>
        <v>0</v>
      </c>
      <c r="BZ32" s="48" t="n">
        <f aca="false">IF(BZ$15=1,INDEX(Vol_O,12,BZ$14)/12*(1+P_dVol),0)</f>
        <v>0</v>
      </c>
      <c r="CA32" s="48" t="n">
        <f aca="false">IF(CA$15=1,INDEX(Vol_O,12,CA$14)/12*(1+P_dVol),0)</f>
        <v>0</v>
      </c>
      <c r="CB32" s="48" t="n">
        <f aca="false">IF(CB$15=1,INDEX(Vol_O,12,CB$14)/12*(1+P_dVol),0)</f>
        <v>0</v>
      </c>
      <c r="CC32" s="48" t="n">
        <f aca="false">IF(CC$15=1,INDEX(Vol_O,12,CC$14)/12*(1+P_dVol),0)</f>
        <v>0</v>
      </c>
      <c r="CD32" s="48" t="n">
        <f aca="false">IF(CD$15=1,INDEX(Vol_O,12,CD$14)/12*(1+P_dVol),0)</f>
        <v>0</v>
      </c>
      <c r="CE32" s="48" t="n">
        <f aca="false">IF(CE$15=1,INDEX(Vol_O,12,CE$14)/12*(1+P_dVol),0)</f>
        <v>0</v>
      </c>
      <c r="CF32" s="48" t="n">
        <f aca="false">IF(CF$15=1,INDEX(Vol_O,12,CF$14)/12*(1+P_dVol),0)</f>
        <v>0</v>
      </c>
      <c r="CG32" s="48" t="n">
        <f aca="false">IF(CG$15=1,INDEX(Vol_O,12,CG$14)/12*(1+P_dVol),0)</f>
        <v>0</v>
      </c>
      <c r="CH32" s="48" t="n">
        <f aca="false">IF(CH$15=1,INDEX(Vol_O,12,CH$14)/12*(1+P_dVol),0)</f>
        <v>0</v>
      </c>
      <c r="CI32" s="48" t="n">
        <f aca="false">IF(CI$15=1,INDEX(Vol_O,12,CI$14)/12*(1+P_dVol),0)</f>
        <v>0</v>
      </c>
      <c r="CJ32" s="48" t="n">
        <f aca="false">IF(CJ$15=1,INDEX(Vol_O,12,CJ$14)/12*(1+P_dVol),0)</f>
        <v>0</v>
      </c>
      <c r="CK32" s="48" t="n">
        <f aca="false">IF(CK$15=1,INDEX(Vol_O,12,CK$14)/12*(1+P_dVol),0)</f>
        <v>0</v>
      </c>
      <c r="CL32" s="48" t="n">
        <f aca="false">IF(CL$15=1,INDEX(Vol_O,12,CL$14)/12*(1+P_dVol),0)</f>
        <v>0</v>
      </c>
      <c r="CM32" s="48" t="n">
        <f aca="false">IF(CM$15=1,INDEX(Vol_O,12,CM$14)/12*(1+P_dVol),0)</f>
        <v>0</v>
      </c>
      <c r="CN32" s="48" t="n">
        <f aca="false">IF(CN$15=1,INDEX(Vol_O,12,CN$14)/12*(1+P_dVol),0)</f>
        <v>0</v>
      </c>
      <c r="CO32" s="48" t="n">
        <f aca="false">IF(CO$15=1,INDEX(Vol_O,12,CO$14)/12*(1+P_dVol),0)</f>
        <v>0</v>
      </c>
      <c r="CP32" s="48" t="n">
        <f aca="false">IF(CP$15=1,INDEX(Vol_O,12,CP$14)/12*(1+P_dVol),0)</f>
        <v>0</v>
      </c>
      <c r="CQ32" s="48" t="n">
        <f aca="false">IF(CQ$15=1,INDEX(Vol_O,12,CQ$14)/12*(1+P_dVol),0)</f>
        <v>0</v>
      </c>
      <c r="CR32" s="48" t="n">
        <f aca="false">IF(CR$15=1,INDEX(Vol_O,12,CR$14)/12*(1+P_dVol),0)</f>
        <v>0</v>
      </c>
      <c r="CS32" s="48" t="n">
        <f aca="false">IF(CS$15=1,INDEX(Vol_O,12,CS$14)/12*(1+P_dVol),0)</f>
        <v>0</v>
      </c>
      <c r="CT32" s="48" t="n">
        <f aca="false">IF(CT$15=1,INDEX(Vol_O,12,CT$14)/12*(1+P_dVol),0)</f>
        <v>0</v>
      </c>
      <c r="CU32" s="48" t="n">
        <f aca="false">IF(CU$15=1,INDEX(Vol_O,12,CU$14)/12*(1+P_dVol),0)</f>
        <v>0</v>
      </c>
      <c r="CV32" s="48" t="n">
        <f aca="false">IF(CV$15=1,INDEX(Vol_O,12,CV$14)/12*(1+P_dVol),0)</f>
        <v>0</v>
      </c>
      <c r="CW32" s="48" t="n">
        <f aca="false">IF(CW$15=1,INDEX(Vol_O,12,CW$14)/12*(1+P_dVol),0)</f>
        <v>0</v>
      </c>
      <c r="CX32" s="48" t="n">
        <f aca="false">IF(CX$15=1,INDEX(Vol_O,12,CX$14)/12*(1+P_dVol),0)</f>
        <v>0</v>
      </c>
      <c r="CY32" s="48" t="n">
        <f aca="false">IF(CY$15=1,INDEX(Vol_O,12,CY$14)/12*(1+P_dVol),0)</f>
        <v>0</v>
      </c>
      <c r="CZ32" s="48" t="n">
        <f aca="false">IF(CZ$15=1,INDEX(Vol_O,12,CZ$14)/12*(1+P_dVol),0)</f>
        <v>0</v>
      </c>
      <c r="DA32" s="48" t="n">
        <f aca="false">IF(DA$15=1,INDEX(Vol_O,12,DA$14)/12*(1+P_dVol),0)</f>
        <v>0</v>
      </c>
      <c r="DB32" s="48" t="n">
        <f aca="false">IF(DB$15=1,INDEX(Vol_O,12,DB$14)/12*(1+P_dVol),0)</f>
        <v>0</v>
      </c>
      <c r="DC32" s="48" t="n">
        <f aca="false">IF(DC$15=1,INDEX(Vol_O,12,DC$14)/12*(1+P_dVol),0)</f>
        <v>0</v>
      </c>
      <c r="DD32" s="48" t="n">
        <f aca="false">IF(DD$15=1,INDEX(Vol_O,12,DD$14)/12*(1+P_dVol),0)</f>
        <v>0</v>
      </c>
      <c r="DE32" s="48" t="n">
        <f aca="false">IF(DE$15=1,INDEX(Vol_O,12,DE$14)/12*(1+P_dVol),0)</f>
        <v>0</v>
      </c>
      <c r="DF32" s="48" t="n">
        <f aca="false">IF(DF$15=1,INDEX(Vol_O,12,DF$14)/12*(1+P_dVol),0)</f>
        <v>0</v>
      </c>
      <c r="DG32" s="48" t="n">
        <f aca="false">IF(DG$15=1,INDEX(Vol_O,12,DG$14)/12*(1+P_dVol),0)</f>
        <v>0</v>
      </c>
      <c r="DH32" s="48" t="n">
        <f aca="false">IF(DH$15=1,INDEX(Vol_O,12,DH$14)/12*(1+P_dVol),0)</f>
        <v>0</v>
      </c>
      <c r="DI32" s="48" t="n">
        <f aca="false">IF(DI$15=1,INDEX(Vol_O,12,DI$14)/12*(1+P_dVol),0)</f>
        <v>0</v>
      </c>
      <c r="DJ32" s="48" t="n">
        <f aca="false">IF(DJ$15=1,INDEX(Vol_O,12,DJ$14)/12*(1+P_dVol),0)</f>
        <v>0</v>
      </c>
      <c r="DK32" s="48" t="n">
        <f aca="false">IF(DK$15=1,INDEX(Vol_O,12,DK$14)/12*(1+P_dVol),0)</f>
        <v>0</v>
      </c>
      <c r="DL32" s="48" t="n">
        <f aca="false">IF(DL$15=1,INDEX(Vol_O,12,DL$14)/12*(1+P_dVol),0)</f>
        <v>0</v>
      </c>
      <c r="DM32" s="48" t="n">
        <f aca="false">IF(DM$15=1,INDEX(Vol_O,12,DM$14)/12*(1+P_dVol),0)</f>
        <v>0</v>
      </c>
      <c r="DN32" s="48" t="n">
        <f aca="false">IF(DN$15=1,INDEX(Vol_O,12,DN$14)/12*(1+P_dVol),0)</f>
        <v>0</v>
      </c>
      <c r="DO32" s="48" t="n">
        <f aca="false">IF(DO$15=1,INDEX(Vol_O,12,DO$14)/12*(1+P_dVol),0)</f>
        <v>0</v>
      </c>
      <c r="DP32" s="48" t="n">
        <f aca="false">IF(DP$15=1,INDEX(Vol_O,12,DP$14)/12*(1+P_dVol),0)</f>
        <v>0</v>
      </c>
      <c r="DQ32" s="48" t="n">
        <f aca="false">IF(DQ$15=1,INDEX(Vol_O,12,DQ$14)/12*(1+P_dVol),0)</f>
        <v>0</v>
      </c>
      <c r="DR32" s="48" t="n">
        <f aca="false">IF(DR$15=1,INDEX(Vol_O,12,DR$14)/12*(1+P_dVol),0)</f>
        <v>0</v>
      </c>
      <c r="DS32" s="48" t="n">
        <f aca="false">IF(DS$15=1,INDEX(Vol_O,12,DS$14)/12*(1+P_dVol),0)</f>
        <v>0</v>
      </c>
      <c r="DT32" s="48" t="n">
        <f aca="false">IF(DT$15=1,INDEX(Vol_O,12,DT$14)/12*(1+P_dVol),0)</f>
        <v>0</v>
      </c>
      <c r="DU32" s="48" t="n">
        <f aca="false">IF(DU$15=1,INDEX(Vol_O,12,DU$14)/12*(1+P_dVol),0)</f>
        <v>0</v>
      </c>
      <c r="DV32" s="48" t="n">
        <f aca="false">IF(DV$15=1,INDEX(Vol_O,12,DV$14)/12*(1+P_dVol),0)</f>
        <v>0</v>
      </c>
      <c r="DW32" s="48" t="n">
        <f aca="false">IF(DW$15=1,INDEX(Vol_O,12,DW$14)/12*(1+P_dVol),0)</f>
        <v>0</v>
      </c>
      <c r="DX32" s="48" t="n">
        <f aca="false">IF(DX$15=1,INDEX(Vol_O,12,DX$14)/12*(1+P_dVol),0)</f>
        <v>0</v>
      </c>
      <c r="DY32" s="48" t="n">
        <f aca="false">IF(DY$15=1,INDEX(Vol_O,12,DY$14)/12*(1+P_dVol),0)</f>
        <v>0</v>
      </c>
      <c r="DZ32" s="48" t="n">
        <f aca="false">IF(DZ$15=1,INDEX(Vol_O,12,DZ$14)/12*(1+P_dVol),0)</f>
        <v>0</v>
      </c>
      <c r="EA32" s="48" t="n">
        <f aca="false">IF(EA$15=1,INDEX(Vol_O,12,EA$14)/12*(1+P_dVol),0)</f>
        <v>0</v>
      </c>
      <c r="EB32" s="48" t="n">
        <f aca="false">IF(EB$15=1,INDEX(Vol_O,12,EB$14)/12*(1+P_dVol),0)</f>
        <v>0</v>
      </c>
      <c r="EC32" s="48" t="n">
        <f aca="false">IF(EC$15=1,INDEX(Vol_O,12,EC$14)/12*(1+P_dVol),0)</f>
        <v>0</v>
      </c>
      <c r="ED32" s="48" t="n">
        <f aca="false">IF(ED$15=1,INDEX(Vol_O,12,ED$14)/12*(1+P_dVol),0)</f>
        <v>0</v>
      </c>
      <c r="EE32" s="48" t="n">
        <f aca="false">IF(EE$15=1,INDEX(Vol_O,12,EE$14)/12*(1+P_dVol),0)</f>
        <v>0</v>
      </c>
      <c r="EF32" s="48" t="n">
        <f aca="false">IF(EF$15=1,INDEX(Vol_O,12,EF$14)/12*(1+P_dVol),0)</f>
        <v>0</v>
      </c>
      <c r="EG32" s="48" t="n">
        <f aca="false">IF(EG$15=1,INDEX(Vol_O,12,EG$14)/12*(1+P_dVol),0)</f>
        <v>0</v>
      </c>
      <c r="EH32" s="48" t="n">
        <f aca="false">IF(EH$15=1,INDEX(Vol_O,12,EH$14)/12*(1+P_dVol),0)</f>
        <v>0</v>
      </c>
      <c r="EI32" s="48" t="n">
        <f aca="false">IF(EI$15=1,INDEX(Vol_O,12,EI$14)/12*(1+P_dVol),0)</f>
        <v>0</v>
      </c>
      <c r="EJ32" s="48" t="n">
        <f aca="false">IF(EJ$15=1,INDEX(Vol_O,12,EJ$14)/12*(1+P_dVol),0)</f>
        <v>0</v>
      </c>
      <c r="EK32" s="48" t="n">
        <f aca="false">IF(EK$15=1,INDEX(Vol_O,12,EK$14)/12*(1+P_dVol),0)</f>
        <v>0</v>
      </c>
      <c r="EL32" s="48" t="n">
        <f aca="false">IF(EL$15=1,INDEX(Vol_O,12,EL$14)/12*(1+P_dVol),0)</f>
        <v>0</v>
      </c>
      <c r="EM32" s="48" t="n">
        <f aca="false">IF(EM$15=1,INDEX(Vol_O,12,EM$14)/12*(1+P_dVol),0)</f>
        <v>0</v>
      </c>
      <c r="EN32" s="48" t="n">
        <f aca="false">IF(EN$15=1,INDEX(Vol_O,12,EN$14)/12*(1+P_dVol),0)</f>
        <v>0</v>
      </c>
      <c r="EO32" s="48" t="n">
        <f aca="false">IF(EO$15=1,INDEX(Vol_O,12,EO$14)/12*(1+P_dVol),0)</f>
        <v>0</v>
      </c>
      <c r="EP32" s="48" t="n">
        <f aca="false">IF(EP$15=1,INDEX(Vol_O,12,EP$14)/12*(1+P_dVol),0)</f>
        <v>0</v>
      </c>
      <c r="EQ32" s="48" t="n">
        <f aca="false">IF(EQ$15=1,INDEX(Vol_O,12,EQ$14)/12*(1+P_dVol),0)</f>
        <v>0</v>
      </c>
      <c r="ER32" s="48" t="n">
        <f aca="false">IF(ER$15=1,INDEX(Vol_O,12,ER$14)/12*(1+P_dVol),0)</f>
        <v>0</v>
      </c>
      <c r="ES32" s="48" t="n">
        <f aca="false">IF(ES$15=1,INDEX(Vol_O,12,ES$14)/12*(1+P_dVol),0)</f>
        <v>0</v>
      </c>
    </row>
    <row r="33" customFormat="false" ht="15" hidden="false" customHeight="false" outlineLevel="0" collapsed="false">
      <c r="A33" s="11" t="s">
        <v>1078</v>
      </c>
      <c r="B33" s="53" t="str">
        <f aca="false">IF(INDEX(Prod_Nombre,13)="","Producto 13",INDEX(Prod_Nombre,13))&amp;" — unidades"</f>
        <v>Producto 13 — unidades</v>
      </c>
      <c r="C33" s="15" t="s">
        <v>544</v>
      </c>
      <c r="E33" s="54" t="n">
        <f aca="false">SUM(F33:ES33)</f>
        <v>0</v>
      </c>
      <c r="F33" s="48" t="n">
        <f aca="false">IF(F$15=1,INDEX(Vol_O,13,F$14)/12*(1+P_dVol),0)</f>
        <v>0</v>
      </c>
      <c r="G33" s="48" t="n">
        <f aca="false">IF(G$15=1,INDEX(Vol_O,13,G$14)/12*(1+P_dVol),0)</f>
        <v>0</v>
      </c>
      <c r="H33" s="48" t="n">
        <f aca="false">IF(H$15=1,INDEX(Vol_O,13,H$14)/12*(1+P_dVol),0)</f>
        <v>0</v>
      </c>
      <c r="I33" s="48" t="n">
        <f aca="false">IF(I$15=1,INDEX(Vol_O,13,I$14)/12*(1+P_dVol),0)</f>
        <v>0</v>
      </c>
      <c r="J33" s="48" t="n">
        <f aca="false">IF(J$15=1,INDEX(Vol_O,13,J$14)/12*(1+P_dVol),0)</f>
        <v>0</v>
      </c>
      <c r="K33" s="48" t="n">
        <f aca="false">IF(K$15=1,INDEX(Vol_O,13,K$14)/12*(1+P_dVol),0)</f>
        <v>0</v>
      </c>
      <c r="L33" s="48" t="n">
        <f aca="false">IF(L$15=1,INDEX(Vol_O,13,L$14)/12*(1+P_dVol),0)</f>
        <v>0</v>
      </c>
      <c r="M33" s="48" t="n">
        <f aca="false">IF(M$15=1,INDEX(Vol_O,13,M$14)/12*(1+P_dVol),0)</f>
        <v>0</v>
      </c>
      <c r="N33" s="48" t="n">
        <f aca="false">IF(N$15=1,INDEX(Vol_O,13,N$14)/12*(1+P_dVol),0)</f>
        <v>0</v>
      </c>
      <c r="O33" s="48" t="n">
        <f aca="false">IF(O$15=1,INDEX(Vol_O,13,O$14)/12*(1+P_dVol),0)</f>
        <v>0</v>
      </c>
      <c r="P33" s="48" t="n">
        <f aca="false">IF(P$15=1,INDEX(Vol_O,13,P$14)/12*(1+P_dVol),0)</f>
        <v>0</v>
      </c>
      <c r="Q33" s="48" t="n">
        <f aca="false">IF(Q$15=1,INDEX(Vol_O,13,Q$14)/12*(1+P_dVol),0)</f>
        <v>0</v>
      </c>
      <c r="R33" s="48" t="n">
        <f aca="false">IF(R$15=1,INDEX(Vol_O,13,R$14)/12*(1+P_dVol),0)</f>
        <v>0</v>
      </c>
      <c r="S33" s="48" t="n">
        <f aca="false">IF(S$15=1,INDEX(Vol_O,13,S$14)/12*(1+P_dVol),0)</f>
        <v>0</v>
      </c>
      <c r="T33" s="48" t="n">
        <f aca="false">IF(T$15=1,INDEX(Vol_O,13,T$14)/12*(1+P_dVol),0)</f>
        <v>0</v>
      </c>
      <c r="U33" s="48" t="n">
        <f aca="false">IF(U$15=1,INDEX(Vol_O,13,U$14)/12*(1+P_dVol),0)</f>
        <v>0</v>
      </c>
      <c r="V33" s="48" t="n">
        <f aca="false">IF(V$15=1,INDEX(Vol_O,13,V$14)/12*(1+P_dVol),0)</f>
        <v>0</v>
      </c>
      <c r="W33" s="48" t="n">
        <f aca="false">IF(W$15=1,INDEX(Vol_O,13,W$14)/12*(1+P_dVol),0)</f>
        <v>0</v>
      </c>
      <c r="X33" s="48" t="n">
        <f aca="false">IF(X$15=1,INDEX(Vol_O,13,X$14)/12*(1+P_dVol),0)</f>
        <v>0</v>
      </c>
      <c r="Y33" s="48" t="n">
        <f aca="false">IF(Y$15=1,INDEX(Vol_O,13,Y$14)/12*(1+P_dVol),0)</f>
        <v>0</v>
      </c>
      <c r="Z33" s="48" t="n">
        <f aca="false">IF(Z$15=1,INDEX(Vol_O,13,Z$14)/12*(1+P_dVol),0)</f>
        <v>0</v>
      </c>
      <c r="AA33" s="48" t="n">
        <f aca="false">IF(AA$15=1,INDEX(Vol_O,13,AA$14)/12*(1+P_dVol),0)</f>
        <v>0</v>
      </c>
      <c r="AB33" s="48" t="n">
        <f aca="false">IF(AB$15=1,INDEX(Vol_O,13,AB$14)/12*(1+P_dVol),0)</f>
        <v>0</v>
      </c>
      <c r="AC33" s="48" t="n">
        <f aca="false">IF(AC$15=1,INDEX(Vol_O,13,AC$14)/12*(1+P_dVol),0)</f>
        <v>0</v>
      </c>
      <c r="AD33" s="48" t="n">
        <f aca="false">IF(AD$15=1,INDEX(Vol_O,13,AD$14)/12*(1+P_dVol),0)</f>
        <v>0</v>
      </c>
      <c r="AE33" s="48" t="n">
        <f aca="false">IF(AE$15=1,INDEX(Vol_O,13,AE$14)/12*(1+P_dVol),0)</f>
        <v>0</v>
      </c>
      <c r="AF33" s="48" t="n">
        <f aca="false">IF(AF$15=1,INDEX(Vol_O,13,AF$14)/12*(1+P_dVol),0)</f>
        <v>0</v>
      </c>
      <c r="AG33" s="48" t="n">
        <f aca="false">IF(AG$15=1,INDEX(Vol_O,13,AG$14)/12*(1+P_dVol),0)</f>
        <v>0</v>
      </c>
      <c r="AH33" s="48" t="n">
        <f aca="false">IF(AH$15=1,INDEX(Vol_O,13,AH$14)/12*(1+P_dVol),0)</f>
        <v>0</v>
      </c>
      <c r="AI33" s="48" t="n">
        <f aca="false">IF(AI$15=1,INDEX(Vol_O,13,AI$14)/12*(1+P_dVol),0)</f>
        <v>0</v>
      </c>
      <c r="AJ33" s="48" t="n">
        <f aca="false">IF(AJ$15=1,INDEX(Vol_O,13,AJ$14)/12*(1+P_dVol),0)</f>
        <v>0</v>
      </c>
      <c r="AK33" s="48" t="n">
        <f aca="false">IF(AK$15=1,INDEX(Vol_O,13,AK$14)/12*(1+P_dVol),0)</f>
        <v>0</v>
      </c>
      <c r="AL33" s="48" t="n">
        <f aca="false">IF(AL$15=1,INDEX(Vol_O,13,AL$14)/12*(1+P_dVol),0)</f>
        <v>0</v>
      </c>
      <c r="AM33" s="48" t="n">
        <f aca="false">IF(AM$15=1,INDEX(Vol_O,13,AM$14)/12*(1+P_dVol),0)</f>
        <v>0</v>
      </c>
      <c r="AN33" s="48" t="n">
        <f aca="false">IF(AN$15=1,INDEX(Vol_O,13,AN$14)/12*(1+P_dVol),0)</f>
        <v>0</v>
      </c>
      <c r="AO33" s="48" t="n">
        <f aca="false">IF(AO$15=1,INDEX(Vol_O,13,AO$14)/12*(1+P_dVol),0)</f>
        <v>0</v>
      </c>
      <c r="AP33" s="48" t="n">
        <f aca="false">IF(AP$15=1,INDEX(Vol_O,13,AP$14)/12*(1+P_dVol),0)</f>
        <v>0</v>
      </c>
      <c r="AQ33" s="48" t="n">
        <f aca="false">IF(AQ$15=1,INDEX(Vol_O,13,AQ$14)/12*(1+P_dVol),0)</f>
        <v>0</v>
      </c>
      <c r="AR33" s="48" t="n">
        <f aca="false">IF(AR$15=1,INDEX(Vol_O,13,AR$14)/12*(1+P_dVol),0)</f>
        <v>0</v>
      </c>
      <c r="AS33" s="48" t="n">
        <f aca="false">IF(AS$15=1,INDEX(Vol_O,13,AS$14)/12*(1+P_dVol),0)</f>
        <v>0</v>
      </c>
      <c r="AT33" s="48" t="n">
        <f aca="false">IF(AT$15=1,INDEX(Vol_O,13,AT$14)/12*(1+P_dVol),0)</f>
        <v>0</v>
      </c>
      <c r="AU33" s="48" t="n">
        <f aca="false">IF(AU$15=1,INDEX(Vol_O,13,AU$14)/12*(1+P_dVol),0)</f>
        <v>0</v>
      </c>
      <c r="AV33" s="48" t="n">
        <f aca="false">IF(AV$15=1,INDEX(Vol_O,13,AV$14)/12*(1+P_dVol),0)</f>
        <v>0</v>
      </c>
      <c r="AW33" s="48" t="n">
        <f aca="false">IF(AW$15=1,INDEX(Vol_O,13,AW$14)/12*(1+P_dVol),0)</f>
        <v>0</v>
      </c>
      <c r="AX33" s="48" t="n">
        <f aca="false">IF(AX$15=1,INDEX(Vol_O,13,AX$14)/12*(1+P_dVol),0)</f>
        <v>0</v>
      </c>
      <c r="AY33" s="48" t="n">
        <f aca="false">IF(AY$15=1,INDEX(Vol_O,13,AY$14)/12*(1+P_dVol),0)</f>
        <v>0</v>
      </c>
      <c r="AZ33" s="48" t="n">
        <f aca="false">IF(AZ$15=1,INDEX(Vol_O,13,AZ$14)/12*(1+P_dVol),0)</f>
        <v>0</v>
      </c>
      <c r="BA33" s="48" t="n">
        <f aca="false">IF(BA$15=1,INDEX(Vol_O,13,BA$14)/12*(1+P_dVol),0)</f>
        <v>0</v>
      </c>
      <c r="BB33" s="48" t="n">
        <f aca="false">IF(BB$15=1,INDEX(Vol_O,13,BB$14)/12*(1+P_dVol),0)</f>
        <v>0</v>
      </c>
      <c r="BC33" s="48" t="n">
        <f aca="false">IF(BC$15=1,INDEX(Vol_O,13,BC$14)/12*(1+P_dVol),0)</f>
        <v>0</v>
      </c>
      <c r="BD33" s="48" t="n">
        <f aca="false">IF(BD$15=1,INDEX(Vol_O,13,BD$14)/12*(1+P_dVol),0)</f>
        <v>0</v>
      </c>
      <c r="BE33" s="48" t="n">
        <f aca="false">IF(BE$15=1,INDEX(Vol_O,13,BE$14)/12*(1+P_dVol),0)</f>
        <v>0</v>
      </c>
      <c r="BF33" s="48" t="n">
        <f aca="false">IF(BF$15=1,INDEX(Vol_O,13,BF$14)/12*(1+P_dVol),0)</f>
        <v>0</v>
      </c>
      <c r="BG33" s="48" t="n">
        <f aca="false">IF(BG$15=1,INDEX(Vol_O,13,BG$14)/12*(1+P_dVol),0)</f>
        <v>0</v>
      </c>
      <c r="BH33" s="48" t="n">
        <f aca="false">IF(BH$15=1,INDEX(Vol_O,13,BH$14)/12*(1+P_dVol),0)</f>
        <v>0</v>
      </c>
      <c r="BI33" s="48" t="n">
        <f aca="false">IF(BI$15=1,INDEX(Vol_O,13,BI$14)/12*(1+P_dVol),0)</f>
        <v>0</v>
      </c>
      <c r="BJ33" s="48" t="n">
        <f aca="false">IF(BJ$15=1,INDEX(Vol_O,13,BJ$14)/12*(1+P_dVol),0)</f>
        <v>0</v>
      </c>
      <c r="BK33" s="48" t="n">
        <f aca="false">IF(BK$15=1,INDEX(Vol_O,13,BK$14)/12*(1+P_dVol),0)</f>
        <v>0</v>
      </c>
      <c r="BL33" s="48" t="n">
        <f aca="false">IF(BL$15=1,INDEX(Vol_O,13,BL$14)/12*(1+P_dVol),0)</f>
        <v>0</v>
      </c>
      <c r="BM33" s="48" t="n">
        <f aca="false">IF(BM$15=1,INDEX(Vol_O,13,BM$14)/12*(1+P_dVol),0)</f>
        <v>0</v>
      </c>
      <c r="BN33" s="48" t="n">
        <f aca="false">IF(BN$15=1,INDEX(Vol_O,13,BN$14)/12*(1+P_dVol),0)</f>
        <v>0</v>
      </c>
      <c r="BO33" s="48" t="n">
        <f aca="false">IF(BO$15=1,INDEX(Vol_O,13,BO$14)/12*(1+P_dVol),0)</f>
        <v>0</v>
      </c>
      <c r="BP33" s="48" t="n">
        <f aca="false">IF(BP$15=1,INDEX(Vol_O,13,BP$14)/12*(1+P_dVol),0)</f>
        <v>0</v>
      </c>
      <c r="BQ33" s="48" t="n">
        <f aca="false">IF(BQ$15=1,INDEX(Vol_O,13,BQ$14)/12*(1+P_dVol),0)</f>
        <v>0</v>
      </c>
      <c r="BR33" s="48" t="n">
        <f aca="false">IF(BR$15=1,INDEX(Vol_O,13,BR$14)/12*(1+P_dVol),0)</f>
        <v>0</v>
      </c>
      <c r="BS33" s="48" t="n">
        <f aca="false">IF(BS$15=1,INDEX(Vol_O,13,BS$14)/12*(1+P_dVol),0)</f>
        <v>0</v>
      </c>
      <c r="BT33" s="48" t="n">
        <f aca="false">IF(BT$15=1,INDEX(Vol_O,13,BT$14)/12*(1+P_dVol),0)</f>
        <v>0</v>
      </c>
      <c r="BU33" s="48" t="n">
        <f aca="false">IF(BU$15=1,INDEX(Vol_O,13,BU$14)/12*(1+P_dVol),0)</f>
        <v>0</v>
      </c>
      <c r="BV33" s="48" t="n">
        <f aca="false">IF(BV$15=1,INDEX(Vol_O,13,BV$14)/12*(1+P_dVol),0)</f>
        <v>0</v>
      </c>
      <c r="BW33" s="48" t="n">
        <f aca="false">IF(BW$15=1,INDEX(Vol_O,13,BW$14)/12*(1+P_dVol),0)</f>
        <v>0</v>
      </c>
      <c r="BX33" s="48" t="n">
        <f aca="false">IF(BX$15=1,INDEX(Vol_O,13,BX$14)/12*(1+P_dVol),0)</f>
        <v>0</v>
      </c>
      <c r="BY33" s="48" t="n">
        <f aca="false">IF(BY$15=1,INDEX(Vol_O,13,BY$14)/12*(1+P_dVol),0)</f>
        <v>0</v>
      </c>
      <c r="BZ33" s="48" t="n">
        <f aca="false">IF(BZ$15=1,INDEX(Vol_O,13,BZ$14)/12*(1+P_dVol),0)</f>
        <v>0</v>
      </c>
      <c r="CA33" s="48" t="n">
        <f aca="false">IF(CA$15=1,INDEX(Vol_O,13,CA$14)/12*(1+P_dVol),0)</f>
        <v>0</v>
      </c>
      <c r="CB33" s="48" t="n">
        <f aca="false">IF(CB$15=1,INDEX(Vol_O,13,CB$14)/12*(1+P_dVol),0)</f>
        <v>0</v>
      </c>
      <c r="CC33" s="48" t="n">
        <f aca="false">IF(CC$15=1,INDEX(Vol_O,13,CC$14)/12*(1+P_dVol),0)</f>
        <v>0</v>
      </c>
      <c r="CD33" s="48" t="n">
        <f aca="false">IF(CD$15=1,INDEX(Vol_O,13,CD$14)/12*(1+P_dVol),0)</f>
        <v>0</v>
      </c>
      <c r="CE33" s="48" t="n">
        <f aca="false">IF(CE$15=1,INDEX(Vol_O,13,CE$14)/12*(1+P_dVol),0)</f>
        <v>0</v>
      </c>
      <c r="CF33" s="48" t="n">
        <f aca="false">IF(CF$15=1,INDEX(Vol_O,13,CF$14)/12*(1+P_dVol),0)</f>
        <v>0</v>
      </c>
      <c r="CG33" s="48" t="n">
        <f aca="false">IF(CG$15=1,INDEX(Vol_O,13,CG$14)/12*(1+P_dVol),0)</f>
        <v>0</v>
      </c>
      <c r="CH33" s="48" t="n">
        <f aca="false">IF(CH$15=1,INDEX(Vol_O,13,CH$14)/12*(1+P_dVol),0)</f>
        <v>0</v>
      </c>
      <c r="CI33" s="48" t="n">
        <f aca="false">IF(CI$15=1,INDEX(Vol_O,13,CI$14)/12*(1+P_dVol),0)</f>
        <v>0</v>
      </c>
      <c r="CJ33" s="48" t="n">
        <f aca="false">IF(CJ$15=1,INDEX(Vol_O,13,CJ$14)/12*(1+P_dVol),0)</f>
        <v>0</v>
      </c>
      <c r="CK33" s="48" t="n">
        <f aca="false">IF(CK$15=1,INDEX(Vol_O,13,CK$14)/12*(1+P_dVol),0)</f>
        <v>0</v>
      </c>
      <c r="CL33" s="48" t="n">
        <f aca="false">IF(CL$15=1,INDEX(Vol_O,13,CL$14)/12*(1+P_dVol),0)</f>
        <v>0</v>
      </c>
      <c r="CM33" s="48" t="n">
        <f aca="false">IF(CM$15=1,INDEX(Vol_O,13,CM$14)/12*(1+P_dVol),0)</f>
        <v>0</v>
      </c>
      <c r="CN33" s="48" t="n">
        <f aca="false">IF(CN$15=1,INDEX(Vol_O,13,CN$14)/12*(1+P_dVol),0)</f>
        <v>0</v>
      </c>
      <c r="CO33" s="48" t="n">
        <f aca="false">IF(CO$15=1,INDEX(Vol_O,13,CO$14)/12*(1+P_dVol),0)</f>
        <v>0</v>
      </c>
      <c r="CP33" s="48" t="n">
        <f aca="false">IF(CP$15=1,INDEX(Vol_O,13,CP$14)/12*(1+P_dVol),0)</f>
        <v>0</v>
      </c>
      <c r="CQ33" s="48" t="n">
        <f aca="false">IF(CQ$15=1,INDEX(Vol_O,13,CQ$14)/12*(1+P_dVol),0)</f>
        <v>0</v>
      </c>
      <c r="CR33" s="48" t="n">
        <f aca="false">IF(CR$15=1,INDEX(Vol_O,13,CR$14)/12*(1+P_dVol),0)</f>
        <v>0</v>
      </c>
      <c r="CS33" s="48" t="n">
        <f aca="false">IF(CS$15=1,INDEX(Vol_O,13,CS$14)/12*(1+P_dVol),0)</f>
        <v>0</v>
      </c>
      <c r="CT33" s="48" t="n">
        <f aca="false">IF(CT$15=1,INDEX(Vol_O,13,CT$14)/12*(1+P_dVol),0)</f>
        <v>0</v>
      </c>
      <c r="CU33" s="48" t="n">
        <f aca="false">IF(CU$15=1,INDEX(Vol_O,13,CU$14)/12*(1+P_dVol),0)</f>
        <v>0</v>
      </c>
      <c r="CV33" s="48" t="n">
        <f aca="false">IF(CV$15=1,INDEX(Vol_O,13,CV$14)/12*(1+P_dVol),0)</f>
        <v>0</v>
      </c>
      <c r="CW33" s="48" t="n">
        <f aca="false">IF(CW$15=1,INDEX(Vol_O,13,CW$14)/12*(1+P_dVol),0)</f>
        <v>0</v>
      </c>
      <c r="CX33" s="48" t="n">
        <f aca="false">IF(CX$15=1,INDEX(Vol_O,13,CX$14)/12*(1+P_dVol),0)</f>
        <v>0</v>
      </c>
      <c r="CY33" s="48" t="n">
        <f aca="false">IF(CY$15=1,INDEX(Vol_O,13,CY$14)/12*(1+P_dVol),0)</f>
        <v>0</v>
      </c>
      <c r="CZ33" s="48" t="n">
        <f aca="false">IF(CZ$15=1,INDEX(Vol_O,13,CZ$14)/12*(1+P_dVol),0)</f>
        <v>0</v>
      </c>
      <c r="DA33" s="48" t="n">
        <f aca="false">IF(DA$15=1,INDEX(Vol_O,13,DA$14)/12*(1+P_dVol),0)</f>
        <v>0</v>
      </c>
      <c r="DB33" s="48" t="n">
        <f aca="false">IF(DB$15=1,INDEX(Vol_O,13,DB$14)/12*(1+P_dVol),0)</f>
        <v>0</v>
      </c>
      <c r="DC33" s="48" t="n">
        <f aca="false">IF(DC$15=1,INDEX(Vol_O,13,DC$14)/12*(1+P_dVol),0)</f>
        <v>0</v>
      </c>
      <c r="DD33" s="48" t="n">
        <f aca="false">IF(DD$15=1,INDEX(Vol_O,13,DD$14)/12*(1+P_dVol),0)</f>
        <v>0</v>
      </c>
      <c r="DE33" s="48" t="n">
        <f aca="false">IF(DE$15=1,INDEX(Vol_O,13,DE$14)/12*(1+P_dVol),0)</f>
        <v>0</v>
      </c>
      <c r="DF33" s="48" t="n">
        <f aca="false">IF(DF$15=1,INDEX(Vol_O,13,DF$14)/12*(1+P_dVol),0)</f>
        <v>0</v>
      </c>
      <c r="DG33" s="48" t="n">
        <f aca="false">IF(DG$15=1,INDEX(Vol_O,13,DG$14)/12*(1+P_dVol),0)</f>
        <v>0</v>
      </c>
      <c r="DH33" s="48" t="n">
        <f aca="false">IF(DH$15=1,INDEX(Vol_O,13,DH$14)/12*(1+P_dVol),0)</f>
        <v>0</v>
      </c>
      <c r="DI33" s="48" t="n">
        <f aca="false">IF(DI$15=1,INDEX(Vol_O,13,DI$14)/12*(1+P_dVol),0)</f>
        <v>0</v>
      </c>
      <c r="DJ33" s="48" t="n">
        <f aca="false">IF(DJ$15=1,INDEX(Vol_O,13,DJ$14)/12*(1+P_dVol),0)</f>
        <v>0</v>
      </c>
      <c r="DK33" s="48" t="n">
        <f aca="false">IF(DK$15=1,INDEX(Vol_O,13,DK$14)/12*(1+P_dVol),0)</f>
        <v>0</v>
      </c>
      <c r="DL33" s="48" t="n">
        <f aca="false">IF(DL$15=1,INDEX(Vol_O,13,DL$14)/12*(1+P_dVol),0)</f>
        <v>0</v>
      </c>
      <c r="DM33" s="48" t="n">
        <f aca="false">IF(DM$15=1,INDEX(Vol_O,13,DM$14)/12*(1+P_dVol),0)</f>
        <v>0</v>
      </c>
      <c r="DN33" s="48" t="n">
        <f aca="false">IF(DN$15=1,INDEX(Vol_O,13,DN$14)/12*(1+P_dVol),0)</f>
        <v>0</v>
      </c>
      <c r="DO33" s="48" t="n">
        <f aca="false">IF(DO$15=1,INDEX(Vol_O,13,DO$14)/12*(1+P_dVol),0)</f>
        <v>0</v>
      </c>
      <c r="DP33" s="48" t="n">
        <f aca="false">IF(DP$15=1,INDEX(Vol_O,13,DP$14)/12*(1+P_dVol),0)</f>
        <v>0</v>
      </c>
      <c r="DQ33" s="48" t="n">
        <f aca="false">IF(DQ$15=1,INDEX(Vol_O,13,DQ$14)/12*(1+P_dVol),0)</f>
        <v>0</v>
      </c>
      <c r="DR33" s="48" t="n">
        <f aca="false">IF(DR$15=1,INDEX(Vol_O,13,DR$14)/12*(1+P_dVol),0)</f>
        <v>0</v>
      </c>
      <c r="DS33" s="48" t="n">
        <f aca="false">IF(DS$15=1,INDEX(Vol_O,13,DS$14)/12*(1+P_dVol),0)</f>
        <v>0</v>
      </c>
      <c r="DT33" s="48" t="n">
        <f aca="false">IF(DT$15=1,INDEX(Vol_O,13,DT$14)/12*(1+P_dVol),0)</f>
        <v>0</v>
      </c>
      <c r="DU33" s="48" t="n">
        <f aca="false">IF(DU$15=1,INDEX(Vol_O,13,DU$14)/12*(1+P_dVol),0)</f>
        <v>0</v>
      </c>
      <c r="DV33" s="48" t="n">
        <f aca="false">IF(DV$15=1,INDEX(Vol_O,13,DV$14)/12*(1+P_dVol),0)</f>
        <v>0</v>
      </c>
      <c r="DW33" s="48" t="n">
        <f aca="false">IF(DW$15=1,INDEX(Vol_O,13,DW$14)/12*(1+P_dVol),0)</f>
        <v>0</v>
      </c>
      <c r="DX33" s="48" t="n">
        <f aca="false">IF(DX$15=1,INDEX(Vol_O,13,DX$14)/12*(1+P_dVol),0)</f>
        <v>0</v>
      </c>
      <c r="DY33" s="48" t="n">
        <f aca="false">IF(DY$15=1,INDEX(Vol_O,13,DY$14)/12*(1+P_dVol),0)</f>
        <v>0</v>
      </c>
      <c r="DZ33" s="48" t="n">
        <f aca="false">IF(DZ$15=1,INDEX(Vol_O,13,DZ$14)/12*(1+P_dVol),0)</f>
        <v>0</v>
      </c>
      <c r="EA33" s="48" t="n">
        <f aca="false">IF(EA$15=1,INDEX(Vol_O,13,EA$14)/12*(1+P_dVol),0)</f>
        <v>0</v>
      </c>
      <c r="EB33" s="48" t="n">
        <f aca="false">IF(EB$15=1,INDEX(Vol_O,13,EB$14)/12*(1+P_dVol),0)</f>
        <v>0</v>
      </c>
      <c r="EC33" s="48" t="n">
        <f aca="false">IF(EC$15=1,INDEX(Vol_O,13,EC$14)/12*(1+P_dVol),0)</f>
        <v>0</v>
      </c>
      <c r="ED33" s="48" t="n">
        <f aca="false">IF(ED$15=1,INDEX(Vol_O,13,ED$14)/12*(1+P_dVol),0)</f>
        <v>0</v>
      </c>
      <c r="EE33" s="48" t="n">
        <f aca="false">IF(EE$15=1,INDEX(Vol_O,13,EE$14)/12*(1+P_dVol),0)</f>
        <v>0</v>
      </c>
      <c r="EF33" s="48" t="n">
        <f aca="false">IF(EF$15=1,INDEX(Vol_O,13,EF$14)/12*(1+P_dVol),0)</f>
        <v>0</v>
      </c>
      <c r="EG33" s="48" t="n">
        <f aca="false">IF(EG$15=1,INDEX(Vol_O,13,EG$14)/12*(1+P_dVol),0)</f>
        <v>0</v>
      </c>
      <c r="EH33" s="48" t="n">
        <f aca="false">IF(EH$15=1,INDEX(Vol_O,13,EH$14)/12*(1+P_dVol),0)</f>
        <v>0</v>
      </c>
      <c r="EI33" s="48" t="n">
        <f aca="false">IF(EI$15=1,INDEX(Vol_O,13,EI$14)/12*(1+P_dVol),0)</f>
        <v>0</v>
      </c>
      <c r="EJ33" s="48" t="n">
        <f aca="false">IF(EJ$15=1,INDEX(Vol_O,13,EJ$14)/12*(1+P_dVol),0)</f>
        <v>0</v>
      </c>
      <c r="EK33" s="48" t="n">
        <f aca="false">IF(EK$15=1,INDEX(Vol_O,13,EK$14)/12*(1+P_dVol),0)</f>
        <v>0</v>
      </c>
      <c r="EL33" s="48" t="n">
        <f aca="false">IF(EL$15=1,INDEX(Vol_O,13,EL$14)/12*(1+P_dVol),0)</f>
        <v>0</v>
      </c>
      <c r="EM33" s="48" t="n">
        <f aca="false">IF(EM$15=1,INDEX(Vol_O,13,EM$14)/12*(1+P_dVol),0)</f>
        <v>0</v>
      </c>
      <c r="EN33" s="48" t="n">
        <f aca="false">IF(EN$15=1,INDEX(Vol_O,13,EN$14)/12*(1+P_dVol),0)</f>
        <v>0</v>
      </c>
      <c r="EO33" s="48" t="n">
        <f aca="false">IF(EO$15=1,INDEX(Vol_O,13,EO$14)/12*(1+P_dVol),0)</f>
        <v>0</v>
      </c>
      <c r="EP33" s="48" t="n">
        <f aca="false">IF(EP$15=1,INDEX(Vol_O,13,EP$14)/12*(1+P_dVol),0)</f>
        <v>0</v>
      </c>
      <c r="EQ33" s="48" t="n">
        <f aca="false">IF(EQ$15=1,INDEX(Vol_O,13,EQ$14)/12*(1+P_dVol),0)</f>
        <v>0</v>
      </c>
      <c r="ER33" s="48" t="n">
        <f aca="false">IF(ER$15=1,INDEX(Vol_O,13,ER$14)/12*(1+P_dVol),0)</f>
        <v>0</v>
      </c>
      <c r="ES33" s="48" t="n">
        <f aca="false">IF(ES$15=1,INDEX(Vol_O,13,ES$14)/12*(1+P_dVol),0)</f>
        <v>0</v>
      </c>
    </row>
    <row r="34" customFormat="false" ht="15" hidden="false" customHeight="false" outlineLevel="0" collapsed="false">
      <c r="A34" s="11" t="s">
        <v>1079</v>
      </c>
      <c r="B34" s="53" t="str">
        <f aca="false">IF(INDEX(Prod_Nombre,14)="","Producto 14",INDEX(Prod_Nombre,14))&amp;" — unidades"</f>
        <v>Producto 14 — unidades</v>
      </c>
      <c r="C34" s="15" t="s">
        <v>544</v>
      </c>
      <c r="E34" s="54" t="n">
        <f aca="false">SUM(F34:ES34)</f>
        <v>0</v>
      </c>
      <c r="F34" s="48" t="n">
        <f aca="false">IF(F$15=1,INDEX(Vol_O,14,F$14)/12*(1+P_dVol),0)</f>
        <v>0</v>
      </c>
      <c r="G34" s="48" t="n">
        <f aca="false">IF(G$15=1,INDEX(Vol_O,14,G$14)/12*(1+P_dVol),0)</f>
        <v>0</v>
      </c>
      <c r="H34" s="48" t="n">
        <f aca="false">IF(H$15=1,INDEX(Vol_O,14,H$14)/12*(1+P_dVol),0)</f>
        <v>0</v>
      </c>
      <c r="I34" s="48" t="n">
        <f aca="false">IF(I$15=1,INDEX(Vol_O,14,I$14)/12*(1+P_dVol),0)</f>
        <v>0</v>
      </c>
      <c r="J34" s="48" t="n">
        <f aca="false">IF(J$15=1,INDEX(Vol_O,14,J$14)/12*(1+P_dVol),0)</f>
        <v>0</v>
      </c>
      <c r="K34" s="48" t="n">
        <f aca="false">IF(K$15=1,INDEX(Vol_O,14,K$14)/12*(1+P_dVol),0)</f>
        <v>0</v>
      </c>
      <c r="L34" s="48" t="n">
        <f aca="false">IF(L$15=1,INDEX(Vol_O,14,L$14)/12*(1+P_dVol),0)</f>
        <v>0</v>
      </c>
      <c r="M34" s="48" t="n">
        <f aca="false">IF(M$15=1,INDEX(Vol_O,14,M$14)/12*(1+P_dVol),0)</f>
        <v>0</v>
      </c>
      <c r="N34" s="48" t="n">
        <f aca="false">IF(N$15=1,INDEX(Vol_O,14,N$14)/12*(1+P_dVol),0)</f>
        <v>0</v>
      </c>
      <c r="O34" s="48" t="n">
        <f aca="false">IF(O$15=1,INDEX(Vol_O,14,O$14)/12*(1+P_dVol),0)</f>
        <v>0</v>
      </c>
      <c r="P34" s="48" t="n">
        <f aca="false">IF(P$15=1,INDEX(Vol_O,14,P$14)/12*(1+P_dVol),0)</f>
        <v>0</v>
      </c>
      <c r="Q34" s="48" t="n">
        <f aca="false">IF(Q$15=1,INDEX(Vol_O,14,Q$14)/12*(1+P_dVol),0)</f>
        <v>0</v>
      </c>
      <c r="R34" s="48" t="n">
        <f aca="false">IF(R$15=1,INDEX(Vol_O,14,R$14)/12*(1+P_dVol),0)</f>
        <v>0</v>
      </c>
      <c r="S34" s="48" t="n">
        <f aca="false">IF(S$15=1,INDEX(Vol_O,14,S$14)/12*(1+P_dVol),0)</f>
        <v>0</v>
      </c>
      <c r="T34" s="48" t="n">
        <f aca="false">IF(T$15=1,INDEX(Vol_O,14,T$14)/12*(1+P_dVol),0)</f>
        <v>0</v>
      </c>
      <c r="U34" s="48" t="n">
        <f aca="false">IF(U$15=1,INDEX(Vol_O,14,U$14)/12*(1+P_dVol),0)</f>
        <v>0</v>
      </c>
      <c r="V34" s="48" t="n">
        <f aca="false">IF(V$15=1,INDEX(Vol_O,14,V$14)/12*(1+P_dVol),0)</f>
        <v>0</v>
      </c>
      <c r="W34" s="48" t="n">
        <f aca="false">IF(W$15=1,INDEX(Vol_O,14,W$14)/12*(1+P_dVol),0)</f>
        <v>0</v>
      </c>
      <c r="X34" s="48" t="n">
        <f aca="false">IF(X$15=1,INDEX(Vol_O,14,X$14)/12*(1+P_dVol),0)</f>
        <v>0</v>
      </c>
      <c r="Y34" s="48" t="n">
        <f aca="false">IF(Y$15=1,INDEX(Vol_O,14,Y$14)/12*(1+P_dVol),0)</f>
        <v>0</v>
      </c>
      <c r="Z34" s="48" t="n">
        <f aca="false">IF(Z$15=1,INDEX(Vol_O,14,Z$14)/12*(1+P_dVol),0)</f>
        <v>0</v>
      </c>
      <c r="AA34" s="48" t="n">
        <f aca="false">IF(AA$15=1,INDEX(Vol_O,14,AA$14)/12*(1+P_dVol),0)</f>
        <v>0</v>
      </c>
      <c r="AB34" s="48" t="n">
        <f aca="false">IF(AB$15=1,INDEX(Vol_O,14,AB$14)/12*(1+P_dVol),0)</f>
        <v>0</v>
      </c>
      <c r="AC34" s="48" t="n">
        <f aca="false">IF(AC$15=1,INDEX(Vol_O,14,AC$14)/12*(1+P_dVol),0)</f>
        <v>0</v>
      </c>
      <c r="AD34" s="48" t="n">
        <f aca="false">IF(AD$15=1,INDEX(Vol_O,14,AD$14)/12*(1+P_dVol),0)</f>
        <v>0</v>
      </c>
      <c r="AE34" s="48" t="n">
        <f aca="false">IF(AE$15=1,INDEX(Vol_O,14,AE$14)/12*(1+P_dVol),0)</f>
        <v>0</v>
      </c>
      <c r="AF34" s="48" t="n">
        <f aca="false">IF(AF$15=1,INDEX(Vol_O,14,AF$14)/12*(1+P_dVol),0)</f>
        <v>0</v>
      </c>
      <c r="AG34" s="48" t="n">
        <f aca="false">IF(AG$15=1,INDEX(Vol_O,14,AG$14)/12*(1+P_dVol),0)</f>
        <v>0</v>
      </c>
      <c r="AH34" s="48" t="n">
        <f aca="false">IF(AH$15=1,INDEX(Vol_O,14,AH$14)/12*(1+P_dVol),0)</f>
        <v>0</v>
      </c>
      <c r="AI34" s="48" t="n">
        <f aca="false">IF(AI$15=1,INDEX(Vol_O,14,AI$14)/12*(1+P_dVol),0)</f>
        <v>0</v>
      </c>
      <c r="AJ34" s="48" t="n">
        <f aca="false">IF(AJ$15=1,INDEX(Vol_O,14,AJ$14)/12*(1+P_dVol),0)</f>
        <v>0</v>
      </c>
      <c r="AK34" s="48" t="n">
        <f aca="false">IF(AK$15=1,INDEX(Vol_O,14,AK$14)/12*(1+P_dVol),0)</f>
        <v>0</v>
      </c>
      <c r="AL34" s="48" t="n">
        <f aca="false">IF(AL$15=1,INDEX(Vol_O,14,AL$14)/12*(1+P_dVol),0)</f>
        <v>0</v>
      </c>
      <c r="AM34" s="48" t="n">
        <f aca="false">IF(AM$15=1,INDEX(Vol_O,14,AM$14)/12*(1+P_dVol),0)</f>
        <v>0</v>
      </c>
      <c r="AN34" s="48" t="n">
        <f aca="false">IF(AN$15=1,INDEX(Vol_O,14,AN$14)/12*(1+P_dVol),0)</f>
        <v>0</v>
      </c>
      <c r="AO34" s="48" t="n">
        <f aca="false">IF(AO$15=1,INDEX(Vol_O,14,AO$14)/12*(1+P_dVol),0)</f>
        <v>0</v>
      </c>
      <c r="AP34" s="48" t="n">
        <f aca="false">IF(AP$15=1,INDEX(Vol_O,14,AP$14)/12*(1+P_dVol),0)</f>
        <v>0</v>
      </c>
      <c r="AQ34" s="48" t="n">
        <f aca="false">IF(AQ$15=1,INDEX(Vol_O,14,AQ$14)/12*(1+P_dVol),0)</f>
        <v>0</v>
      </c>
      <c r="AR34" s="48" t="n">
        <f aca="false">IF(AR$15=1,INDEX(Vol_O,14,AR$14)/12*(1+P_dVol),0)</f>
        <v>0</v>
      </c>
      <c r="AS34" s="48" t="n">
        <f aca="false">IF(AS$15=1,INDEX(Vol_O,14,AS$14)/12*(1+P_dVol),0)</f>
        <v>0</v>
      </c>
      <c r="AT34" s="48" t="n">
        <f aca="false">IF(AT$15=1,INDEX(Vol_O,14,AT$14)/12*(1+P_dVol),0)</f>
        <v>0</v>
      </c>
      <c r="AU34" s="48" t="n">
        <f aca="false">IF(AU$15=1,INDEX(Vol_O,14,AU$14)/12*(1+P_dVol),0)</f>
        <v>0</v>
      </c>
      <c r="AV34" s="48" t="n">
        <f aca="false">IF(AV$15=1,INDEX(Vol_O,14,AV$14)/12*(1+P_dVol),0)</f>
        <v>0</v>
      </c>
      <c r="AW34" s="48" t="n">
        <f aca="false">IF(AW$15=1,INDEX(Vol_O,14,AW$14)/12*(1+P_dVol),0)</f>
        <v>0</v>
      </c>
      <c r="AX34" s="48" t="n">
        <f aca="false">IF(AX$15=1,INDEX(Vol_O,14,AX$14)/12*(1+P_dVol),0)</f>
        <v>0</v>
      </c>
      <c r="AY34" s="48" t="n">
        <f aca="false">IF(AY$15=1,INDEX(Vol_O,14,AY$14)/12*(1+P_dVol),0)</f>
        <v>0</v>
      </c>
      <c r="AZ34" s="48" t="n">
        <f aca="false">IF(AZ$15=1,INDEX(Vol_O,14,AZ$14)/12*(1+P_dVol),0)</f>
        <v>0</v>
      </c>
      <c r="BA34" s="48" t="n">
        <f aca="false">IF(BA$15=1,INDEX(Vol_O,14,BA$14)/12*(1+P_dVol),0)</f>
        <v>0</v>
      </c>
      <c r="BB34" s="48" t="n">
        <f aca="false">IF(BB$15=1,INDEX(Vol_O,14,BB$14)/12*(1+P_dVol),0)</f>
        <v>0</v>
      </c>
      <c r="BC34" s="48" t="n">
        <f aca="false">IF(BC$15=1,INDEX(Vol_O,14,BC$14)/12*(1+P_dVol),0)</f>
        <v>0</v>
      </c>
      <c r="BD34" s="48" t="n">
        <f aca="false">IF(BD$15=1,INDEX(Vol_O,14,BD$14)/12*(1+P_dVol),0)</f>
        <v>0</v>
      </c>
      <c r="BE34" s="48" t="n">
        <f aca="false">IF(BE$15=1,INDEX(Vol_O,14,BE$14)/12*(1+P_dVol),0)</f>
        <v>0</v>
      </c>
      <c r="BF34" s="48" t="n">
        <f aca="false">IF(BF$15=1,INDEX(Vol_O,14,BF$14)/12*(1+P_dVol),0)</f>
        <v>0</v>
      </c>
      <c r="BG34" s="48" t="n">
        <f aca="false">IF(BG$15=1,INDEX(Vol_O,14,BG$14)/12*(1+P_dVol),0)</f>
        <v>0</v>
      </c>
      <c r="BH34" s="48" t="n">
        <f aca="false">IF(BH$15=1,INDEX(Vol_O,14,BH$14)/12*(1+P_dVol),0)</f>
        <v>0</v>
      </c>
      <c r="BI34" s="48" t="n">
        <f aca="false">IF(BI$15=1,INDEX(Vol_O,14,BI$14)/12*(1+P_dVol),0)</f>
        <v>0</v>
      </c>
      <c r="BJ34" s="48" t="n">
        <f aca="false">IF(BJ$15=1,INDEX(Vol_O,14,BJ$14)/12*(1+P_dVol),0)</f>
        <v>0</v>
      </c>
      <c r="BK34" s="48" t="n">
        <f aca="false">IF(BK$15=1,INDEX(Vol_O,14,BK$14)/12*(1+P_dVol),0)</f>
        <v>0</v>
      </c>
      <c r="BL34" s="48" t="n">
        <f aca="false">IF(BL$15=1,INDEX(Vol_O,14,BL$14)/12*(1+P_dVol),0)</f>
        <v>0</v>
      </c>
      <c r="BM34" s="48" t="n">
        <f aca="false">IF(BM$15=1,INDEX(Vol_O,14,BM$14)/12*(1+P_dVol),0)</f>
        <v>0</v>
      </c>
      <c r="BN34" s="48" t="n">
        <f aca="false">IF(BN$15=1,INDEX(Vol_O,14,BN$14)/12*(1+P_dVol),0)</f>
        <v>0</v>
      </c>
      <c r="BO34" s="48" t="n">
        <f aca="false">IF(BO$15=1,INDEX(Vol_O,14,BO$14)/12*(1+P_dVol),0)</f>
        <v>0</v>
      </c>
      <c r="BP34" s="48" t="n">
        <f aca="false">IF(BP$15=1,INDEX(Vol_O,14,BP$14)/12*(1+P_dVol),0)</f>
        <v>0</v>
      </c>
      <c r="BQ34" s="48" t="n">
        <f aca="false">IF(BQ$15=1,INDEX(Vol_O,14,BQ$14)/12*(1+P_dVol),0)</f>
        <v>0</v>
      </c>
      <c r="BR34" s="48" t="n">
        <f aca="false">IF(BR$15=1,INDEX(Vol_O,14,BR$14)/12*(1+P_dVol),0)</f>
        <v>0</v>
      </c>
      <c r="BS34" s="48" t="n">
        <f aca="false">IF(BS$15=1,INDEX(Vol_O,14,BS$14)/12*(1+P_dVol),0)</f>
        <v>0</v>
      </c>
      <c r="BT34" s="48" t="n">
        <f aca="false">IF(BT$15=1,INDEX(Vol_O,14,BT$14)/12*(1+P_dVol),0)</f>
        <v>0</v>
      </c>
      <c r="BU34" s="48" t="n">
        <f aca="false">IF(BU$15=1,INDEX(Vol_O,14,BU$14)/12*(1+P_dVol),0)</f>
        <v>0</v>
      </c>
      <c r="BV34" s="48" t="n">
        <f aca="false">IF(BV$15=1,INDEX(Vol_O,14,BV$14)/12*(1+P_dVol),0)</f>
        <v>0</v>
      </c>
      <c r="BW34" s="48" t="n">
        <f aca="false">IF(BW$15=1,INDEX(Vol_O,14,BW$14)/12*(1+P_dVol),0)</f>
        <v>0</v>
      </c>
      <c r="BX34" s="48" t="n">
        <f aca="false">IF(BX$15=1,INDEX(Vol_O,14,BX$14)/12*(1+P_dVol),0)</f>
        <v>0</v>
      </c>
      <c r="BY34" s="48" t="n">
        <f aca="false">IF(BY$15=1,INDEX(Vol_O,14,BY$14)/12*(1+P_dVol),0)</f>
        <v>0</v>
      </c>
      <c r="BZ34" s="48" t="n">
        <f aca="false">IF(BZ$15=1,INDEX(Vol_O,14,BZ$14)/12*(1+P_dVol),0)</f>
        <v>0</v>
      </c>
      <c r="CA34" s="48" t="n">
        <f aca="false">IF(CA$15=1,INDEX(Vol_O,14,CA$14)/12*(1+P_dVol),0)</f>
        <v>0</v>
      </c>
      <c r="CB34" s="48" t="n">
        <f aca="false">IF(CB$15=1,INDEX(Vol_O,14,CB$14)/12*(1+P_dVol),0)</f>
        <v>0</v>
      </c>
      <c r="CC34" s="48" t="n">
        <f aca="false">IF(CC$15=1,INDEX(Vol_O,14,CC$14)/12*(1+P_dVol),0)</f>
        <v>0</v>
      </c>
      <c r="CD34" s="48" t="n">
        <f aca="false">IF(CD$15=1,INDEX(Vol_O,14,CD$14)/12*(1+P_dVol),0)</f>
        <v>0</v>
      </c>
      <c r="CE34" s="48" t="n">
        <f aca="false">IF(CE$15=1,INDEX(Vol_O,14,CE$14)/12*(1+P_dVol),0)</f>
        <v>0</v>
      </c>
      <c r="CF34" s="48" t="n">
        <f aca="false">IF(CF$15=1,INDEX(Vol_O,14,CF$14)/12*(1+P_dVol),0)</f>
        <v>0</v>
      </c>
      <c r="CG34" s="48" t="n">
        <f aca="false">IF(CG$15=1,INDEX(Vol_O,14,CG$14)/12*(1+P_dVol),0)</f>
        <v>0</v>
      </c>
      <c r="CH34" s="48" t="n">
        <f aca="false">IF(CH$15=1,INDEX(Vol_O,14,CH$14)/12*(1+P_dVol),0)</f>
        <v>0</v>
      </c>
      <c r="CI34" s="48" t="n">
        <f aca="false">IF(CI$15=1,INDEX(Vol_O,14,CI$14)/12*(1+P_dVol),0)</f>
        <v>0</v>
      </c>
      <c r="CJ34" s="48" t="n">
        <f aca="false">IF(CJ$15=1,INDEX(Vol_O,14,CJ$14)/12*(1+P_dVol),0)</f>
        <v>0</v>
      </c>
      <c r="CK34" s="48" t="n">
        <f aca="false">IF(CK$15=1,INDEX(Vol_O,14,CK$14)/12*(1+P_dVol),0)</f>
        <v>0</v>
      </c>
      <c r="CL34" s="48" t="n">
        <f aca="false">IF(CL$15=1,INDEX(Vol_O,14,CL$14)/12*(1+P_dVol),0)</f>
        <v>0</v>
      </c>
      <c r="CM34" s="48" t="n">
        <f aca="false">IF(CM$15=1,INDEX(Vol_O,14,CM$14)/12*(1+P_dVol),0)</f>
        <v>0</v>
      </c>
      <c r="CN34" s="48" t="n">
        <f aca="false">IF(CN$15=1,INDEX(Vol_O,14,CN$14)/12*(1+P_dVol),0)</f>
        <v>0</v>
      </c>
      <c r="CO34" s="48" t="n">
        <f aca="false">IF(CO$15=1,INDEX(Vol_O,14,CO$14)/12*(1+P_dVol),0)</f>
        <v>0</v>
      </c>
      <c r="CP34" s="48" t="n">
        <f aca="false">IF(CP$15=1,INDEX(Vol_O,14,CP$14)/12*(1+P_dVol),0)</f>
        <v>0</v>
      </c>
      <c r="CQ34" s="48" t="n">
        <f aca="false">IF(CQ$15=1,INDEX(Vol_O,14,CQ$14)/12*(1+P_dVol),0)</f>
        <v>0</v>
      </c>
      <c r="CR34" s="48" t="n">
        <f aca="false">IF(CR$15=1,INDEX(Vol_O,14,CR$14)/12*(1+P_dVol),0)</f>
        <v>0</v>
      </c>
      <c r="CS34" s="48" t="n">
        <f aca="false">IF(CS$15=1,INDEX(Vol_O,14,CS$14)/12*(1+P_dVol),0)</f>
        <v>0</v>
      </c>
      <c r="CT34" s="48" t="n">
        <f aca="false">IF(CT$15=1,INDEX(Vol_O,14,CT$14)/12*(1+P_dVol),0)</f>
        <v>0</v>
      </c>
      <c r="CU34" s="48" t="n">
        <f aca="false">IF(CU$15=1,INDEX(Vol_O,14,CU$14)/12*(1+P_dVol),0)</f>
        <v>0</v>
      </c>
      <c r="CV34" s="48" t="n">
        <f aca="false">IF(CV$15=1,INDEX(Vol_O,14,CV$14)/12*(1+P_dVol),0)</f>
        <v>0</v>
      </c>
      <c r="CW34" s="48" t="n">
        <f aca="false">IF(CW$15=1,INDEX(Vol_O,14,CW$14)/12*(1+P_dVol),0)</f>
        <v>0</v>
      </c>
      <c r="CX34" s="48" t="n">
        <f aca="false">IF(CX$15=1,INDEX(Vol_O,14,CX$14)/12*(1+P_dVol),0)</f>
        <v>0</v>
      </c>
      <c r="CY34" s="48" t="n">
        <f aca="false">IF(CY$15=1,INDEX(Vol_O,14,CY$14)/12*(1+P_dVol),0)</f>
        <v>0</v>
      </c>
      <c r="CZ34" s="48" t="n">
        <f aca="false">IF(CZ$15=1,INDEX(Vol_O,14,CZ$14)/12*(1+P_dVol),0)</f>
        <v>0</v>
      </c>
      <c r="DA34" s="48" t="n">
        <f aca="false">IF(DA$15=1,INDEX(Vol_O,14,DA$14)/12*(1+P_dVol),0)</f>
        <v>0</v>
      </c>
      <c r="DB34" s="48" t="n">
        <f aca="false">IF(DB$15=1,INDEX(Vol_O,14,DB$14)/12*(1+P_dVol),0)</f>
        <v>0</v>
      </c>
      <c r="DC34" s="48" t="n">
        <f aca="false">IF(DC$15=1,INDEX(Vol_O,14,DC$14)/12*(1+P_dVol),0)</f>
        <v>0</v>
      </c>
      <c r="DD34" s="48" t="n">
        <f aca="false">IF(DD$15=1,INDEX(Vol_O,14,DD$14)/12*(1+P_dVol),0)</f>
        <v>0</v>
      </c>
      <c r="DE34" s="48" t="n">
        <f aca="false">IF(DE$15=1,INDEX(Vol_O,14,DE$14)/12*(1+P_dVol),0)</f>
        <v>0</v>
      </c>
      <c r="DF34" s="48" t="n">
        <f aca="false">IF(DF$15=1,INDEX(Vol_O,14,DF$14)/12*(1+P_dVol),0)</f>
        <v>0</v>
      </c>
      <c r="DG34" s="48" t="n">
        <f aca="false">IF(DG$15=1,INDEX(Vol_O,14,DG$14)/12*(1+P_dVol),0)</f>
        <v>0</v>
      </c>
      <c r="DH34" s="48" t="n">
        <f aca="false">IF(DH$15=1,INDEX(Vol_O,14,DH$14)/12*(1+P_dVol),0)</f>
        <v>0</v>
      </c>
      <c r="DI34" s="48" t="n">
        <f aca="false">IF(DI$15=1,INDEX(Vol_O,14,DI$14)/12*(1+P_dVol),0)</f>
        <v>0</v>
      </c>
      <c r="DJ34" s="48" t="n">
        <f aca="false">IF(DJ$15=1,INDEX(Vol_O,14,DJ$14)/12*(1+P_dVol),0)</f>
        <v>0</v>
      </c>
      <c r="DK34" s="48" t="n">
        <f aca="false">IF(DK$15=1,INDEX(Vol_O,14,DK$14)/12*(1+P_dVol),0)</f>
        <v>0</v>
      </c>
      <c r="DL34" s="48" t="n">
        <f aca="false">IF(DL$15=1,INDEX(Vol_O,14,DL$14)/12*(1+P_dVol),0)</f>
        <v>0</v>
      </c>
      <c r="DM34" s="48" t="n">
        <f aca="false">IF(DM$15=1,INDEX(Vol_O,14,DM$14)/12*(1+P_dVol),0)</f>
        <v>0</v>
      </c>
      <c r="DN34" s="48" t="n">
        <f aca="false">IF(DN$15=1,INDEX(Vol_O,14,DN$14)/12*(1+P_dVol),0)</f>
        <v>0</v>
      </c>
      <c r="DO34" s="48" t="n">
        <f aca="false">IF(DO$15=1,INDEX(Vol_O,14,DO$14)/12*(1+P_dVol),0)</f>
        <v>0</v>
      </c>
      <c r="DP34" s="48" t="n">
        <f aca="false">IF(DP$15=1,INDEX(Vol_O,14,DP$14)/12*(1+P_dVol),0)</f>
        <v>0</v>
      </c>
      <c r="DQ34" s="48" t="n">
        <f aca="false">IF(DQ$15=1,INDEX(Vol_O,14,DQ$14)/12*(1+P_dVol),0)</f>
        <v>0</v>
      </c>
      <c r="DR34" s="48" t="n">
        <f aca="false">IF(DR$15=1,INDEX(Vol_O,14,DR$14)/12*(1+P_dVol),0)</f>
        <v>0</v>
      </c>
      <c r="DS34" s="48" t="n">
        <f aca="false">IF(DS$15=1,INDEX(Vol_O,14,DS$14)/12*(1+P_dVol),0)</f>
        <v>0</v>
      </c>
      <c r="DT34" s="48" t="n">
        <f aca="false">IF(DT$15=1,INDEX(Vol_O,14,DT$14)/12*(1+P_dVol),0)</f>
        <v>0</v>
      </c>
      <c r="DU34" s="48" t="n">
        <f aca="false">IF(DU$15=1,INDEX(Vol_O,14,DU$14)/12*(1+P_dVol),0)</f>
        <v>0</v>
      </c>
      <c r="DV34" s="48" t="n">
        <f aca="false">IF(DV$15=1,INDEX(Vol_O,14,DV$14)/12*(1+P_dVol),0)</f>
        <v>0</v>
      </c>
      <c r="DW34" s="48" t="n">
        <f aca="false">IF(DW$15=1,INDEX(Vol_O,14,DW$14)/12*(1+P_dVol),0)</f>
        <v>0</v>
      </c>
      <c r="DX34" s="48" t="n">
        <f aca="false">IF(DX$15=1,INDEX(Vol_O,14,DX$14)/12*(1+P_dVol),0)</f>
        <v>0</v>
      </c>
      <c r="DY34" s="48" t="n">
        <f aca="false">IF(DY$15=1,INDEX(Vol_O,14,DY$14)/12*(1+P_dVol),0)</f>
        <v>0</v>
      </c>
      <c r="DZ34" s="48" t="n">
        <f aca="false">IF(DZ$15=1,INDEX(Vol_O,14,DZ$14)/12*(1+P_dVol),0)</f>
        <v>0</v>
      </c>
      <c r="EA34" s="48" t="n">
        <f aca="false">IF(EA$15=1,INDEX(Vol_O,14,EA$14)/12*(1+P_dVol),0)</f>
        <v>0</v>
      </c>
      <c r="EB34" s="48" t="n">
        <f aca="false">IF(EB$15=1,INDEX(Vol_O,14,EB$14)/12*(1+P_dVol),0)</f>
        <v>0</v>
      </c>
      <c r="EC34" s="48" t="n">
        <f aca="false">IF(EC$15=1,INDEX(Vol_O,14,EC$14)/12*(1+P_dVol),0)</f>
        <v>0</v>
      </c>
      <c r="ED34" s="48" t="n">
        <f aca="false">IF(ED$15=1,INDEX(Vol_O,14,ED$14)/12*(1+P_dVol),0)</f>
        <v>0</v>
      </c>
      <c r="EE34" s="48" t="n">
        <f aca="false">IF(EE$15=1,INDEX(Vol_O,14,EE$14)/12*(1+P_dVol),0)</f>
        <v>0</v>
      </c>
      <c r="EF34" s="48" t="n">
        <f aca="false">IF(EF$15=1,INDEX(Vol_O,14,EF$14)/12*(1+P_dVol),0)</f>
        <v>0</v>
      </c>
      <c r="EG34" s="48" t="n">
        <f aca="false">IF(EG$15=1,INDEX(Vol_O,14,EG$14)/12*(1+P_dVol),0)</f>
        <v>0</v>
      </c>
      <c r="EH34" s="48" t="n">
        <f aca="false">IF(EH$15=1,INDEX(Vol_O,14,EH$14)/12*(1+P_dVol),0)</f>
        <v>0</v>
      </c>
      <c r="EI34" s="48" t="n">
        <f aca="false">IF(EI$15=1,INDEX(Vol_O,14,EI$14)/12*(1+P_dVol),0)</f>
        <v>0</v>
      </c>
      <c r="EJ34" s="48" t="n">
        <f aca="false">IF(EJ$15=1,INDEX(Vol_O,14,EJ$14)/12*(1+P_dVol),0)</f>
        <v>0</v>
      </c>
      <c r="EK34" s="48" t="n">
        <f aca="false">IF(EK$15=1,INDEX(Vol_O,14,EK$14)/12*(1+P_dVol),0)</f>
        <v>0</v>
      </c>
      <c r="EL34" s="48" t="n">
        <f aca="false">IF(EL$15=1,INDEX(Vol_O,14,EL$14)/12*(1+P_dVol),0)</f>
        <v>0</v>
      </c>
      <c r="EM34" s="48" t="n">
        <f aca="false">IF(EM$15=1,INDEX(Vol_O,14,EM$14)/12*(1+P_dVol),0)</f>
        <v>0</v>
      </c>
      <c r="EN34" s="48" t="n">
        <f aca="false">IF(EN$15=1,INDEX(Vol_O,14,EN$14)/12*(1+P_dVol),0)</f>
        <v>0</v>
      </c>
      <c r="EO34" s="48" t="n">
        <f aca="false">IF(EO$15=1,INDEX(Vol_O,14,EO$14)/12*(1+P_dVol),0)</f>
        <v>0</v>
      </c>
      <c r="EP34" s="48" t="n">
        <f aca="false">IF(EP$15=1,INDEX(Vol_O,14,EP$14)/12*(1+P_dVol),0)</f>
        <v>0</v>
      </c>
      <c r="EQ34" s="48" t="n">
        <f aca="false">IF(EQ$15=1,INDEX(Vol_O,14,EQ$14)/12*(1+P_dVol),0)</f>
        <v>0</v>
      </c>
      <c r="ER34" s="48" t="n">
        <f aca="false">IF(ER$15=1,INDEX(Vol_O,14,ER$14)/12*(1+P_dVol),0)</f>
        <v>0</v>
      </c>
      <c r="ES34" s="48" t="n">
        <f aca="false">IF(ES$15=1,INDEX(Vol_O,14,ES$14)/12*(1+P_dVol),0)</f>
        <v>0</v>
      </c>
    </row>
    <row r="35" customFormat="false" ht="15" hidden="false" customHeight="false" outlineLevel="0" collapsed="false">
      <c r="A35" s="11" t="s">
        <v>1080</v>
      </c>
      <c r="B35" s="53" t="str">
        <f aca="false">IF(INDEX(Prod_Nombre,15)="","Producto 15",INDEX(Prod_Nombre,15))&amp;" — unidades"</f>
        <v>Producto 15 — unidades</v>
      </c>
      <c r="C35" s="15" t="s">
        <v>544</v>
      </c>
      <c r="E35" s="54" t="n">
        <f aca="false">SUM(F35:ES35)</f>
        <v>0</v>
      </c>
      <c r="F35" s="48" t="n">
        <f aca="false">IF(F$15=1,INDEX(Vol_O,15,F$14)/12*(1+P_dVol),0)</f>
        <v>0</v>
      </c>
      <c r="G35" s="48" t="n">
        <f aca="false">IF(G$15=1,INDEX(Vol_O,15,G$14)/12*(1+P_dVol),0)</f>
        <v>0</v>
      </c>
      <c r="H35" s="48" t="n">
        <f aca="false">IF(H$15=1,INDEX(Vol_O,15,H$14)/12*(1+P_dVol),0)</f>
        <v>0</v>
      </c>
      <c r="I35" s="48" t="n">
        <f aca="false">IF(I$15=1,INDEX(Vol_O,15,I$14)/12*(1+P_dVol),0)</f>
        <v>0</v>
      </c>
      <c r="J35" s="48" t="n">
        <f aca="false">IF(J$15=1,INDEX(Vol_O,15,J$14)/12*(1+P_dVol),0)</f>
        <v>0</v>
      </c>
      <c r="K35" s="48" t="n">
        <f aca="false">IF(K$15=1,INDEX(Vol_O,15,K$14)/12*(1+P_dVol),0)</f>
        <v>0</v>
      </c>
      <c r="L35" s="48" t="n">
        <f aca="false">IF(L$15=1,INDEX(Vol_O,15,L$14)/12*(1+P_dVol),0)</f>
        <v>0</v>
      </c>
      <c r="M35" s="48" t="n">
        <f aca="false">IF(M$15=1,INDEX(Vol_O,15,M$14)/12*(1+P_dVol),0)</f>
        <v>0</v>
      </c>
      <c r="N35" s="48" t="n">
        <f aca="false">IF(N$15=1,INDEX(Vol_O,15,N$14)/12*(1+P_dVol),0)</f>
        <v>0</v>
      </c>
      <c r="O35" s="48" t="n">
        <f aca="false">IF(O$15=1,INDEX(Vol_O,15,O$14)/12*(1+P_dVol),0)</f>
        <v>0</v>
      </c>
      <c r="P35" s="48" t="n">
        <f aca="false">IF(P$15=1,INDEX(Vol_O,15,P$14)/12*(1+P_dVol),0)</f>
        <v>0</v>
      </c>
      <c r="Q35" s="48" t="n">
        <f aca="false">IF(Q$15=1,INDEX(Vol_O,15,Q$14)/12*(1+P_dVol),0)</f>
        <v>0</v>
      </c>
      <c r="R35" s="48" t="n">
        <f aca="false">IF(R$15=1,INDEX(Vol_O,15,R$14)/12*(1+P_dVol),0)</f>
        <v>0</v>
      </c>
      <c r="S35" s="48" t="n">
        <f aca="false">IF(S$15=1,INDEX(Vol_O,15,S$14)/12*(1+P_dVol),0)</f>
        <v>0</v>
      </c>
      <c r="T35" s="48" t="n">
        <f aca="false">IF(T$15=1,INDEX(Vol_O,15,T$14)/12*(1+P_dVol),0)</f>
        <v>0</v>
      </c>
      <c r="U35" s="48" t="n">
        <f aca="false">IF(U$15=1,INDEX(Vol_O,15,U$14)/12*(1+P_dVol),0)</f>
        <v>0</v>
      </c>
      <c r="V35" s="48" t="n">
        <f aca="false">IF(V$15=1,INDEX(Vol_O,15,V$14)/12*(1+P_dVol),0)</f>
        <v>0</v>
      </c>
      <c r="W35" s="48" t="n">
        <f aca="false">IF(W$15=1,INDEX(Vol_O,15,W$14)/12*(1+P_dVol),0)</f>
        <v>0</v>
      </c>
      <c r="X35" s="48" t="n">
        <f aca="false">IF(X$15=1,INDEX(Vol_O,15,X$14)/12*(1+P_dVol),0)</f>
        <v>0</v>
      </c>
      <c r="Y35" s="48" t="n">
        <f aca="false">IF(Y$15=1,INDEX(Vol_O,15,Y$14)/12*(1+P_dVol),0)</f>
        <v>0</v>
      </c>
      <c r="Z35" s="48" t="n">
        <f aca="false">IF(Z$15=1,INDEX(Vol_O,15,Z$14)/12*(1+P_dVol),0)</f>
        <v>0</v>
      </c>
      <c r="AA35" s="48" t="n">
        <f aca="false">IF(AA$15=1,INDEX(Vol_O,15,AA$14)/12*(1+P_dVol),0)</f>
        <v>0</v>
      </c>
      <c r="AB35" s="48" t="n">
        <f aca="false">IF(AB$15=1,INDEX(Vol_O,15,AB$14)/12*(1+P_dVol),0)</f>
        <v>0</v>
      </c>
      <c r="AC35" s="48" t="n">
        <f aca="false">IF(AC$15=1,INDEX(Vol_O,15,AC$14)/12*(1+P_dVol),0)</f>
        <v>0</v>
      </c>
      <c r="AD35" s="48" t="n">
        <f aca="false">IF(AD$15=1,INDEX(Vol_O,15,AD$14)/12*(1+P_dVol),0)</f>
        <v>0</v>
      </c>
      <c r="AE35" s="48" t="n">
        <f aca="false">IF(AE$15=1,INDEX(Vol_O,15,AE$14)/12*(1+P_dVol),0)</f>
        <v>0</v>
      </c>
      <c r="AF35" s="48" t="n">
        <f aca="false">IF(AF$15=1,INDEX(Vol_O,15,AF$14)/12*(1+P_dVol),0)</f>
        <v>0</v>
      </c>
      <c r="AG35" s="48" t="n">
        <f aca="false">IF(AG$15=1,INDEX(Vol_O,15,AG$14)/12*(1+P_dVol),0)</f>
        <v>0</v>
      </c>
      <c r="AH35" s="48" t="n">
        <f aca="false">IF(AH$15=1,INDEX(Vol_O,15,AH$14)/12*(1+P_dVol),0)</f>
        <v>0</v>
      </c>
      <c r="AI35" s="48" t="n">
        <f aca="false">IF(AI$15=1,INDEX(Vol_O,15,AI$14)/12*(1+P_dVol),0)</f>
        <v>0</v>
      </c>
      <c r="AJ35" s="48" t="n">
        <f aca="false">IF(AJ$15=1,INDEX(Vol_O,15,AJ$14)/12*(1+P_dVol),0)</f>
        <v>0</v>
      </c>
      <c r="AK35" s="48" t="n">
        <f aca="false">IF(AK$15=1,INDEX(Vol_O,15,AK$14)/12*(1+P_dVol),0)</f>
        <v>0</v>
      </c>
      <c r="AL35" s="48" t="n">
        <f aca="false">IF(AL$15=1,INDEX(Vol_O,15,AL$14)/12*(1+P_dVol),0)</f>
        <v>0</v>
      </c>
      <c r="AM35" s="48" t="n">
        <f aca="false">IF(AM$15=1,INDEX(Vol_O,15,AM$14)/12*(1+P_dVol),0)</f>
        <v>0</v>
      </c>
      <c r="AN35" s="48" t="n">
        <f aca="false">IF(AN$15=1,INDEX(Vol_O,15,AN$14)/12*(1+P_dVol),0)</f>
        <v>0</v>
      </c>
      <c r="AO35" s="48" t="n">
        <f aca="false">IF(AO$15=1,INDEX(Vol_O,15,AO$14)/12*(1+P_dVol),0)</f>
        <v>0</v>
      </c>
      <c r="AP35" s="48" t="n">
        <f aca="false">IF(AP$15=1,INDEX(Vol_O,15,AP$14)/12*(1+P_dVol),0)</f>
        <v>0</v>
      </c>
      <c r="AQ35" s="48" t="n">
        <f aca="false">IF(AQ$15=1,INDEX(Vol_O,15,AQ$14)/12*(1+P_dVol),0)</f>
        <v>0</v>
      </c>
      <c r="AR35" s="48" t="n">
        <f aca="false">IF(AR$15=1,INDEX(Vol_O,15,AR$14)/12*(1+P_dVol),0)</f>
        <v>0</v>
      </c>
      <c r="AS35" s="48" t="n">
        <f aca="false">IF(AS$15=1,INDEX(Vol_O,15,AS$14)/12*(1+P_dVol),0)</f>
        <v>0</v>
      </c>
      <c r="AT35" s="48" t="n">
        <f aca="false">IF(AT$15=1,INDEX(Vol_O,15,AT$14)/12*(1+P_dVol),0)</f>
        <v>0</v>
      </c>
      <c r="AU35" s="48" t="n">
        <f aca="false">IF(AU$15=1,INDEX(Vol_O,15,AU$14)/12*(1+P_dVol),0)</f>
        <v>0</v>
      </c>
      <c r="AV35" s="48" t="n">
        <f aca="false">IF(AV$15=1,INDEX(Vol_O,15,AV$14)/12*(1+P_dVol),0)</f>
        <v>0</v>
      </c>
      <c r="AW35" s="48" t="n">
        <f aca="false">IF(AW$15=1,INDEX(Vol_O,15,AW$14)/12*(1+P_dVol),0)</f>
        <v>0</v>
      </c>
      <c r="AX35" s="48" t="n">
        <f aca="false">IF(AX$15=1,INDEX(Vol_O,15,AX$14)/12*(1+P_dVol),0)</f>
        <v>0</v>
      </c>
      <c r="AY35" s="48" t="n">
        <f aca="false">IF(AY$15=1,INDEX(Vol_O,15,AY$14)/12*(1+P_dVol),0)</f>
        <v>0</v>
      </c>
      <c r="AZ35" s="48" t="n">
        <f aca="false">IF(AZ$15=1,INDEX(Vol_O,15,AZ$14)/12*(1+P_dVol),0)</f>
        <v>0</v>
      </c>
      <c r="BA35" s="48" t="n">
        <f aca="false">IF(BA$15=1,INDEX(Vol_O,15,BA$14)/12*(1+P_dVol),0)</f>
        <v>0</v>
      </c>
      <c r="BB35" s="48" t="n">
        <f aca="false">IF(BB$15=1,INDEX(Vol_O,15,BB$14)/12*(1+P_dVol),0)</f>
        <v>0</v>
      </c>
      <c r="BC35" s="48" t="n">
        <f aca="false">IF(BC$15=1,INDEX(Vol_O,15,BC$14)/12*(1+P_dVol),0)</f>
        <v>0</v>
      </c>
      <c r="BD35" s="48" t="n">
        <f aca="false">IF(BD$15=1,INDEX(Vol_O,15,BD$14)/12*(1+P_dVol),0)</f>
        <v>0</v>
      </c>
      <c r="BE35" s="48" t="n">
        <f aca="false">IF(BE$15=1,INDEX(Vol_O,15,BE$14)/12*(1+P_dVol),0)</f>
        <v>0</v>
      </c>
      <c r="BF35" s="48" t="n">
        <f aca="false">IF(BF$15=1,INDEX(Vol_O,15,BF$14)/12*(1+P_dVol),0)</f>
        <v>0</v>
      </c>
      <c r="BG35" s="48" t="n">
        <f aca="false">IF(BG$15=1,INDEX(Vol_O,15,BG$14)/12*(1+P_dVol),0)</f>
        <v>0</v>
      </c>
      <c r="BH35" s="48" t="n">
        <f aca="false">IF(BH$15=1,INDEX(Vol_O,15,BH$14)/12*(1+P_dVol),0)</f>
        <v>0</v>
      </c>
      <c r="BI35" s="48" t="n">
        <f aca="false">IF(BI$15=1,INDEX(Vol_O,15,BI$14)/12*(1+P_dVol),0)</f>
        <v>0</v>
      </c>
      <c r="BJ35" s="48" t="n">
        <f aca="false">IF(BJ$15=1,INDEX(Vol_O,15,BJ$14)/12*(1+P_dVol),0)</f>
        <v>0</v>
      </c>
      <c r="BK35" s="48" t="n">
        <f aca="false">IF(BK$15=1,INDEX(Vol_O,15,BK$14)/12*(1+P_dVol),0)</f>
        <v>0</v>
      </c>
      <c r="BL35" s="48" t="n">
        <f aca="false">IF(BL$15=1,INDEX(Vol_O,15,BL$14)/12*(1+P_dVol),0)</f>
        <v>0</v>
      </c>
      <c r="BM35" s="48" t="n">
        <f aca="false">IF(BM$15=1,INDEX(Vol_O,15,BM$14)/12*(1+P_dVol),0)</f>
        <v>0</v>
      </c>
      <c r="BN35" s="48" t="n">
        <f aca="false">IF(BN$15=1,INDEX(Vol_O,15,BN$14)/12*(1+P_dVol),0)</f>
        <v>0</v>
      </c>
      <c r="BO35" s="48" t="n">
        <f aca="false">IF(BO$15=1,INDEX(Vol_O,15,BO$14)/12*(1+P_dVol),0)</f>
        <v>0</v>
      </c>
      <c r="BP35" s="48" t="n">
        <f aca="false">IF(BP$15=1,INDEX(Vol_O,15,BP$14)/12*(1+P_dVol),0)</f>
        <v>0</v>
      </c>
      <c r="BQ35" s="48" t="n">
        <f aca="false">IF(BQ$15=1,INDEX(Vol_O,15,BQ$14)/12*(1+P_dVol),0)</f>
        <v>0</v>
      </c>
      <c r="BR35" s="48" t="n">
        <f aca="false">IF(BR$15=1,INDEX(Vol_O,15,BR$14)/12*(1+P_dVol),0)</f>
        <v>0</v>
      </c>
      <c r="BS35" s="48" t="n">
        <f aca="false">IF(BS$15=1,INDEX(Vol_O,15,BS$14)/12*(1+P_dVol),0)</f>
        <v>0</v>
      </c>
      <c r="BT35" s="48" t="n">
        <f aca="false">IF(BT$15=1,INDEX(Vol_O,15,BT$14)/12*(1+P_dVol),0)</f>
        <v>0</v>
      </c>
      <c r="BU35" s="48" t="n">
        <f aca="false">IF(BU$15=1,INDEX(Vol_O,15,BU$14)/12*(1+P_dVol),0)</f>
        <v>0</v>
      </c>
      <c r="BV35" s="48" t="n">
        <f aca="false">IF(BV$15=1,INDEX(Vol_O,15,BV$14)/12*(1+P_dVol),0)</f>
        <v>0</v>
      </c>
      <c r="BW35" s="48" t="n">
        <f aca="false">IF(BW$15=1,INDEX(Vol_O,15,BW$14)/12*(1+P_dVol),0)</f>
        <v>0</v>
      </c>
      <c r="BX35" s="48" t="n">
        <f aca="false">IF(BX$15=1,INDEX(Vol_O,15,BX$14)/12*(1+P_dVol),0)</f>
        <v>0</v>
      </c>
      <c r="BY35" s="48" t="n">
        <f aca="false">IF(BY$15=1,INDEX(Vol_O,15,BY$14)/12*(1+P_dVol),0)</f>
        <v>0</v>
      </c>
      <c r="BZ35" s="48" t="n">
        <f aca="false">IF(BZ$15=1,INDEX(Vol_O,15,BZ$14)/12*(1+P_dVol),0)</f>
        <v>0</v>
      </c>
      <c r="CA35" s="48" t="n">
        <f aca="false">IF(CA$15=1,INDEX(Vol_O,15,CA$14)/12*(1+P_dVol),0)</f>
        <v>0</v>
      </c>
      <c r="CB35" s="48" t="n">
        <f aca="false">IF(CB$15=1,INDEX(Vol_O,15,CB$14)/12*(1+P_dVol),0)</f>
        <v>0</v>
      </c>
      <c r="CC35" s="48" t="n">
        <f aca="false">IF(CC$15=1,INDEX(Vol_O,15,CC$14)/12*(1+P_dVol),0)</f>
        <v>0</v>
      </c>
      <c r="CD35" s="48" t="n">
        <f aca="false">IF(CD$15=1,INDEX(Vol_O,15,CD$14)/12*(1+P_dVol),0)</f>
        <v>0</v>
      </c>
      <c r="CE35" s="48" t="n">
        <f aca="false">IF(CE$15=1,INDEX(Vol_O,15,CE$14)/12*(1+P_dVol),0)</f>
        <v>0</v>
      </c>
      <c r="CF35" s="48" t="n">
        <f aca="false">IF(CF$15=1,INDEX(Vol_O,15,CF$14)/12*(1+P_dVol),0)</f>
        <v>0</v>
      </c>
      <c r="CG35" s="48" t="n">
        <f aca="false">IF(CG$15=1,INDEX(Vol_O,15,CG$14)/12*(1+P_dVol),0)</f>
        <v>0</v>
      </c>
      <c r="CH35" s="48" t="n">
        <f aca="false">IF(CH$15=1,INDEX(Vol_O,15,CH$14)/12*(1+P_dVol),0)</f>
        <v>0</v>
      </c>
      <c r="CI35" s="48" t="n">
        <f aca="false">IF(CI$15=1,INDEX(Vol_O,15,CI$14)/12*(1+P_dVol),0)</f>
        <v>0</v>
      </c>
      <c r="CJ35" s="48" t="n">
        <f aca="false">IF(CJ$15=1,INDEX(Vol_O,15,CJ$14)/12*(1+P_dVol),0)</f>
        <v>0</v>
      </c>
      <c r="CK35" s="48" t="n">
        <f aca="false">IF(CK$15=1,INDEX(Vol_O,15,CK$14)/12*(1+P_dVol),0)</f>
        <v>0</v>
      </c>
      <c r="CL35" s="48" t="n">
        <f aca="false">IF(CL$15=1,INDEX(Vol_O,15,CL$14)/12*(1+P_dVol),0)</f>
        <v>0</v>
      </c>
      <c r="CM35" s="48" t="n">
        <f aca="false">IF(CM$15=1,INDEX(Vol_O,15,CM$14)/12*(1+P_dVol),0)</f>
        <v>0</v>
      </c>
      <c r="CN35" s="48" t="n">
        <f aca="false">IF(CN$15=1,INDEX(Vol_O,15,CN$14)/12*(1+P_dVol),0)</f>
        <v>0</v>
      </c>
      <c r="CO35" s="48" t="n">
        <f aca="false">IF(CO$15=1,INDEX(Vol_O,15,CO$14)/12*(1+P_dVol),0)</f>
        <v>0</v>
      </c>
      <c r="CP35" s="48" t="n">
        <f aca="false">IF(CP$15=1,INDEX(Vol_O,15,CP$14)/12*(1+P_dVol),0)</f>
        <v>0</v>
      </c>
      <c r="CQ35" s="48" t="n">
        <f aca="false">IF(CQ$15=1,INDEX(Vol_O,15,CQ$14)/12*(1+P_dVol),0)</f>
        <v>0</v>
      </c>
      <c r="CR35" s="48" t="n">
        <f aca="false">IF(CR$15=1,INDEX(Vol_O,15,CR$14)/12*(1+P_dVol),0)</f>
        <v>0</v>
      </c>
      <c r="CS35" s="48" t="n">
        <f aca="false">IF(CS$15=1,INDEX(Vol_O,15,CS$14)/12*(1+P_dVol),0)</f>
        <v>0</v>
      </c>
      <c r="CT35" s="48" t="n">
        <f aca="false">IF(CT$15=1,INDEX(Vol_O,15,CT$14)/12*(1+P_dVol),0)</f>
        <v>0</v>
      </c>
      <c r="CU35" s="48" t="n">
        <f aca="false">IF(CU$15=1,INDEX(Vol_O,15,CU$14)/12*(1+P_dVol),0)</f>
        <v>0</v>
      </c>
      <c r="CV35" s="48" t="n">
        <f aca="false">IF(CV$15=1,INDEX(Vol_O,15,CV$14)/12*(1+P_dVol),0)</f>
        <v>0</v>
      </c>
      <c r="CW35" s="48" t="n">
        <f aca="false">IF(CW$15=1,INDEX(Vol_O,15,CW$14)/12*(1+P_dVol),0)</f>
        <v>0</v>
      </c>
      <c r="CX35" s="48" t="n">
        <f aca="false">IF(CX$15=1,INDEX(Vol_O,15,CX$14)/12*(1+P_dVol),0)</f>
        <v>0</v>
      </c>
      <c r="CY35" s="48" t="n">
        <f aca="false">IF(CY$15=1,INDEX(Vol_O,15,CY$14)/12*(1+P_dVol),0)</f>
        <v>0</v>
      </c>
      <c r="CZ35" s="48" t="n">
        <f aca="false">IF(CZ$15=1,INDEX(Vol_O,15,CZ$14)/12*(1+P_dVol),0)</f>
        <v>0</v>
      </c>
      <c r="DA35" s="48" t="n">
        <f aca="false">IF(DA$15=1,INDEX(Vol_O,15,DA$14)/12*(1+P_dVol),0)</f>
        <v>0</v>
      </c>
      <c r="DB35" s="48" t="n">
        <f aca="false">IF(DB$15=1,INDEX(Vol_O,15,DB$14)/12*(1+P_dVol),0)</f>
        <v>0</v>
      </c>
      <c r="DC35" s="48" t="n">
        <f aca="false">IF(DC$15=1,INDEX(Vol_O,15,DC$14)/12*(1+P_dVol),0)</f>
        <v>0</v>
      </c>
      <c r="DD35" s="48" t="n">
        <f aca="false">IF(DD$15=1,INDEX(Vol_O,15,DD$14)/12*(1+P_dVol),0)</f>
        <v>0</v>
      </c>
      <c r="DE35" s="48" t="n">
        <f aca="false">IF(DE$15=1,INDEX(Vol_O,15,DE$14)/12*(1+P_dVol),0)</f>
        <v>0</v>
      </c>
      <c r="DF35" s="48" t="n">
        <f aca="false">IF(DF$15=1,INDEX(Vol_O,15,DF$14)/12*(1+P_dVol),0)</f>
        <v>0</v>
      </c>
      <c r="DG35" s="48" t="n">
        <f aca="false">IF(DG$15=1,INDEX(Vol_O,15,DG$14)/12*(1+P_dVol),0)</f>
        <v>0</v>
      </c>
      <c r="DH35" s="48" t="n">
        <f aca="false">IF(DH$15=1,INDEX(Vol_O,15,DH$14)/12*(1+P_dVol),0)</f>
        <v>0</v>
      </c>
      <c r="DI35" s="48" t="n">
        <f aca="false">IF(DI$15=1,INDEX(Vol_O,15,DI$14)/12*(1+P_dVol),0)</f>
        <v>0</v>
      </c>
      <c r="DJ35" s="48" t="n">
        <f aca="false">IF(DJ$15=1,INDEX(Vol_O,15,DJ$14)/12*(1+P_dVol),0)</f>
        <v>0</v>
      </c>
      <c r="DK35" s="48" t="n">
        <f aca="false">IF(DK$15=1,INDEX(Vol_O,15,DK$14)/12*(1+P_dVol),0)</f>
        <v>0</v>
      </c>
      <c r="DL35" s="48" t="n">
        <f aca="false">IF(DL$15=1,INDEX(Vol_O,15,DL$14)/12*(1+P_dVol),0)</f>
        <v>0</v>
      </c>
      <c r="DM35" s="48" t="n">
        <f aca="false">IF(DM$15=1,INDEX(Vol_O,15,DM$14)/12*(1+P_dVol),0)</f>
        <v>0</v>
      </c>
      <c r="DN35" s="48" t="n">
        <f aca="false">IF(DN$15=1,INDEX(Vol_O,15,DN$14)/12*(1+P_dVol),0)</f>
        <v>0</v>
      </c>
      <c r="DO35" s="48" t="n">
        <f aca="false">IF(DO$15=1,INDEX(Vol_O,15,DO$14)/12*(1+P_dVol),0)</f>
        <v>0</v>
      </c>
      <c r="DP35" s="48" t="n">
        <f aca="false">IF(DP$15=1,INDEX(Vol_O,15,DP$14)/12*(1+P_dVol),0)</f>
        <v>0</v>
      </c>
      <c r="DQ35" s="48" t="n">
        <f aca="false">IF(DQ$15=1,INDEX(Vol_O,15,DQ$14)/12*(1+P_dVol),0)</f>
        <v>0</v>
      </c>
      <c r="DR35" s="48" t="n">
        <f aca="false">IF(DR$15=1,INDEX(Vol_O,15,DR$14)/12*(1+P_dVol),0)</f>
        <v>0</v>
      </c>
      <c r="DS35" s="48" t="n">
        <f aca="false">IF(DS$15=1,INDEX(Vol_O,15,DS$14)/12*(1+P_dVol),0)</f>
        <v>0</v>
      </c>
      <c r="DT35" s="48" t="n">
        <f aca="false">IF(DT$15=1,INDEX(Vol_O,15,DT$14)/12*(1+P_dVol),0)</f>
        <v>0</v>
      </c>
      <c r="DU35" s="48" t="n">
        <f aca="false">IF(DU$15=1,INDEX(Vol_O,15,DU$14)/12*(1+P_dVol),0)</f>
        <v>0</v>
      </c>
      <c r="DV35" s="48" t="n">
        <f aca="false">IF(DV$15=1,INDEX(Vol_O,15,DV$14)/12*(1+P_dVol),0)</f>
        <v>0</v>
      </c>
      <c r="DW35" s="48" t="n">
        <f aca="false">IF(DW$15=1,INDEX(Vol_O,15,DW$14)/12*(1+P_dVol),0)</f>
        <v>0</v>
      </c>
      <c r="DX35" s="48" t="n">
        <f aca="false">IF(DX$15=1,INDEX(Vol_O,15,DX$14)/12*(1+P_dVol),0)</f>
        <v>0</v>
      </c>
      <c r="DY35" s="48" t="n">
        <f aca="false">IF(DY$15=1,INDEX(Vol_O,15,DY$14)/12*(1+P_dVol),0)</f>
        <v>0</v>
      </c>
      <c r="DZ35" s="48" t="n">
        <f aca="false">IF(DZ$15=1,INDEX(Vol_O,15,DZ$14)/12*(1+P_dVol),0)</f>
        <v>0</v>
      </c>
      <c r="EA35" s="48" t="n">
        <f aca="false">IF(EA$15=1,INDEX(Vol_O,15,EA$14)/12*(1+P_dVol),0)</f>
        <v>0</v>
      </c>
      <c r="EB35" s="48" t="n">
        <f aca="false">IF(EB$15=1,INDEX(Vol_O,15,EB$14)/12*(1+P_dVol),0)</f>
        <v>0</v>
      </c>
      <c r="EC35" s="48" t="n">
        <f aca="false">IF(EC$15=1,INDEX(Vol_O,15,EC$14)/12*(1+P_dVol),0)</f>
        <v>0</v>
      </c>
      <c r="ED35" s="48" t="n">
        <f aca="false">IF(ED$15=1,INDEX(Vol_O,15,ED$14)/12*(1+P_dVol),0)</f>
        <v>0</v>
      </c>
      <c r="EE35" s="48" t="n">
        <f aca="false">IF(EE$15=1,INDEX(Vol_O,15,EE$14)/12*(1+P_dVol),0)</f>
        <v>0</v>
      </c>
      <c r="EF35" s="48" t="n">
        <f aca="false">IF(EF$15=1,INDEX(Vol_O,15,EF$14)/12*(1+P_dVol),0)</f>
        <v>0</v>
      </c>
      <c r="EG35" s="48" t="n">
        <f aca="false">IF(EG$15=1,INDEX(Vol_O,15,EG$14)/12*(1+P_dVol),0)</f>
        <v>0</v>
      </c>
      <c r="EH35" s="48" t="n">
        <f aca="false">IF(EH$15=1,INDEX(Vol_O,15,EH$14)/12*(1+P_dVol),0)</f>
        <v>0</v>
      </c>
      <c r="EI35" s="48" t="n">
        <f aca="false">IF(EI$15=1,INDEX(Vol_O,15,EI$14)/12*(1+P_dVol),0)</f>
        <v>0</v>
      </c>
      <c r="EJ35" s="48" t="n">
        <f aca="false">IF(EJ$15=1,INDEX(Vol_O,15,EJ$14)/12*(1+P_dVol),0)</f>
        <v>0</v>
      </c>
      <c r="EK35" s="48" t="n">
        <f aca="false">IF(EK$15=1,INDEX(Vol_O,15,EK$14)/12*(1+P_dVol),0)</f>
        <v>0</v>
      </c>
      <c r="EL35" s="48" t="n">
        <f aca="false">IF(EL$15=1,INDEX(Vol_O,15,EL$14)/12*(1+P_dVol),0)</f>
        <v>0</v>
      </c>
      <c r="EM35" s="48" t="n">
        <f aca="false">IF(EM$15=1,INDEX(Vol_O,15,EM$14)/12*(1+P_dVol),0)</f>
        <v>0</v>
      </c>
      <c r="EN35" s="48" t="n">
        <f aca="false">IF(EN$15=1,INDEX(Vol_O,15,EN$14)/12*(1+P_dVol),0)</f>
        <v>0</v>
      </c>
      <c r="EO35" s="48" t="n">
        <f aca="false">IF(EO$15=1,INDEX(Vol_O,15,EO$14)/12*(1+P_dVol),0)</f>
        <v>0</v>
      </c>
      <c r="EP35" s="48" t="n">
        <f aca="false">IF(EP$15=1,INDEX(Vol_O,15,EP$14)/12*(1+P_dVol),0)</f>
        <v>0</v>
      </c>
      <c r="EQ35" s="48" t="n">
        <f aca="false">IF(EQ$15=1,INDEX(Vol_O,15,EQ$14)/12*(1+P_dVol),0)</f>
        <v>0</v>
      </c>
      <c r="ER35" s="48" t="n">
        <f aca="false">IF(ER$15=1,INDEX(Vol_O,15,ER$14)/12*(1+P_dVol),0)</f>
        <v>0</v>
      </c>
      <c r="ES35" s="48" t="n">
        <f aca="false">IF(ES$15=1,INDEX(Vol_O,15,ES$14)/12*(1+P_dVol),0)</f>
        <v>0</v>
      </c>
    </row>
    <row r="36" customFormat="false" ht="15" hidden="false" customHeight="false" outlineLevel="0" collapsed="false">
      <c r="A36" s="11" t="s">
        <v>1081</v>
      </c>
      <c r="B36" s="53" t="str">
        <f aca="false">IF(INDEX(Prod_Nombre,16)="","Producto 16",INDEX(Prod_Nombre,16))&amp;" — unidades"</f>
        <v>Producto 16 — unidades</v>
      </c>
      <c r="C36" s="15" t="s">
        <v>544</v>
      </c>
      <c r="E36" s="54" t="n">
        <f aca="false">SUM(F36:ES36)</f>
        <v>0</v>
      </c>
      <c r="F36" s="48" t="n">
        <f aca="false">IF(F$15=1,INDEX(Vol_O,16,F$14)/12*(1+P_dVol),0)</f>
        <v>0</v>
      </c>
      <c r="G36" s="48" t="n">
        <f aca="false">IF(G$15=1,INDEX(Vol_O,16,G$14)/12*(1+P_dVol),0)</f>
        <v>0</v>
      </c>
      <c r="H36" s="48" t="n">
        <f aca="false">IF(H$15=1,INDEX(Vol_O,16,H$14)/12*(1+P_dVol),0)</f>
        <v>0</v>
      </c>
      <c r="I36" s="48" t="n">
        <f aca="false">IF(I$15=1,INDEX(Vol_O,16,I$14)/12*(1+P_dVol),0)</f>
        <v>0</v>
      </c>
      <c r="J36" s="48" t="n">
        <f aca="false">IF(J$15=1,INDEX(Vol_O,16,J$14)/12*(1+P_dVol),0)</f>
        <v>0</v>
      </c>
      <c r="K36" s="48" t="n">
        <f aca="false">IF(K$15=1,INDEX(Vol_O,16,K$14)/12*(1+P_dVol),0)</f>
        <v>0</v>
      </c>
      <c r="L36" s="48" t="n">
        <f aca="false">IF(L$15=1,INDEX(Vol_O,16,L$14)/12*(1+P_dVol),0)</f>
        <v>0</v>
      </c>
      <c r="M36" s="48" t="n">
        <f aca="false">IF(M$15=1,INDEX(Vol_O,16,M$14)/12*(1+P_dVol),0)</f>
        <v>0</v>
      </c>
      <c r="N36" s="48" t="n">
        <f aca="false">IF(N$15=1,INDEX(Vol_O,16,N$14)/12*(1+P_dVol),0)</f>
        <v>0</v>
      </c>
      <c r="O36" s="48" t="n">
        <f aca="false">IF(O$15=1,INDEX(Vol_O,16,O$14)/12*(1+P_dVol),0)</f>
        <v>0</v>
      </c>
      <c r="P36" s="48" t="n">
        <f aca="false">IF(P$15=1,INDEX(Vol_O,16,P$14)/12*(1+P_dVol),0)</f>
        <v>0</v>
      </c>
      <c r="Q36" s="48" t="n">
        <f aca="false">IF(Q$15=1,INDEX(Vol_O,16,Q$14)/12*(1+P_dVol),0)</f>
        <v>0</v>
      </c>
      <c r="R36" s="48" t="n">
        <f aca="false">IF(R$15=1,INDEX(Vol_O,16,R$14)/12*(1+P_dVol),0)</f>
        <v>0</v>
      </c>
      <c r="S36" s="48" t="n">
        <f aca="false">IF(S$15=1,INDEX(Vol_O,16,S$14)/12*(1+P_dVol),0)</f>
        <v>0</v>
      </c>
      <c r="T36" s="48" t="n">
        <f aca="false">IF(T$15=1,INDEX(Vol_O,16,T$14)/12*(1+P_dVol),0)</f>
        <v>0</v>
      </c>
      <c r="U36" s="48" t="n">
        <f aca="false">IF(U$15=1,INDEX(Vol_O,16,U$14)/12*(1+P_dVol),0)</f>
        <v>0</v>
      </c>
      <c r="V36" s="48" t="n">
        <f aca="false">IF(V$15=1,INDEX(Vol_O,16,V$14)/12*(1+P_dVol),0)</f>
        <v>0</v>
      </c>
      <c r="W36" s="48" t="n">
        <f aca="false">IF(W$15=1,INDEX(Vol_O,16,W$14)/12*(1+P_dVol),0)</f>
        <v>0</v>
      </c>
      <c r="X36" s="48" t="n">
        <f aca="false">IF(X$15=1,INDEX(Vol_O,16,X$14)/12*(1+P_dVol),0)</f>
        <v>0</v>
      </c>
      <c r="Y36" s="48" t="n">
        <f aca="false">IF(Y$15=1,INDEX(Vol_O,16,Y$14)/12*(1+P_dVol),0)</f>
        <v>0</v>
      </c>
      <c r="Z36" s="48" t="n">
        <f aca="false">IF(Z$15=1,INDEX(Vol_O,16,Z$14)/12*(1+P_dVol),0)</f>
        <v>0</v>
      </c>
      <c r="AA36" s="48" t="n">
        <f aca="false">IF(AA$15=1,INDEX(Vol_O,16,AA$14)/12*(1+P_dVol),0)</f>
        <v>0</v>
      </c>
      <c r="AB36" s="48" t="n">
        <f aca="false">IF(AB$15=1,INDEX(Vol_O,16,AB$14)/12*(1+P_dVol),0)</f>
        <v>0</v>
      </c>
      <c r="AC36" s="48" t="n">
        <f aca="false">IF(AC$15=1,INDEX(Vol_O,16,AC$14)/12*(1+P_dVol),0)</f>
        <v>0</v>
      </c>
      <c r="AD36" s="48" t="n">
        <f aca="false">IF(AD$15=1,INDEX(Vol_O,16,AD$14)/12*(1+P_dVol),0)</f>
        <v>0</v>
      </c>
      <c r="AE36" s="48" t="n">
        <f aca="false">IF(AE$15=1,INDEX(Vol_O,16,AE$14)/12*(1+P_dVol),0)</f>
        <v>0</v>
      </c>
      <c r="AF36" s="48" t="n">
        <f aca="false">IF(AF$15=1,INDEX(Vol_O,16,AF$14)/12*(1+P_dVol),0)</f>
        <v>0</v>
      </c>
      <c r="AG36" s="48" t="n">
        <f aca="false">IF(AG$15=1,INDEX(Vol_O,16,AG$14)/12*(1+P_dVol),0)</f>
        <v>0</v>
      </c>
      <c r="AH36" s="48" t="n">
        <f aca="false">IF(AH$15=1,INDEX(Vol_O,16,AH$14)/12*(1+P_dVol),0)</f>
        <v>0</v>
      </c>
      <c r="AI36" s="48" t="n">
        <f aca="false">IF(AI$15=1,INDEX(Vol_O,16,AI$14)/12*(1+P_dVol),0)</f>
        <v>0</v>
      </c>
      <c r="AJ36" s="48" t="n">
        <f aca="false">IF(AJ$15=1,INDEX(Vol_O,16,AJ$14)/12*(1+P_dVol),0)</f>
        <v>0</v>
      </c>
      <c r="AK36" s="48" t="n">
        <f aca="false">IF(AK$15=1,INDEX(Vol_O,16,AK$14)/12*(1+P_dVol),0)</f>
        <v>0</v>
      </c>
      <c r="AL36" s="48" t="n">
        <f aca="false">IF(AL$15=1,INDEX(Vol_O,16,AL$14)/12*(1+P_dVol),0)</f>
        <v>0</v>
      </c>
      <c r="AM36" s="48" t="n">
        <f aca="false">IF(AM$15=1,INDEX(Vol_O,16,AM$14)/12*(1+P_dVol),0)</f>
        <v>0</v>
      </c>
      <c r="AN36" s="48" t="n">
        <f aca="false">IF(AN$15=1,INDEX(Vol_O,16,AN$14)/12*(1+P_dVol),0)</f>
        <v>0</v>
      </c>
      <c r="AO36" s="48" t="n">
        <f aca="false">IF(AO$15=1,INDEX(Vol_O,16,AO$14)/12*(1+P_dVol),0)</f>
        <v>0</v>
      </c>
      <c r="AP36" s="48" t="n">
        <f aca="false">IF(AP$15=1,INDEX(Vol_O,16,AP$14)/12*(1+P_dVol),0)</f>
        <v>0</v>
      </c>
      <c r="AQ36" s="48" t="n">
        <f aca="false">IF(AQ$15=1,INDEX(Vol_O,16,AQ$14)/12*(1+P_dVol),0)</f>
        <v>0</v>
      </c>
      <c r="AR36" s="48" t="n">
        <f aca="false">IF(AR$15=1,INDEX(Vol_O,16,AR$14)/12*(1+P_dVol),0)</f>
        <v>0</v>
      </c>
      <c r="AS36" s="48" t="n">
        <f aca="false">IF(AS$15=1,INDEX(Vol_O,16,AS$14)/12*(1+P_dVol),0)</f>
        <v>0</v>
      </c>
      <c r="AT36" s="48" t="n">
        <f aca="false">IF(AT$15=1,INDEX(Vol_O,16,AT$14)/12*(1+P_dVol),0)</f>
        <v>0</v>
      </c>
      <c r="AU36" s="48" t="n">
        <f aca="false">IF(AU$15=1,INDEX(Vol_O,16,AU$14)/12*(1+P_dVol),0)</f>
        <v>0</v>
      </c>
      <c r="AV36" s="48" t="n">
        <f aca="false">IF(AV$15=1,INDEX(Vol_O,16,AV$14)/12*(1+P_dVol),0)</f>
        <v>0</v>
      </c>
      <c r="AW36" s="48" t="n">
        <f aca="false">IF(AW$15=1,INDEX(Vol_O,16,AW$14)/12*(1+P_dVol),0)</f>
        <v>0</v>
      </c>
      <c r="AX36" s="48" t="n">
        <f aca="false">IF(AX$15=1,INDEX(Vol_O,16,AX$14)/12*(1+P_dVol),0)</f>
        <v>0</v>
      </c>
      <c r="AY36" s="48" t="n">
        <f aca="false">IF(AY$15=1,INDEX(Vol_O,16,AY$14)/12*(1+P_dVol),0)</f>
        <v>0</v>
      </c>
      <c r="AZ36" s="48" t="n">
        <f aca="false">IF(AZ$15=1,INDEX(Vol_O,16,AZ$14)/12*(1+P_dVol),0)</f>
        <v>0</v>
      </c>
      <c r="BA36" s="48" t="n">
        <f aca="false">IF(BA$15=1,INDEX(Vol_O,16,BA$14)/12*(1+P_dVol),0)</f>
        <v>0</v>
      </c>
      <c r="BB36" s="48" t="n">
        <f aca="false">IF(BB$15=1,INDEX(Vol_O,16,BB$14)/12*(1+P_dVol),0)</f>
        <v>0</v>
      </c>
      <c r="BC36" s="48" t="n">
        <f aca="false">IF(BC$15=1,INDEX(Vol_O,16,BC$14)/12*(1+P_dVol),0)</f>
        <v>0</v>
      </c>
      <c r="BD36" s="48" t="n">
        <f aca="false">IF(BD$15=1,INDEX(Vol_O,16,BD$14)/12*(1+P_dVol),0)</f>
        <v>0</v>
      </c>
      <c r="BE36" s="48" t="n">
        <f aca="false">IF(BE$15=1,INDEX(Vol_O,16,BE$14)/12*(1+P_dVol),0)</f>
        <v>0</v>
      </c>
      <c r="BF36" s="48" t="n">
        <f aca="false">IF(BF$15=1,INDEX(Vol_O,16,BF$14)/12*(1+P_dVol),0)</f>
        <v>0</v>
      </c>
      <c r="BG36" s="48" t="n">
        <f aca="false">IF(BG$15=1,INDEX(Vol_O,16,BG$14)/12*(1+P_dVol),0)</f>
        <v>0</v>
      </c>
      <c r="BH36" s="48" t="n">
        <f aca="false">IF(BH$15=1,INDEX(Vol_O,16,BH$14)/12*(1+P_dVol),0)</f>
        <v>0</v>
      </c>
      <c r="BI36" s="48" t="n">
        <f aca="false">IF(BI$15=1,INDEX(Vol_O,16,BI$14)/12*(1+P_dVol),0)</f>
        <v>0</v>
      </c>
      <c r="BJ36" s="48" t="n">
        <f aca="false">IF(BJ$15=1,INDEX(Vol_O,16,BJ$14)/12*(1+P_dVol),0)</f>
        <v>0</v>
      </c>
      <c r="BK36" s="48" t="n">
        <f aca="false">IF(BK$15=1,INDEX(Vol_O,16,BK$14)/12*(1+P_dVol),0)</f>
        <v>0</v>
      </c>
      <c r="BL36" s="48" t="n">
        <f aca="false">IF(BL$15=1,INDEX(Vol_O,16,BL$14)/12*(1+P_dVol),0)</f>
        <v>0</v>
      </c>
      <c r="BM36" s="48" t="n">
        <f aca="false">IF(BM$15=1,INDEX(Vol_O,16,BM$14)/12*(1+P_dVol),0)</f>
        <v>0</v>
      </c>
      <c r="BN36" s="48" t="n">
        <f aca="false">IF(BN$15=1,INDEX(Vol_O,16,BN$14)/12*(1+P_dVol),0)</f>
        <v>0</v>
      </c>
      <c r="BO36" s="48" t="n">
        <f aca="false">IF(BO$15=1,INDEX(Vol_O,16,BO$14)/12*(1+P_dVol),0)</f>
        <v>0</v>
      </c>
      <c r="BP36" s="48" t="n">
        <f aca="false">IF(BP$15=1,INDEX(Vol_O,16,BP$14)/12*(1+P_dVol),0)</f>
        <v>0</v>
      </c>
      <c r="BQ36" s="48" t="n">
        <f aca="false">IF(BQ$15=1,INDEX(Vol_O,16,BQ$14)/12*(1+P_dVol),0)</f>
        <v>0</v>
      </c>
      <c r="BR36" s="48" t="n">
        <f aca="false">IF(BR$15=1,INDEX(Vol_O,16,BR$14)/12*(1+P_dVol),0)</f>
        <v>0</v>
      </c>
      <c r="BS36" s="48" t="n">
        <f aca="false">IF(BS$15=1,INDEX(Vol_O,16,BS$14)/12*(1+P_dVol),0)</f>
        <v>0</v>
      </c>
      <c r="BT36" s="48" t="n">
        <f aca="false">IF(BT$15=1,INDEX(Vol_O,16,BT$14)/12*(1+P_dVol),0)</f>
        <v>0</v>
      </c>
      <c r="BU36" s="48" t="n">
        <f aca="false">IF(BU$15=1,INDEX(Vol_O,16,BU$14)/12*(1+P_dVol),0)</f>
        <v>0</v>
      </c>
      <c r="BV36" s="48" t="n">
        <f aca="false">IF(BV$15=1,INDEX(Vol_O,16,BV$14)/12*(1+P_dVol),0)</f>
        <v>0</v>
      </c>
      <c r="BW36" s="48" t="n">
        <f aca="false">IF(BW$15=1,INDEX(Vol_O,16,BW$14)/12*(1+P_dVol),0)</f>
        <v>0</v>
      </c>
      <c r="BX36" s="48" t="n">
        <f aca="false">IF(BX$15=1,INDEX(Vol_O,16,BX$14)/12*(1+P_dVol),0)</f>
        <v>0</v>
      </c>
      <c r="BY36" s="48" t="n">
        <f aca="false">IF(BY$15=1,INDEX(Vol_O,16,BY$14)/12*(1+P_dVol),0)</f>
        <v>0</v>
      </c>
      <c r="BZ36" s="48" t="n">
        <f aca="false">IF(BZ$15=1,INDEX(Vol_O,16,BZ$14)/12*(1+P_dVol),0)</f>
        <v>0</v>
      </c>
      <c r="CA36" s="48" t="n">
        <f aca="false">IF(CA$15=1,INDEX(Vol_O,16,CA$14)/12*(1+P_dVol),0)</f>
        <v>0</v>
      </c>
      <c r="CB36" s="48" t="n">
        <f aca="false">IF(CB$15=1,INDEX(Vol_O,16,CB$14)/12*(1+P_dVol),0)</f>
        <v>0</v>
      </c>
      <c r="CC36" s="48" t="n">
        <f aca="false">IF(CC$15=1,INDEX(Vol_O,16,CC$14)/12*(1+P_dVol),0)</f>
        <v>0</v>
      </c>
      <c r="CD36" s="48" t="n">
        <f aca="false">IF(CD$15=1,INDEX(Vol_O,16,CD$14)/12*(1+P_dVol),0)</f>
        <v>0</v>
      </c>
      <c r="CE36" s="48" t="n">
        <f aca="false">IF(CE$15=1,INDEX(Vol_O,16,CE$14)/12*(1+P_dVol),0)</f>
        <v>0</v>
      </c>
      <c r="CF36" s="48" t="n">
        <f aca="false">IF(CF$15=1,INDEX(Vol_O,16,CF$14)/12*(1+P_dVol),0)</f>
        <v>0</v>
      </c>
      <c r="CG36" s="48" t="n">
        <f aca="false">IF(CG$15=1,INDEX(Vol_O,16,CG$14)/12*(1+P_dVol),0)</f>
        <v>0</v>
      </c>
      <c r="CH36" s="48" t="n">
        <f aca="false">IF(CH$15=1,INDEX(Vol_O,16,CH$14)/12*(1+P_dVol),0)</f>
        <v>0</v>
      </c>
      <c r="CI36" s="48" t="n">
        <f aca="false">IF(CI$15=1,INDEX(Vol_O,16,CI$14)/12*(1+P_dVol),0)</f>
        <v>0</v>
      </c>
      <c r="CJ36" s="48" t="n">
        <f aca="false">IF(CJ$15=1,INDEX(Vol_O,16,CJ$14)/12*(1+P_dVol),0)</f>
        <v>0</v>
      </c>
      <c r="CK36" s="48" t="n">
        <f aca="false">IF(CK$15=1,INDEX(Vol_O,16,CK$14)/12*(1+P_dVol),0)</f>
        <v>0</v>
      </c>
      <c r="CL36" s="48" t="n">
        <f aca="false">IF(CL$15=1,INDEX(Vol_O,16,CL$14)/12*(1+P_dVol),0)</f>
        <v>0</v>
      </c>
      <c r="CM36" s="48" t="n">
        <f aca="false">IF(CM$15=1,INDEX(Vol_O,16,CM$14)/12*(1+P_dVol),0)</f>
        <v>0</v>
      </c>
      <c r="CN36" s="48" t="n">
        <f aca="false">IF(CN$15=1,INDEX(Vol_O,16,CN$14)/12*(1+P_dVol),0)</f>
        <v>0</v>
      </c>
      <c r="CO36" s="48" t="n">
        <f aca="false">IF(CO$15=1,INDEX(Vol_O,16,CO$14)/12*(1+P_dVol),0)</f>
        <v>0</v>
      </c>
      <c r="CP36" s="48" t="n">
        <f aca="false">IF(CP$15=1,INDEX(Vol_O,16,CP$14)/12*(1+P_dVol),0)</f>
        <v>0</v>
      </c>
      <c r="CQ36" s="48" t="n">
        <f aca="false">IF(CQ$15=1,INDEX(Vol_O,16,CQ$14)/12*(1+P_dVol),0)</f>
        <v>0</v>
      </c>
      <c r="CR36" s="48" t="n">
        <f aca="false">IF(CR$15=1,INDEX(Vol_O,16,CR$14)/12*(1+P_dVol),0)</f>
        <v>0</v>
      </c>
      <c r="CS36" s="48" t="n">
        <f aca="false">IF(CS$15=1,INDEX(Vol_O,16,CS$14)/12*(1+P_dVol),0)</f>
        <v>0</v>
      </c>
      <c r="CT36" s="48" t="n">
        <f aca="false">IF(CT$15=1,INDEX(Vol_O,16,CT$14)/12*(1+P_dVol),0)</f>
        <v>0</v>
      </c>
      <c r="CU36" s="48" t="n">
        <f aca="false">IF(CU$15=1,INDEX(Vol_O,16,CU$14)/12*(1+P_dVol),0)</f>
        <v>0</v>
      </c>
      <c r="CV36" s="48" t="n">
        <f aca="false">IF(CV$15=1,INDEX(Vol_O,16,CV$14)/12*(1+P_dVol),0)</f>
        <v>0</v>
      </c>
      <c r="CW36" s="48" t="n">
        <f aca="false">IF(CW$15=1,INDEX(Vol_O,16,CW$14)/12*(1+P_dVol),0)</f>
        <v>0</v>
      </c>
      <c r="CX36" s="48" t="n">
        <f aca="false">IF(CX$15=1,INDEX(Vol_O,16,CX$14)/12*(1+P_dVol),0)</f>
        <v>0</v>
      </c>
      <c r="CY36" s="48" t="n">
        <f aca="false">IF(CY$15=1,INDEX(Vol_O,16,CY$14)/12*(1+P_dVol),0)</f>
        <v>0</v>
      </c>
      <c r="CZ36" s="48" t="n">
        <f aca="false">IF(CZ$15=1,INDEX(Vol_O,16,CZ$14)/12*(1+P_dVol),0)</f>
        <v>0</v>
      </c>
      <c r="DA36" s="48" t="n">
        <f aca="false">IF(DA$15=1,INDEX(Vol_O,16,DA$14)/12*(1+P_dVol),0)</f>
        <v>0</v>
      </c>
      <c r="DB36" s="48" t="n">
        <f aca="false">IF(DB$15=1,INDEX(Vol_O,16,DB$14)/12*(1+P_dVol),0)</f>
        <v>0</v>
      </c>
      <c r="DC36" s="48" t="n">
        <f aca="false">IF(DC$15=1,INDEX(Vol_O,16,DC$14)/12*(1+P_dVol),0)</f>
        <v>0</v>
      </c>
      <c r="DD36" s="48" t="n">
        <f aca="false">IF(DD$15=1,INDEX(Vol_O,16,DD$14)/12*(1+P_dVol),0)</f>
        <v>0</v>
      </c>
      <c r="DE36" s="48" t="n">
        <f aca="false">IF(DE$15=1,INDEX(Vol_O,16,DE$14)/12*(1+P_dVol),0)</f>
        <v>0</v>
      </c>
      <c r="DF36" s="48" t="n">
        <f aca="false">IF(DF$15=1,INDEX(Vol_O,16,DF$14)/12*(1+P_dVol),0)</f>
        <v>0</v>
      </c>
      <c r="DG36" s="48" t="n">
        <f aca="false">IF(DG$15=1,INDEX(Vol_O,16,DG$14)/12*(1+P_dVol),0)</f>
        <v>0</v>
      </c>
      <c r="DH36" s="48" t="n">
        <f aca="false">IF(DH$15=1,INDEX(Vol_O,16,DH$14)/12*(1+P_dVol),0)</f>
        <v>0</v>
      </c>
      <c r="DI36" s="48" t="n">
        <f aca="false">IF(DI$15=1,INDEX(Vol_O,16,DI$14)/12*(1+P_dVol),0)</f>
        <v>0</v>
      </c>
      <c r="DJ36" s="48" t="n">
        <f aca="false">IF(DJ$15=1,INDEX(Vol_O,16,DJ$14)/12*(1+P_dVol),0)</f>
        <v>0</v>
      </c>
      <c r="DK36" s="48" t="n">
        <f aca="false">IF(DK$15=1,INDEX(Vol_O,16,DK$14)/12*(1+P_dVol),0)</f>
        <v>0</v>
      </c>
      <c r="DL36" s="48" t="n">
        <f aca="false">IF(DL$15=1,INDEX(Vol_O,16,DL$14)/12*(1+P_dVol),0)</f>
        <v>0</v>
      </c>
      <c r="DM36" s="48" t="n">
        <f aca="false">IF(DM$15=1,INDEX(Vol_O,16,DM$14)/12*(1+P_dVol),0)</f>
        <v>0</v>
      </c>
      <c r="DN36" s="48" t="n">
        <f aca="false">IF(DN$15=1,INDEX(Vol_O,16,DN$14)/12*(1+P_dVol),0)</f>
        <v>0</v>
      </c>
      <c r="DO36" s="48" t="n">
        <f aca="false">IF(DO$15=1,INDEX(Vol_O,16,DO$14)/12*(1+P_dVol),0)</f>
        <v>0</v>
      </c>
      <c r="DP36" s="48" t="n">
        <f aca="false">IF(DP$15=1,INDEX(Vol_O,16,DP$14)/12*(1+P_dVol),0)</f>
        <v>0</v>
      </c>
      <c r="DQ36" s="48" t="n">
        <f aca="false">IF(DQ$15=1,INDEX(Vol_O,16,DQ$14)/12*(1+P_dVol),0)</f>
        <v>0</v>
      </c>
      <c r="DR36" s="48" t="n">
        <f aca="false">IF(DR$15=1,INDEX(Vol_O,16,DR$14)/12*(1+P_dVol),0)</f>
        <v>0</v>
      </c>
      <c r="DS36" s="48" t="n">
        <f aca="false">IF(DS$15=1,INDEX(Vol_O,16,DS$14)/12*(1+P_dVol),0)</f>
        <v>0</v>
      </c>
      <c r="DT36" s="48" t="n">
        <f aca="false">IF(DT$15=1,INDEX(Vol_O,16,DT$14)/12*(1+P_dVol),0)</f>
        <v>0</v>
      </c>
      <c r="DU36" s="48" t="n">
        <f aca="false">IF(DU$15=1,INDEX(Vol_O,16,DU$14)/12*(1+P_dVol),0)</f>
        <v>0</v>
      </c>
      <c r="DV36" s="48" t="n">
        <f aca="false">IF(DV$15=1,INDEX(Vol_O,16,DV$14)/12*(1+P_dVol),0)</f>
        <v>0</v>
      </c>
      <c r="DW36" s="48" t="n">
        <f aca="false">IF(DW$15=1,INDEX(Vol_O,16,DW$14)/12*(1+P_dVol),0)</f>
        <v>0</v>
      </c>
      <c r="DX36" s="48" t="n">
        <f aca="false">IF(DX$15=1,INDEX(Vol_O,16,DX$14)/12*(1+P_dVol),0)</f>
        <v>0</v>
      </c>
      <c r="DY36" s="48" t="n">
        <f aca="false">IF(DY$15=1,INDEX(Vol_O,16,DY$14)/12*(1+P_dVol),0)</f>
        <v>0</v>
      </c>
      <c r="DZ36" s="48" t="n">
        <f aca="false">IF(DZ$15=1,INDEX(Vol_O,16,DZ$14)/12*(1+P_dVol),0)</f>
        <v>0</v>
      </c>
      <c r="EA36" s="48" t="n">
        <f aca="false">IF(EA$15=1,INDEX(Vol_O,16,EA$14)/12*(1+P_dVol),0)</f>
        <v>0</v>
      </c>
      <c r="EB36" s="48" t="n">
        <f aca="false">IF(EB$15=1,INDEX(Vol_O,16,EB$14)/12*(1+P_dVol),0)</f>
        <v>0</v>
      </c>
      <c r="EC36" s="48" t="n">
        <f aca="false">IF(EC$15=1,INDEX(Vol_O,16,EC$14)/12*(1+P_dVol),0)</f>
        <v>0</v>
      </c>
      <c r="ED36" s="48" t="n">
        <f aca="false">IF(ED$15=1,INDEX(Vol_O,16,ED$14)/12*(1+P_dVol),0)</f>
        <v>0</v>
      </c>
      <c r="EE36" s="48" t="n">
        <f aca="false">IF(EE$15=1,INDEX(Vol_O,16,EE$14)/12*(1+P_dVol),0)</f>
        <v>0</v>
      </c>
      <c r="EF36" s="48" t="n">
        <f aca="false">IF(EF$15=1,INDEX(Vol_O,16,EF$14)/12*(1+P_dVol),0)</f>
        <v>0</v>
      </c>
      <c r="EG36" s="48" t="n">
        <f aca="false">IF(EG$15=1,INDEX(Vol_O,16,EG$14)/12*(1+P_dVol),0)</f>
        <v>0</v>
      </c>
      <c r="EH36" s="48" t="n">
        <f aca="false">IF(EH$15=1,INDEX(Vol_O,16,EH$14)/12*(1+P_dVol),0)</f>
        <v>0</v>
      </c>
      <c r="EI36" s="48" t="n">
        <f aca="false">IF(EI$15=1,INDEX(Vol_O,16,EI$14)/12*(1+P_dVol),0)</f>
        <v>0</v>
      </c>
      <c r="EJ36" s="48" t="n">
        <f aca="false">IF(EJ$15=1,INDEX(Vol_O,16,EJ$14)/12*(1+P_dVol),0)</f>
        <v>0</v>
      </c>
      <c r="EK36" s="48" t="n">
        <f aca="false">IF(EK$15=1,INDEX(Vol_O,16,EK$14)/12*(1+P_dVol),0)</f>
        <v>0</v>
      </c>
      <c r="EL36" s="48" t="n">
        <f aca="false">IF(EL$15=1,INDEX(Vol_O,16,EL$14)/12*(1+P_dVol),0)</f>
        <v>0</v>
      </c>
      <c r="EM36" s="48" t="n">
        <f aca="false">IF(EM$15=1,INDEX(Vol_O,16,EM$14)/12*(1+P_dVol),0)</f>
        <v>0</v>
      </c>
      <c r="EN36" s="48" t="n">
        <f aca="false">IF(EN$15=1,INDEX(Vol_O,16,EN$14)/12*(1+P_dVol),0)</f>
        <v>0</v>
      </c>
      <c r="EO36" s="48" t="n">
        <f aca="false">IF(EO$15=1,INDEX(Vol_O,16,EO$14)/12*(1+P_dVol),0)</f>
        <v>0</v>
      </c>
      <c r="EP36" s="48" t="n">
        <f aca="false">IF(EP$15=1,INDEX(Vol_O,16,EP$14)/12*(1+P_dVol),0)</f>
        <v>0</v>
      </c>
      <c r="EQ36" s="48" t="n">
        <f aca="false">IF(EQ$15=1,INDEX(Vol_O,16,EQ$14)/12*(1+P_dVol),0)</f>
        <v>0</v>
      </c>
      <c r="ER36" s="48" t="n">
        <f aca="false">IF(ER$15=1,INDEX(Vol_O,16,ER$14)/12*(1+P_dVol),0)</f>
        <v>0</v>
      </c>
      <c r="ES36" s="48" t="n">
        <f aca="false">IF(ES$15=1,INDEX(Vol_O,16,ES$14)/12*(1+P_dVol),0)</f>
        <v>0</v>
      </c>
    </row>
    <row r="37" customFormat="false" ht="15" hidden="false" customHeight="false" outlineLevel="0" collapsed="false">
      <c r="A37" s="11" t="s">
        <v>1082</v>
      </c>
      <c r="B37" s="53" t="str">
        <f aca="false">IF(INDEX(Prod_Nombre,17)="","Producto 17",INDEX(Prod_Nombre,17))&amp;" — unidades"</f>
        <v>Producto 17 — unidades</v>
      </c>
      <c r="C37" s="15" t="s">
        <v>544</v>
      </c>
      <c r="E37" s="54" t="n">
        <f aca="false">SUM(F37:ES37)</f>
        <v>0</v>
      </c>
      <c r="F37" s="48" t="n">
        <f aca="false">IF(F$15=1,INDEX(Vol_O,17,F$14)/12*(1+P_dVol),0)</f>
        <v>0</v>
      </c>
      <c r="G37" s="48" t="n">
        <f aca="false">IF(G$15=1,INDEX(Vol_O,17,G$14)/12*(1+P_dVol),0)</f>
        <v>0</v>
      </c>
      <c r="H37" s="48" t="n">
        <f aca="false">IF(H$15=1,INDEX(Vol_O,17,H$14)/12*(1+P_dVol),0)</f>
        <v>0</v>
      </c>
      <c r="I37" s="48" t="n">
        <f aca="false">IF(I$15=1,INDEX(Vol_O,17,I$14)/12*(1+P_dVol),0)</f>
        <v>0</v>
      </c>
      <c r="J37" s="48" t="n">
        <f aca="false">IF(J$15=1,INDEX(Vol_O,17,J$14)/12*(1+P_dVol),0)</f>
        <v>0</v>
      </c>
      <c r="K37" s="48" t="n">
        <f aca="false">IF(K$15=1,INDEX(Vol_O,17,K$14)/12*(1+P_dVol),0)</f>
        <v>0</v>
      </c>
      <c r="L37" s="48" t="n">
        <f aca="false">IF(L$15=1,INDEX(Vol_O,17,L$14)/12*(1+P_dVol),0)</f>
        <v>0</v>
      </c>
      <c r="M37" s="48" t="n">
        <f aca="false">IF(M$15=1,INDEX(Vol_O,17,M$14)/12*(1+P_dVol),0)</f>
        <v>0</v>
      </c>
      <c r="N37" s="48" t="n">
        <f aca="false">IF(N$15=1,INDEX(Vol_O,17,N$14)/12*(1+P_dVol),0)</f>
        <v>0</v>
      </c>
      <c r="O37" s="48" t="n">
        <f aca="false">IF(O$15=1,INDEX(Vol_O,17,O$14)/12*(1+P_dVol),0)</f>
        <v>0</v>
      </c>
      <c r="P37" s="48" t="n">
        <f aca="false">IF(P$15=1,INDEX(Vol_O,17,P$14)/12*(1+P_dVol),0)</f>
        <v>0</v>
      </c>
      <c r="Q37" s="48" t="n">
        <f aca="false">IF(Q$15=1,INDEX(Vol_O,17,Q$14)/12*(1+P_dVol),0)</f>
        <v>0</v>
      </c>
      <c r="R37" s="48" t="n">
        <f aca="false">IF(R$15=1,INDEX(Vol_O,17,R$14)/12*(1+P_dVol),0)</f>
        <v>0</v>
      </c>
      <c r="S37" s="48" t="n">
        <f aca="false">IF(S$15=1,INDEX(Vol_O,17,S$14)/12*(1+P_dVol),0)</f>
        <v>0</v>
      </c>
      <c r="T37" s="48" t="n">
        <f aca="false">IF(T$15=1,INDEX(Vol_O,17,T$14)/12*(1+P_dVol),0)</f>
        <v>0</v>
      </c>
      <c r="U37" s="48" t="n">
        <f aca="false">IF(U$15=1,INDEX(Vol_O,17,U$14)/12*(1+P_dVol),0)</f>
        <v>0</v>
      </c>
      <c r="V37" s="48" t="n">
        <f aca="false">IF(V$15=1,INDEX(Vol_O,17,V$14)/12*(1+P_dVol),0)</f>
        <v>0</v>
      </c>
      <c r="W37" s="48" t="n">
        <f aca="false">IF(W$15=1,INDEX(Vol_O,17,W$14)/12*(1+P_dVol),0)</f>
        <v>0</v>
      </c>
      <c r="X37" s="48" t="n">
        <f aca="false">IF(X$15=1,INDEX(Vol_O,17,X$14)/12*(1+P_dVol),0)</f>
        <v>0</v>
      </c>
      <c r="Y37" s="48" t="n">
        <f aca="false">IF(Y$15=1,INDEX(Vol_O,17,Y$14)/12*(1+P_dVol),0)</f>
        <v>0</v>
      </c>
      <c r="Z37" s="48" t="n">
        <f aca="false">IF(Z$15=1,INDEX(Vol_O,17,Z$14)/12*(1+P_dVol),0)</f>
        <v>0</v>
      </c>
      <c r="AA37" s="48" t="n">
        <f aca="false">IF(AA$15=1,INDEX(Vol_O,17,AA$14)/12*(1+P_dVol),0)</f>
        <v>0</v>
      </c>
      <c r="AB37" s="48" t="n">
        <f aca="false">IF(AB$15=1,INDEX(Vol_O,17,AB$14)/12*(1+P_dVol),0)</f>
        <v>0</v>
      </c>
      <c r="AC37" s="48" t="n">
        <f aca="false">IF(AC$15=1,INDEX(Vol_O,17,AC$14)/12*(1+P_dVol),0)</f>
        <v>0</v>
      </c>
      <c r="AD37" s="48" t="n">
        <f aca="false">IF(AD$15=1,INDEX(Vol_O,17,AD$14)/12*(1+P_dVol),0)</f>
        <v>0</v>
      </c>
      <c r="AE37" s="48" t="n">
        <f aca="false">IF(AE$15=1,INDEX(Vol_O,17,AE$14)/12*(1+P_dVol),0)</f>
        <v>0</v>
      </c>
      <c r="AF37" s="48" t="n">
        <f aca="false">IF(AF$15=1,INDEX(Vol_O,17,AF$14)/12*(1+P_dVol),0)</f>
        <v>0</v>
      </c>
      <c r="AG37" s="48" t="n">
        <f aca="false">IF(AG$15=1,INDEX(Vol_O,17,AG$14)/12*(1+P_dVol),0)</f>
        <v>0</v>
      </c>
      <c r="AH37" s="48" t="n">
        <f aca="false">IF(AH$15=1,INDEX(Vol_O,17,AH$14)/12*(1+P_dVol),0)</f>
        <v>0</v>
      </c>
      <c r="AI37" s="48" t="n">
        <f aca="false">IF(AI$15=1,INDEX(Vol_O,17,AI$14)/12*(1+P_dVol),0)</f>
        <v>0</v>
      </c>
      <c r="AJ37" s="48" t="n">
        <f aca="false">IF(AJ$15=1,INDEX(Vol_O,17,AJ$14)/12*(1+P_dVol),0)</f>
        <v>0</v>
      </c>
      <c r="AK37" s="48" t="n">
        <f aca="false">IF(AK$15=1,INDEX(Vol_O,17,AK$14)/12*(1+P_dVol),0)</f>
        <v>0</v>
      </c>
      <c r="AL37" s="48" t="n">
        <f aca="false">IF(AL$15=1,INDEX(Vol_O,17,AL$14)/12*(1+P_dVol),0)</f>
        <v>0</v>
      </c>
      <c r="AM37" s="48" t="n">
        <f aca="false">IF(AM$15=1,INDEX(Vol_O,17,AM$14)/12*(1+P_dVol),0)</f>
        <v>0</v>
      </c>
      <c r="AN37" s="48" t="n">
        <f aca="false">IF(AN$15=1,INDEX(Vol_O,17,AN$14)/12*(1+P_dVol),0)</f>
        <v>0</v>
      </c>
      <c r="AO37" s="48" t="n">
        <f aca="false">IF(AO$15=1,INDEX(Vol_O,17,AO$14)/12*(1+P_dVol),0)</f>
        <v>0</v>
      </c>
      <c r="AP37" s="48" t="n">
        <f aca="false">IF(AP$15=1,INDEX(Vol_O,17,AP$14)/12*(1+P_dVol),0)</f>
        <v>0</v>
      </c>
      <c r="AQ37" s="48" t="n">
        <f aca="false">IF(AQ$15=1,INDEX(Vol_O,17,AQ$14)/12*(1+P_dVol),0)</f>
        <v>0</v>
      </c>
      <c r="AR37" s="48" t="n">
        <f aca="false">IF(AR$15=1,INDEX(Vol_O,17,AR$14)/12*(1+P_dVol),0)</f>
        <v>0</v>
      </c>
      <c r="AS37" s="48" t="n">
        <f aca="false">IF(AS$15=1,INDEX(Vol_O,17,AS$14)/12*(1+P_dVol),0)</f>
        <v>0</v>
      </c>
      <c r="AT37" s="48" t="n">
        <f aca="false">IF(AT$15=1,INDEX(Vol_O,17,AT$14)/12*(1+P_dVol),0)</f>
        <v>0</v>
      </c>
      <c r="AU37" s="48" t="n">
        <f aca="false">IF(AU$15=1,INDEX(Vol_O,17,AU$14)/12*(1+P_dVol),0)</f>
        <v>0</v>
      </c>
      <c r="AV37" s="48" t="n">
        <f aca="false">IF(AV$15=1,INDEX(Vol_O,17,AV$14)/12*(1+P_dVol),0)</f>
        <v>0</v>
      </c>
      <c r="AW37" s="48" t="n">
        <f aca="false">IF(AW$15=1,INDEX(Vol_O,17,AW$14)/12*(1+P_dVol),0)</f>
        <v>0</v>
      </c>
      <c r="AX37" s="48" t="n">
        <f aca="false">IF(AX$15=1,INDEX(Vol_O,17,AX$14)/12*(1+P_dVol),0)</f>
        <v>0</v>
      </c>
      <c r="AY37" s="48" t="n">
        <f aca="false">IF(AY$15=1,INDEX(Vol_O,17,AY$14)/12*(1+P_dVol),0)</f>
        <v>0</v>
      </c>
      <c r="AZ37" s="48" t="n">
        <f aca="false">IF(AZ$15=1,INDEX(Vol_O,17,AZ$14)/12*(1+P_dVol),0)</f>
        <v>0</v>
      </c>
      <c r="BA37" s="48" t="n">
        <f aca="false">IF(BA$15=1,INDEX(Vol_O,17,BA$14)/12*(1+P_dVol),0)</f>
        <v>0</v>
      </c>
      <c r="BB37" s="48" t="n">
        <f aca="false">IF(BB$15=1,INDEX(Vol_O,17,BB$14)/12*(1+P_dVol),0)</f>
        <v>0</v>
      </c>
      <c r="BC37" s="48" t="n">
        <f aca="false">IF(BC$15=1,INDEX(Vol_O,17,BC$14)/12*(1+P_dVol),0)</f>
        <v>0</v>
      </c>
      <c r="BD37" s="48" t="n">
        <f aca="false">IF(BD$15=1,INDEX(Vol_O,17,BD$14)/12*(1+P_dVol),0)</f>
        <v>0</v>
      </c>
      <c r="BE37" s="48" t="n">
        <f aca="false">IF(BE$15=1,INDEX(Vol_O,17,BE$14)/12*(1+P_dVol),0)</f>
        <v>0</v>
      </c>
      <c r="BF37" s="48" t="n">
        <f aca="false">IF(BF$15=1,INDEX(Vol_O,17,BF$14)/12*(1+P_dVol),0)</f>
        <v>0</v>
      </c>
      <c r="BG37" s="48" t="n">
        <f aca="false">IF(BG$15=1,INDEX(Vol_O,17,BG$14)/12*(1+P_dVol),0)</f>
        <v>0</v>
      </c>
      <c r="BH37" s="48" t="n">
        <f aca="false">IF(BH$15=1,INDEX(Vol_O,17,BH$14)/12*(1+P_dVol),0)</f>
        <v>0</v>
      </c>
      <c r="BI37" s="48" t="n">
        <f aca="false">IF(BI$15=1,INDEX(Vol_O,17,BI$14)/12*(1+P_dVol),0)</f>
        <v>0</v>
      </c>
      <c r="BJ37" s="48" t="n">
        <f aca="false">IF(BJ$15=1,INDEX(Vol_O,17,BJ$14)/12*(1+P_dVol),0)</f>
        <v>0</v>
      </c>
      <c r="BK37" s="48" t="n">
        <f aca="false">IF(BK$15=1,INDEX(Vol_O,17,BK$14)/12*(1+P_dVol),0)</f>
        <v>0</v>
      </c>
      <c r="BL37" s="48" t="n">
        <f aca="false">IF(BL$15=1,INDEX(Vol_O,17,BL$14)/12*(1+P_dVol),0)</f>
        <v>0</v>
      </c>
      <c r="BM37" s="48" t="n">
        <f aca="false">IF(BM$15=1,INDEX(Vol_O,17,BM$14)/12*(1+P_dVol),0)</f>
        <v>0</v>
      </c>
      <c r="BN37" s="48" t="n">
        <f aca="false">IF(BN$15=1,INDEX(Vol_O,17,BN$14)/12*(1+P_dVol),0)</f>
        <v>0</v>
      </c>
      <c r="BO37" s="48" t="n">
        <f aca="false">IF(BO$15=1,INDEX(Vol_O,17,BO$14)/12*(1+P_dVol),0)</f>
        <v>0</v>
      </c>
      <c r="BP37" s="48" t="n">
        <f aca="false">IF(BP$15=1,INDEX(Vol_O,17,BP$14)/12*(1+P_dVol),0)</f>
        <v>0</v>
      </c>
      <c r="BQ37" s="48" t="n">
        <f aca="false">IF(BQ$15=1,INDEX(Vol_O,17,BQ$14)/12*(1+P_dVol),0)</f>
        <v>0</v>
      </c>
      <c r="BR37" s="48" t="n">
        <f aca="false">IF(BR$15=1,INDEX(Vol_O,17,BR$14)/12*(1+P_dVol),0)</f>
        <v>0</v>
      </c>
      <c r="BS37" s="48" t="n">
        <f aca="false">IF(BS$15=1,INDEX(Vol_O,17,BS$14)/12*(1+P_dVol),0)</f>
        <v>0</v>
      </c>
      <c r="BT37" s="48" t="n">
        <f aca="false">IF(BT$15=1,INDEX(Vol_O,17,BT$14)/12*(1+P_dVol),0)</f>
        <v>0</v>
      </c>
      <c r="BU37" s="48" t="n">
        <f aca="false">IF(BU$15=1,INDEX(Vol_O,17,BU$14)/12*(1+P_dVol),0)</f>
        <v>0</v>
      </c>
      <c r="BV37" s="48" t="n">
        <f aca="false">IF(BV$15=1,INDEX(Vol_O,17,BV$14)/12*(1+P_dVol),0)</f>
        <v>0</v>
      </c>
      <c r="BW37" s="48" t="n">
        <f aca="false">IF(BW$15=1,INDEX(Vol_O,17,BW$14)/12*(1+P_dVol),0)</f>
        <v>0</v>
      </c>
      <c r="BX37" s="48" t="n">
        <f aca="false">IF(BX$15=1,INDEX(Vol_O,17,BX$14)/12*(1+P_dVol),0)</f>
        <v>0</v>
      </c>
      <c r="BY37" s="48" t="n">
        <f aca="false">IF(BY$15=1,INDEX(Vol_O,17,BY$14)/12*(1+P_dVol),0)</f>
        <v>0</v>
      </c>
      <c r="BZ37" s="48" t="n">
        <f aca="false">IF(BZ$15=1,INDEX(Vol_O,17,BZ$14)/12*(1+P_dVol),0)</f>
        <v>0</v>
      </c>
      <c r="CA37" s="48" t="n">
        <f aca="false">IF(CA$15=1,INDEX(Vol_O,17,CA$14)/12*(1+P_dVol),0)</f>
        <v>0</v>
      </c>
      <c r="CB37" s="48" t="n">
        <f aca="false">IF(CB$15=1,INDEX(Vol_O,17,CB$14)/12*(1+P_dVol),0)</f>
        <v>0</v>
      </c>
      <c r="CC37" s="48" t="n">
        <f aca="false">IF(CC$15=1,INDEX(Vol_O,17,CC$14)/12*(1+P_dVol),0)</f>
        <v>0</v>
      </c>
      <c r="CD37" s="48" t="n">
        <f aca="false">IF(CD$15=1,INDEX(Vol_O,17,CD$14)/12*(1+P_dVol),0)</f>
        <v>0</v>
      </c>
      <c r="CE37" s="48" t="n">
        <f aca="false">IF(CE$15=1,INDEX(Vol_O,17,CE$14)/12*(1+P_dVol),0)</f>
        <v>0</v>
      </c>
      <c r="CF37" s="48" t="n">
        <f aca="false">IF(CF$15=1,INDEX(Vol_O,17,CF$14)/12*(1+P_dVol),0)</f>
        <v>0</v>
      </c>
      <c r="CG37" s="48" t="n">
        <f aca="false">IF(CG$15=1,INDEX(Vol_O,17,CG$14)/12*(1+P_dVol),0)</f>
        <v>0</v>
      </c>
      <c r="CH37" s="48" t="n">
        <f aca="false">IF(CH$15=1,INDEX(Vol_O,17,CH$14)/12*(1+P_dVol),0)</f>
        <v>0</v>
      </c>
      <c r="CI37" s="48" t="n">
        <f aca="false">IF(CI$15=1,INDEX(Vol_O,17,CI$14)/12*(1+P_dVol),0)</f>
        <v>0</v>
      </c>
      <c r="CJ37" s="48" t="n">
        <f aca="false">IF(CJ$15=1,INDEX(Vol_O,17,CJ$14)/12*(1+P_dVol),0)</f>
        <v>0</v>
      </c>
      <c r="CK37" s="48" t="n">
        <f aca="false">IF(CK$15=1,INDEX(Vol_O,17,CK$14)/12*(1+P_dVol),0)</f>
        <v>0</v>
      </c>
      <c r="CL37" s="48" t="n">
        <f aca="false">IF(CL$15=1,INDEX(Vol_O,17,CL$14)/12*(1+P_dVol),0)</f>
        <v>0</v>
      </c>
      <c r="CM37" s="48" t="n">
        <f aca="false">IF(CM$15=1,INDEX(Vol_O,17,CM$14)/12*(1+P_dVol),0)</f>
        <v>0</v>
      </c>
      <c r="CN37" s="48" t="n">
        <f aca="false">IF(CN$15=1,INDEX(Vol_O,17,CN$14)/12*(1+P_dVol),0)</f>
        <v>0</v>
      </c>
      <c r="CO37" s="48" t="n">
        <f aca="false">IF(CO$15=1,INDEX(Vol_O,17,CO$14)/12*(1+P_dVol),0)</f>
        <v>0</v>
      </c>
      <c r="CP37" s="48" t="n">
        <f aca="false">IF(CP$15=1,INDEX(Vol_O,17,CP$14)/12*(1+P_dVol),0)</f>
        <v>0</v>
      </c>
      <c r="CQ37" s="48" t="n">
        <f aca="false">IF(CQ$15=1,INDEX(Vol_O,17,CQ$14)/12*(1+P_dVol),0)</f>
        <v>0</v>
      </c>
      <c r="CR37" s="48" t="n">
        <f aca="false">IF(CR$15=1,INDEX(Vol_O,17,CR$14)/12*(1+P_dVol),0)</f>
        <v>0</v>
      </c>
      <c r="CS37" s="48" t="n">
        <f aca="false">IF(CS$15=1,INDEX(Vol_O,17,CS$14)/12*(1+P_dVol),0)</f>
        <v>0</v>
      </c>
      <c r="CT37" s="48" t="n">
        <f aca="false">IF(CT$15=1,INDEX(Vol_O,17,CT$14)/12*(1+P_dVol),0)</f>
        <v>0</v>
      </c>
      <c r="CU37" s="48" t="n">
        <f aca="false">IF(CU$15=1,INDEX(Vol_O,17,CU$14)/12*(1+P_dVol),0)</f>
        <v>0</v>
      </c>
      <c r="CV37" s="48" t="n">
        <f aca="false">IF(CV$15=1,INDEX(Vol_O,17,CV$14)/12*(1+P_dVol),0)</f>
        <v>0</v>
      </c>
      <c r="CW37" s="48" t="n">
        <f aca="false">IF(CW$15=1,INDEX(Vol_O,17,CW$14)/12*(1+P_dVol),0)</f>
        <v>0</v>
      </c>
      <c r="CX37" s="48" t="n">
        <f aca="false">IF(CX$15=1,INDEX(Vol_O,17,CX$14)/12*(1+P_dVol),0)</f>
        <v>0</v>
      </c>
      <c r="CY37" s="48" t="n">
        <f aca="false">IF(CY$15=1,INDEX(Vol_O,17,CY$14)/12*(1+P_dVol),0)</f>
        <v>0</v>
      </c>
      <c r="CZ37" s="48" t="n">
        <f aca="false">IF(CZ$15=1,INDEX(Vol_O,17,CZ$14)/12*(1+P_dVol),0)</f>
        <v>0</v>
      </c>
      <c r="DA37" s="48" t="n">
        <f aca="false">IF(DA$15=1,INDEX(Vol_O,17,DA$14)/12*(1+P_dVol),0)</f>
        <v>0</v>
      </c>
      <c r="DB37" s="48" t="n">
        <f aca="false">IF(DB$15=1,INDEX(Vol_O,17,DB$14)/12*(1+P_dVol),0)</f>
        <v>0</v>
      </c>
      <c r="DC37" s="48" t="n">
        <f aca="false">IF(DC$15=1,INDEX(Vol_O,17,DC$14)/12*(1+P_dVol),0)</f>
        <v>0</v>
      </c>
      <c r="DD37" s="48" t="n">
        <f aca="false">IF(DD$15=1,INDEX(Vol_O,17,DD$14)/12*(1+P_dVol),0)</f>
        <v>0</v>
      </c>
      <c r="DE37" s="48" t="n">
        <f aca="false">IF(DE$15=1,INDEX(Vol_O,17,DE$14)/12*(1+P_dVol),0)</f>
        <v>0</v>
      </c>
      <c r="DF37" s="48" t="n">
        <f aca="false">IF(DF$15=1,INDEX(Vol_O,17,DF$14)/12*(1+P_dVol),0)</f>
        <v>0</v>
      </c>
      <c r="DG37" s="48" t="n">
        <f aca="false">IF(DG$15=1,INDEX(Vol_O,17,DG$14)/12*(1+P_dVol),0)</f>
        <v>0</v>
      </c>
      <c r="DH37" s="48" t="n">
        <f aca="false">IF(DH$15=1,INDEX(Vol_O,17,DH$14)/12*(1+P_dVol),0)</f>
        <v>0</v>
      </c>
      <c r="DI37" s="48" t="n">
        <f aca="false">IF(DI$15=1,INDEX(Vol_O,17,DI$14)/12*(1+P_dVol),0)</f>
        <v>0</v>
      </c>
      <c r="DJ37" s="48" t="n">
        <f aca="false">IF(DJ$15=1,INDEX(Vol_O,17,DJ$14)/12*(1+P_dVol),0)</f>
        <v>0</v>
      </c>
      <c r="DK37" s="48" t="n">
        <f aca="false">IF(DK$15=1,INDEX(Vol_O,17,DK$14)/12*(1+P_dVol),0)</f>
        <v>0</v>
      </c>
      <c r="DL37" s="48" t="n">
        <f aca="false">IF(DL$15=1,INDEX(Vol_O,17,DL$14)/12*(1+P_dVol),0)</f>
        <v>0</v>
      </c>
      <c r="DM37" s="48" t="n">
        <f aca="false">IF(DM$15=1,INDEX(Vol_O,17,DM$14)/12*(1+P_dVol),0)</f>
        <v>0</v>
      </c>
      <c r="DN37" s="48" t="n">
        <f aca="false">IF(DN$15=1,INDEX(Vol_O,17,DN$14)/12*(1+P_dVol),0)</f>
        <v>0</v>
      </c>
      <c r="DO37" s="48" t="n">
        <f aca="false">IF(DO$15=1,INDEX(Vol_O,17,DO$14)/12*(1+P_dVol),0)</f>
        <v>0</v>
      </c>
      <c r="DP37" s="48" t="n">
        <f aca="false">IF(DP$15=1,INDEX(Vol_O,17,DP$14)/12*(1+P_dVol),0)</f>
        <v>0</v>
      </c>
      <c r="DQ37" s="48" t="n">
        <f aca="false">IF(DQ$15=1,INDEX(Vol_O,17,DQ$14)/12*(1+P_dVol),0)</f>
        <v>0</v>
      </c>
      <c r="DR37" s="48" t="n">
        <f aca="false">IF(DR$15=1,INDEX(Vol_O,17,DR$14)/12*(1+P_dVol),0)</f>
        <v>0</v>
      </c>
      <c r="DS37" s="48" t="n">
        <f aca="false">IF(DS$15=1,INDEX(Vol_O,17,DS$14)/12*(1+P_dVol),0)</f>
        <v>0</v>
      </c>
      <c r="DT37" s="48" t="n">
        <f aca="false">IF(DT$15=1,INDEX(Vol_O,17,DT$14)/12*(1+P_dVol),0)</f>
        <v>0</v>
      </c>
      <c r="DU37" s="48" t="n">
        <f aca="false">IF(DU$15=1,INDEX(Vol_O,17,DU$14)/12*(1+P_dVol),0)</f>
        <v>0</v>
      </c>
      <c r="DV37" s="48" t="n">
        <f aca="false">IF(DV$15=1,INDEX(Vol_O,17,DV$14)/12*(1+P_dVol),0)</f>
        <v>0</v>
      </c>
      <c r="DW37" s="48" t="n">
        <f aca="false">IF(DW$15=1,INDEX(Vol_O,17,DW$14)/12*(1+P_dVol),0)</f>
        <v>0</v>
      </c>
      <c r="DX37" s="48" t="n">
        <f aca="false">IF(DX$15=1,INDEX(Vol_O,17,DX$14)/12*(1+P_dVol),0)</f>
        <v>0</v>
      </c>
      <c r="DY37" s="48" t="n">
        <f aca="false">IF(DY$15=1,INDEX(Vol_O,17,DY$14)/12*(1+P_dVol),0)</f>
        <v>0</v>
      </c>
      <c r="DZ37" s="48" t="n">
        <f aca="false">IF(DZ$15=1,INDEX(Vol_O,17,DZ$14)/12*(1+P_dVol),0)</f>
        <v>0</v>
      </c>
      <c r="EA37" s="48" t="n">
        <f aca="false">IF(EA$15=1,INDEX(Vol_O,17,EA$14)/12*(1+P_dVol),0)</f>
        <v>0</v>
      </c>
      <c r="EB37" s="48" t="n">
        <f aca="false">IF(EB$15=1,INDEX(Vol_O,17,EB$14)/12*(1+P_dVol),0)</f>
        <v>0</v>
      </c>
      <c r="EC37" s="48" t="n">
        <f aca="false">IF(EC$15=1,INDEX(Vol_O,17,EC$14)/12*(1+P_dVol),0)</f>
        <v>0</v>
      </c>
      <c r="ED37" s="48" t="n">
        <f aca="false">IF(ED$15=1,INDEX(Vol_O,17,ED$14)/12*(1+P_dVol),0)</f>
        <v>0</v>
      </c>
      <c r="EE37" s="48" t="n">
        <f aca="false">IF(EE$15=1,INDEX(Vol_O,17,EE$14)/12*(1+P_dVol),0)</f>
        <v>0</v>
      </c>
      <c r="EF37" s="48" t="n">
        <f aca="false">IF(EF$15=1,INDEX(Vol_O,17,EF$14)/12*(1+P_dVol),0)</f>
        <v>0</v>
      </c>
      <c r="EG37" s="48" t="n">
        <f aca="false">IF(EG$15=1,INDEX(Vol_O,17,EG$14)/12*(1+P_dVol),0)</f>
        <v>0</v>
      </c>
      <c r="EH37" s="48" t="n">
        <f aca="false">IF(EH$15=1,INDEX(Vol_O,17,EH$14)/12*(1+P_dVol),0)</f>
        <v>0</v>
      </c>
      <c r="EI37" s="48" t="n">
        <f aca="false">IF(EI$15=1,INDEX(Vol_O,17,EI$14)/12*(1+P_dVol),0)</f>
        <v>0</v>
      </c>
      <c r="EJ37" s="48" t="n">
        <f aca="false">IF(EJ$15=1,INDEX(Vol_O,17,EJ$14)/12*(1+P_dVol),0)</f>
        <v>0</v>
      </c>
      <c r="EK37" s="48" t="n">
        <f aca="false">IF(EK$15=1,INDEX(Vol_O,17,EK$14)/12*(1+P_dVol),0)</f>
        <v>0</v>
      </c>
      <c r="EL37" s="48" t="n">
        <f aca="false">IF(EL$15=1,INDEX(Vol_O,17,EL$14)/12*(1+P_dVol),0)</f>
        <v>0</v>
      </c>
      <c r="EM37" s="48" t="n">
        <f aca="false">IF(EM$15=1,INDEX(Vol_O,17,EM$14)/12*(1+P_dVol),0)</f>
        <v>0</v>
      </c>
      <c r="EN37" s="48" t="n">
        <f aca="false">IF(EN$15=1,INDEX(Vol_O,17,EN$14)/12*(1+P_dVol),0)</f>
        <v>0</v>
      </c>
      <c r="EO37" s="48" t="n">
        <f aca="false">IF(EO$15=1,INDEX(Vol_O,17,EO$14)/12*(1+P_dVol),0)</f>
        <v>0</v>
      </c>
      <c r="EP37" s="48" t="n">
        <f aca="false">IF(EP$15=1,INDEX(Vol_O,17,EP$14)/12*(1+P_dVol),0)</f>
        <v>0</v>
      </c>
      <c r="EQ37" s="48" t="n">
        <f aca="false">IF(EQ$15=1,INDEX(Vol_O,17,EQ$14)/12*(1+P_dVol),0)</f>
        <v>0</v>
      </c>
      <c r="ER37" s="48" t="n">
        <f aca="false">IF(ER$15=1,INDEX(Vol_O,17,ER$14)/12*(1+P_dVol),0)</f>
        <v>0</v>
      </c>
      <c r="ES37" s="48" t="n">
        <f aca="false">IF(ES$15=1,INDEX(Vol_O,17,ES$14)/12*(1+P_dVol),0)</f>
        <v>0</v>
      </c>
    </row>
    <row r="38" customFormat="false" ht="15" hidden="false" customHeight="false" outlineLevel="0" collapsed="false">
      <c r="A38" s="11" t="s">
        <v>1083</v>
      </c>
      <c r="B38" s="53" t="str">
        <f aca="false">IF(INDEX(Prod_Nombre,18)="","Producto 18",INDEX(Prod_Nombre,18))&amp;" — unidades"</f>
        <v>Producto 18 — unidades</v>
      </c>
      <c r="C38" s="15" t="s">
        <v>544</v>
      </c>
      <c r="E38" s="54" t="n">
        <f aca="false">SUM(F38:ES38)</f>
        <v>0</v>
      </c>
      <c r="F38" s="48" t="n">
        <f aca="false">IF(F$15=1,INDEX(Vol_O,18,F$14)/12*(1+P_dVol),0)</f>
        <v>0</v>
      </c>
      <c r="G38" s="48" t="n">
        <f aca="false">IF(G$15=1,INDEX(Vol_O,18,G$14)/12*(1+P_dVol),0)</f>
        <v>0</v>
      </c>
      <c r="H38" s="48" t="n">
        <f aca="false">IF(H$15=1,INDEX(Vol_O,18,H$14)/12*(1+P_dVol),0)</f>
        <v>0</v>
      </c>
      <c r="I38" s="48" t="n">
        <f aca="false">IF(I$15=1,INDEX(Vol_O,18,I$14)/12*(1+P_dVol),0)</f>
        <v>0</v>
      </c>
      <c r="J38" s="48" t="n">
        <f aca="false">IF(J$15=1,INDEX(Vol_O,18,J$14)/12*(1+P_dVol),0)</f>
        <v>0</v>
      </c>
      <c r="K38" s="48" t="n">
        <f aca="false">IF(K$15=1,INDEX(Vol_O,18,K$14)/12*(1+P_dVol),0)</f>
        <v>0</v>
      </c>
      <c r="L38" s="48" t="n">
        <f aca="false">IF(L$15=1,INDEX(Vol_O,18,L$14)/12*(1+P_dVol),0)</f>
        <v>0</v>
      </c>
      <c r="M38" s="48" t="n">
        <f aca="false">IF(M$15=1,INDEX(Vol_O,18,M$14)/12*(1+P_dVol),0)</f>
        <v>0</v>
      </c>
      <c r="N38" s="48" t="n">
        <f aca="false">IF(N$15=1,INDEX(Vol_O,18,N$14)/12*(1+P_dVol),0)</f>
        <v>0</v>
      </c>
      <c r="O38" s="48" t="n">
        <f aca="false">IF(O$15=1,INDEX(Vol_O,18,O$14)/12*(1+P_dVol),0)</f>
        <v>0</v>
      </c>
      <c r="P38" s="48" t="n">
        <f aca="false">IF(P$15=1,INDEX(Vol_O,18,P$14)/12*(1+P_dVol),0)</f>
        <v>0</v>
      </c>
      <c r="Q38" s="48" t="n">
        <f aca="false">IF(Q$15=1,INDEX(Vol_O,18,Q$14)/12*(1+P_dVol),0)</f>
        <v>0</v>
      </c>
      <c r="R38" s="48" t="n">
        <f aca="false">IF(R$15=1,INDEX(Vol_O,18,R$14)/12*(1+P_dVol),0)</f>
        <v>0</v>
      </c>
      <c r="S38" s="48" t="n">
        <f aca="false">IF(S$15=1,INDEX(Vol_O,18,S$14)/12*(1+P_dVol),0)</f>
        <v>0</v>
      </c>
      <c r="T38" s="48" t="n">
        <f aca="false">IF(T$15=1,INDEX(Vol_O,18,T$14)/12*(1+P_dVol),0)</f>
        <v>0</v>
      </c>
      <c r="U38" s="48" t="n">
        <f aca="false">IF(U$15=1,INDEX(Vol_O,18,U$14)/12*(1+P_dVol),0)</f>
        <v>0</v>
      </c>
      <c r="V38" s="48" t="n">
        <f aca="false">IF(V$15=1,INDEX(Vol_O,18,V$14)/12*(1+P_dVol),0)</f>
        <v>0</v>
      </c>
      <c r="W38" s="48" t="n">
        <f aca="false">IF(W$15=1,INDEX(Vol_O,18,W$14)/12*(1+P_dVol),0)</f>
        <v>0</v>
      </c>
      <c r="X38" s="48" t="n">
        <f aca="false">IF(X$15=1,INDEX(Vol_O,18,X$14)/12*(1+P_dVol),0)</f>
        <v>0</v>
      </c>
      <c r="Y38" s="48" t="n">
        <f aca="false">IF(Y$15=1,INDEX(Vol_O,18,Y$14)/12*(1+P_dVol),0)</f>
        <v>0</v>
      </c>
      <c r="Z38" s="48" t="n">
        <f aca="false">IF(Z$15=1,INDEX(Vol_O,18,Z$14)/12*(1+P_dVol),0)</f>
        <v>0</v>
      </c>
      <c r="AA38" s="48" t="n">
        <f aca="false">IF(AA$15=1,INDEX(Vol_O,18,AA$14)/12*(1+P_dVol),0)</f>
        <v>0</v>
      </c>
      <c r="AB38" s="48" t="n">
        <f aca="false">IF(AB$15=1,INDEX(Vol_O,18,AB$14)/12*(1+P_dVol),0)</f>
        <v>0</v>
      </c>
      <c r="AC38" s="48" t="n">
        <f aca="false">IF(AC$15=1,INDEX(Vol_O,18,AC$14)/12*(1+P_dVol),0)</f>
        <v>0</v>
      </c>
      <c r="AD38" s="48" t="n">
        <f aca="false">IF(AD$15=1,INDEX(Vol_O,18,AD$14)/12*(1+P_dVol),0)</f>
        <v>0</v>
      </c>
      <c r="AE38" s="48" t="n">
        <f aca="false">IF(AE$15=1,INDEX(Vol_O,18,AE$14)/12*(1+P_dVol),0)</f>
        <v>0</v>
      </c>
      <c r="AF38" s="48" t="n">
        <f aca="false">IF(AF$15=1,INDEX(Vol_O,18,AF$14)/12*(1+P_dVol),0)</f>
        <v>0</v>
      </c>
      <c r="AG38" s="48" t="n">
        <f aca="false">IF(AG$15=1,INDEX(Vol_O,18,AG$14)/12*(1+P_dVol),0)</f>
        <v>0</v>
      </c>
      <c r="AH38" s="48" t="n">
        <f aca="false">IF(AH$15=1,INDEX(Vol_O,18,AH$14)/12*(1+P_dVol),0)</f>
        <v>0</v>
      </c>
      <c r="AI38" s="48" t="n">
        <f aca="false">IF(AI$15=1,INDEX(Vol_O,18,AI$14)/12*(1+P_dVol),0)</f>
        <v>0</v>
      </c>
      <c r="AJ38" s="48" t="n">
        <f aca="false">IF(AJ$15=1,INDEX(Vol_O,18,AJ$14)/12*(1+P_dVol),0)</f>
        <v>0</v>
      </c>
      <c r="AK38" s="48" t="n">
        <f aca="false">IF(AK$15=1,INDEX(Vol_O,18,AK$14)/12*(1+P_dVol),0)</f>
        <v>0</v>
      </c>
      <c r="AL38" s="48" t="n">
        <f aca="false">IF(AL$15=1,INDEX(Vol_O,18,AL$14)/12*(1+P_dVol),0)</f>
        <v>0</v>
      </c>
      <c r="AM38" s="48" t="n">
        <f aca="false">IF(AM$15=1,INDEX(Vol_O,18,AM$14)/12*(1+P_dVol),0)</f>
        <v>0</v>
      </c>
      <c r="AN38" s="48" t="n">
        <f aca="false">IF(AN$15=1,INDEX(Vol_O,18,AN$14)/12*(1+P_dVol),0)</f>
        <v>0</v>
      </c>
      <c r="AO38" s="48" t="n">
        <f aca="false">IF(AO$15=1,INDEX(Vol_O,18,AO$14)/12*(1+P_dVol),0)</f>
        <v>0</v>
      </c>
      <c r="AP38" s="48" t="n">
        <f aca="false">IF(AP$15=1,INDEX(Vol_O,18,AP$14)/12*(1+P_dVol),0)</f>
        <v>0</v>
      </c>
      <c r="AQ38" s="48" t="n">
        <f aca="false">IF(AQ$15=1,INDEX(Vol_O,18,AQ$14)/12*(1+P_dVol),0)</f>
        <v>0</v>
      </c>
      <c r="AR38" s="48" t="n">
        <f aca="false">IF(AR$15=1,INDEX(Vol_O,18,AR$14)/12*(1+P_dVol),0)</f>
        <v>0</v>
      </c>
      <c r="AS38" s="48" t="n">
        <f aca="false">IF(AS$15=1,INDEX(Vol_O,18,AS$14)/12*(1+P_dVol),0)</f>
        <v>0</v>
      </c>
      <c r="AT38" s="48" t="n">
        <f aca="false">IF(AT$15=1,INDEX(Vol_O,18,AT$14)/12*(1+P_dVol),0)</f>
        <v>0</v>
      </c>
      <c r="AU38" s="48" t="n">
        <f aca="false">IF(AU$15=1,INDEX(Vol_O,18,AU$14)/12*(1+P_dVol),0)</f>
        <v>0</v>
      </c>
      <c r="AV38" s="48" t="n">
        <f aca="false">IF(AV$15=1,INDEX(Vol_O,18,AV$14)/12*(1+P_dVol),0)</f>
        <v>0</v>
      </c>
      <c r="AW38" s="48" t="n">
        <f aca="false">IF(AW$15=1,INDEX(Vol_O,18,AW$14)/12*(1+P_dVol),0)</f>
        <v>0</v>
      </c>
      <c r="AX38" s="48" t="n">
        <f aca="false">IF(AX$15=1,INDEX(Vol_O,18,AX$14)/12*(1+P_dVol),0)</f>
        <v>0</v>
      </c>
      <c r="AY38" s="48" t="n">
        <f aca="false">IF(AY$15=1,INDEX(Vol_O,18,AY$14)/12*(1+P_dVol),0)</f>
        <v>0</v>
      </c>
      <c r="AZ38" s="48" t="n">
        <f aca="false">IF(AZ$15=1,INDEX(Vol_O,18,AZ$14)/12*(1+P_dVol),0)</f>
        <v>0</v>
      </c>
      <c r="BA38" s="48" t="n">
        <f aca="false">IF(BA$15=1,INDEX(Vol_O,18,BA$14)/12*(1+P_dVol),0)</f>
        <v>0</v>
      </c>
      <c r="BB38" s="48" t="n">
        <f aca="false">IF(BB$15=1,INDEX(Vol_O,18,BB$14)/12*(1+P_dVol),0)</f>
        <v>0</v>
      </c>
      <c r="BC38" s="48" t="n">
        <f aca="false">IF(BC$15=1,INDEX(Vol_O,18,BC$14)/12*(1+P_dVol),0)</f>
        <v>0</v>
      </c>
      <c r="BD38" s="48" t="n">
        <f aca="false">IF(BD$15=1,INDEX(Vol_O,18,BD$14)/12*(1+P_dVol),0)</f>
        <v>0</v>
      </c>
      <c r="BE38" s="48" t="n">
        <f aca="false">IF(BE$15=1,INDEX(Vol_O,18,BE$14)/12*(1+P_dVol),0)</f>
        <v>0</v>
      </c>
      <c r="BF38" s="48" t="n">
        <f aca="false">IF(BF$15=1,INDEX(Vol_O,18,BF$14)/12*(1+P_dVol),0)</f>
        <v>0</v>
      </c>
      <c r="BG38" s="48" t="n">
        <f aca="false">IF(BG$15=1,INDEX(Vol_O,18,BG$14)/12*(1+P_dVol),0)</f>
        <v>0</v>
      </c>
      <c r="BH38" s="48" t="n">
        <f aca="false">IF(BH$15=1,INDEX(Vol_O,18,BH$14)/12*(1+P_dVol),0)</f>
        <v>0</v>
      </c>
      <c r="BI38" s="48" t="n">
        <f aca="false">IF(BI$15=1,INDEX(Vol_O,18,BI$14)/12*(1+P_dVol),0)</f>
        <v>0</v>
      </c>
      <c r="BJ38" s="48" t="n">
        <f aca="false">IF(BJ$15=1,INDEX(Vol_O,18,BJ$14)/12*(1+P_dVol),0)</f>
        <v>0</v>
      </c>
      <c r="BK38" s="48" t="n">
        <f aca="false">IF(BK$15=1,INDEX(Vol_O,18,BK$14)/12*(1+P_dVol),0)</f>
        <v>0</v>
      </c>
      <c r="BL38" s="48" t="n">
        <f aca="false">IF(BL$15=1,INDEX(Vol_O,18,BL$14)/12*(1+P_dVol),0)</f>
        <v>0</v>
      </c>
      <c r="BM38" s="48" t="n">
        <f aca="false">IF(BM$15=1,INDEX(Vol_O,18,BM$14)/12*(1+P_dVol),0)</f>
        <v>0</v>
      </c>
      <c r="BN38" s="48" t="n">
        <f aca="false">IF(BN$15=1,INDEX(Vol_O,18,BN$14)/12*(1+P_dVol),0)</f>
        <v>0</v>
      </c>
      <c r="BO38" s="48" t="n">
        <f aca="false">IF(BO$15=1,INDEX(Vol_O,18,BO$14)/12*(1+P_dVol),0)</f>
        <v>0</v>
      </c>
      <c r="BP38" s="48" t="n">
        <f aca="false">IF(BP$15=1,INDEX(Vol_O,18,BP$14)/12*(1+P_dVol),0)</f>
        <v>0</v>
      </c>
      <c r="BQ38" s="48" t="n">
        <f aca="false">IF(BQ$15=1,INDEX(Vol_O,18,BQ$14)/12*(1+P_dVol),0)</f>
        <v>0</v>
      </c>
      <c r="BR38" s="48" t="n">
        <f aca="false">IF(BR$15=1,INDEX(Vol_O,18,BR$14)/12*(1+P_dVol),0)</f>
        <v>0</v>
      </c>
      <c r="BS38" s="48" t="n">
        <f aca="false">IF(BS$15=1,INDEX(Vol_O,18,BS$14)/12*(1+P_dVol),0)</f>
        <v>0</v>
      </c>
      <c r="BT38" s="48" t="n">
        <f aca="false">IF(BT$15=1,INDEX(Vol_O,18,BT$14)/12*(1+P_dVol),0)</f>
        <v>0</v>
      </c>
      <c r="BU38" s="48" t="n">
        <f aca="false">IF(BU$15=1,INDEX(Vol_O,18,BU$14)/12*(1+P_dVol),0)</f>
        <v>0</v>
      </c>
      <c r="BV38" s="48" t="n">
        <f aca="false">IF(BV$15=1,INDEX(Vol_O,18,BV$14)/12*(1+P_dVol),0)</f>
        <v>0</v>
      </c>
      <c r="BW38" s="48" t="n">
        <f aca="false">IF(BW$15=1,INDEX(Vol_O,18,BW$14)/12*(1+P_dVol),0)</f>
        <v>0</v>
      </c>
      <c r="BX38" s="48" t="n">
        <f aca="false">IF(BX$15=1,INDEX(Vol_O,18,BX$14)/12*(1+P_dVol),0)</f>
        <v>0</v>
      </c>
      <c r="BY38" s="48" t="n">
        <f aca="false">IF(BY$15=1,INDEX(Vol_O,18,BY$14)/12*(1+P_dVol),0)</f>
        <v>0</v>
      </c>
      <c r="BZ38" s="48" t="n">
        <f aca="false">IF(BZ$15=1,INDEX(Vol_O,18,BZ$14)/12*(1+P_dVol),0)</f>
        <v>0</v>
      </c>
      <c r="CA38" s="48" t="n">
        <f aca="false">IF(CA$15=1,INDEX(Vol_O,18,CA$14)/12*(1+P_dVol),0)</f>
        <v>0</v>
      </c>
      <c r="CB38" s="48" t="n">
        <f aca="false">IF(CB$15=1,INDEX(Vol_O,18,CB$14)/12*(1+P_dVol),0)</f>
        <v>0</v>
      </c>
      <c r="CC38" s="48" t="n">
        <f aca="false">IF(CC$15=1,INDEX(Vol_O,18,CC$14)/12*(1+P_dVol),0)</f>
        <v>0</v>
      </c>
      <c r="CD38" s="48" t="n">
        <f aca="false">IF(CD$15=1,INDEX(Vol_O,18,CD$14)/12*(1+P_dVol),0)</f>
        <v>0</v>
      </c>
      <c r="CE38" s="48" t="n">
        <f aca="false">IF(CE$15=1,INDEX(Vol_O,18,CE$14)/12*(1+P_dVol),0)</f>
        <v>0</v>
      </c>
      <c r="CF38" s="48" t="n">
        <f aca="false">IF(CF$15=1,INDEX(Vol_O,18,CF$14)/12*(1+P_dVol),0)</f>
        <v>0</v>
      </c>
      <c r="CG38" s="48" t="n">
        <f aca="false">IF(CG$15=1,INDEX(Vol_O,18,CG$14)/12*(1+P_dVol),0)</f>
        <v>0</v>
      </c>
      <c r="CH38" s="48" t="n">
        <f aca="false">IF(CH$15=1,INDEX(Vol_O,18,CH$14)/12*(1+P_dVol),0)</f>
        <v>0</v>
      </c>
      <c r="CI38" s="48" t="n">
        <f aca="false">IF(CI$15=1,INDEX(Vol_O,18,CI$14)/12*(1+P_dVol),0)</f>
        <v>0</v>
      </c>
      <c r="CJ38" s="48" t="n">
        <f aca="false">IF(CJ$15=1,INDEX(Vol_O,18,CJ$14)/12*(1+P_dVol),0)</f>
        <v>0</v>
      </c>
      <c r="CK38" s="48" t="n">
        <f aca="false">IF(CK$15=1,INDEX(Vol_O,18,CK$14)/12*(1+P_dVol),0)</f>
        <v>0</v>
      </c>
      <c r="CL38" s="48" t="n">
        <f aca="false">IF(CL$15=1,INDEX(Vol_O,18,CL$14)/12*(1+P_dVol),0)</f>
        <v>0</v>
      </c>
      <c r="CM38" s="48" t="n">
        <f aca="false">IF(CM$15=1,INDEX(Vol_O,18,CM$14)/12*(1+P_dVol),0)</f>
        <v>0</v>
      </c>
      <c r="CN38" s="48" t="n">
        <f aca="false">IF(CN$15=1,INDEX(Vol_O,18,CN$14)/12*(1+P_dVol),0)</f>
        <v>0</v>
      </c>
      <c r="CO38" s="48" t="n">
        <f aca="false">IF(CO$15=1,INDEX(Vol_O,18,CO$14)/12*(1+P_dVol),0)</f>
        <v>0</v>
      </c>
      <c r="CP38" s="48" t="n">
        <f aca="false">IF(CP$15=1,INDEX(Vol_O,18,CP$14)/12*(1+P_dVol),0)</f>
        <v>0</v>
      </c>
      <c r="CQ38" s="48" t="n">
        <f aca="false">IF(CQ$15=1,INDEX(Vol_O,18,CQ$14)/12*(1+P_dVol),0)</f>
        <v>0</v>
      </c>
      <c r="CR38" s="48" t="n">
        <f aca="false">IF(CR$15=1,INDEX(Vol_O,18,CR$14)/12*(1+P_dVol),0)</f>
        <v>0</v>
      </c>
      <c r="CS38" s="48" t="n">
        <f aca="false">IF(CS$15=1,INDEX(Vol_O,18,CS$14)/12*(1+P_dVol),0)</f>
        <v>0</v>
      </c>
      <c r="CT38" s="48" t="n">
        <f aca="false">IF(CT$15=1,INDEX(Vol_O,18,CT$14)/12*(1+P_dVol),0)</f>
        <v>0</v>
      </c>
      <c r="CU38" s="48" t="n">
        <f aca="false">IF(CU$15=1,INDEX(Vol_O,18,CU$14)/12*(1+P_dVol),0)</f>
        <v>0</v>
      </c>
      <c r="CV38" s="48" t="n">
        <f aca="false">IF(CV$15=1,INDEX(Vol_O,18,CV$14)/12*(1+P_dVol),0)</f>
        <v>0</v>
      </c>
      <c r="CW38" s="48" t="n">
        <f aca="false">IF(CW$15=1,INDEX(Vol_O,18,CW$14)/12*(1+P_dVol),0)</f>
        <v>0</v>
      </c>
      <c r="CX38" s="48" t="n">
        <f aca="false">IF(CX$15=1,INDEX(Vol_O,18,CX$14)/12*(1+P_dVol),0)</f>
        <v>0</v>
      </c>
      <c r="CY38" s="48" t="n">
        <f aca="false">IF(CY$15=1,INDEX(Vol_O,18,CY$14)/12*(1+P_dVol),0)</f>
        <v>0</v>
      </c>
      <c r="CZ38" s="48" t="n">
        <f aca="false">IF(CZ$15=1,INDEX(Vol_O,18,CZ$14)/12*(1+P_dVol),0)</f>
        <v>0</v>
      </c>
      <c r="DA38" s="48" t="n">
        <f aca="false">IF(DA$15=1,INDEX(Vol_O,18,DA$14)/12*(1+P_dVol),0)</f>
        <v>0</v>
      </c>
      <c r="DB38" s="48" t="n">
        <f aca="false">IF(DB$15=1,INDEX(Vol_O,18,DB$14)/12*(1+P_dVol),0)</f>
        <v>0</v>
      </c>
      <c r="DC38" s="48" t="n">
        <f aca="false">IF(DC$15=1,INDEX(Vol_O,18,DC$14)/12*(1+P_dVol),0)</f>
        <v>0</v>
      </c>
      <c r="DD38" s="48" t="n">
        <f aca="false">IF(DD$15=1,INDEX(Vol_O,18,DD$14)/12*(1+P_dVol),0)</f>
        <v>0</v>
      </c>
      <c r="DE38" s="48" t="n">
        <f aca="false">IF(DE$15=1,INDEX(Vol_O,18,DE$14)/12*(1+P_dVol),0)</f>
        <v>0</v>
      </c>
      <c r="DF38" s="48" t="n">
        <f aca="false">IF(DF$15=1,INDEX(Vol_O,18,DF$14)/12*(1+P_dVol),0)</f>
        <v>0</v>
      </c>
      <c r="DG38" s="48" t="n">
        <f aca="false">IF(DG$15=1,INDEX(Vol_O,18,DG$14)/12*(1+P_dVol),0)</f>
        <v>0</v>
      </c>
      <c r="DH38" s="48" t="n">
        <f aca="false">IF(DH$15=1,INDEX(Vol_O,18,DH$14)/12*(1+P_dVol),0)</f>
        <v>0</v>
      </c>
      <c r="DI38" s="48" t="n">
        <f aca="false">IF(DI$15=1,INDEX(Vol_O,18,DI$14)/12*(1+P_dVol),0)</f>
        <v>0</v>
      </c>
      <c r="DJ38" s="48" t="n">
        <f aca="false">IF(DJ$15=1,INDEX(Vol_O,18,DJ$14)/12*(1+P_dVol),0)</f>
        <v>0</v>
      </c>
      <c r="DK38" s="48" t="n">
        <f aca="false">IF(DK$15=1,INDEX(Vol_O,18,DK$14)/12*(1+P_dVol),0)</f>
        <v>0</v>
      </c>
      <c r="DL38" s="48" t="n">
        <f aca="false">IF(DL$15=1,INDEX(Vol_O,18,DL$14)/12*(1+P_dVol),0)</f>
        <v>0</v>
      </c>
      <c r="DM38" s="48" t="n">
        <f aca="false">IF(DM$15=1,INDEX(Vol_O,18,DM$14)/12*(1+P_dVol),0)</f>
        <v>0</v>
      </c>
      <c r="DN38" s="48" t="n">
        <f aca="false">IF(DN$15=1,INDEX(Vol_O,18,DN$14)/12*(1+P_dVol),0)</f>
        <v>0</v>
      </c>
      <c r="DO38" s="48" t="n">
        <f aca="false">IF(DO$15=1,INDEX(Vol_O,18,DO$14)/12*(1+P_dVol),0)</f>
        <v>0</v>
      </c>
      <c r="DP38" s="48" t="n">
        <f aca="false">IF(DP$15=1,INDEX(Vol_O,18,DP$14)/12*(1+P_dVol),0)</f>
        <v>0</v>
      </c>
      <c r="DQ38" s="48" t="n">
        <f aca="false">IF(DQ$15=1,INDEX(Vol_O,18,DQ$14)/12*(1+P_dVol),0)</f>
        <v>0</v>
      </c>
      <c r="DR38" s="48" t="n">
        <f aca="false">IF(DR$15=1,INDEX(Vol_O,18,DR$14)/12*(1+P_dVol),0)</f>
        <v>0</v>
      </c>
      <c r="DS38" s="48" t="n">
        <f aca="false">IF(DS$15=1,INDEX(Vol_O,18,DS$14)/12*(1+P_dVol),0)</f>
        <v>0</v>
      </c>
      <c r="DT38" s="48" t="n">
        <f aca="false">IF(DT$15=1,INDEX(Vol_O,18,DT$14)/12*(1+P_dVol),0)</f>
        <v>0</v>
      </c>
      <c r="DU38" s="48" t="n">
        <f aca="false">IF(DU$15=1,INDEX(Vol_O,18,DU$14)/12*(1+P_dVol),0)</f>
        <v>0</v>
      </c>
      <c r="DV38" s="48" t="n">
        <f aca="false">IF(DV$15=1,INDEX(Vol_O,18,DV$14)/12*(1+P_dVol),0)</f>
        <v>0</v>
      </c>
      <c r="DW38" s="48" t="n">
        <f aca="false">IF(DW$15=1,INDEX(Vol_O,18,DW$14)/12*(1+P_dVol),0)</f>
        <v>0</v>
      </c>
      <c r="DX38" s="48" t="n">
        <f aca="false">IF(DX$15=1,INDEX(Vol_O,18,DX$14)/12*(1+P_dVol),0)</f>
        <v>0</v>
      </c>
      <c r="DY38" s="48" t="n">
        <f aca="false">IF(DY$15=1,INDEX(Vol_O,18,DY$14)/12*(1+P_dVol),0)</f>
        <v>0</v>
      </c>
      <c r="DZ38" s="48" t="n">
        <f aca="false">IF(DZ$15=1,INDEX(Vol_O,18,DZ$14)/12*(1+P_dVol),0)</f>
        <v>0</v>
      </c>
      <c r="EA38" s="48" t="n">
        <f aca="false">IF(EA$15=1,INDEX(Vol_O,18,EA$14)/12*(1+P_dVol),0)</f>
        <v>0</v>
      </c>
      <c r="EB38" s="48" t="n">
        <f aca="false">IF(EB$15=1,INDEX(Vol_O,18,EB$14)/12*(1+P_dVol),0)</f>
        <v>0</v>
      </c>
      <c r="EC38" s="48" t="n">
        <f aca="false">IF(EC$15=1,INDEX(Vol_O,18,EC$14)/12*(1+P_dVol),0)</f>
        <v>0</v>
      </c>
      <c r="ED38" s="48" t="n">
        <f aca="false">IF(ED$15=1,INDEX(Vol_O,18,ED$14)/12*(1+P_dVol),0)</f>
        <v>0</v>
      </c>
      <c r="EE38" s="48" t="n">
        <f aca="false">IF(EE$15=1,INDEX(Vol_O,18,EE$14)/12*(1+P_dVol),0)</f>
        <v>0</v>
      </c>
      <c r="EF38" s="48" t="n">
        <f aca="false">IF(EF$15=1,INDEX(Vol_O,18,EF$14)/12*(1+P_dVol),0)</f>
        <v>0</v>
      </c>
      <c r="EG38" s="48" t="n">
        <f aca="false">IF(EG$15=1,INDEX(Vol_O,18,EG$14)/12*(1+P_dVol),0)</f>
        <v>0</v>
      </c>
      <c r="EH38" s="48" t="n">
        <f aca="false">IF(EH$15=1,INDEX(Vol_O,18,EH$14)/12*(1+P_dVol),0)</f>
        <v>0</v>
      </c>
      <c r="EI38" s="48" t="n">
        <f aca="false">IF(EI$15=1,INDEX(Vol_O,18,EI$14)/12*(1+P_dVol),0)</f>
        <v>0</v>
      </c>
      <c r="EJ38" s="48" t="n">
        <f aca="false">IF(EJ$15=1,INDEX(Vol_O,18,EJ$14)/12*(1+P_dVol),0)</f>
        <v>0</v>
      </c>
      <c r="EK38" s="48" t="n">
        <f aca="false">IF(EK$15=1,INDEX(Vol_O,18,EK$14)/12*(1+P_dVol),0)</f>
        <v>0</v>
      </c>
      <c r="EL38" s="48" t="n">
        <f aca="false">IF(EL$15=1,INDEX(Vol_O,18,EL$14)/12*(1+P_dVol),0)</f>
        <v>0</v>
      </c>
      <c r="EM38" s="48" t="n">
        <f aca="false">IF(EM$15=1,INDEX(Vol_O,18,EM$14)/12*(1+P_dVol),0)</f>
        <v>0</v>
      </c>
      <c r="EN38" s="48" t="n">
        <f aca="false">IF(EN$15=1,INDEX(Vol_O,18,EN$14)/12*(1+P_dVol),0)</f>
        <v>0</v>
      </c>
      <c r="EO38" s="48" t="n">
        <f aca="false">IF(EO$15=1,INDEX(Vol_O,18,EO$14)/12*(1+P_dVol),0)</f>
        <v>0</v>
      </c>
      <c r="EP38" s="48" t="n">
        <f aca="false">IF(EP$15=1,INDEX(Vol_O,18,EP$14)/12*(1+P_dVol),0)</f>
        <v>0</v>
      </c>
      <c r="EQ38" s="48" t="n">
        <f aca="false">IF(EQ$15=1,INDEX(Vol_O,18,EQ$14)/12*(1+P_dVol),0)</f>
        <v>0</v>
      </c>
      <c r="ER38" s="48" t="n">
        <f aca="false">IF(ER$15=1,INDEX(Vol_O,18,ER$14)/12*(1+P_dVol),0)</f>
        <v>0</v>
      </c>
      <c r="ES38" s="48" t="n">
        <f aca="false">IF(ES$15=1,INDEX(Vol_O,18,ES$14)/12*(1+P_dVol),0)</f>
        <v>0</v>
      </c>
    </row>
    <row r="39" customFormat="false" ht="15" hidden="false" customHeight="false" outlineLevel="0" collapsed="false">
      <c r="A39" s="11" t="s">
        <v>1084</v>
      </c>
      <c r="B39" s="53" t="str">
        <f aca="false">IF(INDEX(Prod_Nombre,19)="","Producto 19",INDEX(Prod_Nombre,19))&amp;" — unidades"</f>
        <v>Producto 19 — unidades</v>
      </c>
      <c r="C39" s="15" t="s">
        <v>544</v>
      </c>
      <c r="E39" s="54" t="n">
        <f aca="false">SUM(F39:ES39)</f>
        <v>0</v>
      </c>
      <c r="F39" s="48" t="n">
        <f aca="false">IF(F$15=1,INDEX(Vol_O,19,F$14)/12*(1+P_dVol),0)</f>
        <v>0</v>
      </c>
      <c r="G39" s="48" t="n">
        <f aca="false">IF(G$15=1,INDEX(Vol_O,19,G$14)/12*(1+P_dVol),0)</f>
        <v>0</v>
      </c>
      <c r="H39" s="48" t="n">
        <f aca="false">IF(H$15=1,INDEX(Vol_O,19,H$14)/12*(1+P_dVol),0)</f>
        <v>0</v>
      </c>
      <c r="I39" s="48" t="n">
        <f aca="false">IF(I$15=1,INDEX(Vol_O,19,I$14)/12*(1+P_dVol),0)</f>
        <v>0</v>
      </c>
      <c r="J39" s="48" t="n">
        <f aca="false">IF(J$15=1,INDEX(Vol_O,19,J$14)/12*(1+P_dVol),0)</f>
        <v>0</v>
      </c>
      <c r="K39" s="48" t="n">
        <f aca="false">IF(K$15=1,INDEX(Vol_O,19,K$14)/12*(1+P_dVol),0)</f>
        <v>0</v>
      </c>
      <c r="L39" s="48" t="n">
        <f aca="false">IF(L$15=1,INDEX(Vol_O,19,L$14)/12*(1+P_dVol),0)</f>
        <v>0</v>
      </c>
      <c r="M39" s="48" t="n">
        <f aca="false">IF(M$15=1,INDEX(Vol_O,19,M$14)/12*(1+P_dVol),0)</f>
        <v>0</v>
      </c>
      <c r="N39" s="48" t="n">
        <f aca="false">IF(N$15=1,INDEX(Vol_O,19,N$14)/12*(1+P_dVol),0)</f>
        <v>0</v>
      </c>
      <c r="O39" s="48" t="n">
        <f aca="false">IF(O$15=1,INDEX(Vol_O,19,O$14)/12*(1+P_dVol),0)</f>
        <v>0</v>
      </c>
      <c r="P39" s="48" t="n">
        <f aca="false">IF(P$15=1,INDEX(Vol_O,19,P$14)/12*(1+P_dVol),0)</f>
        <v>0</v>
      </c>
      <c r="Q39" s="48" t="n">
        <f aca="false">IF(Q$15=1,INDEX(Vol_O,19,Q$14)/12*(1+P_dVol),0)</f>
        <v>0</v>
      </c>
      <c r="R39" s="48" t="n">
        <f aca="false">IF(R$15=1,INDEX(Vol_O,19,R$14)/12*(1+P_dVol),0)</f>
        <v>0</v>
      </c>
      <c r="S39" s="48" t="n">
        <f aca="false">IF(S$15=1,INDEX(Vol_O,19,S$14)/12*(1+P_dVol),0)</f>
        <v>0</v>
      </c>
      <c r="T39" s="48" t="n">
        <f aca="false">IF(T$15=1,INDEX(Vol_O,19,T$14)/12*(1+P_dVol),0)</f>
        <v>0</v>
      </c>
      <c r="U39" s="48" t="n">
        <f aca="false">IF(U$15=1,INDEX(Vol_O,19,U$14)/12*(1+P_dVol),0)</f>
        <v>0</v>
      </c>
      <c r="V39" s="48" t="n">
        <f aca="false">IF(V$15=1,INDEX(Vol_O,19,V$14)/12*(1+P_dVol),0)</f>
        <v>0</v>
      </c>
      <c r="W39" s="48" t="n">
        <f aca="false">IF(W$15=1,INDEX(Vol_O,19,W$14)/12*(1+P_dVol),0)</f>
        <v>0</v>
      </c>
      <c r="X39" s="48" t="n">
        <f aca="false">IF(X$15=1,INDEX(Vol_O,19,X$14)/12*(1+P_dVol),0)</f>
        <v>0</v>
      </c>
      <c r="Y39" s="48" t="n">
        <f aca="false">IF(Y$15=1,INDEX(Vol_O,19,Y$14)/12*(1+P_dVol),0)</f>
        <v>0</v>
      </c>
      <c r="Z39" s="48" t="n">
        <f aca="false">IF(Z$15=1,INDEX(Vol_O,19,Z$14)/12*(1+P_dVol),0)</f>
        <v>0</v>
      </c>
      <c r="AA39" s="48" t="n">
        <f aca="false">IF(AA$15=1,INDEX(Vol_O,19,AA$14)/12*(1+P_dVol),0)</f>
        <v>0</v>
      </c>
      <c r="AB39" s="48" t="n">
        <f aca="false">IF(AB$15=1,INDEX(Vol_O,19,AB$14)/12*(1+P_dVol),0)</f>
        <v>0</v>
      </c>
      <c r="AC39" s="48" t="n">
        <f aca="false">IF(AC$15=1,INDEX(Vol_O,19,AC$14)/12*(1+P_dVol),0)</f>
        <v>0</v>
      </c>
      <c r="AD39" s="48" t="n">
        <f aca="false">IF(AD$15=1,INDEX(Vol_O,19,AD$14)/12*(1+P_dVol),0)</f>
        <v>0</v>
      </c>
      <c r="AE39" s="48" t="n">
        <f aca="false">IF(AE$15=1,INDEX(Vol_O,19,AE$14)/12*(1+P_dVol),0)</f>
        <v>0</v>
      </c>
      <c r="AF39" s="48" t="n">
        <f aca="false">IF(AF$15=1,INDEX(Vol_O,19,AF$14)/12*(1+P_dVol),0)</f>
        <v>0</v>
      </c>
      <c r="AG39" s="48" t="n">
        <f aca="false">IF(AG$15=1,INDEX(Vol_O,19,AG$14)/12*(1+P_dVol),0)</f>
        <v>0</v>
      </c>
      <c r="AH39" s="48" t="n">
        <f aca="false">IF(AH$15=1,INDEX(Vol_O,19,AH$14)/12*(1+P_dVol),0)</f>
        <v>0</v>
      </c>
      <c r="AI39" s="48" t="n">
        <f aca="false">IF(AI$15=1,INDEX(Vol_O,19,AI$14)/12*(1+P_dVol),0)</f>
        <v>0</v>
      </c>
      <c r="AJ39" s="48" t="n">
        <f aca="false">IF(AJ$15=1,INDEX(Vol_O,19,AJ$14)/12*(1+P_dVol),0)</f>
        <v>0</v>
      </c>
      <c r="AK39" s="48" t="n">
        <f aca="false">IF(AK$15=1,INDEX(Vol_O,19,AK$14)/12*(1+P_dVol),0)</f>
        <v>0</v>
      </c>
      <c r="AL39" s="48" t="n">
        <f aca="false">IF(AL$15=1,INDEX(Vol_O,19,AL$14)/12*(1+P_dVol),0)</f>
        <v>0</v>
      </c>
      <c r="AM39" s="48" t="n">
        <f aca="false">IF(AM$15=1,INDEX(Vol_O,19,AM$14)/12*(1+P_dVol),0)</f>
        <v>0</v>
      </c>
      <c r="AN39" s="48" t="n">
        <f aca="false">IF(AN$15=1,INDEX(Vol_O,19,AN$14)/12*(1+P_dVol),0)</f>
        <v>0</v>
      </c>
      <c r="AO39" s="48" t="n">
        <f aca="false">IF(AO$15=1,INDEX(Vol_O,19,AO$14)/12*(1+P_dVol),0)</f>
        <v>0</v>
      </c>
      <c r="AP39" s="48" t="n">
        <f aca="false">IF(AP$15=1,INDEX(Vol_O,19,AP$14)/12*(1+P_dVol),0)</f>
        <v>0</v>
      </c>
      <c r="AQ39" s="48" t="n">
        <f aca="false">IF(AQ$15=1,INDEX(Vol_O,19,AQ$14)/12*(1+P_dVol),0)</f>
        <v>0</v>
      </c>
      <c r="AR39" s="48" t="n">
        <f aca="false">IF(AR$15=1,INDEX(Vol_O,19,AR$14)/12*(1+P_dVol),0)</f>
        <v>0</v>
      </c>
      <c r="AS39" s="48" t="n">
        <f aca="false">IF(AS$15=1,INDEX(Vol_O,19,AS$14)/12*(1+P_dVol),0)</f>
        <v>0</v>
      </c>
      <c r="AT39" s="48" t="n">
        <f aca="false">IF(AT$15=1,INDEX(Vol_O,19,AT$14)/12*(1+P_dVol),0)</f>
        <v>0</v>
      </c>
      <c r="AU39" s="48" t="n">
        <f aca="false">IF(AU$15=1,INDEX(Vol_O,19,AU$14)/12*(1+P_dVol),0)</f>
        <v>0</v>
      </c>
      <c r="AV39" s="48" t="n">
        <f aca="false">IF(AV$15=1,INDEX(Vol_O,19,AV$14)/12*(1+P_dVol),0)</f>
        <v>0</v>
      </c>
      <c r="AW39" s="48" t="n">
        <f aca="false">IF(AW$15=1,INDEX(Vol_O,19,AW$14)/12*(1+P_dVol),0)</f>
        <v>0</v>
      </c>
      <c r="AX39" s="48" t="n">
        <f aca="false">IF(AX$15=1,INDEX(Vol_O,19,AX$14)/12*(1+P_dVol),0)</f>
        <v>0</v>
      </c>
      <c r="AY39" s="48" t="n">
        <f aca="false">IF(AY$15=1,INDEX(Vol_O,19,AY$14)/12*(1+P_dVol),0)</f>
        <v>0</v>
      </c>
      <c r="AZ39" s="48" t="n">
        <f aca="false">IF(AZ$15=1,INDEX(Vol_O,19,AZ$14)/12*(1+P_dVol),0)</f>
        <v>0</v>
      </c>
      <c r="BA39" s="48" t="n">
        <f aca="false">IF(BA$15=1,INDEX(Vol_O,19,BA$14)/12*(1+P_dVol),0)</f>
        <v>0</v>
      </c>
      <c r="BB39" s="48" t="n">
        <f aca="false">IF(BB$15=1,INDEX(Vol_O,19,BB$14)/12*(1+P_dVol),0)</f>
        <v>0</v>
      </c>
      <c r="BC39" s="48" t="n">
        <f aca="false">IF(BC$15=1,INDEX(Vol_O,19,BC$14)/12*(1+P_dVol),0)</f>
        <v>0</v>
      </c>
      <c r="BD39" s="48" t="n">
        <f aca="false">IF(BD$15=1,INDEX(Vol_O,19,BD$14)/12*(1+P_dVol),0)</f>
        <v>0</v>
      </c>
      <c r="BE39" s="48" t="n">
        <f aca="false">IF(BE$15=1,INDEX(Vol_O,19,BE$14)/12*(1+P_dVol),0)</f>
        <v>0</v>
      </c>
      <c r="BF39" s="48" t="n">
        <f aca="false">IF(BF$15=1,INDEX(Vol_O,19,BF$14)/12*(1+P_dVol),0)</f>
        <v>0</v>
      </c>
      <c r="BG39" s="48" t="n">
        <f aca="false">IF(BG$15=1,INDEX(Vol_O,19,BG$14)/12*(1+P_dVol),0)</f>
        <v>0</v>
      </c>
      <c r="BH39" s="48" t="n">
        <f aca="false">IF(BH$15=1,INDEX(Vol_O,19,BH$14)/12*(1+P_dVol),0)</f>
        <v>0</v>
      </c>
      <c r="BI39" s="48" t="n">
        <f aca="false">IF(BI$15=1,INDEX(Vol_O,19,BI$14)/12*(1+P_dVol),0)</f>
        <v>0</v>
      </c>
      <c r="BJ39" s="48" t="n">
        <f aca="false">IF(BJ$15=1,INDEX(Vol_O,19,BJ$14)/12*(1+P_dVol),0)</f>
        <v>0</v>
      </c>
      <c r="BK39" s="48" t="n">
        <f aca="false">IF(BK$15=1,INDEX(Vol_O,19,BK$14)/12*(1+P_dVol),0)</f>
        <v>0</v>
      </c>
      <c r="BL39" s="48" t="n">
        <f aca="false">IF(BL$15=1,INDEX(Vol_O,19,BL$14)/12*(1+P_dVol),0)</f>
        <v>0</v>
      </c>
      <c r="BM39" s="48" t="n">
        <f aca="false">IF(BM$15=1,INDEX(Vol_O,19,BM$14)/12*(1+P_dVol),0)</f>
        <v>0</v>
      </c>
      <c r="BN39" s="48" t="n">
        <f aca="false">IF(BN$15=1,INDEX(Vol_O,19,BN$14)/12*(1+P_dVol),0)</f>
        <v>0</v>
      </c>
      <c r="BO39" s="48" t="n">
        <f aca="false">IF(BO$15=1,INDEX(Vol_O,19,BO$14)/12*(1+P_dVol),0)</f>
        <v>0</v>
      </c>
      <c r="BP39" s="48" t="n">
        <f aca="false">IF(BP$15=1,INDEX(Vol_O,19,BP$14)/12*(1+P_dVol),0)</f>
        <v>0</v>
      </c>
      <c r="BQ39" s="48" t="n">
        <f aca="false">IF(BQ$15=1,INDEX(Vol_O,19,BQ$14)/12*(1+P_dVol),0)</f>
        <v>0</v>
      </c>
      <c r="BR39" s="48" t="n">
        <f aca="false">IF(BR$15=1,INDEX(Vol_O,19,BR$14)/12*(1+P_dVol),0)</f>
        <v>0</v>
      </c>
      <c r="BS39" s="48" t="n">
        <f aca="false">IF(BS$15=1,INDEX(Vol_O,19,BS$14)/12*(1+P_dVol),0)</f>
        <v>0</v>
      </c>
      <c r="BT39" s="48" t="n">
        <f aca="false">IF(BT$15=1,INDEX(Vol_O,19,BT$14)/12*(1+P_dVol),0)</f>
        <v>0</v>
      </c>
      <c r="BU39" s="48" t="n">
        <f aca="false">IF(BU$15=1,INDEX(Vol_O,19,BU$14)/12*(1+P_dVol),0)</f>
        <v>0</v>
      </c>
      <c r="BV39" s="48" t="n">
        <f aca="false">IF(BV$15=1,INDEX(Vol_O,19,BV$14)/12*(1+P_dVol),0)</f>
        <v>0</v>
      </c>
      <c r="BW39" s="48" t="n">
        <f aca="false">IF(BW$15=1,INDEX(Vol_O,19,BW$14)/12*(1+P_dVol),0)</f>
        <v>0</v>
      </c>
      <c r="BX39" s="48" t="n">
        <f aca="false">IF(BX$15=1,INDEX(Vol_O,19,BX$14)/12*(1+P_dVol),0)</f>
        <v>0</v>
      </c>
      <c r="BY39" s="48" t="n">
        <f aca="false">IF(BY$15=1,INDEX(Vol_O,19,BY$14)/12*(1+P_dVol),0)</f>
        <v>0</v>
      </c>
      <c r="BZ39" s="48" t="n">
        <f aca="false">IF(BZ$15=1,INDEX(Vol_O,19,BZ$14)/12*(1+P_dVol),0)</f>
        <v>0</v>
      </c>
      <c r="CA39" s="48" t="n">
        <f aca="false">IF(CA$15=1,INDEX(Vol_O,19,CA$14)/12*(1+P_dVol),0)</f>
        <v>0</v>
      </c>
      <c r="CB39" s="48" t="n">
        <f aca="false">IF(CB$15=1,INDEX(Vol_O,19,CB$14)/12*(1+P_dVol),0)</f>
        <v>0</v>
      </c>
      <c r="CC39" s="48" t="n">
        <f aca="false">IF(CC$15=1,INDEX(Vol_O,19,CC$14)/12*(1+P_dVol),0)</f>
        <v>0</v>
      </c>
      <c r="CD39" s="48" t="n">
        <f aca="false">IF(CD$15=1,INDEX(Vol_O,19,CD$14)/12*(1+P_dVol),0)</f>
        <v>0</v>
      </c>
      <c r="CE39" s="48" t="n">
        <f aca="false">IF(CE$15=1,INDEX(Vol_O,19,CE$14)/12*(1+P_dVol),0)</f>
        <v>0</v>
      </c>
      <c r="CF39" s="48" t="n">
        <f aca="false">IF(CF$15=1,INDEX(Vol_O,19,CF$14)/12*(1+P_dVol),0)</f>
        <v>0</v>
      </c>
      <c r="CG39" s="48" t="n">
        <f aca="false">IF(CG$15=1,INDEX(Vol_O,19,CG$14)/12*(1+P_dVol),0)</f>
        <v>0</v>
      </c>
      <c r="CH39" s="48" t="n">
        <f aca="false">IF(CH$15=1,INDEX(Vol_O,19,CH$14)/12*(1+P_dVol),0)</f>
        <v>0</v>
      </c>
      <c r="CI39" s="48" t="n">
        <f aca="false">IF(CI$15=1,INDEX(Vol_O,19,CI$14)/12*(1+P_dVol),0)</f>
        <v>0</v>
      </c>
      <c r="CJ39" s="48" t="n">
        <f aca="false">IF(CJ$15=1,INDEX(Vol_O,19,CJ$14)/12*(1+P_dVol),0)</f>
        <v>0</v>
      </c>
      <c r="CK39" s="48" t="n">
        <f aca="false">IF(CK$15=1,INDEX(Vol_O,19,CK$14)/12*(1+P_dVol),0)</f>
        <v>0</v>
      </c>
      <c r="CL39" s="48" t="n">
        <f aca="false">IF(CL$15=1,INDEX(Vol_O,19,CL$14)/12*(1+P_dVol),0)</f>
        <v>0</v>
      </c>
      <c r="CM39" s="48" t="n">
        <f aca="false">IF(CM$15=1,INDEX(Vol_O,19,CM$14)/12*(1+P_dVol),0)</f>
        <v>0</v>
      </c>
      <c r="CN39" s="48" t="n">
        <f aca="false">IF(CN$15=1,INDEX(Vol_O,19,CN$14)/12*(1+P_dVol),0)</f>
        <v>0</v>
      </c>
      <c r="CO39" s="48" t="n">
        <f aca="false">IF(CO$15=1,INDEX(Vol_O,19,CO$14)/12*(1+P_dVol),0)</f>
        <v>0</v>
      </c>
      <c r="CP39" s="48" t="n">
        <f aca="false">IF(CP$15=1,INDEX(Vol_O,19,CP$14)/12*(1+P_dVol),0)</f>
        <v>0</v>
      </c>
      <c r="CQ39" s="48" t="n">
        <f aca="false">IF(CQ$15=1,INDEX(Vol_O,19,CQ$14)/12*(1+P_dVol),0)</f>
        <v>0</v>
      </c>
      <c r="CR39" s="48" t="n">
        <f aca="false">IF(CR$15=1,INDEX(Vol_O,19,CR$14)/12*(1+P_dVol),0)</f>
        <v>0</v>
      </c>
      <c r="CS39" s="48" t="n">
        <f aca="false">IF(CS$15=1,INDEX(Vol_O,19,CS$14)/12*(1+P_dVol),0)</f>
        <v>0</v>
      </c>
      <c r="CT39" s="48" t="n">
        <f aca="false">IF(CT$15=1,INDEX(Vol_O,19,CT$14)/12*(1+P_dVol),0)</f>
        <v>0</v>
      </c>
      <c r="CU39" s="48" t="n">
        <f aca="false">IF(CU$15=1,INDEX(Vol_O,19,CU$14)/12*(1+P_dVol),0)</f>
        <v>0</v>
      </c>
      <c r="CV39" s="48" t="n">
        <f aca="false">IF(CV$15=1,INDEX(Vol_O,19,CV$14)/12*(1+P_dVol),0)</f>
        <v>0</v>
      </c>
      <c r="CW39" s="48" t="n">
        <f aca="false">IF(CW$15=1,INDEX(Vol_O,19,CW$14)/12*(1+P_dVol),0)</f>
        <v>0</v>
      </c>
      <c r="CX39" s="48" t="n">
        <f aca="false">IF(CX$15=1,INDEX(Vol_O,19,CX$14)/12*(1+P_dVol),0)</f>
        <v>0</v>
      </c>
      <c r="CY39" s="48" t="n">
        <f aca="false">IF(CY$15=1,INDEX(Vol_O,19,CY$14)/12*(1+P_dVol),0)</f>
        <v>0</v>
      </c>
      <c r="CZ39" s="48" t="n">
        <f aca="false">IF(CZ$15=1,INDEX(Vol_O,19,CZ$14)/12*(1+P_dVol),0)</f>
        <v>0</v>
      </c>
      <c r="DA39" s="48" t="n">
        <f aca="false">IF(DA$15=1,INDEX(Vol_O,19,DA$14)/12*(1+P_dVol),0)</f>
        <v>0</v>
      </c>
      <c r="DB39" s="48" t="n">
        <f aca="false">IF(DB$15=1,INDEX(Vol_O,19,DB$14)/12*(1+P_dVol),0)</f>
        <v>0</v>
      </c>
      <c r="DC39" s="48" t="n">
        <f aca="false">IF(DC$15=1,INDEX(Vol_O,19,DC$14)/12*(1+P_dVol),0)</f>
        <v>0</v>
      </c>
      <c r="DD39" s="48" t="n">
        <f aca="false">IF(DD$15=1,INDEX(Vol_O,19,DD$14)/12*(1+P_dVol),0)</f>
        <v>0</v>
      </c>
      <c r="DE39" s="48" t="n">
        <f aca="false">IF(DE$15=1,INDEX(Vol_O,19,DE$14)/12*(1+P_dVol),0)</f>
        <v>0</v>
      </c>
      <c r="DF39" s="48" t="n">
        <f aca="false">IF(DF$15=1,INDEX(Vol_O,19,DF$14)/12*(1+P_dVol),0)</f>
        <v>0</v>
      </c>
      <c r="DG39" s="48" t="n">
        <f aca="false">IF(DG$15=1,INDEX(Vol_O,19,DG$14)/12*(1+P_dVol),0)</f>
        <v>0</v>
      </c>
      <c r="DH39" s="48" t="n">
        <f aca="false">IF(DH$15=1,INDEX(Vol_O,19,DH$14)/12*(1+P_dVol),0)</f>
        <v>0</v>
      </c>
      <c r="DI39" s="48" t="n">
        <f aca="false">IF(DI$15=1,INDEX(Vol_O,19,DI$14)/12*(1+P_dVol),0)</f>
        <v>0</v>
      </c>
      <c r="DJ39" s="48" t="n">
        <f aca="false">IF(DJ$15=1,INDEX(Vol_O,19,DJ$14)/12*(1+P_dVol),0)</f>
        <v>0</v>
      </c>
      <c r="DK39" s="48" t="n">
        <f aca="false">IF(DK$15=1,INDEX(Vol_O,19,DK$14)/12*(1+P_dVol),0)</f>
        <v>0</v>
      </c>
      <c r="DL39" s="48" t="n">
        <f aca="false">IF(DL$15=1,INDEX(Vol_O,19,DL$14)/12*(1+P_dVol),0)</f>
        <v>0</v>
      </c>
      <c r="DM39" s="48" t="n">
        <f aca="false">IF(DM$15=1,INDEX(Vol_O,19,DM$14)/12*(1+P_dVol),0)</f>
        <v>0</v>
      </c>
      <c r="DN39" s="48" t="n">
        <f aca="false">IF(DN$15=1,INDEX(Vol_O,19,DN$14)/12*(1+P_dVol),0)</f>
        <v>0</v>
      </c>
      <c r="DO39" s="48" t="n">
        <f aca="false">IF(DO$15=1,INDEX(Vol_O,19,DO$14)/12*(1+P_dVol),0)</f>
        <v>0</v>
      </c>
      <c r="DP39" s="48" t="n">
        <f aca="false">IF(DP$15=1,INDEX(Vol_O,19,DP$14)/12*(1+P_dVol),0)</f>
        <v>0</v>
      </c>
      <c r="DQ39" s="48" t="n">
        <f aca="false">IF(DQ$15=1,INDEX(Vol_O,19,DQ$14)/12*(1+P_dVol),0)</f>
        <v>0</v>
      </c>
      <c r="DR39" s="48" t="n">
        <f aca="false">IF(DR$15=1,INDEX(Vol_O,19,DR$14)/12*(1+P_dVol),0)</f>
        <v>0</v>
      </c>
      <c r="DS39" s="48" t="n">
        <f aca="false">IF(DS$15=1,INDEX(Vol_O,19,DS$14)/12*(1+P_dVol),0)</f>
        <v>0</v>
      </c>
      <c r="DT39" s="48" t="n">
        <f aca="false">IF(DT$15=1,INDEX(Vol_O,19,DT$14)/12*(1+P_dVol),0)</f>
        <v>0</v>
      </c>
      <c r="DU39" s="48" t="n">
        <f aca="false">IF(DU$15=1,INDEX(Vol_O,19,DU$14)/12*(1+P_dVol),0)</f>
        <v>0</v>
      </c>
      <c r="DV39" s="48" t="n">
        <f aca="false">IF(DV$15=1,INDEX(Vol_O,19,DV$14)/12*(1+P_dVol),0)</f>
        <v>0</v>
      </c>
      <c r="DW39" s="48" t="n">
        <f aca="false">IF(DW$15=1,INDEX(Vol_O,19,DW$14)/12*(1+P_dVol),0)</f>
        <v>0</v>
      </c>
      <c r="DX39" s="48" t="n">
        <f aca="false">IF(DX$15=1,INDEX(Vol_O,19,DX$14)/12*(1+P_dVol),0)</f>
        <v>0</v>
      </c>
      <c r="DY39" s="48" t="n">
        <f aca="false">IF(DY$15=1,INDEX(Vol_O,19,DY$14)/12*(1+P_dVol),0)</f>
        <v>0</v>
      </c>
      <c r="DZ39" s="48" t="n">
        <f aca="false">IF(DZ$15=1,INDEX(Vol_O,19,DZ$14)/12*(1+P_dVol),0)</f>
        <v>0</v>
      </c>
      <c r="EA39" s="48" t="n">
        <f aca="false">IF(EA$15=1,INDEX(Vol_O,19,EA$14)/12*(1+P_dVol),0)</f>
        <v>0</v>
      </c>
      <c r="EB39" s="48" t="n">
        <f aca="false">IF(EB$15=1,INDEX(Vol_O,19,EB$14)/12*(1+P_dVol),0)</f>
        <v>0</v>
      </c>
      <c r="EC39" s="48" t="n">
        <f aca="false">IF(EC$15=1,INDEX(Vol_O,19,EC$14)/12*(1+P_dVol),0)</f>
        <v>0</v>
      </c>
      <c r="ED39" s="48" t="n">
        <f aca="false">IF(ED$15=1,INDEX(Vol_O,19,ED$14)/12*(1+P_dVol),0)</f>
        <v>0</v>
      </c>
      <c r="EE39" s="48" t="n">
        <f aca="false">IF(EE$15=1,INDEX(Vol_O,19,EE$14)/12*(1+P_dVol),0)</f>
        <v>0</v>
      </c>
      <c r="EF39" s="48" t="n">
        <f aca="false">IF(EF$15=1,INDEX(Vol_O,19,EF$14)/12*(1+P_dVol),0)</f>
        <v>0</v>
      </c>
      <c r="EG39" s="48" t="n">
        <f aca="false">IF(EG$15=1,INDEX(Vol_O,19,EG$14)/12*(1+P_dVol),0)</f>
        <v>0</v>
      </c>
      <c r="EH39" s="48" t="n">
        <f aca="false">IF(EH$15=1,INDEX(Vol_O,19,EH$14)/12*(1+P_dVol),0)</f>
        <v>0</v>
      </c>
      <c r="EI39" s="48" t="n">
        <f aca="false">IF(EI$15=1,INDEX(Vol_O,19,EI$14)/12*(1+P_dVol),0)</f>
        <v>0</v>
      </c>
      <c r="EJ39" s="48" t="n">
        <f aca="false">IF(EJ$15=1,INDEX(Vol_O,19,EJ$14)/12*(1+P_dVol),0)</f>
        <v>0</v>
      </c>
      <c r="EK39" s="48" t="n">
        <f aca="false">IF(EK$15=1,INDEX(Vol_O,19,EK$14)/12*(1+P_dVol),0)</f>
        <v>0</v>
      </c>
      <c r="EL39" s="48" t="n">
        <f aca="false">IF(EL$15=1,INDEX(Vol_O,19,EL$14)/12*(1+P_dVol),0)</f>
        <v>0</v>
      </c>
      <c r="EM39" s="48" t="n">
        <f aca="false">IF(EM$15=1,INDEX(Vol_O,19,EM$14)/12*(1+P_dVol),0)</f>
        <v>0</v>
      </c>
      <c r="EN39" s="48" t="n">
        <f aca="false">IF(EN$15=1,INDEX(Vol_O,19,EN$14)/12*(1+P_dVol),0)</f>
        <v>0</v>
      </c>
      <c r="EO39" s="48" t="n">
        <f aca="false">IF(EO$15=1,INDEX(Vol_O,19,EO$14)/12*(1+P_dVol),0)</f>
        <v>0</v>
      </c>
      <c r="EP39" s="48" t="n">
        <f aca="false">IF(EP$15=1,INDEX(Vol_O,19,EP$14)/12*(1+P_dVol),0)</f>
        <v>0</v>
      </c>
      <c r="EQ39" s="48" t="n">
        <f aca="false">IF(EQ$15=1,INDEX(Vol_O,19,EQ$14)/12*(1+P_dVol),0)</f>
        <v>0</v>
      </c>
      <c r="ER39" s="48" t="n">
        <f aca="false">IF(ER$15=1,INDEX(Vol_O,19,ER$14)/12*(1+P_dVol),0)</f>
        <v>0</v>
      </c>
      <c r="ES39" s="48" t="n">
        <f aca="false">IF(ES$15=1,INDEX(Vol_O,19,ES$14)/12*(1+P_dVol),0)</f>
        <v>0</v>
      </c>
    </row>
    <row r="40" customFormat="false" ht="15" hidden="false" customHeight="false" outlineLevel="0" collapsed="false">
      <c r="A40" s="11" t="s">
        <v>1085</v>
      </c>
      <c r="B40" s="53" t="str">
        <f aca="false">IF(INDEX(Prod_Nombre,20)="","Producto 20",INDEX(Prod_Nombre,20))&amp;" — unidades"</f>
        <v>Producto 20 — unidades</v>
      </c>
      <c r="C40" s="15" t="s">
        <v>544</v>
      </c>
      <c r="E40" s="54" t="n">
        <f aca="false">SUM(F40:ES40)</f>
        <v>0</v>
      </c>
      <c r="F40" s="48" t="n">
        <f aca="false">IF(F$15=1,INDEX(Vol_O,20,F$14)/12*(1+P_dVol),0)</f>
        <v>0</v>
      </c>
      <c r="G40" s="48" t="n">
        <f aca="false">IF(G$15=1,INDEX(Vol_O,20,G$14)/12*(1+P_dVol),0)</f>
        <v>0</v>
      </c>
      <c r="H40" s="48" t="n">
        <f aca="false">IF(H$15=1,INDEX(Vol_O,20,H$14)/12*(1+P_dVol),0)</f>
        <v>0</v>
      </c>
      <c r="I40" s="48" t="n">
        <f aca="false">IF(I$15=1,INDEX(Vol_O,20,I$14)/12*(1+P_dVol),0)</f>
        <v>0</v>
      </c>
      <c r="J40" s="48" t="n">
        <f aca="false">IF(J$15=1,INDEX(Vol_O,20,J$14)/12*(1+P_dVol),0)</f>
        <v>0</v>
      </c>
      <c r="K40" s="48" t="n">
        <f aca="false">IF(K$15=1,INDEX(Vol_O,20,K$14)/12*(1+P_dVol),0)</f>
        <v>0</v>
      </c>
      <c r="L40" s="48" t="n">
        <f aca="false">IF(L$15=1,INDEX(Vol_O,20,L$14)/12*(1+P_dVol),0)</f>
        <v>0</v>
      </c>
      <c r="M40" s="48" t="n">
        <f aca="false">IF(M$15=1,INDEX(Vol_O,20,M$14)/12*(1+P_dVol),0)</f>
        <v>0</v>
      </c>
      <c r="N40" s="48" t="n">
        <f aca="false">IF(N$15=1,INDEX(Vol_O,20,N$14)/12*(1+P_dVol),0)</f>
        <v>0</v>
      </c>
      <c r="O40" s="48" t="n">
        <f aca="false">IF(O$15=1,INDEX(Vol_O,20,O$14)/12*(1+P_dVol),0)</f>
        <v>0</v>
      </c>
      <c r="P40" s="48" t="n">
        <f aca="false">IF(P$15=1,INDEX(Vol_O,20,P$14)/12*(1+P_dVol),0)</f>
        <v>0</v>
      </c>
      <c r="Q40" s="48" t="n">
        <f aca="false">IF(Q$15=1,INDEX(Vol_O,20,Q$14)/12*(1+P_dVol),0)</f>
        <v>0</v>
      </c>
      <c r="R40" s="48" t="n">
        <f aca="false">IF(R$15=1,INDEX(Vol_O,20,R$14)/12*(1+P_dVol),0)</f>
        <v>0</v>
      </c>
      <c r="S40" s="48" t="n">
        <f aca="false">IF(S$15=1,INDEX(Vol_O,20,S$14)/12*(1+P_dVol),0)</f>
        <v>0</v>
      </c>
      <c r="T40" s="48" t="n">
        <f aca="false">IF(T$15=1,INDEX(Vol_O,20,T$14)/12*(1+P_dVol),0)</f>
        <v>0</v>
      </c>
      <c r="U40" s="48" t="n">
        <f aca="false">IF(U$15=1,INDEX(Vol_O,20,U$14)/12*(1+P_dVol),0)</f>
        <v>0</v>
      </c>
      <c r="V40" s="48" t="n">
        <f aca="false">IF(V$15=1,INDEX(Vol_O,20,V$14)/12*(1+P_dVol),0)</f>
        <v>0</v>
      </c>
      <c r="W40" s="48" t="n">
        <f aca="false">IF(W$15=1,INDEX(Vol_O,20,W$14)/12*(1+P_dVol),0)</f>
        <v>0</v>
      </c>
      <c r="X40" s="48" t="n">
        <f aca="false">IF(X$15=1,INDEX(Vol_O,20,X$14)/12*(1+P_dVol),0)</f>
        <v>0</v>
      </c>
      <c r="Y40" s="48" t="n">
        <f aca="false">IF(Y$15=1,INDEX(Vol_O,20,Y$14)/12*(1+P_dVol),0)</f>
        <v>0</v>
      </c>
      <c r="Z40" s="48" t="n">
        <f aca="false">IF(Z$15=1,INDEX(Vol_O,20,Z$14)/12*(1+P_dVol),0)</f>
        <v>0</v>
      </c>
      <c r="AA40" s="48" t="n">
        <f aca="false">IF(AA$15=1,INDEX(Vol_O,20,AA$14)/12*(1+P_dVol),0)</f>
        <v>0</v>
      </c>
      <c r="AB40" s="48" t="n">
        <f aca="false">IF(AB$15=1,INDEX(Vol_O,20,AB$14)/12*(1+P_dVol),0)</f>
        <v>0</v>
      </c>
      <c r="AC40" s="48" t="n">
        <f aca="false">IF(AC$15=1,INDEX(Vol_O,20,AC$14)/12*(1+P_dVol),0)</f>
        <v>0</v>
      </c>
      <c r="AD40" s="48" t="n">
        <f aca="false">IF(AD$15=1,INDEX(Vol_O,20,AD$14)/12*(1+P_dVol),0)</f>
        <v>0</v>
      </c>
      <c r="AE40" s="48" t="n">
        <f aca="false">IF(AE$15=1,INDEX(Vol_O,20,AE$14)/12*(1+P_dVol),0)</f>
        <v>0</v>
      </c>
      <c r="AF40" s="48" t="n">
        <f aca="false">IF(AF$15=1,INDEX(Vol_O,20,AF$14)/12*(1+P_dVol),0)</f>
        <v>0</v>
      </c>
      <c r="AG40" s="48" t="n">
        <f aca="false">IF(AG$15=1,INDEX(Vol_O,20,AG$14)/12*(1+P_dVol),0)</f>
        <v>0</v>
      </c>
      <c r="AH40" s="48" t="n">
        <f aca="false">IF(AH$15=1,INDEX(Vol_O,20,AH$14)/12*(1+P_dVol),0)</f>
        <v>0</v>
      </c>
      <c r="AI40" s="48" t="n">
        <f aca="false">IF(AI$15=1,INDEX(Vol_O,20,AI$14)/12*(1+P_dVol),0)</f>
        <v>0</v>
      </c>
      <c r="AJ40" s="48" t="n">
        <f aca="false">IF(AJ$15=1,INDEX(Vol_O,20,AJ$14)/12*(1+P_dVol),0)</f>
        <v>0</v>
      </c>
      <c r="AK40" s="48" t="n">
        <f aca="false">IF(AK$15=1,INDEX(Vol_O,20,AK$14)/12*(1+P_dVol),0)</f>
        <v>0</v>
      </c>
      <c r="AL40" s="48" t="n">
        <f aca="false">IF(AL$15=1,INDEX(Vol_O,20,AL$14)/12*(1+P_dVol),0)</f>
        <v>0</v>
      </c>
      <c r="AM40" s="48" t="n">
        <f aca="false">IF(AM$15=1,INDEX(Vol_O,20,AM$14)/12*(1+P_dVol),0)</f>
        <v>0</v>
      </c>
      <c r="AN40" s="48" t="n">
        <f aca="false">IF(AN$15=1,INDEX(Vol_O,20,AN$14)/12*(1+P_dVol),0)</f>
        <v>0</v>
      </c>
      <c r="AO40" s="48" t="n">
        <f aca="false">IF(AO$15=1,INDEX(Vol_O,20,AO$14)/12*(1+P_dVol),0)</f>
        <v>0</v>
      </c>
      <c r="AP40" s="48" t="n">
        <f aca="false">IF(AP$15=1,INDEX(Vol_O,20,AP$14)/12*(1+P_dVol),0)</f>
        <v>0</v>
      </c>
      <c r="AQ40" s="48" t="n">
        <f aca="false">IF(AQ$15=1,INDEX(Vol_O,20,AQ$14)/12*(1+P_dVol),0)</f>
        <v>0</v>
      </c>
      <c r="AR40" s="48" t="n">
        <f aca="false">IF(AR$15=1,INDEX(Vol_O,20,AR$14)/12*(1+P_dVol),0)</f>
        <v>0</v>
      </c>
      <c r="AS40" s="48" t="n">
        <f aca="false">IF(AS$15=1,INDEX(Vol_O,20,AS$14)/12*(1+P_dVol),0)</f>
        <v>0</v>
      </c>
      <c r="AT40" s="48" t="n">
        <f aca="false">IF(AT$15=1,INDEX(Vol_O,20,AT$14)/12*(1+P_dVol),0)</f>
        <v>0</v>
      </c>
      <c r="AU40" s="48" t="n">
        <f aca="false">IF(AU$15=1,INDEX(Vol_O,20,AU$14)/12*(1+P_dVol),0)</f>
        <v>0</v>
      </c>
      <c r="AV40" s="48" t="n">
        <f aca="false">IF(AV$15=1,INDEX(Vol_O,20,AV$14)/12*(1+P_dVol),0)</f>
        <v>0</v>
      </c>
      <c r="AW40" s="48" t="n">
        <f aca="false">IF(AW$15=1,INDEX(Vol_O,20,AW$14)/12*(1+P_dVol),0)</f>
        <v>0</v>
      </c>
      <c r="AX40" s="48" t="n">
        <f aca="false">IF(AX$15=1,INDEX(Vol_O,20,AX$14)/12*(1+P_dVol),0)</f>
        <v>0</v>
      </c>
      <c r="AY40" s="48" t="n">
        <f aca="false">IF(AY$15=1,INDEX(Vol_O,20,AY$14)/12*(1+P_dVol),0)</f>
        <v>0</v>
      </c>
      <c r="AZ40" s="48" t="n">
        <f aca="false">IF(AZ$15=1,INDEX(Vol_O,20,AZ$14)/12*(1+P_dVol),0)</f>
        <v>0</v>
      </c>
      <c r="BA40" s="48" t="n">
        <f aca="false">IF(BA$15=1,INDEX(Vol_O,20,BA$14)/12*(1+P_dVol),0)</f>
        <v>0</v>
      </c>
      <c r="BB40" s="48" t="n">
        <f aca="false">IF(BB$15=1,INDEX(Vol_O,20,BB$14)/12*(1+P_dVol),0)</f>
        <v>0</v>
      </c>
      <c r="BC40" s="48" t="n">
        <f aca="false">IF(BC$15=1,INDEX(Vol_O,20,BC$14)/12*(1+P_dVol),0)</f>
        <v>0</v>
      </c>
      <c r="BD40" s="48" t="n">
        <f aca="false">IF(BD$15=1,INDEX(Vol_O,20,BD$14)/12*(1+P_dVol),0)</f>
        <v>0</v>
      </c>
      <c r="BE40" s="48" t="n">
        <f aca="false">IF(BE$15=1,INDEX(Vol_O,20,BE$14)/12*(1+P_dVol),0)</f>
        <v>0</v>
      </c>
      <c r="BF40" s="48" t="n">
        <f aca="false">IF(BF$15=1,INDEX(Vol_O,20,BF$14)/12*(1+P_dVol),0)</f>
        <v>0</v>
      </c>
      <c r="BG40" s="48" t="n">
        <f aca="false">IF(BG$15=1,INDEX(Vol_O,20,BG$14)/12*(1+P_dVol),0)</f>
        <v>0</v>
      </c>
      <c r="BH40" s="48" t="n">
        <f aca="false">IF(BH$15=1,INDEX(Vol_O,20,BH$14)/12*(1+P_dVol),0)</f>
        <v>0</v>
      </c>
      <c r="BI40" s="48" t="n">
        <f aca="false">IF(BI$15=1,INDEX(Vol_O,20,BI$14)/12*(1+P_dVol),0)</f>
        <v>0</v>
      </c>
      <c r="BJ40" s="48" t="n">
        <f aca="false">IF(BJ$15=1,INDEX(Vol_O,20,BJ$14)/12*(1+P_dVol),0)</f>
        <v>0</v>
      </c>
      <c r="BK40" s="48" t="n">
        <f aca="false">IF(BK$15=1,INDEX(Vol_O,20,BK$14)/12*(1+P_dVol),0)</f>
        <v>0</v>
      </c>
      <c r="BL40" s="48" t="n">
        <f aca="false">IF(BL$15=1,INDEX(Vol_O,20,BL$14)/12*(1+P_dVol),0)</f>
        <v>0</v>
      </c>
      <c r="BM40" s="48" t="n">
        <f aca="false">IF(BM$15=1,INDEX(Vol_O,20,BM$14)/12*(1+P_dVol),0)</f>
        <v>0</v>
      </c>
      <c r="BN40" s="48" t="n">
        <f aca="false">IF(BN$15=1,INDEX(Vol_O,20,BN$14)/12*(1+P_dVol),0)</f>
        <v>0</v>
      </c>
      <c r="BO40" s="48" t="n">
        <f aca="false">IF(BO$15=1,INDEX(Vol_O,20,BO$14)/12*(1+P_dVol),0)</f>
        <v>0</v>
      </c>
      <c r="BP40" s="48" t="n">
        <f aca="false">IF(BP$15=1,INDEX(Vol_O,20,BP$14)/12*(1+P_dVol),0)</f>
        <v>0</v>
      </c>
      <c r="BQ40" s="48" t="n">
        <f aca="false">IF(BQ$15=1,INDEX(Vol_O,20,BQ$14)/12*(1+P_dVol),0)</f>
        <v>0</v>
      </c>
      <c r="BR40" s="48" t="n">
        <f aca="false">IF(BR$15=1,INDEX(Vol_O,20,BR$14)/12*(1+P_dVol),0)</f>
        <v>0</v>
      </c>
      <c r="BS40" s="48" t="n">
        <f aca="false">IF(BS$15=1,INDEX(Vol_O,20,BS$14)/12*(1+P_dVol),0)</f>
        <v>0</v>
      </c>
      <c r="BT40" s="48" t="n">
        <f aca="false">IF(BT$15=1,INDEX(Vol_O,20,BT$14)/12*(1+P_dVol),0)</f>
        <v>0</v>
      </c>
      <c r="BU40" s="48" t="n">
        <f aca="false">IF(BU$15=1,INDEX(Vol_O,20,BU$14)/12*(1+P_dVol),0)</f>
        <v>0</v>
      </c>
      <c r="BV40" s="48" t="n">
        <f aca="false">IF(BV$15=1,INDEX(Vol_O,20,BV$14)/12*(1+P_dVol),0)</f>
        <v>0</v>
      </c>
      <c r="BW40" s="48" t="n">
        <f aca="false">IF(BW$15=1,INDEX(Vol_O,20,BW$14)/12*(1+P_dVol),0)</f>
        <v>0</v>
      </c>
      <c r="BX40" s="48" t="n">
        <f aca="false">IF(BX$15=1,INDEX(Vol_O,20,BX$14)/12*(1+P_dVol),0)</f>
        <v>0</v>
      </c>
      <c r="BY40" s="48" t="n">
        <f aca="false">IF(BY$15=1,INDEX(Vol_O,20,BY$14)/12*(1+P_dVol),0)</f>
        <v>0</v>
      </c>
      <c r="BZ40" s="48" t="n">
        <f aca="false">IF(BZ$15=1,INDEX(Vol_O,20,BZ$14)/12*(1+P_dVol),0)</f>
        <v>0</v>
      </c>
      <c r="CA40" s="48" t="n">
        <f aca="false">IF(CA$15=1,INDEX(Vol_O,20,CA$14)/12*(1+P_dVol),0)</f>
        <v>0</v>
      </c>
      <c r="CB40" s="48" t="n">
        <f aca="false">IF(CB$15=1,INDEX(Vol_O,20,CB$14)/12*(1+P_dVol),0)</f>
        <v>0</v>
      </c>
      <c r="CC40" s="48" t="n">
        <f aca="false">IF(CC$15=1,INDEX(Vol_O,20,CC$14)/12*(1+P_dVol),0)</f>
        <v>0</v>
      </c>
      <c r="CD40" s="48" t="n">
        <f aca="false">IF(CD$15=1,INDEX(Vol_O,20,CD$14)/12*(1+P_dVol),0)</f>
        <v>0</v>
      </c>
      <c r="CE40" s="48" t="n">
        <f aca="false">IF(CE$15=1,INDEX(Vol_O,20,CE$14)/12*(1+P_dVol),0)</f>
        <v>0</v>
      </c>
      <c r="CF40" s="48" t="n">
        <f aca="false">IF(CF$15=1,INDEX(Vol_O,20,CF$14)/12*(1+P_dVol),0)</f>
        <v>0</v>
      </c>
      <c r="CG40" s="48" t="n">
        <f aca="false">IF(CG$15=1,INDEX(Vol_O,20,CG$14)/12*(1+P_dVol),0)</f>
        <v>0</v>
      </c>
      <c r="CH40" s="48" t="n">
        <f aca="false">IF(CH$15=1,INDEX(Vol_O,20,CH$14)/12*(1+P_dVol),0)</f>
        <v>0</v>
      </c>
      <c r="CI40" s="48" t="n">
        <f aca="false">IF(CI$15=1,INDEX(Vol_O,20,CI$14)/12*(1+P_dVol),0)</f>
        <v>0</v>
      </c>
      <c r="CJ40" s="48" t="n">
        <f aca="false">IF(CJ$15=1,INDEX(Vol_O,20,CJ$14)/12*(1+P_dVol),0)</f>
        <v>0</v>
      </c>
      <c r="CK40" s="48" t="n">
        <f aca="false">IF(CK$15=1,INDEX(Vol_O,20,CK$14)/12*(1+P_dVol),0)</f>
        <v>0</v>
      </c>
      <c r="CL40" s="48" t="n">
        <f aca="false">IF(CL$15=1,INDEX(Vol_O,20,CL$14)/12*(1+P_dVol),0)</f>
        <v>0</v>
      </c>
      <c r="CM40" s="48" t="n">
        <f aca="false">IF(CM$15=1,INDEX(Vol_O,20,CM$14)/12*(1+P_dVol),0)</f>
        <v>0</v>
      </c>
      <c r="CN40" s="48" t="n">
        <f aca="false">IF(CN$15=1,INDEX(Vol_O,20,CN$14)/12*(1+P_dVol),0)</f>
        <v>0</v>
      </c>
      <c r="CO40" s="48" t="n">
        <f aca="false">IF(CO$15=1,INDEX(Vol_O,20,CO$14)/12*(1+P_dVol),0)</f>
        <v>0</v>
      </c>
      <c r="CP40" s="48" t="n">
        <f aca="false">IF(CP$15=1,INDEX(Vol_O,20,CP$14)/12*(1+P_dVol),0)</f>
        <v>0</v>
      </c>
      <c r="CQ40" s="48" t="n">
        <f aca="false">IF(CQ$15=1,INDEX(Vol_O,20,CQ$14)/12*(1+P_dVol),0)</f>
        <v>0</v>
      </c>
      <c r="CR40" s="48" t="n">
        <f aca="false">IF(CR$15=1,INDEX(Vol_O,20,CR$14)/12*(1+P_dVol),0)</f>
        <v>0</v>
      </c>
      <c r="CS40" s="48" t="n">
        <f aca="false">IF(CS$15=1,INDEX(Vol_O,20,CS$14)/12*(1+P_dVol),0)</f>
        <v>0</v>
      </c>
      <c r="CT40" s="48" t="n">
        <f aca="false">IF(CT$15=1,INDEX(Vol_O,20,CT$14)/12*(1+P_dVol),0)</f>
        <v>0</v>
      </c>
      <c r="CU40" s="48" t="n">
        <f aca="false">IF(CU$15=1,INDEX(Vol_O,20,CU$14)/12*(1+P_dVol),0)</f>
        <v>0</v>
      </c>
      <c r="CV40" s="48" t="n">
        <f aca="false">IF(CV$15=1,INDEX(Vol_O,20,CV$14)/12*(1+P_dVol),0)</f>
        <v>0</v>
      </c>
      <c r="CW40" s="48" t="n">
        <f aca="false">IF(CW$15=1,INDEX(Vol_O,20,CW$14)/12*(1+P_dVol),0)</f>
        <v>0</v>
      </c>
      <c r="CX40" s="48" t="n">
        <f aca="false">IF(CX$15=1,INDEX(Vol_O,20,CX$14)/12*(1+P_dVol),0)</f>
        <v>0</v>
      </c>
      <c r="CY40" s="48" t="n">
        <f aca="false">IF(CY$15=1,INDEX(Vol_O,20,CY$14)/12*(1+P_dVol),0)</f>
        <v>0</v>
      </c>
      <c r="CZ40" s="48" t="n">
        <f aca="false">IF(CZ$15=1,INDEX(Vol_O,20,CZ$14)/12*(1+P_dVol),0)</f>
        <v>0</v>
      </c>
      <c r="DA40" s="48" t="n">
        <f aca="false">IF(DA$15=1,INDEX(Vol_O,20,DA$14)/12*(1+P_dVol),0)</f>
        <v>0</v>
      </c>
      <c r="DB40" s="48" t="n">
        <f aca="false">IF(DB$15=1,INDEX(Vol_O,20,DB$14)/12*(1+P_dVol),0)</f>
        <v>0</v>
      </c>
      <c r="DC40" s="48" t="n">
        <f aca="false">IF(DC$15=1,INDEX(Vol_O,20,DC$14)/12*(1+P_dVol),0)</f>
        <v>0</v>
      </c>
      <c r="DD40" s="48" t="n">
        <f aca="false">IF(DD$15=1,INDEX(Vol_O,20,DD$14)/12*(1+P_dVol),0)</f>
        <v>0</v>
      </c>
      <c r="DE40" s="48" t="n">
        <f aca="false">IF(DE$15=1,INDEX(Vol_O,20,DE$14)/12*(1+P_dVol),0)</f>
        <v>0</v>
      </c>
      <c r="DF40" s="48" t="n">
        <f aca="false">IF(DF$15=1,INDEX(Vol_O,20,DF$14)/12*(1+P_dVol),0)</f>
        <v>0</v>
      </c>
      <c r="DG40" s="48" t="n">
        <f aca="false">IF(DG$15=1,INDEX(Vol_O,20,DG$14)/12*(1+P_dVol),0)</f>
        <v>0</v>
      </c>
      <c r="DH40" s="48" t="n">
        <f aca="false">IF(DH$15=1,INDEX(Vol_O,20,DH$14)/12*(1+P_dVol),0)</f>
        <v>0</v>
      </c>
      <c r="DI40" s="48" t="n">
        <f aca="false">IF(DI$15=1,INDEX(Vol_O,20,DI$14)/12*(1+P_dVol),0)</f>
        <v>0</v>
      </c>
      <c r="DJ40" s="48" t="n">
        <f aca="false">IF(DJ$15=1,INDEX(Vol_O,20,DJ$14)/12*(1+P_dVol),0)</f>
        <v>0</v>
      </c>
      <c r="DK40" s="48" t="n">
        <f aca="false">IF(DK$15=1,INDEX(Vol_O,20,DK$14)/12*(1+P_dVol),0)</f>
        <v>0</v>
      </c>
      <c r="DL40" s="48" t="n">
        <f aca="false">IF(DL$15=1,INDEX(Vol_O,20,DL$14)/12*(1+P_dVol),0)</f>
        <v>0</v>
      </c>
      <c r="DM40" s="48" t="n">
        <f aca="false">IF(DM$15=1,INDEX(Vol_O,20,DM$14)/12*(1+P_dVol),0)</f>
        <v>0</v>
      </c>
      <c r="DN40" s="48" t="n">
        <f aca="false">IF(DN$15=1,INDEX(Vol_O,20,DN$14)/12*(1+P_dVol),0)</f>
        <v>0</v>
      </c>
      <c r="DO40" s="48" t="n">
        <f aca="false">IF(DO$15=1,INDEX(Vol_O,20,DO$14)/12*(1+P_dVol),0)</f>
        <v>0</v>
      </c>
      <c r="DP40" s="48" t="n">
        <f aca="false">IF(DP$15=1,INDEX(Vol_O,20,DP$14)/12*(1+P_dVol),0)</f>
        <v>0</v>
      </c>
      <c r="DQ40" s="48" t="n">
        <f aca="false">IF(DQ$15=1,INDEX(Vol_O,20,DQ$14)/12*(1+P_dVol),0)</f>
        <v>0</v>
      </c>
      <c r="DR40" s="48" t="n">
        <f aca="false">IF(DR$15=1,INDEX(Vol_O,20,DR$14)/12*(1+P_dVol),0)</f>
        <v>0</v>
      </c>
      <c r="DS40" s="48" t="n">
        <f aca="false">IF(DS$15=1,INDEX(Vol_O,20,DS$14)/12*(1+P_dVol),0)</f>
        <v>0</v>
      </c>
      <c r="DT40" s="48" t="n">
        <f aca="false">IF(DT$15=1,INDEX(Vol_O,20,DT$14)/12*(1+P_dVol),0)</f>
        <v>0</v>
      </c>
      <c r="DU40" s="48" t="n">
        <f aca="false">IF(DU$15=1,INDEX(Vol_O,20,DU$14)/12*(1+P_dVol),0)</f>
        <v>0</v>
      </c>
      <c r="DV40" s="48" t="n">
        <f aca="false">IF(DV$15=1,INDEX(Vol_O,20,DV$14)/12*(1+P_dVol),0)</f>
        <v>0</v>
      </c>
      <c r="DW40" s="48" t="n">
        <f aca="false">IF(DW$15=1,INDEX(Vol_O,20,DW$14)/12*(1+P_dVol),0)</f>
        <v>0</v>
      </c>
      <c r="DX40" s="48" t="n">
        <f aca="false">IF(DX$15=1,INDEX(Vol_O,20,DX$14)/12*(1+P_dVol),0)</f>
        <v>0</v>
      </c>
      <c r="DY40" s="48" t="n">
        <f aca="false">IF(DY$15=1,INDEX(Vol_O,20,DY$14)/12*(1+P_dVol),0)</f>
        <v>0</v>
      </c>
      <c r="DZ40" s="48" t="n">
        <f aca="false">IF(DZ$15=1,INDEX(Vol_O,20,DZ$14)/12*(1+P_dVol),0)</f>
        <v>0</v>
      </c>
      <c r="EA40" s="48" t="n">
        <f aca="false">IF(EA$15=1,INDEX(Vol_O,20,EA$14)/12*(1+P_dVol),0)</f>
        <v>0</v>
      </c>
      <c r="EB40" s="48" t="n">
        <f aca="false">IF(EB$15=1,INDEX(Vol_O,20,EB$14)/12*(1+P_dVol),0)</f>
        <v>0</v>
      </c>
      <c r="EC40" s="48" t="n">
        <f aca="false">IF(EC$15=1,INDEX(Vol_O,20,EC$14)/12*(1+P_dVol),0)</f>
        <v>0</v>
      </c>
      <c r="ED40" s="48" t="n">
        <f aca="false">IF(ED$15=1,INDEX(Vol_O,20,ED$14)/12*(1+P_dVol),0)</f>
        <v>0</v>
      </c>
      <c r="EE40" s="48" t="n">
        <f aca="false">IF(EE$15=1,INDEX(Vol_O,20,EE$14)/12*(1+P_dVol),0)</f>
        <v>0</v>
      </c>
      <c r="EF40" s="48" t="n">
        <f aca="false">IF(EF$15=1,INDEX(Vol_O,20,EF$14)/12*(1+P_dVol),0)</f>
        <v>0</v>
      </c>
      <c r="EG40" s="48" t="n">
        <f aca="false">IF(EG$15=1,INDEX(Vol_O,20,EG$14)/12*(1+P_dVol),0)</f>
        <v>0</v>
      </c>
      <c r="EH40" s="48" t="n">
        <f aca="false">IF(EH$15=1,INDEX(Vol_O,20,EH$14)/12*(1+P_dVol),0)</f>
        <v>0</v>
      </c>
      <c r="EI40" s="48" t="n">
        <f aca="false">IF(EI$15=1,INDEX(Vol_O,20,EI$14)/12*(1+P_dVol),0)</f>
        <v>0</v>
      </c>
      <c r="EJ40" s="48" t="n">
        <f aca="false">IF(EJ$15=1,INDEX(Vol_O,20,EJ$14)/12*(1+P_dVol),0)</f>
        <v>0</v>
      </c>
      <c r="EK40" s="48" t="n">
        <f aca="false">IF(EK$15=1,INDEX(Vol_O,20,EK$14)/12*(1+P_dVol),0)</f>
        <v>0</v>
      </c>
      <c r="EL40" s="48" t="n">
        <f aca="false">IF(EL$15=1,INDEX(Vol_O,20,EL$14)/12*(1+P_dVol),0)</f>
        <v>0</v>
      </c>
      <c r="EM40" s="48" t="n">
        <f aca="false">IF(EM$15=1,INDEX(Vol_O,20,EM$14)/12*(1+P_dVol),0)</f>
        <v>0</v>
      </c>
      <c r="EN40" s="48" t="n">
        <f aca="false">IF(EN$15=1,INDEX(Vol_O,20,EN$14)/12*(1+P_dVol),0)</f>
        <v>0</v>
      </c>
      <c r="EO40" s="48" t="n">
        <f aca="false">IF(EO$15=1,INDEX(Vol_O,20,EO$14)/12*(1+P_dVol),0)</f>
        <v>0</v>
      </c>
      <c r="EP40" s="48" t="n">
        <f aca="false">IF(EP$15=1,INDEX(Vol_O,20,EP$14)/12*(1+P_dVol),0)</f>
        <v>0</v>
      </c>
      <c r="EQ40" s="48" t="n">
        <f aca="false">IF(EQ$15=1,INDEX(Vol_O,20,EQ$14)/12*(1+P_dVol),0)</f>
        <v>0</v>
      </c>
      <c r="ER40" s="48" t="n">
        <f aca="false">IF(ER$15=1,INDEX(Vol_O,20,ER$14)/12*(1+P_dVol),0)</f>
        <v>0</v>
      </c>
      <c r="ES40" s="48" t="n">
        <f aca="false">IF(ES$15=1,INDEX(Vol_O,20,ES$14)/12*(1+P_dVol),0)</f>
        <v>0</v>
      </c>
    </row>
    <row r="41" customFormat="false" ht="15" hidden="false" customHeight="false" outlineLevel="0" collapsed="false">
      <c r="A41" s="11" t="s">
        <v>1086</v>
      </c>
      <c r="B41" s="53" t="str">
        <f aca="false">IF(INDEX(Prod_Nombre,21)="","Producto 21",INDEX(Prod_Nombre,21))&amp;" — unidades"</f>
        <v>Producto 21 — unidades</v>
      </c>
      <c r="C41" s="15" t="s">
        <v>544</v>
      </c>
      <c r="E41" s="54" t="n">
        <f aca="false">SUM(F41:ES41)</f>
        <v>0</v>
      </c>
      <c r="F41" s="48" t="n">
        <f aca="false">IF(F$15=1,INDEX(Vol_O,21,F$14)/12*(1+P_dVol),0)</f>
        <v>0</v>
      </c>
      <c r="G41" s="48" t="n">
        <f aca="false">IF(G$15=1,INDEX(Vol_O,21,G$14)/12*(1+P_dVol),0)</f>
        <v>0</v>
      </c>
      <c r="H41" s="48" t="n">
        <f aca="false">IF(H$15=1,INDEX(Vol_O,21,H$14)/12*(1+P_dVol),0)</f>
        <v>0</v>
      </c>
      <c r="I41" s="48" t="n">
        <f aca="false">IF(I$15=1,INDEX(Vol_O,21,I$14)/12*(1+P_dVol),0)</f>
        <v>0</v>
      </c>
      <c r="J41" s="48" t="n">
        <f aca="false">IF(J$15=1,INDEX(Vol_O,21,J$14)/12*(1+P_dVol),0)</f>
        <v>0</v>
      </c>
      <c r="K41" s="48" t="n">
        <f aca="false">IF(K$15=1,INDEX(Vol_O,21,K$14)/12*(1+P_dVol),0)</f>
        <v>0</v>
      </c>
      <c r="L41" s="48" t="n">
        <f aca="false">IF(L$15=1,INDEX(Vol_O,21,L$14)/12*(1+P_dVol),0)</f>
        <v>0</v>
      </c>
      <c r="M41" s="48" t="n">
        <f aca="false">IF(M$15=1,INDEX(Vol_O,21,M$14)/12*(1+P_dVol),0)</f>
        <v>0</v>
      </c>
      <c r="N41" s="48" t="n">
        <f aca="false">IF(N$15=1,INDEX(Vol_O,21,N$14)/12*(1+P_dVol),0)</f>
        <v>0</v>
      </c>
      <c r="O41" s="48" t="n">
        <f aca="false">IF(O$15=1,INDEX(Vol_O,21,O$14)/12*(1+P_dVol),0)</f>
        <v>0</v>
      </c>
      <c r="P41" s="48" t="n">
        <f aca="false">IF(P$15=1,INDEX(Vol_O,21,P$14)/12*(1+P_dVol),0)</f>
        <v>0</v>
      </c>
      <c r="Q41" s="48" t="n">
        <f aca="false">IF(Q$15=1,INDEX(Vol_O,21,Q$14)/12*(1+P_dVol),0)</f>
        <v>0</v>
      </c>
      <c r="R41" s="48" t="n">
        <f aca="false">IF(R$15=1,INDEX(Vol_O,21,R$14)/12*(1+P_dVol),0)</f>
        <v>0</v>
      </c>
      <c r="S41" s="48" t="n">
        <f aca="false">IF(S$15=1,INDEX(Vol_O,21,S$14)/12*(1+P_dVol),0)</f>
        <v>0</v>
      </c>
      <c r="T41" s="48" t="n">
        <f aca="false">IF(T$15=1,INDEX(Vol_O,21,T$14)/12*(1+P_dVol),0)</f>
        <v>0</v>
      </c>
      <c r="U41" s="48" t="n">
        <f aca="false">IF(U$15=1,INDEX(Vol_O,21,U$14)/12*(1+P_dVol),0)</f>
        <v>0</v>
      </c>
      <c r="V41" s="48" t="n">
        <f aca="false">IF(V$15=1,INDEX(Vol_O,21,V$14)/12*(1+P_dVol),0)</f>
        <v>0</v>
      </c>
      <c r="W41" s="48" t="n">
        <f aca="false">IF(W$15=1,INDEX(Vol_O,21,W$14)/12*(1+P_dVol),0)</f>
        <v>0</v>
      </c>
      <c r="X41" s="48" t="n">
        <f aca="false">IF(X$15=1,INDEX(Vol_O,21,X$14)/12*(1+P_dVol),0)</f>
        <v>0</v>
      </c>
      <c r="Y41" s="48" t="n">
        <f aca="false">IF(Y$15=1,INDEX(Vol_O,21,Y$14)/12*(1+P_dVol),0)</f>
        <v>0</v>
      </c>
      <c r="Z41" s="48" t="n">
        <f aca="false">IF(Z$15=1,INDEX(Vol_O,21,Z$14)/12*(1+P_dVol),0)</f>
        <v>0</v>
      </c>
      <c r="AA41" s="48" t="n">
        <f aca="false">IF(AA$15=1,INDEX(Vol_O,21,AA$14)/12*(1+P_dVol),0)</f>
        <v>0</v>
      </c>
      <c r="AB41" s="48" t="n">
        <f aca="false">IF(AB$15=1,INDEX(Vol_O,21,AB$14)/12*(1+P_dVol),0)</f>
        <v>0</v>
      </c>
      <c r="AC41" s="48" t="n">
        <f aca="false">IF(AC$15=1,INDEX(Vol_O,21,AC$14)/12*(1+P_dVol),0)</f>
        <v>0</v>
      </c>
      <c r="AD41" s="48" t="n">
        <f aca="false">IF(AD$15=1,INDEX(Vol_O,21,AD$14)/12*(1+P_dVol),0)</f>
        <v>0</v>
      </c>
      <c r="AE41" s="48" t="n">
        <f aca="false">IF(AE$15=1,INDEX(Vol_O,21,AE$14)/12*(1+P_dVol),0)</f>
        <v>0</v>
      </c>
      <c r="AF41" s="48" t="n">
        <f aca="false">IF(AF$15=1,INDEX(Vol_O,21,AF$14)/12*(1+P_dVol),0)</f>
        <v>0</v>
      </c>
      <c r="AG41" s="48" t="n">
        <f aca="false">IF(AG$15=1,INDEX(Vol_O,21,AG$14)/12*(1+P_dVol),0)</f>
        <v>0</v>
      </c>
      <c r="AH41" s="48" t="n">
        <f aca="false">IF(AH$15=1,INDEX(Vol_O,21,AH$14)/12*(1+P_dVol),0)</f>
        <v>0</v>
      </c>
      <c r="AI41" s="48" t="n">
        <f aca="false">IF(AI$15=1,INDEX(Vol_O,21,AI$14)/12*(1+P_dVol),0)</f>
        <v>0</v>
      </c>
      <c r="AJ41" s="48" t="n">
        <f aca="false">IF(AJ$15=1,INDEX(Vol_O,21,AJ$14)/12*(1+P_dVol),0)</f>
        <v>0</v>
      </c>
      <c r="AK41" s="48" t="n">
        <f aca="false">IF(AK$15=1,INDEX(Vol_O,21,AK$14)/12*(1+P_dVol),0)</f>
        <v>0</v>
      </c>
      <c r="AL41" s="48" t="n">
        <f aca="false">IF(AL$15=1,INDEX(Vol_O,21,AL$14)/12*(1+P_dVol),0)</f>
        <v>0</v>
      </c>
      <c r="AM41" s="48" t="n">
        <f aca="false">IF(AM$15=1,INDEX(Vol_O,21,AM$14)/12*(1+P_dVol),0)</f>
        <v>0</v>
      </c>
      <c r="AN41" s="48" t="n">
        <f aca="false">IF(AN$15=1,INDEX(Vol_O,21,AN$14)/12*(1+P_dVol),0)</f>
        <v>0</v>
      </c>
      <c r="AO41" s="48" t="n">
        <f aca="false">IF(AO$15=1,INDEX(Vol_O,21,AO$14)/12*(1+P_dVol),0)</f>
        <v>0</v>
      </c>
      <c r="AP41" s="48" t="n">
        <f aca="false">IF(AP$15=1,INDEX(Vol_O,21,AP$14)/12*(1+P_dVol),0)</f>
        <v>0</v>
      </c>
      <c r="AQ41" s="48" t="n">
        <f aca="false">IF(AQ$15=1,INDEX(Vol_O,21,AQ$14)/12*(1+P_dVol),0)</f>
        <v>0</v>
      </c>
      <c r="AR41" s="48" t="n">
        <f aca="false">IF(AR$15=1,INDEX(Vol_O,21,AR$14)/12*(1+P_dVol),0)</f>
        <v>0</v>
      </c>
      <c r="AS41" s="48" t="n">
        <f aca="false">IF(AS$15=1,INDEX(Vol_O,21,AS$14)/12*(1+P_dVol),0)</f>
        <v>0</v>
      </c>
      <c r="AT41" s="48" t="n">
        <f aca="false">IF(AT$15=1,INDEX(Vol_O,21,AT$14)/12*(1+P_dVol),0)</f>
        <v>0</v>
      </c>
      <c r="AU41" s="48" t="n">
        <f aca="false">IF(AU$15=1,INDEX(Vol_O,21,AU$14)/12*(1+P_dVol),0)</f>
        <v>0</v>
      </c>
      <c r="AV41" s="48" t="n">
        <f aca="false">IF(AV$15=1,INDEX(Vol_O,21,AV$14)/12*(1+P_dVol),0)</f>
        <v>0</v>
      </c>
      <c r="AW41" s="48" t="n">
        <f aca="false">IF(AW$15=1,INDEX(Vol_O,21,AW$14)/12*(1+P_dVol),0)</f>
        <v>0</v>
      </c>
      <c r="AX41" s="48" t="n">
        <f aca="false">IF(AX$15=1,INDEX(Vol_O,21,AX$14)/12*(1+P_dVol),0)</f>
        <v>0</v>
      </c>
      <c r="AY41" s="48" t="n">
        <f aca="false">IF(AY$15=1,INDEX(Vol_O,21,AY$14)/12*(1+P_dVol),0)</f>
        <v>0</v>
      </c>
      <c r="AZ41" s="48" t="n">
        <f aca="false">IF(AZ$15=1,INDEX(Vol_O,21,AZ$14)/12*(1+P_dVol),0)</f>
        <v>0</v>
      </c>
      <c r="BA41" s="48" t="n">
        <f aca="false">IF(BA$15=1,INDEX(Vol_O,21,BA$14)/12*(1+P_dVol),0)</f>
        <v>0</v>
      </c>
      <c r="BB41" s="48" t="n">
        <f aca="false">IF(BB$15=1,INDEX(Vol_O,21,BB$14)/12*(1+P_dVol),0)</f>
        <v>0</v>
      </c>
      <c r="BC41" s="48" t="n">
        <f aca="false">IF(BC$15=1,INDEX(Vol_O,21,BC$14)/12*(1+P_dVol),0)</f>
        <v>0</v>
      </c>
      <c r="BD41" s="48" t="n">
        <f aca="false">IF(BD$15=1,INDEX(Vol_O,21,BD$14)/12*(1+P_dVol),0)</f>
        <v>0</v>
      </c>
      <c r="BE41" s="48" t="n">
        <f aca="false">IF(BE$15=1,INDEX(Vol_O,21,BE$14)/12*(1+P_dVol),0)</f>
        <v>0</v>
      </c>
      <c r="BF41" s="48" t="n">
        <f aca="false">IF(BF$15=1,INDEX(Vol_O,21,BF$14)/12*(1+P_dVol),0)</f>
        <v>0</v>
      </c>
      <c r="BG41" s="48" t="n">
        <f aca="false">IF(BG$15=1,INDEX(Vol_O,21,BG$14)/12*(1+P_dVol),0)</f>
        <v>0</v>
      </c>
      <c r="BH41" s="48" t="n">
        <f aca="false">IF(BH$15=1,INDEX(Vol_O,21,BH$14)/12*(1+P_dVol),0)</f>
        <v>0</v>
      </c>
      <c r="BI41" s="48" t="n">
        <f aca="false">IF(BI$15=1,INDEX(Vol_O,21,BI$14)/12*(1+P_dVol),0)</f>
        <v>0</v>
      </c>
      <c r="BJ41" s="48" t="n">
        <f aca="false">IF(BJ$15=1,INDEX(Vol_O,21,BJ$14)/12*(1+P_dVol),0)</f>
        <v>0</v>
      </c>
      <c r="BK41" s="48" t="n">
        <f aca="false">IF(BK$15=1,INDEX(Vol_O,21,BK$14)/12*(1+P_dVol),0)</f>
        <v>0</v>
      </c>
      <c r="BL41" s="48" t="n">
        <f aca="false">IF(BL$15=1,INDEX(Vol_O,21,BL$14)/12*(1+P_dVol),0)</f>
        <v>0</v>
      </c>
      <c r="BM41" s="48" t="n">
        <f aca="false">IF(BM$15=1,INDEX(Vol_O,21,BM$14)/12*(1+P_dVol),0)</f>
        <v>0</v>
      </c>
      <c r="BN41" s="48" t="n">
        <f aca="false">IF(BN$15=1,INDEX(Vol_O,21,BN$14)/12*(1+P_dVol),0)</f>
        <v>0</v>
      </c>
      <c r="BO41" s="48" t="n">
        <f aca="false">IF(BO$15=1,INDEX(Vol_O,21,BO$14)/12*(1+P_dVol),0)</f>
        <v>0</v>
      </c>
      <c r="BP41" s="48" t="n">
        <f aca="false">IF(BP$15=1,INDEX(Vol_O,21,BP$14)/12*(1+P_dVol),0)</f>
        <v>0</v>
      </c>
      <c r="BQ41" s="48" t="n">
        <f aca="false">IF(BQ$15=1,INDEX(Vol_O,21,BQ$14)/12*(1+P_dVol),0)</f>
        <v>0</v>
      </c>
      <c r="BR41" s="48" t="n">
        <f aca="false">IF(BR$15=1,INDEX(Vol_O,21,BR$14)/12*(1+P_dVol),0)</f>
        <v>0</v>
      </c>
      <c r="BS41" s="48" t="n">
        <f aca="false">IF(BS$15=1,INDEX(Vol_O,21,BS$14)/12*(1+P_dVol),0)</f>
        <v>0</v>
      </c>
      <c r="BT41" s="48" t="n">
        <f aca="false">IF(BT$15=1,INDEX(Vol_O,21,BT$14)/12*(1+P_dVol),0)</f>
        <v>0</v>
      </c>
      <c r="BU41" s="48" t="n">
        <f aca="false">IF(BU$15=1,INDEX(Vol_O,21,BU$14)/12*(1+P_dVol),0)</f>
        <v>0</v>
      </c>
      <c r="BV41" s="48" t="n">
        <f aca="false">IF(BV$15=1,INDEX(Vol_O,21,BV$14)/12*(1+P_dVol),0)</f>
        <v>0</v>
      </c>
      <c r="BW41" s="48" t="n">
        <f aca="false">IF(BW$15=1,INDEX(Vol_O,21,BW$14)/12*(1+P_dVol),0)</f>
        <v>0</v>
      </c>
      <c r="BX41" s="48" t="n">
        <f aca="false">IF(BX$15=1,INDEX(Vol_O,21,BX$14)/12*(1+P_dVol),0)</f>
        <v>0</v>
      </c>
      <c r="BY41" s="48" t="n">
        <f aca="false">IF(BY$15=1,INDEX(Vol_O,21,BY$14)/12*(1+P_dVol),0)</f>
        <v>0</v>
      </c>
      <c r="BZ41" s="48" t="n">
        <f aca="false">IF(BZ$15=1,INDEX(Vol_O,21,BZ$14)/12*(1+P_dVol),0)</f>
        <v>0</v>
      </c>
      <c r="CA41" s="48" t="n">
        <f aca="false">IF(CA$15=1,INDEX(Vol_O,21,CA$14)/12*(1+P_dVol),0)</f>
        <v>0</v>
      </c>
      <c r="CB41" s="48" t="n">
        <f aca="false">IF(CB$15=1,INDEX(Vol_O,21,CB$14)/12*(1+P_dVol),0)</f>
        <v>0</v>
      </c>
      <c r="CC41" s="48" t="n">
        <f aca="false">IF(CC$15=1,INDEX(Vol_O,21,CC$14)/12*(1+P_dVol),0)</f>
        <v>0</v>
      </c>
      <c r="CD41" s="48" t="n">
        <f aca="false">IF(CD$15=1,INDEX(Vol_O,21,CD$14)/12*(1+P_dVol),0)</f>
        <v>0</v>
      </c>
      <c r="CE41" s="48" t="n">
        <f aca="false">IF(CE$15=1,INDEX(Vol_O,21,CE$14)/12*(1+P_dVol),0)</f>
        <v>0</v>
      </c>
      <c r="CF41" s="48" t="n">
        <f aca="false">IF(CF$15=1,INDEX(Vol_O,21,CF$14)/12*(1+P_dVol),0)</f>
        <v>0</v>
      </c>
      <c r="CG41" s="48" t="n">
        <f aca="false">IF(CG$15=1,INDEX(Vol_O,21,CG$14)/12*(1+P_dVol),0)</f>
        <v>0</v>
      </c>
      <c r="CH41" s="48" t="n">
        <f aca="false">IF(CH$15=1,INDEX(Vol_O,21,CH$14)/12*(1+P_dVol),0)</f>
        <v>0</v>
      </c>
      <c r="CI41" s="48" t="n">
        <f aca="false">IF(CI$15=1,INDEX(Vol_O,21,CI$14)/12*(1+P_dVol),0)</f>
        <v>0</v>
      </c>
      <c r="CJ41" s="48" t="n">
        <f aca="false">IF(CJ$15=1,INDEX(Vol_O,21,CJ$14)/12*(1+P_dVol),0)</f>
        <v>0</v>
      </c>
      <c r="CK41" s="48" t="n">
        <f aca="false">IF(CK$15=1,INDEX(Vol_O,21,CK$14)/12*(1+P_dVol),0)</f>
        <v>0</v>
      </c>
      <c r="CL41" s="48" t="n">
        <f aca="false">IF(CL$15=1,INDEX(Vol_O,21,CL$14)/12*(1+P_dVol),0)</f>
        <v>0</v>
      </c>
      <c r="CM41" s="48" t="n">
        <f aca="false">IF(CM$15=1,INDEX(Vol_O,21,CM$14)/12*(1+P_dVol),0)</f>
        <v>0</v>
      </c>
      <c r="CN41" s="48" t="n">
        <f aca="false">IF(CN$15=1,INDEX(Vol_O,21,CN$14)/12*(1+P_dVol),0)</f>
        <v>0</v>
      </c>
      <c r="CO41" s="48" t="n">
        <f aca="false">IF(CO$15=1,INDEX(Vol_O,21,CO$14)/12*(1+P_dVol),0)</f>
        <v>0</v>
      </c>
      <c r="CP41" s="48" t="n">
        <f aca="false">IF(CP$15=1,INDEX(Vol_O,21,CP$14)/12*(1+P_dVol),0)</f>
        <v>0</v>
      </c>
      <c r="CQ41" s="48" t="n">
        <f aca="false">IF(CQ$15=1,INDEX(Vol_O,21,CQ$14)/12*(1+P_dVol),0)</f>
        <v>0</v>
      </c>
      <c r="CR41" s="48" t="n">
        <f aca="false">IF(CR$15=1,INDEX(Vol_O,21,CR$14)/12*(1+P_dVol),0)</f>
        <v>0</v>
      </c>
      <c r="CS41" s="48" t="n">
        <f aca="false">IF(CS$15=1,INDEX(Vol_O,21,CS$14)/12*(1+P_dVol),0)</f>
        <v>0</v>
      </c>
      <c r="CT41" s="48" t="n">
        <f aca="false">IF(CT$15=1,INDEX(Vol_O,21,CT$14)/12*(1+P_dVol),0)</f>
        <v>0</v>
      </c>
      <c r="CU41" s="48" t="n">
        <f aca="false">IF(CU$15=1,INDEX(Vol_O,21,CU$14)/12*(1+P_dVol),0)</f>
        <v>0</v>
      </c>
      <c r="CV41" s="48" t="n">
        <f aca="false">IF(CV$15=1,INDEX(Vol_O,21,CV$14)/12*(1+P_dVol),0)</f>
        <v>0</v>
      </c>
      <c r="CW41" s="48" t="n">
        <f aca="false">IF(CW$15=1,INDEX(Vol_O,21,CW$14)/12*(1+P_dVol),0)</f>
        <v>0</v>
      </c>
      <c r="CX41" s="48" t="n">
        <f aca="false">IF(CX$15=1,INDEX(Vol_O,21,CX$14)/12*(1+P_dVol),0)</f>
        <v>0</v>
      </c>
      <c r="CY41" s="48" t="n">
        <f aca="false">IF(CY$15=1,INDEX(Vol_O,21,CY$14)/12*(1+P_dVol),0)</f>
        <v>0</v>
      </c>
      <c r="CZ41" s="48" t="n">
        <f aca="false">IF(CZ$15=1,INDEX(Vol_O,21,CZ$14)/12*(1+P_dVol),0)</f>
        <v>0</v>
      </c>
      <c r="DA41" s="48" t="n">
        <f aca="false">IF(DA$15=1,INDEX(Vol_O,21,DA$14)/12*(1+P_dVol),0)</f>
        <v>0</v>
      </c>
      <c r="DB41" s="48" t="n">
        <f aca="false">IF(DB$15=1,INDEX(Vol_O,21,DB$14)/12*(1+P_dVol),0)</f>
        <v>0</v>
      </c>
      <c r="DC41" s="48" t="n">
        <f aca="false">IF(DC$15=1,INDEX(Vol_O,21,DC$14)/12*(1+P_dVol),0)</f>
        <v>0</v>
      </c>
      <c r="DD41" s="48" t="n">
        <f aca="false">IF(DD$15=1,INDEX(Vol_O,21,DD$14)/12*(1+P_dVol),0)</f>
        <v>0</v>
      </c>
      <c r="DE41" s="48" t="n">
        <f aca="false">IF(DE$15=1,INDEX(Vol_O,21,DE$14)/12*(1+P_dVol),0)</f>
        <v>0</v>
      </c>
      <c r="DF41" s="48" t="n">
        <f aca="false">IF(DF$15=1,INDEX(Vol_O,21,DF$14)/12*(1+P_dVol),0)</f>
        <v>0</v>
      </c>
      <c r="DG41" s="48" t="n">
        <f aca="false">IF(DG$15=1,INDEX(Vol_O,21,DG$14)/12*(1+P_dVol),0)</f>
        <v>0</v>
      </c>
      <c r="DH41" s="48" t="n">
        <f aca="false">IF(DH$15=1,INDEX(Vol_O,21,DH$14)/12*(1+P_dVol),0)</f>
        <v>0</v>
      </c>
      <c r="DI41" s="48" t="n">
        <f aca="false">IF(DI$15=1,INDEX(Vol_O,21,DI$14)/12*(1+P_dVol),0)</f>
        <v>0</v>
      </c>
      <c r="DJ41" s="48" t="n">
        <f aca="false">IF(DJ$15=1,INDEX(Vol_O,21,DJ$14)/12*(1+P_dVol),0)</f>
        <v>0</v>
      </c>
      <c r="DK41" s="48" t="n">
        <f aca="false">IF(DK$15=1,INDEX(Vol_O,21,DK$14)/12*(1+P_dVol),0)</f>
        <v>0</v>
      </c>
      <c r="DL41" s="48" t="n">
        <f aca="false">IF(DL$15=1,INDEX(Vol_O,21,DL$14)/12*(1+P_dVol),0)</f>
        <v>0</v>
      </c>
      <c r="DM41" s="48" t="n">
        <f aca="false">IF(DM$15=1,INDEX(Vol_O,21,DM$14)/12*(1+P_dVol),0)</f>
        <v>0</v>
      </c>
      <c r="DN41" s="48" t="n">
        <f aca="false">IF(DN$15=1,INDEX(Vol_O,21,DN$14)/12*(1+P_dVol),0)</f>
        <v>0</v>
      </c>
      <c r="DO41" s="48" t="n">
        <f aca="false">IF(DO$15=1,INDEX(Vol_O,21,DO$14)/12*(1+P_dVol),0)</f>
        <v>0</v>
      </c>
      <c r="DP41" s="48" t="n">
        <f aca="false">IF(DP$15=1,INDEX(Vol_O,21,DP$14)/12*(1+P_dVol),0)</f>
        <v>0</v>
      </c>
      <c r="DQ41" s="48" t="n">
        <f aca="false">IF(DQ$15=1,INDEX(Vol_O,21,DQ$14)/12*(1+P_dVol),0)</f>
        <v>0</v>
      </c>
      <c r="DR41" s="48" t="n">
        <f aca="false">IF(DR$15=1,INDEX(Vol_O,21,DR$14)/12*(1+P_dVol),0)</f>
        <v>0</v>
      </c>
      <c r="DS41" s="48" t="n">
        <f aca="false">IF(DS$15=1,INDEX(Vol_O,21,DS$14)/12*(1+P_dVol),0)</f>
        <v>0</v>
      </c>
      <c r="DT41" s="48" t="n">
        <f aca="false">IF(DT$15=1,INDEX(Vol_O,21,DT$14)/12*(1+P_dVol),0)</f>
        <v>0</v>
      </c>
      <c r="DU41" s="48" t="n">
        <f aca="false">IF(DU$15=1,INDEX(Vol_O,21,DU$14)/12*(1+P_dVol),0)</f>
        <v>0</v>
      </c>
      <c r="DV41" s="48" t="n">
        <f aca="false">IF(DV$15=1,INDEX(Vol_O,21,DV$14)/12*(1+P_dVol),0)</f>
        <v>0</v>
      </c>
      <c r="DW41" s="48" t="n">
        <f aca="false">IF(DW$15=1,INDEX(Vol_O,21,DW$14)/12*(1+P_dVol),0)</f>
        <v>0</v>
      </c>
      <c r="DX41" s="48" t="n">
        <f aca="false">IF(DX$15=1,INDEX(Vol_O,21,DX$14)/12*(1+P_dVol),0)</f>
        <v>0</v>
      </c>
      <c r="DY41" s="48" t="n">
        <f aca="false">IF(DY$15=1,INDEX(Vol_O,21,DY$14)/12*(1+P_dVol),0)</f>
        <v>0</v>
      </c>
      <c r="DZ41" s="48" t="n">
        <f aca="false">IF(DZ$15=1,INDEX(Vol_O,21,DZ$14)/12*(1+P_dVol),0)</f>
        <v>0</v>
      </c>
      <c r="EA41" s="48" t="n">
        <f aca="false">IF(EA$15=1,INDEX(Vol_O,21,EA$14)/12*(1+P_dVol),0)</f>
        <v>0</v>
      </c>
      <c r="EB41" s="48" t="n">
        <f aca="false">IF(EB$15=1,INDEX(Vol_O,21,EB$14)/12*(1+P_dVol),0)</f>
        <v>0</v>
      </c>
      <c r="EC41" s="48" t="n">
        <f aca="false">IF(EC$15=1,INDEX(Vol_O,21,EC$14)/12*(1+P_dVol),0)</f>
        <v>0</v>
      </c>
      <c r="ED41" s="48" t="n">
        <f aca="false">IF(ED$15=1,INDEX(Vol_O,21,ED$14)/12*(1+P_dVol),0)</f>
        <v>0</v>
      </c>
      <c r="EE41" s="48" t="n">
        <f aca="false">IF(EE$15=1,INDEX(Vol_O,21,EE$14)/12*(1+P_dVol),0)</f>
        <v>0</v>
      </c>
      <c r="EF41" s="48" t="n">
        <f aca="false">IF(EF$15=1,INDEX(Vol_O,21,EF$14)/12*(1+P_dVol),0)</f>
        <v>0</v>
      </c>
      <c r="EG41" s="48" t="n">
        <f aca="false">IF(EG$15=1,INDEX(Vol_O,21,EG$14)/12*(1+P_dVol),0)</f>
        <v>0</v>
      </c>
      <c r="EH41" s="48" t="n">
        <f aca="false">IF(EH$15=1,INDEX(Vol_O,21,EH$14)/12*(1+P_dVol),0)</f>
        <v>0</v>
      </c>
      <c r="EI41" s="48" t="n">
        <f aca="false">IF(EI$15=1,INDEX(Vol_O,21,EI$14)/12*(1+P_dVol),0)</f>
        <v>0</v>
      </c>
      <c r="EJ41" s="48" t="n">
        <f aca="false">IF(EJ$15=1,INDEX(Vol_O,21,EJ$14)/12*(1+P_dVol),0)</f>
        <v>0</v>
      </c>
      <c r="EK41" s="48" t="n">
        <f aca="false">IF(EK$15=1,INDEX(Vol_O,21,EK$14)/12*(1+P_dVol),0)</f>
        <v>0</v>
      </c>
      <c r="EL41" s="48" t="n">
        <f aca="false">IF(EL$15=1,INDEX(Vol_O,21,EL$14)/12*(1+P_dVol),0)</f>
        <v>0</v>
      </c>
      <c r="EM41" s="48" t="n">
        <f aca="false">IF(EM$15=1,INDEX(Vol_O,21,EM$14)/12*(1+P_dVol),0)</f>
        <v>0</v>
      </c>
      <c r="EN41" s="48" t="n">
        <f aca="false">IF(EN$15=1,INDEX(Vol_O,21,EN$14)/12*(1+P_dVol),0)</f>
        <v>0</v>
      </c>
      <c r="EO41" s="48" t="n">
        <f aca="false">IF(EO$15=1,INDEX(Vol_O,21,EO$14)/12*(1+P_dVol),0)</f>
        <v>0</v>
      </c>
      <c r="EP41" s="48" t="n">
        <f aca="false">IF(EP$15=1,INDEX(Vol_O,21,EP$14)/12*(1+P_dVol),0)</f>
        <v>0</v>
      </c>
      <c r="EQ41" s="48" t="n">
        <f aca="false">IF(EQ$15=1,INDEX(Vol_O,21,EQ$14)/12*(1+P_dVol),0)</f>
        <v>0</v>
      </c>
      <c r="ER41" s="48" t="n">
        <f aca="false">IF(ER$15=1,INDEX(Vol_O,21,ER$14)/12*(1+P_dVol),0)</f>
        <v>0</v>
      </c>
      <c r="ES41" s="48" t="n">
        <f aca="false">IF(ES$15=1,INDEX(Vol_O,21,ES$14)/12*(1+P_dVol),0)</f>
        <v>0</v>
      </c>
    </row>
    <row r="42" customFormat="false" ht="15" hidden="false" customHeight="false" outlineLevel="0" collapsed="false">
      <c r="A42" s="11" t="s">
        <v>1087</v>
      </c>
      <c r="B42" s="53" t="str">
        <f aca="false">IF(INDEX(Prod_Nombre,22)="","Producto 22",INDEX(Prod_Nombre,22))&amp;" — unidades"</f>
        <v>Producto 22 — unidades</v>
      </c>
      <c r="C42" s="15" t="s">
        <v>544</v>
      </c>
      <c r="E42" s="54" t="n">
        <f aca="false">SUM(F42:ES42)</f>
        <v>0</v>
      </c>
      <c r="F42" s="48" t="n">
        <f aca="false">IF(F$15=1,INDEX(Vol_O,22,F$14)/12*(1+P_dVol),0)</f>
        <v>0</v>
      </c>
      <c r="G42" s="48" t="n">
        <f aca="false">IF(G$15=1,INDEX(Vol_O,22,G$14)/12*(1+P_dVol),0)</f>
        <v>0</v>
      </c>
      <c r="H42" s="48" t="n">
        <f aca="false">IF(H$15=1,INDEX(Vol_O,22,H$14)/12*(1+P_dVol),0)</f>
        <v>0</v>
      </c>
      <c r="I42" s="48" t="n">
        <f aca="false">IF(I$15=1,INDEX(Vol_O,22,I$14)/12*(1+P_dVol),0)</f>
        <v>0</v>
      </c>
      <c r="J42" s="48" t="n">
        <f aca="false">IF(J$15=1,INDEX(Vol_O,22,J$14)/12*(1+P_dVol),0)</f>
        <v>0</v>
      </c>
      <c r="K42" s="48" t="n">
        <f aca="false">IF(K$15=1,INDEX(Vol_O,22,K$14)/12*(1+P_dVol),0)</f>
        <v>0</v>
      </c>
      <c r="L42" s="48" t="n">
        <f aca="false">IF(L$15=1,INDEX(Vol_O,22,L$14)/12*(1+P_dVol),0)</f>
        <v>0</v>
      </c>
      <c r="M42" s="48" t="n">
        <f aca="false">IF(M$15=1,INDEX(Vol_O,22,M$14)/12*(1+P_dVol),0)</f>
        <v>0</v>
      </c>
      <c r="N42" s="48" t="n">
        <f aca="false">IF(N$15=1,INDEX(Vol_O,22,N$14)/12*(1+P_dVol),0)</f>
        <v>0</v>
      </c>
      <c r="O42" s="48" t="n">
        <f aca="false">IF(O$15=1,INDEX(Vol_O,22,O$14)/12*(1+P_dVol),0)</f>
        <v>0</v>
      </c>
      <c r="P42" s="48" t="n">
        <f aca="false">IF(P$15=1,INDEX(Vol_O,22,P$14)/12*(1+P_dVol),0)</f>
        <v>0</v>
      </c>
      <c r="Q42" s="48" t="n">
        <f aca="false">IF(Q$15=1,INDEX(Vol_O,22,Q$14)/12*(1+P_dVol),0)</f>
        <v>0</v>
      </c>
      <c r="R42" s="48" t="n">
        <f aca="false">IF(R$15=1,INDEX(Vol_O,22,R$14)/12*(1+P_dVol),0)</f>
        <v>0</v>
      </c>
      <c r="S42" s="48" t="n">
        <f aca="false">IF(S$15=1,INDEX(Vol_O,22,S$14)/12*(1+P_dVol),0)</f>
        <v>0</v>
      </c>
      <c r="T42" s="48" t="n">
        <f aca="false">IF(T$15=1,INDEX(Vol_O,22,T$14)/12*(1+P_dVol),0)</f>
        <v>0</v>
      </c>
      <c r="U42" s="48" t="n">
        <f aca="false">IF(U$15=1,INDEX(Vol_O,22,U$14)/12*(1+P_dVol),0)</f>
        <v>0</v>
      </c>
      <c r="V42" s="48" t="n">
        <f aca="false">IF(V$15=1,INDEX(Vol_O,22,V$14)/12*(1+P_dVol),0)</f>
        <v>0</v>
      </c>
      <c r="W42" s="48" t="n">
        <f aca="false">IF(W$15=1,INDEX(Vol_O,22,W$14)/12*(1+P_dVol),0)</f>
        <v>0</v>
      </c>
      <c r="X42" s="48" t="n">
        <f aca="false">IF(X$15=1,INDEX(Vol_O,22,X$14)/12*(1+P_dVol),0)</f>
        <v>0</v>
      </c>
      <c r="Y42" s="48" t="n">
        <f aca="false">IF(Y$15=1,INDEX(Vol_O,22,Y$14)/12*(1+P_dVol),0)</f>
        <v>0</v>
      </c>
      <c r="Z42" s="48" t="n">
        <f aca="false">IF(Z$15=1,INDEX(Vol_O,22,Z$14)/12*(1+P_dVol),0)</f>
        <v>0</v>
      </c>
      <c r="AA42" s="48" t="n">
        <f aca="false">IF(AA$15=1,INDEX(Vol_O,22,AA$14)/12*(1+P_dVol),0)</f>
        <v>0</v>
      </c>
      <c r="AB42" s="48" t="n">
        <f aca="false">IF(AB$15=1,INDEX(Vol_O,22,AB$14)/12*(1+P_dVol),0)</f>
        <v>0</v>
      </c>
      <c r="AC42" s="48" t="n">
        <f aca="false">IF(AC$15=1,INDEX(Vol_O,22,AC$14)/12*(1+P_dVol),0)</f>
        <v>0</v>
      </c>
      <c r="AD42" s="48" t="n">
        <f aca="false">IF(AD$15=1,INDEX(Vol_O,22,AD$14)/12*(1+P_dVol),0)</f>
        <v>0</v>
      </c>
      <c r="AE42" s="48" t="n">
        <f aca="false">IF(AE$15=1,INDEX(Vol_O,22,AE$14)/12*(1+P_dVol),0)</f>
        <v>0</v>
      </c>
      <c r="AF42" s="48" t="n">
        <f aca="false">IF(AF$15=1,INDEX(Vol_O,22,AF$14)/12*(1+P_dVol),0)</f>
        <v>0</v>
      </c>
      <c r="AG42" s="48" t="n">
        <f aca="false">IF(AG$15=1,INDEX(Vol_O,22,AG$14)/12*(1+P_dVol),0)</f>
        <v>0</v>
      </c>
      <c r="AH42" s="48" t="n">
        <f aca="false">IF(AH$15=1,INDEX(Vol_O,22,AH$14)/12*(1+P_dVol),0)</f>
        <v>0</v>
      </c>
      <c r="AI42" s="48" t="n">
        <f aca="false">IF(AI$15=1,INDEX(Vol_O,22,AI$14)/12*(1+P_dVol),0)</f>
        <v>0</v>
      </c>
      <c r="AJ42" s="48" t="n">
        <f aca="false">IF(AJ$15=1,INDEX(Vol_O,22,AJ$14)/12*(1+P_dVol),0)</f>
        <v>0</v>
      </c>
      <c r="AK42" s="48" t="n">
        <f aca="false">IF(AK$15=1,INDEX(Vol_O,22,AK$14)/12*(1+P_dVol),0)</f>
        <v>0</v>
      </c>
      <c r="AL42" s="48" t="n">
        <f aca="false">IF(AL$15=1,INDEX(Vol_O,22,AL$14)/12*(1+P_dVol),0)</f>
        <v>0</v>
      </c>
      <c r="AM42" s="48" t="n">
        <f aca="false">IF(AM$15=1,INDEX(Vol_O,22,AM$14)/12*(1+P_dVol),0)</f>
        <v>0</v>
      </c>
      <c r="AN42" s="48" t="n">
        <f aca="false">IF(AN$15=1,INDEX(Vol_O,22,AN$14)/12*(1+P_dVol),0)</f>
        <v>0</v>
      </c>
      <c r="AO42" s="48" t="n">
        <f aca="false">IF(AO$15=1,INDEX(Vol_O,22,AO$14)/12*(1+P_dVol),0)</f>
        <v>0</v>
      </c>
      <c r="AP42" s="48" t="n">
        <f aca="false">IF(AP$15=1,INDEX(Vol_O,22,AP$14)/12*(1+P_dVol),0)</f>
        <v>0</v>
      </c>
      <c r="AQ42" s="48" t="n">
        <f aca="false">IF(AQ$15=1,INDEX(Vol_O,22,AQ$14)/12*(1+P_dVol),0)</f>
        <v>0</v>
      </c>
      <c r="AR42" s="48" t="n">
        <f aca="false">IF(AR$15=1,INDEX(Vol_O,22,AR$14)/12*(1+P_dVol),0)</f>
        <v>0</v>
      </c>
      <c r="AS42" s="48" t="n">
        <f aca="false">IF(AS$15=1,INDEX(Vol_O,22,AS$14)/12*(1+P_dVol),0)</f>
        <v>0</v>
      </c>
      <c r="AT42" s="48" t="n">
        <f aca="false">IF(AT$15=1,INDEX(Vol_O,22,AT$14)/12*(1+P_dVol),0)</f>
        <v>0</v>
      </c>
      <c r="AU42" s="48" t="n">
        <f aca="false">IF(AU$15=1,INDEX(Vol_O,22,AU$14)/12*(1+P_dVol),0)</f>
        <v>0</v>
      </c>
      <c r="AV42" s="48" t="n">
        <f aca="false">IF(AV$15=1,INDEX(Vol_O,22,AV$14)/12*(1+P_dVol),0)</f>
        <v>0</v>
      </c>
      <c r="AW42" s="48" t="n">
        <f aca="false">IF(AW$15=1,INDEX(Vol_O,22,AW$14)/12*(1+P_dVol),0)</f>
        <v>0</v>
      </c>
      <c r="AX42" s="48" t="n">
        <f aca="false">IF(AX$15=1,INDEX(Vol_O,22,AX$14)/12*(1+P_dVol),0)</f>
        <v>0</v>
      </c>
      <c r="AY42" s="48" t="n">
        <f aca="false">IF(AY$15=1,INDEX(Vol_O,22,AY$14)/12*(1+P_dVol),0)</f>
        <v>0</v>
      </c>
      <c r="AZ42" s="48" t="n">
        <f aca="false">IF(AZ$15=1,INDEX(Vol_O,22,AZ$14)/12*(1+P_dVol),0)</f>
        <v>0</v>
      </c>
      <c r="BA42" s="48" t="n">
        <f aca="false">IF(BA$15=1,INDEX(Vol_O,22,BA$14)/12*(1+P_dVol),0)</f>
        <v>0</v>
      </c>
      <c r="BB42" s="48" t="n">
        <f aca="false">IF(BB$15=1,INDEX(Vol_O,22,BB$14)/12*(1+P_dVol),0)</f>
        <v>0</v>
      </c>
      <c r="BC42" s="48" t="n">
        <f aca="false">IF(BC$15=1,INDEX(Vol_O,22,BC$14)/12*(1+P_dVol),0)</f>
        <v>0</v>
      </c>
      <c r="BD42" s="48" t="n">
        <f aca="false">IF(BD$15=1,INDEX(Vol_O,22,BD$14)/12*(1+P_dVol),0)</f>
        <v>0</v>
      </c>
      <c r="BE42" s="48" t="n">
        <f aca="false">IF(BE$15=1,INDEX(Vol_O,22,BE$14)/12*(1+P_dVol),0)</f>
        <v>0</v>
      </c>
      <c r="BF42" s="48" t="n">
        <f aca="false">IF(BF$15=1,INDEX(Vol_O,22,BF$14)/12*(1+P_dVol),0)</f>
        <v>0</v>
      </c>
      <c r="BG42" s="48" t="n">
        <f aca="false">IF(BG$15=1,INDEX(Vol_O,22,BG$14)/12*(1+P_dVol),0)</f>
        <v>0</v>
      </c>
      <c r="BH42" s="48" t="n">
        <f aca="false">IF(BH$15=1,INDEX(Vol_O,22,BH$14)/12*(1+P_dVol),0)</f>
        <v>0</v>
      </c>
      <c r="BI42" s="48" t="n">
        <f aca="false">IF(BI$15=1,INDEX(Vol_O,22,BI$14)/12*(1+P_dVol),0)</f>
        <v>0</v>
      </c>
      <c r="BJ42" s="48" t="n">
        <f aca="false">IF(BJ$15=1,INDEX(Vol_O,22,BJ$14)/12*(1+P_dVol),0)</f>
        <v>0</v>
      </c>
      <c r="BK42" s="48" t="n">
        <f aca="false">IF(BK$15=1,INDEX(Vol_O,22,BK$14)/12*(1+P_dVol),0)</f>
        <v>0</v>
      </c>
      <c r="BL42" s="48" t="n">
        <f aca="false">IF(BL$15=1,INDEX(Vol_O,22,BL$14)/12*(1+P_dVol),0)</f>
        <v>0</v>
      </c>
      <c r="BM42" s="48" t="n">
        <f aca="false">IF(BM$15=1,INDEX(Vol_O,22,BM$14)/12*(1+P_dVol),0)</f>
        <v>0</v>
      </c>
      <c r="BN42" s="48" t="n">
        <f aca="false">IF(BN$15=1,INDEX(Vol_O,22,BN$14)/12*(1+P_dVol),0)</f>
        <v>0</v>
      </c>
      <c r="BO42" s="48" t="n">
        <f aca="false">IF(BO$15=1,INDEX(Vol_O,22,BO$14)/12*(1+P_dVol),0)</f>
        <v>0</v>
      </c>
      <c r="BP42" s="48" t="n">
        <f aca="false">IF(BP$15=1,INDEX(Vol_O,22,BP$14)/12*(1+P_dVol),0)</f>
        <v>0</v>
      </c>
      <c r="BQ42" s="48" t="n">
        <f aca="false">IF(BQ$15=1,INDEX(Vol_O,22,BQ$14)/12*(1+P_dVol),0)</f>
        <v>0</v>
      </c>
      <c r="BR42" s="48" t="n">
        <f aca="false">IF(BR$15=1,INDEX(Vol_O,22,BR$14)/12*(1+P_dVol),0)</f>
        <v>0</v>
      </c>
      <c r="BS42" s="48" t="n">
        <f aca="false">IF(BS$15=1,INDEX(Vol_O,22,BS$14)/12*(1+P_dVol),0)</f>
        <v>0</v>
      </c>
      <c r="BT42" s="48" t="n">
        <f aca="false">IF(BT$15=1,INDEX(Vol_O,22,BT$14)/12*(1+P_dVol),0)</f>
        <v>0</v>
      </c>
      <c r="BU42" s="48" t="n">
        <f aca="false">IF(BU$15=1,INDEX(Vol_O,22,BU$14)/12*(1+P_dVol),0)</f>
        <v>0</v>
      </c>
      <c r="BV42" s="48" t="n">
        <f aca="false">IF(BV$15=1,INDEX(Vol_O,22,BV$14)/12*(1+P_dVol),0)</f>
        <v>0</v>
      </c>
      <c r="BW42" s="48" t="n">
        <f aca="false">IF(BW$15=1,INDEX(Vol_O,22,BW$14)/12*(1+P_dVol),0)</f>
        <v>0</v>
      </c>
      <c r="BX42" s="48" t="n">
        <f aca="false">IF(BX$15=1,INDEX(Vol_O,22,BX$14)/12*(1+P_dVol),0)</f>
        <v>0</v>
      </c>
      <c r="BY42" s="48" t="n">
        <f aca="false">IF(BY$15=1,INDEX(Vol_O,22,BY$14)/12*(1+P_dVol),0)</f>
        <v>0</v>
      </c>
      <c r="BZ42" s="48" t="n">
        <f aca="false">IF(BZ$15=1,INDEX(Vol_O,22,BZ$14)/12*(1+P_dVol),0)</f>
        <v>0</v>
      </c>
      <c r="CA42" s="48" t="n">
        <f aca="false">IF(CA$15=1,INDEX(Vol_O,22,CA$14)/12*(1+P_dVol),0)</f>
        <v>0</v>
      </c>
      <c r="CB42" s="48" t="n">
        <f aca="false">IF(CB$15=1,INDEX(Vol_O,22,CB$14)/12*(1+P_dVol),0)</f>
        <v>0</v>
      </c>
      <c r="CC42" s="48" t="n">
        <f aca="false">IF(CC$15=1,INDEX(Vol_O,22,CC$14)/12*(1+P_dVol),0)</f>
        <v>0</v>
      </c>
      <c r="CD42" s="48" t="n">
        <f aca="false">IF(CD$15=1,INDEX(Vol_O,22,CD$14)/12*(1+P_dVol),0)</f>
        <v>0</v>
      </c>
      <c r="CE42" s="48" t="n">
        <f aca="false">IF(CE$15=1,INDEX(Vol_O,22,CE$14)/12*(1+P_dVol),0)</f>
        <v>0</v>
      </c>
      <c r="CF42" s="48" t="n">
        <f aca="false">IF(CF$15=1,INDEX(Vol_O,22,CF$14)/12*(1+P_dVol),0)</f>
        <v>0</v>
      </c>
      <c r="CG42" s="48" t="n">
        <f aca="false">IF(CG$15=1,INDEX(Vol_O,22,CG$14)/12*(1+P_dVol),0)</f>
        <v>0</v>
      </c>
      <c r="CH42" s="48" t="n">
        <f aca="false">IF(CH$15=1,INDEX(Vol_O,22,CH$14)/12*(1+P_dVol),0)</f>
        <v>0</v>
      </c>
      <c r="CI42" s="48" t="n">
        <f aca="false">IF(CI$15=1,INDEX(Vol_O,22,CI$14)/12*(1+P_dVol),0)</f>
        <v>0</v>
      </c>
      <c r="CJ42" s="48" t="n">
        <f aca="false">IF(CJ$15=1,INDEX(Vol_O,22,CJ$14)/12*(1+P_dVol),0)</f>
        <v>0</v>
      </c>
      <c r="CK42" s="48" t="n">
        <f aca="false">IF(CK$15=1,INDEX(Vol_O,22,CK$14)/12*(1+P_dVol),0)</f>
        <v>0</v>
      </c>
      <c r="CL42" s="48" t="n">
        <f aca="false">IF(CL$15=1,INDEX(Vol_O,22,CL$14)/12*(1+P_dVol),0)</f>
        <v>0</v>
      </c>
      <c r="CM42" s="48" t="n">
        <f aca="false">IF(CM$15=1,INDEX(Vol_O,22,CM$14)/12*(1+P_dVol),0)</f>
        <v>0</v>
      </c>
      <c r="CN42" s="48" t="n">
        <f aca="false">IF(CN$15=1,INDEX(Vol_O,22,CN$14)/12*(1+P_dVol),0)</f>
        <v>0</v>
      </c>
      <c r="CO42" s="48" t="n">
        <f aca="false">IF(CO$15=1,INDEX(Vol_O,22,CO$14)/12*(1+P_dVol),0)</f>
        <v>0</v>
      </c>
      <c r="CP42" s="48" t="n">
        <f aca="false">IF(CP$15=1,INDEX(Vol_O,22,CP$14)/12*(1+P_dVol),0)</f>
        <v>0</v>
      </c>
      <c r="CQ42" s="48" t="n">
        <f aca="false">IF(CQ$15=1,INDEX(Vol_O,22,CQ$14)/12*(1+P_dVol),0)</f>
        <v>0</v>
      </c>
      <c r="CR42" s="48" t="n">
        <f aca="false">IF(CR$15=1,INDEX(Vol_O,22,CR$14)/12*(1+P_dVol),0)</f>
        <v>0</v>
      </c>
      <c r="CS42" s="48" t="n">
        <f aca="false">IF(CS$15=1,INDEX(Vol_O,22,CS$14)/12*(1+P_dVol),0)</f>
        <v>0</v>
      </c>
      <c r="CT42" s="48" t="n">
        <f aca="false">IF(CT$15=1,INDEX(Vol_O,22,CT$14)/12*(1+P_dVol),0)</f>
        <v>0</v>
      </c>
      <c r="CU42" s="48" t="n">
        <f aca="false">IF(CU$15=1,INDEX(Vol_O,22,CU$14)/12*(1+P_dVol),0)</f>
        <v>0</v>
      </c>
      <c r="CV42" s="48" t="n">
        <f aca="false">IF(CV$15=1,INDEX(Vol_O,22,CV$14)/12*(1+P_dVol),0)</f>
        <v>0</v>
      </c>
      <c r="CW42" s="48" t="n">
        <f aca="false">IF(CW$15=1,INDEX(Vol_O,22,CW$14)/12*(1+P_dVol),0)</f>
        <v>0</v>
      </c>
      <c r="CX42" s="48" t="n">
        <f aca="false">IF(CX$15=1,INDEX(Vol_O,22,CX$14)/12*(1+P_dVol),0)</f>
        <v>0</v>
      </c>
      <c r="CY42" s="48" t="n">
        <f aca="false">IF(CY$15=1,INDEX(Vol_O,22,CY$14)/12*(1+P_dVol),0)</f>
        <v>0</v>
      </c>
      <c r="CZ42" s="48" t="n">
        <f aca="false">IF(CZ$15=1,INDEX(Vol_O,22,CZ$14)/12*(1+P_dVol),0)</f>
        <v>0</v>
      </c>
      <c r="DA42" s="48" t="n">
        <f aca="false">IF(DA$15=1,INDEX(Vol_O,22,DA$14)/12*(1+P_dVol),0)</f>
        <v>0</v>
      </c>
      <c r="DB42" s="48" t="n">
        <f aca="false">IF(DB$15=1,INDEX(Vol_O,22,DB$14)/12*(1+P_dVol),0)</f>
        <v>0</v>
      </c>
      <c r="DC42" s="48" t="n">
        <f aca="false">IF(DC$15=1,INDEX(Vol_O,22,DC$14)/12*(1+P_dVol),0)</f>
        <v>0</v>
      </c>
      <c r="DD42" s="48" t="n">
        <f aca="false">IF(DD$15=1,INDEX(Vol_O,22,DD$14)/12*(1+P_dVol),0)</f>
        <v>0</v>
      </c>
      <c r="DE42" s="48" t="n">
        <f aca="false">IF(DE$15=1,INDEX(Vol_O,22,DE$14)/12*(1+P_dVol),0)</f>
        <v>0</v>
      </c>
      <c r="DF42" s="48" t="n">
        <f aca="false">IF(DF$15=1,INDEX(Vol_O,22,DF$14)/12*(1+P_dVol),0)</f>
        <v>0</v>
      </c>
      <c r="DG42" s="48" t="n">
        <f aca="false">IF(DG$15=1,INDEX(Vol_O,22,DG$14)/12*(1+P_dVol),0)</f>
        <v>0</v>
      </c>
      <c r="DH42" s="48" t="n">
        <f aca="false">IF(DH$15=1,INDEX(Vol_O,22,DH$14)/12*(1+P_dVol),0)</f>
        <v>0</v>
      </c>
      <c r="DI42" s="48" t="n">
        <f aca="false">IF(DI$15=1,INDEX(Vol_O,22,DI$14)/12*(1+P_dVol),0)</f>
        <v>0</v>
      </c>
      <c r="DJ42" s="48" t="n">
        <f aca="false">IF(DJ$15=1,INDEX(Vol_O,22,DJ$14)/12*(1+P_dVol),0)</f>
        <v>0</v>
      </c>
      <c r="DK42" s="48" t="n">
        <f aca="false">IF(DK$15=1,INDEX(Vol_O,22,DK$14)/12*(1+P_dVol),0)</f>
        <v>0</v>
      </c>
      <c r="DL42" s="48" t="n">
        <f aca="false">IF(DL$15=1,INDEX(Vol_O,22,DL$14)/12*(1+P_dVol),0)</f>
        <v>0</v>
      </c>
      <c r="DM42" s="48" t="n">
        <f aca="false">IF(DM$15=1,INDEX(Vol_O,22,DM$14)/12*(1+P_dVol),0)</f>
        <v>0</v>
      </c>
      <c r="DN42" s="48" t="n">
        <f aca="false">IF(DN$15=1,INDEX(Vol_O,22,DN$14)/12*(1+P_dVol),0)</f>
        <v>0</v>
      </c>
      <c r="DO42" s="48" t="n">
        <f aca="false">IF(DO$15=1,INDEX(Vol_O,22,DO$14)/12*(1+P_dVol),0)</f>
        <v>0</v>
      </c>
      <c r="DP42" s="48" t="n">
        <f aca="false">IF(DP$15=1,INDEX(Vol_O,22,DP$14)/12*(1+P_dVol),0)</f>
        <v>0</v>
      </c>
      <c r="DQ42" s="48" t="n">
        <f aca="false">IF(DQ$15=1,INDEX(Vol_O,22,DQ$14)/12*(1+P_dVol),0)</f>
        <v>0</v>
      </c>
      <c r="DR42" s="48" t="n">
        <f aca="false">IF(DR$15=1,INDEX(Vol_O,22,DR$14)/12*(1+P_dVol),0)</f>
        <v>0</v>
      </c>
      <c r="DS42" s="48" t="n">
        <f aca="false">IF(DS$15=1,INDEX(Vol_O,22,DS$14)/12*(1+P_dVol),0)</f>
        <v>0</v>
      </c>
      <c r="DT42" s="48" t="n">
        <f aca="false">IF(DT$15=1,INDEX(Vol_O,22,DT$14)/12*(1+P_dVol),0)</f>
        <v>0</v>
      </c>
      <c r="DU42" s="48" t="n">
        <f aca="false">IF(DU$15=1,INDEX(Vol_O,22,DU$14)/12*(1+P_dVol),0)</f>
        <v>0</v>
      </c>
      <c r="DV42" s="48" t="n">
        <f aca="false">IF(DV$15=1,INDEX(Vol_O,22,DV$14)/12*(1+P_dVol),0)</f>
        <v>0</v>
      </c>
      <c r="DW42" s="48" t="n">
        <f aca="false">IF(DW$15=1,INDEX(Vol_O,22,DW$14)/12*(1+P_dVol),0)</f>
        <v>0</v>
      </c>
      <c r="DX42" s="48" t="n">
        <f aca="false">IF(DX$15=1,INDEX(Vol_O,22,DX$14)/12*(1+P_dVol),0)</f>
        <v>0</v>
      </c>
      <c r="DY42" s="48" t="n">
        <f aca="false">IF(DY$15=1,INDEX(Vol_O,22,DY$14)/12*(1+P_dVol),0)</f>
        <v>0</v>
      </c>
      <c r="DZ42" s="48" t="n">
        <f aca="false">IF(DZ$15=1,INDEX(Vol_O,22,DZ$14)/12*(1+P_dVol),0)</f>
        <v>0</v>
      </c>
      <c r="EA42" s="48" t="n">
        <f aca="false">IF(EA$15=1,INDEX(Vol_O,22,EA$14)/12*(1+P_dVol),0)</f>
        <v>0</v>
      </c>
      <c r="EB42" s="48" t="n">
        <f aca="false">IF(EB$15=1,INDEX(Vol_O,22,EB$14)/12*(1+P_dVol),0)</f>
        <v>0</v>
      </c>
      <c r="EC42" s="48" t="n">
        <f aca="false">IF(EC$15=1,INDEX(Vol_O,22,EC$14)/12*(1+P_dVol),0)</f>
        <v>0</v>
      </c>
      <c r="ED42" s="48" t="n">
        <f aca="false">IF(ED$15=1,INDEX(Vol_O,22,ED$14)/12*(1+P_dVol),0)</f>
        <v>0</v>
      </c>
      <c r="EE42" s="48" t="n">
        <f aca="false">IF(EE$15=1,INDEX(Vol_O,22,EE$14)/12*(1+P_dVol),0)</f>
        <v>0</v>
      </c>
      <c r="EF42" s="48" t="n">
        <f aca="false">IF(EF$15=1,INDEX(Vol_O,22,EF$14)/12*(1+P_dVol),0)</f>
        <v>0</v>
      </c>
      <c r="EG42" s="48" t="n">
        <f aca="false">IF(EG$15=1,INDEX(Vol_O,22,EG$14)/12*(1+P_dVol),0)</f>
        <v>0</v>
      </c>
      <c r="EH42" s="48" t="n">
        <f aca="false">IF(EH$15=1,INDEX(Vol_O,22,EH$14)/12*(1+P_dVol),0)</f>
        <v>0</v>
      </c>
      <c r="EI42" s="48" t="n">
        <f aca="false">IF(EI$15=1,INDEX(Vol_O,22,EI$14)/12*(1+P_dVol),0)</f>
        <v>0</v>
      </c>
      <c r="EJ42" s="48" t="n">
        <f aca="false">IF(EJ$15=1,INDEX(Vol_O,22,EJ$14)/12*(1+P_dVol),0)</f>
        <v>0</v>
      </c>
      <c r="EK42" s="48" t="n">
        <f aca="false">IF(EK$15=1,INDEX(Vol_O,22,EK$14)/12*(1+P_dVol),0)</f>
        <v>0</v>
      </c>
      <c r="EL42" s="48" t="n">
        <f aca="false">IF(EL$15=1,INDEX(Vol_O,22,EL$14)/12*(1+P_dVol),0)</f>
        <v>0</v>
      </c>
      <c r="EM42" s="48" t="n">
        <f aca="false">IF(EM$15=1,INDEX(Vol_O,22,EM$14)/12*(1+P_dVol),0)</f>
        <v>0</v>
      </c>
      <c r="EN42" s="48" t="n">
        <f aca="false">IF(EN$15=1,INDEX(Vol_O,22,EN$14)/12*(1+P_dVol),0)</f>
        <v>0</v>
      </c>
      <c r="EO42" s="48" t="n">
        <f aca="false">IF(EO$15=1,INDEX(Vol_O,22,EO$14)/12*(1+P_dVol),0)</f>
        <v>0</v>
      </c>
      <c r="EP42" s="48" t="n">
        <f aca="false">IF(EP$15=1,INDEX(Vol_O,22,EP$14)/12*(1+P_dVol),0)</f>
        <v>0</v>
      </c>
      <c r="EQ42" s="48" t="n">
        <f aca="false">IF(EQ$15=1,INDEX(Vol_O,22,EQ$14)/12*(1+P_dVol),0)</f>
        <v>0</v>
      </c>
      <c r="ER42" s="48" t="n">
        <f aca="false">IF(ER$15=1,INDEX(Vol_O,22,ER$14)/12*(1+P_dVol),0)</f>
        <v>0</v>
      </c>
      <c r="ES42" s="48" t="n">
        <f aca="false">IF(ES$15=1,INDEX(Vol_O,22,ES$14)/12*(1+P_dVol),0)</f>
        <v>0</v>
      </c>
    </row>
    <row r="43" customFormat="false" ht="15" hidden="false" customHeight="false" outlineLevel="0" collapsed="false">
      <c r="A43" s="11" t="s">
        <v>1088</v>
      </c>
      <c r="B43" s="53" t="str">
        <f aca="false">IF(INDEX(Prod_Nombre,23)="","Producto 23",INDEX(Prod_Nombre,23))&amp;" — unidades"</f>
        <v>Producto 23 — unidades</v>
      </c>
      <c r="C43" s="15" t="s">
        <v>544</v>
      </c>
      <c r="E43" s="54" t="n">
        <f aca="false">SUM(F43:ES43)</f>
        <v>0</v>
      </c>
      <c r="F43" s="48" t="n">
        <f aca="false">IF(F$15=1,INDEX(Vol_O,23,F$14)/12*(1+P_dVol),0)</f>
        <v>0</v>
      </c>
      <c r="G43" s="48" t="n">
        <f aca="false">IF(G$15=1,INDEX(Vol_O,23,G$14)/12*(1+P_dVol),0)</f>
        <v>0</v>
      </c>
      <c r="H43" s="48" t="n">
        <f aca="false">IF(H$15=1,INDEX(Vol_O,23,H$14)/12*(1+P_dVol),0)</f>
        <v>0</v>
      </c>
      <c r="I43" s="48" t="n">
        <f aca="false">IF(I$15=1,INDEX(Vol_O,23,I$14)/12*(1+P_dVol),0)</f>
        <v>0</v>
      </c>
      <c r="J43" s="48" t="n">
        <f aca="false">IF(J$15=1,INDEX(Vol_O,23,J$14)/12*(1+P_dVol),0)</f>
        <v>0</v>
      </c>
      <c r="K43" s="48" t="n">
        <f aca="false">IF(K$15=1,INDEX(Vol_O,23,K$14)/12*(1+P_dVol),0)</f>
        <v>0</v>
      </c>
      <c r="L43" s="48" t="n">
        <f aca="false">IF(L$15=1,INDEX(Vol_O,23,L$14)/12*(1+P_dVol),0)</f>
        <v>0</v>
      </c>
      <c r="M43" s="48" t="n">
        <f aca="false">IF(M$15=1,INDEX(Vol_O,23,M$14)/12*(1+P_dVol),0)</f>
        <v>0</v>
      </c>
      <c r="N43" s="48" t="n">
        <f aca="false">IF(N$15=1,INDEX(Vol_O,23,N$14)/12*(1+P_dVol),0)</f>
        <v>0</v>
      </c>
      <c r="O43" s="48" t="n">
        <f aca="false">IF(O$15=1,INDEX(Vol_O,23,O$14)/12*(1+P_dVol),0)</f>
        <v>0</v>
      </c>
      <c r="P43" s="48" t="n">
        <f aca="false">IF(P$15=1,INDEX(Vol_O,23,P$14)/12*(1+P_dVol),0)</f>
        <v>0</v>
      </c>
      <c r="Q43" s="48" t="n">
        <f aca="false">IF(Q$15=1,INDEX(Vol_O,23,Q$14)/12*(1+P_dVol),0)</f>
        <v>0</v>
      </c>
      <c r="R43" s="48" t="n">
        <f aca="false">IF(R$15=1,INDEX(Vol_O,23,R$14)/12*(1+P_dVol),0)</f>
        <v>0</v>
      </c>
      <c r="S43" s="48" t="n">
        <f aca="false">IF(S$15=1,INDEX(Vol_O,23,S$14)/12*(1+P_dVol),0)</f>
        <v>0</v>
      </c>
      <c r="T43" s="48" t="n">
        <f aca="false">IF(T$15=1,INDEX(Vol_O,23,T$14)/12*(1+P_dVol),0)</f>
        <v>0</v>
      </c>
      <c r="U43" s="48" t="n">
        <f aca="false">IF(U$15=1,INDEX(Vol_O,23,U$14)/12*(1+P_dVol),0)</f>
        <v>0</v>
      </c>
      <c r="V43" s="48" t="n">
        <f aca="false">IF(V$15=1,INDEX(Vol_O,23,V$14)/12*(1+P_dVol),0)</f>
        <v>0</v>
      </c>
      <c r="W43" s="48" t="n">
        <f aca="false">IF(W$15=1,INDEX(Vol_O,23,W$14)/12*(1+P_dVol),0)</f>
        <v>0</v>
      </c>
      <c r="X43" s="48" t="n">
        <f aca="false">IF(X$15=1,INDEX(Vol_O,23,X$14)/12*(1+P_dVol),0)</f>
        <v>0</v>
      </c>
      <c r="Y43" s="48" t="n">
        <f aca="false">IF(Y$15=1,INDEX(Vol_O,23,Y$14)/12*(1+P_dVol),0)</f>
        <v>0</v>
      </c>
      <c r="Z43" s="48" t="n">
        <f aca="false">IF(Z$15=1,INDEX(Vol_O,23,Z$14)/12*(1+P_dVol),0)</f>
        <v>0</v>
      </c>
      <c r="AA43" s="48" t="n">
        <f aca="false">IF(AA$15=1,INDEX(Vol_O,23,AA$14)/12*(1+P_dVol),0)</f>
        <v>0</v>
      </c>
      <c r="AB43" s="48" t="n">
        <f aca="false">IF(AB$15=1,INDEX(Vol_O,23,AB$14)/12*(1+P_dVol),0)</f>
        <v>0</v>
      </c>
      <c r="AC43" s="48" t="n">
        <f aca="false">IF(AC$15=1,INDEX(Vol_O,23,AC$14)/12*(1+P_dVol),0)</f>
        <v>0</v>
      </c>
      <c r="AD43" s="48" t="n">
        <f aca="false">IF(AD$15=1,INDEX(Vol_O,23,AD$14)/12*(1+P_dVol),0)</f>
        <v>0</v>
      </c>
      <c r="AE43" s="48" t="n">
        <f aca="false">IF(AE$15=1,INDEX(Vol_O,23,AE$14)/12*(1+P_dVol),0)</f>
        <v>0</v>
      </c>
      <c r="AF43" s="48" t="n">
        <f aca="false">IF(AF$15=1,INDEX(Vol_O,23,AF$14)/12*(1+P_dVol),0)</f>
        <v>0</v>
      </c>
      <c r="AG43" s="48" t="n">
        <f aca="false">IF(AG$15=1,INDEX(Vol_O,23,AG$14)/12*(1+P_dVol),0)</f>
        <v>0</v>
      </c>
      <c r="AH43" s="48" t="n">
        <f aca="false">IF(AH$15=1,INDEX(Vol_O,23,AH$14)/12*(1+P_dVol),0)</f>
        <v>0</v>
      </c>
      <c r="AI43" s="48" t="n">
        <f aca="false">IF(AI$15=1,INDEX(Vol_O,23,AI$14)/12*(1+P_dVol),0)</f>
        <v>0</v>
      </c>
      <c r="AJ43" s="48" t="n">
        <f aca="false">IF(AJ$15=1,INDEX(Vol_O,23,AJ$14)/12*(1+P_dVol),0)</f>
        <v>0</v>
      </c>
      <c r="AK43" s="48" t="n">
        <f aca="false">IF(AK$15=1,INDEX(Vol_O,23,AK$14)/12*(1+P_dVol),0)</f>
        <v>0</v>
      </c>
      <c r="AL43" s="48" t="n">
        <f aca="false">IF(AL$15=1,INDEX(Vol_O,23,AL$14)/12*(1+P_dVol),0)</f>
        <v>0</v>
      </c>
      <c r="AM43" s="48" t="n">
        <f aca="false">IF(AM$15=1,INDEX(Vol_O,23,AM$14)/12*(1+P_dVol),0)</f>
        <v>0</v>
      </c>
      <c r="AN43" s="48" t="n">
        <f aca="false">IF(AN$15=1,INDEX(Vol_O,23,AN$14)/12*(1+P_dVol),0)</f>
        <v>0</v>
      </c>
      <c r="AO43" s="48" t="n">
        <f aca="false">IF(AO$15=1,INDEX(Vol_O,23,AO$14)/12*(1+P_dVol),0)</f>
        <v>0</v>
      </c>
      <c r="AP43" s="48" t="n">
        <f aca="false">IF(AP$15=1,INDEX(Vol_O,23,AP$14)/12*(1+P_dVol),0)</f>
        <v>0</v>
      </c>
      <c r="AQ43" s="48" t="n">
        <f aca="false">IF(AQ$15=1,INDEX(Vol_O,23,AQ$14)/12*(1+P_dVol),0)</f>
        <v>0</v>
      </c>
      <c r="AR43" s="48" t="n">
        <f aca="false">IF(AR$15=1,INDEX(Vol_O,23,AR$14)/12*(1+P_dVol),0)</f>
        <v>0</v>
      </c>
      <c r="AS43" s="48" t="n">
        <f aca="false">IF(AS$15=1,INDEX(Vol_O,23,AS$14)/12*(1+P_dVol),0)</f>
        <v>0</v>
      </c>
      <c r="AT43" s="48" t="n">
        <f aca="false">IF(AT$15=1,INDEX(Vol_O,23,AT$14)/12*(1+P_dVol),0)</f>
        <v>0</v>
      </c>
      <c r="AU43" s="48" t="n">
        <f aca="false">IF(AU$15=1,INDEX(Vol_O,23,AU$14)/12*(1+P_dVol),0)</f>
        <v>0</v>
      </c>
      <c r="AV43" s="48" t="n">
        <f aca="false">IF(AV$15=1,INDEX(Vol_O,23,AV$14)/12*(1+P_dVol),0)</f>
        <v>0</v>
      </c>
      <c r="AW43" s="48" t="n">
        <f aca="false">IF(AW$15=1,INDEX(Vol_O,23,AW$14)/12*(1+P_dVol),0)</f>
        <v>0</v>
      </c>
      <c r="AX43" s="48" t="n">
        <f aca="false">IF(AX$15=1,INDEX(Vol_O,23,AX$14)/12*(1+P_dVol),0)</f>
        <v>0</v>
      </c>
      <c r="AY43" s="48" t="n">
        <f aca="false">IF(AY$15=1,INDEX(Vol_O,23,AY$14)/12*(1+P_dVol),0)</f>
        <v>0</v>
      </c>
      <c r="AZ43" s="48" t="n">
        <f aca="false">IF(AZ$15=1,INDEX(Vol_O,23,AZ$14)/12*(1+P_dVol),0)</f>
        <v>0</v>
      </c>
      <c r="BA43" s="48" t="n">
        <f aca="false">IF(BA$15=1,INDEX(Vol_O,23,BA$14)/12*(1+P_dVol),0)</f>
        <v>0</v>
      </c>
      <c r="BB43" s="48" t="n">
        <f aca="false">IF(BB$15=1,INDEX(Vol_O,23,BB$14)/12*(1+P_dVol),0)</f>
        <v>0</v>
      </c>
      <c r="BC43" s="48" t="n">
        <f aca="false">IF(BC$15=1,INDEX(Vol_O,23,BC$14)/12*(1+P_dVol),0)</f>
        <v>0</v>
      </c>
      <c r="BD43" s="48" t="n">
        <f aca="false">IF(BD$15=1,INDEX(Vol_O,23,BD$14)/12*(1+P_dVol),0)</f>
        <v>0</v>
      </c>
      <c r="BE43" s="48" t="n">
        <f aca="false">IF(BE$15=1,INDEX(Vol_O,23,BE$14)/12*(1+P_dVol),0)</f>
        <v>0</v>
      </c>
      <c r="BF43" s="48" t="n">
        <f aca="false">IF(BF$15=1,INDEX(Vol_O,23,BF$14)/12*(1+P_dVol),0)</f>
        <v>0</v>
      </c>
      <c r="BG43" s="48" t="n">
        <f aca="false">IF(BG$15=1,INDEX(Vol_O,23,BG$14)/12*(1+P_dVol),0)</f>
        <v>0</v>
      </c>
      <c r="BH43" s="48" t="n">
        <f aca="false">IF(BH$15=1,INDEX(Vol_O,23,BH$14)/12*(1+P_dVol),0)</f>
        <v>0</v>
      </c>
      <c r="BI43" s="48" t="n">
        <f aca="false">IF(BI$15=1,INDEX(Vol_O,23,BI$14)/12*(1+P_dVol),0)</f>
        <v>0</v>
      </c>
      <c r="BJ43" s="48" t="n">
        <f aca="false">IF(BJ$15=1,INDEX(Vol_O,23,BJ$14)/12*(1+P_dVol),0)</f>
        <v>0</v>
      </c>
      <c r="BK43" s="48" t="n">
        <f aca="false">IF(BK$15=1,INDEX(Vol_O,23,BK$14)/12*(1+P_dVol),0)</f>
        <v>0</v>
      </c>
      <c r="BL43" s="48" t="n">
        <f aca="false">IF(BL$15=1,INDEX(Vol_O,23,BL$14)/12*(1+P_dVol),0)</f>
        <v>0</v>
      </c>
      <c r="BM43" s="48" t="n">
        <f aca="false">IF(BM$15=1,INDEX(Vol_O,23,BM$14)/12*(1+P_dVol),0)</f>
        <v>0</v>
      </c>
      <c r="BN43" s="48" t="n">
        <f aca="false">IF(BN$15=1,INDEX(Vol_O,23,BN$14)/12*(1+P_dVol),0)</f>
        <v>0</v>
      </c>
      <c r="BO43" s="48" t="n">
        <f aca="false">IF(BO$15=1,INDEX(Vol_O,23,BO$14)/12*(1+P_dVol),0)</f>
        <v>0</v>
      </c>
      <c r="BP43" s="48" t="n">
        <f aca="false">IF(BP$15=1,INDEX(Vol_O,23,BP$14)/12*(1+P_dVol),0)</f>
        <v>0</v>
      </c>
      <c r="BQ43" s="48" t="n">
        <f aca="false">IF(BQ$15=1,INDEX(Vol_O,23,BQ$14)/12*(1+P_dVol),0)</f>
        <v>0</v>
      </c>
      <c r="BR43" s="48" t="n">
        <f aca="false">IF(BR$15=1,INDEX(Vol_O,23,BR$14)/12*(1+P_dVol),0)</f>
        <v>0</v>
      </c>
      <c r="BS43" s="48" t="n">
        <f aca="false">IF(BS$15=1,INDEX(Vol_O,23,BS$14)/12*(1+P_dVol),0)</f>
        <v>0</v>
      </c>
      <c r="BT43" s="48" t="n">
        <f aca="false">IF(BT$15=1,INDEX(Vol_O,23,BT$14)/12*(1+P_dVol),0)</f>
        <v>0</v>
      </c>
      <c r="BU43" s="48" t="n">
        <f aca="false">IF(BU$15=1,INDEX(Vol_O,23,BU$14)/12*(1+P_dVol),0)</f>
        <v>0</v>
      </c>
      <c r="BV43" s="48" t="n">
        <f aca="false">IF(BV$15=1,INDEX(Vol_O,23,BV$14)/12*(1+P_dVol),0)</f>
        <v>0</v>
      </c>
      <c r="BW43" s="48" t="n">
        <f aca="false">IF(BW$15=1,INDEX(Vol_O,23,BW$14)/12*(1+P_dVol),0)</f>
        <v>0</v>
      </c>
      <c r="BX43" s="48" t="n">
        <f aca="false">IF(BX$15=1,INDEX(Vol_O,23,BX$14)/12*(1+P_dVol),0)</f>
        <v>0</v>
      </c>
      <c r="BY43" s="48" t="n">
        <f aca="false">IF(BY$15=1,INDEX(Vol_O,23,BY$14)/12*(1+P_dVol),0)</f>
        <v>0</v>
      </c>
      <c r="BZ43" s="48" t="n">
        <f aca="false">IF(BZ$15=1,INDEX(Vol_O,23,BZ$14)/12*(1+P_dVol),0)</f>
        <v>0</v>
      </c>
      <c r="CA43" s="48" t="n">
        <f aca="false">IF(CA$15=1,INDEX(Vol_O,23,CA$14)/12*(1+P_dVol),0)</f>
        <v>0</v>
      </c>
      <c r="CB43" s="48" t="n">
        <f aca="false">IF(CB$15=1,INDEX(Vol_O,23,CB$14)/12*(1+P_dVol),0)</f>
        <v>0</v>
      </c>
      <c r="CC43" s="48" t="n">
        <f aca="false">IF(CC$15=1,INDEX(Vol_O,23,CC$14)/12*(1+P_dVol),0)</f>
        <v>0</v>
      </c>
      <c r="CD43" s="48" t="n">
        <f aca="false">IF(CD$15=1,INDEX(Vol_O,23,CD$14)/12*(1+P_dVol),0)</f>
        <v>0</v>
      </c>
      <c r="CE43" s="48" t="n">
        <f aca="false">IF(CE$15=1,INDEX(Vol_O,23,CE$14)/12*(1+P_dVol),0)</f>
        <v>0</v>
      </c>
      <c r="CF43" s="48" t="n">
        <f aca="false">IF(CF$15=1,INDEX(Vol_O,23,CF$14)/12*(1+P_dVol),0)</f>
        <v>0</v>
      </c>
      <c r="CG43" s="48" t="n">
        <f aca="false">IF(CG$15=1,INDEX(Vol_O,23,CG$14)/12*(1+P_dVol),0)</f>
        <v>0</v>
      </c>
      <c r="CH43" s="48" t="n">
        <f aca="false">IF(CH$15=1,INDEX(Vol_O,23,CH$14)/12*(1+P_dVol),0)</f>
        <v>0</v>
      </c>
      <c r="CI43" s="48" t="n">
        <f aca="false">IF(CI$15=1,INDEX(Vol_O,23,CI$14)/12*(1+P_dVol),0)</f>
        <v>0</v>
      </c>
      <c r="CJ43" s="48" t="n">
        <f aca="false">IF(CJ$15=1,INDEX(Vol_O,23,CJ$14)/12*(1+P_dVol),0)</f>
        <v>0</v>
      </c>
      <c r="CK43" s="48" t="n">
        <f aca="false">IF(CK$15=1,INDEX(Vol_O,23,CK$14)/12*(1+P_dVol),0)</f>
        <v>0</v>
      </c>
      <c r="CL43" s="48" t="n">
        <f aca="false">IF(CL$15=1,INDEX(Vol_O,23,CL$14)/12*(1+P_dVol),0)</f>
        <v>0</v>
      </c>
      <c r="CM43" s="48" t="n">
        <f aca="false">IF(CM$15=1,INDEX(Vol_O,23,CM$14)/12*(1+P_dVol),0)</f>
        <v>0</v>
      </c>
      <c r="CN43" s="48" t="n">
        <f aca="false">IF(CN$15=1,INDEX(Vol_O,23,CN$14)/12*(1+P_dVol),0)</f>
        <v>0</v>
      </c>
      <c r="CO43" s="48" t="n">
        <f aca="false">IF(CO$15=1,INDEX(Vol_O,23,CO$14)/12*(1+P_dVol),0)</f>
        <v>0</v>
      </c>
      <c r="CP43" s="48" t="n">
        <f aca="false">IF(CP$15=1,INDEX(Vol_O,23,CP$14)/12*(1+P_dVol),0)</f>
        <v>0</v>
      </c>
      <c r="CQ43" s="48" t="n">
        <f aca="false">IF(CQ$15=1,INDEX(Vol_O,23,CQ$14)/12*(1+P_dVol),0)</f>
        <v>0</v>
      </c>
      <c r="CR43" s="48" t="n">
        <f aca="false">IF(CR$15=1,INDEX(Vol_O,23,CR$14)/12*(1+P_dVol),0)</f>
        <v>0</v>
      </c>
      <c r="CS43" s="48" t="n">
        <f aca="false">IF(CS$15=1,INDEX(Vol_O,23,CS$14)/12*(1+P_dVol),0)</f>
        <v>0</v>
      </c>
      <c r="CT43" s="48" t="n">
        <f aca="false">IF(CT$15=1,INDEX(Vol_O,23,CT$14)/12*(1+P_dVol),0)</f>
        <v>0</v>
      </c>
      <c r="CU43" s="48" t="n">
        <f aca="false">IF(CU$15=1,INDEX(Vol_O,23,CU$14)/12*(1+P_dVol),0)</f>
        <v>0</v>
      </c>
      <c r="CV43" s="48" t="n">
        <f aca="false">IF(CV$15=1,INDEX(Vol_O,23,CV$14)/12*(1+P_dVol),0)</f>
        <v>0</v>
      </c>
      <c r="CW43" s="48" t="n">
        <f aca="false">IF(CW$15=1,INDEX(Vol_O,23,CW$14)/12*(1+P_dVol),0)</f>
        <v>0</v>
      </c>
      <c r="CX43" s="48" t="n">
        <f aca="false">IF(CX$15=1,INDEX(Vol_O,23,CX$14)/12*(1+P_dVol),0)</f>
        <v>0</v>
      </c>
      <c r="CY43" s="48" t="n">
        <f aca="false">IF(CY$15=1,INDEX(Vol_O,23,CY$14)/12*(1+P_dVol),0)</f>
        <v>0</v>
      </c>
      <c r="CZ43" s="48" t="n">
        <f aca="false">IF(CZ$15=1,INDEX(Vol_O,23,CZ$14)/12*(1+P_dVol),0)</f>
        <v>0</v>
      </c>
      <c r="DA43" s="48" t="n">
        <f aca="false">IF(DA$15=1,INDEX(Vol_O,23,DA$14)/12*(1+P_dVol),0)</f>
        <v>0</v>
      </c>
      <c r="DB43" s="48" t="n">
        <f aca="false">IF(DB$15=1,INDEX(Vol_O,23,DB$14)/12*(1+P_dVol),0)</f>
        <v>0</v>
      </c>
      <c r="DC43" s="48" t="n">
        <f aca="false">IF(DC$15=1,INDEX(Vol_O,23,DC$14)/12*(1+P_dVol),0)</f>
        <v>0</v>
      </c>
      <c r="DD43" s="48" t="n">
        <f aca="false">IF(DD$15=1,INDEX(Vol_O,23,DD$14)/12*(1+P_dVol),0)</f>
        <v>0</v>
      </c>
      <c r="DE43" s="48" t="n">
        <f aca="false">IF(DE$15=1,INDEX(Vol_O,23,DE$14)/12*(1+P_dVol),0)</f>
        <v>0</v>
      </c>
      <c r="DF43" s="48" t="n">
        <f aca="false">IF(DF$15=1,INDEX(Vol_O,23,DF$14)/12*(1+P_dVol),0)</f>
        <v>0</v>
      </c>
      <c r="DG43" s="48" t="n">
        <f aca="false">IF(DG$15=1,INDEX(Vol_O,23,DG$14)/12*(1+P_dVol),0)</f>
        <v>0</v>
      </c>
      <c r="DH43" s="48" t="n">
        <f aca="false">IF(DH$15=1,INDEX(Vol_O,23,DH$14)/12*(1+P_dVol),0)</f>
        <v>0</v>
      </c>
      <c r="DI43" s="48" t="n">
        <f aca="false">IF(DI$15=1,INDEX(Vol_O,23,DI$14)/12*(1+P_dVol),0)</f>
        <v>0</v>
      </c>
      <c r="DJ43" s="48" t="n">
        <f aca="false">IF(DJ$15=1,INDEX(Vol_O,23,DJ$14)/12*(1+P_dVol),0)</f>
        <v>0</v>
      </c>
      <c r="DK43" s="48" t="n">
        <f aca="false">IF(DK$15=1,INDEX(Vol_O,23,DK$14)/12*(1+P_dVol),0)</f>
        <v>0</v>
      </c>
      <c r="DL43" s="48" t="n">
        <f aca="false">IF(DL$15=1,INDEX(Vol_O,23,DL$14)/12*(1+P_dVol),0)</f>
        <v>0</v>
      </c>
      <c r="DM43" s="48" t="n">
        <f aca="false">IF(DM$15=1,INDEX(Vol_O,23,DM$14)/12*(1+P_dVol),0)</f>
        <v>0</v>
      </c>
      <c r="DN43" s="48" t="n">
        <f aca="false">IF(DN$15=1,INDEX(Vol_O,23,DN$14)/12*(1+P_dVol),0)</f>
        <v>0</v>
      </c>
      <c r="DO43" s="48" t="n">
        <f aca="false">IF(DO$15=1,INDEX(Vol_O,23,DO$14)/12*(1+P_dVol),0)</f>
        <v>0</v>
      </c>
      <c r="DP43" s="48" t="n">
        <f aca="false">IF(DP$15=1,INDEX(Vol_O,23,DP$14)/12*(1+P_dVol),0)</f>
        <v>0</v>
      </c>
      <c r="DQ43" s="48" t="n">
        <f aca="false">IF(DQ$15=1,INDEX(Vol_O,23,DQ$14)/12*(1+P_dVol),0)</f>
        <v>0</v>
      </c>
      <c r="DR43" s="48" t="n">
        <f aca="false">IF(DR$15=1,INDEX(Vol_O,23,DR$14)/12*(1+P_dVol),0)</f>
        <v>0</v>
      </c>
      <c r="DS43" s="48" t="n">
        <f aca="false">IF(DS$15=1,INDEX(Vol_O,23,DS$14)/12*(1+P_dVol),0)</f>
        <v>0</v>
      </c>
      <c r="DT43" s="48" t="n">
        <f aca="false">IF(DT$15=1,INDEX(Vol_O,23,DT$14)/12*(1+P_dVol),0)</f>
        <v>0</v>
      </c>
      <c r="DU43" s="48" t="n">
        <f aca="false">IF(DU$15=1,INDEX(Vol_O,23,DU$14)/12*(1+P_dVol),0)</f>
        <v>0</v>
      </c>
      <c r="DV43" s="48" t="n">
        <f aca="false">IF(DV$15=1,INDEX(Vol_O,23,DV$14)/12*(1+P_dVol),0)</f>
        <v>0</v>
      </c>
      <c r="DW43" s="48" t="n">
        <f aca="false">IF(DW$15=1,INDEX(Vol_O,23,DW$14)/12*(1+P_dVol),0)</f>
        <v>0</v>
      </c>
      <c r="DX43" s="48" t="n">
        <f aca="false">IF(DX$15=1,INDEX(Vol_O,23,DX$14)/12*(1+P_dVol),0)</f>
        <v>0</v>
      </c>
      <c r="DY43" s="48" t="n">
        <f aca="false">IF(DY$15=1,INDEX(Vol_O,23,DY$14)/12*(1+P_dVol),0)</f>
        <v>0</v>
      </c>
      <c r="DZ43" s="48" t="n">
        <f aca="false">IF(DZ$15=1,INDEX(Vol_O,23,DZ$14)/12*(1+P_dVol),0)</f>
        <v>0</v>
      </c>
      <c r="EA43" s="48" t="n">
        <f aca="false">IF(EA$15=1,INDEX(Vol_O,23,EA$14)/12*(1+P_dVol),0)</f>
        <v>0</v>
      </c>
      <c r="EB43" s="48" t="n">
        <f aca="false">IF(EB$15=1,INDEX(Vol_O,23,EB$14)/12*(1+P_dVol),0)</f>
        <v>0</v>
      </c>
      <c r="EC43" s="48" t="n">
        <f aca="false">IF(EC$15=1,INDEX(Vol_O,23,EC$14)/12*(1+P_dVol),0)</f>
        <v>0</v>
      </c>
      <c r="ED43" s="48" t="n">
        <f aca="false">IF(ED$15=1,INDEX(Vol_O,23,ED$14)/12*(1+P_dVol),0)</f>
        <v>0</v>
      </c>
      <c r="EE43" s="48" t="n">
        <f aca="false">IF(EE$15=1,INDEX(Vol_O,23,EE$14)/12*(1+P_dVol),0)</f>
        <v>0</v>
      </c>
      <c r="EF43" s="48" t="n">
        <f aca="false">IF(EF$15=1,INDEX(Vol_O,23,EF$14)/12*(1+P_dVol),0)</f>
        <v>0</v>
      </c>
      <c r="EG43" s="48" t="n">
        <f aca="false">IF(EG$15=1,INDEX(Vol_O,23,EG$14)/12*(1+P_dVol),0)</f>
        <v>0</v>
      </c>
      <c r="EH43" s="48" t="n">
        <f aca="false">IF(EH$15=1,INDEX(Vol_O,23,EH$14)/12*(1+P_dVol),0)</f>
        <v>0</v>
      </c>
      <c r="EI43" s="48" t="n">
        <f aca="false">IF(EI$15=1,INDEX(Vol_O,23,EI$14)/12*(1+P_dVol),0)</f>
        <v>0</v>
      </c>
      <c r="EJ43" s="48" t="n">
        <f aca="false">IF(EJ$15=1,INDEX(Vol_O,23,EJ$14)/12*(1+P_dVol),0)</f>
        <v>0</v>
      </c>
      <c r="EK43" s="48" t="n">
        <f aca="false">IF(EK$15=1,INDEX(Vol_O,23,EK$14)/12*(1+P_dVol),0)</f>
        <v>0</v>
      </c>
      <c r="EL43" s="48" t="n">
        <f aca="false">IF(EL$15=1,INDEX(Vol_O,23,EL$14)/12*(1+P_dVol),0)</f>
        <v>0</v>
      </c>
      <c r="EM43" s="48" t="n">
        <f aca="false">IF(EM$15=1,INDEX(Vol_O,23,EM$14)/12*(1+P_dVol),0)</f>
        <v>0</v>
      </c>
      <c r="EN43" s="48" t="n">
        <f aca="false">IF(EN$15=1,INDEX(Vol_O,23,EN$14)/12*(1+P_dVol),0)</f>
        <v>0</v>
      </c>
      <c r="EO43" s="48" t="n">
        <f aca="false">IF(EO$15=1,INDEX(Vol_O,23,EO$14)/12*(1+P_dVol),0)</f>
        <v>0</v>
      </c>
      <c r="EP43" s="48" t="n">
        <f aca="false">IF(EP$15=1,INDEX(Vol_O,23,EP$14)/12*(1+P_dVol),0)</f>
        <v>0</v>
      </c>
      <c r="EQ43" s="48" t="n">
        <f aca="false">IF(EQ$15=1,INDEX(Vol_O,23,EQ$14)/12*(1+P_dVol),0)</f>
        <v>0</v>
      </c>
      <c r="ER43" s="48" t="n">
        <f aca="false">IF(ER$15=1,INDEX(Vol_O,23,ER$14)/12*(1+P_dVol),0)</f>
        <v>0</v>
      </c>
      <c r="ES43" s="48" t="n">
        <f aca="false">IF(ES$15=1,INDEX(Vol_O,23,ES$14)/12*(1+P_dVol),0)</f>
        <v>0</v>
      </c>
    </row>
    <row r="44" customFormat="false" ht="15" hidden="false" customHeight="false" outlineLevel="0" collapsed="false">
      <c r="A44" s="11" t="s">
        <v>1089</v>
      </c>
      <c r="B44" s="53" t="str">
        <f aca="false">IF(INDEX(Prod_Nombre,24)="","Producto 24",INDEX(Prod_Nombre,24))&amp;" — unidades"</f>
        <v>Producto 24 — unidades</v>
      </c>
      <c r="C44" s="15" t="s">
        <v>544</v>
      </c>
      <c r="E44" s="54" t="n">
        <f aca="false">SUM(F44:ES44)</f>
        <v>0</v>
      </c>
      <c r="F44" s="48" t="n">
        <f aca="false">IF(F$15=1,INDEX(Vol_O,24,F$14)/12*(1+P_dVol),0)</f>
        <v>0</v>
      </c>
      <c r="G44" s="48" t="n">
        <f aca="false">IF(G$15=1,INDEX(Vol_O,24,G$14)/12*(1+P_dVol),0)</f>
        <v>0</v>
      </c>
      <c r="H44" s="48" t="n">
        <f aca="false">IF(H$15=1,INDEX(Vol_O,24,H$14)/12*(1+P_dVol),0)</f>
        <v>0</v>
      </c>
      <c r="I44" s="48" t="n">
        <f aca="false">IF(I$15=1,INDEX(Vol_O,24,I$14)/12*(1+P_dVol),0)</f>
        <v>0</v>
      </c>
      <c r="J44" s="48" t="n">
        <f aca="false">IF(J$15=1,INDEX(Vol_O,24,J$14)/12*(1+P_dVol),0)</f>
        <v>0</v>
      </c>
      <c r="K44" s="48" t="n">
        <f aca="false">IF(K$15=1,INDEX(Vol_O,24,K$14)/12*(1+P_dVol),0)</f>
        <v>0</v>
      </c>
      <c r="L44" s="48" t="n">
        <f aca="false">IF(L$15=1,INDEX(Vol_O,24,L$14)/12*(1+P_dVol),0)</f>
        <v>0</v>
      </c>
      <c r="M44" s="48" t="n">
        <f aca="false">IF(M$15=1,INDEX(Vol_O,24,M$14)/12*(1+P_dVol),0)</f>
        <v>0</v>
      </c>
      <c r="N44" s="48" t="n">
        <f aca="false">IF(N$15=1,INDEX(Vol_O,24,N$14)/12*(1+P_dVol),0)</f>
        <v>0</v>
      </c>
      <c r="O44" s="48" t="n">
        <f aca="false">IF(O$15=1,INDEX(Vol_O,24,O$14)/12*(1+P_dVol),0)</f>
        <v>0</v>
      </c>
      <c r="P44" s="48" t="n">
        <f aca="false">IF(P$15=1,INDEX(Vol_O,24,P$14)/12*(1+P_dVol),0)</f>
        <v>0</v>
      </c>
      <c r="Q44" s="48" t="n">
        <f aca="false">IF(Q$15=1,INDEX(Vol_O,24,Q$14)/12*(1+P_dVol),0)</f>
        <v>0</v>
      </c>
      <c r="R44" s="48" t="n">
        <f aca="false">IF(R$15=1,INDEX(Vol_O,24,R$14)/12*(1+P_dVol),0)</f>
        <v>0</v>
      </c>
      <c r="S44" s="48" t="n">
        <f aca="false">IF(S$15=1,INDEX(Vol_O,24,S$14)/12*(1+P_dVol),0)</f>
        <v>0</v>
      </c>
      <c r="T44" s="48" t="n">
        <f aca="false">IF(T$15=1,INDEX(Vol_O,24,T$14)/12*(1+P_dVol),0)</f>
        <v>0</v>
      </c>
      <c r="U44" s="48" t="n">
        <f aca="false">IF(U$15=1,INDEX(Vol_O,24,U$14)/12*(1+P_dVol),0)</f>
        <v>0</v>
      </c>
      <c r="V44" s="48" t="n">
        <f aca="false">IF(V$15=1,INDEX(Vol_O,24,V$14)/12*(1+P_dVol),0)</f>
        <v>0</v>
      </c>
      <c r="W44" s="48" t="n">
        <f aca="false">IF(W$15=1,INDEX(Vol_O,24,W$14)/12*(1+P_dVol),0)</f>
        <v>0</v>
      </c>
      <c r="X44" s="48" t="n">
        <f aca="false">IF(X$15=1,INDEX(Vol_O,24,X$14)/12*(1+P_dVol),0)</f>
        <v>0</v>
      </c>
      <c r="Y44" s="48" t="n">
        <f aca="false">IF(Y$15=1,INDEX(Vol_O,24,Y$14)/12*(1+P_dVol),0)</f>
        <v>0</v>
      </c>
      <c r="Z44" s="48" t="n">
        <f aca="false">IF(Z$15=1,INDEX(Vol_O,24,Z$14)/12*(1+P_dVol),0)</f>
        <v>0</v>
      </c>
      <c r="AA44" s="48" t="n">
        <f aca="false">IF(AA$15=1,INDEX(Vol_O,24,AA$14)/12*(1+P_dVol),0)</f>
        <v>0</v>
      </c>
      <c r="AB44" s="48" t="n">
        <f aca="false">IF(AB$15=1,INDEX(Vol_O,24,AB$14)/12*(1+P_dVol),0)</f>
        <v>0</v>
      </c>
      <c r="AC44" s="48" t="n">
        <f aca="false">IF(AC$15=1,INDEX(Vol_O,24,AC$14)/12*(1+P_dVol),0)</f>
        <v>0</v>
      </c>
      <c r="AD44" s="48" t="n">
        <f aca="false">IF(AD$15=1,INDEX(Vol_O,24,AD$14)/12*(1+P_dVol),0)</f>
        <v>0</v>
      </c>
      <c r="AE44" s="48" t="n">
        <f aca="false">IF(AE$15=1,INDEX(Vol_O,24,AE$14)/12*(1+P_dVol),0)</f>
        <v>0</v>
      </c>
      <c r="AF44" s="48" t="n">
        <f aca="false">IF(AF$15=1,INDEX(Vol_O,24,AF$14)/12*(1+P_dVol),0)</f>
        <v>0</v>
      </c>
      <c r="AG44" s="48" t="n">
        <f aca="false">IF(AG$15=1,INDEX(Vol_O,24,AG$14)/12*(1+P_dVol),0)</f>
        <v>0</v>
      </c>
      <c r="AH44" s="48" t="n">
        <f aca="false">IF(AH$15=1,INDEX(Vol_O,24,AH$14)/12*(1+P_dVol),0)</f>
        <v>0</v>
      </c>
      <c r="AI44" s="48" t="n">
        <f aca="false">IF(AI$15=1,INDEX(Vol_O,24,AI$14)/12*(1+P_dVol),0)</f>
        <v>0</v>
      </c>
      <c r="AJ44" s="48" t="n">
        <f aca="false">IF(AJ$15=1,INDEX(Vol_O,24,AJ$14)/12*(1+P_dVol),0)</f>
        <v>0</v>
      </c>
      <c r="AK44" s="48" t="n">
        <f aca="false">IF(AK$15=1,INDEX(Vol_O,24,AK$14)/12*(1+P_dVol),0)</f>
        <v>0</v>
      </c>
      <c r="AL44" s="48" t="n">
        <f aca="false">IF(AL$15=1,INDEX(Vol_O,24,AL$14)/12*(1+P_dVol),0)</f>
        <v>0</v>
      </c>
      <c r="AM44" s="48" t="n">
        <f aca="false">IF(AM$15=1,INDEX(Vol_O,24,AM$14)/12*(1+P_dVol),0)</f>
        <v>0</v>
      </c>
      <c r="AN44" s="48" t="n">
        <f aca="false">IF(AN$15=1,INDEX(Vol_O,24,AN$14)/12*(1+P_dVol),0)</f>
        <v>0</v>
      </c>
      <c r="AO44" s="48" t="n">
        <f aca="false">IF(AO$15=1,INDEX(Vol_O,24,AO$14)/12*(1+P_dVol),0)</f>
        <v>0</v>
      </c>
      <c r="AP44" s="48" t="n">
        <f aca="false">IF(AP$15=1,INDEX(Vol_O,24,AP$14)/12*(1+P_dVol),0)</f>
        <v>0</v>
      </c>
      <c r="AQ44" s="48" t="n">
        <f aca="false">IF(AQ$15=1,INDEX(Vol_O,24,AQ$14)/12*(1+P_dVol),0)</f>
        <v>0</v>
      </c>
      <c r="AR44" s="48" t="n">
        <f aca="false">IF(AR$15=1,INDEX(Vol_O,24,AR$14)/12*(1+P_dVol),0)</f>
        <v>0</v>
      </c>
      <c r="AS44" s="48" t="n">
        <f aca="false">IF(AS$15=1,INDEX(Vol_O,24,AS$14)/12*(1+P_dVol),0)</f>
        <v>0</v>
      </c>
      <c r="AT44" s="48" t="n">
        <f aca="false">IF(AT$15=1,INDEX(Vol_O,24,AT$14)/12*(1+P_dVol),0)</f>
        <v>0</v>
      </c>
      <c r="AU44" s="48" t="n">
        <f aca="false">IF(AU$15=1,INDEX(Vol_O,24,AU$14)/12*(1+P_dVol),0)</f>
        <v>0</v>
      </c>
      <c r="AV44" s="48" t="n">
        <f aca="false">IF(AV$15=1,INDEX(Vol_O,24,AV$14)/12*(1+P_dVol),0)</f>
        <v>0</v>
      </c>
      <c r="AW44" s="48" t="n">
        <f aca="false">IF(AW$15=1,INDEX(Vol_O,24,AW$14)/12*(1+P_dVol),0)</f>
        <v>0</v>
      </c>
      <c r="AX44" s="48" t="n">
        <f aca="false">IF(AX$15=1,INDEX(Vol_O,24,AX$14)/12*(1+P_dVol),0)</f>
        <v>0</v>
      </c>
      <c r="AY44" s="48" t="n">
        <f aca="false">IF(AY$15=1,INDEX(Vol_O,24,AY$14)/12*(1+P_dVol),0)</f>
        <v>0</v>
      </c>
      <c r="AZ44" s="48" t="n">
        <f aca="false">IF(AZ$15=1,INDEX(Vol_O,24,AZ$14)/12*(1+P_dVol),0)</f>
        <v>0</v>
      </c>
      <c r="BA44" s="48" t="n">
        <f aca="false">IF(BA$15=1,INDEX(Vol_O,24,BA$14)/12*(1+P_dVol),0)</f>
        <v>0</v>
      </c>
      <c r="BB44" s="48" t="n">
        <f aca="false">IF(BB$15=1,INDEX(Vol_O,24,BB$14)/12*(1+P_dVol),0)</f>
        <v>0</v>
      </c>
      <c r="BC44" s="48" t="n">
        <f aca="false">IF(BC$15=1,INDEX(Vol_O,24,BC$14)/12*(1+P_dVol),0)</f>
        <v>0</v>
      </c>
      <c r="BD44" s="48" t="n">
        <f aca="false">IF(BD$15=1,INDEX(Vol_O,24,BD$14)/12*(1+P_dVol),0)</f>
        <v>0</v>
      </c>
      <c r="BE44" s="48" t="n">
        <f aca="false">IF(BE$15=1,INDEX(Vol_O,24,BE$14)/12*(1+P_dVol),0)</f>
        <v>0</v>
      </c>
      <c r="BF44" s="48" t="n">
        <f aca="false">IF(BF$15=1,INDEX(Vol_O,24,BF$14)/12*(1+P_dVol),0)</f>
        <v>0</v>
      </c>
      <c r="BG44" s="48" t="n">
        <f aca="false">IF(BG$15=1,INDEX(Vol_O,24,BG$14)/12*(1+P_dVol),0)</f>
        <v>0</v>
      </c>
      <c r="BH44" s="48" t="n">
        <f aca="false">IF(BH$15=1,INDEX(Vol_O,24,BH$14)/12*(1+P_dVol),0)</f>
        <v>0</v>
      </c>
      <c r="BI44" s="48" t="n">
        <f aca="false">IF(BI$15=1,INDEX(Vol_O,24,BI$14)/12*(1+P_dVol),0)</f>
        <v>0</v>
      </c>
      <c r="BJ44" s="48" t="n">
        <f aca="false">IF(BJ$15=1,INDEX(Vol_O,24,BJ$14)/12*(1+P_dVol),0)</f>
        <v>0</v>
      </c>
      <c r="BK44" s="48" t="n">
        <f aca="false">IF(BK$15=1,INDEX(Vol_O,24,BK$14)/12*(1+P_dVol),0)</f>
        <v>0</v>
      </c>
      <c r="BL44" s="48" t="n">
        <f aca="false">IF(BL$15=1,INDEX(Vol_O,24,BL$14)/12*(1+P_dVol),0)</f>
        <v>0</v>
      </c>
      <c r="BM44" s="48" t="n">
        <f aca="false">IF(BM$15=1,INDEX(Vol_O,24,BM$14)/12*(1+P_dVol),0)</f>
        <v>0</v>
      </c>
      <c r="BN44" s="48" t="n">
        <f aca="false">IF(BN$15=1,INDEX(Vol_O,24,BN$14)/12*(1+P_dVol),0)</f>
        <v>0</v>
      </c>
      <c r="BO44" s="48" t="n">
        <f aca="false">IF(BO$15=1,INDEX(Vol_O,24,BO$14)/12*(1+P_dVol),0)</f>
        <v>0</v>
      </c>
      <c r="BP44" s="48" t="n">
        <f aca="false">IF(BP$15=1,INDEX(Vol_O,24,BP$14)/12*(1+P_dVol),0)</f>
        <v>0</v>
      </c>
      <c r="BQ44" s="48" t="n">
        <f aca="false">IF(BQ$15=1,INDEX(Vol_O,24,BQ$14)/12*(1+P_dVol),0)</f>
        <v>0</v>
      </c>
      <c r="BR44" s="48" t="n">
        <f aca="false">IF(BR$15=1,INDEX(Vol_O,24,BR$14)/12*(1+P_dVol),0)</f>
        <v>0</v>
      </c>
      <c r="BS44" s="48" t="n">
        <f aca="false">IF(BS$15=1,INDEX(Vol_O,24,BS$14)/12*(1+P_dVol),0)</f>
        <v>0</v>
      </c>
      <c r="BT44" s="48" t="n">
        <f aca="false">IF(BT$15=1,INDEX(Vol_O,24,BT$14)/12*(1+P_dVol),0)</f>
        <v>0</v>
      </c>
      <c r="BU44" s="48" t="n">
        <f aca="false">IF(BU$15=1,INDEX(Vol_O,24,BU$14)/12*(1+P_dVol),0)</f>
        <v>0</v>
      </c>
      <c r="BV44" s="48" t="n">
        <f aca="false">IF(BV$15=1,INDEX(Vol_O,24,BV$14)/12*(1+P_dVol),0)</f>
        <v>0</v>
      </c>
      <c r="BW44" s="48" t="n">
        <f aca="false">IF(BW$15=1,INDEX(Vol_O,24,BW$14)/12*(1+P_dVol),0)</f>
        <v>0</v>
      </c>
      <c r="BX44" s="48" t="n">
        <f aca="false">IF(BX$15=1,INDEX(Vol_O,24,BX$14)/12*(1+P_dVol),0)</f>
        <v>0</v>
      </c>
      <c r="BY44" s="48" t="n">
        <f aca="false">IF(BY$15=1,INDEX(Vol_O,24,BY$14)/12*(1+P_dVol),0)</f>
        <v>0</v>
      </c>
      <c r="BZ44" s="48" t="n">
        <f aca="false">IF(BZ$15=1,INDEX(Vol_O,24,BZ$14)/12*(1+P_dVol),0)</f>
        <v>0</v>
      </c>
      <c r="CA44" s="48" t="n">
        <f aca="false">IF(CA$15=1,INDEX(Vol_O,24,CA$14)/12*(1+P_dVol),0)</f>
        <v>0</v>
      </c>
      <c r="CB44" s="48" t="n">
        <f aca="false">IF(CB$15=1,INDEX(Vol_O,24,CB$14)/12*(1+P_dVol),0)</f>
        <v>0</v>
      </c>
      <c r="CC44" s="48" t="n">
        <f aca="false">IF(CC$15=1,INDEX(Vol_O,24,CC$14)/12*(1+P_dVol),0)</f>
        <v>0</v>
      </c>
      <c r="CD44" s="48" t="n">
        <f aca="false">IF(CD$15=1,INDEX(Vol_O,24,CD$14)/12*(1+P_dVol),0)</f>
        <v>0</v>
      </c>
      <c r="CE44" s="48" t="n">
        <f aca="false">IF(CE$15=1,INDEX(Vol_O,24,CE$14)/12*(1+P_dVol),0)</f>
        <v>0</v>
      </c>
      <c r="CF44" s="48" t="n">
        <f aca="false">IF(CF$15=1,INDEX(Vol_O,24,CF$14)/12*(1+P_dVol),0)</f>
        <v>0</v>
      </c>
      <c r="CG44" s="48" t="n">
        <f aca="false">IF(CG$15=1,INDEX(Vol_O,24,CG$14)/12*(1+P_dVol),0)</f>
        <v>0</v>
      </c>
      <c r="CH44" s="48" t="n">
        <f aca="false">IF(CH$15=1,INDEX(Vol_O,24,CH$14)/12*(1+P_dVol),0)</f>
        <v>0</v>
      </c>
      <c r="CI44" s="48" t="n">
        <f aca="false">IF(CI$15=1,INDEX(Vol_O,24,CI$14)/12*(1+P_dVol),0)</f>
        <v>0</v>
      </c>
      <c r="CJ44" s="48" t="n">
        <f aca="false">IF(CJ$15=1,INDEX(Vol_O,24,CJ$14)/12*(1+P_dVol),0)</f>
        <v>0</v>
      </c>
      <c r="CK44" s="48" t="n">
        <f aca="false">IF(CK$15=1,INDEX(Vol_O,24,CK$14)/12*(1+P_dVol),0)</f>
        <v>0</v>
      </c>
      <c r="CL44" s="48" t="n">
        <f aca="false">IF(CL$15=1,INDEX(Vol_O,24,CL$14)/12*(1+P_dVol),0)</f>
        <v>0</v>
      </c>
      <c r="CM44" s="48" t="n">
        <f aca="false">IF(CM$15=1,INDEX(Vol_O,24,CM$14)/12*(1+P_dVol),0)</f>
        <v>0</v>
      </c>
      <c r="CN44" s="48" t="n">
        <f aca="false">IF(CN$15=1,INDEX(Vol_O,24,CN$14)/12*(1+P_dVol),0)</f>
        <v>0</v>
      </c>
      <c r="CO44" s="48" t="n">
        <f aca="false">IF(CO$15=1,INDEX(Vol_O,24,CO$14)/12*(1+P_dVol),0)</f>
        <v>0</v>
      </c>
      <c r="CP44" s="48" t="n">
        <f aca="false">IF(CP$15=1,INDEX(Vol_O,24,CP$14)/12*(1+P_dVol),0)</f>
        <v>0</v>
      </c>
      <c r="CQ44" s="48" t="n">
        <f aca="false">IF(CQ$15=1,INDEX(Vol_O,24,CQ$14)/12*(1+P_dVol),0)</f>
        <v>0</v>
      </c>
      <c r="CR44" s="48" t="n">
        <f aca="false">IF(CR$15=1,INDEX(Vol_O,24,CR$14)/12*(1+P_dVol),0)</f>
        <v>0</v>
      </c>
      <c r="CS44" s="48" t="n">
        <f aca="false">IF(CS$15=1,INDEX(Vol_O,24,CS$14)/12*(1+P_dVol),0)</f>
        <v>0</v>
      </c>
      <c r="CT44" s="48" t="n">
        <f aca="false">IF(CT$15=1,INDEX(Vol_O,24,CT$14)/12*(1+P_dVol),0)</f>
        <v>0</v>
      </c>
      <c r="CU44" s="48" t="n">
        <f aca="false">IF(CU$15=1,INDEX(Vol_O,24,CU$14)/12*(1+P_dVol),0)</f>
        <v>0</v>
      </c>
      <c r="CV44" s="48" t="n">
        <f aca="false">IF(CV$15=1,INDEX(Vol_O,24,CV$14)/12*(1+P_dVol),0)</f>
        <v>0</v>
      </c>
      <c r="CW44" s="48" t="n">
        <f aca="false">IF(CW$15=1,INDEX(Vol_O,24,CW$14)/12*(1+P_dVol),0)</f>
        <v>0</v>
      </c>
      <c r="CX44" s="48" t="n">
        <f aca="false">IF(CX$15=1,INDEX(Vol_O,24,CX$14)/12*(1+P_dVol),0)</f>
        <v>0</v>
      </c>
      <c r="CY44" s="48" t="n">
        <f aca="false">IF(CY$15=1,INDEX(Vol_O,24,CY$14)/12*(1+P_dVol),0)</f>
        <v>0</v>
      </c>
      <c r="CZ44" s="48" t="n">
        <f aca="false">IF(CZ$15=1,INDEX(Vol_O,24,CZ$14)/12*(1+P_dVol),0)</f>
        <v>0</v>
      </c>
      <c r="DA44" s="48" t="n">
        <f aca="false">IF(DA$15=1,INDEX(Vol_O,24,DA$14)/12*(1+P_dVol),0)</f>
        <v>0</v>
      </c>
      <c r="DB44" s="48" t="n">
        <f aca="false">IF(DB$15=1,INDEX(Vol_O,24,DB$14)/12*(1+P_dVol),0)</f>
        <v>0</v>
      </c>
      <c r="DC44" s="48" t="n">
        <f aca="false">IF(DC$15=1,INDEX(Vol_O,24,DC$14)/12*(1+P_dVol),0)</f>
        <v>0</v>
      </c>
      <c r="DD44" s="48" t="n">
        <f aca="false">IF(DD$15=1,INDEX(Vol_O,24,DD$14)/12*(1+P_dVol),0)</f>
        <v>0</v>
      </c>
      <c r="DE44" s="48" t="n">
        <f aca="false">IF(DE$15=1,INDEX(Vol_O,24,DE$14)/12*(1+P_dVol),0)</f>
        <v>0</v>
      </c>
      <c r="DF44" s="48" t="n">
        <f aca="false">IF(DF$15=1,INDEX(Vol_O,24,DF$14)/12*(1+P_dVol),0)</f>
        <v>0</v>
      </c>
      <c r="DG44" s="48" t="n">
        <f aca="false">IF(DG$15=1,INDEX(Vol_O,24,DG$14)/12*(1+P_dVol),0)</f>
        <v>0</v>
      </c>
      <c r="DH44" s="48" t="n">
        <f aca="false">IF(DH$15=1,INDEX(Vol_O,24,DH$14)/12*(1+P_dVol),0)</f>
        <v>0</v>
      </c>
      <c r="DI44" s="48" t="n">
        <f aca="false">IF(DI$15=1,INDEX(Vol_O,24,DI$14)/12*(1+P_dVol),0)</f>
        <v>0</v>
      </c>
      <c r="DJ44" s="48" t="n">
        <f aca="false">IF(DJ$15=1,INDEX(Vol_O,24,DJ$14)/12*(1+P_dVol),0)</f>
        <v>0</v>
      </c>
      <c r="DK44" s="48" t="n">
        <f aca="false">IF(DK$15=1,INDEX(Vol_O,24,DK$14)/12*(1+P_dVol),0)</f>
        <v>0</v>
      </c>
      <c r="DL44" s="48" t="n">
        <f aca="false">IF(DL$15=1,INDEX(Vol_O,24,DL$14)/12*(1+P_dVol),0)</f>
        <v>0</v>
      </c>
      <c r="DM44" s="48" t="n">
        <f aca="false">IF(DM$15=1,INDEX(Vol_O,24,DM$14)/12*(1+P_dVol),0)</f>
        <v>0</v>
      </c>
      <c r="DN44" s="48" t="n">
        <f aca="false">IF(DN$15=1,INDEX(Vol_O,24,DN$14)/12*(1+P_dVol),0)</f>
        <v>0</v>
      </c>
      <c r="DO44" s="48" t="n">
        <f aca="false">IF(DO$15=1,INDEX(Vol_O,24,DO$14)/12*(1+P_dVol),0)</f>
        <v>0</v>
      </c>
      <c r="DP44" s="48" t="n">
        <f aca="false">IF(DP$15=1,INDEX(Vol_O,24,DP$14)/12*(1+P_dVol),0)</f>
        <v>0</v>
      </c>
      <c r="DQ44" s="48" t="n">
        <f aca="false">IF(DQ$15=1,INDEX(Vol_O,24,DQ$14)/12*(1+P_dVol),0)</f>
        <v>0</v>
      </c>
      <c r="DR44" s="48" t="n">
        <f aca="false">IF(DR$15=1,INDEX(Vol_O,24,DR$14)/12*(1+P_dVol),0)</f>
        <v>0</v>
      </c>
      <c r="DS44" s="48" t="n">
        <f aca="false">IF(DS$15=1,INDEX(Vol_O,24,DS$14)/12*(1+P_dVol),0)</f>
        <v>0</v>
      </c>
      <c r="DT44" s="48" t="n">
        <f aca="false">IF(DT$15=1,INDEX(Vol_O,24,DT$14)/12*(1+P_dVol),0)</f>
        <v>0</v>
      </c>
      <c r="DU44" s="48" t="n">
        <f aca="false">IF(DU$15=1,INDEX(Vol_O,24,DU$14)/12*(1+P_dVol),0)</f>
        <v>0</v>
      </c>
      <c r="DV44" s="48" t="n">
        <f aca="false">IF(DV$15=1,INDEX(Vol_O,24,DV$14)/12*(1+P_dVol),0)</f>
        <v>0</v>
      </c>
      <c r="DW44" s="48" t="n">
        <f aca="false">IF(DW$15=1,INDEX(Vol_O,24,DW$14)/12*(1+P_dVol),0)</f>
        <v>0</v>
      </c>
      <c r="DX44" s="48" t="n">
        <f aca="false">IF(DX$15=1,INDEX(Vol_O,24,DX$14)/12*(1+P_dVol),0)</f>
        <v>0</v>
      </c>
      <c r="DY44" s="48" t="n">
        <f aca="false">IF(DY$15=1,INDEX(Vol_O,24,DY$14)/12*(1+P_dVol),0)</f>
        <v>0</v>
      </c>
      <c r="DZ44" s="48" t="n">
        <f aca="false">IF(DZ$15=1,INDEX(Vol_O,24,DZ$14)/12*(1+P_dVol),0)</f>
        <v>0</v>
      </c>
      <c r="EA44" s="48" t="n">
        <f aca="false">IF(EA$15=1,INDEX(Vol_O,24,EA$14)/12*(1+P_dVol),0)</f>
        <v>0</v>
      </c>
      <c r="EB44" s="48" t="n">
        <f aca="false">IF(EB$15=1,INDEX(Vol_O,24,EB$14)/12*(1+P_dVol),0)</f>
        <v>0</v>
      </c>
      <c r="EC44" s="48" t="n">
        <f aca="false">IF(EC$15=1,INDEX(Vol_O,24,EC$14)/12*(1+P_dVol),0)</f>
        <v>0</v>
      </c>
      <c r="ED44" s="48" t="n">
        <f aca="false">IF(ED$15=1,INDEX(Vol_O,24,ED$14)/12*(1+P_dVol),0)</f>
        <v>0</v>
      </c>
      <c r="EE44" s="48" t="n">
        <f aca="false">IF(EE$15=1,INDEX(Vol_O,24,EE$14)/12*(1+P_dVol),0)</f>
        <v>0</v>
      </c>
      <c r="EF44" s="48" t="n">
        <f aca="false">IF(EF$15=1,INDEX(Vol_O,24,EF$14)/12*(1+P_dVol),0)</f>
        <v>0</v>
      </c>
      <c r="EG44" s="48" t="n">
        <f aca="false">IF(EG$15=1,INDEX(Vol_O,24,EG$14)/12*(1+P_dVol),0)</f>
        <v>0</v>
      </c>
      <c r="EH44" s="48" t="n">
        <f aca="false">IF(EH$15=1,INDEX(Vol_O,24,EH$14)/12*(1+P_dVol),0)</f>
        <v>0</v>
      </c>
      <c r="EI44" s="48" t="n">
        <f aca="false">IF(EI$15=1,INDEX(Vol_O,24,EI$14)/12*(1+P_dVol),0)</f>
        <v>0</v>
      </c>
      <c r="EJ44" s="48" t="n">
        <f aca="false">IF(EJ$15=1,INDEX(Vol_O,24,EJ$14)/12*(1+P_dVol),0)</f>
        <v>0</v>
      </c>
      <c r="EK44" s="48" t="n">
        <f aca="false">IF(EK$15=1,INDEX(Vol_O,24,EK$14)/12*(1+P_dVol),0)</f>
        <v>0</v>
      </c>
      <c r="EL44" s="48" t="n">
        <f aca="false">IF(EL$15=1,INDEX(Vol_O,24,EL$14)/12*(1+P_dVol),0)</f>
        <v>0</v>
      </c>
      <c r="EM44" s="48" t="n">
        <f aca="false">IF(EM$15=1,INDEX(Vol_O,24,EM$14)/12*(1+P_dVol),0)</f>
        <v>0</v>
      </c>
      <c r="EN44" s="48" t="n">
        <f aca="false">IF(EN$15=1,INDEX(Vol_O,24,EN$14)/12*(1+P_dVol),0)</f>
        <v>0</v>
      </c>
      <c r="EO44" s="48" t="n">
        <f aca="false">IF(EO$15=1,INDEX(Vol_O,24,EO$14)/12*(1+P_dVol),0)</f>
        <v>0</v>
      </c>
      <c r="EP44" s="48" t="n">
        <f aca="false">IF(EP$15=1,INDEX(Vol_O,24,EP$14)/12*(1+P_dVol),0)</f>
        <v>0</v>
      </c>
      <c r="EQ44" s="48" t="n">
        <f aca="false">IF(EQ$15=1,INDEX(Vol_O,24,EQ$14)/12*(1+P_dVol),0)</f>
        <v>0</v>
      </c>
      <c r="ER44" s="48" t="n">
        <f aca="false">IF(ER$15=1,INDEX(Vol_O,24,ER$14)/12*(1+P_dVol),0)</f>
        <v>0</v>
      </c>
      <c r="ES44" s="48" t="n">
        <f aca="false">IF(ES$15=1,INDEX(Vol_O,24,ES$14)/12*(1+P_dVol),0)</f>
        <v>0</v>
      </c>
    </row>
    <row r="45" customFormat="false" ht="15" hidden="false" customHeight="false" outlineLevel="0" collapsed="false">
      <c r="A45" s="11" t="s">
        <v>1090</v>
      </c>
      <c r="B45" s="53" t="str">
        <f aca="false">IF(INDEX(Prod_Nombre,25)="","Producto 25",INDEX(Prod_Nombre,25))&amp;" — unidades"</f>
        <v>Producto 25 — unidades</v>
      </c>
      <c r="C45" s="15" t="s">
        <v>544</v>
      </c>
      <c r="E45" s="54" t="n">
        <f aca="false">SUM(F45:ES45)</f>
        <v>0</v>
      </c>
      <c r="F45" s="48" t="n">
        <f aca="false">IF(F$15=1,INDEX(Vol_O,25,F$14)/12*(1+P_dVol),0)</f>
        <v>0</v>
      </c>
      <c r="G45" s="48" t="n">
        <f aca="false">IF(G$15=1,INDEX(Vol_O,25,G$14)/12*(1+P_dVol),0)</f>
        <v>0</v>
      </c>
      <c r="H45" s="48" t="n">
        <f aca="false">IF(H$15=1,INDEX(Vol_O,25,H$14)/12*(1+P_dVol),0)</f>
        <v>0</v>
      </c>
      <c r="I45" s="48" t="n">
        <f aca="false">IF(I$15=1,INDEX(Vol_O,25,I$14)/12*(1+P_dVol),0)</f>
        <v>0</v>
      </c>
      <c r="J45" s="48" t="n">
        <f aca="false">IF(J$15=1,INDEX(Vol_O,25,J$14)/12*(1+P_dVol),0)</f>
        <v>0</v>
      </c>
      <c r="K45" s="48" t="n">
        <f aca="false">IF(K$15=1,INDEX(Vol_O,25,K$14)/12*(1+P_dVol),0)</f>
        <v>0</v>
      </c>
      <c r="L45" s="48" t="n">
        <f aca="false">IF(L$15=1,INDEX(Vol_O,25,L$14)/12*(1+P_dVol),0)</f>
        <v>0</v>
      </c>
      <c r="M45" s="48" t="n">
        <f aca="false">IF(M$15=1,INDEX(Vol_O,25,M$14)/12*(1+P_dVol),0)</f>
        <v>0</v>
      </c>
      <c r="N45" s="48" t="n">
        <f aca="false">IF(N$15=1,INDEX(Vol_O,25,N$14)/12*(1+P_dVol),0)</f>
        <v>0</v>
      </c>
      <c r="O45" s="48" t="n">
        <f aca="false">IF(O$15=1,INDEX(Vol_O,25,O$14)/12*(1+P_dVol),0)</f>
        <v>0</v>
      </c>
      <c r="P45" s="48" t="n">
        <f aca="false">IF(P$15=1,INDEX(Vol_O,25,P$14)/12*(1+P_dVol),0)</f>
        <v>0</v>
      </c>
      <c r="Q45" s="48" t="n">
        <f aca="false">IF(Q$15=1,INDEX(Vol_O,25,Q$14)/12*(1+P_dVol),0)</f>
        <v>0</v>
      </c>
      <c r="R45" s="48" t="n">
        <f aca="false">IF(R$15=1,INDEX(Vol_O,25,R$14)/12*(1+P_dVol),0)</f>
        <v>0</v>
      </c>
      <c r="S45" s="48" t="n">
        <f aca="false">IF(S$15=1,INDEX(Vol_O,25,S$14)/12*(1+P_dVol),0)</f>
        <v>0</v>
      </c>
      <c r="T45" s="48" t="n">
        <f aca="false">IF(T$15=1,INDEX(Vol_O,25,T$14)/12*(1+P_dVol),0)</f>
        <v>0</v>
      </c>
      <c r="U45" s="48" t="n">
        <f aca="false">IF(U$15=1,INDEX(Vol_O,25,U$14)/12*(1+P_dVol),0)</f>
        <v>0</v>
      </c>
      <c r="V45" s="48" t="n">
        <f aca="false">IF(V$15=1,INDEX(Vol_O,25,V$14)/12*(1+P_dVol),0)</f>
        <v>0</v>
      </c>
      <c r="W45" s="48" t="n">
        <f aca="false">IF(W$15=1,INDEX(Vol_O,25,W$14)/12*(1+P_dVol),0)</f>
        <v>0</v>
      </c>
      <c r="X45" s="48" t="n">
        <f aca="false">IF(X$15=1,INDEX(Vol_O,25,X$14)/12*(1+P_dVol),0)</f>
        <v>0</v>
      </c>
      <c r="Y45" s="48" t="n">
        <f aca="false">IF(Y$15=1,INDEX(Vol_O,25,Y$14)/12*(1+P_dVol),0)</f>
        <v>0</v>
      </c>
      <c r="Z45" s="48" t="n">
        <f aca="false">IF(Z$15=1,INDEX(Vol_O,25,Z$14)/12*(1+P_dVol),0)</f>
        <v>0</v>
      </c>
      <c r="AA45" s="48" t="n">
        <f aca="false">IF(AA$15=1,INDEX(Vol_O,25,AA$14)/12*(1+P_dVol),0)</f>
        <v>0</v>
      </c>
      <c r="AB45" s="48" t="n">
        <f aca="false">IF(AB$15=1,INDEX(Vol_O,25,AB$14)/12*(1+P_dVol),0)</f>
        <v>0</v>
      </c>
      <c r="AC45" s="48" t="n">
        <f aca="false">IF(AC$15=1,INDEX(Vol_O,25,AC$14)/12*(1+P_dVol),0)</f>
        <v>0</v>
      </c>
      <c r="AD45" s="48" t="n">
        <f aca="false">IF(AD$15=1,INDEX(Vol_O,25,AD$14)/12*(1+P_dVol),0)</f>
        <v>0</v>
      </c>
      <c r="AE45" s="48" t="n">
        <f aca="false">IF(AE$15=1,INDEX(Vol_O,25,AE$14)/12*(1+P_dVol),0)</f>
        <v>0</v>
      </c>
      <c r="AF45" s="48" t="n">
        <f aca="false">IF(AF$15=1,INDEX(Vol_O,25,AF$14)/12*(1+P_dVol),0)</f>
        <v>0</v>
      </c>
      <c r="AG45" s="48" t="n">
        <f aca="false">IF(AG$15=1,INDEX(Vol_O,25,AG$14)/12*(1+P_dVol),0)</f>
        <v>0</v>
      </c>
      <c r="AH45" s="48" t="n">
        <f aca="false">IF(AH$15=1,INDEX(Vol_O,25,AH$14)/12*(1+P_dVol),0)</f>
        <v>0</v>
      </c>
      <c r="AI45" s="48" t="n">
        <f aca="false">IF(AI$15=1,INDEX(Vol_O,25,AI$14)/12*(1+P_dVol),0)</f>
        <v>0</v>
      </c>
      <c r="AJ45" s="48" t="n">
        <f aca="false">IF(AJ$15=1,INDEX(Vol_O,25,AJ$14)/12*(1+P_dVol),0)</f>
        <v>0</v>
      </c>
      <c r="AK45" s="48" t="n">
        <f aca="false">IF(AK$15=1,INDEX(Vol_O,25,AK$14)/12*(1+P_dVol),0)</f>
        <v>0</v>
      </c>
      <c r="AL45" s="48" t="n">
        <f aca="false">IF(AL$15=1,INDEX(Vol_O,25,AL$14)/12*(1+P_dVol),0)</f>
        <v>0</v>
      </c>
      <c r="AM45" s="48" t="n">
        <f aca="false">IF(AM$15=1,INDEX(Vol_O,25,AM$14)/12*(1+P_dVol),0)</f>
        <v>0</v>
      </c>
      <c r="AN45" s="48" t="n">
        <f aca="false">IF(AN$15=1,INDEX(Vol_O,25,AN$14)/12*(1+P_dVol),0)</f>
        <v>0</v>
      </c>
      <c r="AO45" s="48" t="n">
        <f aca="false">IF(AO$15=1,INDEX(Vol_O,25,AO$14)/12*(1+P_dVol),0)</f>
        <v>0</v>
      </c>
      <c r="AP45" s="48" t="n">
        <f aca="false">IF(AP$15=1,INDEX(Vol_O,25,AP$14)/12*(1+P_dVol),0)</f>
        <v>0</v>
      </c>
      <c r="AQ45" s="48" t="n">
        <f aca="false">IF(AQ$15=1,INDEX(Vol_O,25,AQ$14)/12*(1+P_dVol),0)</f>
        <v>0</v>
      </c>
      <c r="AR45" s="48" t="n">
        <f aca="false">IF(AR$15=1,INDEX(Vol_O,25,AR$14)/12*(1+P_dVol),0)</f>
        <v>0</v>
      </c>
      <c r="AS45" s="48" t="n">
        <f aca="false">IF(AS$15=1,INDEX(Vol_O,25,AS$14)/12*(1+P_dVol),0)</f>
        <v>0</v>
      </c>
      <c r="AT45" s="48" t="n">
        <f aca="false">IF(AT$15=1,INDEX(Vol_O,25,AT$14)/12*(1+P_dVol),0)</f>
        <v>0</v>
      </c>
      <c r="AU45" s="48" t="n">
        <f aca="false">IF(AU$15=1,INDEX(Vol_O,25,AU$14)/12*(1+P_dVol),0)</f>
        <v>0</v>
      </c>
      <c r="AV45" s="48" t="n">
        <f aca="false">IF(AV$15=1,INDEX(Vol_O,25,AV$14)/12*(1+P_dVol),0)</f>
        <v>0</v>
      </c>
      <c r="AW45" s="48" t="n">
        <f aca="false">IF(AW$15=1,INDEX(Vol_O,25,AW$14)/12*(1+P_dVol),0)</f>
        <v>0</v>
      </c>
      <c r="AX45" s="48" t="n">
        <f aca="false">IF(AX$15=1,INDEX(Vol_O,25,AX$14)/12*(1+P_dVol),0)</f>
        <v>0</v>
      </c>
      <c r="AY45" s="48" t="n">
        <f aca="false">IF(AY$15=1,INDEX(Vol_O,25,AY$14)/12*(1+P_dVol),0)</f>
        <v>0</v>
      </c>
      <c r="AZ45" s="48" t="n">
        <f aca="false">IF(AZ$15=1,INDEX(Vol_O,25,AZ$14)/12*(1+P_dVol),0)</f>
        <v>0</v>
      </c>
      <c r="BA45" s="48" t="n">
        <f aca="false">IF(BA$15=1,INDEX(Vol_O,25,BA$14)/12*(1+P_dVol),0)</f>
        <v>0</v>
      </c>
      <c r="BB45" s="48" t="n">
        <f aca="false">IF(BB$15=1,INDEX(Vol_O,25,BB$14)/12*(1+P_dVol),0)</f>
        <v>0</v>
      </c>
      <c r="BC45" s="48" t="n">
        <f aca="false">IF(BC$15=1,INDEX(Vol_O,25,BC$14)/12*(1+P_dVol),0)</f>
        <v>0</v>
      </c>
      <c r="BD45" s="48" t="n">
        <f aca="false">IF(BD$15=1,INDEX(Vol_O,25,BD$14)/12*(1+P_dVol),0)</f>
        <v>0</v>
      </c>
      <c r="BE45" s="48" t="n">
        <f aca="false">IF(BE$15=1,INDEX(Vol_O,25,BE$14)/12*(1+P_dVol),0)</f>
        <v>0</v>
      </c>
      <c r="BF45" s="48" t="n">
        <f aca="false">IF(BF$15=1,INDEX(Vol_O,25,BF$14)/12*(1+P_dVol),0)</f>
        <v>0</v>
      </c>
      <c r="BG45" s="48" t="n">
        <f aca="false">IF(BG$15=1,INDEX(Vol_O,25,BG$14)/12*(1+P_dVol),0)</f>
        <v>0</v>
      </c>
      <c r="BH45" s="48" t="n">
        <f aca="false">IF(BH$15=1,INDEX(Vol_O,25,BH$14)/12*(1+P_dVol),0)</f>
        <v>0</v>
      </c>
      <c r="BI45" s="48" t="n">
        <f aca="false">IF(BI$15=1,INDEX(Vol_O,25,BI$14)/12*(1+P_dVol),0)</f>
        <v>0</v>
      </c>
      <c r="BJ45" s="48" t="n">
        <f aca="false">IF(BJ$15=1,INDEX(Vol_O,25,BJ$14)/12*(1+P_dVol),0)</f>
        <v>0</v>
      </c>
      <c r="BK45" s="48" t="n">
        <f aca="false">IF(BK$15=1,INDEX(Vol_O,25,BK$14)/12*(1+P_dVol),0)</f>
        <v>0</v>
      </c>
      <c r="BL45" s="48" t="n">
        <f aca="false">IF(BL$15=1,INDEX(Vol_O,25,BL$14)/12*(1+P_dVol),0)</f>
        <v>0</v>
      </c>
      <c r="BM45" s="48" t="n">
        <f aca="false">IF(BM$15=1,INDEX(Vol_O,25,BM$14)/12*(1+P_dVol),0)</f>
        <v>0</v>
      </c>
      <c r="BN45" s="48" t="n">
        <f aca="false">IF(BN$15=1,INDEX(Vol_O,25,BN$14)/12*(1+P_dVol),0)</f>
        <v>0</v>
      </c>
      <c r="BO45" s="48" t="n">
        <f aca="false">IF(BO$15=1,INDEX(Vol_O,25,BO$14)/12*(1+P_dVol),0)</f>
        <v>0</v>
      </c>
      <c r="BP45" s="48" t="n">
        <f aca="false">IF(BP$15=1,INDEX(Vol_O,25,BP$14)/12*(1+P_dVol),0)</f>
        <v>0</v>
      </c>
      <c r="BQ45" s="48" t="n">
        <f aca="false">IF(BQ$15=1,INDEX(Vol_O,25,BQ$14)/12*(1+P_dVol),0)</f>
        <v>0</v>
      </c>
      <c r="BR45" s="48" t="n">
        <f aca="false">IF(BR$15=1,INDEX(Vol_O,25,BR$14)/12*(1+P_dVol),0)</f>
        <v>0</v>
      </c>
      <c r="BS45" s="48" t="n">
        <f aca="false">IF(BS$15=1,INDEX(Vol_O,25,BS$14)/12*(1+P_dVol),0)</f>
        <v>0</v>
      </c>
      <c r="BT45" s="48" t="n">
        <f aca="false">IF(BT$15=1,INDEX(Vol_O,25,BT$14)/12*(1+P_dVol),0)</f>
        <v>0</v>
      </c>
      <c r="BU45" s="48" t="n">
        <f aca="false">IF(BU$15=1,INDEX(Vol_O,25,BU$14)/12*(1+P_dVol),0)</f>
        <v>0</v>
      </c>
      <c r="BV45" s="48" t="n">
        <f aca="false">IF(BV$15=1,INDEX(Vol_O,25,BV$14)/12*(1+P_dVol),0)</f>
        <v>0</v>
      </c>
      <c r="BW45" s="48" t="n">
        <f aca="false">IF(BW$15=1,INDEX(Vol_O,25,BW$14)/12*(1+P_dVol),0)</f>
        <v>0</v>
      </c>
      <c r="BX45" s="48" t="n">
        <f aca="false">IF(BX$15=1,INDEX(Vol_O,25,BX$14)/12*(1+P_dVol),0)</f>
        <v>0</v>
      </c>
      <c r="BY45" s="48" t="n">
        <f aca="false">IF(BY$15=1,INDEX(Vol_O,25,BY$14)/12*(1+P_dVol),0)</f>
        <v>0</v>
      </c>
      <c r="BZ45" s="48" t="n">
        <f aca="false">IF(BZ$15=1,INDEX(Vol_O,25,BZ$14)/12*(1+P_dVol),0)</f>
        <v>0</v>
      </c>
      <c r="CA45" s="48" t="n">
        <f aca="false">IF(CA$15=1,INDEX(Vol_O,25,CA$14)/12*(1+P_dVol),0)</f>
        <v>0</v>
      </c>
      <c r="CB45" s="48" t="n">
        <f aca="false">IF(CB$15=1,INDEX(Vol_O,25,CB$14)/12*(1+P_dVol),0)</f>
        <v>0</v>
      </c>
      <c r="CC45" s="48" t="n">
        <f aca="false">IF(CC$15=1,INDEX(Vol_O,25,CC$14)/12*(1+P_dVol),0)</f>
        <v>0</v>
      </c>
      <c r="CD45" s="48" t="n">
        <f aca="false">IF(CD$15=1,INDEX(Vol_O,25,CD$14)/12*(1+P_dVol),0)</f>
        <v>0</v>
      </c>
      <c r="CE45" s="48" t="n">
        <f aca="false">IF(CE$15=1,INDEX(Vol_O,25,CE$14)/12*(1+P_dVol),0)</f>
        <v>0</v>
      </c>
      <c r="CF45" s="48" t="n">
        <f aca="false">IF(CF$15=1,INDEX(Vol_O,25,CF$14)/12*(1+P_dVol),0)</f>
        <v>0</v>
      </c>
      <c r="CG45" s="48" t="n">
        <f aca="false">IF(CG$15=1,INDEX(Vol_O,25,CG$14)/12*(1+P_dVol),0)</f>
        <v>0</v>
      </c>
      <c r="CH45" s="48" t="n">
        <f aca="false">IF(CH$15=1,INDEX(Vol_O,25,CH$14)/12*(1+P_dVol),0)</f>
        <v>0</v>
      </c>
      <c r="CI45" s="48" t="n">
        <f aca="false">IF(CI$15=1,INDEX(Vol_O,25,CI$14)/12*(1+P_dVol),0)</f>
        <v>0</v>
      </c>
      <c r="CJ45" s="48" t="n">
        <f aca="false">IF(CJ$15=1,INDEX(Vol_O,25,CJ$14)/12*(1+P_dVol),0)</f>
        <v>0</v>
      </c>
      <c r="CK45" s="48" t="n">
        <f aca="false">IF(CK$15=1,INDEX(Vol_O,25,CK$14)/12*(1+P_dVol),0)</f>
        <v>0</v>
      </c>
      <c r="CL45" s="48" t="n">
        <f aca="false">IF(CL$15=1,INDEX(Vol_O,25,CL$14)/12*(1+P_dVol),0)</f>
        <v>0</v>
      </c>
      <c r="CM45" s="48" t="n">
        <f aca="false">IF(CM$15=1,INDEX(Vol_O,25,CM$14)/12*(1+P_dVol),0)</f>
        <v>0</v>
      </c>
      <c r="CN45" s="48" t="n">
        <f aca="false">IF(CN$15=1,INDEX(Vol_O,25,CN$14)/12*(1+P_dVol),0)</f>
        <v>0</v>
      </c>
      <c r="CO45" s="48" t="n">
        <f aca="false">IF(CO$15=1,INDEX(Vol_O,25,CO$14)/12*(1+P_dVol),0)</f>
        <v>0</v>
      </c>
      <c r="CP45" s="48" t="n">
        <f aca="false">IF(CP$15=1,INDEX(Vol_O,25,CP$14)/12*(1+P_dVol),0)</f>
        <v>0</v>
      </c>
      <c r="CQ45" s="48" t="n">
        <f aca="false">IF(CQ$15=1,INDEX(Vol_O,25,CQ$14)/12*(1+P_dVol),0)</f>
        <v>0</v>
      </c>
      <c r="CR45" s="48" t="n">
        <f aca="false">IF(CR$15=1,INDEX(Vol_O,25,CR$14)/12*(1+P_dVol),0)</f>
        <v>0</v>
      </c>
      <c r="CS45" s="48" t="n">
        <f aca="false">IF(CS$15=1,INDEX(Vol_O,25,CS$14)/12*(1+P_dVol),0)</f>
        <v>0</v>
      </c>
      <c r="CT45" s="48" t="n">
        <f aca="false">IF(CT$15=1,INDEX(Vol_O,25,CT$14)/12*(1+P_dVol),0)</f>
        <v>0</v>
      </c>
      <c r="CU45" s="48" t="n">
        <f aca="false">IF(CU$15=1,INDEX(Vol_O,25,CU$14)/12*(1+P_dVol),0)</f>
        <v>0</v>
      </c>
      <c r="CV45" s="48" t="n">
        <f aca="false">IF(CV$15=1,INDEX(Vol_O,25,CV$14)/12*(1+P_dVol),0)</f>
        <v>0</v>
      </c>
      <c r="CW45" s="48" t="n">
        <f aca="false">IF(CW$15=1,INDEX(Vol_O,25,CW$14)/12*(1+P_dVol),0)</f>
        <v>0</v>
      </c>
      <c r="CX45" s="48" t="n">
        <f aca="false">IF(CX$15=1,INDEX(Vol_O,25,CX$14)/12*(1+P_dVol),0)</f>
        <v>0</v>
      </c>
      <c r="CY45" s="48" t="n">
        <f aca="false">IF(CY$15=1,INDEX(Vol_O,25,CY$14)/12*(1+P_dVol),0)</f>
        <v>0</v>
      </c>
      <c r="CZ45" s="48" t="n">
        <f aca="false">IF(CZ$15=1,INDEX(Vol_O,25,CZ$14)/12*(1+P_dVol),0)</f>
        <v>0</v>
      </c>
      <c r="DA45" s="48" t="n">
        <f aca="false">IF(DA$15=1,INDEX(Vol_O,25,DA$14)/12*(1+P_dVol),0)</f>
        <v>0</v>
      </c>
      <c r="DB45" s="48" t="n">
        <f aca="false">IF(DB$15=1,INDEX(Vol_O,25,DB$14)/12*(1+P_dVol),0)</f>
        <v>0</v>
      </c>
      <c r="DC45" s="48" t="n">
        <f aca="false">IF(DC$15=1,INDEX(Vol_O,25,DC$14)/12*(1+P_dVol),0)</f>
        <v>0</v>
      </c>
      <c r="DD45" s="48" t="n">
        <f aca="false">IF(DD$15=1,INDEX(Vol_O,25,DD$14)/12*(1+P_dVol),0)</f>
        <v>0</v>
      </c>
      <c r="DE45" s="48" t="n">
        <f aca="false">IF(DE$15=1,INDEX(Vol_O,25,DE$14)/12*(1+P_dVol),0)</f>
        <v>0</v>
      </c>
      <c r="DF45" s="48" t="n">
        <f aca="false">IF(DF$15=1,INDEX(Vol_O,25,DF$14)/12*(1+P_dVol),0)</f>
        <v>0</v>
      </c>
      <c r="DG45" s="48" t="n">
        <f aca="false">IF(DG$15=1,INDEX(Vol_O,25,DG$14)/12*(1+P_dVol),0)</f>
        <v>0</v>
      </c>
      <c r="DH45" s="48" t="n">
        <f aca="false">IF(DH$15=1,INDEX(Vol_O,25,DH$14)/12*(1+P_dVol),0)</f>
        <v>0</v>
      </c>
      <c r="DI45" s="48" t="n">
        <f aca="false">IF(DI$15=1,INDEX(Vol_O,25,DI$14)/12*(1+P_dVol),0)</f>
        <v>0</v>
      </c>
      <c r="DJ45" s="48" t="n">
        <f aca="false">IF(DJ$15=1,INDEX(Vol_O,25,DJ$14)/12*(1+P_dVol),0)</f>
        <v>0</v>
      </c>
      <c r="DK45" s="48" t="n">
        <f aca="false">IF(DK$15=1,INDEX(Vol_O,25,DK$14)/12*(1+P_dVol),0)</f>
        <v>0</v>
      </c>
      <c r="DL45" s="48" t="n">
        <f aca="false">IF(DL$15=1,INDEX(Vol_O,25,DL$14)/12*(1+P_dVol),0)</f>
        <v>0</v>
      </c>
      <c r="DM45" s="48" t="n">
        <f aca="false">IF(DM$15=1,INDEX(Vol_O,25,DM$14)/12*(1+P_dVol),0)</f>
        <v>0</v>
      </c>
      <c r="DN45" s="48" t="n">
        <f aca="false">IF(DN$15=1,INDEX(Vol_O,25,DN$14)/12*(1+P_dVol),0)</f>
        <v>0</v>
      </c>
      <c r="DO45" s="48" t="n">
        <f aca="false">IF(DO$15=1,INDEX(Vol_O,25,DO$14)/12*(1+P_dVol),0)</f>
        <v>0</v>
      </c>
      <c r="DP45" s="48" t="n">
        <f aca="false">IF(DP$15=1,INDEX(Vol_O,25,DP$14)/12*(1+P_dVol),0)</f>
        <v>0</v>
      </c>
      <c r="DQ45" s="48" t="n">
        <f aca="false">IF(DQ$15=1,INDEX(Vol_O,25,DQ$14)/12*(1+P_dVol),0)</f>
        <v>0</v>
      </c>
      <c r="DR45" s="48" t="n">
        <f aca="false">IF(DR$15=1,INDEX(Vol_O,25,DR$14)/12*(1+P_dVol),0)</f>
        <v>0</v>
      </c>
      <c r="DS45" s="48" t="n">
        <f aca="false">IF(DS$15=1,INDEX(Vol_O,25,DS$14)/12*(1+P_dVol),0)</f>
        <v>0</v>
      </c>
      <c r="DT45" s="48" t="n">
        <f aca="false">IF(DT$15=1,INDEX(Vol_O,25,DT$14)/12*(1+P_dVol),0)</f>
        <v>0</v>
      </c>
      <c r="DU45" s="48" t="n">
        <f aca="false">IF(DU$15=1,INDEX(Vol_O,25,DU$14)/12*(1+P_dVol),0)</f>
        <v>0</v>
      </c>
      <c r="DV45" s="48" t="n">
        <f aca="false">IF(DV$15=1,INDEX(Vol_O,25,DV$14)/12*(1+P_dVol),0)</f>
        <v>0</v>
      </c>
      <c r="DW45" s="48" t="n">
        <f aca="false">IF(DW$15=1,INDEX(Vol_O,25,DW$14)/12*(1+P_dVol),0)</f>
        <v>0</v>
      </c>
      <c r="DX45" s="48" t="n">
        <f aca="false">IF(DX$15=1,INDEX(Vol_O,25,DX$14)/12*(1+P_dVol),0)</f>
        <v>0</v>
      </c>
      <c r="DY45" s="48" t="n">
        <f aca="false">IF(DY$15=1,INDEX(Vol_O,25,DY$14)/12*(1+P_dVol),0)</f>
        <v>0</v>
      </c>
      <c r="DZ45" s="48" t="n">
        <f aca="false">IF(DZ$15=1,INDEX(Vol_O,25,DZ$14)/12*(1+P_dVol),0)</f>
        <v>0</v>
      </c>
      <c r="EA45" s="48" t="n">
        <f aca="false">IF(EA$15=1,INDEX(Vol_O,25,EA$14)/12*(1+P_dVol),0)</f>
        <v>0</v>
      </c>
      <c r="EB45" s="48" t="n">
        <f aca="false">IF(EB$15=1,INDEX(Vol_O,25,EB$14)/12*(1+P_dVol),0)</f>
        <v>0</v>
      </c>
      <c r="EC45" s="48" t="n">
        <f aca="false">IF(EC$15=1,INDEX(Vol_O,25,EC$14)/12*(1+P_dVol),0)</f>
        <v>0</v>
      </c>
      <c r="ED45" s="48" t="n">
        <f aca="false">IF(ED$15=1,INDEX(Vol_O,25,ED$14)/12*(1+P_dVol),0)</f>
        <v>0</v>
      </c>
      <c r="EE45" s="48" t="n">
        <f aca="false">IF(EE$15=1,INDEX(Vol_O,25,EE$14)/12*(1+P_dVol),0)</f>
        <v>0</v>
      </c>
      <c r="EF45" s="48" t="n">
        <f aca="false">IF(EF$15=1,INDEX(Vol_O,25,EF$14)/12*(1+P_dVol),0)</f>
        <v>0</v>
      </c>
      <c r="EG45" s="48" t="n">
        <f aca="false">IF(EG$15=1,INDEX(Vol_O,25,EG$14)/12*(1+P_dVol),0)</f>
        <v>0</v>
      </c>
      <c r="EH45" s="48" t="n">
        <f aca="false">IF(EH$15=1,INDEX(Vol_O,25,EH$14)/12*(1+P_dVol),0)</f>
        <v>0</v>
      </c>
      <c r="EI45" s="48" t="n">
        <f aca="false">IF(EI$15=1,INDEX(Vol_O,25,EI$14)/12*(1+P_dVol),0)</f>
        <v>0</v>
      </c>
      <c r="EJ45" s="48" t="n">
        <f aca="false">IF(EJ$15=1,INDEX(Vol_O,25,EJ$14)/12*(1+P_dVol),0)</f>
        <v>0</v>
      </c>
      <c r="EK45" s="48" t="n">
        <f aca="false">IF(EK$15=1,INDEX(Vol_O,25,EK$14)/12*(1+P_dVol),0)</f>
        <v>0</v>
      </c>
      <c r="EL45" s="48" t="n">
        <f aca="false">IF(EL$15=1,INDEX(Vol_O,25,EL$14)/12*(1+P_dVol),0)</f>
        <v>0</v>
      </c>
      <c r="EM45" s="48" t="n">
        <f aca="false">IF(EM$15=1,INDEX(Vol_O,25,EM$14)/12*(1+P_dVol),0)</f>
        <v>0</v>
      </c>
      <c r="EN45" s="48" t="n">
        <f aca="false">IF(EN$15=1,INDEX(Vol_O,25,EN$14)/12*(1+P_dVol),0)</f>
        <v>0</v>
      </c>
      <c r="EO45" s="48" t="n">
        <f aca="false">IF(EO$15=1,INDEX(Vol_O,25,EO$14)/12*(1+P_dVol),0)</f>
        <v>0</v>
      </c>
      <c r="EP45" s="48" t="n">
        <f aca="false">IF(EP$15=1,INDEX(Vol_O,25,EP$14)/12*(1+P_dVol),0)</f>
        <v>0</v>
      </c>
      <c r="EQ45" s="48" t="n">
        <f aca="false">IF(EQ$15=1,INDEX(Vol_O,25,EQ$14)/12*(1+P_dVol),0)</f>
        <v>0</v>
      </c>
      <c r="ER45" s="48" t="n">
        <f aca="false">IF(ER$15=1,INDEX(Vol_O,25,ER$14)/12*(1+P_dVol),0)</f>
        <v>0</v>
      </c>
      <c r="ES45" s="48" t="n">
        <f aca="false">IF(ES$15=1,INDEX(Vol_O,25,ES$14)/12*(1+P_dVol),0)</f>
        <v>0</v>
      </c>
    </row>
    <row r="46" customFormat="false" ht="15" hidden="false" customHeight="false" outlineLevel="0" collapsed="false">
      <c r="A46" s="11" t="s">
        <v>1091</v>
      </c>
      <c r="B46" s="53" t="str">
        <f aca="false">IF(INDEX(Prod_Nombre,1)="","Producto 1",INDEX(Prod_Nombre,1))&amp;" — ventas USD"</f>
        <v>Gabinetes metálicos 153 kg — ventas USD</v>
      </c>
      <c r="C46" s="15" t="s">
        <v>508</v>
      </c>
      <c r="E46" s="54" t="n">
        <f aca="false">SUM(F46:ES46)</f>
        <v>54428264.108153</v>
      </c>
      <c r="F46" s="48" t="n">
        <f aca="false">F$21*INDEX(Precio_O,1)*INDEX(IdxPrecio_O,1,MIN(10,F$17))*(1+P_dPrecio)</f>
        <v>270000</v>
      </c>
      <c r="G46" s="48" t="n">
        <f aca="false">G$21*INDEX(Precio_O,1)*INDEX(IdxPrecio_O,1,MIN(10,G$17))*(1+P_dPrecio)</f>
        <v>270000</v>
      </c>
      <c r="H46" s="48" t="n">
        <f aca="false">H$21*INDEX(Precio_O,1)*INDEX(IdxPrecio_O,1,MIN(10,H$17))*(1+P_dPrecio)</f>
        <v>270000</v>
      </c>
      <c r="I46" s="48" t="n">
        <f aca="false">I$21*INDEX(Precio_O,1)*INDEX(IdxPrecio_O,1,MIN(10,I$17))*(1+P_dPrecio)</f>
        <v>270000</v>
      </c>
      <c r="J46" s="48" t="n">
        <f aca="false">J$21*INDEX(Precio_O,1)*INDEX(IdxPrecio_O,1,MIN(10,J$17))*(1+P_dPrecio)</f>
        <v>270000</v>
      </c>
      <c r="K46" s="48" t="n">
        <f aca="false">K$21*INDEX(Precio_O,1)*INDEX(IdxPrecio_O,1,MIN(10,K$17))*(1+P_dPrecio)</f>
        <v>270000</v>
      </c>
      <c r="L46" s="48" t="n">
        <f aca="false">L$21*INDEX(Precio_O,1)*INDEX(IdxPrecio_O,1,MIN(10,L$17))*(1+P_dPrecio)</f>
        <v>270000</v>
      </c>
      <c r="M46" s="48" t="n">
        <f aca="false">M$21*INDEX(Precio_O,1)*INDEX(IdxPrecio_O,1,MIN(10,M$17))*(1+P_dPrecio)</f>
        <v>270000</v>
      </c>
      <c r="N46" s="48" t="n">
        <f aca="false">N$21*INDEX(Precio_O,1)*INDEX(IdxPrecio_O,1,MIN(10,N$17))*(1+P_dPrecio)</f>
        <v>270000</v>
      </c>
      <c r="O46" s="48" t="n">
        <f aca="false">O$21*INDEX(Precio_O,1)*INDEX(IdxPrecio_O,1,MIN(10,O$17))*(1+P_dPrecio)</f>
        <v>270000</v>
      </c>
      <c r="P46" s="48" t="n">
        <f aca="false">P$21*INDEX(Precio_O,1)*INDEX(IdxPrecio_O,1,MIN(10,P$17))*(1+P_dPrecio)</f>
        <v>270000</v>
      </c>
      <c r="Q46" s="48" t="n">
        <f aca="false">Q$21*INDEX(Precio_O,1)*INDEX(IdxPrecio_O,1,MIN(10,Q$17))*(1+P_dPrecio)</f>
        <v>270000</v>
      </c>
      <c r="R46" s="48" t="n">
        <f aca="false">R$21*INDEX(Precio_O,1)*INDEX(IdxPrecio_O,1,MIN(10,R$17))*(1+P_dPrecio)</f>
        <v>340875</v>
      </c>
      <c r="S46" s="48" t="n">
        <f aca="false">S$21*INDEX(Precio_O,1)*INDEX(IdxPrecio_O,1,MIN(10,S$17))*(1+P_dPrecio)</f>
        <v>340875</v>
      </c>
      <c r="T46" s="48" t="n">
        <f aca="false">T$21*INDEX(Precio_O,1)*INDEX(IdxPrecio_O,1,MIN(10,T$17))*(1+P_dPrecio)</f>
        <v>340875</v>
      </c>
      <c r="U46" s="48" t="n">
        <f aca="false">U$21*INDEX(Precio_O,1)*INDEX(IdxPrecio_O,1,MIN(10,U$17))*(1+P_dPrecio)</f>
        <v>340875</v>
      </c>
      <c r="V46" s="48" t="n">
        <f aca="false">V$21*INDEX(Precio_O,1)*INDEX(IdxPrecio_O,1,MIN(10,V$17))*(1+P_dPrecio)</f>
        <v>340875</v>
      </c>
      <c r="W46" s="48" t="n">
        <f aca="false">W$21*INDEX(Precio_O,1)*INDEX(IdxPrecio_O,1,MIN(10,W$17))*(1+P_dPrecio)</f>
        <v>340875</v>
      </c>
      <c r="X46" s="48" t="n">
        <f aca="false">X$21*INDEX(Precio_O,1)*INDEX(IdxPrecio_O,1,MIN(10,X$17))*(1+P_dPrecio)</f>
        <v>340875</v>
      </c>
      <c r="Y46" s="48" t="n">
        <f aca="false">Y$21*INDEX(Precio_O,1)*INDEX(IdxPrecio_O,1,MIN(10,Y$17))*(1+P_dPrecio)</f>
        <v>340875</v>
      </c>
      <c r="Z46" s="48" t="n">
        <f aca="false">Z$21*INDEX(Precio_O,1)*INDEX(IdxPrecio_O,1,MIN(10,Z$17))*(1+P_dPrecio)</f>
        <v>340875</v>
      </c>
      <c r="AA46" s="48" t="n">
        <f aca="false">AA$21*INDEX(Precio_O,1)*INDEX(IdxPrecio_O,1,MIN(10,AA$17))*(1+P_dPrecio)</f>
        <v>340875</v>
      </c>
      <c r="AB46" s="48" t="n">
        <f aca="false">AB$21*INDEX(Precio_O,1)*INDEX(IdxPrecio_O,1,MIN(10,AB$17))*(1+P_dPrecio)</f>
        <v>340875</v>
      </c>
      <c r="AC46" s="48" t="n">
        <f aca="false">AC$21*INDEX(Precio_O,1)*INDEX(IdxPrecio_O,1,MIN(10,AC$17))*(1+P_dPrecio)</f>
        <v>340875</v>
      </c>
      <c r="AD46" s="48" t="n">
        <f aca="false">AD$21*INDEX(Precio_O,1)*INDEX(IdxPrecio_O,1,MIN(10,AD$17))*(1+P_dPrecio)</f>
        <v>413140.5</v>
      </c>
      <c r="AE46" s="48" t="n">
        <f aca="false">AE$21*INDEX(Precio_O,1)*INDEX(IdxPrecio_O,1,MIN(10,AE$17))*(1+P_dPrecio)</f>
        <v>413140.5</v>
      </c>
      <c r="AF46" s="48" t="n">
        <f aca="false">AF$21*INDEX(Precio_O,1)*INDEX(IdxPrecio_O,1,MIN(10,AF$17))*(1+P_dPrecio)</f>
        <v>413140.5</v>
      </c>
      <c r="AG46" s="48" t="n">
        <f aca="false">AG$21*INDEX(Precio_O,1)*INDEX(IdxPrecio_O,1,MIN(10,AG$17))*(1+P_dPrecio)</f>
        <v>413140.5</v>
      </c>
      <c r="AH46" s="48" t="n">
        <f aca="false">AH$21*INDEX(Precio_O,1)*INDEX(IdxPrecio_O,1,MIN(10,AH$17))*(1+P_dPrecio)</f>
        <v>413140.5</v>
      </c>
      <c r="AI46" s="48" t="n">
        <f aca="false">AI$21*INDEX(Precio_O,1)*INDEX(IdxPrecio_O,1,MIN(10,AI$17))*(1+P_dPrecio)</f>
        <v>413140.5</v>
      </c>
      <c r="AJ46" s="48" t="n">
        <f aca="false">AJ$21*INDEX(Precio_O,1)*INDEX(IdxPrecio_O,1,MIN(10,AJ$17))*(1+P_dPrecio)</f>
        <v>413140.5</v>
      </c>
      <c r="AK46" s="48" t="n">
        <f aca="false">AK$21*INDEX(Precio_O,1)*INDEX(IdxPrecio_O,1,MIN(10,AK$17))*(1+P_dPrecio)</f>
        <v>413140.5</v>
      </c>
      <c r="AL46" s="48" t="n">
        <f aca="false">AL$21*INDEX(Precio_O,1)*INDEX(IdxPrecio_O,1,MIN(10,AL$17))*(1+P_dPrecio)</f>
        <v>413140.5</v>
      </c>
      <c r="AM46" s="48" t="n">
        <f aca="false">AM$21*INDEX(Precio_O,1)*INDEX(IdxPrecio_O,1,MIN(10,AM$17))*(1+P_dPrecio)</f>
        <v>413140.5</v>
      </c>
      <c r="AN46" s="48" t="n">
        <f aca="false">AN$21*INDEX(Precio_O,1)*INDEX(IdxPrecio_O,1,MIN(10,AN$17))*(1+P_dPrecio)</f>
        <v>413140.5</v>
      </c>
      <c r="AO46" s="48" t="n">
        <f aca="false">AO$21*INDEX(Precio_O,1)*INDEX(IdxPrecio_O,1,MIN(10,AO$17))*(1+P_dPrecio)</f>
        <v>413140.5</v>
      </c>
      <c r="AP46" s="48" t="n">
        <f aca="false">AP$21*INDEX(Precio_O,1)*INDEX(IdxPrecio_O,1,MIN(10,AP$17))*(1+P_dPrecio)</f>
        <v>486817.2225</v>
      </c>
      <c r="AQ46" s="48" t="n">
        <f aca="false">AQ$21*INDEX(Precio_O,1)*INDEX(IdxPrecio_O,1,MIN(10,AQ$17))*(1+P_dPrecio)</f>
        <v>486817.2225</v>
      </c>
      <c r="AR46" s="48" t="n">
        <f aca="false">AR$21*INDEX(Precio_O,1)*INDEX(IdxPrecio_O,1,MIN(10,AR$17))*(1+P_dPrecio)</f>
        <v>486817.2225</v>
      </c>
      <c r="AS46" s="48" t="n">
        <f aca="false">AS$21*INDEX(Precio_O,1)*INDEX(IdxPrecio_O,1,MIN(10,AS$17))*(1+P_dPrecio)</f>
        <v>486817.2225</v>
      </c>
      <c r="AT46" s="48" t="n">
        <f aca="false">AT$21*INDEX(Precio_O,1)*INDEX(IdxPrecio_O,1,MIN(10,AT$17))*(1+P_dPrecio)</f>
        <v>486817.2225</v>
      </c>
      <c r="AU46" s="48" t="n">
        <f aca="false">AU$21*INDEX(Precio_O,1)*INDEX(IdxPrecio_O,1,MIN(10,AU$17))*(1+P_dPrecio)</f>
        <v>486817.2225</v>
      </c>
      <c r="AV46" s="48" t="n">
        <f aca="false">AV$21*INDEX(Precio_O,1)*INDEX(IdxPrecio_O,1,MIN(10,AV$17))*(1+P_dPrecio)</f>
        <v>486817.2225</v>
      </c>
      <c r="AW46" s="48" t="n">
        <f aca="false">AW$21*INDEX(Precio_O,1)*INDEX(IdxPrecio_O,1,MIN(10,AW$17))*(1+P_dPrecio)</f>
        <v>486817.2225</v>
      </c>
      <c r="AX46" s="48" t="n">
        <f aca="false">AX$21*INDEX(Precio_O,1)*INDEX(IdxPrecio_O,1,MIN(10,AX$17))*(1+P_dPrecio)</f>
        <v>486817.2225</v>
      </c>
      <c r="AY46" s="48" t="n">
        <f aca="false">AY$21*INDEX(Precio_O,1)*INDEX(IdxPrecio_O,1,MIN(10,AY$17))*(1+P_dPrecio)</f>
        <v>486817.2225</v>
      </c>
      <c r="AZ46" s="48" t="n">
        <f aca="false">AZ$21*INDEX(Precio_O,1)*INDEX(IdxPrecio_O,1,MIN(10,AZ$17))*(1+P_dPrecio)</f>
        <v>486817.2225</v>
      </c>
      <c r="BA46" s="48" t="n">
        <f aca="false">BA$21*INDEX(Precio_O,1)*INDEX(IdxPrecio_O,1,MIN(10,BA$17))*(1+P_dPrecio)</f>
        <v>486817.2225</v>
      </c>
      <c r="BB46" s="48" t="n">
        <f aca="false">BB$21*INDEX(Precio_O,1)*INDEX(IdxPrecio_O,1,MIN(10,BB$17))*(1+P_dPrecio)</f>
        <v>491685.394725</v>
      </c>
      <c r="BC46" s="48" t="n">
        <f aca="false">BC$21*INDEX(Precio_O,1)*INDEX(IdxPrecio_O,1,MIN(10,BC$17))*(1+P_dPrecio)</f>
        <v>491685.394725</v>
      </c>
      <c r="BD46" s="48" t="n">
        <f aca="false">BD$21*INDEX(Precio_O,1)*INDEX(IdxPrecio_O,1,MIN(10,BD$17))*(1+P_dPrecio)</f>
        <v>491685.394725</v>
      </c>
      <c r="BE46" s="48" t="n">
        <f aca="false">BE$21*INDEX(Precio_O,1)*INDEX(IdxPrecio_O,1,MIN(10,BE$17))*(1+P_dPrecio)</f>
        <v>491685.394725</v>
      </c>
      <c r="BF46" s="48" t="n">
        <f aca="false">BF$21*INDEX(Precio_O,1)*INDEX(IdxPrecio_O,1,MIN(10,BF$17))*(1+P_dPrecio)</f>
        <v>491685.394725</v>
      </c>
      <c r="BG46" s="48" t="n">
        <f aca="false">BG$21*INDEX(Precio_O,1)*INDEX(IdxPrecio_O,1,MIN(10,BG$17))*(1+P_dPrecio)</f>
        <v>491685.394725</v>
      </c>
      <c r="BH46" s="48" t="n">
        <f aca="false">BH$21*INDEX(Precio_O,1)*INDEX(IdxPrecio_O,1,MIN(10,BH$17))*(1+P_dPrecio)</f>
        <v>491685.394725</v>
      </c>
      <c r="BI46" s="48" t="n">
        <f aca="false">BI$21*INDEX(Precio_O,1)*INDEX(IdxPrecio_O,1,MIN(10,BI$17))*(1+P_dPrecio)</f>
        <v>491685.394725</v>
      </c>
      <c r="BJ46" s="48" t="n">
        <f aca="false">BJ$21*INDEX(Precio_O,1)*INDEX(IdxPrecio_O,1,MIN(10,BJ$17))*(1+P_dPrecio)</f>
        <v>491685.394725</v>
      </c>
      <c r="BK46" s="48" t="n">
        <f aca="false">BK$21*INDEX(Precio_O,1)*INDEX(IdxPrecio_O,1,MIN(10,BK$17))*(1+P_dPrecio)</f>
        <v>491685.394725</v>
      </c>
      <c r="BL46" s="48" t="n">
        <f aca="false">BL$21*INDEX(Precio_O,1)*INDEX(IdxPrecio_O,1,MIN(10,BL$17))*(1+P_dPrecio)</f>
        <v>491685.394725</v>
      </c>
      <c r="BM46" s="48" t="n">
        <f aca="false">BM$21*INDEX(Precio_O,1)*INDEX(IdxPrecio_O,1,MIN(10,BM$17))*(1+P_dPrecio)</f>
        <v>491685.394725</v>
      </c>
      <c r="BN46" s="48" t="n">
        <f aca="false">BN$21*INDEX(Precio_O,1)*INDEX(IdxPrecio_O,1,MIN(10,BN$17))*(1+P_dPrecio)</f>
        <v>496602.24867225</v>
      </c>
      <c r="BO46" s="48" t="n">
        <f aca="false">BO$21*INDEX(Precio_O,1)*INDEX(IdxPrecio_O,1,MIN(10,BO$17))*(1+P_dPrecio)</f>
        <v>496602.24867225</v>
      </c>
      <c r="BP46" s="48" t="n">
        <f aca="false">BP$21*INDEX(Precio_O,1)*INDEX(IdxPrecio_O,1,MIN(10,BP$17))*(1+P_dPrecio)</f>
        <v>496602.24867225</v>
      </c>
      <c r="BQ46" s="48" t="n">
        <f aca="false">BQ$21*INDEX(Precio_O,1)*INDEX(IdxPrecio_O,1,MIN(10,BQ$17))*(1+P_dPrecio)</f>
        <v>496602.24867225</v>
      </c>
      <c r="BR46" s="48" t="n">
        <f aca="false">BR$21*INDEX(Precio_O,1)*INDEX(IdxPrecio_O,1,MIN(10,BR$17))*(1+P_dPrecio)</f>
        <v>496602.24867225</v>
      </c>
      <c r="BS46" s="48" t="n">
        <f aca="false">BS$21*INDEX(Precio_O,1)*INDEX(IdxPrecio_O,1,MIN(10,BS$17))*(1+P_dPrecio)</f>
        <v>496602.24867225</v>
      </c>
      <c r="BT46" s="48" t="n">
        <f aca="false">BT$21*INDEX(Precio_O,1)*INDEX(IdxPrecio_O,1,MIN(10,BT$17))*(1+P_dPrecio)</f>
        <v>496602.24867225</v>
      </c>
      <c r="BU46" s="48" t="n">
        <f aca="false">BU$21*INDEX(Precio_O,1)*INDEX(IdxPrecio_O,1,MIN(10,BU$17))*(1+P_dPrecio)</f>
        <v>496602.24867225</v>
      </c>
      <c r="BV46" s="48" t="n">
        <f aca="false">BV$21*INDEX(Precio_O,1)*INDEX(IdxPrecio_O,1,MIN(10,BV$17))*(1+P_dPrecio)</f>
        <v>496602.24867225</v>
      </c>
      <c r="BW46" s="48" t="n">
        <f aca="false">BW$21*INDEX(Precio_O,1)*INDEX(IdxPrecio_O,1,MIN(10,BW$17))*(1+P_dPrecio)</f>
        <v>496602.24867225</v>
      </c>
      <c r="BX46" s="48" t="n">
        <f aca="false">BX$21*INDEX(Precio_O,1)*INDEX(IdxPrecio_O,1,MIN(10,BX$17))*(1+P_dPrecio)</f>
        <v>496602.24867225</v>
      </c>
      <c r="BY46" s="48" t="n">
        <f aca="false">BY$21*INDEX(Precio_O,1)*INDEX(IdxPrecio_O,1,MIN(10,BY$17))*(1+P_dPrecio)</f>
        <v>496602.24867225</v>
      </c>
      <c r="BZ46" s="48" t="n">
        <f aca="false">BZ$21*INDEX(Precio_O,1)*INDEX(IdxPrecio_O,1,MIN(10,BZ$17))*(1+P_dPrecio)</f>
        <v>501568.271158972</v>
      </c>
      <c r="CA46" s="48" t="n">
        <f aca="false">CA$21*INDEX(Precio_O,1)*INDEX(IdxPrecio_O,1,MIN(10,CA$17))*(1+P_dPrecio)</f>
        <v>501568.271158972</v>
      </c>
      <c r="CB46" s="48" t="n">
        <f aca="false">CB$21*INDEX(Precio_O,1)*INDEX(IdxPrecio_O,1,MIN(10,CB$17))*(1+P_dPrecio)</f>
        <v>501568.271158972</v>
      </c>
      <c r="CC46" s="48" t="n">
        <f aca="false">CC$21*INDEX(Precio_O,1)*INDEX(IdxPrecio_O,1,MIN(10,CC$17))*(1+P_dPrecio)</f>
        <v>501568.271158972</v>
      </c>
      <c r="CD46" s="48" t="n">
        <f aca="false">CD$21*INDEX(Precio_O,1)*INDEX(IdxPrecio_O,1,MIN(10,CD$17))*(1+P_dPrecio)</f>
        <v>501568.271158972</v>
      </c>
      <c r="CE46" s="48" t="n">
        <f aca="false">CE$21*INDEX(Precio_O,1)*INDEX(IdxPrecio_O,1,MIN(10,CE$17))*(1+P_dPrecio)</f>
        <v>501568.271158972</v>
      </c>
      <c r="CF46" s="48" t="n">
        <f aca="false">CF$21*INDEX(Precio_O,1)*INDEX(IdxPrecio_O,1,MIN(10,CF$17))*(1+P_dPrecio)</f>
        <v>501568.271158972</v>
      </c>
      <c r="CG46" s="48" t="n">
        <f aca="false">CG$21*INDEX(Precio_O,1)*INDEX(IdxPrecio_O,1,MIN(10,CG$17))*(1+P_dPrecio)</f>
        <v>501568.271158972</v>
      </c>
      <c r="CH46" s="48" t="n">
        <f aca="false">CH$21*INDEX(Precio_O,1)*INDEX(IdxPrecio_O,1,MIN(10,CH$17))*(1+P_dPrecio)</f>
        <v>501568.271158972</v>
      </c>
      <c r="CI46" s="48" t="n">
        <f aca="false">CI$21*INDEX(Precio_O,1)*INDEX(IdxPrecio_O,1,MIN(10,CI$17))*(1+P_dPrecio)</f>
        <v>501568.271158972</v>
      </c>
      <c r="CJ46" s="48" t="n">
        <f aca="false">CJ$21*INDEX(Precio_O,1)*INDEX(IdxPrecio_O,1,MIN(10,CJ$17))*(1+P_dPrecio)</f>
        <v>501568.271158972</v>
      </c>
      <c r="CK46" s="48" t="n">
        <f aca="false">CK$21*INDEX(Precio_O,1)*INDEX(IdxPrecio_O,1,MIN(10,CK$17))*(1+P_dPrecio)</f>
        <v>501568.271158972</v>
      </c>
      <c r="CL46" s="48" t="n">
        <f aca="false">CL$21*INDEX(Precio_O,1)*INDEX(IdxPrecio_O,1,MIN(10,CL$17))*(1+P_dPrecio)</f>
        <v>506583.953870562</v>
      </c>
      <c r="CM46" s="48" t="n">
        <f aca="false">CM$21*INDEX(Precio_O,1)*INDEX(IdxPrecio_O,1,MIN(10,CM$17))*(1+P_dPrecio)</f>
        <v>506583.953870562</v>
      </c>
      <c r="CN46" s="48" t="n">
        <f aca="false">CN$21*INDEX(Precio_O,1)*INDEX(IdxPrecio_O,1,MIN(10,CN$17))*(1+P_dPrecio)</f>
        <v>506583.953870562</v>
      </c>
      <c r="CO46" s="48" t="n">
        <f aca="false">CO$21*INDEX(Precio_O,1)*INDEX(IdxPrecio_O,1,MIN(10,CO$17))*(1+P_dPrecio)</f>
        <v>506583.953870562</v>
      </c>
      <c r="CP46" s="48" t="n">
        <f aca="false">CP$21*INDEX(Precio_O,1)*INDEX(IdxPrecio_O,1,MIN(10,CP$17))*(1+P_dPrecio)</f>
        <v>506583.953870562</v>
      </c>
      <c r="CQ46" s="48" t="n">
        <f aca="false">CQ$21*INDEX(Precio_O,1)*INDEX(IdxPrecio_O,1,MIN(10,CQ$17))*(1+P_dPrecio)</f>
        <v>506583.953870562</v>
      </c>
      <c r="CR46" s="48" t="n">
        <f aca="false">CR$21*INDEX(Precio_O,1)*INDEX(IdxPrecio_O,1,MIN(10,CR$17))*(1+P_dPrecio)</f>
        <v>506583.953870562</v>
      </c>
      <c r="CS46" s="48" t="n">
        <f aca="false">CS$21*INDEX(Precio_O,1)*INDEX(IdxPrecio_O,1,MIN(10,CS$17))*(1+P_dPrecio)</f>
        <v>506583.953870562</v>
      </c>
      <c r="CT46" s="48" t="n">
        <f aca="false">CT$21*INDEX(Precio_O,1)*INDEX(IdxPrecio_O,1,MIN(10,CT$17))*(1+P_dPrecio)</f>
        <v>506583.953870562</v>
      </c>
      <c r="CU46" s="48" t="n">
        <f aca="false">CU$21*INDEX(Precio_O,1)*INDEX(IdxPrecio_O,1,MIN(10,CU$17))*(1+P_dPrecio)</f>
        <v>506583.953870562</v>
      </c>
      <c r="CV46" s="48" t="n">
        <f aca="false">CV$21*INDEX(Precio_O,1)*INDEX(IdxPrecio_O,1,MIN(10,CV$17))*(1+P_dPrecio)</f>
        <v>506583.953870562</v>
      </c>
      <c r="CW46" s="48" t="n">
        <f aca="false">CW$21*INDEX(Precio_O,1)*INDEX(IdxPrecio_O,1,MIN(10,CW$17))*(1+P_dPrecio)</f>
        <v>506583.953870562</v>
      </c>
      <c r="CX46" s="48" t="n">
        <f aca="false">CX$21*INDEX(Precio_O,1)*INDEX(IdxPrecio_O,1,MIN(10,CX$17))*(1+P_dPrecio)</f>
        <v>511649.793409268</v>
      </c>
      <c r="CY46" s="48" t="n">
        <f aca="false">CY$21*INDEX(Precio_O,1)*INDEX(IdxPrecio_O,1,MIN(10,CY$17))*(1+P_dPrecio)</f>
        <v>511649.793409268</v>
      </c>
      <c r="CZ46" s="48" t="n">
        <f aca="false">CZ$21*INDEX(Precio_O,1)*INDEX(IdxPrecio_O,1,MIN(10,CZ$17))*(1+P_dPrecio)</f>
        <v>511649.793409268</v>
      </c>
      <c r="DA46" s="48" t="n">
        <f aca="false">DA$21*INDEX(Precio_O,1)*INDEX(IdxPrecio_O,1,MIN(10,DA$17))*(1+P_dPrecio)</f>
        <v>511649.793409268</v>
      </c>
      <c r="DB46" s="48" t="n">
        <f aca="false">DB$21*INDEX(Precio_O,1)*INDEX(IdxPrecio_O,1,MIN(10,DB$17))*(1+P_dPrecio)</f>
        <v>511649.793409268</v>
      </c>
      <c r="DC46" s="48" t="n">
        <f aca="false">DC$21*INDEX(Precio_O,1)*INDEX(IdxPrecio_O,1,MIN(10,DC$17))*(1+P_dPrecio)</f>
        <v>511649.793409268</v>
      </c>
      <c r="DD46" s="48" t="n">
        <f aca="false">DD$21*INDEX(Precio_O,1)*INDEX(IdxPrecio_O,1,MIN(10,DD$17))*(1+P_dPrecio)</f>
        <v>511649.793409268</v>
      </c>
      <c r="DE46" s="48" t="n">
        <f aca="false">DE$21*INDEX(Precio_O,1)*INDEX(IdxPrecio_O,1,MIN(10,DE$17))*(1+P_dPrecio)</f>
        <v>511649.793409268</v>
      </c>
      <c r="DF46" s="48" t="n">
        <f aca="false">DF$21*INDEX(Precio_O,1)*INDEX(IdxPrecio_O,1,MIN(10,DF$17))*(1+P_dPrecio)</f>
        <v>511649.793409268</v>
      </c>
      <c r="DG46" s="48" t="n">
        <f aca="false">DG$21*INDEX(Precio_O,1)*INDEX(IdxPrecio_O,1,MIN(10,DG$17))*(1+P_dPrecio)</f>
        <v>511649.793409268</v>
      </c>
      <c r="DH46" s="48" t="n">
        <f aca="false">DH$21*INDEX(Precio_O,1)*INDEX(IdxPrecio_O,1,MIN(10,DH$17))*(1+P_dPrecio)</f>
        <v>511649.793409268</v>
      </c>
      <c r="DI46" s="48" t="n">
        <f aca="false">DI$21*INDEX(Precio_O,1)*INDEX(IdxPrecio_O,1,MIN(10,DI$17))*(1+P_dPrecio)</f>
        <v>511649.793409268</v>
      </c>
      <c r="DJ46" s="48" t="n">
        <f aca="false">DJ$21*INDEX(Precio_O,1)*INDEX(IdxPrecio_O,1,MIN(10,DJ$17))*(1+P_dPrecio)</f>
        <v>516766.291343361</v>
      </c>
      <c r="DK46" s="48" t="n">
        <f aca="false">DK$21*INDEX(Precio_O,1)*INDEX(IdxPrecio_O,1,MIN(10,DK$17))*(1+P_dPrecio)</f>
        <v>516766.291343361</v>
      </c>
      <c r="DL46" s="48" t="n">
        <f aca="false">DL$21*INDEX(Precio_O,1)*INDEX(IdxPrecio_O,1,MIN(10,DL$17))*(1+P_dPrecio)</f>
        <v>516766.291343361</v>
      </c>
      <c r="DM46" s="48" t="n">
        <f aca="false">DM$21*INDEX(Precio_O,1)*INDEX(IdxPrecio_O,1,MIN(10,DM$17))*(1+P_dPrecio)</f>
        <v>516766.291343361</v>
      </c>
      <c r="DN46" s="48" t="n">
        <f aca="false">DN$21*INDEX(Precio_O,1)*INDEX(IdxPrecio_O,1,MIN(10,DN$17))*(1+P_dPrecio)</f>
        <v>516766.291343361</v>
      </c>
      <c r="DO46" s="48" t="n">
        <f aca="false">DO$21*INDEX(Precio_O,1)*INDEX(IdxPrecio_O,1,MIN(10,DO$17))*(1+P_dPrecio)</f>
        <v>516766.291343361</v>
      </c>
      <c r="DP46" s="48" t="n">
        <f aca="false">DP$21*INDEX(Precio_O,1)*INDEX(IdxPrecio_O,1,MIN(10,DP$17))*(1+P_dPrecio)</f>
        <v>516766.291343361</v>
      </c>
      <c r="DQ46" s="48" t="n">
        <f aca="false">DQ$21*INDEX(Precio_O,1)*INDEX(IdxPrecio_O,1,MIN(10,DQ$17))*(1+P_dPrecio)</f>
        <v>516766.291343361</v>
      </c>
      <c r="DR46" s="48" t="n">
        <f aca="false">DR$21*INDEX(Precio_O,1)*INDEX(IdxPrecio_O,1,MIN(10,DR$17))*(1+P_dPrecio)</f>
        <v>516766.291343361</v>
      </c>
      <c r="DS46" s="48" t="n">
        <f aca="false">DS$21*INDEX(Precio_O,1)*INDEX(IdxPrecio_O,1,MIN(10,DS$17))*(1+P_dPrecio)</f>
        <v>516766.291343361</v>
      </c>
      <c r="DT46" s="48" t="n">
        <f aca="false">DT$21*INDEX(Precio_O,1)*INDEX(IdxPrecio_O,1,MIN(10,DT$17))*(1+P_dPrecio)</f>
        <v>516766.291343361</v>
      </c>
      <c r="DU46" s="48" t="n">
        <f aca="false">DU$21*INDEX(Precio_O,1)*INDEX(IdxPrecio_O,1,MIN(10,DU$17))*(1+P_dPrecio)</f>
        <v>516766.291343361</v>
      </c>
      <c r="DV46" s="48" t="n">
        <f aca="false">DV$21*INDEX(Precio_O,1)*INDEX(IdxPrecio_O,1,MIN(10,DV$17))*(1+P_dPrecio)</f>
        <v>0</v>
      </c>
      <c r="DW46" s="48" t="n">
        <f aca="false">DW$21*INDEX(Precio_O,1)*INDEX(IdxPrecio_O,1,MIN(10,DW$17))*(1+P_dPrecio)</f>
        <v>0</v>
      </c>
      <c r="DX46" s="48" t="n">
        <f aca="false">DX$21*INDEX(Precio_O,1)*INDEX(IdxPrecio_O,1,MIN(10,DX$17))*(1+P_dPrecio)</f>
        <v>0</v>
      </c>
      <c r="DY46" s="48" t="n">
        <f aca="false">DY$21*INDEX(Precio_O,1)*INDEX(IdxPrecio_O,1,MIN(10,DY$17))*(1+P_dPrecio)</f>
        <v>0</v>
      </c>
      <c r="DZ46" s="48" t="n">
        <f aca="false">DZ$21*INDEX(Precio_O,1)*INDEX(IdxPrecio_O,1,MIN(10,DZ$17))*(1+P_dPrecio)</f>
        <v>0</v>
      </c>
      <c r="EA46" s="48" t="n">
        <f aca="false">EA$21*INDEX(Precio_O,1)*INDEX(IdxPrecio_O,1,MIN(10,EA$17))*(1+P_dPrecio)</f>
        <v>0</v>
      </c>
      <c r="EB46" s="48" t="n">
        <f aca="false">EB$21*INDEX(Precio_O,1)*INDEX(IdxPrecio_O,1,MIN(10,EB$17))*(1+P_dPrecio)</f>
        <v>0</v>
      </c>
      <c r="EC46" s="48" t="n">
        <f aca="false">EC$21*INDEX(Precio_O,1)*INDEX(IdxPrecio_O,1,MIN(10,EC$17))*(1+P_dPrecio)</f>
        <v>0</v>
      </c>
      <c r="ED46" s="48" t="n">
        <f aca="false">ED$21*INDEX(Precio_O,1)*INDEX(IdxPrecio_O,1,MIN(10,ED$17))*(1+P_dPrecio)</f>
        <v>0</v>
      </c>
      <c r="EE46" s="48" t="n">
        <f aca="false">EE$21*INDEX(Precio_O,1)*INDEX(IdxPrecio_O,1,MIN(10,EE$17))*(1+P_dPrecio)</f>
        <v>0</v>
      </c>
      <c r="EF46" s="48" t="n">
        <f aca="false">EF$21*INDEX(Precio_O,1)*INDEX(IdxPrecio_O,1,MIN(10,EF$17))*(1+P_dPrecio)</f>
        <v>0</v>
      </c>
      <c r="EG46" s="48" t="n">
        <f aca="false">EG$21*INDEX(Precio_O,1)*INDEX(IdxPrecio_O,1,MIN(10,EG$17))*(1+P_dPrecio)</f>
        <v>0</v>
      </c>
      <c r="EH46" s="48" t="n">
        <f aca="false">EH$21*INDEX(Precio_O,1)*INDEX(IdxPrecio_O,1,MIN(10,EH$17))*(1+P_dPrecio)</f>
        <v>0</v>
      </c>
      <c r="EI46" s="48" t="n">
        <f aca="false">EI$21*INDEX(Precio_O,1)*INDEX(IdxPrecio_O,1,MIN(10,EI$17))*(1+P_dPrecio)</f>
        <v>0</v>
      </c>
      <c r="EJ46" s="48" t="n">
        <f aca="false">EJ$21*INDEX(Precio_O,1)*INDEX(IdxPrecio_O,1,MIN(10,EJ$17))*(1+P_dPrecio)</f>
        <v>0</v>
      </c>
      <c r="EK46" s="48" t="n">
        <f aca="false">EK$21*INDEX(Precio_O,1)*INDEX(IdxPrecio_O,1,MIN(10,EK$17))*(1+P_dPrecio)</f>
        <v>0</v>
      </c>
      <c r="EL46" s="48" t="n">
        <f aca="false">EL$21*INDEX(Precio_O,1)*INDEX(IdxPrecio_O,1,MIN(10,EL$17))*(1+P_dPrecio)</f>
        <v>0</v>
      </c>
      <c r="EM46" s="48" t="n">
        <f aca="false">EM$21*INDEX(Precio_O,1)*INDEX(IdxPrecio_O,1,MIN(10,EM$17))*(1+P_dPrecio)</f>
        <v>0</v>
      </c>
      <c r="EN46" s="48" t="n">
        <f aca="false">EN$21*INDEX(Precio_O,1)*INDEX(IdxPrecio_O,1,MIN(10,EN$17))*(1+P_dPrecio)</f>
        <v>0</v>
      </c>
      <c r="EO46" s="48" t="n">
        <f aca="false">EO$21*INDEX(Precio_O,1)*INDEX(IdxPrecio_O,1,MIN(10,EO$17))*(1+P_dPrecio)</f>
        <v>0</v>
      </c>
      <c r="EP46" s="48" t="n">
        <f aca="false">EP$21*INDEX(Precio_O,1)*INDEX(IdxPrecio_O,1,MIN(10,EP$17))*(1+P_dPrecio)</f>
        <v>0</v>
      </c>
      <c r="EQ46" s="48" t="n">
        <f aca="false">EQ$21*INDEX(Precio_O,1)*INDEX(IdxPrecio_O,1,MIN(10,EQ$17))*(1+P_dPrecio)</f>
        <v>0</v>
      </c>
      <c r="ER46" s="48" t="n">
        <f aca="false">ER$21*INDEX(Precio_O,1)*INDEX(IdxPrecio_O,1,MIN(10,ER$17))*(1+P_dPrecio)</f>
        <v>0</v>
      </c>
      <c r="ES46" s="48" t="n">
        <f aca="false">ES$21*INDEX(Precio_O,1)*INDEX(IdxPrecio_O,1,MIN(10,ES$17))*(1+P_dPrecio)</f>
        <v>0</v>
      </c>
    </row>
    <row r="47" customFormat="false" ht="15" hidden="false" customHeight="false" outlineLevel="0" collapsed="false">
      <c r="A47" s="11" t="s">
        <v>1092</v>
      </c>
      <c r="B47" s="53" t="str">
        <f aca="false">IF(INDEX(Prod_Nombre,2)="","Producto 2",INDEX(Prod_Nombre,2))&amp;" — ventas USD"</f>
        <v>Cajas metálicas 13 kg — ventas USD</v>
      </c>
      <c r="C47" s="15" t="s">
        <v>508</v>
      </c>
      <c r="E47" s="54" t="n">
        <f aca="false">SUM(F47:ES47)</f>
        <v>26794183.6134924</v>
      </c>
      <c r="F47" s="48" t="n">
        <f aca="false">F$22*INDEX(Precio_O,2)*INDEX(IdxPrecio_O,1,MIN(10,F$17))*(1+P_dPrecio)</f>
        <v>134166.666666667</v>
      </c>
      <c r="G47" s="48" t="n">
        <f aca="false">G$22*INDEX(Precio_O,2)*INDEX(IdxPrecio_O,1,MIN(10,G$17))*(1+P_dPrecio)</f>
        <v>134166.666666667</v>
      </c>
      <c r="H47" s="48" t="n">
        <f aca="false">H$22*INDEX(Precio_O,2)*INDEX(IdxPrecio_O,1,MIN(10,H$17))*(1+P_dPrecio)</f>
        <v>134166.666666667</v>
      </c>
      <c r="I47" s="48" t="n">
        <f aca="false">I$22*INDEX(Precio_O,2)*INDEX(IdxPrecio_O,1,MIN(10,I$17))*(1+P_dPrecio)</f>
        <v>134166.666666667</v>
      </c>
      <c r="J47" s="48" t="n">
        <f aca="false">J$22*INDEX(Precio_O,2)*INDEX(IdxPrecio_O,1,MIN(10,J$17))*(1+P_dPrecio)</f>
        <v>134166.666666667</v>
      </c>
      <c r="K47" s="48" t="n">
        <f aca="false">K$22*INDEX(Precio_O,2)*INDEX(IdxPrecio_O,1,MIN(10,K$17))*(1+P_dPrecio)</f>
        <v>134166.666666667</v>
      </c>
      <c r="L47" s="48" t="n">
        <f aca="false">L$22*INDEX(Precio_O,2)*INDEX(IdxPrecio_O,1,MIN(10,L$17))*(1+P_dPrecio)</f>
        <v>134166.666666667</v>
      </c>
      <c r="M47" s="48" t="n">
        <f aca="false">M$22*INDEX(Precio_O,2)*INDEX(IdxPrecio_O,1,MIN(10,M$17))*(1+P_dPrecio)</f>
        <v>134166.666666667</v>
      </c>
      <c r="N47" s="48" t="n">
        <f aca="false">N$22*INDEX(Precio_O,2)*INDEX(IdxPrecio_O,1,MIN(10,N$17))*(1+P_dPrecio)</f>
        <v>134166.666666667</v>
      </c>
      <c r="O47" s="48" t="n">
        <f aca="false">O$22*INDEX(Precio_O,2)*INDEX(IdxPrecio_O,1,MIN(10,O$17))*(1+P_dPrecio)</f>
        <v>134166.666666667</v>
      </c>
      <c r="P47" s="48" t="n">
        <f aca="false">P$22*INDEX(Precio_O,2)*INDEX(IdxPrecio_O,1,MIN(10,P$17))*(1+P_dPrecio)</f>
        <v>134166.666666667</v>
      </c>
      <c r="Q47" s="48" t="n">
        <f aca="false">Q$22*INDEX(Precio_O,2)*INDEX(IdxPrecio_O,1,MIN(10,Q$17))*(1+P_dPrecio)</f>
        <v>134166.666666667</v>
      </c>
      <c r="R47" s="48" t="n">
        <f aca="false">R$22*INDEX(Precio_O,2)*INDEX(IdxPrecio_O,1,MIN(10,R$17))*(1+P_dPrecio)</f>
        <v>174225</v>
      </c>
      <c r="S47" s="48" t="n">
        <f aca="false">S$22*INDEX(Precio_O,2)*INDEX(IdxPrecio_O,1,MIN(10,S$17))*(1+P_dPrecio)</f>
        <v>174225</v>
      </c>
      <c r="T47" s="48" t="n">
        <f aca="false">T$22*INDEX(Precio_O,2)*INDEX(IdxPrecio_O,1,MIN(10,T$17))*(1+P_dPrecio)</f>
        <v>174225</v>
      </c>
      <c r="U47" s="48" t="n">
        <f aca="false">U$22*INDEX(Precio_O,2)*INDEX(IdxPrecio_O,1,MIN(10,U$17))*(1+P_dPrecio)</f>
        <v>174225</v>
      </c>
      <c r="V47" s="48" t="n">
        <f aca="false">V$22*INDEX(Precio_O,2)*INDEX(IdxPrecio_O,1,MIN(10,V$17))*(1+P_dPrecio)</f>
        <v>174225</v>
      </c>
      <c r="W47" s="48" t="n">
        <f aca="false">W$22*INDEX(Precio_O,2)*INDEX(IdxPrecio_O,1,MIN(10,W$17))*(1+P_dPrecio)</f>
        <v>174225</v>
      </c>
      <c r="X47" s="48" t="n">
        <f aca="false">X$22*INDEX(Precio_O,2)*INDEX(IdxPrecio_O,1,MIN(10,X$17))*(1+P_dPrecio)</f>
        <v>174225</v>
      </c>
      <c r="Y47" s="48" t="n">
        <f aca="false">Y$22*INDEX(Precio_O,2)*INDEX(IdxPrecio_O,1,MIN(10,Y$17))*(1+P_dPrecio)</f>
        <v>174225</v>
      </c>
      <c r="Z47" s="48" t="n">
        <f aca="false">Z$22*INDEX(Precio_O,2)*INDEX(IdxPrecio_O,1,MIN(10,Z$17))*(1+P_dPrecio)</f>
        <v>174225</v>
      </c>
      <c r="AA47" s="48" t="n">
        <f aca="false">AA$22*INDEX(Precio_O,2)*INDEX(IdxPrecio_O,1,MIN(10,AA$17))*(1+P_dPrecio)</f>
        <v>174225</v>
      </c>
      <c r="AB47" s="48" t="n">
        <f aca="false">AB$22*INDEX(Precio_O,2)*INDEX(IdxPrecio_O,1,MIN(10,AB$17))*(1+P_dPrecio)</f>
        <v>174225</v>
      </c>
      <c r="AC47" s="48" t="n">
        <f aca="false">AC$22*INDEX(Precio_O,2)*INDEX(IdxPrecio_O,1,MIN(10,AC$17))*(1+P_dPrecio)</f>
        <v>174225</v>
      </c>
      <c r="AD47" s="48" t="n">
        <f aca="false">AD$22*INDEX(Precio_O,2)*INDEX(IdxPrecio_O,1,MIN(10,AD$17))*(1+P_dPrecio)</f>
        <v>215071.083333333</v>
      </c>
      <c r="AE47" s="48" t="n">
        <f aca="false">AE$22*INDEX(Precio_O,2)*INDEX(IdxPrecio_O,1,MIN(10,AE$17))*(1+P_dPrecio)</f>
        <v>215071.083333333</v>
      </c>
      <c r="AF47" s="48" t="n">
        <f aca="false">AF$22*INDEX(Precio_O,2)*INDEX(IdxPrecio_O,1,MIN(10,AF$17))*(1+P_dPrecio)</f>
        <v>215071.083333333</v>
      </c>
      <c r="AG47" s="48" t="n">
        <f aca="false">AG$22*INDEX(Precio_O,2)*INDEX(IdxPrecio_O,1,MIN(10,AG$17))*(1+P_dPrecio)</f>
        <v>215071.083333333</v>
      </c>
      <c r="AH47" s="48" t="n">
        <f aca="false">AH$22*INDEX(Precio_O,2)*INDEX(IdxPrecio_O,1,MIN(10,AH$17))*(1+P_dPrecio)</f>
        <v>215071.083333333</v>
      </c>
      <c r="AI47" s="48" t="n">
        <f aca="false">AI$22*INDEX(Precio_O,2)*INDEX(IdxPrecio_O,1,MIN(10,AI$17))*(1+P_dPrecio)</f>
        <v>215071.083333333</v>
      </c>
      <c r="AJ47" s="48" t="n">
        <f aca="false">AJ$22*INDEX(Precio_O,2)*INDEX(IdxPrecio_O,1,MIN(10,AJ$17))*(1+P_dPrecio)</f>
        <v>215071.083333333</v>
      </c>
      <c r="AK47" s="48" t="n">
        <f aca="false">AK$22*INDEX(Precio_O,2)*INDEX(IdxPrecio_O,1,MIN(10,AK$17))*(1+P_dPrecio)</f>
        <v>215071.083333333</v>
      </c>
      <c r="AL47" s="48" t="n">
        <f aca="false">AL$22*INDEX(Precio_O,2)*INDEX(IdxPrecio_O,1,MIN(10,AL$17))*(1+P_dPrecio)</f>
        <v>215071.083333333</v>
      </c>
      <c r="AM47" s="48" t="n">
        <f aca="false">AM$22*INDEX(Precio_O,2)*INDEX(IdxPrecio_O,1,MIN(10,AM$17))*(1+P_dPrecio)</f>
        <v>215071.083333333</v>
      </c>
      <c r="AN47" s="48" t="n">
        <f aca="false">AN$22*INDEX(Precio_O,2)*INDEX(IdxPrecio_O,1,MIN(10,AN$17))*(1+P_dPrecio)</f>
        <v>215071.083333333</v>
      </c>
      <c r="AO47" s="48" t="n">
        <f aca="false">AO$22*INDEX(Precio_O,2)*INDEX(IdxPrecio_O,1,MIN(10,AO$17))*(1+P_dPrecio)</f>
        <v>215071.083333333</v>
      </c>
      <c r="AP47" s="48" t="n">
        <f aca="false">AP$22*INDEX(Precio_O,2)*INDEX(IdxPrecio_O,1,MIN(10,AP$17))*(1+P_dPrecio)</f>
        <v>236969.23</v>
      </c>
      <c r="AQ47" s="48" t="n">
        <f aca="false">AQ$22*INDEX(Precio_O,2)*INDEX(IdxPrecio_O,1,MIN(10,AQ$17))*(1+P_dPrecio)</f>
        <v>236969.23</v>
      </c>
      <c r="AR47" s="48" t="n">
        <f aca="false">AR$22*INDEX(Precio_O,2)*INDEX(IdxPrecio_O,1,MIN(10,AR$17))*(1+P_dPrecio)</f>
        <v>236969.23</v>
      </c>
      <c r="AS47" s="48" t="n">
        <f aca="false">AS$22*INDEX(Precio_O,2)*INDEX(IdxPrecio_O,1,MIN(10,AS$17))*(1+P_dPrecio)</f>
        <v>236969.23</v>
      </c>
      <c r="AT47" s="48" t="n">
        <f aca="false">AT$22*INDEX(Precio_O,2)*INDEX(IdxPrecio_O,1,MIN(10,AT$17))*(1+P_dPrecio)</f>
        <v>236969.23</v>
      </c>
      <c r="AU47" s="48" t="n">
        <f aca="false">AU$22*INDEX(Precio_O,2)*INDEX(IdxPrecio_O,1,MIN(10,AU$17))*(1+P_dPrecio)</f>
        <v>236969.23</v>
      </c>
      <c r="AV47" s="48" t="n">
        <f aca="false">AV$22*INDEX(Precio_O,2)*INDEX(IdxPrecio_O,1,MIN(10,AV$17))*(1+P_dPrecio)</f>
        <v>236969.23</v>
      </c>
      <c r="AW47" s="48" t="n">
        <f aca="false">AW$22*INDEX(Precio_O,2)*INDEX(IdxPrecio_O,1,MIN(10,AW$17))*(1+P_dPrecio)</f>
        <v>236969.23</v>
      </c>
      <c r="AX47" s="48" t="n">
        <f aca="false">AX$22*INDEX(Precio_O,2)*INDEX(IdxPrecio_O,1,MIN(10,AX$17))*(1+P_dPrecio)</f>
        <v>236969.23</v>
      </c>
      <c r="AY47" s="48" t="n">
        <f aca="false">AY$22*INDEX(Precio_O,2)*INDEX(IdxPrecio_O,1,MIN(10,AY$17))*(1+P_dPrecio)</f>
        <v>236969.23</v>
      </c>
      <c r="AZ47" s="48" t="n">
        <f aca="false">AZ$22*INDEX(Precio_O,2)*INDEX(IdxPrecio_O,1,MIN(10,AZ$17))*(1+P_dPrecio)</f>
        <v>236969.23</v>
      </c>
      <c r="BA47" s="48" t="n">
        <f aca="false">BA$22*INDEX(Precio_O,2)*INDEX(IdxPrecio_O,1,MIN(10,BA$17))*(1+P_dPrecio)</f>
        <v>236969.23</v>
      </c>
      <c r="BB47" s="48" t="n">
        <f aca="false">BB$22*INDEX(Precio_O,2)*INDEX(IdxPrecio_O,1,MIN(10,BB$17))*(1+P_dPrecio)</f>
        <v>239338.9223</v>
      </c>
      <c r="BC47" s="48" t="n">
        <f aca="false">BC$22*INDEX(Precio_O,2)*INDEX(IdxPrecio_O,1,MIN(10,BC$17))*(1+P_dPrecio)</f>
        <v>239338.9223</v>
      </c>
      <c r="BD47" s="48" t="n">
        <f aca="false">BD$22*INDEX(Precio_O,2)*INDEX(IdxPrecio_O,1,MIN(10,BD$17))*(1+P_dPrecio)</f>
        <v>239338.9223</v>
      </c>
      <c r="BE47" s="48" t="n">
        <f aca="false">BE$22*INDEX(Precio_O,2)*INDEX(IdxPrecio_O,1,MIN(10,BE$17))*(1+P_dPrecio)</f>
        <v>239338.9223</v>
      </c>
      <c r="BF47" s="48" t="n">
        <f aca="false">BF$22*INDEX(Precio_O,2)*INDEX(IdxPrecio_O,1,MIN(10,BF$17))*(1+P_dPrecio)</f>
        <v>239338.9223</v>
      </c>
      <c r="BG47" s="48" t="n">
        <f aca="false">BG$22*INDEX(Precio_O,2)*INDEX(IdxPrecio_O,1,MIN(10,BG$17))*(1+P_dPrecio)</f>
        <v>239338.9223</v>
      </c>
      <c r="BH47" s="48" t="n">
        <f aca="false">BH$22*INDEX(Precio_O,2)*INDEX(IdxPrecio_O,1,MIN(10,BH$17))*(1+P_dPrecio)</f>
        <v>239338.9223</v>
      </c>
      <c r="BI47" s="48" t="n">
        <f aca="false">BI$22*INDEX(Precio_O,2)*INDEX(IdxPrecio_O,1,MIN(10,BI$17))*(1+P_dPrecio)</f>
        <v>239338.9223</v>
      </c>
      <c r="BJ47" s="48" t="n">
        <f aca="false">BJ$22*INDEX(Precio_O,2)*INDEX(IdxPrecio_O,1,MIN(10,BJ$17))*(1+P_dPrecio)</f>
        <v>239338.9223</v>
      </c>
      <c r="BK47" s="48" t="n">
        <f aca="false">BK$22*INDEX(Precio_O,2)*INDEX(IdxPrecio_O,1,MIN(10,BK$17))*(1+P_dPrecio)</f>
        <v>239338.9223</v>
      </c>
      <c r="BL47" s="48" t="n">
        <f aca="false">BL$22*INDEX(Precio_O,2)*INDEX(IdxPrecio_O,1,MIN(10,BL$17))*(1+P_dPrecio)</f>
        <v>239338.9223</v>
      </c>
      <c r="BM47" s="48" t="n">
        <f aca="false">BM$22*INDEX(Precio_O,2)*INDEX(IdxPrecio_O,1,MIN(10,BM$17))*(1+P_dPrecio)</f>
        <v>239338.9223</v>
      </c>
      <c r="BN47" s="48" t="n">
        <f aca="false">BN$22*INDEX(Precio_O,2)*INDEX(IdxPrecio_O,1,MIN(10,BN$17))*(1+P_dPrecio)</f>
        <v>241732.311523</v>
      </c>
      <c r="BO47" s="48" t="n">
        <f aca="false">BO$22*INDEX(Precio_O,2)*INDEX(IdxPrecio_O,1,MIN(10,BO$17))*(1+P_dPrecio)</f>
        <v>241732.311523</v>
      </c>
      <c r="BP47" s="48" t="n">
        <f aca="false">BP$22*INDEX(Precio_O,2)*INDEX(IdxPrecio_O,1,MIN(10,BP$17))*(1+P_dPrecio)</f>
        <v>241732.311523</v>
      </c>
      <c r="BQ47" s="48" t="n">
        <f aca="false">BQ$22*INDEX(Precio_O,2)*INDEX(IdxPrecio_O,1,MIN(10,BQ$17))*(1+P_dPrecio)</f>
        <v>241732.311523</v>
      </c>
      <c r="BR47" s="48" t="n">
        <f aca="false">BR$22*INDEX(Precio_O,2)*INDEX(IdxPrecio_O,1,MIN(10,BR$17))*(1+P_dPrecio)</f>
        <v>241732.311523</v>
      </c>
      <c r="BS47" s="48" t="n">
        <f aca="false">BS$22*INDEX(Precio_O,2)*INDEX(IdxPrecio_O,1,MIN(10,BS$17))*(1+P_dPrecio)</f>
        <v>241732.311523</v>
      </c>
      <c r="BT47" s="48" t="n">
        <f aca="false">BT$22*INDEX(Precio_O,2)*INDEX(IdxPrecio_O,1,MIN(10,BT$17))*(1+P_dPrecio)</f>
        <v>241732.311523</v>
      </c>
      <c r="BU47" s="48" t="n">
        <f aca="false">BU$22*INDEX(Precio_O,2)*INDEX(IdxPrecio_O,1,MIN(10,BU$17))*(1+P_dPrecio)</f>
        <v>241732.311523</v>
      </c>
      <c r="BV47" s="48" t="n">
        <f aca="false">BV$22*INDEX(Precio_O,2)*INDEX(IdxPrecio_O,1,MIN(10,BV$17))*(1+P_dPrecio)</f>
        <v>241732.311523</v>
      </c>
      <c r="BW47" s="48" t="n">
        <f aca="false">BW$22*INDEX(Precio_O,2)*INDEX(IdxPrecio_O,1,MIN(10,BW$17))*(1+P_dPrecio)</f>
        <v>241732.311523</v>
      </c>
      <c r="BX47" s="48" t="n">
        <f aca="false">BX$22*INDEX(Precio_O,2)*INDEX(IdxPrecio_O,1,MIN(10,BX$17))*(1+P_dPrecio)</f>
        <v>241732.311523</v>
      </c>
      <c r="BY47" s="48" t="n">
        <f aca="false">BY$22*INDEX(Precio_O,2)*INDEX(IdxPrecio_O,1,MIN(10,BY$17))*(1+P_dPrecio)</f>
        <v>241732.311523</v>
      </c>
      <c r="BZ47" s="48" t="n">
        <f aca="false">BZ$22*INDEX(Precio_O,2)*INDEX(IdxPrecio_O,1,MIN(10,BZ$17))*(1+P_dPrecio)</f>
        <v>244149.63463823</v>
      </c>
      <c r="CA47" s="48" t="n">
        <f aca="false">CA$22*INDEX(Precio_O,2)*INDEX(IdxPrecio_O,1,MIN(10,CA$17))*(1+P_dPrecio)</f>
        <v>244149.63463823</v>
      </c>
      <c r="CB47" s="48" t="n">
        <f aca="false">CB$22*INDEX(Precio_O,2)*INDEX(IdxPrecio_O,1,MIN(10,CB$17))*(1+P_dPrecio)</f>
        <v>244149.63463823</v>
      </c>
      <c r="CC47" s="48" t="n">
        <f aca="false">CC$22*INDEX(Precio_O,2)*INDEX(IdxPrecio_O,1,MIN(10,CC$17))*(1+P_dPrecio)</f>
        <v>244149.63463823</v>
      </c>
      <c r="CD47" s="48" t="n">
        <f aca="false">CD$22*INDEX(Precio_O,2)*INDEX(IdxPrecio_O,1,MIN(10,CD$17))*(1+P_dPrecio)</f>
        <v>244149.63463823</v>
      </c>
      <c r="CE47" s="48" t="n">
        <f aca="false">CE$22*INDEX(Precio_O,2)*INDEX(IdxPrecio_O,1,MIN(10,CE$17))*(1+P_dPrecio)</f>
        <v>244149.63463823</v>
      </c>
      <c r="CF47" s="48" t="n">
        <f aca="false">CF$22*INDEX(Precio_O,2)*INDEX(IdxPrecio_O,1,MIN(10,CF$17))*(1+P_dPrecio)</f>
        <v>244149.63463823</v>
      </c>
      <c r="CG47" s="48" t="n">
        <f aca="false">CG$22*INDEX(Precio_O,2)*INDEX(IdxPrecio_O,1,MIN(10,CG$17))*(1+P_dPrecio)</f>
        <v>244149.63463823</v>
      </c>
      <c r="CH47" s="48" t="n">
        <f aca="false">CH$22*INDEX(Precio_O,2)*INDEX(IdxPrecio_O,1,MIN(10,CH$17))*(1+P_dPrecio)</f>
        <v>244149.63463823</v>
      </c>
      <c r="CI47" s="48" t="n">
        <f aca="false">CI$22*INDEX(Precio_O,2)*INDEX(IdxPrecio_O,1,MIN(10,CI$17))*(1+P_dPrecio)</f>
        <v>244149.63463823</v>
      </c>
      <c r="CJ47" s="48" t="n">
        <f aca="false">CJ$22*INDEX(Precio_O,2)*INDEX(IdxPrecio_O,1,MIN(10,CJ$17))*(1+P_dPrecio)</f>
        <v>244149.63463823</v>
      </c>
      <c r="CK47" s="48" t="n">
        <f aca="false">CK$22*INDEX(Precio_O,2)*INDEX(IdxPrecio_O,1,MIN(10,CK$17))*(1+P_dPrecio)</f>
        <v>244149.63463823</v>
      </c>
      <c r="CL47" s="48" t="n">
        <f aca="false">CL$22*INDEX(Precio_O,2)*INDEX(IdxPrecio_O,1,MIN(10,CL$17))*(1+P_dPrecio)</f>
        <v>246591.130984612</v>
      </c>
      <c r="CM47" s="48" t="n">
        <f aca="false">CM$22*INDEX(Precio_O,2)*INDEX(IdxPrecio_O,1,MIN(10,CM$17))*(1+P_dPrecio)</f>
        <v>246591.130984612</v>
      </c>
      <c r="CN47" s="48" t="n">
        <f aca="false">CN$22*INDEX(Precio_O,2)*INDEX(IdxPrecio_O,1,MIN(10,CN$17))*(1+P_dPrecio)</f>
        <v>246591.130984612</v>
      </c>
      <c r="CO47" s="48" t="n">
        <f aca="false">CO$22*INDEX(Precio_O,2)*INDEX(IdxPrecio_O,1,MIN(10,CO$17))*(1+P_dPrecio)</f>
        <v>246591.130984612</v>
      </c>
      <c r="CP47" s="48" t="n">
        <f aca="false">CP$22*INDEX(Precio_O,2)*INDEX(IdxPrecio_O,1,MIN(10,CP$17))*(1+P_dPrecio)</f>
        <v>246591.130984612</v>
      </c>
      <c r="CQ47" s="48" t="n">
        <f aca="false">CQ$22*INDEX(Precio_O,2)*INDEX(IdxPrecio_O,1,MIN(10,CQ$17))*(1+P_dPrecio)</f>
        <v>246591.130984612</v>
      </c>
      <c r="CR47" s="48" t="n">
        <f aca="false">CR$22*INDEX(Precio_O,2)*INDEX(IdxPrecio_O,1,MIN(10,CR$17))*(1+P_dPrecio)</f>
        <v>246591.130984612</v>
      </c>
      <c r="CS47" s="48" t="n">
        <f aca="false">CS$22*INDEX(Precio_O,2)*INDEX(IdxPrecio_O,1,MIN(10,CS$17))*(1+P_dPrecio)</f>
        <v>246591.130984612</v>
      </c>
      <c r="CT47" s="48" t="n">
        <f aca="false">CT$22*INDEX(Precio_O,2)*INDEX(IdxPrecio_O,1,MIN(10,CT$17))*(1+P_dPrecio)</f>
        <v>246591.130984612</v>
      </c>
      <c r="CU47" s="48" t="n">
        <f aca="false">CU$22*INDEX(Precio_O,2)*INDEX(IdxPrecio_O,1,MIN(10,CU$17))*(1+P_dPrecio)</f>
        <v>246591.130984612</v>
      </c>
      <c r="CV47" s="48" t="n">
        <f aca="false">CV$22*INDEX(Precio_O,2)*INDEX(IdxPrecio_O,1,MIN(10,CV$17))*(1+P_dPrecio)</f>
        <v>246591.130984612</v>
      </c>
      <c r="CW47" s="48" t="n">
        <f aca="false">CW$22*INDEX(Precio_O,2)*INDEX(IdxPrecio_O,1,MIN(10,CW$17))*(1+P_dPrecio)</f>
        <v>246591.130984612</v>
      </c>
      <c r="CX47" s="48" t="n">
        <f aca="false">CX$22*INDEX(Precio_O,2)*INDEX(IdxPrecio_O,1,MIN(10,CX$17))*(1+P_dPrecio)</f>
        <v>249057.042294458</v>
      </c>
      <c r="CY47" s="48" t="n">
        <f aca="false">CY$22*INDEX(Precio_O,2)*INDEX(IdxPrecio_O,1,MIN(10,CY$17))*(1+P_dPrecio)</f>
        <v>249057.042294458</v>
      </c>
      <c r="CZ47" s="48" t="n">
        <f aca="false">CZ$22*INDEX(Precio_O,2)*INDEX(IdxPrecio_O,1,MIN(10,CZ$17))*(1+P_dPrecio)</f>
        <v>249057.042294458</v>
      </c>
      <c r="DA47" s="48" t="n">
        <f aca="false">DA$22*INDEX(Precio_O,2)*INDEX(IdxPrecio_O,1,MIN(10,DA$17))*(1+P_dPrecio)</f>
        <v>249057.042294458</v>
      </c>
      <c r="DB47" s="48" t="n">
        <f aca="false">DB$22*INDEX(Precio_O,2)*INDEX(IdxPrecio_O,1,MIN(10,DB$17))*(1+P_dPrecio)</f>
        <v>249057.042294458</v>
      </c>
      <c r="DC47" s="48" t="n">
        <f aca="false">DC$22*INDEX(Precio_O,2)*INDEX(IdxPrecio_O,1,MIN(10,DC$17))*(1+P_dPrecio)</f>
        <v>249057.042294458</v>
      </c>
      <c r="DD47" s="48" t="n">
        <f aca="false">DD$22*INDEX(Precio_O,2)*INDEX(IdxPrecio_O,1,MIN(10,DD$17))*(1+P_dPrecio)</f>
        <v>249057.042294458</v>
      </c>
      <c r="DE47" s="48" t="n">
        <f aca="false">DE$22*INDEX(Precio_O,2)*INDEX(IdxPrecio_O,1,MIN(10,DE$17))*(1+P_dPrecio)</f>
        <v>249057.042294458</v>
      </c>
      <c r="DF47" s="48" t="n">
        <f aca="false">DF$22*INDEX(Precio_O,2)*INDEX(IdxPrecio_O,1,MIN(10,DF$17))*(1+P_dPrecio)</f>
        <v>249057.042294458</v>
      </c>
      <c r="DG47" s="48" t="n">
        <f aca="false">DG$22*INDEX(Precio_O,2)*INDEX(IdxPrecio_O,1,MIN(10,DG$17))*(1+P_dPrecio)</f>
        <v>249057.042294458</v>
      </c>
      <c r="DH47" s="48" t="n">
        <f aca="false">DH$22*INDEX(Precio_O,2)*INDEX(IdxPrecio_O,1,MIN(10,DH$17))*(1+P_dPrecio)</f>
        <v>249057.042294458</v>
      </c>
      <c r="DI47" s="48" t="n">
        <f aca="false">DI$22*INDEX(Precio_O,2)*INDEX(IdxPrecio_O,1,MIN(10,DI$17))*(1+P_dPrecio)</f>
        <v>249057.042294458</v>
      </c>
      <c r="DJ47" s="48" t="n">
        <f aca="false">DJ$22*INDEX(Precio_O,2)*INDEX(IdxPrecio_O,1,MIN(10,DJ$17))*(1+P_dPrecio)</f>
        <v>251547.612717403</v>
      </c>
      <c r="DK47" s="48" t="n">
        <f aca="false">DK$22*INDEX(Precio_O,2)*INDEX(IdxPrecio_O,1,MIN(10,DK$17))*(1+P_dPrecio)</f>
        <v>251547.612717403</v>
      </c>
      <c r="DL47" s="48" t="n">
        <f aca="false">DL$22*INDEX(Precio_O,2)*INDEX(IdxPrecio_O,1,MIN(10,DL$17))*(1+P_dPrecio)</f>
        <v>251547.612717403</v>
      </c>
      <c r="DM47" s="48" t="n">
        <f aca="false">DM$22*INDEX(Precio_O,2)*INDEX(IdxPrecio_O,1,MIN(10,DM$17))*(1+P_dPrecio)</f>
        <v>251547.612717403</v>
      </c>
      <c r="DN47" s="48" t="n">
        <f aca="false">DN$22*INDEX(Precio_O,2)*INDEX(IdxPrecio_O,1,MIN(10,DN$17))*(1+P_dPrecio)</f>
        <v>251547.612717403</v>
      </c>
      <c r="DO47" s="48" t="n">
        <f aca="false">DO$22*INDEX(Precio_O,2)*INDEX(IdxPrecio_O,1,MIN(10,DO$17))*(1+P_dPrecio)</f>
        <v>251547.612717403</v>
      </c>
      <c r="DP47" s="48" t="n">
        <f aca="false">DP$22*INDEX(Precio_O,2)*INDEX(IdxPrecio_O,1,MIN(10,DP$17))*(1+P_dPrecio)</f>
        <v>251547.612717403</v>
      </c>
      <c r="DQ47" s="48" t="n">
        <f aca="false">DQ$22*INDEX(Precio_O,2)*INDEX(IdxPrecio_O,1,MIN(10,DQ$17))*(1+P_dPrecio)</f>
        <v>251547.612717403</v>
      </c>
      <c r="DR47" s="48" t="n">
        <f aca="false">DR$22*INDEX(Precio_O,2)*INDEX(IdxPrecio_O,1,MIN(10,DR$17))*(1+P_dPrecio)</f>
        <v>251547.612717403</v>
      </c>
      <c r="DS47" s="48" t="n">
        <f aca="false">DS$22*INDEX(Precio_O,2)*INDEX(IdxPrecio_O,1,MIN(10,DS$17))*(1+P_dPrecio)</f>
        <v>251547.612717403</v>
      </c>
      <c r="DT47" s="48" t="n">
        <f aca="false">DT$22*INDEX(Precio_O,2)*INDEX(IdxPrecio_O,1,MIN(10,DT$17))*(1+P_dPrecio)</f>
        <v>251547.612717403</v>
      </c>
      <c r="DU47" s="48" t="n">
        <f aca="false">DU$22*INDEX(Precio_O,2)*INDEX(IdxPrecio_O,1,MIN(10,DU$17))*(1+P_dPrecio)</f>
        <v>251547.612717403</v>
      </c>
      <c r="DV47" s="48" t="n">
        <f aca="false">DV$22*INDEX(Precio_O,2)*INDEX(IdxPrecio_O,1,MIN(10,DV$17))*(1+P_dPrecio)</f>
        <v>0</v>
      </c>
      <c r="DW47" s="48" t="n">
        <f aca="false">DW$22*INDEX(Precio_O,2)*INDEX(IdxPrecio_O,1,MIN(10,DW$17))*(1+P_dPrecio)</f>
        <v>0</v>
      </c>
      <c r="DX47" s="48" t="n">
        <f aca="false">DX$22*INDEX(Precio_O,2)*INDEX(IdxPrecio_O,1,MIN(10,DX$17))*(1+P_dPrecio)</f>
        <v>0</v>
      </c>
      <c r="DY47" s="48" t="n">
        <f aca="false">DY$22*INDEX(Precio_O,2)*INDEX(IdxPrecio_O,1,MIN(10,DY$17))*(1+P_dPrecio)</f>
        <v>0</v>
      </c>
      <c r="DZ47" s="48" t="n">
        <f aca="false">DZ$22*INDEX(Precio_O,2)*INDEX(IdxPrecio_O,1,MIN(10,DZ$17))*(1+P_dPrecio)</f>
        <v>0</v>
      </c>
      <c r="EA47" s="48" t="n">
        <f aca="false">EA$22*INDEX(Precio_O,2)*INDEX(IdxPrecio_O,1,MIN(10,EA$17))*(1+P_dPrecio)</f>
        <v>0</v>
      </c>
      <c r="EB47" s="48" t="n">
        <f aca="false">EB$22*INDEX(Precio_O,2)*INDEX(IdxPrecio_O,1,MIN(10,EB$17))*(1+P_dPrecio)</f>
        <v>0</v>
      </c>
      <c r="EC47" s="48" t="n">
        <f aca="false">EC$22*INDEX(Precio_O,2)*INDEX(IdxPrecio_O,1,MIN(10,EC$17))*(1+P_dPrecio)</f>
        <v>0</v>
      </c>
      <c r="ED47" s="48" t="n">
        <f aca="false">ED$22*INDEX(Precio_O,2)*INDEX(IdxPrecio_O,1,MIN(10,ED$17))*(1+P_dPrecio)</f>
        <v>0</v>
      </c>
      <c r="EE47" s="48" t="n">
        <f aca="false">EE$22*INDEX(Precio_O,2)*INDEX(IdxPrecio_O,1,MIN(10,EE$17))*(1+P_dPrecio)</f>
        <v>0</v>
      </c>
      <c r="EF47" s="48" t="n">
        <f aca="false">EF$22*INDEX(Precio_O,2)*INDEX(IdxPrecio_O,1,MIN(10,EF$17))*(1+P_dPrecio)</f>
        <v>0</v>
      </c>
      <c r="EG47" s="48" t="n">
        <f aca="false">EG$22*INDEX(Precio_O,2)*INDEX(IdxPrecio_O,1,MIN(10,EG$17))*(1+P_dPrecio)</f>
        <v>0</v>
      </c>
      <c r="EH47" s="48" t="n">
        <f aca="false">EH$22*INDEX(Precio_O,2)*INDEX(IdxPrecio_O,1,MIN(10,EH$17))*(1+P_dPrecio)</f>
        <v>0</v>
      </c>
      <c r="EI47" s="48" t="n">
        <f aca="false">EI$22*INDEX(Precio_O,2)*INDEX(IdxPrecio_O,1,MIN(10,EI$17))*(1+P_dPrecio)</f>
        <v>0</v>
      </c>
      <c r="EJ47" s="48" t="n">
        <f aca="false">EJ$22*INDEX(Precio_O,2)*INDEX(IdxPrecio_O,1,MIN(10,EJ$17))*(1+P_dPrecio)</f>
        <v>0</v>
      </c>
      <c r="EK47" s="48" t="n">
        <f aca="false">EK$22*INDEX(Precio_O,2)*INDEX(IdxPrecio_O,1,MIN(10,EK$17))*(1+P_dPrecio)</f>
        <v>0</v>
      </c>
      <c r="EL47" s="48" t="n">
        <f aca="false">EL$22*INDEX(Precio_O,2)*INDEX(IdxPrecio_O,1,MIN(10,EL$17))*(1+P_dPrecio)</f>
        <v>0</v>
      </c>
      <c r="EM47" s="48" t="n">
        <f aca="false">EM$22*INDEX(Precio_O,2)*INDEX(IdxPrecio_O,1,MIN(10,EM$17))*(1+P_dPrecio)</f>
        <v>0</v>
      </c>
      <c r="EN47" s="48" t="n">
        <f aca="false">EN$22*INDEX(Precio_O,2)*INDEX(IdxPrecio_O,1,MIN(10,EN$17))*(1+P_dPrecio)</f>
        <v>0</v>
      </c>
      <c r="EO47" s="48" t="n">
        <f aca="false">EO$22*INDEX(Precio_O,2)*INDEX(IdxPrecio_O,1,MIN(10,EO$17))*(1+P_dPrecio)</f>
        <v>0</v>
      </c>
      <c r="EP47" s="48" t="n">
        <f aca="false">EP$22*INDEX(Precio_O,2)*INDEX(IdxPrecio_O,1,MIN(10,EP$17))*(1+P_dPrecio)</f>
        <v>0</v>
      </c>
      <c r="EQ47" s="48" t="n">
        <f aca="false">EQ$22*INDEX(Precio_O,2)*INDEX(IdxPrecio_O,1,MIN(10,EQ$17))*(1+P_dPrecio)</f>
        <v>0</v>
      </c>
      <c r="ER47" s="48" t="n">
        <f aca="false">ER$22*INDEX(Precio_O,2)*INDEX(IdxPrecio_O,1,MIN(10,ER$17))*(1+P_dPrecio)</f>
        <v>0</v>
      </c>
      <c r="ES47" s="48" t="n">
        <f aca="false">ES$22*INDEX(Precio_O,2)*INDEX(IdxPrecio_O,1,MIN(10,ES$17))*(1+P_dPrecio)</f>
        <v>0</v>
      </c>
    </row>
    <row r="48" customFormat="false" ht="15" hidden="false" customHeight="false" outlineLevel="0" collapsed="false">
      <c r="A48" s="11" t="s">
        <v>1093</v>
      </c>
      <c r="B48" s="53" t="str">
        <f aca="false">IF(INDEX(Prod_Nombre,3)="","Producto 3",INDEX(Prod_Nombre,3))&amp;" — ventas USD"</f>
        <v>Producto 3 — ventas USD</v>
      </c>
      <c r="C48" s="15" t="s">
        <v>508</v>
      </c>
      <c r="E48" s="54" t="n">
        <f aca="false">SUM(F48:ES48)</f>
        <v>0</v>
      </c>
      <c r="F48" s="48" t="n">
        <f aca="false">F$23*INDEX(Precio_O,3)*INDEX(IdxPrecio_O,1,MIN(10,F$17))*(1+P_dPrecio)</f>
        <v>0</v>
      </c>
      <c r="G48" s="48" t="n">
        <f aca="false">G$23*INDEX(Precio_O,3)*INDEX(IdxPrecio_O,1,MIN(10,G$17))*(1+P_dPrecio)</f>
        <v>0</v>
      </c>
      <c r="H48" s="48" t="n">
        <f aca="false">H$23*INDEX(Precio_O,3)*INDEX(IdxPrecio_O,1,MIN(10,H$17))*(1+P_dPrecio)</f>
        <v>0</v>
      </c>
      <c r="I48" s="48" t="n">
        <f aca="false">I$23*INDEX(Precio_O,3)*INDEX(IdxPrecio_O,1,MIN(10,I$17))*(1+P_dPrecio)</f>
        <v>0</v>
      </c>
      <c r="J48" s="48" t="n">
        <f aca="false">J$23*INDEX(Precio_O,3)*INDEX(IdxPrecio_O,1,MIN(10,J$17))*(1+P_dPrecio)</f>
        <v>0</v>
      </c>
      <c r="K48" s="48" t="n">
        <f aca="false">K$23*INDEX(Precio_O,3)*INDEX(IdxPrecio_O,1,MIN(10,K$17))*(1+P_dPrecio)</f>
        <v>0</v>
      </c>
      <c r="L48" s="48" t="n">
        <f aca="false">L$23*INDEX(Precio_O,3)*INDEX(IdxPrecio_O,1,MIN(10,L$17))*(1+P_dPrecio)</f>
        <v>0</v>
      </c>
      <c r="M48" s="48" t="n">
        <f aca="false">M$23*INDEX(Precio_O,3)*INDEX(IdxPrecio_O,1,MIN(10,M$17))*(1+P_dPrecio)</f>
        <v>0</v>
      </c>
      <c r="N48" s="48" t="n">
        <f aca="false">N$23*INDEX(Precio_O,3)*INDEX(IdxPrecio_O,1,MIN(10,N$17))*(1+P_dPrecio)</f>
        <v>0</v>
      </c>
      <c r="O48" s="48" t="n">
        <f aca="false">O$23*INDEX(Precio_O,3)*INDEX(IdxPrecio_O,1,MIN(10,O$17))*(1+P_dPrecio)</f>
        <v>0</v>
      </c>
      <c r="P48" s="48" t="n">
        <f aca="false">P$23*INDEX(Precio_O,3)*INDEX(IdxPrecio_O,1,MIN(10,P$17))*(1+P_dPrecio)</f>
        <v>0</v>
      </c>
      <c r="Q48" s="48" t="n">
        <f aca="false">Q$23*INDEX(Precio_O,3)*INDEX(IdxPrecio_O,1,MIN(10,Q$17))*(1+P_dPrecio)</f>
        <v>0</v>
      </c>
      <c r="R48" s="48" t="n">
        <f aca="false">R$23*INDEX(Precio_O,3)*INDEX(IdxPrecio_O,1,MIN(10,R$17))*(1+P_dPrecio)</f>
        <v>0</v>
      </c>
      <c r="S48" s="48" t="n">
        <f aca="false">S$23*INDEX(Precio_O,3)*INDEX(IdxPrecio_O,1,MIN(10,S$17))*(1+P_dPrecio)</f>
        <v>0</v>
      </c>
      <c r="T48" s="48" t="n">
        <f aca="false">T$23*INDEX(Precio_O,3)*INDEX(IdxPrecio_O,1,MIN(10,T$17))*(1+P_dPrecio)</f>
        <v>0</v>
      </c>
      <c r="U48" s="48" t="n">
        <f aca="false">U$23*INDEX(Precio_O,3)*INDEX(IdxPrecio_O,1,MIN(10,U$17))*(1+P_dPrecio)</f>
        <v>0</v>
      </c>
      <c r="V48" s="48" t="n">
        <f aca="false">V$23*INDEX(Precio_O,3)*INDEX(IdxPrecio_O,1,MIN(10,V$17))*(1+P_dPrecio)</f>
        <v>0</v>
      </c>
      <c r="W48" s="48" t="n">
        <f aca="false">W$23*INDEX(Precio_O,3)*INDEX(IdxPrecio_O,1,MIN(10,W$17))*(1+P_dPrecio)</f>
        <v>0</v>
      </c>
      <c r="X48" s="48" t="n">
        <f aca="false">X$23*INDEX(Precio_O,3)*INDEX(IdxPrecio_O,1,MIN(10,X$17))*(1+P_dPrecio)</f>
        <v>0</v>
      </c>
      <c r="Y48" s="48" t="n">
        <f aca="false">Y$23*INDEX(Precio_O,3)*INDEX(IdxPrecio_O,1,MIN(10,Y$17))*(1+P_dPrecio)</f>
        <v>0</v>
      </c>
      <c r="Z48" s="48" t="n">
        <f aca="false">Z$23*INDEX(Precio_O,3)*INDEX(IdxPrecio_O,1,MIN(10,Z$17))*(1+P_dPrecio)</f>
        <v>0</v>
      </c>
      <c r="AA48" s="48" t="n">
        <f aca="false">AA$23*INDEX(Precio_O,3)*INDEX(IdxPrecio_O,1,MIN(10,AA$17))*(1+P_dPrecio)</f>
        <v>0</v>
      </c>
      <c r="AB48" s="48" t="n">
        <f aca="false">AB$23*INDEX(Precio_O,3)*INDEX(IdxPrecio_O,1,MIN(10,AB$17))*(1+P_dPrecio)</f>
        <v>0</v>
      </c>
      <c r="AC48" s="48" t="n">
        <f aca="false">AC$23*INDEX(Precio_O,3)*INDEX(IdxPrecio_O,1,MIN(10,AC$17))*(1+P_dPrecio)</f>
        <v>0</v>
      </c>
      <c r="AD48" s="48" t="n">
        <f aca="false">AD$23*INDEX(Precio_O,3)*INDEX(IdxPrecio_O,1,MIN(10,AD$17))*(1+P_dPrecio)</f>
        <v>0</v>
      </c>
      <c r="AE48" s="48" t="n">
        <f aca="false">AE$23*INDEX(Precio_O,3)*INDEX(IdxPrecio_O,1,MIN(10,AE$17))*(1+P_dPrecio)</f>
        <v>0</v>
      </c>
      <c r="AF48" s="48" t="n">
        <f aca="false">AF$23*INDEX(Precio_O,3)*INDEX(IdxPrecio_O,1,MIN(10,AF$17))*(1+P_dPrecio)</f>
        <v>0</v>
      </c>
      <c r="AG48" s="48" t="n">
        <f aca="false">AG$23*INDEX(Precio_O,3)*INDEX(IdxPrecio_O,1,MIN(10,AG$17))*(1+P_dPrecio)</f>
        <v>0</v>
      </c>
      <c r="AH48" s="48" t="n">
        <f aca="false">AH$23*INDEX(Precio_O,3)*INDEX(IdxPrecio_O,1,MIN(10,AH$17))*(1+P_dPrecio)</f>
        <v>0</v>
      </c>
      <c r="AI48" s="48" t="n">
        <f aca="false">AI$23*INDEX(Precio_O,3)*INDEX(IdxPrecio_O,1,MIN(10,AI$17))*(1+P_dPrecio)</f>
        <v>0</v>
      </c>
      <c r="AJ48" s="48" t="n">
        <f aca="false">AJ$23*INDEX(Precio_O,3)*INDEX(IdxPrecio_O,1,MIN(10,AJ$17))*(1+P_dPrecio)</f>
        <v>0</v>
      </c>
      <c r="AK48" s="48" t="n">
        <f aca="false">AK$23*INDEX(Precio_O,3)*INDEX(IdxPrecio_O,1,MIN(10,AK$17))*(1+P_dPrecio)</f>
        <v>0</v>
      </c>
      <c r="AL48" s="48" t="n">
        <f aca="false">AL$23*INDEX(Precio_O,3)*INDEX(IdxPrecio_O,1,MIN(10,AL$17))*(1+P_dPrecio)</f>
        <v>0</v>
      </c>
      <c r="AM48" s="48" t="n">
        <f aca="false">AM$23*INDEX(Precio_O,3)*INDEX(IdxPrecio_O,1,MIN(10,AM$17))*(1+P_dPrecio)</f>
        <v>0</v>
      </c>
      <c r="AN48" s="48" t="n">
        <f aca="false">AN$23*INDEX(Precio_O,3)*INDEX(IdxPrecio_O,1,MIN(10,AN$17))*(1+P_dPrecio)</f>
        <v>0</v>
      </c>
      <c r="AO48" s="48" t="n">
        <f aca="false">AO$23*INDEX(Precio_O,3)*INDEX(IdxPrecio_O,1,MIN(10,AO$17))*(1+P_dPrecio)</f>
        <v>0</v>
      </c>
      <c r="AP48" s="48" t="n">
        <f aca="false">AP$23*INDEX(Precio_O,3)*INDEX(IdxPrecio_O,1,MIN(10,AP$17))*(1+P_dPrecio)</f>
        <v>0</v>
      </c>
      <c r="AQ48" s="48" t="n">
        <f aca="false">AQ$23*INDEX(Precio_O,3)*INDEX(IdxPrecio_O,1,MIN(10,AQ$17))*(1+P_dPrecio)</f>
        <v>0</v>
      </c>
      <c r="AR48" s="48" t="n">
        <f aca="false">AR$23*INDEX(Precio_O,3)*INDEX(IdxPrecio_O,1,MIN(10,AR$17))*(1+P_dPrecio)</f>
        <v>0</v>
      </c>
      <c r="AS48" s="48" t="n">
        <f aca="false">AS$23*INDEX(Precio_O,3)*INDEX(IdxPrecio_O,1,MIN(10,AS$17))*(1+P_dPrecio)</f>
        <v>0</v>
      </c>
      <c r="AT48" s="48" t="n">
        <f aca="false">AT$23*INDEX(Precio_O,3)*INDEX(IdxPrecio_O,1,MIN(10,AT$17))*(1+P_dPrecio)</f>
        <v>0</v>
      </c>
      <c r="AU48" s="48" t="n">
        <f aca="false">AU$23*INDEX(Precio_O,3)*INDEX(IdxPrecio_O,1,MIN(10,AU$17))*(1+P_dPrecio)</f>
        <v>0</v>
      </c>
      <c r="AV48" s="48" t="n">
        <f aca="false">AV$23*INDEX(Precio_O,3)*INDEX(IdxPrecio_O,1,MIN(10,AV$17))*(1+P_dPrecio)</f>
        <v>0</v>
      </c>
      <c r="AW48" s="48" t="n">
        <f aca="false">AW$23*INDEX(Precio_O,3)*INDEX(IdxPrecio_O,1,MIN(10,AW$17))*(1+P_dPrecio)</f>
        <v>0</v>
      </c>
      <c r="AX48" s="48" t="n">
        <f aca="false">AX$23*INDEX(Precio_O,3)*INDEX(IdxPrecio_O,1,MIN(10,AX$17))*(1+P_dPrecio)</f>
        <v>0</v>
      </c>
      <c r="AY48" s="48" t="n">
        <f aca="false">AY$23*INDEX(Precio_O,3)*INDEX(IdxPrecio_O,1,MIN(10,AY$17))*(1+P_dPrecio)</f>
        <v>0</v>
      </c>
      <c r="AZ48" s="48" t="n">
        <f aca="false">AZ$23*INDEX(Precio_O,3)*INDEX(IdxPrecio_O,1,MIN(10,AZ$17))*(1+P_dPrecio)</f>
        <v>0</v>
      </c>
      <c r="BA48" s="48" t="n">
        <f aca="false">BA$23*INDEX(Precio_O,3)*INDEX(IdxPrecio_O,1,MIN(10,BA$17))*(1+P_dPrecio)</f>
        <v>0</v>
      </c>
      <c r="BB48" s="48" t="n">
        <f aca="false">BB$23*INDEX(Precio_O,3)*INDEX(IdxPrecio_O,1,MIN(10,BB$17))*(1+P_dPrecio)</f>
        <v>0</v>
      </c>
      <c r="BC48" s="48" t="n">
        <f aca="false">BC$23*INDEX(Precio_O,3)*INDEX(IdxPrecio_O,1,MIN(10,BC$17))*(1+P_dPrecio)</f>
        <v>0</v>
      </c>
      <c r="BD48" s="48" t="n">
        <f aca="false">BD$23*INDEX(Precio_O,3)*INDEX(IdxPrecio_O,1,MIN(10,BD$17))*(1+P_dPrecio)</f>
        <v>0</v>
      </c>
      <c r="BE48" s="48" t="n">
        <f aca="false">BE$23*INDEX(Precio_O,3)*INDEX(IdxPrecio_O,1,MIN(10,BE$17))*(1+P_dPrecio)</f>
        <v>0</v>
      </c>
      <c r="BF48" s="48" t="n">
        <f aca="false">BF$23*INDEX(Precio_O,3)*INDEX(IdxPrecio_O,1,MIN(10,BF$17))*(1+P_dPrecio)</f>
        <v>0</v>
      </c>
      <c r="BG48" s="48" t="n">
        <f aca="false">BG$23*INDEX(Precio_O,3)*INDEX(IdxPrecio_O,1,MIN(10,BG$17))*(1+P_dPrecio)</f>
        <v>0</v>
      </c>
      <c r="BH48" s="48" t="n">
        <f aca="false">BH$23*INDEX(Precio_O,3)*INDEX(IdxPrecio_O,1,MIN(10,BH$17))*(1+P_dPrecio)</f>
        <v>0</v>
      </c>
      <c r="BI48" s="48" t="n">
        <f aca="false">BI$23*INDEX(Precio_O,3)*INDEX(IdxPrecio_O,1,MIN(10,BI$17))*(1+P_dPrecio)</f>
        <v>0</v>
      </c>
      <c r="BJ48" s="48" t="n">
        <f aca="false">BJ$23*INDEX(Precio_O,3)*INDEX(IdxPrecio_O,1,MIN(10,BJ$17))*(1+P_dPrecio)</f>
        <v>0</v>
      </c>
      <c r="BK48" s="48" t="n">
        <f aca="false">BK$23*INDEX(Precio_O,3)*INDEX(IdxPrecio_O,1,MIN(10,BK$17))*(1+P_dPrecio)</f>
        <v>0</v>
      </c>
      <c r="BL48" s="48" t="n">
        <f aca="false">BL$23*INDEX(Precio_O,3)*INDEX(IdxPrecio_O,1,MIN(10,BL$17))*(1+P_dPrecio)</f>
        <v>0</v>
      </c>
      <c r="BM48" s="48" t="n">
        <f aca="false">BM$23*INDEX(Precio_O,3)*INDEX(IdxPrecio_O,1,MIN(10,BM$17))*(1+P_dPrecio)</f>
        <v>0</v>
      </c>
      <c r="BN48" s="48" t="n">
        <f aca="false">BN$23*INDEX(Precio_O,3)*INDEX(IdxPrecio_O,1,MIN(10,BN$17))*(1+P_dPrecio)</f>
        <v>0</v>
      </c>
      <c r="BO48" s="48" t="n">
        <f aca="false">BO$23*INDEX(Precio_O,3)*INDEX(IdxPrecio_O,1,MIN(10,BO$17))*(1+P_dPrecio)</f>
        <v>0</v>
      </c>
      <c r="BP48" s="48" t="n">
        <f aca="false">BP$23*INDEX(Precio_O,3)*INDEX(IdxPrecio_O,1,MIN(10,BP$17))*(1+P_dPrecio)</f>
        <v>0</v>
      </c>
      <c r="BQ48" s="48" t="n">
        <f aca="false">BQ$23*INDEX(Precio_O,3)*INDEX(IdxPrecio_O,1,MIN(10,BQ$17))*(1+P_dPrecio)</f>
        <v>0</v>
      </c>
      <c r="BR48" s="48" t="n">
        <f aca="false">BR$23*INDEX(Precio_O,3)*INDEX(IdxPrecio_O,1,MIN(10,BR$17))*(1+P_dPrecio)</f>
        <v>0</v>
      </c>
      <c r="BS48" s="48" t="n">
        <f aca="false">BS$23*INDEX(Precio_O,3)*INDEX(IdxPrecio_O,1,MIN(10,BS$17))*(1+P_dPrecio)</f>
        <v>0</v>
      </c>
      <c r="BT48" s="48" t="n">
        <f aca="false">BT$23*INDEX(Precio_O,3)*INDEX(IdxPrecio_O,1,MIN(10,BT$17))*(1+P_dPrecio)</f>
        <v>0</v>
      </c>
      <c r="BU48" s="48" t="n">
        <f aca="false">BU$23*INDEX(Precio_O,3)*INDEX(IdxPrecio_O,1,MIN(10,BU$17))*(1+P_dPrecio)</f>
        <v>0</v>
      </c>
      <c r="BV48" s="48" t="n">
        <f aca="false">BV$23*INDEX(Precio_O,3)*INDEX(IdxPrecio_O,1,MIN(10,BV$17))*(1+P_dPrecio)</f>
        <v>0</v>
      </c>
      <c r="BW48" s="48" t="n">
        <f aca="false">BW$23*INDEX(Precio_O,3)*INDEX(IdxPrecio_O,1,MIN(10,BW$17))*(1+P_dPrecio)</f>
        <v>0</v>
      </c>
      <c r="BX48" s="48" t="n">
        <f aca="false">BX$23*INDEX(Precio_O,3)*INDEX(IdxPrecio_O,1,MIN(10,BX$17))*(1+P_dPrecio)</f>
        <v>0</v>
      </c>
      <c r="BY48" s="48" t="n">
        <f aca="false">BY$23*INDEX(Precio_O,3)*INDEX(IdxPrecio_O,1,MIN(10,BY$17))*(1+P_dPrecio)</f>
        <v>0</v>
      </c>
      <c r="BZ48" s="48" t="n">
        <f aca="false">BZ$23*INDEX(Precio_O,3)*INDEX(IdxPrecio_O,1,MIN(10,BZ$17))*(1+P_dPrecio)</f>
        <v>0</v>
      </c>
      <c r="CA48" s="48" t="n">
        <f aca="false">CA$23*INDEX(Precio_O,3)*INDEX(IdxPrecio_O,1,MIN(10,CA$17))*(1+P_dPrecio)</f>
        <v>0</v>
      </c>
      <c r="CB48" s="48" t="n">
        <f aca="false">CB$23*INDEX(Precio_O,3)*INDEX(IdxPrecio_O,1,MIN(10,CB$17))*(1+P_dPrecio)</f>
        <v>0</v>
      </c>
      <c r="CC48" s="48" t="n">
        <f aca="false">CC$23*INDEX(Precio_O,3)*INDEX(IdxPrecio_O,1,MIN(10,CC$17))*(1+P_dPrecio)</f>
        <v>0</v>
      </c>
      <c r="CD48" s="48" t="n">
        <f aca="false">CD$23*INDEX(Precio_O,3)*INDEX(IdxPrecio_O,1,MIN(10,CD$17))*(1+P_dPrecio)</f>
        <v>0</v>
      </c>
      <c r="CE48" s="48" t="n">
        <f aca="false">CE$23*INDEX(Precio_O,3)*INDEX(IdxPrecio_O,1,MIN(10,CE$17))*(1+P_dPrecio)</f>
        <v>0</v>
      </c>
      <c r="CF48" s="48" t="n">
        <f aca="false">CF$23*INDEX(Precio_O,3)*INDEX(IdxPrecio_O,1,MIN(10,CF$17))*(1+P_dPrecio)</f>
        <v>0</v>
      </c>
      <c r="CG48" s="48" t="n">
        <f aca="false">CG$23*INDEX(Precio_O,3)*INDEX(IdxPrecio_O,1,MIN(10,CG$17))*(1+P_dPrecio)</f>
        <v>0</v>
      </c>
      <c r="CH48" s="48" t="n">
        <f aca="false">CH$23*INDEX(Precio_O,3)*INDEX(IdxPrecio_O,1,MIN(10,CH$17))*(1+P_dPrecio)</f>
        <v>0</v>
      </c>
      <c r="CI48" s="48" t="n">
        <f aca="false">CI$23*INDEX(Precio_O,3)*INDEX(IdxPrecio_O,1,MIN(10,CI$17))*(1+P_dPrecio)</f>
        <v>0</v>
      </c>
      <c r="CJ48" s="48" t="n">
        <f aca="false">CJ$23*INDEX(Precio_O,3)*INDEX(IdxPrecio_O,1,MIN(10,CJ$17))*(1+P_dPrecio)</f>
        <v>0</v>
      </c>
      <c r="CK48" s="48" t="n">
        <f aca="false">CK$23*INDEX(Precio_O,3)*INDEX(IdxPrecio_O,1,MIN(10,CK$17))*(1+P_dPrecio)</f>
        <v>0</v>
      </c>
      <c r="CL48" s="48" t="n">
        <f aca="false">CL$23*INDEX(Precio_O,3)*INDEX(IdxPrecio_O,1,MIN(10,CL$17))*(1+P_dPrecio)</f>
        <v>0</v>
      </c>
      <c r="CM48" s="48" t="n">
        <f aca="false">CM$23*INDEX(Precio_O,3)*INDEX(IdxPrecio_O,1,MIN(10,CM$17))*(1+P_dPrecio)</f>
        <v>0</v>
      </c>
      <c r="CN48" s="48" t="n">
        <f aca="false">CN$23*INDEX(Precio_O,3)*INDEX(IdxPrecio_O,1,MIN(10,CN$17))*(1+P_dPrecio)</f>
        <v>0</v>
      </c>
      <c r="CO48" s="48" t="n">
        <f aca="false">CO$23*INDEX(Precio_O,3)*INDEX(IdxPrecio_O,1,MIN(10,CO$17))*(1+P_dPrecio)</f>
        <v>0</v>
      </c>
      <c r="CP48" s="48" t="n">
        <f aca="false">CP$23*INDEX(Precio_O,3)*INDEX(IdxPrecio_O,1,MIN(10,CP$17))*(1+P_dPrecio)</f>
        <v>0</v>
      </c>
      <c r="CQ48" s="48" t="n">
        <f aca="false">CQ$23*INDEX(Precio_O,3)*INDEX(IdxPrecio_O,1,MIN(10,CQ$17))*(1+P_dPrecio)</f>
        <v>0</v>
      </c>
      <c r="CR48" s="48" t="n">
        <f aca="false">CR$23*INDEX(Precio_O,3)*INDEX(IdxPrecio_O,1,MIN(10,CR$17))*(1+P_dPrecio)</f>
        <v>0</v>
      </c>
      <c r="CS48" s="48" t="n">
        <f aca="false">CS$23*INDEX(Precio_O,3)*INDEX(IdxPrecio_O,1,MIN(10,CS$17))*(1+P_dPrecio)</f>
        <v>0</v>
      </c>
      <c r="CT48" s="48" t="n">
        <f aca="false">CT$23*INDEX(Precio_O,3)*INDEX(IdxPrecio_O,1,MIN(10,CT$17))*(1+P_dPrecio)</f>
        <v>0</v>
      </c>
      <c r="CU48" s="48" t="n">
        <f aca="false">CU$23*INDEX(Precio_O,3)*INDEX(IdxPrecio_O,1,MIN(10,CU$17))*(1+P_dPrecio)</f>
        <v>0</v>
      </c>
      <c r="CV48" s="48" t="n">
        <f aca="false">CV$23*INDEX(Precio_O,3)*INDEX(IdxPrecio_O,1,MIN(10,CV$17))*(1+P_dPrecio)</f>
        <v>0</v>
      </c>
      <c r="CW48" s="48" t="n">
        <f aca="false">CW$23*INDEX(Precio_O,3)*INDEX(IdxPrecio_O,1,MIN(10,CW$17))*(1+P_dPrecio)</f>
        <v>0</v>
      </c>
      <c r="CX48" s="48" t="n">
        <f aca="false">CX$23*INDEX(Precio_O,3)*INDEX(IdxPrecio_O,1,MIN(10,CX$17))*(1+P_dPrecio)</f>
        <v>0</v>
      </c>
      <c r="CY48" s="48" t="n">
        <f aca="false">CY$23*INDEX(Precio_O,3)*INDEX(IdxPrecio_O,1,MIN(10,CY$17))*(1+P_dPrecio)</f>
        <v>0</v>
      </c>
      <c r="CZ48" s="48" t="n">
        <f aca="false">CZ$23*INDEX(Precio_O,3)*INDEX(IdxPrecio_O,1,MIN(10,CZ$17))*(1+P_dPrecio)</f>
        <v>0</v>
      </c>
      <c r="DA48" s="48" t="n">
        <f aca="false">DA$23*INDEX(Precio_O,3)*INDEX(IdxPrecio_O,1,MIN(10,DA$17))*(1+P_dPrecio)</f>
        <v>0</v>
      </c>
      <c r="DB48" s="48" t="n">
        <f aca="false">DB$23*INDEX(Precio_O,3)*INDEX(IdxPrecio_O,1,MIN(10,DB$17))*(1+P_dPrecio)</f>
        <v>0</v>
      </c>
      <c r="DC48" s="48" t="n">
        <f aca="false">DC$23*INDEX(Precio_O,3)*INDEX(IdxPrecio_O,1,MIN(10,DC$17))*(1+P_dPrecio)</f>
        <v>0</v>
      </c>
      <c r="DD48" s="48" t="n">
        <f aca="false">DD$23*INDEX(Precio_O,3)*INDEX(IdxPrecio_O,1,MIN(10,DD$17))*(1+P_dPrecio)</f>
        <v>0</v>
      </c>
      <c r="DE48" s="48" t="n">
        <f aca="false">DE$23*INDEX(Precio_O,3)*INDEX(IdxPrecio_O,1,MIN(10,DE$17))*(1+P_dPrecio)</f>
        <v>0</v>
      </c>
      <c r="DF48" s="48" t="n">
        <f aca="false">DF$23*INDEX(Precio_O,3)*INDEX(IdxPrecio_O,1,MIN(10,DF$17))*(1+P_dPrecio)</f>
        <v>0</v>
      </c>
      <c r="DG48" s="48" t="n">
        <f aca="false">DG$23*INDEX(Precio_O,3)*INDEX(IdxPrecio_O,1,MIN(10,DG$17))*(1+P_dPrecio)</f>
        <v>0</v>
      </c>
      <c r="DH48" s="48" t="n">
        <f aca="false">DH$23*INDEX(Precio_O,3)*INDEX(IdxPrecio_O,1,MIN(10,DH$17))*(1+P_dPrecio)</f>
        <v>0</v>
      </c>
      <c r="DI48" s="48" t="n">
        <f aca="false">DI$23*INDEX(Precio_O,3)*INDEX(IdxPrecio_O,1,MIN(10,DI$17))*(1+P_dPrecio)</f>
        <v>0</v>
      </c>
      <c r="DJ48" s="48" t="n">
        <f aca="false">DJ$23*INDEX(Precio_O,3)*INDEX(IdxPrecio_O,1,MIN(10,DJ$17))*(1+P_dPrecio)</f>
        <v>0</v>
      </c>
      <c r="DK48" s="48" t="n">
        <f aca="false">DK$23*INDEX(Precio_O,3)*INDEX(IdxPrecio_O,1,MIN(10,DK$17))*(1+P_dPrecio)</f>
        <v>0</v>
      </c>
      <c r="DL48" s="48" t="n">
        <f aca="false">DL$23*INDEX(Precio_O,3)*INDEX(IdxPrecio_O,1,MIN(10,DL$17))*(1+P_dPrecio)</f>
        <v>0</v>
      </c>
      <c r="DM48" s="48" t="n">
        <f aca="false">DM$23*INDEX(Precio_O,3)*INDEX(IdxPrecio_O,1,MIN(10,DM$17))*(1+P_dPrecio)</f>
        <v>0</v>
      </c>
      <c r="DN48" s="48" t="n">
        <f aca="false">DN$23*INDEX(Precio_O,3)*INDEX(IdxPrecio_O,1,MIN(10,DN$17))*(1+P_dPrecio)</f>
        <v>0</v>
      </c>
      <c r="DO48" s="48" t="n">
        <f aca="false">DO$23*INDEX(Precio_O,3)*INDEX(IdxPrecio_O,1,MIN(10,DO$17))*(1+P_dPrecio)</f>
        <v>0</v>
      </c>
      <c r="DP48" s="48" t="n">
        <f aca="false">DP$23*INDEX(Precio_O,3)*INDEX(IdxPrecio_O,1,MIN(10,DP$17))*(1+P_dPrecio)</f>
        <v>0</v>
      </c>
      <c r="DQ48" s="48" t="n">
        <f aca="false">DQ$23*INDEX(Precio_O,3)*INDEX(IdxPrecio_O,1,MIN(10,DQ$17))*(1+P_dPrecio)</f>
        <v>0</v>
      </c>
      <c r="DR48" s="48" t="n">
        <f aca="false">DR$23*INDEX(Precio_O,3)*INDEX(IdxPrecio_O,1,MIN(10,DR$17))*(1+P_dPrecio)</f>
        <v>0</v>
      </c>
      <c r="DS48" s="48" t="n">
        <f aca="false">DS$23*INDEX(Precio_O,3)*INDEX(IdxPrecio_O,1,MIN(10,DS$17))*(1+P_dPrecio)</f>
        <v>0</v>
      </c>
      <c r="DT48" s="48" t="n">
        <f aca="false">DT$23*INDEX(Precio_O,3)*INDEX(IdxPrecio_O,1,MIN(10,DT$17))*(1+P_dPrecio)</f>
        <v>0</v>
      </c>
      <c r="DU48" s="48" t="n">
        <f aca="false">DU$23*INDEX(Precio_O,3)*INDEX(IdxPrecio_O,1,MIN(10,DU$17))*(1+P_dPrecio)</f>
        <v>0</v>
      </c>
      <c r="DV48" s="48" t="n">
        <f aca="false">DV$23*INDEX(Precio_O,3)*INDEX(IdxPrecio_O,1,MIN(10,DV$17))*(1+P_dPrecio)</f>
        <v>0</v>
      </c>
      <c r="DW48" s="48" t="n">
        <f aca="false">DW$23*INDEX(Precio_O,3)*INDEX(IdxPrecio_O,1,MIN(10,DW$17))*(1+P_dPrecio)</f>
        <v>0</v>
      </c>
      <c r="DX48" s="48" t="n">
        <f aca="false">DX$23*INDEX(Precio_O,3)*INDEX(IdxPrecio_O,1,MIN(10,DX$17))*(1+P_dPrecio)</f>
        <v>0</v>
      </c>
      <c r="DY48" s="48" t="n">
        <f aca="false">DY$23*INDEX(Precio_O,3)*INDEX(IdxPrecio_O,1,MIN(10,DY$17))*(1+P_dPrecio)</f>
        <v>0</v>
      </c>
      <c r="DZ48" s="48" t="n">
        <f aca="false">DZ$23*INDEX(Precio_O,3)*INDEX(IdxPrecio_O,1,MIN(10,DZ$17))*(1+P_dPrecio)</f>
        <v>0</v>
      </c>
      <c r="EA48" s="48" t="n">
        <f aca="false">EA$23*INDEX(Precio_O,3)*INDEX(IdxPrecio_O,1,MIN(10,EA$17))*(1+P_dPrecio)</f>
        <v>0</v>
      </c>
      <c r="EB48" s="48" t="n">
        <f aca="false">EB$23*INDEX(Precio_O,3)*INDEX(IdxPrecio_O,1,MIN(10,EB$17))*(1+P_dPrecio)</f>
        <v>0</v>
      </c>
      <c r="EC48" s="48" t="n">
        <f aca="false">EC$23*INDEX(Precio_O,3)*INDEX(IdxPrecio_O,1,MIN(10,EC$17))*(1+P_dPrecio)</f>
        <v>0</v>
      </c>
      <c r="ED48" s="48" t="n">
        <f aca="false">ED$23*INDEX(Precio_O,3)*INDEX(IdxPrecio_O,1,MIN(10,ED$17))*(1+P_dPrecio)</f>
        <v>0</v>
      </c>
      <c r="EE48" s="48" t="n">
        <f aca="false">EE$23*INDEX(Precio_O,3)*INDEX(IdxPrecio_O,1,MIN(10,EE$17))*(1+P_dPrecio)</f>
        <v>0</v>
      </c>
      <c r="EF48" s="48" t="n">
        <f aca="false">EF$23*INDEX(Precio_O,3)*INDEX(IdxPrecio_O,1,MIN(10,EF$17))*(1+P_dPrecio)</f>
        <v>0</v>
      </c>
      <c r="EG48" s="48" t="n">
        <f aca="false">EG$23*INDEX(Precio_O,3)*INDEX(IdxPrecio_O,1,MIN(10,EG$17))*(1+P_dPrecio)</f>
        <v>0</v>
      </c>
      <c r="EH48" s="48" t="n">
        <f aca="false">EH$23*INDEX(Precio_O,3)*INDEX(IdxPrecio_O,1,MIN(10,EH$17))*(1+P_dPrecio)</f>
        <v>0</v>
      </c>
      <c r="EI48" s="48" t="n">
        <f aca="false">EI$23*INDEX(Precio_O,3)*INDEX(IdxPrecio_O,1,MIN(10,EI$17))*(1+P_dPrecio)</f>
        <v>0</v>
      </c>
      <c r="EJ48" s="48" t="n">
        <f aca="false">EJ$23*INDEX(Precio_O,3)*INDEX(IdxPrecio_O,1,MIN(10,EJ$17))*(1+P_dPrecio)</f>
        <v>0</v>
      </c>
      <c r="EK48" s="48" t="n">
        <f aca="false">EK$23*INDEX(Precio_O,3)*INDEX(IdxPrecio_O,1,MIN(10,EK$17))*(1+P_dPrecio)</f>
        <v>0</v>
      </c>
      <c r="EL48" s="48" t="n">
        <f aca="false">EL$23*INDEX(Precio_O,3)*INDEX(IdxPrecio_O,1,MIN(10,EL$17))*(1+P_dPrecio)</f>
        <v>0</v>
      </c>
      <c r="EM48" s="48" t="n">
        <f aca="false">EM$23*INDEX(Precio_O,3)*INDEX(IdxPrecio_O,1,MIN(10,EM$17))*(1+P_dPrecio)</f>
        <v>0</v>
      </c>
      <c r="EN48" s="48" t="n">
        <f aca="false">EN$23*INDEX(Precio_O,3)*INDEX(IdxPrecio_O,1,MIN(10,EN$17))*(1+P_dPrecio)</f>
        <v>0</v>
      </c>
      <c r="EO48" s="48" t="n">
        <f aca="false">EO$23*INDEX(Precio_O,3)*INDEX(IdxPrecio_O,1,MIN(10,EO$17))*(1+P_dPrecio)</f>
        <v>0</v>
      </c>
      <c r="EP48" s="48" t="n">
        <f aca="false">EP$23*INDEX(Precio_O,3)*INDEX(IdxPrecio_O,1,MIN(10,EP$17))*(1+P_dPrecio)</f>
        <v>0</v>
      </c>
      <c r="EQ48" s="48" t="n">
        <f aca="false">EQ$23*INDEX(Precio_O,3)*INDEX(IdxPrecio_O,1,MIN(10,EQ$17))*(1+P_dPrecio)</f>
        <v>0</v>
      </c>
      <c r="ER48" s="48" t="n">
        <f aca="false">ER$23*INDEX(Precio_O,3)*INDEX(IdxPrecio_O,1,MIN(10,ER$17))*(1+P_dPrecio)</f>
        <v>0</v>
      </c>
      <c r="ES48" s="48" t="n">
        <f aca="false">ES$23*INDEX(Precio_O,3)*INDEX(IdxPrecio_O,1,MIN(10,ES$17))*(1+P_dPrecio)</f>
        <v>0</v>
      </c>
    </row>
    <row r="49" customFormat="false" ht="15" hidden="false" customHeight="false" outlineLevel="0" collapsed="false">
      <c r="A49" s="11" t="s">
        <v>1094</v>
      </c>
      <c r="B49" s="53" t="str">
        <f aca="false">IF(INDEX(Prod_Nombre,4)="","Producto 4",INDEX(Prod_Nombre,4))&amp;" — ventas USD"</f>
        <v>Producto 4 — ventas USD</v>
      </c>
      <c r="C49" s="15" t="s">
        <v>508</v>
      </c>
      <c r="E49" s="54" t="n">
        <f aca="false">SUM(F49:ES49)</f>
        <v>0</v>
      </c>
      <c r="F49" s="48" t="n">
        <f aca="false">F$24*INDEX(Precio_O,4)*INDEX(IdxPrecio_O,1,MIN(10,F$17))*(1+P_dPrecio)</f>
        <v>0</v>
      </c>
      <c r="G49" s="48" t="n">
        <f aca="false">G$24*INDEX(Precio_O,4)*INDEX(IdxPrecio_O,1,MIN(10,G$17))*(1+P_dPrecio)</f>
        <v>0</v>
      </c>
      <c r="H49" s="48" t="n">
        <f aca="false">H$24*INDEX(Precio_O,4)*INDEX(IdxPrecio_O,1,MIN(10,H$17))*(1+P_dPrecio)</f>
        <v>0</v>
      </c>
      <c r="I49" s="48" t="n">
        <f aca="false">I$24*INDEX(Precio_O,4)*INDEX(IdxPrecio_O,1,MIN(10,I$17))*(1+P_dPrecio)</f>
        <v>0</v>
      </c>
      <c r="J49" s="48" t="n">
        <f aca="false">J$24*INDEX(Precio_O,4)*INDEX(IdxPrecio_O,1,MIN(10,J$17))*(1+P_dPrecio)</f>
        <v>0</v>
      </c>
      <c r="K49" s="48" t="n">
        <f aca="false">K$24*INDEX(Precio_O,4)*INDEX(IdxPrecio_O,1,MIN(10,K$17))*(1+P_dPrecio)</f>
        <v>0</v>
      </c>
      <c r="L49" s="48" t="n">
        <f aca="false">L$24*INDEX(Precio_O,4)*INDEX(IdxPrecio_O,1,MIN(10,L$17))*(1+P_dPrecio)</f>
        <v>0</v>
      </c>
      <c r="M49" s="48" t="n">
        <f aca="false">M$24*INDEX(Precio_O,4)*INDEX(IdxPrecio_O,1,MIN(10,M$17))*(1+P_dPrecio)</f>
        <v>0</v>
      </c>
      <c r="N49" s="48" t="n">
        <f aca="false">N$24*INDEX(Precio_O,4)*INDEX(IdxPrecio_O,1,MIN(10,N$17))*(1+P_dPrecio)</f>
        <v>0</v>
      </c>
      <c r="O49" s="48" t="n">
        <f aca="false">O$24*INDEX(Precio_O,4)*INDEX(IdxPrecio_O,1,MIN(10,O$17))*(1+P_dPrecio)</f>
        <v>0</v>
      </c>
      <c r="P49" s="48" t="n">
        <f aca="false">P$24*INDEX(Precio_O,4)*INDEX(IdxPrecio_O,1,MIN(10,P$17))*(1+P_dPrecio)</f>
        <v>0</v>
      </c>
      <c r="Q49" s="48" t="n">
        <f aca="false">Q$24*INDEX(Precio_O,4)*INDEX(IdxPrecio_O,1,MIN(10,Q$17))*(1+P_dPrecio)</f>
        <v>0</v>
      </c>
      <c r="R49" s="48" t="n">
        <f aca="false">R$24*INDEX(Precio_O,4)*INDEX(IdxPrecio_O,1,MIN(10,R$17))*(1+P_dPrecio)</f>
        <v>0</v>
      </c>
      <c r="S49" s="48" t="n">
        <f aca="false">S$24*INDEX(Precio_O,4)*INDEX(IdxPrecio_O,1,MIN(10,S$17))*(1+P_dPrecio)</f>
        <v>0</v>
      </c>
      <c r="T49" s="48" t="n">
        <f aca="false">T$24*INDEX(Precio_O,4)*INDEX(IdxPrecio_O,1,MIN(10,T$17))*(1+P_dPrecio)</f>
        <v>0</v>
      </c>
      <c r="U49" s="48" t="n">
        <f aca="false">U$24*INDEX(Precio_O,4)*INDEX(IdxPrecio_O,1,MIN(10,U$17))*(1+P_dPrecio)</f>
        <v>0</v>
      </c>
      <c r="V49" s="48" t="n">
        <f aca="false">V$24*INDEX(Precio_O,4)*INDEX(IdxPrecio_O,1,MIN(10,V$17))*(1+P_dPrecio)</f>
        <v>0</v>
      </c>
      <c r="W49" s="48" t="n">
        <f aca="false">W$24*INDEX(Precio_O,4)*INDEX(IdxPrecio_O,1,MIN(10,W$17))*(1+P_dPrecio)</f>
        <v>0</v>
      </c>
      <c r="X49" s="48" t="n">
        <f aca="false">X$24*INDEX(Precio_O,4)*INDEX(IdxPrecio_O,1,MIN(10,X$17))*(1+P_dPrecio)</f>
        <v>0</v>
      </c>
      <c r="Y49" s="48" t="n">
        <f aca="false">Y$24*INDEX(Precio_O,4)*INDEX(IdxPrecio_O,1,MIN(10,Y$17))*(1+P_dPrecio)</f>
        <v>0</v>
      </c>
      <c r="Z49" s="48" t="n">
        <f aca="false">Z$24*INDEX(Precio_O,4)*INDEX(IdxPrecio_O,1,MIN(10,Z$17))*(1+P_dPrecio)</f>
        <v>0</v>
      </c>
      <c r="AA49" s="48" t="n">
        <f aca="false">AA$24*INDEX(Precio_O,4)*INDEX(IdxPrecio_O,1,MIN(10,AA$17))*(1+P_dPrecio)</f>
        <v>0</v>
      </c>
      <c r="AB49" s="48" t="n">
        <f aca="false">AB$24*INDEX(Precio_O,4)*INDEX(IdxPrecio_O,1,MIN(10,AB$17))*(1+P_dPrecio)</f>
        <v>0</v>
      </c>
      <c r="AC49" s="48" t="n">
        <f aca="false">AC$24*INDEX(Precio_O,4)*INDEX(IdxPrecio_O,1,MIN(10,AC$17))*(1+P_dPrecio)</f>
        <v>0</v>
      </c>
      <c r="AD49" s="48" t="n">
        <f aca="false">AD$24*INDEX(Precio_O,4)*INDEX(IdxPrecio_O,1,MIN(10,AD$17))*(1+P_dPrecio)</f>
        <v>0</v>
      </c>
      <c r="AE49" s="48" t="n">
        <f aca="false">AE$24*INDEX(Precio_O,4)*INDEX(IdxPrecio_O,1,MIN(10,AE$17))*(1+P_dPrecio)</f>
        <v>0</v>
      </c>
      <c r="AF49" s="48" t="n">
        <f aca="false">AF$24*INDEX(Precio_O,4)*INDEX(IdxPrecio_O,1,MIN(10,AF$17))*(1+P_dPrecio)</f>
        <v>0</v>
      </c>
      <c r="AG49" s="48" t="n">
        <f aca="false">AG$24*INDEX(Precio_O,4)*INDEX(IdxPrecio_O,1,MIN(10,AG$17))*(1+P_dPrecio)</f>
        <v>0</v>
      </c>
      <c r="AH49" s="48" t="n">
        <f aca="false">AH$24*INDEX(Precio_O,4)*INDEX(IdxPrecio_O,1,MIN(10,AH$17))*(1+P_dPrecio)</f>
        <v>0</v>
      </c>
      <c r="AI49" s="48" t="n">
        <f aca="false">AI$24*INDEX(Precio_O,4)*INDEX(IdxPrecio_O,1,MIN(10,AI$17))*(1+P_dPrecio)</f>
        <v>0</v>
      </c>
      <c r="AJ49" s="48" t="n">
        <f aca="false">AJ$24*INDEX(Precio_O,4)*INDEX(IdxPrecio_O,1,MIN(10,AJ$17))*(1+P_dPrecio)</f>
        <v>0</v>
      </c>
      <c r="AK49" s="48" t="n">
        <f aca="false">AK$24*INDEX(Precio_O,4)*INDEX(IdxPrecio_O,1,MIN(10,AK$17))*(1+P_dPrecio)</f>
        <v>0</v>
      </c>
      <c r="AL49" s="48" t="n">
        <f aca="false">AL$24*INDEX(Precio_O,4)*INDEX(IdxPrecio_O,1,MIN(10,AL$17))*(1+P_dPrecio)</f>
        <v>0</v>
      </c>
      <c r="AM49" s="48" t="n">
        <f aca="false">AM$24*INDEX(Precio_O,4)*INDEX(IdxPrecio_O,1,MIN(10,AM$17))*(1+P_dPrecio)</f>
        <v>0</v>
      </c>
      <c r="AN49" s="48" t="n">
        <f aca="false">AN$24*INDEX(Precio_O,4)*INDEX(IdxPrecio_O,1,MIN(10,AN$17))*(1+P_dPrecio)</f>
        <v>0</v>
      </c>
      <c r="AO49" s="48" t="n">
        <f aca="false">AO$24*INDEX(Precio_O,4)*INDEX(IdxPrecio_O,1,MIN(10,AO$17))*(1+P_dPrecio)</f>
        <v>0</v>
      </c>
      <c r="AP49" s="48" t="n">
        <f aca="false">AP$24*INDEX(Precio_O,4)*INDEX(IdxPrecio_O,1,MIN(10,AP$17))*(1+P_dPrecio)</f>
        <v>0</v>
      </c>
      <c r="AQ49" s="48" t="n">
        <f aca="false">AQ$24*INDEX(Precio_O,4)*INDEX(IdxPrecio_O,1,MIN(10,AQ$17))*(1+P_dPrecio)</f>
        <v>0</v>
      </c>
      <c r="AR49" s="48" t="n">
        <f aca="false">AR$24*INDEX(Precio_O,4)*INDEX(IdxPrecio_O,1,MIN(10,AR$17))*(1+P_dPrecio)</f>
        <v>0</v>
      </c>
      <c r="AS49" s="48" t="n">
        <f aca="false">AS$24*INDEX(Precio_O,4)*INDEX(IdxPrecio_O,1,MIN(10,AS$17))*(1+P_dPrecio)</f>
        <v>0</v>
      </c>
      <c r="AT49" s="48" t="n">
        <f aca="false">AT$24*INDEX(Precio_O,4)*INDEX(IdxPrecio_O,1,MIN(10,AT$17))*(1+P_dPrecio)</f>
        <v>0</v>
      </c>
      <c r="AU49" s="48" t="n">
        <f aca="false">AU$24*INDEX(Precio_O,4)*INDEX(IdxPrecio_O,1,MIN(10,AU$17))*(1+P_dPrecio)</f>
        <v>0</v>
      </c>
      <c r="AV49" s="48" t="n">
        <f aca="false">AV$24*INDEX(Precio_O,4)*INDEX(IdxPrecio_O,1,MIN(10,AV$17))*(1+P_dPrecio)</f>
        <v>0</v>
      </c>
      <c r="AW49" s="48" t="n">
        <f aca="false">AW$24*INDEX(Precio_O,4)*INDEX(IdxPrecio_O,1,MIN(10,AW$17))*(1+P_dPrecio)</f>
        <v>0</v>
      </c>
      <c r="AX49" s="48" t="n">
        <f aca="false">AX$24*INDEX(Precio_O,4)*INDEX(IdxPrecio_O,1,MIN(10,AX$17))*(1+P_dPrecio)</f>
        <v>0</v>
      </c>
      <c r="AY49" s="48" t="n">
        <f aca="false">AY$24*INDEX(Precio_O,4)*INDEX(IdxPrecio_O,1,MIN(10,AY$17))*(1+P_dPrecio)</f>
        <v>0</v>
      </c>
      <c r="AZ49" s="48" t="n">
        <f aca="false">AZ$24*INDEX(Precio_O,4)*INDEX(IdxPrecio_O,1,MIN(10,AZ$17))*(1+P_dPrecio)</f>
        <v>0</v>
      </c>
      <c r="BA49" s="48" t="n">
        <f aca="false">BA$24*INDEX(Precio_O,4)*INDEX(IdxPrecio_O,1,MIN(10,BA$17))*(1+P_dPrecio)</f>
        <v>0</v>
      </c>
      <c r="BB49" s="48" t="n">
        <f aca="false">BB$24*INDEX(Precio_O,4)*INDEX(IdxPrecio_O,1,MIN(10,BB$17))*(1+P_dPrecio)</f>
        <v>0</v>
      </c>
      <c r="BC49" s="48" t="n">
        <f aca="false">BC$24*INDEX(Precio_O,4)*INDEX(IdxPrecio_O,1,MIN(10,BC$17))*(1+P_dPrecio)</f>
        <v>0</v>
      </c>
      <c r="BD49" s="48" t="n">
        <f aca="false">BD$24*INDEX(Precio_O,4)*INDEX(IdxPrecio_O,1,MIN(10,BD$17))*(1+P_dPrecio)</f>
        <v>0</v>
      </c>
      <c r="BE49" s="48" t="n">
        <f aca="false">BE$24*INDEX(Precio_O,4)*INDEX(IdxPrecio_O,1,MIN(10,BE$17))*(1+P_dPrecio)</f>
        <v>0</v>
      </c>
      <c r="BF49" s="48" t="n">
        <f aca="false">BF$24*INDEX(Precio_O,4)*INDEX(IdxPrecio_O,1,MIN(10,BF$17))*(1+P_dPrecio)</f>
        <v>0</v>
      </c>
      <c r="BG49" s="48" t="n">
        <f aca="false">BG$24*INDEX(Precio_O,4)*INDEX(IdxPrecio_O,1,MIN(10,BG$17))*(1+P_dPrecio)</f>
        <v>0</v>
      </c>
      <c r="BH49" s="48" t="n">
        <f aca="false">BH$24*INDEX(Precio_O,4)*INDEX(IdxPrecio_O,1,MIN(10,BH$17))*(1+P_dPrecio)</f>
        <v>0</v>
      </c>
      <c r="BI49" s="48" t="n">
        <f aca="false">BI$24*INDEX(Precio_O,4)*INDEX(IdxPrecio_O,1,MIN(10,BI$17))*(1+P_dPrecio)</f>
        <v>0</v>
      </c>
      <c r="BJ49" s="48" t="n">
        <f aca="false">BJ$24*INDEX(Precio_O,4)*INDEX(IdxPrecio_O,1,MIN(10,BJ$17))*(1+P_dPrecio)</f>
        <v>0</v>
      </c>
      <c r="BK49" s="48" t="n">
        <f aca="false">BK$24*INDEX(Precio_O,4)*INDEX(IdxPrecio_O,1,MIN(10,BK$17))*(1+P_dPrecio)</f>
        <v>0</v>
      </c>
      <c r="BL49" s="48" t="n">
        <f aca="false">BL$24*INDEX(Precio_O,4)*INDEX(IdxPrecio_O,1,MIN(10,BL$17))*(1+P_dPrecio)</f>
        <v>0</v>
      </c>
      <c r="BM49" s="48" t="n">
        <f aca="false">BM$24*INDEX(Precio_O,4)*INDEX(IdxPrecio_O,1,MIN(10,BM$17))*(1+P_dPrecio)</f>
        <v>0</v>
      </c>
      <c r="BN49" s="48" t="n">
        <f aca="false">BN$24*INDEX(Precio_O,4)*INDEX(IdxPrecio_O,1,MIN(10,BN$17))*(1+P_dPrecio)</f>
        <v>0</v>
      </c>
      <c r="BO49" s="48" t="n">
        <f aca="false">BO$24*INDEX(Precio_O,4)*INDEX(IdxPrecio_O,1,MIN(10,BO$17))*(1+P_dPrecio)</f>
        <v>0</v>
      </c>
      <c r="BP49" s="48" t="n">
        <f aca="false">BP$24*INDEX(Precio_O,4)*INDEX(IdxPrecio_O,1,MIN(10,BP$17))*(1+P_dPrecio)</f>
        <v>0</v>
      </c>
      <c r="BQ49" s="48" t="n">
        <f aca="false">BQ$24*INDEX(Precio_O,4)*INDEX(IdxPrecio_O,1,MIN(10,BQ$17))*(1+P_dPrecio)</f>
        <v>0</v>
      </c>
      <c r="BR49" s="48" t="n">
        <f aca="false">BR$24*INDEX(Precio_O,4)*INDEX(IdxPrecio_O,1,MIN(10,BR$17))*(1+P_dPrecio)</f>
        <v>0</v>
      </c>
      <c r="BS49" s="48" t="n">
        <f aca="false">BS$24*INDEX(Precio_O,4)*INDEX(IdxPrecio_O,1,MIN(10,BS$17))*(1+P_dPrecio)</f>
        <v>0</v>
      </c>
      <c r="BT49" s="48" t="n">
        <f aca="false">BT$24*INDEX(Precio_O,4)*INDEX(IdxPrecio_O,1,MIN(10,BT$17))*(1+P_dPrecio)</f>
        <v>0</v>
      </c>
      <c r="BU49" s="48" t="n">
        <f aca="false">BU$24*INDEX(Precio_O,4)*INDEX(IdxPrecio_O,1,MIN(10,BU$17))*(1+P_dPrecio)</f>
        <v>0</v>
      </c>
      <c r="BV49" s="48" t="n">
        <f aca="false">BV$24*INDEX(Precio_O,4)*INDEX(IdxPrecio_O,1,MIN(10,BV$17))*(1+P_dPrecio)</f>
        <v>0</v>
      </c>
      <c r="BW49" s="48" t="n">
        <f aca="false">BW$24*INDEX(Precio_O,4)*INDEX(IdxPrecio_O,1,MIN(10,BW$17))*(1+P_dPrecio)</f>
        <v>0</v>
      </c>
      <c r="BX49" s="48" t="n">
        <f aca="false">BX$24*INDEX(Precio_O,4)*INDEX(IdxPrecio_O,1,MIN(10,BX$17))*(1+P_dPrecio)</f>
        <v>0</v>
      </c>
      <c r="BY49" s="48" t="n">
        <f aca="false">BY$24*INDEX(Precio_O,4)*INDEX(IdxPrecio_O,1,MIN(10,BY$17))*(1+P_dPrecio)</f>
        <v>0</v>
      </c>
      <c r="BZ49" s="48" t="n">
        <f aca="false">BZ$24*INDEX(Precio_O,4)*INDEX(IdxPrecio_O,1,MIN(10,BZ$17))*(1+P_dPrecio)</f>
        <v>0</v>
      </c>
      <c r="CA49" s="48" t="n">
        <f aca="false">CA$24*INDEX(Precio_O,4)*INDEX(IdxPrecio_O,1,MIN(10,CA$17))*(1+P_dPrecio)</f>
        <v>0</v>
      </c>
      <c r="CB49" s="48" t="n">
        <f aca="false">CB$24*INDEX(Precio_O,4)*INDEX(IdxPrecio_O,1,MIN(10,CB$17))*(1+P_dPrecio)</f>
        <v>0</v>
      </c>
      <c r="CC49" s="48" t="n">
        <f aca="false">CC$24*INDEX(Precio_O,4)*INDEX(IdxPrecio_O,1,MIN(10,CC$17))*(1+P_dPrecio)</f>
        <v>0</v>
      </c>
      <c r="CD49" s="48" t="n">
        <f aca="false">CD$24*INDEX(Precio_O,4)*INDEX(IdxPrecio_O,1,MIN(10,CD$17))*(1+P_dPrecio)</f>
        <v>0</v>
      </c>
      <c r="CE49" s="48" t="n">
        <f aca="false">CE$24*INDEX(Precio_O,4)*INDEX(IdxPrecio_O,1,MIN(10,CE$17))*(1+P_dPrecio)</f>
        <v>0</v>
      </c>
      <c r="CF49" s="48" t="n">
        <f aca="false">CF$24*INDEX(Precio_O,4)*INDEX(IdxPrecio_O,1,MIN(10,CF$17))*(1+P_dPrecio)</f>
        <v>0</v>
      </c>
      <c r="CG49" s="48" t="n">
        <f aca="false">CG$24*INDEX(Precio_O,4)*INDEX(IdxPrecio_O,1,MIN(10,CG$17))*(1+P_dPrecio)</f>
        <v>0</v>
      </c>
      <c r="CH49" s="48" t="n">
        <f aca="false">CH$24*INDEX(Precio_O,4)*INDEX(IdxPrecio_O,1,MIN(10,CH$17))*(1+P_dPrecio)</f>
        <v>0</v>
      </c>
      <c r="CI49" s="48" t="n">
        <f aca="false">CI$24*INDEX(Precio_O,4)*INDEX(IdxPrecio_O,1,MIN(10,CI$17))*(1+P_dPrecio)</f>
        <v>0</v>
      </c>
      <c r="CJ49" s="48" t="n">
        <f aca="false">CJ$24*INDEX(Precio_O,4)*INDEX(IdxPrecio_O,1,MIN(10,CJ$17))*(1+P_dPrecio)</f>
        <v>0</v>
      </c>
      <c r="CK49" s="48" t="n">
        <f aca="false">CK$24*INDEX(Precio_O,4)*INDEX(IdxPrecio_O,1,MIN(10,CK$17))*(1+P_dPrecio)</f>
        <v>0</v>
      </c>
      <c r="CL49" s="48" t="n">
        <f aca="false">CL$24*INDEX(Precio_O,4)*INDEX(IdxPrecio_O,1,MIN(10,CL$17))*(1+P_dPrecio)</f>
        <v>0</v>
      </c>
      <c r="CM49" s="48" t="n">
        <f aca="false">CM$24*INDEX(Precio_O,4)*INDEX(IdxPrecio_O,1,MIN(10,CM$17))*(1+P_dPrecio)</f>
        <v>0</v>
      </c>
      <c r="CN49" s="48" t="n">
        <f aca="false">CN$24*INDEX(Precio_O,4)*INDEX(IdxPrecio_O,1,MIN(10,CN$17))*(1+P_dPrecio)</f>
        <v>0</v>
      </c>
      <c r="CO49" s="48" t="n">
        <f aca="false">CO$24*INDEX(Precio_O,4)*INDEX(IdxPrecio_O,1,MIN(10,CO$17))*(1+P_dPrecio)</f>
        <v>0</v>
      </c>
      <c r="CP49" s="48" t="n">
        <f aca="false">CP$24*INDEX(Precio_O,4)*INDEX(IdxPrecio_O,1,MIN(10,CP$17))*(1+P_dPrecio)</f>
        <v>0</v>
      </c>
      <c r="CQ49" s="48" t="n">
        <f aca="false">CQ$24*INDEX(Precio_O,4)*INDEX(IdxPrecio_O,1,MIN(10,CQ$17))*(1+P_dPrecio)</f>
        <v>0</v>
      </c>
      <c r="CR49" s="48" t="n">
        <f aca="false">CR$24*INDEX(Precio_O,4)*INDEX(IdxPrecio_O,1,MIN(10,CR$17))*(1+P_dPrecio)</f>
        <v>0</v>
      </c>
      <c r="CS49" s="48" t="n">
        <f aca="false">CS$24*INDEX(Precio_O,4)*INDEX(IdxPrecio_O,1,MIN(10,CS$17))*(1+P_dPrecio)</f>
        <v>0</v>
      </c>
      <c r="CT49" s="48" t="n">
        <f aca="false">CT$24*INDEX(Precio_O,4)*INDEX(IdxPrecio_O,1,MIN(10,CT$17))*(1+P_dPrecio)</f>
        <v>0</v>
      </c>
      <c r="CU49" s="48" t="n">
        <f aca="false">CU$24*INDEX(Precio_O,4)*INDEX(IdxPrecio_O,1,MIN(10,CU$17))*(1+P_dPrecio)</f>
        <v>0</v>
      </c>
      <c r="CV49" s="48" t="n">
        <f aca="false">CV$24*INDEX(Precio_O,4)*INDEX(IdxPrecio_O,1,MIN(10,CV$17))*(1+P_dPrecio)</f>
        <v>0</v>
      </c>
      <c r="CW49" s="48" t="n">
        <f aca="false">CW$24*INDEX(Precio_O,4)*INDEX(IdxPrecio_O,1,MIN(10,CW$17))*(1+P_dPrecio)</f>
        <v>0</v>
      </c>
      <c r="CX49" s="48" t="n">
        <f aca="false">CX$24*INDEX(Precio_O,4)*INDEX(IdxPrecio_O,1,MIN(10,CX$17))*(1+P_dPrecio)</f>
        <v>0</v>
      </c>
      <c r="CY49" s="48" t="n">
        <f aca="false">CY$24*INDEX(Precio_O,4)*INDEX(IdxPrecio_O,1,MIN(10,CY$17))*(1+P_dPrecio)</f>
        <v>0</v>
      </c>
      <c r="CZ49" s="48" t="n">
        <f aca="false">CZ$24*INDEX(Precio_O,4)*INDEX(IdxPrecio_O,1,MIN(10,CZ$17))*(1+P_dPrecio)</f>
        <v>0</v>
      </c>
      <c r="DA49" s="48" t="n">
        <f aca="false">DA$24*INDEX(Precio_O,4)*INDEX(IdxPrecio_O,1,MIN(10,DA$17))*(1+P_dPrecio)</f>
        <v>0</v>
      </c>
      <c r="DB49" s="48" t="n">
        <f aca="false">DB$24*INDEX(Precio_O,4)*INDEX(IdxPrecio_O,1,MIN(10,DB$17))*(1+P_dPrecio)</f>
        <v>0</v>
      </c>
      <c r="DC49" s="48" t="n">
        <f aca="false">DC$24*INDEX(Precio_O,4)*INDEX(IdxPrecio_O,1,MIN(10,DC$17))*(1+P_dPrecio)</f>
        <v>0</v>
      </c>
      <c r="DD49" s="48" t="n">
        <f aca="false">DD$24*INDEX(Precio_O,4)*INDEX(IdxPrecio_O,1,MIN(10,DD$17))*(1+P_dPrecio)</f>
        <v>0</v>
      </c>
      <c r="DE49" s="48" t="n">
        <f aca="false">DE$24*INDEX(Precio_O,4)*INDEX(IdxPrecio_O,1,MIN(10,DE$17))*(1+P_dPrecio)</f>
        <v>0</v>
      </c>
      <c r="DF49" s="48" t="n">
        <f aca="false">DF$24*INDEX(Precio_O,4)*INDEX(IdxPrecio_O,1,MIN(10,DF$17))*(1+P_dPrecio)</f>
        <v>0</v>
      </c>
      <c r="DG49" s="48" t="n">
        <f aca="false">DG$24*INDEX(Precio_O,4)*INDEX(IdxPrecio_O,1,MIN(10,DG$17))*(1+P_dPrecio)</f>
        <v>0</v>
      </c>
      <c r="DH49" s="48" t="n">
        <f aca="false">DH$24*INDEX(Precio_O,4)*INDEX(IdxPrecio_O,1,MIN(10,DH$17))*(1+P_dPrecio)</f>
        <v>0</v>
      </c>
      <c r="DI49" s="48" t="n">
        <f aca="false">DI$24*INDEX(Precio_O,4)*INDEX(IdxPrecio_O,1,MIN(10,DI$17))*(1+P_dPrecio)</f>
        <v>0</v>
      </c>
      <c r="DJ49" s="48" t="n">
        <f aca="false">DJ$24*INDEX(Precio_O,4)*INDEX(IdxPrecio_O,1,MIN(10,DJ$17))*(1+P_dPrecio)</f>
        <v>0</v>
      </c>
      <c r="DK49" s="48" t="n">
        <f aca="false">DK$24*INDEX(Precio_O,4)*INDEX(IdxPrecio_O,1,MIN(10,DK$17))*(1+P_dPrecio)</f>
        <v>0</v>
      </c>
      <c r="DL49" s="48" t="n">
        <f aca="false">DL$24*INDEX(Precio_O,4)*INDEX(IdxPrecio_O,1,MIN(10,DL$17))*(1+P_dPrecio)</f>
        <v>0</v>
      </c>
      <c r="DM49" s="48" t="n">
        <f aca="false">DM$24*INDEX(Precio_O,4)*INDEX(IdxPrecio_O,1,MIN(10,DM$17))*(1+P_dPrecio)</f>
        <v>0</v>
      </c>
      <c r="DN49" s="48" t="n">
        <f aca="false">DN$24*INDEX(Precio_O,4)*INDEX(IdxPrecio_O,1,MIN(10,DN$17))*(1+P_dPrecio)</f>
        <v>0</v>
      </c>
      <c r="DO49" s="48" t="n">
        <f aca="false">DO$24*INDEX(Precio_O,4)*INDEX(IdxPrecio_O,1,MIN(10,DO$17))*(1+P_dPrecio)</f>
        <v>0</v>
      </c>
      <c r="DP49" s="48" t="n">
        <f aca="false">DP$24*INDEX(Precio_O,4)*INDEX(IdxPrecio_O,1,MIN(10,DP$17))*(1+P_dPrecio)</f>
        <v>0</v>
      </c>
      <c r="DQ49" s="48" t="n">
        <f aca="false">DQ$24*INDEX(Precio_O,4)*INDEX(IdxPrecio_O,1,MIN(10,DQ$17))*(1+P_dPrecio)</f>
        <v>0</v>
      </c>
      <c r="DR49" s="48" t="n">
        <f aca="false">DR$24*INDEX(Precio_O,4)*INDEX(IdxPrecio_O,1,MIN(10,DR$17))*(1+P_dPrecio)</f>
        <v>0</v>
      </c>
      <c r="DS49" s="48" t="n">
        <f aca="false">DS$24*INDEX(Precio_O,4)*INDEX(IdxPrecio_O,1,MIN(10,DS$17))*(1+P_dPrecio)</f>
        <v>0</v>
      </c>
      <c r="DT49" s="48" t="n">
        <f aca="false">DT$24*INDEX(Precio_O,4)*INDEX(IdxPrecio_O,1,MIN(10,DT$17))*(1+P_dPrecio)</f>
        <v>0</v>
      </c>
      <c r="DU49" s="48" t="n">
        <f aca="false">DU$24*INDEX(Precio_O,4)*INDEX(IdxPrecio_O,1,MIN(10,DU$17))*(1+P_dPrecio)</f>
        <v>0</v>
      </c>
      <c r="DV49" s="48" t="n">
        <f aca="false">DV$24*INDEX(Precio_O,4)*INDEX(IdxPrecio_O,1,MIN(10,DV$17))*(1+P_dPrecio)</f>
        <v>0</v>
      </c>
      <c r="DW49" s="48" t="n">
        <f aca="false">DW$24*INDEX(Precio_O,4)*INDEX(IdxPrecio_O,1,MIN(10,DW$17))*(1+P_dPrecio)</f>
        <v>0</v>
      </c>
      <c r="DX49" s="48" t="n">
        <f aca="false">DX$24*INDEX(Precio_O,4)*INDEX(IdxPrecio_O,1,MIN(10,DX$17))*(1+P_dPrecio)</f>
        <v>0</v>
      </c>
      <c r="DY49" s="48" t="n">
        <f aca="false">DY$24*INDEX(Precio_O,4)*INDEX(IdxPrecio_O,1,MIN(10,DY$17))*(1+P_dPrecio)</f>
        <v>0</v>
      </c>
      <c r="DZ49" s="48" t="n">
        <f aca="false">DZ$24*INDEX(Precio_O,4)*INDEX(IdxPrecio_O,1,MIN(10,DZ$17))*(1+P_dPrecio)</f>
        <v>0</v>
      </c>
      <c r="EA49" s="48" t="n">
        <f aca="false">EA$24*INDEX(Precio_O,4)*INDEX(IdxPrecio_O,1,MIN(10,EA$17))*(1+P_dPrecio)</f>
        <v>0</v>
      </c>
      <c r="EB49" s="48" t="n">
        <f aca="false">EB$24*INDEX(Precio_O,4)*INDEX(IdxPrecio_O,1,MIN(10,EB$17))*(1+P_dPrecio)</f>
        <v>0</v>
      </c>
      <c r="EC49" s="48" t="n">
        <f aca="false">EC$24*INDEX(Precio_O,4)*INDEX(IdxPrecio_O,1,MIN(10,EC$17))*(1+P_dPrecio)</f>
        <v>0</v>
      </c>
      <c r="ED49" s="48" t="n">
        <f aca="false">ED$24*INDEX(Precio_O,4)*INDEX(IdxPrecio_O,1,MIN(10,ED$17))*(1+P_dPrecio)</f>
        <v>0</v>
      </c>
      <c r="EE49" s="48" t="n">
        <f aca="false">EE$24*INDEX(Precio_O,4)*INDEX(IdxPrecio_O,1,MIN(10,EE$17))*(1+P_dPrecio)</f>
        <v>0</v>
      </c>
      <c r="EF49" s="48" t="n">
        <f aca="false">EF$24*INDEX(Precio_O,4)*INDEX(IdxPrecio_O,1,MIN(10,EF$17))*(1+P_dPrecio)</f>
        <v>0</v>
      </c>
      <c r="EG49" s="48" t="n">
        <f aca="false">EG$24*INDEX(Precio_O,4)*INDEX(IdxPrecio_O,1,MIN(10,EG$17))*(1+P_dPrecio)</f>
        <v>0</v>
      </c>
      <c r="EH49" s="48" t="n">
        <f aca="false">EH$24*INDEX(Precio_O,4)*INDEX(IdxPrecio_O,1,MIN(10,EH$17))*(1+P_dPrecio)</f>
        <v>0</v>
      </c>
      <c r="EI49" s="48" t="n">
        <f aca="false">EI$24*INDEX(Precio_O,4)*INDEX(IdxPrecio_O,1,MIN(10,EI$17))*(1+P_dPrecio)</f>
        <v>0</v>
      </c>
      <c r="EJ49" s="48" t="n">
        <f aca="false">EJ$24*INDEX(Precio_O,4)*INDEX(IdxPrecio_O,1,MIN(10,EJ$17))*(1+P_dPrecio)</f>
        <v>0</v>
      </c>
      <c r="EK49" s="48" t="n">
        <f aca="false">EK$24*INDEX(Precio_O,4)*INDEX(IdxPrecio_O,1,MIN(10,EK$17))*(1+P_dPrecio)</f>
        <v>0</v>
      </c>
      <c r="EL49" s="48" t="n">
        <f aca="false">EL$24*INDEX(Precio_O,4)*INDEX(IdxPrecio_O,1,MIN(10,EL$17))*(1+P_dPrecio)</f>
        <v>0</v>
      </c>
      <c r="EM49" s="48" t="n">
        <f aca="false">EM$24*INDEX(Precio_O,4)*INDEX(IdxPrecio_O,1,MIN(10,EM$17))*(1+P_dPrecio)</f>
        <v>0</v>
      </c>
      <c r="EN49" s="48" t="n">
        <f aca="false">EN$24*INDEX(Precio_O,4)*INDEX(IdxPrecio_O,1,MIN(10,EN$17))*(1+P_dPrecio)</f>
        <v>0</v>
      </c>
      <c r="EO49" s="48" t="n">
        <f aca="false">EO$24*INDEX(Precio_O,4)*INDEX(IdxPrecio_O,1,MIN(10,EO$17))*(1+P_dPrecio)</f>
        <v>0</v>
      </c>
      <c r="EP49" s="48" t="n">
        <f aca="false">EP$24*INDEX(Precio_O,4)*INDEX(IdxPrecio_O,1,MIN(10,EP$17))*(1+P_dPrecio)</f>
        <v>0</v>
      </c>
      <c r="EQ49" s="48" t="n">
        <f aca="false">EQ$24*INDEX(Precio_O,4)*INDEX(IdxPrecio_O,1,MIN(10,EQ$17))*(1+P_dPrecio)</f>
        <v>0</v>
      </c>
      <c r="ER49" s="48" t="n">
        <f aca="false">ER$24*INDEX(Precio_O,4)*INDEX(IdxPrecio_O,1,MIN(10,ER$17))*(1+P_dPrecio)</f>
        <v>0</v>
      </c>
      <c r="ES49" s="48" t="n">
        <f aca="false">ES$24*INDEX(Precio_O,4)*INDEX(IdxPrecio_O,1,MIN(10,ES$17))*(1+P_dPrecio)</f>
        <v>0</v>
      </c>
    </row>
    <row r="50" customFormat="false" ht="15" hidden="false" customHeight="false" outlineLevel="0" collapsed="false">
      <c r="A50" s="11" t="s">
        <v>1095</v>
      </c>
      <c r="B50" s="53" t="str">
        <f aca="false">IF(INDEX(Prod_Nombre,5)="","Producto 5",INDEX(Prod_Nombre,5))&amp;" — ventas USD"</f>
        <v>Producto 5 — ventas USD</v>
      </c>
      <c r="C50" s="15" t="s">
        <v>508</v>
      </c>
      <c r="E50" s="54" t="n">
        <f aca="false">SUM(F50:ES50)</f>
        <v>0</v>
      </c>
      <c r="F50" s="48" t="n">
        <f aca="false">F$25*INDEX(Precio_O,5)*INDEX(IdxPrecio_O,1,MIN(10,F$17))*(1+P_dPrecio)</f>
        <v>0</v>
      </c>
      <c r="G50" s="48" t="n">
        <f aca="false">G$25*INDEX(Precio_O,5)*INDEX(IdxPrecio_O,1,MIN(10,G$17))*(1+P_dPrecio)</f>
        <v>0</v>
      </c>
      <c r="H50" s="48" t="n">
        <f aca="false">H$25*INDEX(Precio_O,5)*INDEX(IdxPrecio_O,1,MIN(10,H$17))*(1+P_dPrecio)</f>
        <v>0</v>
      </c>
      <c r="I50" s="48" t="n">
        <f aca="false">I$25*INDEX(Precio_O,5)*INDEX(IdxPrecio_O,1,MIN(10,I$17))*(1+P_dPrecio)</f>
        <v>0</v>
      </c>
      <c r="J50" s="48" t="n">
        <f aca="false">J$25*INDEX(Precio_O,5)*INDEX(IdxPrecio_O,1,MIN(10,J$17))*(1+P_dPrecio)</f>
        <v>0</v>
      </c>
      <c r="K50" s="48" t="n">
        <f aca="false">K$25*INDEX(Precio_O,5)*INDEX(IdxPrecio_O,1,MIN(10,K$17))*(1+P_dPrecio)</f>
        <v>0</v>
      </c>
      <c r="L50" s="48" t="n">
        <f aca="false">L$25*INDEX(Precio_O,5)*INDEX(IdxPrecio_O,1,MIN(10,L$17))*(1+P_dPrecio)</f>
        <v>0</v>
      </c>
      <c r="M50" s="48" t="n">
        <f aca="false">M$25*INDEX(Precio_O,5)*INDEX(IdxPrecio_O,1,MIN(10,M$17))*(1+P_dPrecio)</f>
        <v>0</v>
      </c>
      <c r="N50" s="48" t="n">
        <f aca="false">N$25*INDEX(Precio_O,5)*INDEX(IdxPrecio_O,1,MIN(10,N$17))*(1+P_dPrecio)</f>
        <v>0</v>
      </c>
      <c r="O50" s="48" t="n">
        <f aca="false">O$25*INDEX(Precio_O,5)*INDEX(IdxPrecio_O,1,MIN(10,O$17))*(1+P_dPrecio)</f>
        <v>0</v>
      </c>
      <c r="P50" s="48" t="n">
        <f aca="false">P$25*INDEX(Precio_O,5)*INDEX(IdxPrecio_O,1,MIN(10,P$17))*(1+P_dPrecio)</f>
        <v>0</v>
      </c>
      <c r="Q50" s="48" t="n">
        <f aca="false">Q$25*INDEX(Precio_O,5)*INDEX(IdxPrecio_O,1,MIN(10,Q$17))*(1+P_dPrecio)</f>
        <v>0</v>
      </c>
      <c r="R50" s="48" t="n">
        <f aca="false">R$25*INDEX(Precio_O,5)*INDEX(IdxPrecio_O,1,MIN(10,R$17))*(1+P_dPrecio)</f>
        <v>0</v>
      </c>
      <c r="S50" s="48" t="n">
        <f aca="false">S$25*INDEX(Precio_O,5)*INDEX(IdxPrecio_O,1,MIN(10,S$17))*(1+P_dPrecio)</f>
        <v>0</v>
      </c>
      <c r="T50" s="48" t="n">
        <f aca="false">T$25*INDEX(Precio_O,5)*INDEX(IdxPrecio_O,1,MIN(10,T$17))*(1+P_dPrecio)</f>
        <v>0</v>
      </c>
      <c r="U50" s="48" t="n">
        <f aca="false">U$25*INDEX(Precio_O,5)*INDEX(IdxPrecio_O,1,MIN(10,U$17))*(1+P_dPrecio)</f>
        <v>0</v>
      </c>
      <c r="V50" s="48" t="n">
        <f aca="false">V$25*INDEX(Precio_O,5)*INDEX(IdxPrecio_O,1,MIN(10,V$17))*(1+P_dPrecio)</f>
        <v>0</v>
      </c>
      <c r="W50" s="48" t="n">
        <f aca="false">W$25*INDEX(Precio_O,5)*INDEX(IdxPrecio_O,1,MIN(10,W$17))*(1+P_dPrecio)</f>
        <v>0</v>
      </c>
      <c r="X50" s="48" t="n">
        <f aca="false">X$25*INDEX(Precio_O,5)*INDEX(IdxPrecio_O,1,MIN(10,X$17))*(1+P_dPrecio)</f>
        <v>0</v>
      </c>
      <c r="Y50" s="48" t="n">
        <f aca="false">Y$25*INDEX(Precio_O,5)*INDEX(IdxPrecio_O,1,MIN(10,Y$17))*(1+P_dPrecio)</f>
        <v>0</v>
      </c>
      <c r="Z50" s="48" t="n">
        <f aca="false">Z$25*INDEX(Precio_O,5)*INDEX(IdxPrecio_O,1,MIN(10,Z$17))*(1+P_dPrecio)</f>
        <v>0</v>
      </c>
      <c r="AA50" s="48" t="n">
        <f aca="false">AA$25*INDEX(Precio_O,5)*INDEX(IdxPrecio_O,1,MIN(10,AA$17))*(1+P_dPrecio)</f>
        <v>0</v>
      </c>
      <c r="AB50" s="48" t="n">
        <f aca="false">AB$25*INDEX(Precio_O,5)*INDEX(IdxPrecio_O,1,MIN(10,AB$17))*(1+P_dPrecio)</f>
        <v>0</v>
      </c>
      <c r="AC50" s="48" t="n">
        <f aca="false">AC$25*INDEX(Precio_O,5)*INDEX(IdxPrecio_O,1,MIN(10,AC$17))*(1+P_dPrecio)</f>
        <v>0</v>
      </c>
      <c r="AD50" s="48" t="n">
        <f aca="false">AD$25*INDEX(Precio_O,5)*INDEX(IdxPrecio_O,1,MIN(10,AD$17))*(1+P_dPrecio)</f>
        <v>0</v>
      </c>
      <c r="AE50" s="48" t="n">
        <f aca="false">AE$25*INDEX(Precio_O,5)*INDEX(IdxPrecio_O,1,MIN(10,AE$17))*(1+P_dPrecio)</f>
        <v>0</v>
      </c>
      <c r="AF50" s="48" t="n">
        <f aca="false">AF$25*INDEX(Precio_O,5)*INDEX(IdxPrecio_O,1,MIN(10,AF$17))*(1+P_dPrecio)</f>
        <v>0</v>
      </c>
      <c r="AG50" s="48" t="n">
        <f aca="false">AG$25*INDEX(Precio_O,5)*INDEX(IdxPrecio_O,1,MIN(10,AG$17))*(1+P_dPrecio)</f>
        <v>0</v>
      </c>
      <c r="AH50" s="48" t="n">
        <f aca="false">AH$25*INDEX(Precio_O,5)*INDEX(IdxPrecio_O,1,MIN(10,AH$17))*(1+P_dPrecio)</f>
        <v>0</v>
      </c>
      <c r="AI50" s="48" t="n">
        <f aca="false">AI$25*INDEX(Precio_O,5)*INDEX(IdxPrecio_O,1,MIN(10,AI$17))*(1+P_dPrecio)</f>
        <v>0</v>
      </c>
      <c r="AJ50" s="48" t="n">
        <f aca="false">AJ$25*INDEX(Precio_O,5)*INDEX(IdxPrecio_O,1,MIN(10,AJ$17))*(1+P_dPrecio)</f>
        <v>0</v>
      </c>
      <c r="AK50" s="48" t="n">
        <f aca="false">AK$25*INDEX(Precio_O,5)*INDEX(IdxPrecio_O,1,MIN(10,AK$17))*(1+P_dPrecio)</f>
        <v>0</v>
      </c>
      <c r="AL50" s="48" t="n">
        <f aca="false">AL$25*INDEX(Precio_O,5)*INDEX(IdxPrecio_O,1,MIN(10,AL$17))*(1+P_dPrecio)</f>
        <v>0</v>
      </c>
      <c r="AM50" s="48" t="n">
        <f aca="false">AM$25*INDEX(Precio_O,5)*INDEX(IdxPrecio_O,1,MIN(10,AM$17))*(1+P_dPrecio)</f>
        <v>0</v>
      </c>
      <c r="AN50" s="48" t="n">
        <f aca="false">AN$25*INDEX(Precio_O,5)*INDEX(IdxPrecio_O,1,MIN(10,AN$17))*(1+P_dPrecio)</f>
        <v>0</v>
      </c>
      <c r="AO50" s="48" t="n">
        <f aca="false">AO$25*INDEX(Precio_O,5)*INDEX(IdxPrecio_O,1,MIN(10,AO$17))*(1+P_dPrecio)</f>
        <v>0</v>
      </c>
      <c r="AP50" s="48" t="n">
        <f aca="false">AP$25*INDEX(Precio_O,5)*INDEX(IdxPrecio_O,1,MIN(10,AP$17))*(1+P_dPrecio)</f>
        <v>0</v>
      </c>
      <c r="AQ50" s="48" t="n">
        <f aca="false">AQ$25*INDEX(Precio_O,5)*INDEX(IdxPrecio_O,1,MIN(10,AQ$17))*(1+P_dPrecio)</f>
        <v>0</v>
      </c>
      <c r="AR50" s="48" t="n">
        <f aca="false">AR$25*INDEX(Precio_O,5)*INDEX(IdxPrecio_O,1,MIN(10,AR$17))*(1+P_dPrecio)</f>
        <v>0</v>
      </c>
      <c r="AS50" s="48" t="n">
        <f aca="false">AS$25*INDEX(Precio_O,5)*INDEX(IdxPrecio_O,1,MIN(10,AS$17))*(1+P_dPrecio)</f>
        <v>0</v>
      </c>
      <c r="AT50" s="48" t="n">
        <f aca="false">AT$25*INDEX(Precio_O,5)*INDEX(IdxPrecio_O,1,MIN(10,AT$17))*(1+P_dPrecio)</f>
        <v>0</v>
      </c>
      <c r="AU50" s="48" t="n">
        <f aca="false">AU$25*INDEX(Precio_O,5)*INDEX(IdxPrecio_O,1,MIN(10,AU$17))*(1+P_dPrecio)</f>
        <v>0</v>
      </c>
      <c r="AV50" s="48" t="n">
        <f aca="false">AV$25*INDEX(Precio_O,5)*INDEX(IdxPrecio_O,1,MIN(10,AV$17))*(1+P_dPrecio)</f>
        <v>0</v>
      </c>
      <c r="AW50" s="48" t="n">
        <f aca="false">AW$25*INDEX(Precio_O,5)*INDEX(IdxPrecio_O,1,MIN(10,AW$17))*(1+P_dPrecio)</f>
        <v>0</v>
      </c>
      <c r="AX50" s="48" t="n">
        <f aca="false">AX$25*INDEX(Precio_O,5)*INDEX(IdxPrecio_O,1,MIN(10,AX$17))*(1+P_dPrecio)</f>
        <v>0</v>
      </c>
      <c r="AY50" s="48" t="n">
        <f aca="false">AY$25*INDEX(Precio_O,5)*INDEX(IdxPrecio_O,1,MIN(10,AY$17))*(1+P_dPrecio)</f>
        <v>0</v>
      </c>
      <c r="AZ50" s="48" t="n">
        <f aca="false">AZ$25*INDEX(Precio_O,5)*INDEX(IdxPrecio_O,1,MIN(10,AZ$17))*(1+P_dPrecio)</f>
        <v>0</v>
      </c>
      <c r="BA50" s="48" t="n">
        <f aca="false">BA$25*INDEX(Precio_O,5)*INDEX(IdxPrecio_O,1,MIN(10,BA$17))*(1+P_dPrecio)</f>
        <v>0</v>
      </c>
      <c r="BB50" s="48" t="n">
        <f aca="false">BB$25*INDEX(Precio_O,5)*INDEX(IdxPrecio_O,1,MIN(10,BB$17))*(1+P_dPrecio)</f>
        <v>0</v>
      </c>
      <c r="BC50" s="48" t="n">
        <f aca="false">BC$25*INDEX(Precio_O,5)*INDEX(IdxPrecio_O,1,MIN(10,BC$17))*(1+P_dPrecio)</f>
        <v>0</v>
      </c>
      <c r="BD50" s="48" t="n">
        <f aca="false">BD$25*INDEX(Precio_O,5)*INDEX(IdxPrecio_O,1,MIN(10,BD$17))*(1+P_dPrecio)</f>
        <v>0</v>
      </c>
      <c r="BE50" s="48" t="n">
        <f aca="false">BE$25*INDEX(Precio_O,5)*INDEX(IdxPrecio_O,1,MIN(10,BE$17))*(1+P_dPrecio)</f>
        <v>0</v>
      </c>
      <c r="BF50" s="48" t="n">
        <f aca="false">BF$25*INDEX(Precio_O,5)*INDEX(IdxPrecio_O,1,MIN(10,BF$17))*(1+P_dPrecio)</f>
        <v>0</v>
      </c>
      <c r="BG50" s="48" t="n">
        <f aca="false">BG$25*INDEX(Precio_O,5)*INDEX(IdxPrecio_O,1,MIN(10,BG$17))*(1+P_dPrecio)</f>
        <v>0</v>
      </c>
      <c r="BH50" s="48" t="n">
        <f aca="false">BH$25*INDEX(Precio_O,5)*INDEX(IdxPrecio_O,1,MIN(10,BH$17))*(1+P_dPrecio)</f>
        <v>0</v>
      </c>
      <c r="BI50" s="48" t="n">
        <f aca="false">BI$25*INDEX(Precio_O,5)*INDEX(IdxPrecio_O,1,MIN(10,BI$17))*(1+P_dPrecio)</f>
        <v>0</v>
      </c>
      <c r="BJ50" s="48" t="n">
        <f aca="false">BJ$25*INDEX(Precio_O,5)*INDEX(IdxPrecio_O,1,MIN(10,BJ$17))*(1+P_dPrecio)</f>
        <v>0</v>
      </c>
      <c r="BK50" s="48" t="n">
        <f aca="false">BK$25*INDEX(Precio_O,5)*INDEX(IdxPrecio_O,1,MIN(10,BK$17))*(1+P_dPrecio)</f>
        <v>0</v>
      </c>
      <c r="BL50" s="48" t="n">
        <f aca="false">BL$25*INDEX(Precio_O,5)*INDEX(IdxPrecio_O,1,MIN(10,BL$17))*(1+P_dPrecio)</f>
        <v>0</v>
      </c>
      <c r="BM50" s="48" t="n">
        <f aca="false">BM$25*INDEX(Precio_O,5)*INDEX(IdxPrecio_O,1,MIN(10,BM$17))*(1+P_dPrecio)</f>
        <v>0</v>
      </c>
      <c r="BN50" s="48" t="n">
        <f aca="false">BN$25*INDEX(Precio_O,5)*INDEX(IdxPrecio_O,1,MIN(10,BN$17))*(1+P_dPrecio)</f>
        <v>0</v>
      </c>
      <c r="BO50" s="48" t="n">
        <f aca="false">BO$25*INDEX(Precio_O,5)*INDEX(IdxPrecio_O,1,MIN(10,BO$17))*(1+P_dPrecio)</f>
        <v>0</v>
      </c>
      <c r="BP50" s="48" t="n">
        <f aca="false">BP$25*INDEX(Precio_O,5)*INDEX(IdxPrecio_O,1,MIN(10,BP$17))*(1+P_dPrecio)</f>
        <v>0</v>
      </c>
      <c r="BQ50" s="48" t="n">
        <f aca="false">BQ$25*INDEX(Precio_O,5)*INDEX(IdxPrecio_O,1,MIN(10,BQ$17))*(1+P_dPrecio)</f>
        <v>0</v>
      </c>
      <c r="BR50" s="48" t="n">
        <f aca="false">BR$25*INDEX(Precio_O,5)*INDEX(IdxPrecio_O,1,MIN(10,BR$17))*(1+P_dPrecio)</f>
        <v>0</v>
      </c>
      <c r="BS50" s="48" t="n">
        <f aca="false">BS$25*INDEX(Precio_O,5)*INDEX(IdxPrecio_O,1,MIN(10,BS$17))*(1+P_dPrecio)</f>
        <v>0</v>
      </c>
      <c r="BT50" s="48" t="n">
        <f aca="false">BT$25*INDEX(Precio_O,5)*INDEX(IdxPrecio_O,1,MIN(10,BT$17))*(1+P_dPrecio)</f>
        <v>0</v>
      </c>
      <c r="BU50" s="48" t="n">
        <f aca="false">BU$25*INDEX(Precio_O,5)*INDEX(IdxPrecio_O,1,MIN(10,BU$17))*(1+P_dPrecio)</f>
        <v>0</v>
      </c>
      <c r="BV50" s="48" t="n">
        <f aca="false">BV$25*INDEX(Precio_O,5)*INDEX(IdxPrecio_O,1,MIN(10,BV$17))*(1+P_dPrecio)</f>
        <v>0</v>
      </c>
      <c r="BW50" s="48" t="n">
        <f aca="false">BW$25*INDEX(Precio_O,5)*INDEX(IdxPrecio_O,1,MIN(10,BW$17))*(1+P_dPrecio)</f>
        <v>0</v>
      </c>
      <c r="BX50" s="48" t="n">
        <f aca="false">BX$25*INDEX(Precio_O,5)*INDEX(IdxPrecio_O,1,MIN(10,BX$17))*(1+P_dPrecio)</f>
        <v>0</v>
      </c>
      <c r="BY50" s="48" t="n">
        <f aca="false">BY$25*INDEX(Precio_O,5)*INDEX(IdxPrecio_O,1,MIN(10,BY$17))*(1+P_dPrecio)</f>
        <v>0</v>
      </c>
      <c r="BZ50" s="48" t="n">
        <f aca="false">BZ$25*INDEX(Precio_O,5)*INDEX(IdxPrecio_O,1,MIN(10,BZ$17))*(1+P_dPrecio)</f>
        <v>0</v>
      </c>
      <c r="CA50" s="48" t="n">
        <f aca="false">CA$25*INDEX(Precio_O,5)*INDEX(IdxPrecio_O,1,MIN(10,CA$17))*(1+P_dPrecio)</f>
        <v>0</v>
      </c>
      <c r="CB50" s="48" t="n">
        <f aca="false">CB$25*INDEX(Precio_O,5)*INDEX(IdxPrecio_O,1,MIN(10,CB$17))*(1+P_dPrecio)</f>
        <v>0</v>
      </c>
      <c r="CC50" s="48" t="n">
        <f aca="false">CC$25*INDEX(Precio_O,5)*INDEX(IdxPrecio_O,1,MIN(10,CC$17))*(1+P_dPrecio)</f>
        <v>0</v>
      </c>
      <c r="CD50" s="48" t="n">
        <f aca="false">CD$25*INDEX(Precio_O,5)*INDEX(IdxPrecio_O,1,MIN(10,CD$17))*(1+P_dPrecio)</f>
        <v>0</v>
      </c>
      <c r="CE50" s="48" t="n">
        <f aca="false">CE$25*INDEX(Precio_O,5)*INDEX(IdxPrecio_O,1,MIN(10,CE$17))*(1+P_dPrecio)</f>
        <v>0</v>
      </c>
      <c r="CF50" s="48" t="n">
        <f aca="false">CF$25*INDEX(Precio_O,5)*INDEX(IdxPrecio_O,1,MIN(10,CF$17))*(1+P_dPrecio)</f>
        <v>0</v>
      </c>
      <c r="CG50" s="48" t="n">
        <f aca="false">CG$25*INDEX(Precio_O,5)*INDEX(IdxPrecio_O,1,MIN(10,CG$17))*(1+P_dPrecio)</f>
        <v>0</v>
      </c>
      <c r="CH50" s="48" t="n">
        <f aca="false">CH$25*INDEX(Precio_O,5)*INDEX(IdxPrecio_O,1,MIN(10,CH$17))*(1+P_dPrecio)</f>
        <v>0</v>
      </c>
      <c r="CI50" s="48" t="n">
        <f aca="false">CI$25*INDEX(Precio_O,5)*INDEX(IdxPrecio_O,1,MIN(10,CI$17))*(1+P_dPrecio)</f>
        <v>0</v>
      </c>
      <c r="CJ50" s="48" t="n">
        <f aca="false">CJ$25*INDEX(Precio_O,5)*INDEX(IdxPrecio_O,1,MIN(10,CJ$17))*(1+P_dPrecio)</f>
        <v>0</v>
      </c>
      <c r="CK50" s="48" t="n">
        <f aca="false">CK$25*INDEX(Precio_O,5)*INDEX(IdxPrecio_O,1,MIN(10,CK$17))*(1+P_dPrecio)</f>
        <v>0</v>
      </c>
      <c r="CL50" s="48" t="n">
        <f aca="false">CL$25*INDEX(Precio_O,5)*INDEX(IdxPrecio_O,1,MIN(10,CL$17))*(1+P_dPrecio)</f>
        <v>0</v>
      </c>
      <c r="CM50" s="48" t="n">
        <f aca="false">CM$25*INDEX(Precio_O,5)*INDEX(IdxPrecio_O,1,MIN(10,CM$17))*(1+P_dPrecio)</f>
        <v>0</v>
      </c>
      <c r="CN50" s="48" t="n">
        <f aca="false">CN$25*INDEX(Precio_O,5)*INDEX(IdxPrecio_O,1,MIN(10,CN$17))*(1+P_dPrecio)</f>
        <v>0</v>
      </c>
      <c r="CO50" s="48" t="n">
        <f aca="false">CO$25*INDEX(Precio_O,5)*INDEX(IdxPrecio_O,1,MIN(10,CO$17))*(1+P_dPrecio)</f>
        <v>0</v>
      </c>
      <c r="CP50" s="48" t="n">
        <f aca="false">CP$25*INDEX(Precio_O,5)*INDEX(IdxPrecio_O,1,MIN(10,CP$17))*(1+P_dPrecio)</f>
        <v>0</v>
      </c>
      <c r="CQ50" s="48" t="n">
        <f aca="false">CQ$25*INDEX(Precio_O,5)*INDEX(IdxPrecio_O,1,MIN(10,CQ$17))*(1+P_dPrecio)</f>
        <v>0</v>
      </c>
      <c r="CR50" s="48" t="n">
        <f aca="false">CR$25*INDEX(Precio_O,5)*INDEX(IdxPrecio_O,1,MIN(10,CR$17))*(1+P_dPrecio)</f>
        <v>0</v>
      </c>
      <c r="CS50" s="48" t="n">
        <f aca="false">CS$25*INDEX(Precio_O,5)*INDEX(IdxPrecio_O,1,MIN(10,CS$17))*(1+P_dPrecio)</f>
        <v>0</v>
      </c>
      <c r="CT50" s="48" t="n">
        <f aca="false">CT$25*INDEX(Precio_O,5)*INDEX(IdxPrecio_O,1,MIN(10,CT$17))*(1+P_dPrecio)</f>
        <v>0</v>
      </c>
      <c r="CU50" s="48" t="n">
        <f aca="false">CU$25*INDEX(Precio_O,5)*INDEX(IdxPrecio_O,1,MIN(10,CU$17))*(1+P_dPrecio)</f>
        <v>0</v>
      </c>
      <c r="CV50" s="48" t="n">
        <f aca="false">CV$25*INDEX(Precio_O,5)*INDEX(IdxPrecio_O,1,MIN(10,CV$17))*(1+P_dPrecio)</f>
        <v>0</v>
      </c>
      <c r="CW50" s="48" t="n">
        <f aca="false">CW$25*INDEX(Precio_O,5)*INDEX(IdxPrecio_O,1,MIN(10,CW$17))*(1+P_dPrecio)</f>
        <v>0</v>
      </c>
      <c r="CX50" s="48" t="n">
        <f aca="false">CX$25*INDEX(Precio_O,5)*INDEX(IdxPrecio_O,1,MIN(10,CX$17))*(1+P_dPrecio)</f>
        <v>0</v>
      </c>
      <c r="CY50" s="48" t="n">
        <f aca="false">CY$25*INDEX(Precio_O,5)*INDEX(IdxPrecio_O,1,MIN(10,CY$17))*(1+P_dPrecio)</f>
        <v>0</v>
      </c>
      <c r="CZ50" s="48" t="n">
        <f aca="false">CZ$25*INDEX(Precio_O,5)*INDEX(IdxPrecio_O,1,MIN(10,CZ$17))*(1+P_dPrecio)</f>
        <v>0</v>
      </c>
      <c r="DA50" s="48" t="n">
        <f aca="false">DA$25*INDEX(Precio_O,5)*INDEX(IdxPrecio_O,1,MIN(10,DA$17))*(1+P_dPrecio)</f>
        <v>0</v>
      </c>
      <c r="DB50" s="48" t="n">
        <f aca="false">DB$25*INDEX(Precio_O,5)*INDEX(IdxPrecio_O,1,MIN(10,DB$17))*(1+P_dPrecio)</f>
        <v>0</v>
      </c>
      <c r="DC50" s="48" t="n">
        <f aca="false">DC$25*INDEX(Precio_O,5)*INDEX(IdxPrecio_O,1,MIN(10,DC$17))*(1+P_dPrecio)</f>
        <v>0</v>
      </c>
      <c r="DD50" s="48" t="n">
        <f aca="false">DD$25*INDEX(Precio_O,5)*INDEX(IdxPrecio_O,1,MIN(10,DD$17))*(1+P_dPrecio)</f>
        <v>0</v>
      </c>
      <c r="DE50" s="48" t="n">
        <f aca="false">DE$25*INDEX(Precio_O,5)*INDEX(IdxPrecio_O,1,MIN(10,DE$17))*(1+P_dPrecio)</f>
        <v>0</v>
      </c>
      <c r="DF50" s="48" t="n">
        <f aca="false">DF$25*INDEX(Precio_O,5)*INDEX(IdxPrecio_O,1,MIN(10,DF$17))*(1+P_dPrecio)</f>
        <v>0</v>
      </c>
      <c r="DG50" s="48" t="n">
        <f aca="false">DG$25*INDEX(Precio_O,5)*INDEX(IdxPrecio_O,1,MIN(10,DG$17))*(1+P_dPrecio)</f>
        <v>0</v>
      </c>
      <c r="DH50" s="48" t="n">
        <f aca="false">DH$25*INDEX(Precio_O,5)*INDEX(IdxPrecio_O,1,MIN(10,DH$17))*(1+P_dPrecio)</f>
        <v>0</v>
      </c>
      <c r="DI50" s="48" t="n">
        <f aca="false">DI$25*INDEX(Precio_O,5)*INDEX(IdxPrecio_O,1,MIN(10,DI$17))*(1+P_dPrecio)</f>
        <v>0</v>
      </c>
      <c r="DJ50" s="48" t="n">
        <f aca="false">DJ$25*INDEX(Precio_O,5)*INDEX(IdxPrecio_O,1,MIN(10,DJ$17))*(1+P_dPrecio)</f>
        <v>0</v>
      </c>
      <c r="DK50" s="48" t="n">
        <f aca="false">DK$25*INDEX(Precio_O,5)*INDEX(IdxPrecio_O,1,MIN(10,DK$17))*(1+P_dPrecio)</f>
        <v>0</v>
      </c>
      <c r="DL50" s="48" t="n">
        <f aca="false">DL$25*INDEX(Precio_O,5)*INDEX(IdxPrecio_O,1,MIN(10,DL$17))*(1+P_dPrecio)</f>
        <v>0</v>
      </c>
      <c r="DM50" s="48" t="n">
        <f aca="false">DM$25*INDEX(Precio_O,5)*INDEX(IdxPrecio_O,1,MIN(10,DM$17))*(1+P_dPrecio)</f>
        <v>0</v>
      </c>
      <c r="DN50" s="48" t="n">
        <f aca="false">DN$25*INDEX(Precio_O,5)*INDEX(IdxPrecio_O,1,MIN(10,DN$17))*(1+P_dPrecio)</f>
        <v>0</v>
      </c>
      <c r="DO50" s="48" t="n">
        <f aca="false">DO$25*INDEX(Precio_O,5)*INDEX(IdxPrecio_O,1,MIN(10,DO$17))*(1+P_dPrecio)</f>
        <v>0</v>
      </c>
      <c r="DP50" s="48" t="n">
        <f aca="false">DP$25*INDEX(Precio_O,5)*INDEX(IdxPrecio_O,1,MIN(10,DP$17))*(1+P_dPrecio)</f>
        <v>0</v>
      </c>
      <c r="DQ50" s="48" t="n">
        <f aca="false">DQ$25*INDEX(Precio_O,5)*INDEX(IdxPrecio_O,1,MIN(10,DQ$17))*(1+P_dPrecio)</f>
        <v>0</v>
      </c>
      <c r="DR50" s="48" t="n">
        <f aca="false">DR$25*INDEX(Precio_O,5)*INDEX(IdxPrecio_O,1,MIN(10,DR$17))*(1+P_dPrecio)</f>
        <v>0</v>
      </c>
      <c r="DS50" s="48" t="n">
        <f aca="false">DS$25*INDEX(Precio_O,5)*INDEX(IdxPrecio_O,1,MIN(10,DS$17))*(1+P_dPrecio)</f>
        <v>0</v>
      </c>
      <c r="DT50" s="48" t="n">
        <f aca="false">DT$25*INDEX(Precio_O,5)*INDEX(IdxPrecio_O,1,MIN(10,DT$17))*(1+P_dPrecio)</f>
        <v>0</v>
      </c>
      <c r="DU50" s="48" t="n">
        <f aca="false">DU$25*INDEX(Precio_O,5)*INDEX(IdxPrecio_O,1,MIN(10,DU$17))*(1+P_dPrecio)</f>
        <v>0</v>
      </c>
      <c r="DV50" s="48" t="n">
        <f aca="false">DV$25*INDEX(Precio_O,5)*INDEX(IdxPrecio_O,1,MIN(10,DV$17))*(1+P_dPrecio)</f>
        <v>0</v>
      </c>
      <c r="DW50" s="48" t="n">
        <f aca="false">DW$25*INDEX(Precio_O,5)*INDEX(IdxPrecio_O,1,MIN(10,DW$17))*(1+P_dPrecio)</f>
        <v>0</v>
      </c>
      <c r="DX50" s="48" t="n">
        <f aca="false">DX$25*INDEX(Precio_O,5)*INDEX(IdxPrecio_O,1,MIN(10,DX$17))*(1+P_dPrecio)</f>
        <v>0</v>
      </c>
      <c r="DY50" s="48" t="n">
        <f aca="false">DY$25*INDEX(Precio_O,5)*INDEX(IdxPrecio_O,1,MIN(10,DY$17))*(1+P_dPrecio)</f>
        <v>0</v>
      </c>
      <c r="DZ50" s="48" t="n">
        <f aca="false">DZ$25*INDEX(Precio_O,5)*INDEX(IdxPrecio_O,1,MIN(10,DZ$17))*(1+P_dPrecio)</f>
        <v>0</v>
      </c>
      <c r="EA50" s="48" t="n">
        <f aca="false">EA$25*INDEX(Precio_O,5)*INDEX(IdxPrecio_O,1,MIN(10,EA$17))*(1+P_dPrecio)</f>
        <v>0</v>
      </c>
      <c r="EB50" s="48" t="n">
        <f aca="false">EB$25*INDEX(Precio_O,5)*INDEX(IdxPrecio_O,1,MIN(10,EB$17))*(1+P_dPrecio)</f>
        <v>0</v>
      </c>
      <c r="EC50" s="48" t="n">
        <f aca="false">EC$25*INDEX(Precio_O,5)*INDEX(IdxPrecio_O,1,MIN(10,EC$17))*(1+P_dPrecio)</f>
        <v>0</v>
      </c>
      <c r="ED50" s="48" t="n">
        <f aca="false">ED$25*INDEX(Precio_O,5)*INDEX(IdxPrecio_O,1,MIN(10,ED$17))*(1+P_dPrecio)</f>
        <v>0</v>
      </c>
      <c r="EE50" s="48" t="n">
        <f aca="false">EE$25*INDEX(Precio_O,5)*INDEX(IdxPrecio_O,1,MIN(10,EE$17))*(1+P_dPrecio)</f>
        <v>0</v>
      </c>
      <c r="EF50" s="48" t="n">
        <f aca="false">EF$25*INDEX(Precio_O,5)*INDEX(IdxPrecio_O,1,MIN(10,EF$17))*(1+P_dPrecio)</f>
        <v>0</v>
      </c>
      <c r="EG50" s="48" t="n">
        <f aca="false">EG$25*INDEX(Precio_O,5)*INDEX(IdxPrecio_O,1,MIN(10,EG$17))*(1+P_dPrecio)</f>
        <v>0</v>
      </c>
      <c r="EH50" s="48" t="n">
        <f aca="false">EH$25*INDEX(Precio_O,5)*INDEX(IdxPrecio_O,1,MIN(10,EH$17))*(1+P_dPrecio)</f>
        <v>0</v>
      </c>
      <c r="EI50" s="48" t="n">
        <f aca="false">EI$25*INDEX(Precio_O,5)*INDEX(IdxPrecio_O,1,MIN(10,EI$17))*(1+P_dPrecio)</f>
        <v>0</v>
      </c>
      <c r="EJ50" s="48" t="n">
        <f aca="false">EJ$25*INDEX(Precio_O,5)*INDEX(IdxPrecio_O,1,MIN(10,EJ$17))*(1+P_dPrecio)</f>
        <v>0</v>
      </c>
      <c r="EK50" s="48" t="n">
        <f aca="false">EK$25*INDEX(Precio_O,5)*INDEX(IdxPrecio_O,1,MIN(10,EK$17))*(1+P_dPrecio)</f>
        <v>0</v>
      </c>
      <c r="EL50" s="48" t="n">
        <f aca="false">EL$25*INDEX(Precio_O,5)*INDEX(IdxPrecio_O,1,MIN(10,EL$17))*(1+P_dPrecio)</f>
        <v>0</v>
      </c>
      <c r="EM50" s="48" t="n">
        <f aca="false">EM$25*INDEX(Precio_O,5)*INDEX(IdxPrecio_O,1,MIN(10,EM$17))*(1+P_dPrecio)</f>
        <v>0</v>
      </c>
      <c r="EN50" s="48" t="n">
        <f aca="false">EN$25*INDEX(Precio_O,5)*INDEX(IdxPrecio_O,1,MIN(10,EN$17))*(1+P_dPrecio)</f>
        <v>0</v>
      </c>
      <c r="EO50" s="48" t="n">
        <f aca="false">EO$25*INDEX(Precio_O,5)*INDEX(IdxPrecio_O,1,MIN(10,EO$17))*(1+P_dPrecio)</f>
        <v>0</v>
      </c>
      <c r="EP50" s="48" t="n">
        <f aca="false">EP$25*INDEX(Precio_O,5)*INDEX(IdxPrecio_O,1,MIN(10,EP$17))*(1+P_dPrecio)</f>
        <v>0</v>
      </c>
      <c r="EQ50" s="48" t="n">
        <f aca="false">EQ$25*INDEX(Precio_O,5)*INDEX(IdxPrecio_O,1,MIN(10,EQ$17))*(1+P_dPrecio)</f>
        <v>0</v>
      </c>
      <c r="ER50" s="48" t="n">
        <f aca="false">ER$25*INDEX(Precio_O,5)*INDEX(IdxPrecio_O,1,MIN(10,ER$17))*(1+P_dPrecio)</f>
        <v>0</v>
      </c>
      <c r="ES50" s="48" t="n">
        <f aca="false">ES$25*INDEX(Precio_O,5)*INDEX(IdxPrecio_O,1,MIN(10,ES$17))*(1+P_dPrecio)</f>
        <v>0</v>
      </c>
    </row>
    <row r="51" customFormat="false" ht="15" hidden="false" customHeight="false" outlineLevel="0" collapsed="false">
      <c r="A51" s="11" t="s">
        <v>1096</v>
      </c>
      <c r="B51" s="53" t="str">
        <f aca="false">IF(INDEX(Prod_Nombre,6)="","Producto 6",INDEX(Prod_Nombre,6))&amp;" — ventas USD"</f>
        <v>Producto 6 — ventas USD</v>
      </c>
      <c r="C51" s="15" t="s">
        <v>508</v>
      </c>
      <c r="E51" s="54" t="n">
        <f aca="false">SUM(F51:ES51)</f>
        <v>0</v>
      </c>
      <c r="F51" s="48" t="n">
        <f aca="false">F$26*INDEX(Precio_O,6)*INDEX(IdxPrecio_O,1,MIN(10,F$17))*(1+P_dPrecio)</f>
        <v>0</v>
      </c>
      <c r="G51" s="48" t="n">
        <f aca="false">G$26*INDEX(Precio_O,6)*INDEX(IdxPrecio_O,1,MIN(10,G$17))*(1+P_dPrecio)</f>
        <v>0</v>
      </c>
      <c r="H51" s="48" t="n">
        <f aca="false">H$26*INDEX(Precio_O,6)*INDEX(IdxPrecio_O,1,MIN(10,H$17))*(1+P_dPrecio)</f>
        <v>0</v>
      </c>
      <c r="I51" s="48" t="n">
        <f aca="false">I$26*INDEX(Precio_O,6)*INDEX(IdxPrecio_O,1,MIN(10,I$17))*(1+P_dPrecio)</f>
        <v>0</v>
      </c>
      <c r="J51" s="48" t="n">
        <f aca="false">J$26*INDEX(Precio_O,6)*INDEX(IdxPrecio_O,1,MIN(10,J$17))*(1+P_dPrecio)</f>
        <v>0</v>
      </c>
      <c r="K51" s="48" t="n">
        <f aca="false">K$26*INDEX(Precio_O,6)*INDEX(IdxPrecio_O,1,MIN(10,K$17))*(1+P_dPrecio)</f>
        <v>0</v>
      </c>
      <c r="L51" s="48" t="n">
        <f aca="false">L$26*INDEX(Precio_O,6)*INDEX(IdxPrecio_O,1,MIN(10,L$17))*(1+P_dPrecio)</f>
        <v>0</v>
      </c>
      <c r="M51" s="48" t="n">
        <f aca="false">M$26*INDEX(Precio_O,6)*INDEX(IdxPrecio_O,1,MIN(10,M$17))*(1+P_dPrecio)</f>
        <v>0</v>
      </c>
      <c r="N51" s="48" t="n">
        <f aca="false">N$26*INDEX(Precio_O,6)*INDEX(IdxPrecio_O,1,MIN(10,N$17))*(1+P_dPrecio)</f>
        <v>0</v>
      </c>
      <c r="O51" s="48" t="n">
        <f aca="false">O$26*INDEX(Precio_O,6)*INDEX(IdxPrecio_O,1,MIN(10,O$17))*(1+P_dPrecio)</f>
        <v>0</v>
      </c>
      <c r="P51" s="48" t="n">
        <f aca="false">P$26*INDEX(Precio_O,6)*INDEX(IdxPrecio_O,1,MIN(10,P$17))*(1+P_dPrecio)</f>
        <v>0</v>
      </c>
      <c r="Q51" s="48" t="n">
        <f aca="false">Q$26*INDEX(Precio_O,6)*INDEX(IdxPrecio_O,1,MIN(10,Q$17))*(1+P_dPrecio)</f>
        <v>0</v>
      </c>
      <c r="R51" s="48" t="n">
        <f aca="false">R$26*INDEX(Precio_O,6)*INDEX(IdxPrecio_O,1,MIN(10,R$17))*(1+P_dPrecio)</f>
        <v>0</v>
      </c>
      <c r="S51" s="48" t="n">
        <f aca="false">S$26*INDEX(Precio_O,6)*INDEX(IdxPrecio_O,1,MIN(10,S$17))*(1+P_dPrecio)</f>
        <v>0</v>
      </c>
      <c r="T51" s="48" t="n">
        <f aca="false">T$26*INDEX(Precio_O,6)*INDEX(IdxPrecio_O,1,MIN(10,T$17))*(1+P_dPrecio)</f>
        <v>0</v>
      </c>
      <c r="U51" s="48" t="n">
        <f aca="false">U$26*INDEX(Precio_O,6)*INDEX(IdxPrecio_O,1,MIN(10,U$17))*(1+P_dPrecio)</f>
        <v>0</v>
      </c>
      <c r="V51" s="48" t="n">
        <f aca="false">V$26*INDEX(Precio_O,6)*INDEX(IdxPrecio_O,1,MIN(10,V$17))*(1+P_dPrecio)</f>
        <v>0</v>
      </c>
      <c r="W51" s="48" t="n">
        <f aca="false">W$26*INDEX(Precio_O,6)*INDEX(IdxPrecio_O,1,MIN(10,W$17))*(1+P_dPrecio)</f>
        <v>0</v>
      </c>
      <c r="X51" s="48" t="n">
        <f aca="false">X$26*INDEX(Precio_O,6)*INDEX(IdxPrecio_O,1,MIN(10,X$17))*(1+P_dPrecio)</f>
        <v>0</v>
      </c>
      <c r="Y51" s="48" t="n">
        <f aca="false">Y$26*INDEX(Precio_O,6)*INDEX(IdxPrecio_O,1,MIN(10,Y$17))*(1+P_dPrecio)</f>
        <v>0</v>
      </c>
      <c r="Z51" s="48" t="n">
        <f aca="false">Z$26*INDEX(Precio_O,6)*INDEX(IdxPrecio_O,1,MIN(10,Z$17))*(1+P_dPrecio)</f>
        <v>0</v>
      </c>
      <c r="AA51" s="48" t="n">
        <f aca="false">AA$26*INDEX(Precio_O,6)*INDEX(IdxPrecio_O,1,MIN(10,AA$17))*(1+P_dPrecio)</f>
        <v>0</v>
      </c>
      <c r="AB51" s="48" t="n">
        <f aca="false">AB$26*INDEX(Precio_O,6)*INDEX(IdxPrecio_O,1,MIN(10,AB$17))*(1+P_dPrecio)</f>
        <v>0</v>
      </c>
      <c r="AC51" s="48" t="n">
        <f aca="false">AC$26*INDEX(Precio_O,6)*INDEX(IdxPrecio_O,1,MIN(10,AC$17))*(1+P_dPrecio)</f>
        <v>0</v>
      </c>
      <c r="AD51" s="48" t="n">
        <f aca="false">AD$26*INDEX(Precio_O,6)*INDEX(IdxPrecio_O,1,MIN(10,AD$17))*(1+P_dPrecio)</f>
        <v>0</v>
      </c>
      <c r="AE51" s="48" t="n">
        <f aca="false">AE$26*INDEX(Precio_O,6)*INDEX(IdxPrecio_O,1,MIN(10,AE$17))*(1+P_dPrecio)</f>
        <v>0</v>
      </c>
      <c r="AF51" s="48" t="n">
        <f aca="false">AF$26*INDEX(Precio_O,6)*INDEX(IdxPrecio_O,1,MIN(10,AF$17))*(1+P_dPrecio)</f>
        <v>0</v>
      </c>
      <c r="AG51" s="48" t="n">
        <f aca="false">AG$26*INDEX(Precio_O,6)*INDEX(IdxPrecio_O,1,MIN(10,AG$17))*(1+P_dPrecio)</f>
        <v>0</v>
      </c>
      <c r="AH51" s="48" t="n">
        <f aca="false">AH$26*INDEX(Precio_O,6)*INDEX(IdxPrecio_O,1,MIN(10,AH$17))*(1+P_dPrecio)</f>
        <v>0</v>
      </c>
      <c r="AI51" s="48" t="n">
        <f aca="false">AI$26*INDEX(Precio_O,6)*INDEX(IdxPrecio_O,1,MIN(10,AI$17))*(1+P_dPrecio)</f>
        <v>0</v>
      </c>
      <c r="AJ51" s="48" t="n">
        <f aca="false">AJ$26*INDEX(Precio_O,6)*INDEX(IdxPrecio_O,1,MIN(10,AJ$17))*(1+P_dPrecio)</f>
        <v>0</v>
      </c>
      <c r="AK51" s="48" t="n">
        <f aca="false">AK$26*INDEX(Precio_O,6)*INDEX(IdxPrecio_O,1,MIN(10,AK$17))*(1+P_dPrecio)</f>
        <v>0</v>
      </c>
      <c r="AL51" s="48" t="n">
        <f aca="false">AL$26*INDEX(Precio_O,6)*INDEX(IdxPrecio_O,1,MIN(10,AL$17))*(1+P_dPrecio)</f>
        <v>0</v>
      </c>
      <c r="AM51" s="48" t="n">
        <f aca="false">AM$26*INDEX(Precio_O,6)*INDEX(IdxPrecio_O,1,MIN(10,AM$17))*(1+P_dPrecio)</f>
        <v>0</v>
      </c>
      <c r="AN51" s="48" t="n">
        <f aca="false">AN$26*INDEX(Precio_O,6)*INDEX(IdxPrecio_O,1,MIN(10,AN$17))*(1+P_dPrecio)</f>
        <v>0</v>
      </c>
      <c r="AO51" s="48" t="n">
        <f aca="false">AO$26*INDEX(Precio_O,6)*INDEX(IdxPrecio_O,1,MIN(10,AO$17))*(1+P_dPrecio)</f>
        <v>0</v>
      </c>
      <c r="AP51" s="48" t="n">
        <f aca="false">AP$26*INDEX(Precio_O,6)*INDEX(IdxPrecio_O,1,MIN(10,AP$17))*(1+P_dPrecio)</f>
        <v>0</v>
      </c>
      <c r="AQ51" s="48" t="n">
        <f aca="false">AQ$26*INDEX(Precio_O,6)*INDEX(IdxPrecio_O,1,MIN(10,AQ$17))*(1+P_dPrecio)</f>
        <v>0</v>
      </c>
      <c r="AR51" s="48" t="n">
        <f aca="false">AR$26*INDEX(Precio_O,6)*INDEX(IdxPrecio_O,1,MIN(10,AR$17))*(1+P_dPrecio)</f>
        <v>0</v>
      </c>
      <c r="AS51" s="48" t="n">
        <f aca="false">AS$26*INDEX(Precio_O,6)*INDEX(IdxPrecio_O,1,MIN(10,AS$17))*(1+P_dPrecio)</f>
        <v>0</v>
      </c>
      <c r="AT51" s="48" t="n">
        <f aca="false">AT$26*INDEX(Precio_O,6)*INDEX(IdxPrecio_O,1,MIN(10,AT$17))*(1+P_dPrecio)</f>
        <v>0</v>
      </c>
      <c r="AU51" s="48" t="n">
        <f aca="false">AU$26*INDEX(Precio_O,6)*INDEX(IdxPrecio_O,1,MIN(10,AU$17))*(1+P_dPrecio)</f>
        <v>0</v>
      </c>
      <c r="AV51" s="48" t="n">
        <f aca="false">AV$26*INDEX(Precio_O,6)*INDEX(IdxPrecio_O,1,MIN(10,AV$17))*(1+P_dPrecio)</f>
        <v>0</v>
      </c>
      <c r="AW51" s="48" t="n">
        <f aca="false">AW$26*INDEX(Precio_O,6)*INDEX(IdxPrecio_O,1,MIN(10,AW$17))*(1+P_dPrecio)</f>
        <v>0</v>
      </c>
      <c r="AX51" s="48" t="n">
        <f aca="false">AX$26*INDEX(Precio_O,6)*INDEX(IdxPrecio_O,1,MIN(10,AX$17))*(1+P_dPrecio)</f>
        <v>0</v>
      </c>
      <c r="AY51" s="48" t="n">
        <f aca="false">AY$26*INDEX(Precio_O,6)*INDEX(IdxPrecio_O,1,MIN(10,AY$17))*(1+P_dPrecio)</f>
        <v>0</v>
      </c>
      <c r="AZ51" s="48" t="n">
        <f aca="false">AZ$26*INDEX(Precio_O,6)*INDEX(IdxPrecio_O,1,MIN(10,AZ$17))*(1+P_dPrecio)</f>
        <v>0</v>
      </c>
      <c r="BA51" s="48" t="n">
        <f aca="false">BA$26*INDEX(Precio_O,6)*INDEX(IdxPrecio_O,1,MIN(10,BA$17))*(1+P_dPrecio)</f>
        <v>0</v>
      </c>
      <c r="BB51" s="48" t="n">
        <f aca="false">BB$26*INDEX(Precio_O,6)*INDEX(IdxPrecio_O,1,MIN(10,BB$17))*(1+P_dPrecio)</f>
        <v>0</v>
      </c>
      <c r="BC51" s="48" t="n">
        <f aca="false">BC$26*INDEX(Precio_O,6)*INDEX(IdxPrecio_O,1,MIN(10,BC$17))*(1+P_dPrecio)</f>
        <v>0</v>
      </c>
      <c r="BD51" s="48" t="n">
        <f aca="false">BD$26*INDEX(Precio_O,6)*INDEX(IdxPrecio_O,1,MIN(10,BD$17))*(1+P_dPrecio)</f>
        <v>0</v>
      </c>
      <c r="BE51" s="48" t="n">
        <f aca="false">BE$26*INDEX(Precio_O,6)*INDEX(IdxPrecio_O,1,MIN(10,BE$17))*(1+P_dPrecio)</f>
        <v>0</v>
      </c>
      <c r="BF51" s="48" t="n">
        <f aca="false">BF$26*INDEX(Precio_O,6)*INDEX(IdxPrecio_O,1,MIN(10,BF$17))*(1+P_dPrecio)</f>
        <v>0</v>
      </c>
      <c r="BG51" s="48" t="n">
        <f aca="false">BG$26*INDEX(Precio_O,6)*INDEX(IdxPrecio_O,1,MIN(10,BG$17))*(1+P_dPrecio)</f>
        <v>0</v>
      </c>
      <c r="BH51" s="48" t="n">
        <f aca="false">BH$26*INDEX(Precio_O,6)*INDEX(IdxPrecio_O,1,MIN(10,BH$17))*(1+P_dPrecio)</f>
        <v>0</v>
      </c>
      <c r="BI51" s="48" t="n">
        <f aca="false">BI$26*INDEX(Precio_O,6)*INDEX(IdxPrecio_O,1,MIN(10,BI$17))*(1+P_dPrecio)</f>
        <v>0</v>
      </c>
      <c r="BJ51" s="48" t="n">
        <f aca="false">BJ$26*INDEX(Precio_O,6)*INDEX(IdxPrecio_O,1,MIN(10,BJ$17))*(1+P_dPrecio)</f>
        <v>0</v>
      </c>
      <c r="BK51" s="48" t="n">
        <f aca="false">BK$26*INDEX(Precio_O,6)*INDEX(IdxPrecio_O,1,MIN(10,BK$17))*(1+P_dPrecio)</f>
        <v>0</v>
      </c>
      <c r="BL51" s="48" t="n">
        <f aca="false">BL$26*INDEX(Precio_O,6)*INDEX(IdxPrecio_O,1,MIN(10,BL$17))*(1+P_dPrecio)</f>
        <v>0</v>
      </c>
      <c r="BM51" s="48" t="n">
        <f aca="false">BM$26*INDEX(Precio_O,6)*INDEX(IdxPrecio_O,1,MIN(10,BM$17))*(1+P_dPrecio)</f>
        <v>0</v>
      </c>
      <c r="BN51" s="48" t="n">
        <f aca="false">BN$26*INDEX(Precio_O,6)*INDEX(IdxPrecio_O,1,MIN(10,BN$17))*(1+P_dPrecio)</f>
        <v>0</v>
      </c>
      <c r="BO51" s="48" t="n">
        <f aca="false">BO$26*INDEX(Precio_O,6)*INDEX(IdxPrecio_O,1,MIN(10,BO$17))*(1+P_dPrecio)</f>
        <v>0</v>
      </c>
      <c r="BP51" s="48" t="n">
        <f aca="false">BP$26*INDEX(Precio_O,6)*INDEX(IdxPrecio_O,1,MIN(10,BP$17))*(1+P_dPrecio)</f>
        <v>0</v>
      </c>
      <c r="BQ51" s="48" t="n">
        <f aca="false">BQ$26*INDEX(Precio_O,6)*INDEX(IdxPrecio_O,1,MIN(10,BQ$17))*(1+P_dPrecio)</f>
        <v>0</v>
      </c>
      <c r="BR51" s="48" t="n">
        <f aca="false">BR$26*INDEX(Precio_O,6)*INDEX(IdxPrecio_O,1,MIN(10,BR$17))*(1+P_dPrecio)</f>
        <v>0</v>
      </c>
      <c r="BS51" s="48" t="n">
        <f aca="false">BS$26*INDEX(Precio_O,6)*INDEX(IdxPrecio_O,1,MIN(10,BS$17))*(1+P_dPrecio)</f>
        <v>0</v>
      </c>
      <c r="BT51" s="48" t="n">
        <f aca="false">BT$26*INDEX(Precio_O,6)*INDEX(IdxPrecio_O,1,MIN(10,BT$17))*(1+P_dPrecio)</f>
        <v>0</v>
      </c>
      <c r="BU51" s="48" t="n">
        <f aca="false">BU$26*INDEX(Precio_O,6)*INDEX(IdxPrecio_O,1,MIN(10,BU$17))*(1+P_dPrecio)</f>
        <v>0</v>
      </c>
      <c r="BV51" s="48" t="n">
        <f aca="false">BV$26*INDEX(Precio_O,6)*INDEX(IdxPrecio_O,1,MIN(10,BV$17))*(1+P_dPrecio)</f>
        <v>0</v>
      </c>
      <c r="BW51" s="48" t="n">
        <f aca="false">BW$26*INDEX(Precio_O,6)*INDEX(IdxPrecio_O,1,MIN(10,BW$17))*(1+P_dPrecio)</f>
        <v>0</v>
      </c>
      <c r="BX51" s="48" t="n">
        <f aca="false">BX$26*INDEX(Precio_O,6)*INDEX(IdxPrecio_O,1,MIN(10,BX$17))*(1+P_dPrecio)</f>
        <v>0</v>
      </c>
      <c r="BY51" s="48" t="n">
        <f aca="false">BY$26*INDEX(Precio_O,6)*INDEX(IdxPrecio_O,1,MIN(10,BY$17))*(1+P_dPrecio)</f>
        <v>0</v>
      </c>
      <c r="BZ51" s="48" t="n">
        <f aca="false">BZ$26*INDEX(Precio_O,6)*INDEX(IdxPrecio_O,1,MIN(10,BZ$17))*(1+P_dPrecio)</f>
        <v>0</v>
      </c>
      <c r="CA51" s="48" t="n">
        <f aca="false">CA$26*INDEX(Precio_O,6)*INDEX(IdxPrecio_O,1,MIN(10,CA$17))*(1+P_dPrecio)</f>
        <v>0</v>
      </c>
      <c r="CB51" s="48" t="n">
        <f aca="false">CB$26*INDEX(Precio_O,6)*INDEX(IdxPrecio_O,1,MIN(10,CB$17))*(1+P_dPrecio)</f>
        <v>0</v>
      </c>
      <c r="CC51" s="48" t="n">
        <f aca="false">CC$26*INDEX(Precio_O,6)*INDEX(IdxPrecio_O,1,MIN(10,CC$17))*(1+P_dPrecio)</f>
        <v>0</v>
      </c>
      <c r="CD51" s="48" t="n">
        <f aca="false">CD$26*INDEX(Precio_O,6)*INDEX(IdxPrecio_O,1,MIN(10,CD$17))*(1+P_dPrecio)</f>
        <v>0</v>
      </c>
      <c r="CE51" s="48" t="n">
        <f aca="false">CE$26*INDEX(Precio_O,6)*INDEX(IdxPrecio_O,1,MIN(10,CE$17))*(1+P_dPrecio)</f>
        <v>0</v>
      </c>
      <c r="CF51" s="48" t="n">
        <f aca="false">CF$26*INDEX(Precio_O,6)*INDEX(IdxPrecio_O,1,MIN(10,CF$17))*(1+P_dPrecio)</f>
        <v>0</v>
      </c>
      <c r="CG51" s="48" t="n">
        <f aca="false">CG$26*INDEX(Precio_O,6)*INDEX(IdxPrecio_O,1,MIN(10,CG$17))*(1+P_dPrecio)</f>
        <v>0</v>
      </c>
      <c r="CH51" s="48" t="n">
        <f aca="false">CH$26*INDEX(Precio_O,6)*INDEX(IdxPrecio_O,1,MIN(10,CH$17))*(1+P_dPrecio)</f>
        <v>0</v>
      </c>
      <c r="CI51" s="48" t="n">
        <f aca="false">CI$26*INDEX(Precio_O,6)*INDEX(IdxPrecio_O,1,MIN(10,CI$17))*(1+P_dPrecio)</f>
        <v>0</v>
      </c>
      <c r="CJ51" s="48" t="n">
        <f aca="false">CJ$26*INDEX(Precio_O,6)*INDEX(IdxPrecio_O,1,MIN(10,CJ$17))*(1+P_dPrecio)</f>
        <v>0</v>
      </c>
      <c r="CK51" s="48" t="n">
        <f aca="false">CK$26*INDEX(Precio_O,6)*INDEX(IdxPrecio_O,1,MIN(10,CK$17))*(1+P_dPrecio)</f>
        <v>0</v>
      </c>
      <c r="CL51" s="48" t="n">
        <f aca="false">CL$26*INDEX(Precio_O,6)*INDEX(IdxPrecio_O,1,MIN(10,CL$17))*(1+P_dPrecio)</f>
        <v>0</v>
      </c>
      <c r="CM51" s="48" t="n">
        <f aca="false">CM$26*INDEX(Precio_O,6)*INDEX(IdxPrecio_O,1,MIN(10,CM$17))*(1+P_dPrecio)</f>
        <v>0</v>
      </c>
      <c r="CN51" s="48" t="n">
        <f aca="false">CN$26*INDEX(Precio_O,6)*INDEX(IdxPrecio_O,1,MIN(10,CN$17))*(1+P_dPrecio)</f>
        <v>0</v>
      </c>
      <c r="CO51" s="48" t="n">
        <f aca="false">CO$26*INDEX(Precio_O,6)*INDEX(IdxPrecio_O,1,MIN(10,CO$17))*(1+P_dPrecio)</f>
        <v>0</v>
      </c>
      <c r="CP51" s="48" t="n">
        <f aca="false">CP$26*INDEX(Precio_O,6)*INDEX(IdxPrecio_O,1,MIN(10,CP$17))*(1+P_dPrecio)</f>
        <v>0</v>
      </c>
      <c r="CQ51" s="48" t="n">
        <f aca="false">CQ$26*INDEX(Precio_O,6)*INDEX(IdxPrecio_O,1,MIN(10,CQ$17))*(1+P_dPrecio)</f>
        <v>0</v>
      </c>
      <c r="CR51" s="48" t="n">
        <f aca="false">CR$26*INDEX(Precio_O,6)*INDEX(IdxPrecio_O,1,MIN(10,CR$17))*(1+P_dPrecio)</f>
        <v>0</v>
      </c>
      <c r="CS51" s="48" t="n">
        <f aca="false">CS$26*INDEX(Precio_O,6)*INDEX(IdxPrecio_O,1,MIN(10,CS$17))*(1+P_dPrecio)</f>
        <v>0</v>
      </c>
      <c r="CT51" s="48" t="n">
        <f aca="false">CT$26*INDEX(Precio_O,6)*INDEX(IdxPrecio_O,1,MIN(10,CT$17))*(1+P_dPrecio)</f>
        <v>0</v>
      </c>
      <c r="CU51" s="48" t="n">
        <f aca="false">CU$26*INDEX(Precio_O,6)*INDEX(IdxPrecio_O,1,MIN(10,CU$17))*(1+P_dPrecio)</f>
        <v>0</v>
      </c>
      <c r="CV51" s="48" t="n">
        <f aca="false">CV$26*INDEX(Precio_O,6)*INDEX(IdxPrecio_O,1,MIN(10,CV$17))*(1+P_dPrecio)</f>
        <v>0</v>
      </c>
      <c r="CW51" s="48" t="n">
        <f aca="false">CW$26*INDEX(Precio_O,6)*INDEX(IdxPrecio_O,1,MIN(10,CW$17))*(1+P_dPrecio)</f>
        <v>0</v>
      </c>
      <c r="CX51" s="48" t="n">
        <f aca="false">CX$26*INDEX(Precio_O,6)*INDEX(IdxPrecio_O,1,MIN(10,CX$17))*(1+P_dPrecio)</f>
        <v>0</v>
      </c>
      <c r="CY51" s="48" t="n">
        <f aca="false">CY$26*INDEX(Precio_O,6)*INDEX(IdxPrecio_O,1,MIN(10,CY$17))*(1+P_dPrecio)</f>
        <v>0</v>
      </c>
      <c r="CZ51" s="48" t="n">
        <f aca="false">CZ$26*INDEX(Precio_O,6)*INDEX(IdxPrecio_O,1,MIN(10,CZ$17))*(1+P_dPrecio)</f>
        <v>0</v>
      </c>
      <c r="DA51" s="48" t="n">
        <f aca="false">DA$26*INDEX(Precio_O,6)*INDEX(IdxPrecio_O,1,MIN(10,DA$17))*(1+P_dPrecio)</f>
        <v>0</v>
      </c>
      <c r="DB51" s="48" t="n">
        <f aca="false">DB$26*INDEX(Precio_O,6)*INDEX(IdxPrecio_O,1,MIN(10,DB$17))*(1+P_dPrecio)</f>
        <v>0</v>
      </c>
      <c r="DC51" s="48" t="n">
        <f aca="false">DC$26*INDEX(Precio_O,6)*INDEX(IdxPrecio_O,1,MIN(10,DC$17))*(1+P_dPrecio)</f>
        <v>0</v>
      </c>
      <c r="DD51" s="48" t="n">
        <f aca="false">DD$26*INDEX(Precio_O,6)*INDEX(IdxPrecio_O,1,MIN(10,DD$17))*(1+P_dPrecio)</f>
        <v>0</v>
      </c>
      <c r="DE51" s="48" t="n">
        <f aca="false">DE$26*INDEX(Precio_O,6)*INDEX(IdxPrecio_O,1,MIN(10,DE$17))*(1+P_dPrecio)</f>
        <v>0</v>
      </c>
      <c r="DF51" s="48" t="n">
        <f aca="false">DF$26*INDEX(Precio_O,6)*INDEX(IdxPrecio_O,1,MIN(10,DF$17))*(1+P_dPrecio)</f>
        <v>0</v>
      </c>
      <c r="DG51" s="48" t="n">
        <f aca="false">DG$26*INDEX(Precio_O,6)*INDEX(IdxPrecio_O,1,MIN(10,DG$17))*(1+P_dPrecio)</f>
        <v>0</v>
      </c>
      <c r="DH51" s="48" t="n">
        <f aca="false">DH$26*INDEX(Precio_O,6)*INDEX(IdxPrecio_O,1,MIN(10,DH$17))*(1+P_dPrecio)</f>
        <v>0</v>
      </c>
      <c r="DI51" s="48" t="n">
        <f aca="false">DI$26*INDEX(Precio_O,6)*INDEX(IdxPrecio_O,1,MIN(10,DI$17))*(1+P_dPrecio)</f>
        <v>0</v>
      </c>
      <c r="DJ51" s="48" t="n">
        <f aca="false">DJ$26*INDEX(Precio_O,6)*INDEX(IdxPrecio_O,1,MIN(10,DJ$17))*(1+P_dPrecio)</f>
        <v>0</v>
      </c>
      <c r="DK51" s="48" t="n">
        <f aca="false">DK$26*INDEX(Precio_O,6)*INDEX(IdxPrecio_O,1,MIN(10,DK$17))*(1+P_dPrecio)</f>
        <v>0</v>
      </c>
      <c r="DL51" s="48" t="n">
        <f aca="false">DL$26*INDEX(Precio_O,6)*INDEX(IdxPrecio_O,1,MIN(10,DL$17))*(1+P_dPrecio)</f>
        <v>0</v>
      </c>
      <c r="DM51" s="48" t="n">
        <f aca="false">DM$26*INDEX(Precio_O,6)*INDEX(IdxPrecio_O,1,MIN(10,DM$17))*(1+P_dPrecio)</f>
        <v>0</v>
      </c>
      <c r="DN51" s="48" t="n">
        <f aca="false">DN$26*INDEX(Precio_O,6)*INDEX(IdxPrecio_O,1,MIN(10,DN$17))*(1+P_dPrecio)</f>
        <v>0</v>
      </c>
      <c r="DO51" s="48" t="n">
        <f aca="false">DO$26*INDEX(Precio_O,6)*INDEX(IdxPrecio_O,1,MIN(10,DO$17))*(1+P_dPrecio)</f>
        <v>0</v>
      </c>
      <c r="DP51" s="48" t="n">
        <f aca="false">DP$26*INDEX(Precio_O,6)*INDEX(IdxPrecio_O,1,MIN(10,DP$17))*(1+P_dPrecio)</f>
        <v>0</v>
      </c>
      <c r="DQ51" s="48" t="n">
        <f aca="false">DQ$26*INDEX(Precio_O,6)*INDEX(IdxPrecio_O,1,MIN(10,DQ$17))*(1+P_dPrecio)</f>
        <v>0</v>
      </c>
      <c r="DR51" s="48" t="n">
        <f aca="false">DR$26*INDEX(Precio_O,6)*INDEX(IdxPrecio_O,1,MIN(10,DR$17))*(1+P_dPrecio)</f>
        <v>0</v>
      </c>
      <c r="DS51" s="48" t="n">
        <f aca="false">DS$26*INDEX(Precio_O,6)*INDEX(IdxPrecio_O,1,MIN(10,DS$17))*(1+P_dPrecio)</f>
        <v>0</v>
      </c>
      <c r="DT51" s="48" t="n">
        <f aca="false">DT$26*INDEX(Precio_O,6)*INDEX(IdxPrecio_O,1,MIN(10,DT$17))*(1+P_dPrecio)</f>
        <v>0</v>
      </c>
      <c r="DU51" s="48" t="n">
        <f aca="false">DU$26*INDEX(Precio_O,6)*INDEX(IdxPrecio_O,1,MIN(10,DU$17))*(1+P_dPrecio)</f>
        <v>0</v>
      </c>
      <c r="DV51" s="48" t="n">
        <f aca="false">DV$26*INDEX(Precio_O,6)*INDEX(IdxPrecio_O,1,MIN(10,DV$17))*(1+P_dPrecio)</f>
        <v>0</v>
      </c>
      <c r="DW51" s="48" t="n">
        <f aca="false">DW$26*INDEX(Precio_O,6)*INDEX(IdxPrecio_O,1,MIN(10,DW$17))*(1+P_dPrecio)</f>
        <v>0</v>
      </c>
      <c r="DX51" s="48" t="n">
        <f aca="false">DX$26*INDEX(Precio_O,6)*INDEX(IdxPrecio_O,1,MIN(10,DX$17))*(1+P_dPrecio)</f>
        <v>0</v>
      </c>
      <c r="DY51" s="48" t="n">
        <f aca="false">DY$26*INDEX(Precio_O,6)*INDEX(IdxPrecio_O,1,MIN(10,DY$17))*(1+P_dPrecio)</f>
        <v>0</v>
      </c>
      <c r="DZ51" s="48" t="n">
        <f aca="false">DZ$26*INDEX(Precio_O,6)*INDEX(IdxPrecio_O,1,MIN(10,DZ$17))*(1+P_dPrecio)</f>
        <v>0</v>
      </c>
      <c r="EA51" s="48" t="n">
        <f aca="false">EA$26*INDEX(Precio_O,6)*INDEX(IdxPrecio_O,1,MIN(10,EA$17))*(1+P_dPrecio)</f>
        <v>0</v>
      </c>
      <c r="EB51" s="48" t="n">
        <f aca="false">EB$26*INDEX(Precio_O,6)*INDEX(IdxPrecio_O,1,MIN(10,EB$17))*(1+P_dPrecio)</f>
        <v>0</v>
      </c>
      <c r="EC51" s="48" t="n">
        <f aca="false">EC$26*INDEX(Precio_O,6)*INDEX(IdxPrecio_O,1,MIN(10,EC$17))*(1+P_dPrecio)</f>
        <v>0</v>
      </c>
      <c r="ED51" s="48" t="n">
        <f aca="false">ED$26*INDEX(Precio_O,6)*INDEX(IdxPrecio_O,1,MIN(10,ED$17))*(1+P_dPrecio)</f>
        <v>0</v>
      </c>
      <c r="EE51" s="48" t="n">
        <f aca="false">EE$26*INDEX(Precio_O,6)*INDEX(IdxPrecio_O,1,MIN(10,EE$17))*(1+P_dPrecio)</f>
        <v>0</v>
      </c>
      <c r="EF51" s="48" t="n">
        <f aca="false">EF$26*INDEX(Precio_O,6)*INDEX(IdxPrecio_O,1,MIN(10,EF$17))*(1+P_dPrecio)</f>
        <v>0</v>
      </c>
      <c r="EG51" s="48" t="n">
        <f aca="false">EG$26*INDEX(Precio_O,6)*INDEX(IdxPrecio_O,1,MIN(10,EG$17))*(1+P_dPrecio)</f>
        <v>0</v>
      </c>
      <c r="EH51" s="48" t="n">
        <f aca="false">EH$26*INDEX(Precio_O,6)*INDEX(IdxPrecio_O,1,MIN(10,EH$17))*(1+P_dPrecio)</f>
        <v>0</v>
      </c>
      <c r="EI51" s="48" t="n">
        <f aca="false">EI$26*INDEX(Precio_O,6)*INDEX(IdxPrecio_O,1,MIN(10,EI$17))*(1+P_dPrecio)</f>
        <v>0</v>
      </c>
      <c r="EJ51" s="48" t="n">
        <f aca="false">EJ$26*INDEX(Precio_O,6)*INDEX(IdxPrecio_O,1,MIN(10,EJ$17))*(1+P_dPrecio)</f>
        <v>0</v>
      </c>
      <c r="EK51" s="48" t="n">
        <f aca="false">EK$26*INDEX(Precio_O,6)*INDEX(IdxPrecio_O,1,MIN(10,EK$17))*(1+P_dPrecio)</f>
        <v>0</v>
      </c>
      <c r="EL51" s="48" t="n">
        <f aca="false">EL$26*INDEX(Precio_O,6)*INDEX(IdxPrecio_O,1,MIN(10,EL$17))*(1+P_dPrecio)</f>
        <v>0</v>
      </c>
      <c r="EM51" s="48" t="n">
        <f aca="false">EM$26*INDEX(Precio_O,6)*INDEX(IdxPrecio_O,1,MIN(10,EM$17))*(1+P_dPrecio)</f>
        <v>0</v>
      </c>
      <c r="EN51" s="48" t="n">
        <f aca="false">EN$26*INDEX(Precio_O,6)*INDEX(IdxPrecio_O,1,MIN(10,EN$17))*(1+P_dPrecio)</f>
        <v>0</v>
      </c>
      <c r="EO51" s="48" t="n">
        <f aca="false">EO$26*INDEX(Precio_O,6)*INDEX(IdxPrecio_O,1,MIN(10,EO$17))*(1+P_dPrecio)</f>
        <v>0</v>
      </c>
      <c r="EP51" s="48" t="n">
        <f aca="false">EP$26*INDEX(Precio_O,6)*INDEX(IdxPrecio_O,1,MIN(10,EP$17))*(1+P_dPrecio)</f>
        <v>0</v>
      </c>
      <c r="EQ51" s="48" t="n">
        <f aca="false">EQ$26*INDEX(Precio_O,6)*INDEX(IdxPrecio_O,1,MIN(10,EQ$17))*(1+P_dPrecio)</f>
        <v>0</v>
      </c>
      <c r="ER51" s="48" t="n">
        <f aca="false">ER$26*INDEX(Precio_O,6)*INDEX(IdxPrecio_O,1,MIN(10,ER$17))*(1+P_dPrecio)</f>
        <v>0</v>
      </c>
      <c r="ES51" s="48" t="n">
        <f aca="false">ES$26*INDEX(Precio_O,6)*INDEX(IdxPrecio_O,1,MIN(10,ES$17))*(1+P_dPrecio)</f>
        <v>0</v>
      </c>
    </row>
    <row r="52" customFormat="false" ht="15" hidden="false" customHeight="false" outlineLevel="0" collapsed="false">
      <c r="A52" s="11" t="s">
        <v>1097</v>
      </c>
      <c r="B52" s="53" t="str">
        <f aca="false">IF(INDEX(Prod_Nombre,7)="","Producto 7",INDEX(Prod_Nombre,7))&amp;" — ventas USD"</f>
        <v>Producto 7 — ventas USD</v>
      </c>
      <c r="C52" s="15" t="s">
        <v>508</v>
      </c>
      <c r="E52" s="54" t="n">
        <f aca="false">SUM(F52:ES52)</f>
        <v>0</v>
      </c>
      <c r="F52" s="48" t="n">
        <f aca="false">F$27*INDEX(Precio_O,7)*INDEX(IdxPrecio_O,1,MIN(10,F$17))*(1+P_dPrecio)</f>
        <v>0</v>
      </c>
      <c r="G52" s="48" t="n">
        <f aca="false">G$27*INDEX(Precio_O,7)*INDEX(IdxPrecio_O,1,MIN(10,G$17))*(1+P_dPrecio)</f>
        <v>0</v>
      </c>
      <c r="H52" s="48" t="n">
        <f aca="false">H$27*INDEX(Precio_O,7)*INDEX(IdxPrecio_O,1,MIN(10,H$17))*(1+P_dPrecio)</f>
        <v>0</v>
      </c>
      <c r="I52" s="48" t="n">
        <f aca="false">I$27*INDEX(Precio_O,7)*INDEX(IdxPrecio_O,1,MIN(10,I$17))*(1+P_dPrecio)</f>
        <v>0</v>
      </c>
      <c r="J52" s="48" t="n">
        <f aca="false">J$27*INDEX(Precio_O,7)*INDEX(IdxPrecio_O,1,MIN(10,J$17))*(1+P_dPrecio)</f>
        <v>0</v>
      </c>
      <c r="K52" s="48" t="n">
        <f aca="false">K$27*INDEX(Precio_O,7)*INDEX(IdxPrecio_O,1,MIN(10,K$17))*(1+P_dPrecio)</f>
        <v>0</v>
      </c>
      <c r="L52" s="48" t="n">
        <f aca="false">L$27*INDEX(Precio_O,7)*INDEX(IdxPrecio_O,1,MIN(10,L$17))*(1+P_dPrecio)</f>
        <v>0</v>
      </c>
      <c r="M52" s="48" t="n">
        <f aca="false">M$27*INDEX(Precio_O,7)*INDEX(IdxPrecio_O,1,MIN(10,M$17))*(1+P_dPrecio)</f>
        <v>0</v>
      </c>
      <c r="N52" s="48" t="n">
        <f aca="false">N$27*INDEX(Precio_O,7)*INDEX(IdxPrecio_O,1,MIN(10,N$17))*(1+P_dPrecio)</f>
        <v>0</v>
      </c>
      <c r="O52" s="48" t="n">
        <f aca="false">O$27*INDEX(Precio_O,7)*INDEX(IdxPrecio_O,1,MIN(10,O$17))*(1+P_dPrecio)</f>
        <v>0</v>
      </c>
      <c r="P52" s="48" t="n">
        <f aca="false">P$27*INDEX(Precio_O,7)*INDEX(IdxPrecio_O,1,MIN(10,P$17))*(1+P_dPrecio)</f>
        <v>0</v>
      </c>
      <c r="Q52" s="48" t="n">
        <f aca="false">Q$27*INDEX(Precio_O,7)*INDEX(IdxPrecio_O,1,MIN(10,Q$17))*(1+P_dPrecio)</f>
        <v>0</v>
      </c>
      <c r="R52" s="48" t="n">
        <f aca="false">R$27*INDEX(Precio_O,7)*INDEX(IdxPrecio_O,1,MIN(10,R$17))*(1+P_dPrecio)</f>
        <v>0</v>
      </c>
      <c r="S52" s="48" t="n">
        <f aca="false">S$27*INDEX(Precio_O,7)*INDEX(IdxPrecio_O,1,MIN(10,S$17))*(1+P_dPrecio)</f>
        <v>0</v>
      </c>
      <c r="T52" s="48" t="n">
        <f aca="false">T$27*INDEX(Precio_O,7)*INDEX(IdxPrecio_O,1,MIN(10,T$17))*(1+P_dPrecio)</f>
        <v>0</v>
      </c>
      <c r="U52" s="48" t="n">
        <f aca="false">U$27*INDEX(Precio_O,7)*INDEX(IdxPrecio_O,1,MIN(10,U$17))*(1+P_dPrecio)</f>
        <v>0</v>
      </c>
      <c r="V52" s="48" t="n">
        <f aca="false">V$27*INDEX(Precio_O,7)*INDEX(IdxPrecio_O,1,MIN(10,V$17))*(1+P_dPrecio)</f>
        <v>0</v>
      </c>
      <c r="W52" s="48" t="n">
        <f aca="false">W$27*INDEX(Precio_O,7)*INDEX(IdxPrecio_O,1,MIN(10,W$17))*(1+P_dPrecio)</f>
        <v>0</v>
      </c>
      <c r="X52" s="48" t="n">
        <f aca="false">X$27*INDEX(Precio_O,7)*INDEX(IdxPrecio_O,1,MIN(10,X$17))*(1+P_dPrecio)</f>
        <v>0</v>
      </c>
      <c r="Y52" s="48" t="n">
        <f aca="false">Y$27*INDEX(Precio_O,7)*INDEX(IdxPrecio_O,1,MIN(10,Y$17))*(1+P_dPrecio)</f>
        <v>0</v>
      </c>
      <c r="Z52" s="48" t="n">
        <f aca="false">Z$27*INDEX(Precio_O,7)*INDEX(IdxPrecio_O,1,MIN(10,Z$17))*(1+P_dPrecio)</f>
        <v>0</v>
      </c>
      <c r="AA52" s="48" t="n">
        <f aca="false">AA$27*INDEX(Precio_O,7)*INDEX(IdxPrecio_O,1,MIN(10,AA$17))*(1+P_dPrecio)</f>
        <v>0</v>
      </c>
      <c r="AB52" s="48" t="n">
        <f aca="false">AB$27*INDEX(Precio_O,7)*INDEX(IdxPrecio_O,1,MIN(10,AB$17))*(1+P_dPrecio)</f>
        <v>0</v>
      </c>
      <c r="AC52" s="48" t="n">
        <f aca="false">AC$27*INDEX(Precio_O,7)*INDEX(IdxPrecio_O,1,MIN(10,AC$17))*(1+P_dPrecio)</f>
        <v>0</v>
      </c>
      <c r="AD52" s="48" t="n">
        <f aca="false">AD$27*INDEX(Precio_O,7)*INDEX(IdxPrecio_O,1,MIN(10,AD$17))*(1+P_dPrecio)</f>
        <v>0</v>
      </c>
      <c r="AE52" s="48" t="n">
        <f aca="false">AE$27*INDEX(Precio_O,7)*INDEX(IdxPrecio_O,1,MIN(10,AE$17))*(1+P_dPrecio)</f>
        <v>0</v>
      </c>
      <c r="AF52" s="48" t="n">
        <f aca="false">AF$27*INDEX(Precio_O,7)*INDEX(IdxPrecio_O,1,MIN(10,AF$17))*(1+P_dPrecio)</f>
        <v>0</v>
      </c>
      <c r="AG52" s="48" t="n">
        <f aca="false">AG$27*INDEX(Precio_O,7)*INDEX(IdxPrecio_O,1,MIN(10,AG$17))*(1+P_dPrecio)</f>
        <v>0</v>
      </c>
      <c r="AH52" s="48" t="n">
        <f aca="false">AH$27*INDEX(Precio_O,7)*INDEX(IdxPrecio_O,1,MIN(10,AH$17))*(1+P_dPrecio)</f>
        <v>0</v>
      </c>
      <c r="AI52" s="48" t="n">
        <f aca="false">AI$27*INDEX(Precio_O,7)*INDEX(IdxPrecio_O,1,MIN(10,AI$17))*(1+P_dPrecio)</f>
        <v>0</v>
      </c>
      <c r="AJ52" s="48" t="n">
        <f aca="false">AJ$27*INDEX(Precio_O,7)*INDEX(IdxPrecio_O,1,MIN(10,AJ$17))*(1+P_dPrecio)</f>
        <v>0</v>
      </c>
      <c r="AK52" s="48" t="n">
        <f aca="false">AK$27*INDEX(Precio_O,7)*INDEX(IdxPrecio_O,1,MIN(10,AK$17))*(1+P_dPrecio)</f>
        <v>0</v>
      </c>
      <c r="AL52" s="48" t="n">
        <f aca="false">AL$27*INDEX(Precio_O,7)*INDEX(IdxPrecio_O,1,MIN(10,AL$17))*(1+P_dPrecio)</f>
        <v>0</v>
      </c>
      <c r="AM52" s="48" t="n">
        <f aca="false">AM$27*INDEX(Precio_O,7)*INDEX(IdxPrecio_O,1,MIN(10,AM$17))*(1+P_dPrecio)</f>
        <v>0</v>
      </c>
      <c r="AN52" s="48" t="n">
        <f aca="false">AN$27*INDEX(Precio_O,7)*INDEX(IdxPrecio_O,1,MIN(10,AN$17))*(1+P_dPrecio)</f>
        <v>0</v>
      </c>
      <c r="AO52" s="48" t="n">
        <f aca="false">AO$27*INDEX(Precio_O,7)*INDEX(IdxPrecio_O,1,MIN(10,AO$17))*(1+P_dPrecio)</f>
        <v>0</v>
      </c>
      <c r="AP52" s="48" t="n">
        <f aca="false">AP$27*INDEX(Precio_O,7)*INDEX(IdxPrecio_O,1,MIN(10,AP$17))*(1+P_dPrecio)</f>
        <v>0</v>
      </c>
      <c r="AQ52" s="48" t="n">
        <f aca="false">AQ$27*INDEX(Precio_O,7)*INDEX(IdxPrecio_O,1,MIN(10,AQ$17))*(1+P_dPrecio)</f>
        <v>0</v>
      </c>
      <c r="AR52" s="48" t="n">
        <f aca="false">AR$27*INDEX(Precio_O,7)*INDEX(IdxPrecio_O,1,MIN(10,AR$17))*(1+P_dPrecio)</f>
        <v>0</v>
      </c>
      <c r="AS52" s="48" t="n">
        <f aca="false">AS$27*INDEX(Precio_O,7)*INDEX(IdxPrecio_O,1,MIN(10,AS$17))*(1+P_dPrecio)</f>
        <v>0</v>
      </c>
      <c r="AT52" s="48" t="n">
        <f aca="false">AT$27*INDEX(Precio_O,7)*INDEX(IdxPrecio_O,1,MIN(10,AT$17))*(1+P_dPrecio)</f>
        <v>0</v>
      </c>
      <c r="AU52" s="48" t="n">
        <f aca="false">AU$27*INDEX(Precio_O,7)*INDEX(IdxPrecio_O,1,MIN(10,AU$17))*(1+P_dPrecio)</f>
        <v>0</v>
      </c>
      <c r="AV52" s="48" t="n">
        <f aca="false">AV$27*INDEX(Precio_O,7)*INDEX(IdxPrecio_O,1,MIN(10,AV$17))*(1+P_dPrecio)</f>
        <v>0</v>
      </c>
      <c r="AW52" s="48" t="n">
        <f aca="false">AW$27*INDEX(Precio_O,7)*INDEX(IdxPrecio_O,1,MIN(10,AW$17))*(1+P_dPrecio)</f>
        <v>0</v>
      </c>
      <c r="AX52" s="48" t="n">
        <f aca="false">AX$27*INDEX(Precio_O,7)*INDEX(IdxPrecio_O,1,MIN(10,AX$17))*(1+P_dPrecio)</f>
        <v>0</v>
      </c>
      <c r="AY52" s="48" t="n">
        <f aca="false">AY$27*INDEX(Precio_O,7)*INDEX(IdxPrecio_O,1,MIN(10,AY$17))*(1+P_dPrecio)</f>
        <v>0</v>
      </c>
      <c r="AZ52" s="48" t="n">
        <f aca="false">AZ$27*INDEX(Precio_O,7)*INDEX(IdxPrecio_O,1,MIN(10,AZ$17))*(1+P_dPrecio)</f>
        <v>0</v>
      </c>
      <c r="BA52" s="48" t="n">
        <f aca="false">BA$27*INDEX(Precio_O,7)*INDEX(IdxPrecio_O,1,MIN(10,BA$17))*(1+P_dPrecio)</f>
        <v>0</v>
      </c>
      <c r="BB52" s="48" t="n">
        <f aca="false">BB$27*INDEX(Precio_O,7)*INDEX(IdxPrecio_O,1,MIN(10,BB$17))*(1+P_dPrecio)</f>
        <v>0</v>
      </c>
      <c r="BC52" s="48" t="n">
        <f aca="false">BC$27*INDEX(Precio_O,7)*INDEX(IdxPrecio_O,1,MIN(10,BC$17))*(1+P_dPrecio)</f>
        <v>0</v>
      </c>
      <c r="BD52" s="48" t="n">
        <f aca="false">BD$27*INDEX(Precio_O,7)*INDEX(IdxPrecio_O,1,MIN(10,BD$17))*(1+P_dPrecio)</f>
        <v>0</v>
      </c>
      <c r="BE52" s="48" t="n">
        <f aca="false">BE$27*INDEX(Precio_O,7)*INDEX(IdxPrecio_O,1,MIN(10,BE$17))*(1+P_dPrecio)</f>
        <v>0</v>
      </c>
      <c r="BF52" s="48" t="n">
        <f aca="false">BF$27*INDEX(Precio_O,7)*INDEX(IdxPrecio_O,1,MIN(10,BF$17))*(1+P_dPrecio)</f>
        <v>0</v>
      </c>
      <c r="BG52" s="48" t="n">
        <f aca="false">BG$27*INDEX(Precio_O,7)*INDEX(IdxPrecio_O,1,MIN(10,BG$17))*(1+P_dPrecio)</f>
        <v>0</v>
      </c>
      <c r="BH52" s="48" t="n">
        <f aca="false">BH$27*INDEX(Precio_O,7)*INDEX(IdxPrecio_O,1,MIN(10,BH$17))*(1+P_dPrecio)</f>
        <v>0</v>
      </c>
      <c r="BI52" s="48" t="n">
        <f aca="false">BI$27*INDEX(Precio_O,7)*INDEX(IdxPrecio_O,1,MIN(10,BI$17))*(1+P_dPrecio)</f>
        <v>0</v>
      </c>
      <c r="BJ52" s="48" t="n">
        <f aca="false">BJ$27*INDEX(Precio_O,7)*INDEX(IdxPrecio_O,1,MIN(10,BJ$17))*(1+P_dPrecio)</f>
        <v>0</v>
      </c>
      <c r="BK52" s="48" t="n">
        <f aca="false">BK$27*INDEX(Precio_O,7)*INDEX(IdxPrecio_O,1,MIN(10,BK$17))*(1+P_dPrecio)</f>
        <v>0</v>
      </c>
      <c r="BL52" s="48" t="n">
        <f aca="false">BL$27*INDEX(Precio_O,7)*INDEX(IdxPrecio_O,1,MIN(10,BL$17))*(1+P_dPrecio)</f>
        <v>0</v>
      </c>
      <c r="BM52" s="48" t="n">
        <f aca="false">BM$27*INDEX(Precio_O,7)*INDEX(IdxPrecio_O,1,MIN(10,BM$17))*(1+P_dPrecio)</f>
        <v>0</v>
      </c>
      <c r="BN52" s="48" t="n">
        <f aca="false">BN$27*INDEX(Precio_O,7)*INDEX(IdxPrecio_O,1,MIN(10,BN$17))*(1+P_dPrecio)</f>
        <v>0</v>
      </c>
      <c r="BO52" s="48" t="n">
        <f aca="false">BO$27*INDEX(Precio_O,7)*INDEX(IdxPrecio_O,1,MIN(10,BO$17))*(1+P_dPrecio)</f>
        <v>0</v>
      </c>
      <c r="BP52" s="48" t="n">
        <f aca="false">BP$27*INDEX(Precio_O,7)*INDEX(IdxPrecio_O,1,MIN(10,BP$17))*(1+P_dPrecio)</f>
        <v>0</v>
      </c>
      <c r="BQ52" s="48" t="n">
        <f aca="false">BQ$27*INDEX(Precio_O,7)*INDEX(IdxPrecio_O,1,MIN(10,BQ$17))*(1+P_dPrecio)</f>
        <v>0</v>
      </c>
      <c r="BR52" s="48" t="n">
        <f aca="false">BR$27*INDEX(Precio_O,7)*INDEX(IdxPrecio_O,1,MIN(10,BR$17))*(1+P_dPrecio)</f>
        <v>0</v>
      </c>
      <c r="BS52" s="48" t="n">
        <f aca="false">BS$27*INDEX(Precio_O,7)*INDEX(IdxPrecio_O,1,MIN(10,BS$17))*(1+P_dPrecio)</f>
        <v>0</v>
      </c>
      <c r="BT52" s="48" t="n">
        <f aca="false">BT$27*INDEX(Precio_O,7)*INDEX(IdxPrecio_O,1,MIN(10,BT$17))*(1+P_dPrecio)</f>
        <v>0</v>
      </c>
      <c r="BU52" s="48" t="n">
        <f aca="false">BU$27*INDEX(Precio_O,7)*INDEX(IdxPrecio_O,1,MIN(10,BU$17))*(1+P_dPrecio)</f>
        <v>0</v>
      </c>
      <c r="BV52" s="48" t="n">
        <f aca="false">BV$27*INDEX(Precio_O,7)*INDEX(IdxPrecio_O,1,MIN(10,BV$17))*(1+P_dPrecio)</f>
        <v>0</v>
      </c>
      <c r="BW52" s="48" t="n">
        <f aca="false">BW$27*INDEX(Precio_O,7)*INDEX(IdxPrecio_O,1,MIN(10,BW$17))*(1+P_dPrecio)</f>
        <v>0</v>
      </c>
      <c r="BX52" s="48" t="n">
        <f aca="false">BX$27*INDEX(Precio_O,7)*INDEX(IdxPrecio_O,1,MIN(10,BX$17))*(1+P_dPrecio)</f>
        <v>0</v>
      </c>
      <c r="BY52" s="48" t="n">
        <f aca="false">BY$27*INDEX(Precio_O,7)*INDEX(IdxPrecio_O,1,MIN(10,BY$17))*(1+P_dPrecio)</f>
        <v>0</v>
      </c>
      <c r="BZ52" s="48" t="n">
        <f aca="false">BZ$27*INDEX(Precio_O,7)*INDEX(IdxPrecio_O,1,MIN(10,BZ$17))*(1+P_dPrecio)</f>
        <v>0</v>
      </c>
      <c r="CA52" s="48" t="n">
        <f aca="false">CA$27*INDEX(Precio_O,7)*INDEX(IdxPrecio_O,1,MIN(10,CA$17))*(1+P_dPrecio)</f>
        <v>0</v>
      </c>
      <c r="CB52" s="48" t="n">
        <f aca="false">CB$27*INDEX(Precio_O,7)*INDEX(IdxPrecio_O,1,MIN(10,CB$17))*(1+P_dPrecio)</f>
        <v>0</v>
      </c>
      <c r="CC52" s="48" t="n">
        <f aca="false">CC$27*INDEX(Precio_O,7)*INDEX(IdxPrecio_O,1,MIN(10,CC$17))*(1+P_dPrecio)</f>
        <v>0</v>
      </c>
      <c r="CD52" s="48" t="n">
        <f aca="false">CD$27*INDEX(Precio_O,7)*INDEX(IdxPrecio_O,1,MIN(10,CD$17))*(1+P_dPrecio)</f>
        <v>0</v>
      </c>
      <c r="CE52" s="48" t="n">
        <f aca="false">CE$27*INDEX(Precio_O,7)*INDEX(IdxPrecio_O,1,MIN(10,CE$17))*(1+P_dPrecio)</f>
        <v>0</v>
      </c>
      <c r="CF52" s="48" t="n">
        <f aca="false">CF$27*INDEX(Precio_O,7)*INDEX(IdxPrecio_O,1,MIN(10,CF$17))*(1+P_dPrecio)</f>
        <v>0</v>
      </c>
      <c r="CG52" s="48" t="n">
        <f aca="false">CG$27*INDEX(Precio_O,7)*INDEX(IdxPrecio_O,1,MIN(10,CG$17))*(1+P_dPrecio)</f>
        <v>0</v>
      </c>
      <c r="CH52" s="48" t="n">
        <f aca="false">CH$27*INDEX(Precio_O,7)*INDEX(IdxPrecio_O,1,MIN(10,CH$17))*(1+P_dPrecio)</f>
        <v>0</v>
      </c>
      <c r="CI52" s="48" t="n">
        <f aca="false">CI$27*INDEX(Precio_O,7)*INDEX(IdxPrecio_O,1,MIN(10,CI$17))*(1+P_dPrecio)</f>
        <v>0</v>
      </c>
      <c r="CJ52" s="48" t="n">
        <f aca="false">CJ$27*INDEX(Precio_O,7)*INDEX(IdxPrecio_O,1,MIN(10,CJ$17))*(1+P_dPrecio)</f>
        <v>0</v>
      </c>
      <c r="CK52" s="48" t="n">
        <f aca="false">CK$27*INDEX(Precio_O,7)*INDEX(IdxPrecio_O,1,MIN(10,CK$17))*(1+P_dPrecio)</f>
        <v>0</v>
      </c>
      <c r="CL52" s="48" t="n">
        <f aca="false">CL$27*INDEX(Precio_O,7)*INDEX(IdxPrecio_O,1,MIN(10,CL$17))*(1+P_dPrecio)</f>
        <v>0</v>
      </c>
      <c r="CM52" s="48" t="n">
        <f aca="false">CM$27*INDEX(Precio_O,7)*INDEX(IdxPrecio_O,1,MIN(10,CM$17))*(1+P_dPrecio)</f>
        <v>0</v>
      </c>
      <c r="CN52" s="48" t="n">
        <f aca="false">CN$27*INDEX(Precio_O,7)*INDEX(IdxPrecio_O,1,MIN(10,CN$17))*(1+P_dPrecio)</f>
        <v>0</v>
      </c>
      <c r="CO52" s="48" t="n">
        <f aca="false">CO$27*INDEX(Precio_O,7)*INDEX(IdxPrecio_O,1,MIN(10,CO$17))*(1+P_dPrecio)</f>
        <v>0</v>
      </c>
      <c r="CP52" s="48" t="n">
        <f aca="false">CP$27*INDEX(Precio_O,7)*INDEX(IdxPrecio_O,1,MIN(10,CP$17))*(1+P_dPrecio)</f>
        <v>0</v>
      </c>
      <c r="CQ52" s="48" t="n">
        <f aca="false">CQ$27*INDEX(Precio_O,7)*INDEX(IdxPrecio_O,1,MIN(10,CQ$17))*(1+P_dPrecio)</f>
        <v>0</v>
      </c>
      <c r="CR52" s="48" t="n">
        <f aca="false">CR$27*INDEX(Precio_O,7)*INDEX(IdxPrecio_O,1,MIN(10,CR$17))*(1+P_dPrecio)</f>
        <v>0</v>
      </c>
      <c r="CS52" s="48" t="n">
        <f aca="false">CS$27*INDEX(Precio_O,7)*INDEX(IdxPrecio_O,1,MIN(10,CS$17))*(1+P_dPrecio)</f>
        <v>0</v>
      </c>
      <c r="CT52" s="48" t="n">
        <f aca="false">CT$27*INDEX(Precio_O,7)*INDEX(IdxPrecio_O,1,MIN(10,CT$17))*(1+P_dPrecio)</f>
        <v>0</v>
      </c>
      <c r="CU52" s="48" t="n">
        <f aca="false">CU$27*INDEX(Precio_O,7)*INDEX(IdxPrecio_O,1,MIN(10,CU$17))*(1+P_dPrecio)</f>
        <v>0</v>
      </c>
      <c r="CV52" s="48" t="n">
        <f aca="false">CV$27*INDEX(Precio_O,7)*INDEX(IdxPrecio_O,1,MIN(10,CV$17))*(1+P_dPrecio)</f>
        <v>0</v>
      </c>
      <c r="CW52" s="48" t="n">
        <f aca="false">CW$27*INDEX(Precio_O,7)*INDEX(IdxPrecio_O,1,MIN(10,CW$17))*(1+P_dPrecio)</f>
        <v>0</v>
      </c>
      <c r="CX52" s="48" t="n">
        <f aca="false">CX$27*INDEX(Precio_O,7)*INDEX(IdxPrecio_O,1,MIN(10,CX$17))*(1+P_dPrecio)</f>
        <v>0</v>
      </c>
      <c r="CY52" s="48" t="n">
        <f aca="false">CY$27*INDEX(Precio_O,7)*INDEX(IdxPrecio_O,1,MIN(10,CY$17))*(1+P_dPrecio)</f>
        <v>0</v>
      </c>
      <c r="CZ52" s="48" t="n">
        <f aca="false">CZ$27*INDEX(Precio_O,7)*INDEX(IdxPrecio_O,1,MIN(10,CZ$17))*(1+P_dPrecio)</f>
        <v>0</v>
      </c>
      <c r="DA52" s="48" t="n">
        <f aca="false">DA$27*INDEX(Precio_O,7)*INDEX(IdxPrecio_O,1,MIN(10,DA$17))*(1+P_dPrecio)</f>
        <v>0</v>
      </c>
      <c r="DB52" s="48" t="n">
        <f aca="false">DB$27*INDEX(Precio_O,7)*INDEX(IdxPrecio_O,1,MIN(10,DB$17))*(1+P_dPrecio)</f>
        <v>0</v>
      </c>
      <c r="DC52" s="48" t="n">
        <f aca="false">DC$27*INDEX(Precio_O,7)*INDEX(IdxPrecio_O,1,MIN(10,DC$17))*(1+P_dPrecio)</f>
        <v>0</v>
      </c>
      <c r="DD52" s="48" t="n">
        <f aca="false">DD$27*INDEX(Precio_O,7)*INDEX(IdxPrecio_O,1,MIN(10,DD$17))*(1+P_dPrecio)</f>
        <v>0</v>
      </c>
      <c r="DE52" s="48" t="n">
        <f aca="false">DE$27*INDEX(Precio_O,7)*INDEX(IdxPrecio_O,1,MIN(10,DE$17))*(1+P_dPrecio)</f>
        <v>0</v>
      </c>
      <c r="DF52" s="48" t="n">
        <f aca="false">DF$27*INDEX(Precio_O,7)*INDEX(IdxPrecio_O,1,MIN(10,DF$17))*(1+P_dPrecio)</f>
        <v>0</v>
      </c>
      <c r="DG52" s="48" t="n">
        <f aca="false">DG$27*INDEX(Precio_O,7)*INDEX(IdxPrecio_O,1,MIN(10,DG$17))*(1+P_dPrecio)</f>
        <v>0</v>
      </c>
      <c r="DH52" s="48" t="n">
        <f aca="false">DH$27*INDEX(Precio_O,7)*INDEX(IdxPrecio_O,1,MIN(10,DH$17))*(1+P_dPrecio)</f>
        <v>0</v>
      </c>
      <c r="DI52" s="48" t="n">
        <f aca="false">DI$27*INDEX(Precio_O,7)*INDEX(IdxPrecio_O,1,MIN(10,DI$17))*(1+P_dPrecio)</f>
        <v>0</v>
      </c>
      <c r="DJ52" s="48" t="n">
        <f aca="false">DJ$27*INDEX(Precio_O,7)*INDEX(IdxPrecio_O,1,MIN(10,DJ$17))*(1+P_dPrecio)</f>
        <v>0</v>
      </c>
      <c r="DK52" s="48" t="n">
        <f aca="false">DK$27*INDEX(Precio_O,7)*INDEX(IdxPrecio_O,1,MIN(10,DK$17))*(1+P_dPrecio)</f>
        <v>0</v>
      </c>
      <c r="DL52" s="48" t="n">
        <f aca="false">DL$27*INDEX(Precio_O,7)*INDEX(IdxPrecio_O,1,MIN(10,DL$17))*(1+P_dPrecio)</f>
        <v>0</v>
      </c>
      <c r="DM52" s="48" t="n">
        <f aca="false">DM$27*INDEX(Precio_O,7)*INDEX(IdxPrecio_O,1,MIN(10,DM$17))*(1+P_dPrecio)</f>
        <v>0</v>
      </c>
      <c r="DN52" s="48" t="n">
        <f aca="false">DN$27*INDEX(Precio_O,7)*INDEX(IdxPrecio_O,1,MIN(10,DN$17))*(1+P_dPrecio)</f>
        <v>0</v>
      </c>
      <c r="DO52" s="48" t="n">
        <f aca="false">DO$27*INDEX(Precio_O,7)*INDEX(IdxPrecio_O,1,MIN(10,DO$17))*(1+P_dPrecio)</f>
        <v>0</v>
      </c>
      <c r="DP52" s="48" t="n">
        <f aca="false">DP$27*INDEX(Precio_O,7)*INDEX(IdxPrecio_O,1,MIN(10,DP$17))*(1+P_dPrecio)</f>
        <v>0</v>
      </c>
      <c r="DQ52" s="48" t="n">
        <f aca="false">DQ$27*INDEX(Precio_O,7)*INDEX(IdxPrecio_O,1,MIN(10,DQ$17))*(1+P_dPrecio)</f>
        <v>0</v>
      </c>
      <c r="DR52" s="48" t="n">
        <f aca="false">DR$27*INDEX(Precio_O,7)*INDEX(IdxPrecio_O,1,MIN(10,DR$17))*(1+P_dPrecio)</f>
        <v>0</v>
      </c>
      <c r="DS52" s="48" t="n">
        <f aca="false">DS$27*INDEX(Precio_O,7)*INDEX(IdxPrecio_O,1,MIN(10,DS$17))*(1+P_dPrecio)</f>
        <v>0</v>
      </c>
      <c r="DT52" s="48" t="n">
        <f aca="false">DT$27*INDEX(Precio_O,7)*INDEX(IdxPrecio_O,1,MIN(10,DT$17))*(1+P_dPrecio)</f>
        <v>0</v>
      </c>
      <c r="DU52" s="48" t="n">
        <f aca="false">DU$27*INDEX(Precio_O,7)*INDEX(IdxPrecio_O,1,MIN(10,DU$17))*(1+P_dPrecio)</f>
        <v>0</v>
      </c>
      <c r="DV52" s="48" t="n">
        <f aca="false">DV$27*INDEX(Precio_O,7)*INDEX(IdxPrecio_O,1,MIN(10,DV$17))*(1+P_dPrecio)</f>
        <v>0</v>
      </c>
      <c r="DW52" s="48" t="n">
        <f aca="false">DW$27*INDEX(Precio_O,7)*INDEX(IdxPrecio_O,1,MIN(10,DW$17))*(1+P_dPrecio)</f>
        <v>0</v>
      </c>
      <c r="DX52" s="48" t="n">
        <f aca="false">DX$27*INDEX(Precio_O,7)*INDEX(IdxPrecio_O,1,MIN(10,DX$17))*(1+P_dPrecio)</f>
        <v>0</v>
      </c>
      <c r="DY52" s="48" t="n">
        <f aca="false">DY$27*INDEX(Precio_O,7)*INDEX(IdxPrecio_O,1,MIN(10,DY$17))*(1+P_dPrecio)</f>
        <v>0</v>
      </c>
      <c r="DZ52" s="48" t="n">
        <f aca="false">DZ$27*INDEX(Precio_O,7)*INDEX(IdxPrecio_O,1,MIN(10,DZ$17))*(1+P_dPrecio)</f>
        <v>0</v>
      </c>
      <c r="EA52" s="48" t="n">
        <f aca="false">EA$27*INDEX(Precio_O,7)*INDEX(IdxPrecio_O,1,MIN(10,EA$17))*(1+P_dPrecio)</f>
        <v>0</v>
      </c>
      <c r="EB52" s="48" t="n">
        <f aca="false">EB$27*INDEX(Precio_O,7)*INDEX(IdxPrecio_O,1,MIN(10,EB$17))*(1+P_dPrecio)</f>
        <v>0</v>
      </c>
      <c r="EC52" s="48" t="n">
        <f aca="false">EC$27*INDEX(Precio_O,7)*INDEX(IdxPrecio_O,1,MIN(10,EC$17))*(1+P_dPrecio)</f>
        <v>0</v>
      </c>
      <c r="ED52" s="48" t="n">
        <f aca="false">ED$27*INDEX(Precio_O,7)*INDEX(IdxPrecio_O,1,MIN(10,ED$17))*(1+P_dPrecio)</f>
        <v>0</v>
      </c>
      <c r="EE52" s="48" t="n">
        <f aca="false">EE$27*INDEX(Precio_O,7)*INDEX(IdxPrecio_O,1,MIN(10,EE$17))*(1+P_dPrecio)</f>
        <v>0</v>
      </c>
      <c r="EF52" s="48" t="n">
        <f aca="false">EF$27*INDEX(Precio_O,7)*INDEX(IdxPrecio_O,1,MIN(10,EF$17))*(1+P_dPrecio)</f>
        <v>0</v>
      </c>
      <c r="EG52" s="48" t="n">
        <f aca="false">EG$27*INDEX(Precio_O,7)*INDEX(IdxPrecio_O,1,MIN(10,EG$17))*(1+P_dPrecio)</f>
        <v>0</v>
      </c>
      <c r="EH52" s="48" t="n">
        <f aca="false">EH$27*INDEX(Precio_O,7)*INDEX(IdxPrecio_O,1,MIN(10,EH$17))*(1+P_dPrecio)</f>
        <v>0</v>
      </c>
      <c r="EI52" s="48" t="n">
        <f aca="false">EI$27*INDEX(Precio_O,7)*INDEX(IdxPrecio_O,1,MIN(10,EI$17))*(1+P_dPrecio)</f>
        <v>0</v>
      </c>
      <c r="EJ52" s="48" t="n">
        <f aca="false">EJ$27*INDEX(Precio_O,7)*INDEX(IdxPrecio_O,1,MIN(10,EJ$17))*(1+P_dPrecio)</f>
        <v>0</v>
      </c>
      <c r="EK52" s="48" t="n">
        <f aca="false">EK$27*INDEX(Precio_O,7)*INDEX(IdxPrecio_O,1,MIN(10,EK$17))*(1+P_dPrecio)</f>
        <v>0</v>
      </c>
      <c r="EL52" s="48" t="n">
        <f aca="false">EL$27*INDEX(Precio_O,7)*INDEX(IdxPrecio_O,1,MIN(10,EL$17))*(1+P_dPrecio)</f>
        <v>0</v>
      </c>
      <c r="EM52" s="48" t="n">
        <f aca="false">EM$27*INDEX(Precio_O,7)*INDEX(IdxPrecio_O,1,MIN(10,EM$17))*(1+P_dPrecio)</f>
        <v>0</v>
      </c>
      <c r="EN52" s="48" t="n">
        <f aca="false">EN$27*INDEX(Precio_O,7)*INDEX(IdxPrecio_O,1,MIN(10,EN$17))*(1+P_dPrecio)</f>
        <v>0</v>
      </c>
      <c r="EO52" s="48" t="n">
        <f aca="false">EO$27*INDEX(Precio_O,7)*INDEX(IdxPrecio_O,1,MIN(10,EO$17))*(1+P_dPrecio)</f>
        <v>0</v>
      </c>
      <c r="EP52" s="48" t="n">
        <f aca="false">EP$27*INDEX(Precio_O,7)*INDEX(IdxPrecio_O,1,MIN(10,EP$17))*(1+P_dPrecio)</f>
        <v>0</v>
      </c>
      <c r="EQ52" s="48" t="n">
        <f aca="false">EQ$27*INDEX(Precio_O,7)*INDEX(IdxPrecio_O,1,MIN(10,EQ$17))*(1+P_dPrecio)</f>
        <v>0</v>
      </c>
      <c r="ER52" s="48" t="n">
        <f aca="false">ER$27*INDEX(Precio_O,7)*INDEX(IdxPrecio_O,1,MIN(10,ER$17))*(1+P_dPrecio)</f>
        <v>0</v>
      </c>
      <c r="ES52" s="48" t="n">
        <f aca="false">ES$27*INDEX(Precio_O,7)*INDEX(IdxPrecio_O,1,MIN(10,ES$17))*(1+P_dPrecio)</f>
        <v>0</v>
      </c>
    </row>
    <row r="53" customFormat="false" ht="15" hidden="false" customHeight="false" outlineLevel="0" collapsed="false">
      <c r="A53" s="11" t="s">
        <v>1098</v>
      </c>
      <c r="B53" s="53" t="str">
        <f aca="false">IF(INDEX(Prod_Nombre,8)="","Producto 8",INDEX(Prod_Nombre,8))&amp;" — ventas USD"</f>
        <v>Producto 8 — ventas USD</v>
      </c>
      <c r="C53" s="15" t="s">
        <v>508</v>
      </c>
      <c r="E53" s="54" t="n">
        <f aca="false">SUM(F53:ES53)</f>
        <v>0</v>
      </c>
      <c r="F53" s="48" t="n">
        <f aca="false">F$28*INDEX(Precio_O,8)*INDEX(IdxPrecio_O,1,MIN(10,F$17))*(1+P_dPrecio)</f>
        <v>0</v>
      </c>
      <c r="G53" s="48" t="n">
        <f aca="false">G$28*INDEX(Precio_O,8)*INDEX(IdxPrecio_O,1,MIN(10,G$17))*(1+P_dPrecio)</f>
        <v>0</v>
      </c>
      <c r="H53" s="48" t="n">
        <f aca="false">H$28*INDEX(Precio_O,8)*INDEX(IdxPrecio_O,1,MIN(10,H$17))*(1+P_dPrecio)</f>
        <v>0</v>
      </c>
      <c r="I53" s="48" t="n">
        <f aca="false">I$28*INDEX(Precio_O,8)*INDEX(IdxPrecio_O,1,MIN(10,I$17))*(1+P_dPrecio)</f>
        <v>0</v>
      </c>
      <c r="J53" s="48" t="n">
        <f aca="false">J$28*INDEX(Precio_O,8)*INDEX(IdxPrecio_O,1,MIN(10,J$17))*(1+P_dPrecio)</f>
        <v>0</v>
      </c>
      <c r="K53" s="48" t="n">
        <f aca="false">K$28*INDEX(Precio_O,8)*INDEX(IdxPrecio_O,1,MIN(10,K$17))*(1+P_dPrecio)</f>
        <v>0</v>
      </c>
      <c r="L53" s="48" t="n">
        <f aca="false">L$28*INDEX(Precio_O,8)*INDEX(IdxPrecio_O,1,MIN(10,L$17))*(1+P_dPrecio)</f>
        <v>0</v>
      </c>
      <c r="M53" s="48" t="n">
        <f aca="false">M$28*INDEX(Precio_O,8)*INDEX(IdxPrecio_O,1,MIN(10,M$17))*(1+P_dPrecio)</f>
        <v>0</v>
      </c>
      <c r="N53" s="48" t="n">
        <f aca="false">N$28*INDEX(Precio_O,8)*INDEX(IdxPrecio_O,1,MIN(10,N$17))*(1+P_dPrecio)</f>
        <v>0</v>
      </c>
      <c r="O53" s="48" t="n">
        <f aca="false">O$28*INDEX(Precio_O,8)*INDEX(IdxPrecio_O,1,MIN(10,O$17))*(1+P_dPrecio)</f>
        <v>0</v>
      </c>
      <c r="P53" s="48" t="n">
        <f aca="false">P$28*INDEX(Precio_O,8)*INDEX(IdxPrecio_O,1,MIN(10,P$17))*(1+P_dPrecio)</f>
        <v>0</v>
      </c>
      <c r="Q53" s="48" t="n">
        <f aca="false">Q$28*INDEX(Precio_O,8)*INDEX(IdxPrecio_O,1,MIN(10,Q$17))*(1+P_dPrecio)</f>
        <v>0</v>
      </c>
      <c r="R53" s="48" t="n">
        <f aca="false">R$28*INDEX(Precio_O,8)*INDEX(IdxPrecio_O,1,MIN(10,R$17))*(1+P_dPrecio)</f>
        <v>0</v>
      </c>
      <c r="S53" s="48" t="n">
        <f aca="false">S$28*INDEX(Precio_O,8)*INDEX(IdxPrecio_O,1,MIN(10,S$17))*(1+P_dPrecio)</f>
        <v>0</v>
      </c>
      <c r="T53" s="48" t="n">
        <f aca="false">T$28*INDEX(Precio_O,8)*INDEX(IdxPrecio_O,1,MIN(10,T$17))*(1+P_dPrecio)</f>
        <v>0</v>
      </c>
      <c r="U53" s="48" t="n">
        <f aca="false">U$28*INDEX(Precio_O,8)*INDEX(IdxPrecio_O,1,MIN(10,U$17))*(1+P_dPrecio)</f>
        <v>0</v>
      </c>
      <c r="V53" s="48" t="n">
        <f aca="false">V$28*INDEX(Precio_O,8)*INDEX(IdxPrecio_O,1,MIN(10,V$17))*(1+P_dPrecio)</f>
        <v>0</v>
      </c>
      <c r="W53" s="48" t="n">
        <f aca="false">W$28*INDEX(Precio_O,8)*INDEX(IdxPrecio_O,1,MIN(10,W$17))*(1+P_dPrecio)</f>
        <v>0</v>
      </c>
      <c r="X53" s="48" t="n">
        <f aca="false">X$28*INDEX(Precio_O,8)*INDEX(IdxPrecio_O,1,MIN(10,X$17))*(1+P_dPrecio)</f>
        <v>0</v>
      </c>
      <c r="Y53" s="48" t="n">
        <f aca="false">Y$28*INDEX(Precio_O,8)*INDEX(IdxPrecio_O,1,MIN(10,Y$17))*(1+P_dPrecio)</f>
        <v>0</v>
      </c>
      <c r="Z53" s="48" t="n">
        <f aca="false">Z$28*INDEX(Precio_O,8)*INDEX(IdxPrecio_O,1,MIN(10,Z$17))*(1+P_dPrecio)</f>
        <v>0</v>
      </c>
      <c r="AA53" s="48" t="n">
        <f aca="false">AA$28*INDEX(Precio_O,8)*INDEX(IdxPrecio_O,1,MIN(10,AA$17))*(1+P_dPrecio)</f>
        <v>0</v>
      </c>
      <c r="AB53" s="48" t="n">
        <f aca="false">AB$28*INDEX(Precio_O,8)*INDEX(IdxPrecio_O,1,MIN(10,AB$17))*(1+P_dPrecio)</f>
        <v>0</v>
      </c>
      <c r="AC53" s="48" t="n">
        <f aca="false">AC$28*INDEX(Precio_O,8)*INDEX(IdxPrecio_O,1,MIN(10,AC$17))*(1+P_dPrecio)</f>
        <v>0</v>
      </c>
      <c r="AD53" s="48" t="n">
        <f aca="false">AD$28*INDEX(Precio_O,8)*INDEX(IdxPrecio_O,1,MIN(10,AD$17))*(1+P_dPrecio)</f>
        <v>0</v>
      </c>
      <c r="AE53" s="48" t="n">
        <f aca="false">AE$28*INDEX(Precio_O,8)*INDEX(IdxPrecio_O,1,MIN(10,AE$17))*(1+P_dPrecio)</f>
        <v>0</v>
      </c>
      <c r="AF53" s="48" t="n">
        <f aca="false">AF$28*INDEX(Precio_O,8)*INDEX(IdxPrecio_O,1,MIN(10,AF$17))*(1+P_dPrecio)</f>
        <v>0</v>
      </c>
      <c r="AG53" s="48" t="n">
        <f aca="false">AG$28*INDEX(Precio_O,8)*INDEX(IdxPrecio_O,1,MIN(10,AG$17))*(1+P_dPrecio)</f>
        <v>0</v>
      </c>
      <c r="AH53" s="48" t="n">
        <f aca="false">AH$28*INDEX(Precio_O,8)*INDEX(IdxPrecio_O,1,MIN(10,AH$17))*(1+P_dPrecio)</f>
        <v>0</v>
      </c>
      <c r="AI53" s="48" t="n">
        <f aca="false">AI$28*INDEX(Precio_O,8)*INDEX(IdxPrecio_O,1,MIN(10,AI$17))*(1+P_dPrecio)</f>
        <v>0</v>
      </c>
      <c r="AJ53" s="48" t="n">
        <f aca="false">AJ$28*INDEX(Precio_O,8)*INDEX(IdxPrecio_O,1,MIN(10,AJ$17))*(1+P_dPrecio)</f>
        <v>0</v>
      </c>
      <c r="AK53" s="48" t="n">
        <f aca="false">AK$28*INDEX(Precio_O,8)*INDEX(IdxPrecio_O,1,MIN(10,AK$17))*(1+P_dPrecio)</f>
        <v>0</v>
      </c>
      <c r="AL53" s="48" t="n">
        <f aca="false">AL$28*INDEX(Precio_O,8)*INDEX(IdxPrecio_O,1,MIN(10,AL$17))*(1+P_dPrecio)</f>
        <v>0</v>
      </c>
      <c r="AM53" s="48" t="n">
        <f aca="false">AM$28*INDEX(Precio_O,8)*INDEX(IdxPrecio_O,1,MIN(10,AM$17))*(1+P_dPrecio)</f>
        <v>0</v>
      </c>
      <c r="AN53" s="48" t="n">
        <f aca="false">AN$28*INDEX(Precio_O,8)*INDEX(IdxPrecio_O,1,MIN(10,AN$17))*(1+P_dPrecio)</f>
        <v>0</v>
      </c>
      <c r="AO53" s="48" t="n">
        <f aca="false">AO$28*INDEX(Precio_O,8)*INDEX(IdxPrecio_O,1,MIN(10,AO$17))*(1+P_dPrecio)</f>
        <v>0</v>
      </c>
      <c r="AP53" s="48" t="n">
        <f aca="false">AP$28*INDEX(Precio_O,8)*INDEX(IdxPrecio_O,1,MIN(10,AP$17))*(1+P_dPrecio)</f>
        <v>0</v>
      </c>
      <c r="AQ53" s="48" t="n">
        <f aca="false">AQ$28*INDEX(Precio_O,8)*INDEX(IdxPrecio_O,1,MIN(10,AQ$17))*(1+P_dPrecio)</f>
        <v>0</v>
      </c>
      <c r="AR53" s="48" t="n">
        <f aca="false">AR$28*INDEX(Precio_O,8)*INDEX(IdxPrecio_O,1,MIN(10,AR$17))*(1+P_dPrecio)</f>
        <v>0</v>
      </c>
      <c r="AS53" s="48" t="n">
        <f aca="false">AS$28*INDEX(Precio_O,8)*INDEX(IdxPrecio_O,1,MIN(10,AS$17))*(1+P_dPrecio)</f>
        <v>0</v>
      </c>
      <c r="AT53" s="48" t="n">
        <f aca="false">AT$28*INDEX(Precio_O,8)*INDEX(IdxPrecio_O,1,MIN(10,AT$17))*(1+P_dPrecio)</f>
        <v>0</v>
      </c>
      <c r="AU53" s="48" t="n">
        <f aca="false">AU$28*INDEX(Precio_O,8)*INDEX(IdxPrecio_O,1,MIN(10,AU$17))*(1+P_dPrecio)</f>
        <v>0</v>
      </c>
      <c r="AV53" s="48" t="n">
        <f aca="false">AV$28*INDEX(Precio_O,8)*INDEX(IdxPrecio_O,1,MIN(10,AV$17))*(1+P_dPrecio)</f>
        <v>0</v>
      </c>
      <c r="AW53" s="48" t="n">
        <f aca="false">AW$28*INDEX(Precio_O,8)*INDEX(IdxPrecio_O,1,MIN(10,AW$17))*(1+P_dPrecio)</f>
        <v>0</v>
      </c>
      <c r="AX53" s="48" t="n">
        <f aca="false">AX$28*INDEX(Precio_O,8)*INDEX(IdxPrecio_O,1,MIN(10,AX$17))*(1+P_dPrecio)</f>
        <v>0</v>
      </c>
      <c r="AY53" s="48" t="n">
        <f aca="false">AY$28*INDEX(Precio_O,8)*INDEX(IdxPrecio_O,1,MIN(10,AY$17))*(1+P_dPrecio)</f>
        <v>0</v>
      </c>
      <c r="AZ53" s="48" t="n">
        <f aca="false">AZ$28*INDEX(Precio_O,8)*INDEX(IdxPrecio_O,1,MIN(10,AZ$17))*(1+P_dPrecio)</f>
        <v>0</v>
      </c>
      <c r="BA53" s="48" t="n">
        <f aca="false">BA$28*INDEX(Precio_O,8)*INDEX(IdxPrecio_O,1,MIN(10,BA$17))*(1+P_dPrecio)</f>
        <v>0</v>
      </c>
      <c r="BB53" s="48" t="n">
        <f aca="false">BB$28*INDEX(Precio_O,8)*INDEX(IdxPrecio_O,1,MIN(10,BB$17))*(1+P_dPrecio)</f>
        <v>0</v>
      </c>
      <c r="BC53" s="48" t="n">
        <f aca="false">BC$28*INDEX(Precio_O,8)*INDEX(IdxPrecio_O,1,MIN(10,BC$17))*(1+P_dPrecio)</f>
        <v>0</v>
      </c>
      <c r="BD53" s="48" t="n">
        <f aca="false">BD$28*INDEX(Precio_O,8)*INDEX(IdxPrecio_O,1,MIN(10,BD$17))*(1+P_dPrecio)</f>
        <v>0</v>
      </c>
      <c r="BE53" s="48" t="n">
        <f aca="false">BE$28*INDEX(Precio_O,8)*INDEX(IdxPrecio_O,1,MIN(10,BE$17))*(1+P_dPrecio)</f>
        <v>0</v>
      </c>
      <c r="BF53" s="48" t="n">
        <f aca="false">BF$28*INDEX(Precio_O,8)*INDEX(IdxPrecio_O,1,MIN(10,BF$17))*(1+P_dPrecio)</f>
        <v>0</v>
      </c>
      <c r="BG53" s="48" t="n">
        <f aca="false">BG$28*INDEX(Precio_O,8)*INDEX(IdxPrecio_O,1,MIN(10,BG$17))*(1+P_dPrecio)</f>
        <v>0</v>
      </c>
      <c r="BH53" s="48" t="n">
        <f aca="false">BH$28*INDEX(Precio_O,8)*INDEX(IdxPrecio_O,1,MIN(10,BH$17))*(1+P_dPrecio)</f>
        <v>0</v>
      </c>
      <c r="BI53" s="48" t="n">
        <f aca="false">BI$28*INDEX(Precio_O,8)*INDEX(IdxPrecio_O,1,MIN(10,BI$17))*(1+P_dPrecio)</f>
        <v>0</v>
      </c>
      <c r="BJ53" s="48" t="n">
        <f aca="false">BJ$28*INDEX(Precio_O,8)*INDEX(IdxPrecio_O,1,MIN(10,BJ$17))*(1+P_dPrecio)</f>
        <v>0</v>
      </c>
      <c r="BK53" s="48" t="n">
        <f aca="false">BK$28*INDEX(Precio_O,8)*INDEX(IdxPrecio_O,1,MIN(10,BK$17))*(1+P_dPrecio)</f>
        <v>0</v>
      </c>
      <c r="BL53" s="48" t="n">
        <f aca="false">BL$28*INDEX(Precio_O,8)*INDEX(IdxPrecio_O,1,MIN(10,BL$17))*(1+P_dPrecio)</f>
        <v>0</v>
      </c>
      <c r="BM53" s="48" t="n">
        <f aca="false">BM$28*INDEX(Precio_O,8)*INDEX(IdxPrecio_O,1,MIN(10,BM$17))*(1+P_dPrecio)</f>
        <v>0</v>
      </c>
      <c r="BN53" s="48" t="n">
        <f aca="false">BN$28*INDEX(Precio_O,8)*INDEX(IdxPrecio_O,1,MIN(10,BN$17))*(1+P_dPrecio)</f>
        <v>0</v>
      </c>
      <c r="BO53" s="48" t="n">
        <f aca="false">BO$28*INDEX(Precio_O,8)*INDEX(IdxPrecio_O,1,MIN(10,BO$17))*(1+P_dPrecio)</f>
        <v>0</v>
      </c>
      <c r="BP53" s="48" t="n">
        <f aca="false">BP$28*INDEX(Precio_O,8)*INDEX(IdxPrecio_O,1,MIN(10,BP$17))*(1+P_dPrecio)</f>
        <v>0</v>
      </c>
      <c r="BQ53" s="48" t="n">
        <f aca="false">BQ$28*INDEX(Precio_O,8)*INDEX(IdxPrecio_O,1,MIN(10,BQ$17))*(1+P_dPrecio)</f>
        <v>0</v>
      </c>
      <c r="BR53" s="48" t="n">
        <f aca="false">BR$28*INDEX(Precio_O,8)*INDEX(IdxPrecio_O,1,MIN(10,BR$17))*(1+P_dPrecio)</f>
        <v>0</v>
      </c>
      <c r="BS53" s="48" t="n">
        <f aca="false">BS$28*INDEX(Precio_O,8)*INDEX(IdxPrecio_O,1,MIN(10,BS$17))*(1+P_dPrecio)</f>
        <v>0</v>
      </c>
      <c r="BT53" s="48" t="n">
        <f aca="false">BT$28*INDEX(Precio_O,8)*INDEX(IdxPrecio_O,1,MIN(10,BT$17))*(1+P_dPrecio)</f>
        <v>0</v>
      </c>
      <c r="BU53" s="48" t="n">
        <f aca="false">BU$28*INDEX(Precio_O,8)*INDEX(IdxPrecio_O,1,MIN(10,BU$17))*(1+P_dPrecio)</f>
        <v>0</v>
      </c>
      <c r="BV53" s="48" t="n">
        <f aca="false">BV$28*INDEX(Precio_O,8)*INDEX(IdxPrecio_O,1,MIN(10,BV$17))*(1+P_dPrecio)</f>
        <v>0</v>
      </c>
      <c r="BW53" s="48" t="n">
        <f aca="false">BW$28*INDEX(Precio_O,8)*INDEX(IdxPrecio_O,1,MIN(10,BW$17))*(1+P_dPrecio)</f>
        <v>0</v>
      </c>
      <c r="BX53" s="48" t="n">
        <f aca="false">BX$28*INDEX(Precio_O,8)*INDEX(IdxPrecio_O,1,MIN(10,BX$17))*(1+P_dPrecio)</f>
        <v>0</v>
      </c>
      <c r="BY53" s="48" t="n">
        <f aca="false">BY$28*INDEX(Precio_O,8)*INDEX(IdxPrecio_O,1,MIN(10,BY$17))*(1+P_dPrecio)</f>
        <v>0</v>
      </c>
      <c r="BZ53" s="48" t="n">
        <f aca="false">BZ$28*INDEX(Precio_O,8)*INDEX(IdxPrecio_O,1,MIN(10,BZ$17))*(1+P_dPrecio)</f>
        <v>0</v>
      </c>
      <c r="CA53" s="48" t="n">
        <f aca="false">CA$28*INDEX(Precio_O,8)*INDEX(IdxPrecio_O,1,MIN(10,CA$17))*(1+P_dPrecio)</f>
        <v>0</v>
      </c>
      <c r="CB53" s="48" t="n">
        <f aca="false">CB$28*INDEX(Precio_O,8)*INDEX(IdxPrecio_O,1,MIN(10,CB$17))*(1+P_dPrecio)</f>
        <v>0</v>
      </c>
      <c r="CC53" s="48" t="n">
        <f aca="false">CC$28*INDEX(Precio_O,8)*INDEX(IdxPrecio_O,1,MIN(10,CC$17))*(1+P_dPrecio)</f>
        <v>0</v>
      </c>
      <c r="CD53" s="48" t="n">
        <f aca="false">CD$28*INDEX(Precio_O,8)*INDEX(IdxPrecio_O,1,MIN(10,CD$17))*(1+P_dPrecio)</f>
        <v>0</v>
      </c>
      <c r="CE53" s="48" t="n">
        <f aca="false">CE$28*INDEX(Precio_O,8)*INDEX(IdxPrecio_O,1,MIN(10,CE$17))*(1+P_dPrecio)</f>
        <v>0</v>
      </c>
      <c r="CF53" s="48" t="n">
        <f aca="false">CF$28*INDEX(Precio_O,8)*INDEX(IdxPrecio_O,1,MIN(10,CF$17))*(1+P_dPrecio)</f>
        <v>0</v>
      </c>
      <c r="CG53" s="48" t="n">
        <f aca="false">CG$28*INDEX(Precio_O,8)*INDEX(IdxPrecio_O,1,MIN(10,CG$17))*(1+P_dPrecio)</f>
        <v>0</v>
      </c>
      <c r="CH53" s="48" t="n">
        <f aca="false">CH$28*INDEX(Precio_O,8)*INDEX(IdxPrecio_O,1,MIN(10,CH$17))*(1+P_dPrecio)</f>
        <v>0</v>
      </c>
      <c r="CI53" s="48" t="n">
        <f aca="false">CI$28*INDEX(Precio_O,8)*INDEX(IdxPrecio_O,1,MIN(10,CI$17))*(1+P_dPrecio)</f>
        <v>0</v>
      </c>
      <c r="CJ53" s="48" t="n">
        <f aca="false">CJ$28*INDEX(Precio_O,8)*INDEX(IdxPrecio_O,1,MIN(10,CJ$17))*(1+P_dPrecio)</f>
        <v>0</v>
      </c>
      <c r="CK53" s="48" t="n">
        <f aca="false">CK$28*INDEX(Precio_O,8)*INDEX(IdxPrecio_O,1,MIN(10,CK$17))*(1+P_dPrecio)</f>
        <v>0</v>
      </c>
      <c r="CL53" s="48" t="n">
        <f aca="false">CL$28*INDEX(Precio_O,8)*INDEX(IdxPrecio_O,1,MIN(10,CL$17))*(1+P_dPrecio)</f>
        <v>0</v>
      </c>
      <c r="CM53" s="48" t="n">
        <f aca="false">CM$28*INDEX(Precio_O,8)*INDEX(IdxPrecio_O,1,MIN(10,CM$17))*(1+P_dPrecio)</f>
        <v>0</v>
      </c>
      <c r="CN53" s="48" t="n">
        <f aca="false">CN$28*INDEX(Precio_O,8)*INDEX(IdxPrecio_O,1,MIN(10,CN$17))*(1+P_dPrecio)</f>
        <v>0</v>
      </c>
      <c r="CO53" s="48" t="n">
        <f aca="false">CO$28*INDEX(Precio_O,8)*INDEX(IdxPrecio_O,1,MIN(10,CO$17))*(1+P_dPrecio)</f>
        <v>0</v>
      </c>
      <c r="CP53" s="48" t="n">
        <f aca="false">CP$28*INDEX(Precio_O,8)*INDEX(IdxPrecio_O,1,MIN(10,CP$17))*(1+P_dPrecio)</f>
        <v>0</v>
      </c>
      <c r="CQ53" s="48" t="n">
        <f aca="false">CQ$28*INDEX(Precio_O,8)*INDEX(IdxPrecio_O,1,MIN(10,CQ$17))*(1+P_dPrecio)</f>
        <v>0</v>
      </c>
      <c r="CR53" s="48" t="n">
        <f aca="false">CR$28*INDEX(Precio_O,8)*INDEX(IdxPrecio_O,1,MIN(10,CR$17))*(1+P_dPrecio)</f>
        <v>0</v>
      </c>
      <c r="CS53" s="48" t="n">
        <f aca="false">CS$28*INDEX(Precio_O,8)*INDEX(IdxPrecio_O,1,MIN(10,CS$17))*(1+P_dPrecio)</f>
        <v>0</v>
      </c>
      <c r="CT53" s="48" t="n">
        <f aca="false">CT$28*INDEX(Precio_O,8)*INDEX(IdxPrecio_O,1,MIN(10,CT$17))*(1+P_dPrecio)</f>
        <v>0</v>
      </c>
      <c r="CU53" s="48" t="n">
        <f aca="false">CU$28*INDEX(Precio_O,8)*INDEX(IdxPrecio_O,1,MIN(10,CU$17))*(1+P_dPrecio)</f>
        <v>0</v>
      </c>
      <c r="CV53" s="48" t="n">
        <f aca="false">CV$28*INDEX(Precio_O,8)*INDEX(IdxPrecio_O,1,MIN(10,CV$17))*(1+P_dPrecio)</f>
        <v>0</v>
      </c>
      <c r="CW53" s="48" t="n">
        <f aca="false">CW$28*INDEX(Precio_O,8)*INDEX(IdxPrecio_O,1,MIN(10,CW$17))*(1+P_dPrecio)</f>
        <v>0</v>
      </c>
      <c r="CX53" s="48" t="n">
        <f aca="false">CX$28*INDEX(Precio_O,8)*INDEX(IdxPrecio_O,1,MIN(10,CX$17))*(1+P_dPrecio)</f>
        <v>0</v>
      </c>
      <c r="CY53" s="48" t="n">
        <f aca="false">CY$28*INDEX(Precio_O,8)*INDEX(IdxPrecio_O,1,MIN(10,CY$17))*(1+P_dPrecio)</f>
        <v>0</v>
      </c>
      <c r="CZ53" s="48" t="n">
        <f aca="false">CZ$28*INDEX(Precio_O,8)*INDEX(IdxPrecio_O,1,MIN(10,CZ$17))*(1+P_dPrecio)</f>
        <v>0</v>
      </c>
      <c r="DA53" s="48" t="n">
        <f aca="false">DA$28*INDEX(Precio_O,8)*INDEX(IdxPrecio_O,1,MIN(10,DA$17))*(1+P_dPrecio)</f>
        <v>0</v>
      </c>
      <c r="DB53" s="48" t="n">
        <f aca="false">DB$28*INDEX(Precio_O,8)*INDEX(IdxPrecio_O,1,MIN(10,DB$17))*(1+P_dPrecio)</f>
        <v>0</v>
      </c>
      <c r="DC53" s="48" t="n">
        <f aca="false">DC$28*INDEX(Precio_O,8)*INDEX(IdxPrecio_O,1,MIN(10,DC$17))*(1+P_dPrecio)</f>
        <v>0</v>
      </c>
      <c r="DD53" s="48" t="n">
        <f aca="false">DD$28*INDEX(Precio_O,8)*INDEX(IdxPrecio_O,1,MIN(10,DD$17))*(1+P_dPrecio)</f>
        <v>0</v>
      </c>
      <c r="DE53" s="48" t="n">
        <f aca="false">DE$28*INDEX(Precio_O,8)*INDEX(IdxPrecio_O,1,MIN(10,DE$17))*(1+P_dPrecio)</f>
        <v>0</v>
      </c>
      <c r="DF53" s="48" t="n">
        <f aca="false">DF$28*INDEX(Precio_O,8)*INDEX(IdxPrecio_O,1,MIN(10,DF$17))*(1+P_dPrecio)</f>
        <v>0</v>
      </c>
      <c r="DG53" s="48" t="n">
        <f aca="false">DG$28*INDEX(Precio_O,8)*INDEX(IdxPrecio_O,1,MIN(10,DG$17))*(1+P_dPrecio)</f>
        <v>0</v>
      </c>
      <c r="DH53" s="48" t="n">
        <f aca="false">DH$28*INDEX(Precio_O,8)*INDEX(IdxPrecio_O,1,MIN(10,DH$17))*(1+P_dPrecio)</f>
        <v>0</v>
      </c>
      <c r="DI53" s="48" t="n">
        <f aca="false">DI$28*INDEX(Precio_O,8)*INDEX(IdxPrecio_O,1,MIN(10,DI$17))*(1+P_dPrecio)</f>
        <v>0</v>
      </c>
      <c r="DJ53" s="48" t="n">
        <f aca="false">DJ$28*INDEX(Precio_O,8)*INDEX(IdxPrecio_O,1,MIN(10,DJ$17))*(1+P_dPrecio)</f>
        <v>0</v>
      </c>
      <c r="DK53" s="48" t="n">
        <f aca="false">DK$28*INDEX(Precio_O,8)*INDEX(IdxPrecio_O,1,MIN(10,DK$17))*(1+P_dPrecio)</f>
        <v>0</v>
      </c>
      <c r="DL53" s="48" t="n">
        <f aca="false">DL$28*INDEX(Precio_O,8)*INDEX(IdxPrecio_O,1,MIN(10,DL$17))*(1+P_dPrecio)</f>
        <v>0</v>
      </c>
      <c r="DM53" s="48" t="n">
        <f aca="false">DM$28*INDEX(Precio_O,8)*INDEX(IdxPrecio_O,1,MIN(10,DM$17))*(1+P_dPrecio)</f>
        <v>0</v>
      </c>
      <c r="DN53" s="48" t="n">
        <f aca="false">DN$28*INDEX(Precio_O,8)*INDEX(IdxPrecio_O,1,MIN(10,DN$17))*(1+P_dPrecio)</f>
        <v>0</v>
      </c>
      <c r="DO53" s="48" t="n">
        <f aca="false">DO$28*INDEX(Precio_O,8)*INDEX(IdxPrecio_O,1,MIN(10,DO$17))*(1+P_dPrecio)</f>
        <v>0</v>
      </c>
      <c r="DP53" s="48" t="n">
        <f aca="false">DP$28*INDEX(Precio_O,8)*INDEX(IdxPrecio_O,1,MIN(10,DP$17))*(1+P_dPrecio)</f>
        <v>0</v>
      </c>
      <c r="DQ53" s="48" t="n">
        <f aca="false">DQ$28*INDEX(Precio_O,8)*INDEX(IdxPrecio_O,1,MIN(10,DQ$17))*(1+P_dPrecio)</f>
        <v>0</v>
      </c>
      <c r="DR53" s="48" t="n">
        <f aca="false">DR$28*INDEX(Precio_O,8)*INDEX(IdxPrecio_O,1,MIN(10,DR$17))*(1+P_dPrecio)</f>
        <v>0</v>
      </c>
      <c r="DS53" s="48" t="n">
        <f aca="false">DS$28*INDEX(Precio_O,8)*INDEX(IdxPrecio_O,1,MIN(10,DS$17))*(1+P_dPrecio)</f>
        <v>0</v>
      </c>
      <c r="DT53" s="48" t="n">
        <f aca="false">DT$28*INDEX(Precio_O,8)*INDEX(IdxPrecio_O,1,MIN(10,DT$17))*(1+P_dPrecio)</f>
        <v>0</v>
      </c>
      <c r="DU53" s="48" t="n">
        <f aca="false">DU$28*INDEX(Precio_O,8)*INDEX(IdxPrecio_O,1,MIN(10,DU$17))*(1+P_dPrecio)</f>
        <v>0</v>
      </c>
      <c r="DV53" s="48" t="n">
        <f aca="false">DV$28*INDEX(Precio_O,8)*INDEX(IdxPrecio_O,1,MIN(10,DV$17))*(1+P_dPrecio)</f>
        <v>0</v>
      </c>
      <c r="DW53" s="48" t="n">
        <f aca="false">DW$28*INDEX(Precio_O,8)*INDEX(IdxPrecio_O,1,MIN(10,DW$17))*(1+P_dPrecio)</f>
        <v>0</v>
      </c>
      <c r="DX53" s="48" t="n">
        <f aca="false">DX$28*INDEX(Precio_O,8)*INDEX(IdxPrecio_O,1,MIN(10,DX$17))*(1+P_dPrecio)</f>
        <v>0</v>
      </c>
      <c r="DY53" s="48" t="n">
        <f aca="false">DY$28*INDEX(Precio_O,8)*INDEX(IdxPrecio_O,1,MIN(10,DY$17))*(1+P_dPrecio)</f>
        <v>0</v>
      </c>
      <c r="DZ53" s="48" t="n">
        <f aca="false">DZ$28*INDEX(Precio_O,8)*INDEX(IdxPrecio_O,1,MIN(10,DZ$17))*(1+P_dPrecio)</f>
        <v>0</v>
      </c>
      <c r="EA53" s="48" t="n">
        <f aca="false">EA$28*INDEX(Precio_O,8)*INDEX(IdxPrecio_O,1,MIN(10,EA$17))*(1+P_dPrecio)</f>
        <v>0</v>
      </c>
      <c r="EB53" s="48" t="n">
        <f aca="false">EB$28*INDEX(Precio_O,8)*INDEX(IdxPrecio_O,1,MIN(10,EB$17))*(1+P_dPrecio)</f>
        <v>0</v>
      </c>
      <c r="EC53" s="48" t="n">
        <f aca="false">EC$28*INDEX(Precio_O,8)*INDEX(IdxPrecio_O,1,MIN(10,EC$17))*(1+P_dPrecio)</f>
        <v>0</v>
      </c>
      <c r="ED53" s="48" t="n">
        <f aca="false">ED$28*INDEX(Precio_O,8)*INDEX(IdxPrecio_O,1,MIN(10,ED$17))*(1+P_dPrecio)</f>
        <v>0</v>
      </c>
      <c r="EE53" s="48" t="n">
        <f aca="false">EE$28*INDEX(Precio_O,8)*INDEX(IdxPrecio_O,1,MIN(10,EE$17))*(1+P_dPrecio)</f>
        <v>0</v>
      </c>
      <c r="EF53" s="48" t="n">
        <f aca="false">EF$28*INDEX(Precio_O,8)*INDEX(IdxPrecio_O,1,MIN(10,EF$17))*(1+P_dPrecio)</f>
        <v>0</v>
      </c>
      <c r="EG53" s="48" t="n">
        <f aca="false">EG$28*INDEX(Precio_O,8)*INDEX(IdxPrecio_O,1,MIN(10,EG$17))*(1+P_dPrecio)</f>
        <v>0</v>
      </c>
      <c r="EH53" s="48" t="n">
        <f aca="false">EH$28*INDEX(Precio_O,8)*INDEX(IdxPrecio_O,1,MIN(10,EH$17))*(1+P_dPrecio)</f>
        <v>0</v>
      </c>
      <c r="EI53" s="48" t="n">
        <f aca="false">EI$28*INDEX(Precio_O,8)*INDEX(IdxPrecio_O,1,MIN(10,EI$17))*(1+P_dPrecio)</f>
        <v>0</v>
      </c>
      <c r="EJ53" s="48" t="n">
        <f aca="false">EJ$28*INDEX(Precio_O,8)*INDEX(IdxPrecio_O,1,MIN(10,EJ$17))*(1+P_dPrecio)</f>
        <v>0</v>
      </c>
      <c r="EK53" s="48" t="n">
        <f aca="false">EK$28*INDEX(Precio_O,8)*INDEX(IdxPrecio_O,1,MIN(10,EK$17))*(1+P_dPrecio)</f>
        <v>0</v>
      </c>
      <c r="EL53" s="48" t="n">
        <f aca="false">EL$28*INDEX(Precio_O,8)*INDEX(IdxPrecio_O,1,MIN(10,EL$17))*(1+P_dPrecio)</f>
        <v>0</v>
      </c>
      <c r="EM53" s="48" t="n">
        <f aca="false">EM$28*INDEX(Precio_O,8)*INDEX(IdxPrecio_O,1,MIN(10,EM$17))*(1+P_dPrecio)</f>
        <v>0</v>
      </c>
      <c r="EN53" s="48" t="n">
        <f aca="false">EN$28*INDEX(Precio_O,8)*INDEX(IdxPrecio_O,1,MIN(10,EN$17))*(1+P_dPrecio)</f>
        <v>0</v>
      </c>
      <c r="EO53" s="48" t="n">
        <f aca="false">EO$28*INDEX(Precio_O,8)*INDEX(IdxPrecio_O,1,MIN(10,EO$17))*(1+P_dPrecio)</f>
        <v>0</v>
      </c>
      <c r="EP53" s="48" t="n">
        <f aca="false">EP$28*INDEX(Precio_O,8)*INDEX(IdxPrecio_O,1,MIN(10,EP$17))*(1+P_dPrecio)</f>
        <v>0</v>
      </c>
      <c r="EQ53" s="48" t="n">
        <f aca="false">EQ$28*INDEX(Precio_O,8)*INDEX(IdxPrecio_O,1,MIN(10,EQ$17))*(1+P_dPrecio)</f>
        <v>0</v>
      </c>
      <c r="ER53" s="48" t="n">
        <f aca="false">ER$28*INDEX(Precio_O,8)*INDEX(IdxPrecio_O,1,MIN(10,ER$17))*(1+P_dPrecio)</f>
        <v>0</v>
      </c>
      <c r="ES53" s="48" t="n">
        <f aca="false">ES$28*INDEX(Precio_O,8)*INDEX(IdxPrecio_O,1,MIN(10,ES$17))*(1+P_dPrecio)</f>
        <v>0</v>
      </c>
    </row>
    <row r="54" customFormat="false" ht="15" hidden="false" customHeight="false" outlineLevel="0" collapsed="false">
      <c r="A54" s="11" t="s">
        <v>1099</v>
      </c>
      <c r="B54" s="53" t="str">
        <f aca="false">IF(INDEX(Prod_Nombre,9)="","Producto 9",INDEX(Prod_Nombre,9))&amp;" — ventas USD"</f>
        <v>Producto 9 — ventas USD</v>
      </c>
      <c r="C54" s="15" t="s">
        <v>508</v>
      </c>
      <c r="E54" s="54" t="n">
        <f aca="false">SUM(F54:ES54)</f>
        <v>0</v>
      </c>
      <c r="F54" s="48" t="n">
        <f aca="false">F$29*INDEX(Precio_O,9)*INDEX(IdxPrecio_O,1,MIN(10,F$17))*(1+P_dPrecio)</f>
        <v>0</v>
      </c>
      <c r="G54" s="48" t="n">
        <f aca="false">G$29*INDEX(Precio_O,9)*INDEX(IdxPrecio_O,1,MIN(10,G$17))*(1+P_dPrecio)</f>
        <v>0</v>
      </c>
      <c r="H54" s="48" t="n">
        <f aca="false">H$29*INDEX(Precio_O,9)*INDEX(IdxPrecio_O,1,MIN(10,H$17))*(1+P_dPrecio)</f>
        <v>0</v>
      </c>
      <c r="I54" s="48" t="n">
        <f aca="false">I$29*INDEX(Precio_O,9)*INDEX(IdxPrecio_O,1,MIN(10,I$17))*(1+P_dPrecio)</f>
        <v>0</v>
      </c>
      <c r="J54" s="48" t="n">
        <f aca="false">J$29*INDEX(Precio_O,9)*INDEX(IdxPrecio_O,1,MIN(10,J$17))*(1+P_dPrecio)</f>
        <v>0</v>
      </c>
      <c r="K54" s="48" t="n">
        <f aca="false">K$29*INDEX(Precio_O,9)*INDEX(IdxPrecio_O,1,MIN(10,K$17))*(1+P_dPrecio)</f>
        <v>0</v>
      </c>
      <c r="L54" s="48" t="n">
        <f aca="false">L$29*INDEX(Precio_O,9)*INDEX(IdxPrecio_O,1,MIN(10,L$17))*(1+P_dPrecio)</f>
        <v>0</v>
      </c>
      <c r="M54" s="48" t="n">
        <f aca="false">M$29*INDEX(Precio_O,9)*INDEX(IdxPrecio_O,1,MIN(10,M$17))*(1+P_dPrecio)</f>
        <v>0</v>
      </c>
      <c r="N54" s="48" t="n">
        <f aca="false">N$29*INDEX(Precio_O,9)*INDEX(IdxPrecio_O,1,MIN(10,N$17))*(1+P_dPrecio)</f>
        <v>0</v>
      </c>
      <c r="O54" s="48" t="n">
        <f aca="false">O$29*INDEX(Precio_O,9)*INDEX(IdxPrecio_O,1,MIN(10,O$17))*(1+P_dPrecio)</f>
        <v>0</v>
      </c>
      <c r="P54" s="48" t="n">
        <f aca="false">P$29*INDEX(Precio_O,9)*INDEX(IdxPrecio_O,1,MIN(10,P$17))*(1+P_dPrecio)</f>
        <v>0</v>
      </c>
      <c r="Q54" s="48" t="n">
        <f aca="false">Q$29*INDEX(Precio_O,9)*INDEX(IdxPrecio_O,1,MIN(10,Q$17))*(1+P_dPrecio)</f>
        <v>0</v>
      </c>
      <c r="R54" s="48" t="n">
        <f aca="false">R$29*INDEX(Precio_O,9)*INDEX(IdxPrecio_O,1,MIN(10,R$17))*(1+P_dPrecio)</f>
        <v>0</v>
      </c>
      <c r="S54" s="48" t="n">
        <f aca="false">S$29*INDEX(Precio_O,9)*INDEX(IdxPrecio_O,1,MIN(10,S$17))*(1+P_dPrecio)</f>
        <v>0</v>
      </c>
      <c r="T54" s="48" t="n">
        <f aca="false">T$29*INDEX(Precio_O,9)*INDEX(IdxPrecio_O,1,MIN(10,T$17))*(1+P_dPrecio)</f>
        <v>0</v>
      </c>
      <c r="U54" s="48" t="n">
        <f aca="false">U$29*INDEX(Precio_O,9)*INDEX(IdxPrecio_O,1,MIN(10,U$17))*(1+P_dPrecio)</f>
        <v>0</v>
      </c>
      <c r="V54" s="48" t="n">
        <f aca="false">V$29*INDEX(Precio_O,9)*INDEX(IdxPrecio_O,1,MIN(10,V$17))*(1+P_dPrecio)</f>
        <v>0</v>
      </c>
      <c r="W54" s="48" t="n">
        <f aca="false">W$29*INDEX(Precio_O,9)*INDEX(IdxPrecio_O,1,MIN(10,W$17))*(1+P_dPrecio)</f>
        <v>0</v>
      </c>
      <c r="X54" s="48" t="n">
        <f aca="false">X$29*INDEX(Precio_O,9)*INDEX(IdxPrecio_O,1,MIN(10,X$17))*(1+P_dPrecio)</f>
        <v>0</v>
      </c>
      <c r="Y54" s="48" t="n">
        <f aca="false">Y$29*INDEX(Precio_O,9)*INDEX(IdxPrecio_O,1,MIN(10,Y$17))*(1+P_dPrecio)</f>
        <v>0</v>
      </c>
      <c r="Z54" s="48" t="n">
        <f aca="false">Z$29*INDEX(Precio_O,9)*INDEX(IdxPrecio_O,1,MIN(10,Z$17))*(1+P_dPrecio)</f>
        <v>0</v>
      </c>
      <c r="AA54" s="48" t="n">
        <f aca="false">AA$29*INDEX(Precio_O,9)*INDEX(IdxPrecio_O,1,MIN(10,AA$17))*(1+P_dPrecio)</f>
        <v>0</v>
      </c>
      <c r="AB54" s="48" t="n">
        <f aca="false">AB$29*INDEX(Precio_O,9)*INDEX(IdxPrecio_O,1,MIN(10,AB$17))*(1+P_dPrecio)</f>
        <v>0</v>
      </c>
      <c r="AC54" s="48" t="n">
        <f aca="false">AC$29*INDEX(Precio_O,9)*INDEX(IdxPrecio_O,1,MIN(10,AC$17))*(1+P_dPrecio)</f>
        <v>0</v>
      </c>
      <c r="AD54" s="48" t="n">
        <f aca="false">AD$29*INDEX(Precio_O,9)*INDEX(IdxPrecio_O,1,MIN(10,AD$17))*(1+P_dPrecio)</f>
        <v>0</v>
      </c>
      <c r="AE54" s="48" t="n">
        <f aca="false">AE$29*INDEX(Precio_O,9)*INDEX(IdxPrecio_O,1,MIN(10,AE$17))*(1+P_dPrecio)</f>
        <v>0</v>
      </c>
      <c r="AF54" s="48" t="n">
        <f aca="false">AF$29*INDEX(Precio_O,9)*INDEX(IdxPrecio_O,1,MIN(10,AF$17))*(1+P_dPrecio)</f>
        <v>0</v>
      </c>
      <c r="AG54" s="48" t="n">
        <f aca="false">AG$29*INDEX(Precio_O,9)*INDEX(IdxPrecio_O,1,MIN(10,AG$17))*(1+P_dPrecio)</f>
        <v>0</v>
      </c>
      <c r="AH54" s="48" t="n">
        <f aca="false">AH$29*INDEX(Precio_O,9)*INDEX(IdxPrecio_O,1,MIN(10,AH$17))*(1+P_dPrecio)</f>
        <v>0</v>
      </c>
      <c r="AI54" s="48" t="n">
        <f aca="false">AI$29*INDEX(Precio_O,9)*INDEX(IdxPrecio_O,1,MIN(10,AI$17))*(1+P_dPrecio)</f>
        <v>0</v>
      </c>
      <c r="AJ54" s="48" t="n">
        <f aca="false">AJ$29*INDEX(Precio_O,9)*INDEX(IdxPrecio_O,1,MIN(10,AJ$17))*(1+P_dPrecio)</f>
        <v>0</v>
      </c>
      <c r="AK54" s="48" t="n">
        <f aca="false">AK$29*INDEX(Precio_O,9)*INDEX(IdxPrecio_O,1,MIN(10,AK$17))*(1+P_dPrecio)</f>
        <v>0</v>
      </c>
      <c r="AL54" s="48" t="n">
        <f aca="false">AL$29*INDEX(Precio_O,9)*INDEX(IdxPrecio_O,1,MIN(10,AL$17))*(1+P_dPrecio)</f>
        <v>0</v>
      </c>
      <c r="AM54" s="48" t="n">
        <f aca="false">AM$29*INDEX(Precio_O,9)*INDEX(IdxPrecio_O,1,MIN(10,AM$17))*(1+P_dPrecio)</f>
        <v>0</v>
      </c>
      <c r="AN54" s="48" t="n">
        <f aca="false">AN$29*INDEX(Precio_O,9)*INDEX(IdxPrecio_O,1,MIN(10,AN$17))*(1+P_dPrecio)</f>
        <v>0</v>
      </c>
      <c r="AO54" s="48" t="n">
        <f aca="false">AO$29*INDEX(Precio_O,9)*INDEX(IdxPrecio_O,1,MIN(10,AO$17))*(1+P_dPrecio)</f>
        <v>0</v>
      </c>
      <c r="AP54" s="48" t="n">
        <f aca="false">AP$29*INDEX(Precio_O,9)*INDEX(IdxPrecio_O,1,MIN(10,AP$17))*(1+P_dPrecio)</f>
        <v>0</v>
      </c>
      <c r="AQ54" s="48" t="n">
        <f aca="false">AQ$29*INDEX(Precio_O,9)*INDEX(IdxPrecio_O,1,MIN(10,AQ$17))*(1+P_dPrecio)</f>
        <v>0</v>
      </c>
      <c r="AR54" s="48" t="n">
        <f aca="false">AR$29*INDEX(Precio_O,9)*INDEX(IdxPrecio_O,1,MIN(10,AR$17))*(1+P_dPrecio)</f>
        <v>0</v>
      </c>
      <c r="AS54" s="48" t="n">
        <f aca="false">AS$29*INDEX(Precio_O,9)*INDEX(IdxPrecio_O,1,MIN(10,AS$17))*(1+P_dPrecio)</f>
        <v>0</v>
      </c>
      <c r="AT54" s="48" t="n">
        <f aca="false">AT$29*INDEX(Precio_O,9)*INDEX(IdxPrecio_O,1,MIN(10,AT$17))*(1+P_dPrecio)</f>
        <v>0</v>
      </c>
      <c r="AU54" s="48" t="n">
        <f aca="false">AU$29*INDEX(Precio_O,9)*INDEX(IdxPrecio_O,1,MIN(10,AU$17))*(1+P_dPrecio)</f>
        <v>0</v>
      </c>
      <c r="AV54" s="48" t="n">
        <f aca="false">AV$29*INDEX(Precio_O,9)*INDEX(IdxPrecio_O,1,MIN(10,AV$17))*(1+P_dPrecio)</f>
        <v>0</v>
      </c>
      <c r="AW54" s="48" t="n">
        <f aca="false">AW$29*INDEX(Precio_O,9)*INDEX(IdxPrecio_O,1,MIN(10,AW$17))*(1+P_dPrecio)</f>
        <v>0</v>
      </c>
      <c r="AX54" s="48" t="n">
        <f aca="false">AX$29*INDEX(Precio_O,9)*INDEX(IdxPrecio_O,1,MIN(10,AX$17))*(1+P_dPrecio)</f>
        <v>0</v>
      </c>
      <c r="AY54" s="48" t="n">
        <f aca="false">AY$29*INDEX(Precio_O,9)*INDEX(IdxPrecio_O,1,MIN(10,AY$17))*(1+P_dPrecio)</f>
        <v>0</v>
      </c>
      <c r="AZ54" s="48" t="n">
        <f aca="false">AZ$29*INDEX(Precio_O,9)*INDEX(IdxPrecio_O,1,MIN(10,AZ$17))*(1+P_dPrecio)</f>
        <v>0</v>
      </c>
      <c r="BA54" s="48" t="n">
        <f aca="false">BA$29*INDEX(Precio_O,9)*INDEX(IdxPrecio_O,1,MIN(10,BA$17))*(1+P_dPrecio)</f>
        <v>0</v>
      </c>
      <c r="BB54" s="48" t="n">
        <f aca="false">BB$29*INDEX(Precio_O,9)*INDEX(IdxPrecio_O,1,MIN(10,BB$17))*(1+P_dPrecio)</f>
        <v>0</v>
      </c>
      <c r="BC54" s="48" t="n">
        <f aca="false">BC$29*INDEX(Precio_O,9)*INDEX(IdxPrecio_O,1,MIN(10,BC$17))*(1+P_dPrecio)</f>
        <v>0</v>
      </c>
      <c r="BD54" s="48" t="n">
        <f aca="false">BD$29*INDEX(Precio_O,9)*INDEX(IdxPrecio_O,1,MIN(10,BD$17))*(1+P_dPrecio)</f>
        <v>0</v>
      </c>
      <c r="BE54" s="48" t="n">
        <f aca="false">BE$29*INDEX(Precio_O,9)*INDEX(IdxPrecio_O,1,MIN(10,BE$17))*(1+P_dPrecio)</f>
        <v>0</v>
      </c>
      <c r="BF54" s="48" t="n">
        <f aca="false">BF$29*INDEX(Precio_O,9)*INDEX(IdxPrecio_O,1,MIN(10,BF$17))*(1+P_dPrecio)</f>
        <v>0</v>
      </c>
      <c r="BG54" s="48" t="n">
        <f aca="false">BG$29*INDEX(Precio_O,9)*INDEX(IdxPrecio_O,1,MIN(10,BG$17))*(1+P_dPrecio)</f>
        <v>0</v>
      </c>
      <c r="BH54" s="48" t="n">
        <f aca="false">BH$29*INDEX(Precio_O,9)*INDEX(IdxPrecio_O,1,MIN(10,BH$17))*(1+P_dPrecio)</f>
        <v>0</v>
      </c>
      <c r="BI54" s="48" t="n">
        <f aca="false">BI$29*INDEX(Precio_O,9)*INDEX(IdxPrecio_O,1,MIN(10,BI$17))*(1+P_dPrecio)</f>
        <v>0</v>
      </c>
      <c r="BJ54" s="48" t="n">
        <f aca="false">BJ$29*INDEX(Precio_O,9)*INDEX(IdxPrecio_O,1,MIN(10,BJ$17))*(1+P_dPrecio)</f>
        <v>0</v>
      </c>
      <c r="BK54" s="48" t="n">
        <f aca="false">BK$29*INDEX(Precio_O,9)*INDEX(IdxPrecio_O,1,MIN(10,BK$17))*(1+P_dPrecio)</f>
        <v>0</v>
      </c>
      <c r="BL54" s="48" t="n">
        <f aca="false">BL$29*INDEX(Precio_O,9)*INDEX(IdxPrecio_O,1,MIN(10,BL$17))*(1+P_dPrecio)</f>
        <v>0</v>
      </c>
      <c r="BM54" s="48" t="n">
        <f aca="false">BM$29*INDEX(Precio_O,9)*INDEX(IdxPrecio_O,1,MIN(10,BM$17))*(1+P_dPrecio)</f>
        <v>0</v>
      </c>
      <c r="BN54" s="48" t="n">
        <f aca="false">BN$29*INDEX(Precio_O,9)*INDEX(IdxPrecio_O,1,MIN(10,BN$17))*(1+P_dPrecio)</f>
        <v>0</v>
      </c>
      <c r="BO54" s="48" t="n">
        <f aca="false">BO$29*INDEX(Precio_O,9)*INDEX(IdxPrecio_O,1,MIN(10,BO$17))*(1+P_dPrecio)</f>
        <v>0</v>
      </c>
      <c r="BP54" s="48" t="n">
        <f aca="false">BP$29*INDEX(Precio_O,9)*INDEX(IdxPrecio_O,1,MIN(10,BP$17))*(1+P_dPrecio)</f>
        <v>0</v>
      </c>
      <c r="BQ54" s="48" t="n">
        <f aca="false">BQ$29*INDEX(Precio_O,9)*INDEX(IdxPrecio_O,1,MIN(10,BQ$17))*(1+P_dPrecio)</f>
        <v>0</v>
      </c>
      <c r="BR54" s="48" t="n">
        <f aca="false">BR$29*INDEX(Precio_O,9)*INDEX(IdxPrecio_O,1,MIN(10,BR$17))*(1+P_dPrecio)</f>
        <v>0</v>
      </c>
      <c r="BS54" s="48" t="n">
        <f aca="false">BS$29*INDEX(Precio_O,9)*INDEX(IdxPrecio_O,1,MIN(10,BS$17))*(1+P_dPrecio)</f>
        <v>0</v>
      </c>
      <c r="BT54" s="48" t="n">
        <f aca="false">BT$29*INDEX(Precio_O,9)*INDEX(IdxPrecio_O,1,MIN(10,BT$17))*(1+P_dPrecio)</f>
        <v>0</v>
      </c>
      <c r="BU54" s="48" t="n">
        <f aca="false">BU$29*INDEX(Precio_O,9)*INDEX(IdxPrecio_O,1,MIN(10,BU$17))*(1+P_dPrecio)</f>
        <v>0</v>
      </c>
      <c r="BV54" s="48" t="n">
        <f aca="false">BV$29*INDEX(Precio_O,9)*INDEX(IdxPrecio_O,1,MIN(10,BV$17))*(1+P_dPrecio)</f>
        <v>0</v>
      </c>
      <c r="BW54" s="48" t="n">
        <f aca="false">BW$29*INDEX(Precio_O,9)*INDEX(IdxPrecio_O,1,MIN(10,BW$17))*(1+P_dPrecio)</f>
        <v>0</v>
      </c>
      <c r="BX54" s="48" t="n">
        <f aca="false">BX$29*INDEX(Precio_O,9)*INDEX(IdxPrecio_O,1,MIN(10,BX$17))*(1+P_dPrecio)</f>
        <v>0</v>
      </c>
      <c r="BY54" s="48" t="n">
        <f aca="false">BY$29*INDEX(Precio_O,9)*INDEX(IdxPrecio_O,1,MIN(10,BY$17))*(1+P_dPrecio)</f>
        <v>0</v>
      </c>
      <c r="BZ54" s="48" t="n">
        <f aca="false">BZ$29*INDEX(Precio_O,9)*INDEX(IdxPrecio_O,1,MIN(10,BZ$17))*(1+P_dPrecio)</f>
        <v>0</v>
      </c>
      <c r="CA54" s="48" t="n">
        <f aca="false">CA$29*INDEX(Precio_O,9)*INDEX(IdxPrecio_O,1,MIN(10,CA$17))*(1+P_dPrecio)</f>
        <v>0</v>
      </c>
      <c r="CB54" s="48" t="n">
        <f aca="false">CB$29*INDEX(Precio_O,9)*INDEX(IdxPrecio_O,1,MIN(10,CB$17))*(1+P_dPrecio)</f>
        <v>0</v>
      </c>
      <c r="CC54" s="48" t="n">
        <f aca="false">CC$29*INDEX(Precio_O,9)*INDEX(IdxPrecio_O,1,MIN(10,CC$17))*(1+P_dPrecio)</f>
        <v>0</v>
      </c>
      <c r="CD54" s="48" t="n">
        <f aca="false">CD$29*INDEX(Precio_O,9)*INDEX(IdxPrecio_O,1,MIN(10,CD$17))*(1+P_dPrecio)</f>
        <v>0</v>
      </c>
      <c r="CE54" s="48" t="n">
        <f aca="false">CE$29*INDEX(Precio_O,9)*INDEX(IdxPrecio_O,1,MIN(10,CE$17))*(1+P_dPrecio)</f>
        <v>0</v>
      </c>
      <c r="CF54" s="48" t="n">
        <f aca="false">CF$29*INDEX(Precio_O,9)*INDEX(IdxPrecio_O,1,MIN(10,CF$17))*(1+P_dPrecio)</f>
        <v>0</v>
      </c>
      <c r="CG54" s="48" t="n">
        <f aca="false">CG$29*INDEX(Precio_O,9)*INDEX(IdxPrecio_O,1,MIN(10,CG$17))*(1+P_dPrecio)</f>
        <v>0</v>
      </c>
      <c r="CH54" s="48" t="n">
        <f aca="false">CH$29*INDEX(Precio_O,9)*INDEX(IdxPrecio_O,1,MIN(10,CH$17))*(1+P_dPrecio)</f>
        <v>0</v>
      </c>
      <c r="CI54" s="48" t="n">
        <f aca="false">CI$29*INDEX(Precio_O,9)*INDEX(IdxPrecio_O,1,MIN(10,CI$17))*(1+P_dPrecio)</f>
        <v>0</v>
      </c>
      <c r="CJ54" s="48" t="n">
        <f aca="false">CJ$29*INDEX(Precio_O,9)*INDEX(IdxPrecio_O,1,MIN(10,CJ$17))*(1+P_dPrecio)</f>
        <v>0</v>
      </c>
      <c r="CK54" s="48" t="n">
        <f aca="false">CK$29*INDEX(Precio_O,9)*INDEX(IdxPrecio_O,1,MIN(10,CK$17))*(1+P_dPrecio)</f>
        <v>0</v>
      </c>
      <c r="CL54" s="48" t="n">
        <f aca="false">CL$29*INDEX(Precio_O,9)*INDEX(IdxPrecio_O,1,MIN(10,CL$17))*(1+P_dPrecio)</f>
        <v>0</v>
      </c>
      <c r="CM54" s="48" t="n">
        <f aca="false">CM$29*INDEX(Precio_O,9)*INDEX(IdxPrecio_O,1,MIN(10,CM$17))*(1+P_dPrecio)</f>
        <v>0</v>
      </c>
      <c r="CN54" s="48" t="n">
        <f aca="false">CN$29*INDEX(Precio_O,9)*INDEX(IdxPrecio_O,1,MIN(10,CN$17))*(1+P_dPrecio)</f>
        <v>0</v>
      </c>
      <c r="CO54" s="48" t="n">
        <f aca="false">CO$29*INDEX(Precio_O,9)*INDEX(IdxPrecio_O,1,MIN(10,CO$17))*(1+P_dPrecio)</f>
        <v>0</v>
      </c>
      <c r="CP54" s="48" t="n">
        <f aca="false">CP$29*INDEX(Precio_O,9)*INDEX(IdxPrecio_O,1,MIN(10,CP$17))*(1+P_dPrecio)</f>
        <v>0</v>
      </c>
      <c r="CQ54" s="48" t="n">
        <f aca="false">CQ$29*INDEX(Precio_O,9)*INDEX(IdxPrecio_O,1,MIN(10,CQ$17))*(1+P_dPrecio)</f>
        <v>0</v>
      </c>
      <c r="CR54" s="48" t="n">
        <f aca="false">CR$29*INDEX(Precio_O,9)*INDEX(IdxPrecio_O,1,MIN(10,CR$17))*(1+P_dPrecio)</f>
        <v>0</v>
      </c>
      <c r="CS54" s="48" t="n">
        <f aca="false">CS$29*INDEX(Precio_O,9)*INDEX(IdxPrecio_O,1,MIN(10,CS$17))*(1+P_dPrecio)</f>
        <v>0</v>
      </c>
      <c r="CT54" s="48" t="n">
        <f aca="false">CT$29*INDEX(Precio_O,9)*INDEX(IdxPrecio_O,1,MIN(10,CT$17))*(1+P_dPrecio)</f>
        <v>0</v>
      </c>
      <c r="CU54" s="48" t="n">
        <f aca="false">CU$29*INDEX(Precio_O,9)*INDEX(IdxPrecio_O,1,MIN(10,CU$17))*(1+P_dPrecio)</f>
        <v>0</v>
      </c>
      <c r="CV54" s="48" t="n">
        <f aca="false">CV$29*INDEX(Precio_O,9)*INDEX(IdxPrecio_O,1,MIN(10,CV$17))*(1+P_dPrecio)</f>
        <v>0</v>
      </c>
      <c r="CW54" s="48" t="n">
        <f aca="false">CW$29*INDEX(Precio_O,9)*INDEX(IdxPrecio_O,1,MIN(10,CW$17))*(1+P_dPrecio)</f>
        <v>0</v>
      </c>
      <c r="CX54" s="48" t="n">
        <f aca="false">CX$29*INDEX(Precio_O,9)*INDEX(IdxPrecio_O,1,MIN(10,CX$17))*(1+P_dPrecio)</f>
        <v>0</v>
      </c>
      <c r="CY54" s="48" t="n">
        <f aca="false">CY$29*INDEX(Precio_O,9)*INDEX(IdxPrecio_O,1,MIN(10,CY$17))*(1+P_dPrecio)</f>
        <v>0</v>
      </c>
      <c r="CZ54" s="48" t="n">
        <f aca="false">CZ$29*INDEX(Precio_O,9)*INDEX(IdxPrecio_O,1,MIN(10,CZ$17))*(1+P_dPrecio)</f>
        <v>0</v>
      </c>
      <c r="DA54" s="48" t="n">
        <f aca="false">DA$29*INDEX(Precio_O,9)*INDEX(IdxPrecio_O,1,MIN(10,DA$17))*(1+P_dPrecio)</f>
        <v>0</v>
      </c>
      <c r="DB54" s="48" t="n">
        <f aca="false">DB$29*INDEX(Precio_O,9)*INDEX(IdxPrecio_O,1,MIN(10,DB$17))*(1+P_dPrecio)</f>
        <v>0</v>
      </c>
      <c r="DC54" s="48" t="n">
        <f aca="false">DC$29*INDEX(Precio_O,9)*INDEX(IdxPrecio_O,1,MIN(10,DC$17))*(1+P_dPrecio)</f>
        <v>0</v>
      </c>
      <c r="DD54" s="48" t="n">
        <f aca="false">DD$29*INDEX(Precio_O,9)*INDEX(IdxPrecio_O,1,MIN(10,DD$17))*(1+P_dPrecio)</f>
        <v>0</v>
      </c>
      <c r="DE54" s="48" t="n">
        <f aca="false">DE$29*INDEX(Precio_O,9)*INDEX(IdxPrecio_O,1,MIN(10,DE$17))*(1+P_dPrecio)</f>
        <v>0</v>
      </c>
      <c r="DF54" s="48" t="n">
        <f aca="false">DF$29*INDEX(Precio_O,9)*INDEX(IdxPrecio_O,1,MIN(10,DF$17))*(1+P_dPrecio)</f>
        <v>0</v>
      </c>
      <c r="DG54" s="48" t="n">
        <f aca="false">DG$29*INDEX(Precio_O,9)*INDEX(IdxPrecio_O,1,MIN(10,DG$17))*(1+P_dPrecio)</f>
        <v>0</v>
      </c>
      <c r="DH54" s="48" t="n">
        <f aca="false">DH$29*INDEX(Precio_O,9)*INDEX(IdxPrecio_O,1,MIN(10,DH$17))*(1+P_dPrecio)</f>
        <v>0</v>
      </c>
      <c r="DI54" s="48" t="n">
        <f aca="false">DI$29*INDEX(Precio_O,9)*INDEX(IdxPrecio_O,1,MIN(10,DI$17))*(1+P_dPrecio)</f>
        <v>0</v>
      </c>
      <c r="DJ54" s="48" t="n">
        <f aca="false">DJ$29*INDEX(Precio_O,9)*INDEX(IdxPrecio_O,1,MIN(10,DJ$17))*(1+P_dPrecio)</f>
        <v>0</v>
      </c>
      <c r="DK54" s="48" t="n">
        <f aca="false">DK$29*INDEX(Precio_O,9)*INDEX(IdxPrecio_O,1,MIN(10,DK$17))*(1+P_dPrecio)</f>
        <v>0</v>
      </c>
      <c r="DL54" s="48" t="n">
        <f aca="false">DL$29*INDEX(Precio_O,9)*INDEX(IdxPrecio_O,1,MIN(10,DL$17))*(1+P_dPrecio)</f>
        <v>0</v>
      </c>
      <c r="DM54" s="48" t="n">
        <f aca="false">DM$29*INDEX(Precio_O,9)*INDEX(IdxPrecio_O,1,MIN(10,DM$17))*(1+P_dPrecio)</f>
        <v>0</v>
      </c>
      <c r="DN54" s="48" t="n">
        <f aca="false">DN$29*INDEX(Precio_O,9)*INDEX(IdxPrecio_O,1,MIN(10,DN$17))*(1+P_dPrecio)</f>
        <v>0</v>
      </c>
      <c r="DO54" s="48" t="n">
        <f aca="false">DO$29*INDEX(Precio_O,9)*INDEX(IdxPrecio_O,1,MIN(10,DO$17))*(1+P_dPrecio)</f>
        <v>0</v>
      </c>
      <c r="DP54" s="48" t="n">
        <f aca="false">DP$29*INDEX(Precio_O,9)*INDEX(IdxPrecio_O,1,MIN(10,DP$17))*(1+P_dPrecio)</f>
        <v>0</v>
      </c>
      <c r="DQ54" s="48" t="n">
        <f aca="false">DQ$29*INDEX(Precio_O,9)*INDEX(IdxPrecio_O,1,MIN(10,DQ$17))*(1+P_dPrecio)</f>
        <v>0</v>
      </c>
      <c r="DR54" s="48" t="n">
        <f aca="false">DR$29*INDEX(Precio_O,9)*INDEX(IdxPrecio_O,1,MIN(10,DR$17))*(1+P_dPrecio)</f>
        <v>0</v>
      </c>
      <c r="DS54" s="48" t="n">
        <f aca="false">DS$29*INDEX(Precio_O,9)*INDEX(IdxPrecio_O,1,MIN(10,DS$17))*(1+P_dPrecio)</f>
        <v>0</v>
      </c>
      <c r="DT54" s="48" t="n">
        <f aca="false">DT$29*INDEX(Precio_O,9)*INDEX(IdxPrecio_O,1,MIN(10,DT$17))*(1+P_dPrecio)</f>
        <v>0</v>
      </c>
      <c r="DU54" s="48" t="n">
        <f aca="false">DU$29*INDEX(Precio_O,9)*INDEX(IdxPrecio_O,1,MIN(10,DU$17))*(1+P_dPrecio)</f>
        <v>0</v>
      </c>
      <c r="DV54" s="48" t="n">
        <f aca="false">DV$29*INDEX(Precio_O,9)*INDEX(IdxPrecio_O,1,MIN(10,DV$17))*(1+P_dPrecio)</f>
        <v>0</v>
      </c>
      <c r="DW54" s="48" t="n">
        <f aca="false">DW$29*INDEX(Precio_O,9)*INDEX(IdxPrecio_O,1,MIN(10,DW$17))*(1+P_dPrecio)</f>
        <v>0</v>
      </c>
      <c r="DX54" s="48" t="n">
        <f aca="false">DX$29*INDEX(Precio_O,9)*INDEX(IdxPrecio_O,1,MIN(10,DX$17))*(1+P_dPrecio)</f>
        <v>0</v>
      </c>
      <c r="DY54" s="48" t="n">
        <f aca="false">DY$29*INDEX(Precio_O,9)*INDEX(IdxPrecio_O,1,MIN(10,DY$17))*(1+P_dPrecio)</f>
        <v>0</v>
      </c>
      <c r="DZ54" s="48" t="n">
        <f aca="false">DZ$29*INDEX(Precio_O,9)*INDEX(IdxPrecio_O,1,MIN(10,DZ$17))*(1+P_dPrecio)</f>
        <v>0</v>
      </c>
      <c r="EA54" s="48" t="n">
        <f aca="false">EA$29*INDEX(Precio_O,9)*INDEX(IdxPrecio_O,1,MIN(10,EA$17))*(1+P_dPrecio)</f>
        <v>0</v>
      </c>
      <c r="EB54" s="48" t="n">
        <f aca="false">EB$29*INDEX(Precio_O,9)*INDEX(IdxPrecio_O,1,MIN(10,EB$17))*(1+P_dPrecio)</f>
        <v>0</v>
      </c>
      <c r="EC54" s="48" t="n">
        <f aca="false">EC$29*INDEX(Precio_O,9)*INDEX(IdxPrecio_O,1,MIN(10,EC$17))*(1+P_dPrecio)</f>
        <v>0</v>
      </c>
      <c r="ED54" s="48" t="n">
        <f aca="false">ED$29*INDEX(Precio_O,9)*INDEX(IdxPrecio_O,1,MIN(10,ED$17))*(1+P_dPrecio)</f>
        <v>0</v>
      </c>
      <c r="EE54" s="48" t="n">
        <f aca="false">EE$29*INDEX(Precio_O,9)*INDEX(IdxPrecio_O,1,MIN(10,EE$17))*(1+P_dPrecio)</f>
        <v>0</v>
      </c>
      <c r="EF54" s="48" t="n">
        <f aca="false">EF$29*INDEX(Precio_O,9)*INDEX(IdxPrecio_O,1,MIN(10,EF$17))*(1+P_dPrecio)</f>
        <v>0</v>
      </c>
      <c r="EG54" s="48" t="n">
        <f aca="false">EG$29*INDEX(Precio_O,9)*INDEX(IdxPrecio_O,1,MIN(10,EG$17))*(1+P_dPrecio)</f>
        <v>0</v>
      </c>
      <c r="EH54" s="48" t="n">
        <f aca="false">EH$29*INDEX(Precio_O,9)*INDEX(IdxPrecio_O,1,MIN(10,EH$17))*(1+P_dPrecio)</f>
        <v>0</v>
      </c>
      <c r="EI54" s="48" t="n">
        <f aca="false">EI$29*INDEX(Precio_O,9)*INDEX(IdxPrecio_O,1,MIN(10,EI$17))*(1+P_dPrecio)</f>
        <v>0</v>
      </c>
      <c r="EJ54" s="48" t="n">
        <f aca="false">EJ$29*INDEX(Precio_O,9)*INDEX(IdxPrecio_O,1,MIN(10,EJ$17))*(1+P_dPrecio)</f>
        <v>0</v>
      </c>
      <c r="EK54" s="48" t="n">
        <f aca="false">EK$29*INDEX(Precio_O,9)*INDEX(IdxPrecio_O,1,MIN(10,EK$17))*(1+P_dPrecio)</f>
        <v>0</v>
      </c>
      <c r="EL54" s="48" t="n">
        <f aca="false">EL$29*INDEX(Precio_O,9)*INDEX(IdxPrecio_O,1,MIN(10,EL$17))*(1+P_dPrecio)</f>
        <v>0</v>
      </c>
      <c r="EM54" s="48" t="n">
        <f aca="false">EM$29*INDEX(Precio_O,9)*INDEX(IdxPrecio_O,1,MIN(10,EM$17))*(1+P_dPrecio)</f>
        <v>0</v>
      </c>
      <c r="EN54" s="48" t="n">
        <f aca="false">EN$29*INDEX(Precio_O,9)*INDEX(IdxPrecio_O,1,MIN(10,EN$17))*(1+P_dPrecio)</f>
        <v>0</v>
      </c>
      <c r="EO54" s="48" t="n">
        <f aca="false">EO$29*INDEX(Precio_O,9)*INDEX(IdxPrecio_O,1,MIN(10,EO$17))*(1+P_dPrecio)</f>
        <v>0</v>
      </c>
      <c r="EP54" s="48" t="n">
        <f aca="false">EP$29*INDEX(Precio_O,9)*INDEX(IdxPrecio_O,1,MIN(10,EP$17))*(1+P_dPrecio)</f>
        <v>0</v>
      </c>
      <c r="EQ54" s="48" t="n">
        <f aca="false">EQ$29*INDEX(Precio_O,9)*INDEX(IdxPrecio_O,1,MIN(10,EQ$17))*(1+P_dPrecio)</f>
        <v>0</v>
      </c>
      <c r="ER54" s="48" t="n">
        <f aca="false">ER$29*INDEX(Precio_O,9)*INDEX(IdxPrecio_O,1,MIN(10,ER$17))*(1+P_dPrecio)</f>
        <v>0</v>
      </c>
      <c r="ES54" s="48" t="n">
        <f aca="false">ES$29*INDEX(Precio_O,9)*INDEX(IdxPrecio_O,1,MIN(10,ES$17))*(1+P_dPrecio)</f>
        <v>0</v>
      </c>
    </row>
    <row r="55" customFormat="false" ht="15" hidden="false" customHeight="false" outlineLevel="0" collapsed="false">
      <c r="A55" s="11" t="s">
        <v>1100</v>
      </c>
      <c r="B55" s="53" t="str">
        <f aca="false">IF(INDEX(Prod_Nombre,10)="","Producto 10",INDEX(Prod_Nombre,10))&amp;" — ventas USD"</f>
        <v>Producto 10 — ventas USD</v>
      </c>
      <c r="C55" s="15" t="s">
        <v>508</v>
      </c>
      <c r="E55" s="54" t="n">
        <f aca="false">SUM(F55:ES55)</f>
        <v>0</v>
      </c>
      <c r="F55" s="48" t="n">
        <f aca="false">F$30*INDEX(Precio_O,10)*INDEX(IdxPrecio_O,1,MIN(10,F$17))*(1+P_dPrecio)</f>
        <v>0</v>
      </c>
      <c r="G55" s="48" t="n">
        <f aca="false">G$30*INDEX(Precio_O,10)*INDEX(IdxPrecio_O,1,MIN(10,G$17))*(1+P_dPrecio)</f>
        <v>0</v>
      </c>
      <c r="H55" s="48" t="n">
        <f aca="false">H$30*INDEX(Precio_O,10)*INDEX(IdxPrecio_O,1,MIN(10,H$17))*(1+P_dPrecio)</f>
        <v>0</v>
      </c>
      <c r="I55" s="48" t="n">
        <f aca="false">I$30*INDEX(Precio_O,10)*INDEX(IdxPrecio_O,1,MIN(10,I$17))*(1+P_dPrecio)</f>
        <v>0</v>
      </c>
      <c r="J55" s="48" t="n">
        <f aca="false">J$30*INDEX(Precio_O,10)*INDEX(IdxPrecio_O,1,MIN(10,J$17))*(1+P_dPrecio)</f>
        <v>0</v>
      </c>
      <c r="K55" s="48" t="n">
        <f aca="false">K$30*INDEX(Precio_O,10)*INDEX(IdxPrecio_O,1,MIN(10,K$17))*(1+P_dPrecio)</f>
        <v>0</v>
      </c>
      <c r="L55" s="48" t="n">
        <f aca="false">L$30*INDEX(Precio_O,10)*INDEX(IdxPrecio_O,1,MIN(10,L$17))*(1+P_dPrecio)</f>
        <v>0</v>
      </c>
      <c r="M55" s="48" t="n">
        <f aca="false">M$30*INDEX(Precio_O,10)*INDEX(IdxPrecio_O,1,MIN(10,M$17))*(1+P_dPrecio)</f>
        <v>0</v>
      </c>
      <c r="N55" s="48" t="n">
        <f aca="false">N$30*INDEX(Precio_O,10)*INDEX(IdxPrecio_O,1,MIN(10,N$17))*(1+P_dPrecio)</f>
        <v>0</v>
      </c>
      <c r="O55" s="48" t="n">
        <f aca="false">O$30*INDEX(Precio_O,10)*INDEX(IdxPrecio_O,1,MIN(10,O$17))*(1+P_dPrecio)</f>
        <v>0</v>
      </c>
      <c r="P55" s="48" t="n">
        <f aca="false">P$30*INDEX(Precio_O,10)*INDEX(IdxPrecio_O,1,MIN(10,P$17))*(1+P_dPrecio)</f>
        <v>0</v>
      </c>
      <c r="Q55" s="48" t="n">
        <f aca="false">Q$30*INDEX(Precio_O,10)*INDEX(IdxPrecio_O,1,MIN(10,Q$17))*(1+P_dPrecio)</f>
        <v>0</v>
      </c>
      <c r="R55" s="48" t="n">
        <f aca="false">R$30*INDEX(Precio_O,10)*INDEX(IdxPrecio_O,1,MIN(10,R$17))*(1+P_dPrecio)</f>
        <v>0</v>
      </c>
      <c r="S55" s="48" t="n">
        <f aca="false">S$30*INDEX(Precio_O,10)*INDEX(IdxPrecio_O,1,MIN(10,S$17))*(1+P_dPrecio)</f>
        <v>0</v>
      </c>
      <c r="T55" s="48" t="n">
        <f aca="false">T$30*INDEX(Precio_O,10)*INDEX(IdxPrecio_O,1,MIN(10,T$17))*(1+P_dPrecio)</f>
        <v>0</v>
      </c>
      <c r="U55" s="48" t="n">
        <f aca="false">U$30*INDEX(Precio_O,10)*INDEX(IdxPrecio_O,1,MIN(10,U$17))*(1+P_dPrecio)</f>
        <v>0</v>
      </c>
      <c r="V55" s="48" t="n">
        <f aca="false">V$30*INDEX(Precio_O,10)*INDEX(IdxPrecio_O,1,MIN(10,V$17))*(1+P_dPrecio)</f>
        <v>0</v>
      </c>
      <c r="W55" s="48" t="n">
        <f aca="false">W$30*INDEX(Precio_O,10)*INDEX(IdxPrecio_O,1,MIN(10,W$17))*(1+P_dPrecio)</f>
        <v>0</v>
      </c>
      <c r="X55" s="48" t="n">
        <f aca="false">X$30*INDEX(Precio_O,10)*INDEX(IdxPrecio_O,1,MIN(10,X$17))*(1+P_dPrecio)</f>
        <v>0</v>
      </c>
      <c r="Y55" s="48" t="n">
        <f aca="false">Y$30*INDEX(Precio_O,10)*INDEX(IdxPrecio_O,1,MIN(10,Y$17))*(1+P_dPrecio)</f>
        <v>0</v>
      </c>
      <c r="Z55" s="48" t="n">
        <f aca="false">Z$30*INDEX(Precio_O,10)*INDEX(IdxPrecio_O,1,MIN(10,Z$17))*(1+P_dPrecio)</f>
        <v>0</v>
      </c>
      <c r="AA55" s="48" t="n">
        <f aca="false">AA$30*INDEX(Precio_O,10)*INDEX(IdxPrecio_O,1,MIN(10,AA$17))*(1+P_dPrecio)</f>
        <v>0</v>
      </c>
      <c r="AB55" s="48" t="n">
        <f aca="false">AB$30*INDEX(Precio_O,10)*INDEX(IdxPrecio_O,1,MIN(10,AB$17))*(1+P_dPrecio)</f>
        <v>0</v>
      </c>
      <c r="AC55" s="48" t="n">
        <f aca="false">AC$30*INDEX(Precio_O,10)*INDEX(IdxPrecio_O,1,MIN(10,AC$17))*(1+P_dPrecio)</f>
        <v>0</v>
      </c>
      <c r="AD55" s="48" t="n">
        <f aca="false">AD$30*INDEX(Precio_O,10)*INDEX(IdxPrecio_O,1,MIN(10,AD$17))*(1+P_dPrecio)</f>
        <v>0</v>
      </c>
      <c r="AE55" s="48" t="n">
        <f aca="false">AE$30*INDEX(Precio_O,10)*INDEX(IdxPrecio_O,1,MIN(10,AE$17))*(1+P_dPrecio)</f>
        <v>0</v>
      </c>
      <c r="AF55" s="48" t="n">
        <f aca="false">AF$30*INDEX(Precio_O,10)*INDEX(IdxPrecio_O,1,MIN(10,AF$17))*(1+P_dPrecio)</f>
        <v>0</v>
      </c>
      <c r="AG55" s="48" t="n">
        <f aca="false">AG$30*INDEX(Precio_O,10)*INDEX(IdxPrecio_O,1,MIN(10,AG$17))*(1+P_dPrecio)</f>
        <v>0</v>
      </c>
      <c r="AH55" s="48" t="n">
        <f aca="false">AH$30*INDEX(Precio_O,10)*INDEX(IdxPrecio_O,1,MIN(10,AH$17))*(1+P_dPrecio)</f>
        <v>0</v>
      </c>
      <c r="AI55" s="48" t="n">
        <f aca="false">AI$30*INDEX(Precio_O,10)*INDEX(IdxPrecio_O,1,MIN(10,AI$17))*(1+P_dPrecio)</f>
        <v>0</v>
      </c>
      <c r="AJ55" s="48" t="n">
        <f aca="false">AJ$30*INDEX(Precio_O,10)*INDEX(IdxPrecio_O,1,MIN(10,AJ$17))*(1+P_dPrecio)</f>
        <v>0</v>
      </c>
      <c r="AK55" s="48" t="n">
        <f aca="false">AK$30*INDEX(Precio_O,10)*INDEX(IdxPrecio_O,1,MIN(10,AK$17))*(1+P_dPrecio)</f>
        <v>0</v>
      </c>
      <c r="AL55" s="48" t="n">
        <f aca="false">AL$30*INDEX(Precio_O,10)*INDEX(IdxPrecio_O,1,MIN(10,AL$17))*(1+P_dPrecio)</f>
        <v>0</v>
      </c>
      <c r="AM55" s="48" t="n">
        <f aca="false">AM$30*INDEX(Precio_O,10)*INDEX(IdxPrecio_O,1,MIN(10,AM$17))*(1+P_dPrecio)</f>
        <v>0</v>
      </c>
      <c r="AN55" s="48" t="n">
        <f aca="false">AN$30*INDEX(Precio_O,10)*INDEX(IdxPrecio_O,1,MIN(10,AN$17))*(1+P_dPrecio)</f>
        <v>0</v>
      </c>
      <c r="AO55" s="48" t="n">
        <f aca="false">AO$30*INDEX(Precio_O,10)*INDEX(IdxPrecio_O,1,MIN(10,AO$17))*(1+P_dPrecio)</f>
        <v>0</v>
      </c>
      <c r="AP55" s="48" t="n">
        <f aca="false">AP$30*INDEX(Precio_O,10)*INDEX(IdxPrecio_O,1,MIN(10,AP$17))*(1+P_dPrecio)</f>
        <v>0</v>
      </c>
      <c r="AQ55" s="48" t="n">
        <f aca="false">AQ$30*INDEX(Precio_O,10)*INDEX(IdxPrecio_O,1,MIN(10,AQ$17))*(1+P_dPrecio)</f>
        <v>0</v>
      </c>
      <c r="AR55" s="48" t="n">
        <f aca="false">AR$30*INDEX(Precio_O,10)*INDEX(IdxPrecio_O,1,MIN(10,AR$17))*(1+P_dPrecio)</f>
        <v>0</v>
      </c>
      <c r="AS55" s="48" t="n">
        <f aca="false">AS$30*INDEX(Precio_O,10)*INDEX(IdxPrecio_O,1,MIN(10,AS$17))*(1+P_dPrecio)</f>
        <v>0</v>
      </c>
      <c r="AT55" s="48" t="n">
        <f aca="false">AT$30*INDEX(Precio_O,10)*INDEX(IdxPrecio_O,1,MIN(10,AT$17))*(1+P_dPrecio)</f>
        <v>0</v>
      </c>
      <c r="AU55" s="48" t="n">
        <f aca="false">AU$30*INDEX(Precio_O,10)*INDEX(IdxPrecio_O,1,MIN(10,AU$17))*(1+P_dPrecio)</f>
        <v>0</v>
      </c>
      <c r="AV55" s="48" t="n">
        <f aca="false">AV$30*INDEX(Precio_O,10)*INDEX(IdxPrecio_O,1,MIN(10,AV$17))*(1+P_dPrecio)</f>
        <v>0</v>
      </c>
      <c r="AW55" s="48" t="n">
        <f aca="false">AW$30*INDEX(Precio_O,10)*INDEX(IdxPrecio_O,1,MIN(10,AW$17))*(1+P_dPrecio)</f>
        <v>0</v>
      </c>
      <c r="AX55" s="48" t="n">
        <f aca="false">AX$30*INDEX(Precio_O,10)*INDEX(IdxPrecio_O,1,MIN(10,AX$17))*(1+P_dPrecio)</f>
        <v>0</v>
      </c>
      <c r="AY55" s="48" t="n">
        <f aca="false">AY$30*INDEX(Precio_O,10)*INDEX(IdxPrecio_O,1,MIN(10,AY$17))*(1+P_dPrecio)</f>
        <v>0</v>
      </c>
      <c r="AZ55" s="48" t="n">
        <f aca="false">AZ$30*INDEX(Precio_O,10)*INDEX(IdxPrecio_O,1,MIN(10,AZ$17))*(1+P_dPrecio)</f>
        <v>0</v>
      </c>
      <c r="BA55" s="48" t="n">
        <f aca="false">BA$30*INDEX(Precio_O,10)*INDEX(IdxPrecio_O,1,MIN(10,BA$17))*(1+P_dPrecio)</f>
        <v>0</v>
      </c>
      <c r="BB55" s="48" t="n">
        <f aca="false">BB$30*INDEX(Precio_O,10)*INDEX(IdxPrecio_O,1,MIN(10,BB$17))*(1+P_dPrecio)</f>
        <v>0</v>
      </c>
      <c r="BC55" s="48" t="n">
        <f aca="false">BC$30*INDEX(Precio_O,10)*INDEX(IdxPrecio_O,1,MIN(10,BC$17))*(1+P_dPrecio)</f>
        <v>0</v>
      </c>
      <c r="BD55" s="48" t="n">
        <f aca="false">BD$30*INDEX(Precio_O,10)*INDEX(IdxPrecio_O,1,MIN(10,BD$17))*(1+P_dPrecio)</f>
        <v>0</v>
      </c>
      <c r="BE55" s="48" t="n">
        <f aca="false">BE$30*INDEX(Precio_O,10)*INDEX(IdxPrecio_O,1,MIN(10,BE$17))*(1+P_dPrecio)</f>
        <v>0</v>
      </c>
      <c r="BF55" s="48" t="n">
        <f aca="false">BF$30*INDEX(Precio_O,10)*INDEX(IdxPrecio_O,1,MIN(10,BF$17))*(1+P_dPrecio)</f>
        <v>0</v>
      </c>
      <c r="BG55" s="48" t="n">
        <f aca="false">BG$30*INDEX(Precio_O,10)*INDEX(IdxPrecio_O,1,MIN(10,BG$17))*(1+P_dPrecio)</f>
        <v>0</v>
      </c>
      <c r="BH55" s="48" t="n">
        <f aca="false">BH$30*INDEX(Precio_O,10)*INDEX(IdxPrecio_O,1,MIN(10,BH$17))*(1+P_dPrecio)</f>
        <v>0</v>
      </c>
      <c r="BI55" s="48" t="n">
        <f aca="false">BI$30*INDEX(Precio_O,10)*INDEX(IdxPrecio_O,1,MIN(10,BI$17))*(1+P_dPrecio)</f>
        <v>0</v>
      </c>
      <c r="BJ55" s="48" t="n">
        <f aca="false">BJ$30*INDEX(Precio_O,10)*INDEX(IdxPrecio_O,1,MIN(10,BJ$17))*(1+P_dPrecio)</f>
        <v>0</v>
      </c>
      <c r="BK55" s="48" t="n">
        <f aca="false">BK$30*INDEX(Precio_O,10)*INDEX(IdxPrecio_O,1,MIN(10,BK$17))*(1+P_dPrecio)</f>
        <v>0</v>
      </c>
      <c r="BL55" s="48" t="n">
        <f aca="false">BL$30*INDEX(Precio_O,10)*INDEX(IdxPrecio_O,1,MIN(10,BL$17))*(1+P_dPrecio)</f>
        <v>0</v>
      </c>
      <c r="BM55" s="48" t="n">
        <f aca="false">BM$30*INDEX(Precio_O,10)*INDEX(IdxPrecio_O,1,MIN(10,BM$17))*(1+P_dPrecio)</f>
        <v>0</v>
      </c>
      <c r="BN55" s="48" t="n">
        <f aca="false">BN$30*INDEX(Precio_O,10)*INDEX(IdxPrecio_O,1,MIN(10,BN$17))*(1+P_dPrecio)</f>
        <v>0</v>
      </c>
      <c r="BO55" s="48" t="n">
        <f aca="false">BO$30*INDEX(Precio_O,10)*INDEX(IdxPrecio_O,1,MIN(10,BO$17))*(1+P_dPrecio)</f>
        <v>0</v>
      </c>
      <c r="BP55" s="48" t="n">
        <f aca="false">BP$30*INDEX(Precio_O,10)*INDEX(IdxPrecio_O,1,MIN(10,BP$17))*(1+P_dPrecio)</f>
        <v>0</v>
      </c>
      <c r="BQ55" s="48" t="n">
        <f aca="false">BQ$30*INDEX(Precio_O,10)*INDEX(IdxPrecio_O,1,MIN(10,BQ$17))*(1+P_dPrecio)</f>
        <v>0</v>
      </c>
      <c r="BR55" s="48" t="n">
        <f aca="false">BR$30*INDEX(Precio_O,10)*INDEX(IdxPrecio_O,1,MIN(10,BR$17))*(1+P_dPrecio)</f>
        <v>0</v>
      </c>
      <c r="BS55" s="48" t="n">
        <f aca="false">BS$30*INDEX(Precio_O,10)*INDEX(IdxPrecio_O,1,MIN(10,BS$17))*(1+P_dPrecio)</f>
        <v>0</v>
      </c>
      <c r="BT55" s="48" t="n">
        <f aca="false">BT$30*INDEX(Precio_O,10)*INDEX(IdxPrecio_O,1,MIN(10,BT$17))*(1+P_dPrecio)</f>
        <v>0</v>
      </c>
      <c r="BU55" s="48" t="n">
        <f aca="false">BU$30*INDEX(Precio_O,10)*INDEX(IdxPrecio_O,1,MIN(10,BU$17))*(1+P_dPrecio)</f>
        <v>0</v>
      </c>
      <c r="BV55" s="48" t="n">
        <f aca="false">BV$30*INDEX(Precio_O,10)*INDEX(IdxPrecio_O,1,MIN(10,BV$17))*(1+P_dPrecio)</f>
        <v>0</v>
      </c>
      <c r="BW55" s="48" t="n">
        <f aca="false">BW$30*INDEX(Precio_O,10)*INDEX(IdxPrecio_O,1,MIN(10,BW$17))*(1+P_dPrecio)</f>
        <v>0</v>
      </c>
      <c r="BX55" s="48" t="n">
        <f aca="false">BX$30*INDEX(Precio_O,10)*INDEX(IdxPrecio_O,1,MIN(10,BX$17))*(1+P_dPrecio)</f>
        <v>0</v>
      </c>
      <c r="BY55" s="48" t="n">
        <f aca="false">BY$30*INDEX(Precio_O,10)*INDEX(IdxPrecio_O,1,MIN(10,BY$17))*(1+P_dPrecio)</f>
        <v>0</v>
      </c>
      <c r="BZ55" s="48" t="n">
        <f aca="false">BZ$30*INDEX(Precio_O,10)*INDEX(IdxPrecio_O,1,MIN(10,BZ$17))*(1+P_dPrecio)</f>
        <v>0</v>
      </c>
      <c r="CA55" s="48" t="n">
        <f aca="false">CA$30*INDEX(Precio_O,10)*INDEX(IdxPrecio_O,1,MIN(10,CA$17))*(1+P_dPrecio)</f>
        <v>0</v>
      </c>
      <c r="CB55" s="48" t="n">
        <f aca="false">CB$30*INDEX(Precio_O,10)*INDEX(IdxPrecio_O,1,MIN(10,CB$17))*(1+P_dPrecio)</f>
        <v>0</v>
      </c>
      <c r="CC55" s="48" t="n">
        <f aca="false">CC$30*INDEX(Precio_O,10)*INDEX(IdxPrecio_O,1,MIN(10,CC$17))*(1+P_dPrecio)</f>
        <v>0</v>
      </c>
      <c r="CD55" s="48" t="n">
        <f aca="false">CD$30*INDEX(Precio_O,10)*INDEX(IdxPrecio_O,1,MIN(10,CD$17))*(1+P_dPrecio)</f>
        <v>0</v>
      </c>
      <c r="CE55" s="48" t="n">
        <f aca="false">CE$30*INDEX(Precio_O,10)*INDEX(IdxPrecio_O,1,MIN(10,CE$17))*(1+P_dPrecio)</f>
        <v>0</v>
      </c>
      <c r="CF55" s="48" t="n">
        <f aca="false">CF$30*INDEX(Precio_O,10)*INDEX(IdxPrecio_O,1,MIN(10,CF$17))*(1+P_dPrecio)</f>
        <v>0</v>
      </c>
      <c r="CG55" s="48" t="n">
        <f aca="false">CG$30*INDEX(Precio_O,10)*INDEX(IdxPrecio_O,1,MIN(10,CG$17))*(1+P_dPrecio)</f>
        <v>0</v>
      </c>
      <c r="CH55" s="48" t="n">
        <f aca="false">CH$30*INDEX(Precio_O,10)*INDEX(IdxPrecio_O,1,MIN(10,CH$17))*(1+P_dPrecio)</f>
        <v>0</v>
      </c>
      <c r="CI55" s="48" t="n">
        <f aca="false">CI$30*INDEX(Precio_O,10)*INDEX(IdxPrecio_O,1,MIN(10,CI$17))*(1+P_dPrecio)</f>
        <v>0</v>
      </c>
      <c r="CJ55" s="48" t="n">
        <f aca="false">CJ$30*INDEX(Precio_O,10)*INDEX(IdxPrecio_O,1,MIN(10,CJ$17))*(1+P_dPrecio)</f>
        <v>0</v>
      </c>
      <c r="CK55" s="48" t="n">
        <f aca="false">CK$30*INDEX(Precio_O,10)*INDEX(IdxPrecio_O,1,MIN(10,CK$17))*(1+P_dPrecio)</f>
        <v>0</v>
      </c>
      <c r="CL55" s="48" t="n">
        <f aca="false">CL$30*INDEX(Precio_O,10)*INDEX(IdxPrecio_O,1,MIN(10,CL$17))*(1+P_dPrecio)</f>
        <v>0</v>
      </c>
      <c r="CM55" s="48" t="n">
        <f aca="false">CM$30*INDEX(Precio_O,10)*INDEX(IdxPrecio_O,1,MIN(10,CM$17))*(1+P_dPrecio)</f>
        <v>0</v>
      </c>
      <c r="CN55" s="48" t="n">
        <f aca="false">CN$30*INDEX(Precio_O,10)*INDEX(IdxPrecio_O,1,MIN(10,CN$17))*(1+P_dPrecio)</f>
        <v>0</v>
      </c>
      <c r="CO55" s="48" t="n">
        <f aca="false">CO$30*INDEX(Precio_O,10)*INDEX(IdxPrecio_O,1,MIN(10,CO$17))*(1+P_dPrecio)</f>
        <v>0</v>
      </c>
      <c r="CP55" s="48" t="n">
        <f aca="false">CP$30*INDEX(Precio_O,10)*INDEX(IdxPrecio_O,1,MIN(10,CP$17))*(1+P_dPrecio)</f>
        <v>0</v>
      </c>
      <c r="CQ55" s="48" t="n">
        <f aca="false">CQ$30*INDEX(Precio_O,10)*INDEX(IdxPrecio_O,1,MIN(10,CQ$17))*(1+P_dPrecio)</f>
        <v>0</v>
      </c>
      <c r="CR55" s="48" t="n">
        <f aca="false">CR$30*INDEX(Precio_O,10)*INDEX(IdxPrecio_O,1,MIN(10,CR$17))*(1+P_dPrecio)</f>
        <v>0</v>
      </c>
      <c r="CS55" s="48" t="n">
        <f aca="false">CS$30*INDEX(Precio_O,10)*INDEX(IdxPrecio_O,1,MIN(10,CS$17))*(1+P_dPrecio)</f>
        <v>0</v>
      </c>
      <c r="CT55" s="48" t="n">
        <f aca="false">CT$30*INDEX(Precio_O,10)*INDEX(IdxPrecio_O,1,MIN(10,CT$17))*(1+P_dPrecio)</f>
        <v>0</v>
      </c>
      <c r="CU55" s="48" t="n">
        <f aca="false">CU$30*INDEX(Precio_O,10)*INDEX(IdxPrecio_O,1,MIN(10,CU$17))*(1+P_dPrecio)</f>
        <v>0</v>
      </c>
      <c r="CV55" s="48" t="n">
        <f aca="false">CV$30*INDEX(Precio_O,10)*INDEX(IdxPrecio_O,1,MIN(10,CV$17))*(1+P_dPrecio)</f>
        <v>0</v>
      </c>
      <c r="CW55" s="48" t="n">
        <f aca="false">CW$30*INDEX(Precio_O,10)*INDEX(IdxPrecio_O,1,MIN(10,CW$17))*(1+P_dPrecio)</f>
        <v>0</v>
      </c>
      <c r="CX55" s="48" t="n">
        <f aca="false">CX$30*INDEX(Precio_O,10)*INDEX(IdxPrecio_O,1,MIN(10,CX$17))*(1+P_dPrecio)</f>
        <v>0</v>
      </c>
      <c r="CY55" s="48" t="n">
        <f aca="false">CY$30*INDEX(Precio_O,10)*INDEX(IdxPrecio_O,1,MIN(10,CY$17))*(1+P_dPrecio)</f>
        <v>0</v>
      </c>
      <c r="CZ55" s="48" t="n">
        <f aca="false">CZ$30*INDEX(Precio_O,10)*INDEX(IdxPrecio_O,1,MIN(10,CZ$17))*(1+P_dPrecio)</f>
        <v>0</v>
      </c>
      <c r="DA55" s="48" t="n">
        <f aca="false">DA$30*INDEX(Precio_O,10)*INDEX(IdxPrecio_O,1,MIN(10,DA$17))*(1+P_dPrecio)</f>
        <v>0</v>
      </c>
      <c r="DB55" s="48" t="n">
        <f aca="false">DB$30*INDEX(Precio_O,10)*INDEX(IdxPrecio_O,1,MIN(10,DB$17))*(1+P_dPrecio)</f>
        <v>0</v>
      </c>
      <c r="DC55" s="48" t="n">
        <f aca="false">DC$30*INDEX(Precio_O,10)*INDEX(IdxPrecio_O,1,MIN(10,DC$17))*(1+P_dPrecio)</f>
        <v>0</v>
      </c>
      <c r="DD55" s="48" t="n">
        <f aca="false">DD$30*INDEX(Precio_O,10)*INDEX(IdxPrecio_O,1,MIN(10,DD$17))*(1+P_dPrecio)</f>
        <v>0</v>
      </c>
      <c r="DE55" s="48" t="n">
        <f aca="false">DE$30*INDEX(Precio_O,10)*INDEX(IdxPrecio_O,1,MIN(10,DE$17))*(1+P_dPrecio)</f>
        <v>0</v>
      </c>
      <c r="DF55" s="48" t="n">
        <f aca="false">DF$30*INDEX(Precio_O,10)*INDEX(IdxPrecio_O,1,MIN(10,DF$17))*(1+P_dPrecio)</f>
        <v>0</v>
      </c>
      <c r="DG55" s="48" t="n">
        <f aca="false">DG$30*INDEX(Precio_O,10)*INDEX(IdxPrecio_O,1,MIN(10,DG$17))*(1+P_dPrecio)</f>
        <v>0</v>
      </c>
      <c r="DH55" s="48" t="n">
        <f aca="false">DH$30*INDEX(Precio_O,10)*INDEX(IdxPrecio_O,1,MIN(10,DH$17))*(1+P_dPrecio)</f>
        <v>0</v>
      </c>
      <c r="DI55" s="48" t="n">
        <f aca="false">DI$30*INDEX(Precio_O,10)*INDEX(IdxPrecio_O,1,MIN(10,DI$17))*(1+P_dPrecio)</f>
        <v>0</v>
      </c>
      <c r="DJ55" s="48" t="n">
        <f aca="false">DJ$30*INDEX(Precio_O,10)*INDEX(IdxPrecio_O,1,MIN(10,DJ$17))*(1+P_dPrecio)</f>
        <v>0</v>
      </c>
      <c r="DK55" s="48" t="n">
        <f aca="false">DK$30*INDEX(Precio_O,10)*INDEX(IdxPrecio_O,1,MIN(10,DK$17))*(1+P_dPrecio)</f>
        <v>0</v>
      </c>
      <c r="DL55" s="48" t="n">
        <f aca="false">DL$30*INDEX(Precio_O,10)*INDEX(IdxPrecio_O,1,MIN(10,DL$17))*(1+P_dPrecio)</f>
        <v>0</v>
      </c>
      <c r="DM55" s="48" t="n">
        <f aca="false">DM$30*INDEX(Precio_O,10)*INDEX(IdxPrecio_O,1,MIN(10,DM$17))*(1+P_dPrecio)</f>
        <v>0</v>
      </c>
      <c r="DN55" s="48" t="n">
        <f aca="false">DN$30*INDEX(Precio_O,10)*INDEX(IdxPrecio_O,1,MIN(10,DN$17))*(1+P_dPrecio)</f>
        <v>0</v>
      </c>
      <c r="DO55" s="48" t="n">
        <f aca="false">DO$30*INDEX(Precio_O,10)*INDEX(IdxPrecio_O,1,MIN(10,DO$17))*(1+P_dPrecio)</f>
        <v>0</v>
      </c>
      <c r="DP55" s="48" t="n">
        <f aca="false">DP$30*INDEX(Precio_O,10)*INDEX(IdxPrecio_O,1,MIN(10,DP$17))*(1+P_dPrecio)</f>
        <v>0</v>
      </c>
      <c r="DQ55" s="48" t="n">
        <f aca="false">DQ$30*INDEX(Precio_O,10)*INDEX(IdxPrecio_O,1,MIN(10,DQ$17))*(1+P_dPrecio)</f>
        <v>0</v>
      </c>
      <c r="DR55" s="48" t="n">
        <f aca="false">DR$30*INDEX(Precio_O,10)*INDEX(IdxPrecio_O,1,MIN(10,DR$17))*(1+P_dPrecio)</f>
        <v>0</v>
      </c>
      <c r="DS55" s="48" t="n">
        <f aca="false">DS$30*INDEX(Precio_O,10)*INDEX(IdxPrecio_O,1,MIN(10,DS$17))*(1+P_dPrecio)</f>
        <v>0</v>
      </c>
      <c r="DT55" s="48" t="n">
        <f aca="false">DT$30*INDEX(Precio_O,10)*INDEX(IdxPrecio_O,1,MIN(10,DT$17))*(1+P_dPrecio)</f>
        <v>0</v>
      </c>
      <c r="DU55" s="48" t="n">
        <f aca="false">DU$30*INDEX(Precio_O,10)*INDEX(IdxPrecio_O,1,MIN(10,DU$17))*(1+P_dPrecio)</f>
        <v>0</v>
      </c>
      <c r="DV55" s="48" t="n">
        <f aca="false">DV$30*INDEX(Precio_O,10)*INDEX(IdxPrecio_O,1,MIN(10,DV$17))*(1+P_dPrecio)</f>
        <v>0</v>
      </c>
      <c r="DW55" s="48" t="n">
        <f aca="false">DW$30*INDEX(Precio_O,10)*INDEX(IdxPrecio_O,1,MIN(10,DW$17))*(1+P_dPrecio)</f>
        <v>0</v>
      </c>
      <c r="DX55" s="48" t="n">
        <f aca="false">DX$30*INDEX(Precio_O,10)*INDEX(IdxPrecio_O,1,MIN(10,DX$17))*(1+P_dPrecio)</f>
        <v>0</v>
      </c>
      <c r="DY55" s="48" t="n">
        <f aca="false">DY$30*INDEX(Precio_O,10)*INDEX(IdxPrecio_O,1,MIN(10,DY$17))*(1+P_dPrecio)</f>
        <v>0</v>
      </c>
      <c r="DZ55" s="48" t="n">
        <f aca="false">DZ$30*INDEX(Precio_O,10)*INDEX(IdxPrecio_O,1,MIN(10,DZ$17))*(1+P_dPrecio)</f>
        <v>0</v>
      </c>
      <c r="EA55" s="48" t="n">
        <f aca="false">EA$30*INDEX(Precio_O,10)*INDEX(IdxPrecio_O,1,MIN(10,EA$17))*(1+P_dPrecio)</f>
        <v>0</v>
      </c>
      <c r="EB55" s="48" t="n">
        <f aca="false">EB$30*INDEX(Precio_O,10)*INDEX(IdxPrecio_O,1,MIN(10,EB$17))*(1+P_dPrecio)</f>
        <v>0</v>
      </c>
      <c r="EC55" s="48" t="n">
        <f aca="false">EC$30*INDEX(Precio_O,10)*INDEX(IdxPrecio_O,1,MIN(10,EC$17))*(1+P_dPrecio)</f>
        <v>0</v>
      </c>
      <c r="ED55" s="48" t="n">
        <f aca="false">ED$30*INDEX(Precio_O,10)*INDEX(IdxPrecio_O,1,MIN(10,ED$17))*(1+P_dPrecio)</f>
        <v>0</v>
      </c>
      <c r="EE55" s="48" t="n">
        <f aca="false">EE$30*INDEX(Precio_O,10)*INDEX(IdxPrecio_O,1,MIN(10,EE$17))*(1+P_dPrecio)</f>
        <v>0</v>
      </c>
      <c r="EF55" s="48" t="n">
        <f aca="false">EF$30*INDEX(Precio_O,10)*INDEX(IdxPrecio_O,1,MIN(10,EF$17))*(1+P_dPrecio)</f>
        <v>0</v>
      </c>
      <c r="EG55" s="48" t="n">
        <f aca="false">EG$30*INDEX(Precio_O,10)*INDEX(IdxPrecio_O,1,MIN(10,EG$17))*(1+P_dPrecio)</f>
        <v>0</v>
      </c>
      <c r="EH55" s="48" t="n">
        <f aca="false">EH$30*INDEX(Precio_O,10)*INDEX(IdxPrecio_O,1,MIN(10,EH$17))*(1+P_dPrecio)</f>
        <v>0</v>
      </c>
      <c r="EI55" s="48" t="n">
        <f aca="false">EI$30*INDEX(Precio_O,10)*INDEX(IdxPrecio_O,1,MIN(10,EI$17))*(1+P_dPrecio)</f>
        <v>0</v>
      </c>
      <c r="EJ55" s="48" t="n">
        <f aca="false">EJ$30*INDEX(Precio_O,10)*INDEX(IdxPrecio_O,1,MIN(10,EJ$17))*(1+P_dPrecio)</f>
        <v>0</v>
      </c>
      <c r="EK55" s="48" t="n">
        <f aca="false">EK$30*INDEX(Precio_O,10)*INDEX(IdxPrecio_O,1,MIN(10,EK$17))*(1+P_dPrecio)</f>
        <v>0</v>
      </c>
      <c r="EL55" s="48" t="n">
        <f aca="false">EL$30*INDEX(Precio_O,10)*INDEX(IdxPrecio_O,1,MIN(10,EL$17))*(1+P_dPrecio)</f>
        <v>0</v>
      </c>
      <c r="EM55" s="48" t="n">
        <f aca="false">EM$30*INDEX(Precio_O,10)*INDEX(IdxPrecio_O,1,MIN(10,EM$17))*(1+P_dPrecio)</f>
        <v>0</v>
      </c>
      <c r="EN55" s="48" t="n">
        <f aca="false">EN$30*INDEX(Precio_O,10)*INDEX(IdxPrecio_O,1,MIN(10,EN$17))*(1+P_dPrecio)</f>
        <v>0</v>
      </c>
      <c r="EO55" s="48" t="n">
        <f aca="false">EO$30*INDEX(Precio_O,10)*INDEX(IdxPrecio_O,1,MIN(10,EO$17))*(1+P_dPrecio)</f>
        <v>0</v>
      </c>
      <c r="EP55" s="48" t="n">
        <f aca="false">EP$30*INDEX(Precio_O,10)*INDEX(IdxPrecio_O,1,MIN(10,EP$17))*(1+P_dPrecio)</f>
        <v>0</v>
      </c>
      <c r="EQ55" s="48" t="n">
        <f aca="false">EQ$30*INDEX(Precio_O,10)*INDEX(IdxPrecio_O,1,MIN(10,EQ$17))*(1+P_dPrecio)</f>
        <v>0</v>
      </c>
      <c r="ER55" s="48" t="n">
        <f aca="false">ER$30*INDEX(Precio_O,10)*INDEX(IdxPrecio_O,1,MIN(10,ER$17))*(1+P_dPrecio)</f>
        <v>0</v>
      </c>
      <c r="ES55" s="48" t="n">
        <f aca="false">ES$30*INDEX(Precio_O,10)*INDEX(IdxPrecio_O,1,MIN(10,ES$17))*(1+P_dPrecio)</f>
        <v>0</v>
      </c>
    </row>
    <row r="56" customFormat="false" ht="15" hidden="false" customHeight="false" outlineLevel="0" collapsed="false">
      <c r="A56" s="11" t="s">
        <v>1101</v>
      </c>
      <c r="B56" s="53" t="str">
        <f aca="false">IF(INDEX(Prod_Nombre,11)="","Producto 11",INDEX(Prod_Nombre,11))&amp;" — ventas USD"</f>
        <v>Producto 11 — ventas USD</v>
      </c>
      <c r="C56" s="15" t="s">
        <v>508</v>
      </c>
      <c r="E56" s="54" t="n">
        <f aca="false">SUM(F56:ES56)</f>
        <v>0</v>
      </c>
      <c r="F56" s="48" t="n">
        <f aca="false">F$31*INDEX(Precio_O,11)*INDEX(IdxPrecio_O,1,MIN(10,F$17))*(1+P_dPrecio)</f>
        <v>0</v>
      </c>
      <c r="G56" s="48" t="n">
        <f aca="false">G$31*INDEX(Precio_O,11)*INDEX(IdxPrecio_O,1,MIN(10,G$17))*(1+P_dPrecio)</f>
        <v>0</v>
      </c>
      <c r="H56" s="48" t="n">
        <f aca="false">H$31*INDEX(Precio_O,11)*INDEX(IdxPrecio_O,1,MIN(10,H$17))*(1+P_dPrecio)</f>
        <v>0</v>
      </c>
      <c r="I56" s="48" t="n">
        <f aca="false">I$31*INDEX(Precio_O,11)*INDEX(IdxPrecio_O,1,MIN(10,I$17))*(1+P_dPrecio)</f>
        <v>0</v>
      </c>
      <c r="J56" s="48" t="n">
        <f aca="false">J$31*INDEX(Precio_O,11)*INDEX(IdxPrecio_O,1,MIN(10,J$17))*(1+P_dPrecio)</f>
        <v>0</v>
      </c>
      <c r="K56" s="48" t="n">
        <f aca="false">K$31*INDEX(Precio_O,11)*INDEX(IdxPrecio_O,1,MIN(10,K$17))*(1+P_dPrecio)</f>
        <v>0</v>
      </c>
      <c r="L56" s="48" t="n">
        <f aca="false">L$31*INDEX(Precio_O,11)*INDEX(IdxPrecio_O,1,MIN(10,L$17))*(1+P_dPrecio)</f>
        <v>0</v>
      </c>
      <c r="M56" s="48" t="n">
        <f aca="false">M$31*INDEX(Precio_O,11)*INDEX(IdxPrecio_O,1,MIN(10,M$17))*(1+P_dPrecio)</f>
        <v>0</v>
      </c>
      <c r="N56" s="48" t="n">
        <f aca="false">N$31*INDEX(Precio_O,11)*INDEX(IdxPrecio_O,1,MIN(10,N$17))*(1+P_dPrecio)</f>
        <v>0</v>
      </c>
      <c r="O56" s="48" t="n">
        <f aca="false">O$31*INDEX(Precio_O,11)*INDEX(IdxPrecio_O,1,MIN(10,O$17))*(1+P_dPrecio)</f>
        <v>0</v>
      </c>
      <c r="P56" s="48" t="n">
        <f aca="false">P$31*INDEX(Precio_O,11)*INDEX(IdxPrecio_O,1,MIN(10,P$17))*(1+P_dPrecio)</f>
        <v>0</v>
      </c>
      <c r="Q56" s="48" t="n">
        <f aca="false">Q$31*INDEX(Precio_O,11)*INDEX(IdxPrecio_O,1,MIN(10,Q$17))*(1+P_dPrecio)</f>
        <v>0</v>
      </c>
      <c r="R56" s="48" t="n">
        <f aca="false">R$31*INDEX(Precio_O,11)*INDEX(IdxPrecio_O,1,MIN(10,R$17))*(1+P_dPrecio)</f>
        <v>0</v>
      </c>
      <c r="S56" s="48" t="n">
        <f aca="false">S$31*INDEX(Precio_O,11)*INDEX(IdxPrecio_O,1,MIN(10,S$17))*(1+P_dPrecio)</f>
        <v>0</v>
      </c>
      <c r="T56" s="48" t="n">
        <f aca="false">T$31*INDEX(Precio_O,11)*INDEX(IdxPrecio_O,1,MIN(10,T$17))*(1+P_dPrecio)</f>
        <v>0</v>
      </c>
      <c r="U56" s="48" t="n">
        <f aca="false">U$31*INDEX(Precio_O,11)*INDEX(IdxPrecio_O,1,MIN(10,U$17))*(1+P_dPrecio)</f>
        <v>0</v>
      </c>
      <c r="V56" s="48" t="n">
        <f aca="false">V$31*INDEX(Precio_O,11)*INDEX(IdxPrecio_O,1,MIN(10,V$17))*(1+P_dPrecio)</f>
        <v>0</v>
      </c>
      <c r="W56" s="48" t="n">
        <f aca="false">W$31*INDEX(Precio_O,11)*INDEX(IdxPrecio_O,1,MIN(10,W$17))*(1+P_dPrecio)</f>
        <v>0</v>
      </c>
      <c r="X56" s="48" t="n">
        <f aca="false">X$31*INDEX(Precio_O,11)*INDEX(IdxPrecio_O,1,MIN(10,X$17))*(1+P_dPrecio)</f>
        <v>0</v>
      </c>
      <c r="Y56" s="48" t="n">
        <f aca="false">Y$31*INDEX(Precio_O,11)*INDEX(IdxPrecio_O,1,MIN(10,Y$17))*(1+P_dPrecio)</f>
        <v>0</v>
      </c>
      <c r="Z56" s="48" t="n">
        <f aca="false">Z$31*INDEX(Precio_O,11)*INDEX(IdxPrecio_O,1,MIN(10,Z$17))*(1+P_dPrecio)</f>
        <v>0</v>
      </c>
      <c r="AA56" s="48" t="n">
        <f aca="false">AA$31*INDEX(Precio_O,11)*INDEX(IdxPrecio_O,1,MIN(10,AA$17))*(1+P_dPrecio)</f>
        <v>0</v>
      </c>
      <c r="AB56" s="48" t="n">
        <f aca="false">AB$31*INDEX(Precio_O,11)*INDEX(IdxPrecio_O,1,MIN(10,AB$17))*(1+P_dPrecio)</f>
        <v>0</v>
      </c>
      <c r="AC56" s="48" t="n">
        <f aca="false">AC$31*INDEX(Precio_O,11)*INDEX(IdxPrecio_O,1,MIN(10,AC$17))*(1+P_dPrecio)</f>
        <v>0</v>
      </c>
      <c r="AD56" s="48" t="n">
        <f aca="false">AD$31*INDEX(Precio_O,11)*INDEX(IdxPrecio_O,1,MIN(10,AD$17))*(1+P_dPrecio)</f>
        <v>0</v>
      </c>
      <c r="AE56" s="48" t="n">
        <f aca="false">AE$31*INDEX(Precio_O,11)*INDEX(IdxPrecio_O,1,MIN(10,AE$17))*(1+P_dPrecio)</f>
        <v>0</v>
      </c>
      <c r="AF56" s="48" t="n">
        <f aca="false">AF$31*INDEX(Precio_O,11)*INDEX(IdxPrecio_O,1,MIN(10,AF$17))*(1+P_dPrecio)</f>
        <v>0</v>
      </c>
      <c r="AG56" s="48" t="n">
        <f aca="false">AG$31*INDEX(Precio_O,11)*INDEX(IdxPrecio_O,1,MIN(10,AG$17))*(1+P_dPrecio)</f>
        <v>0</v>
      </c>
      <c r="AH56" s="48" t="n">
        <f aca="false">AH$31*INDEX(Precio_O,11)*INDEX(IdxPrecio_O,1,MIN(10,AH$17))*(1+P_dPrecio)</f>
        <v>0</v>
      </c>
      <c r="AI56" s="48" t="n">
        <f aca="false">AI$31*INDEX(Precio_O,11)*INDEX(IdxPrecio_O,1,MIN(10,AI$17))*(1+P_dPrecio)</f>
        <v>0</v>
      </c>
      <c r="AJ56" s="48" t="n">
        <f aca="false">AJ$31*INDEX(Precio_O,11)*INDEX(IdxPrecio_O,1,MIN(10,AJ$17))*(1+P_dPrecio)</f>
        <v>0</v>
      </c>
      <c r="AK56" s="48" t="n">
        <f aca="false">AK$31*INDEX(Precio_O,11)*INDEX(IdxPrecio_O,1,MIN(10,AK$17))*(1+P_dPrecio)</f>
        <v>0</v>
      </c>
      <c r="AL56" s="48" t="n">
        <f aca="false">AL$31*INDEX(Precio_O,11)*INDEX(IdxPrecio_O,1,MIN(10,AL$17))*(1+P_dPrecio)</f>
        <v>0</v>
      </c>
      <c r="AM56" s="48" t="n">
        <f aca="false">AM$31*INDEX(Precio_O,11)*INDEX(IdxPrecio_O,1,MIN(10,AM$17))*(1+P_dPrecio)</f>
        <v>0</v>
      </c>
      <c r="AN56" s="48" t="n">
        <f aca="false">AN$31*INDEX(Precio_O,11)*INDEX(IdxPrecio_O,1,MIN(10,AN$17))*(1+P_dPrecio)</f>
        <v>0</v>
      </c>
      <c r="AO56" s="48" t="n">
        <f aca="false">AO$31*INDEX(Precio_O,11)*INDEX(IdxPrecio_O,1,MIN(10,AO$17))*(1+P_dPrecio)</f>
        <v>0</v>
      </c>
      <c r="AP56" s="48" t="n">
        <f aca="false">AP$31*INDEX(Precio_O,11)*INDEX(IdxPrecio_O,1,MIN(10,AP$17))*(1+P_dPrecio)</f>
        <v>0</v>
      </c>
      <c r="AQ56" s="48" t="n">
        <f aca="false">AQ$31*INDEX(Precio_O,11)*INDEX(IdxPrecio_O,1,MIN(10,AQ$17))*(1+P_dPrecio)</f>
        <v>0</v>
      </c>
      <c r="AR56" s="48" t="n">
        <f aca="false">AR$31*INDEX(Precio_O,11)*INDEX(IdxPrecio_O,1,MIN(10,AR$17))*(1+P_dPrecio)</f>
        <v>0</v>
      </c>
      <c r="AS56" s="48" t="n">
        <f aca="false">AS$31*INDEX(Precio_O,11)*INDEX(IdxPrecio_O,1,MIN(10,AS$17))*(1+P_dPrecio)</f>
        <v>0</v>
      </c>
      <c r="AT56" s="48" t="n">
        <f aca="false">AT$31*INDEX(Precio_O,11)*INDEX(IdxPrecio_O,1,MIN(10,AT$17))*(1+P_dPrecio)</f>
        <v>0</v>
      </c>
      <c r="AU56" s="48" t="n">
        <f aca="false">AU$31*INDEX(Precio_O,11)*INDEX(IdxPrecio_O,1,MIN(10,AU$17))*(1+P_dPrecio)</f>
        <v>0</v>
      </c>
      <c r="AV56" s="48" t="n">
        <f aca="false">AV$31*INDEX(Precio_O,11)*INDEX(IdxPrecio_O,1,MIN(10,AV$17))*(1+P_dPrecio)</f>
        <v>0</v>
      </c>
      <c r="AW56" s="48" t="n">
        <f aca="false">AW$31*INDEX(Precio_O,11)*INDEX(IdxPrecio_O,1,MIN(10,AW$17))*(1+P_dPrecio)</f>
        <v>0</v>
      </c>
      <c r="AX56" s="48" t="n">
        <f aca="false">AX$31*INDEX(Precio_O,11)*INDEX(IdxPrecio_O,1,MIN(10,AX$17))*(1+P_dPrecio)</f>
        <v>0</v>
      </c>
      <c r="AY56" s="48" t="n">
        <f aca="false">AY$31*INDEX(Precio_O,11)*INDEX(IdxPrecio_O,1,MIN(10,AY$17))*(1+P_dPrecio)</f>
        <v>0</v>
      </c>
      <c r="AZ56" s="48" t="n">
        <f aca="false">AZ$31*INDEX(Precio_O,11)*INDEX(IdxPrecio_O,1,MIN(10,AZ$17))*(1+P_dPrecio)</f>
        <v>0</v>
      </c>
      <c r="BA56" s="48" t="n">
        <f aca="false">BA$31*INDEX(Precio_O,11)*INDEX(IdxPrecio_O,1,MIN(10,BA$17))*(1+P_dPrecio)</f>
        <v>0</v>
      </c>
      <c r="BB56" s="48" t="n">
        <f aca="false">BB$31*INDEX(Precio_O,11)*INDEX(IdxPrecio_O,1,MIN(10,BB$17))*(1+P_dPrecio)</f>
        <v>0</v>
      </c>
      <c r="BC56" s="48" t="n">
        <f aca="false">BC$31*INDEX(Precio_O,11)*INDEX(IdxPrecio_O,1,MIN(10,BC$17))*(1+P_dPrecio)</f>
        <v>0</v>
      </c>
      <c r="BD56" s="48" t="n">
        <f aca="false">BD$31*INDEX(Precio_O,11)*INDEX(IdxPrecio_O,1,MIN(10,BD$17))*(1+P_dPrecio)</f>
        <v>0</v>
      </c>
      <c r="BE56" s="48" t="n">
        <f aca="false">BE$31*INDEX(Precio_O,11)*INDEX(IdxPrecio_O,1,MIN(10,BE$17))*(1+P_dPrecio)</f>
        <v>0</v>
      </c>
      <c r="BF56" s="48" t="n">
        <f aca="false">BF$31*INDEX(Precio_O,11)*INDEX(IdxPrecio_O,1,MIN(10,BF$17))*(1+P_dPrecio)</f>
        <v>0</v>
      </c>
      <c r="BG56" s="48" t="n">
        <f aca="false">BG$31*INDEX(Precio_O,11)*INDEX(IdxPrecio_O,1,MIN(10,BG$17))*(1+P_dPrecio)</f>
        <v>0</v>
      </c>
      <c r="BH56" s="48" t="n">
        <f aca="false">BH$31*INDEX(Precio_O,11)*INDEX(IdxPrecio_O,1,MIN(10,BH$17))*(1+P_dPrecio)</f>
        <v>0</v>
      </c>
      <c r="BI56" s="48" t="n">
        <f aca="false">BI$31*INDEX(Precio_O,11)*INDEX(IdxPrecio_O,1,MIN(10,BI$17))*(1+P_dPrecio)</f>
        <v>0</v>
      </c>
      <c r="BJ56" s="48" t="n">
        <f aca="false">BJ$31*INDEX(Precio_O,11)*INDEX(IdxPrecio_O,1,MIN(10,BJ$17))*(1+P_dPrecio)</f>
        <v>0</v>
      </c>
      <c r="BK56" s="48" t="n">
        <f aca="false">BK$31*INDEX(Precio_O,11)*INDEX(IdxPrecio_O,1,MIN(10,BK$17))*(1+P_dPrecio)</f>
        <v>0</v>
      </c>
      <c r="BL56" s="48" t="n">
        <f aca="false">BL$31*INDEX(Precio_O,11)*INDEX(IdxPrecio_O,1,MIN(10,BL$17))*(1+P_dPrecio)</f>
        <v>0</v>
      </c>
      <c r="BM56" s="48" t="n">
        <f aca="false">BM$31*INDEX(Precio_O,11)*INDEX(IdxPrecio_O,1,MIN(10,BM$17))*(1+P_dPrecio)</f>
        <v>0</v>
      </c>
      <c r="BN56" s="48" t="n">
        <f aca="false">BN$31*INDEX(Precio_O,11)*INDEX(IdxPrecio_O,1,MIN(10,BN$17))*(1+P_dPrecio)</f>
        <v>0</v>
      </c>
      <c r="BO56" s="48" t="n">
        <f aca="false">BO$31*INDEX(Precio_O,11)*INDEX(IdxPrecio_O,1,MIN(10,BO$17))*(1+P_dPrecio)</f>
        <v>0</v>
      </c>
      <c r="BP56" s="48" t="n">
        <f aca="false">BP$31*INDEX(Precio_O,11)*INDEX(IdxPrecio_O,1,MIN(10,BP$17))*(1+P_dPrecio)</f>
        <v>0</v>
      </c>
      <c r="BQ56" s="48" t="n">
        <f aca="false">BQ$31*INDEX(Precio_O,11)*INDEX(IdxPrecio_O,1,MIN(10,BQ$17))*(1+P_dPrecio)</f>
        <v>0</v>
      </c>
      <c r="BR56" s="48" t="n">
        <f aca="false">BR$31*INDEX(Precio_O,11)*INDEX(IdxPrecio_O,1,MIN(10,BR$17))*(1+P_dPrecio)</f>
        <v>0</v>
      </c>
      <c r="BS56" s="48" t="n">
        <f aca="false">BS$31*INDEX(Precio_O,11)*INDEX(IdxPrecio_O,1,MIN(10,BS$17))*(1+P_dPrecio)</f>
        <v>0</v>
      </c>
      <c r="BT56" s="48" t="n">
        <f aca="false">BT$31*INDEX(Precio_O,11)*INDEX(IdxPrecio_O,1,MIN(10,BT$17))*(1+P_dPrecio)</f>
        <v>0</v>
      </c>
      <c r="BU56" s="48" t="n">
        <f aca="false">BU$31*INDEX(Precio_O,11)*INDEX(IdxPrecio_O,1,MIN(10,BU$17))*(1+P_dPrecio)</f>
        <v>0</v>
      </c>
      <c r="BV56" s="48" t="n">
        <f aca="false">BV$31*INDEX(Precio_O,11)*INDEX(IdxPrecio_O,1,MIN(10,BV$17))*(1+P_dPrecio)</f>
        <v>0</v>
      </c>
      <c r="BW56" s="48" t="n">
        <f aca="false">BW$31*INDEX(Precio_O,11)*INDEX(IdxPrecio_O,1,MIN(10,BW$17))*(1+P_dPrecio)</f>
        <v>0</v>
      </c>
      <c r="BX56" s="48" t="n">
        <f aca="false">BX$31*INDEX(Precio_O,11)*INDEX(IdxPrecio_O,1,MIN(10,BX$17))*(1+P_dPrecio)</f>
        <v>0</v>
      </c>
      <c r="BY56" s="48" t="n">
        <f aca="false">BY$31*INDEX(Precio_O,11)*INDEX(IdxPrecio_O,1,MIN(10,BY$17))*(1+P_dPrecio)</f>
        <v>0</v>
      </c>
      <c r="BZ56" s="48" t="n">
        <f aca="false">BZ$31*INDEX(Precio_O,11)*INDEX(IdxPrecio_O,1,MIN(10,BZ$17))*(1+P_dPrecio)</f>
        <v>0</v>
      </c>
      <c r="CA56" s="48" t="n">
        <f aca="false">CA$31*INDEX(Precio_O,11)*INDEX(IdxPrecio_O,1,MIN(10,CA$17))*(1+P_dPrecio)</f>
        <v>0</v>
      </c>
      <c r="CB56" s="48" t="n">
        <f aca="false">CB$31*INDEX(Precio_O,11)*INDEX(IdxPrecio_O,1,MIN(10,CB$17))*(1+P_dPrecio)</f>
        <v>0</v>
      </c>
      <c r="CC56" s="48" t="n">
        <f aca="false">CC$31*INDEX(Precio_O,11)*INDEX(IdxPrecio_O,1,MIN(10,CC$17))*(1+P_dPrecio)</f>
        <v>0</v>
      </c>
      <c r="CD56" s="48" t="n">
        <f aca="false">CD$31*INDEX(Precio_O,11)*INDEX(IdxPrecio_O,1,MIN(10,CD$17))*(1+P_dPrecio)</f>
        <v>0</v>
      </c>
      <c r="CE56" s="48" t="n">
        <f aca="false">CE$31*INDEX(Precio_O,11)*INDEX(IdxPrecio_O,1,MIN(10,CE$17))*(1+P_dPrecio)</f>
        <v>0</v>
      </c>
      <c r="CF56" s="48" t="n">
        <f aca="false">CF$31*INDEX(Precio_O,11)*INDEX(IdxPrecio_O,1,MIN(10,CF$17))*(1+P_dPrecio)</f>
        <v>0</v>
      </c>
      <c r="CG56" s="48" t="n">
        <f aca="false">CG$31*INDEX(Precio_O,11)*INDEX(IdxPrecio_O,1,MIN(10,CG$17))*(1+P_dPrecio)</f>
        <v>0</v>
      </c>
      <c r="CH56" s="48" t="n">
        <f aca="false">CH$31*INDEX(Precio_O,11)*INDEX(IdxPrecio_O,1,MIN(10,CH$17))*(1+P_dPrecio)</f>
        <v>0</v>
      </c>
      <c r="CI56" s="48" t="n">
        <f aca="false">CI$31*INDEX(Precio_O,11)*INDEX(IdxPrecio_O,1,MIN(10,CI$17))*(1+P_dPrecio)</f>
        <v>0</v>
      </c>
      <c r="CJ56" s="48" t="n">
        <f aca="false">CJ$31*INDEX(Precio_O,11)*INDEX(IdxPrecio_O,1,MIN(10,CJ$17))*(1+P_dPrecio)</f>
        <v>0</v>
      </c>
      <c r="CK56" s="48" t="n">
        <f aca="false">CK$31*INDEX(Precio_O,11)*INDEX(IdxPrecio_O,1,MIN(10,CK$17))*(1+P_dPrecio)</f>
        <v>0</v>
      </c>
      <c r="CL56" s="48" t="n">
        <f aca="false">CL$31*INDEX(Precio_O,11)*INDEX(IdxPrecio_O,1,MIN(10,CL$17))*(1+P_dPrecio)</f>
        <v>0</v>
      </c>
      <c r="CM56" s="48" t="n">
        <f aca="false">CM$31*INDEX(Precio_O,11)*INDEX(IdxPrecio_O,1,MIN(10,CM$17))*(1+P_dPrecio)</f>
        <v>0</v>
      </c>
      <c r="CN56" s="48" t="n">
        <f aca="false">CN$31*INDEX(Precio_O,11)*INDEX(IdxPrecio_O,1,MIN(10,CN$17))*(1+P_dPrecio)</f>
        <v>0</v>
      </c>
      <c r="CO56" s="48" t="n">
        <f aca="false">CO$31*INDEX(Precio_O,11)*INDEX(IdxPrecio_O,1,MIN(10,CO$17))*(1+P_dPrecio)</f>
        <v>0</v>
      </c>
      <c r="CP56" s="48" t="n">
        <f aca="false">CP$31*INDEX(Precio_O,11)*INDEX(IdxPrecio_O,1,MIN(10,CP$17))*(1+P_dPrecio)</f>
        <v>0</v>
      </c>
      <c r="CQ56" s="48" t="n">
        <f aca="false">CQ$31*INDEX(Precio_O,11)*INDEX(IdxPrecio_O,1,MIN(10,CQ$17))*(1+P_dPrecio)</f>
        <v>0</v>
      </c>
      <c r="CR56" s="48" t="n">
        <f aca="false">CR$31*INDEX(Precio_O,11)*INDEX(IdxPrecio_O,1,MIN(10,CR$17))*(1+P_dPrecio)</f>
        <v>0</v>
      </c>
      <c r="CS56" s="48" t="n">
        <f aca="false">CS$31*INDEX(Precio_O,11)*INDEX(IdxPrecio_O,1,MIN(10,CS$17))*(1+P_dPrecio)</f>
        <v>0</v>
      </c>
      <c r="CT56" s="48" t="n">
        <f aca="false">CT$31*INDEX(Precio_O,11)*INDEX(IdxPrecio_O,1,MIN(10,CT$17))*(1+P_dPrecio)</f>
        <v>0</v>
      </c>
      <c r="CU56" s="48" t="n">
        <f aca="false">CU$31*INDEX(Precio_O,11)*INDEX(IdxPrecio_O,1,MIN(10,CU$17))*(1+P_dPrecio)</f>
        <v>0</v>
      </c>
      <c r="CV56" s="48" t="n">
        <f aca="false">CV$31*INDEX(Precio_O,11)*INDEX(IdxPrecio_O,1,MIN(10,CV$17))*(1+P_dPrecio)</f>
        <v>0</v>
      </c>
      <c r="CW56" s="48" t="n">
        <f aca="false">CW$31*INDEX(Precio_O,11)*INDEX(IdxPrecio_O,1,MIN(10,CW$17))*(1+P_dPrecio)</f>
        <v>0</v>
      </c>
      <c r="CX56" s="48" t="n">
        <f aca="false">CX$31*INDEX(Precio_O,11)*INDEX(IdxPrecio_O,1,MIN(10,CX$17))*(1+P_dPrecio)</f>
        <v>0</v>
      </c>
      <c r="CY56" s="48" t="n">
        <f aca="false">CY$31*INDEX(Precio_O,11)*INDEX(IdxPrecio_O,1,MIN(10,CY$17))*(1+P_dPrecio)</f>
        <v>0</v>
      </c>
      <c r="CZ56" s="48" t="n">
        <f aca="false">CZ$31*INDEX(Precio_O,11)*INDEX(IdxPrecio_O,1,MIN(10,CZ$17))*(1+P_dPrecio)</f>
        <v>0</v>
      </c>
      <c r="DA56" s="48" t="n">
        <f aca="false">DA$31*INDEX(Precio_O,11)*INDEX(IdxPrecio_O,1,MIN(10,DA$17))*(1+P_dPrecio)</f>
        <v>0</v>
      </c>
      <c r="DB56" s="48" t="n">
        <f aca="false">DB$31*INDEX(Precio_O,11)*INDEX(IdxPrecio_O,1,MIN(10,DB$17))*(1+P_dPrecio)</f>
        <v>0</v>
      </c>
      <c r="DC56" s="48" t="n">
        <f aca="false">DC$31*INDEX(Precio_O,11)*INDEX(IdxPrecio_O,1,MIN(10,DC$17))*(1+P_dPrecio)</f>
        <v>0</v>
      </c>
      <c r="DD56" s="48" t="n">
        <f aca="false">DD$31*INDEX(Precio_O,11)*INDEX(IdxPrecio_O,1,MIN(10,DD$17))*(1+P_dPrecio)</f>
        <v>0</v>
      </c>
      <c r="DE56" s="48" t="n">
        <f aca="false">DE$31*INDEX(Precio_O,11)*INDEX(IdxPrecio_O,1,MIN(10,DE$17))*(1+P_dPrecio)</f>
        <v>0</v>
      </c>
      <c r="DF56" s="48" t="n">
        <f aca="false">DF$31*INDEX(Precio_O,11)*INDEX(IdxPrecio_O,1,MIN(10,DF$17))*(1+P_dPrecio)</f>
        <v>0</v>
      </c>
      <c r="DG56" s="48" t="n">
        <f aca="false">DG$31*INDEX(Precio_O,11)*INDEX(IdxPrecio_O,1,MIN(10,DG$17))*(1+P_dPrecio)</f>
        <v>0</v>
      </c>
      <c r="DH56" s="48" t="n">
        <f aca="false">DH$31*INDEX(Precio_O,11)*INDEX(IdxPrecio_O,1,MIN(10,DH$17))*(1+P_dPrecio)</f>
        <v>0</v>
      </c>
      <c r="DI56" s="48" t="n">
        <f aca="false">DI$31*INDEX(Precio_O,11)*INDEX(IdxPrecio_O,1,MIN(10,DI$17))*(1+P_dPrecio)</f>
        <v>0</v>
      </c>
      <c r="DJ56" s="48" t="n">
        <f aca="false">DJ$31*INDEX(Precio_O,11)*INDEX(IdxPrecio_O,1,MIN(10,DJ$17))*(1+P_dPrecio)</f>
        <v>0</v>
      </c>
      <c r="DK56" s="48" t="n">
        <f aca="false">DK$31*INDEX(Precio_O,11)*INDEX(IdxPrecio_O,1,MIN(10,DK$17))*(1+P_dPrecio)</f>
        <v>0</v>
      </c>
      <c r="DL56" s="48" t="n">
        <f aca="false">DL$31*INDEX(Precio_O,11)*INDEX(IdxPrecio_O,1,MIN(10,DL$17))*(1+P_dPrecio)</f>
        <v>0</v>
      </c>
      <c r="DM56" s="48" t="n">
        <f aca="false">DM$31*INDEX(Precio_O,11)*INDEX(IdxPrecio_O,1,MIN(10,DM$17))*(1+P_dPrecio)</f>
        <v>0</v>
      </c>
      <c r="DN56" s="48" t="n">
        <f aca="false">DN$31*INDEX(Precio_O,11)*INDEX(IdxPrecio_O,1,MIN(10,DN$17))*(1+P_dPrecio)</f>
        <v>0</v>
      </c>
      <c r="DO56" s="48" t="n">
        <f aca="false">DO$31*INDEX(Precio_O,11)*INDEX(IdxPrecio_O,1,MIN(10,DO$17))*(1+P_dPrecio)</f>
        <v>0</v>
      </c>
      <c r="DP56" s="48" t="n">
        <f aca="false">DP$31*INDEX(Precio_O,11)*INDEX(IdxPrecio_O,1,MIN(10,DP$17))*(1+P_dPrecio)</f>
        <v>0</v>
      </c>
      <c r="DQ56" s="48" t="n">
        <f aca="false">DQ$31*INDEX(Precio_O,11)*INDEX(IdxPrecio_O,1,MIN(10,DQ$17))*(1+P_dPrecio)</f>
        <v>0</v>
      </c>
      <c r="DR56" s="48" t="n">
        <f aca="false">DR$31*INDEX(Precio_O,11)*INDEX(IdxPrecio_O,1,MIN(10,DR$17))*(1+P_dPrecio)</f>
        <v>0</v>
      </c>
      <c r="DS56" s="48" t="n">
        <f aca="false">DS$31*INDEX(Precio_O,11)*INDEX(IdxPrecio_O,1,MIN(10,DS$17))*(1+P_dPrecio)</f>
        <v>0</v>
      </c>
      <c r="DT56" s="48" t="n">
        <f aca="false">DT$31*INDEX(Precio_O,11)*INDEX(IdxPrecio_O,1,MIN(10,DT$17))*(1+P_dPrecio)</f>
        <v>0</v>
      </c>
      <c r="DU56" s="48" t="n">
        <f aca="false">DU$31*INDEX(Precio_O,11)*INDEX(IdxPrecio_O,1,MIN(10,DU$17))*(1+P_dPrecio)</f>
        <v>0</v>
      </c>
      <c r="DV56" s="48" t="n">
        <f aca="false">DV$31*INDEX(Precio_O,11)*INDEX(IdxPrecio_O,1,MIN(10,DV$17))*(1+P_dPrecio)</f>
        <v>0</v>
      </c>
      <c r="DW56" s="48" t="n">
        <f aca="false">DW$31*INDEX(Precio_O,11)*INDEX(IdxPrecio_O,1,MIN(10,DW$17))*(1+P_dPrecio)</f>
        <v>0</v>
      </c>
      <c r="DX56" s="48" t="n">
        <f aca="false">DX$31*INDEX(Precio_O,11)*INDEX(IdxPrecio_O,1,MIN(10,DX$17))*(1+P_dPrecio)</f>
        <v>0</v>
      </c>
      <c r="DY56" s="48" t="n">
        <f aca="false">DY$31*INDEX(Precio_O,11)*INDEX(IdxPrecio_O,1,MIN(10,DY$17))*(1+P_dPrecio)</f>
        <v>0</v>
      </c>
      <c r="DZ56" s="48" t="n">
        <f aca="false">DZ$31*INDEX(Precio_O,11)*INDEX(IdxPrecio_O,1,MIN(10,DZ$17))*(1+P_dPrecio)</f>
        <v>0</v>
      </c>
      <c r="EA56" s="48" t="n">
        <f aca="false">EA$31*INDEX(Precio_O,11)*INDEX(IdxPrecio_O,1,MIN(10,EA$17))*(1+P_dPrecio)</f>
        <v>0</v>
      </c>
      <c r="EB56" s="48" t="n">
        <f aca="false">EB$31*INDEX(Precio_O,11)*INDEX(IdxPrecio_O,1,MIN(10,EB$17))*(1+P_dPrecio)</f>
        <v>0</v>
      </c>
      <c r="EC56" s="48" t="n">
        <f aca="false">EC$31*INDEX(Precio_O,11)*INDEX(IdxPrecio_O,1,MIN(10,EC$17))*(1+P_dPrecio)</f>
        <v>0</v>
      </c>
      <c r="ED56" s="48" t="n">
        <f aca="false">ED$31*INDEX(Precio_O,11)*INDEX(IdxPrecio_O,1,MIN(10,ED$17))*(1+P_dPrecio)</f>
        <v>0</v>
      </c>
      <c r="EE56" s="48" t="n">
        <f aca="false">EE$31*INDEX(Precio_O,11)*INDEX(IdxPrecio_O,1,MIN(10,EE$17))*(1+P_dPrecio)</f>
        <v>0</v>
      </c>
      <c r="EF56" s="48" t="n">
        <f aca="false">EF$31*INDEX(Precio_O,11)*INDEX(IdxPrecio_O,1,MIN(10,EF$17))*(1+P_dPrecio)</f>
        <v>0</v>
      </c>
      <c r="EG56" s="48" t="n">
        <f aca="false">EG$31*INDEX(Precio_O,11)*INDEX(IdxPrecio_O,1,MIN(10,EG$17))*(1+P_dPrecio)</f>
        <v>0</v>
      </c>
      <c r="EH56" s="48" t="n">
        <f aca="false">EH$31*INDEX(Precio_O,11)*INDEX(IdxPrecio_O,1,MIN(10,EH$17))*(1+P_dPrecio)</f>
        <v>0</v>
      </c>
      <c r="EI56" s="48" t="n">
        <f aca="false">EI$31*INDEX(Precio_O,11)*INDEX(IdxPrecio_O,1,MIN(10,EI$17))*(1+P_dPrecio)</f>
        <v>0</v>
      </c>
      <c r="EJ56" s="48" t="n">
        <f aca="false">EJ$31*INDEX(Precio_O,11)*INDEX(IdxPrecio_O,1,MIN(10,EJ$17))*(1+P_dPrecio)</f>
        <v>0</v>
      </c>
      <c r="EK56" s="48" t="n">
        <f aca="false">EK$31*INDEX(Precio_O,11)*INDEX(IdxPrecio_O,1,MIN(10,EK$17))*(1+P_dPrecio)</f>
        <v>0</v>
      </c>
      <c r="EL56" s="48" t="n">
        <f aca="false">EL$31*INDEX(Precio_O,11)*INDEX(IdxPrecio_O,1,MIN(10,EL$17))*(1+P_dPrecio)</f>
        <v>0</v>
      </c>
      <c r="EM56" s="48" t="n">
        <f aca="false">EM$31*INDEX(Precio_O,11)*INDEX(IdxPrecio_O,1,MIN(10,EM$17))*(1+P_dPrecio)</f>
        <v>0</v>
      </c>
      <c r="EN56" s="48" t="n">
        <f aca="false">EN$31*INDEX(Precio_O,11)*INDEX(IdxPrecio_O,1,MIN(10,EN$17))*(1+P_dPrecio)</f>
        <v>0</v>
      </c>
      <c r="EO56" s="48" t="n">
        <f aca="false">EO$31*INDEX(Precio_O,11)*INDEX(IdxPrecio_O,1,MIN(10,EO$17))*(1+P_dPrecio)</f>
        <v>0</v>
      </c>
      <c r="EP56" s="48" t="n">
        <f aca="false">EP$31*INDEX(Precio_O,11)*INDEX(IdxPrecio_O,1,MIN(10,EP$17))*(1+P_dPrecio)</f>
        <v>0</v>
      </c>
      <c r="EQ56" s="48" t="n">
        <f aca="false">EQ$31*INDEX(Precio_O,11)*INDEX(IdxPrecio_O,1,MIN(10,EQ$17))*(1+P_dPrecio)</f>
        <v>0</v>
      </c>
      <c r="ER56" s="48" t="n">
        <f aca="false">ER$31*INDEX(Precio_O,11)*INDEX(IdxPrecio_O,1,MIN(10,ER$17))*(1+P_dPrecio)</f>
        <v>0</v>
      </c>
      <c r="ES56" s="48" t="n">
        <f aca="false">ES$31*INDEX(Precio_O,11)*INDEX(IdxPrecio_O,1,MIN(10,ES$17))*(1+P_dPrecio)</f>
        <v>0</v>
      </c>
    </row>
    <row r="57" customFormat="false" ht="15" hidden="false" customHeight="false" outlineLevel="0" collapsed="false">
      <c r="A57" s="11" t="s">
        <v>1102</v>
      </c>
      <c r="B57" s="53" t="str">
        <f aca="false">IF(INDEX(Prod_Nombre,12)="","Producto 12",INDEX(Prod_Nombre,12))&amp;" — ventas USD"</f>
        <v>Producto 12 — ventas USD</v>
      </c>
      <c r="C57" s="15" t="s">
        <v>508</v>
      </c>
      <c r="E57" s="54" t="n">
        <f aca="false">SUM(F57:ES57)</f>
        <v>0</v>
      </c>
      <c r="F57" s="48" t="n">
        <f aca="false">F$32*INDEX(Precio_O,12)*INDEX(IdxPrecio_O,1,MIN(10,F$17))*(1+P_dPrecio)</f>
        <v>0</v>
      </c>
      <c r="G57" s="48" t="n">
        <f aca="false">G$32*INDEX(Precio_O,12)*INDEX(IdxPrecio_O,1,MIN(10,G$17))*(1+P_dPrecio)</f>
        <v>0</v>
      </c>
      <c r="H57" s="48" t="n">
        <f aca="false">H$32*INDEX(Precio_O,12)*INDEX(IdxPrecio_O,1,MIN(10,H$17))*(1+P_dPrecio)</f>
        <v>0</v>
      </c>
      <c r="I57" s="48" t="n">
        <f aca="false">I$32*INDEX(Precio_O,12)*INDEX(IdxPrecio_O,1,MIN(10,I$17))*(1+P_dPrecio)</f>
        <v>0</v>
      </c>
      <c r="J57" s="48" t="n">
        <f aca="false">J$32*INDEX(Precio_O,12)*INDEX(IdxPrecio_O,1,MIN(10,J$17))*(1+P_dPrecio)</f>
        <v>0</v>
      </c>
      <c r="K57" s="48" t="n">
        <f aca="false">K$32*INDEX(Precio_O,12)*INDEX(IdxPrecio_O,1,MIN(10,K$17))*(1+P_dPrecio)</f>
        <v>0</v>
      </c>
      <c r="L57" s="48" t="n">
        <f aca="false">L$32*INDEX(Precio_O,12)*INDEX(IdxPrecio_O,1,MIN(10,L$17))*(1+P_dPrecio)</f>
        <v>0</v>
      </c>
      <c r="M57" s="48" t="n">
        <f aca="false">M$32*INDEX(Precio_O,12)*INDEX(IdxPrecio_O,1,MIN(10,M$17))*(1+P_dPrecio)</f>
        <v>0</v>
      </c>
      <c r="N57" s="48" t="n">
        <f aca="false">N$32*INDEX(Precio_O,12)*INDEX(IdxPrecio_O,1,MIN(10,N$17))*(1+P_dPrecio)</f>
        <v>0</v>
      </c>
      <c r="O57" s="48" t="n">
        <f aca="false">O$32*INDEX(Precio_O,12)*INDEX(IdxPrecio_O,1,MIN(10,O$17))*(1+P_dPrecio)</f>
        <v>0</v>
      </c>
      <c r="P57" s="48" t="n">
        <f aca="false">P$32*INDEX(Precio_O,12)*INDEX(IdxPrecio_O,1,MIN(10,P$17))*(1+P_dPrecio)</f>
        <v>0</v>
      </c>
      <c r="Q57" s="48" t="n">
        <f aca="false">Q$32*INDEX(Precio_O,12)*INDEX(IdxPrecio_O,1,MIN(10,Q$17))*(1+P_dPrecio)</f>
        <v>0</v>
      </c>
      <c r="R57" s="48" t="n">
        <f aca="false">R$32*INDEX(Precio_O,12)*INDEX(IdxPrecio_O,1,MIN(10,R$17))*(1+P_dPrecio)</f>
        <v>0</v>
      </c>
      <c r="S57" s="48" t="n">
        <f aca="false">S$32*INDEX(Precio_O,12)*INDEX(IdxPrecio_O,1,MIN(10,S$17))*(1+P_dPrecio)</f>
        <v>0</v>
      </c>
      <c r="T57" s="48" t="n">
        <f aca="false">T$32*INDEX(Precio_O,12)*INDEX(IdxPrecio_O,1,MIN(10,T$17))*(1+P_dPrecio)</f>
        <v>0</v>
      </c>
      <c r="U57" s="48" t="n">
        <f aca="false">U$32*INDEX(Precio_O,12)*INDEX(IdxPrecio_O,1,MIN(10,U$17))*(1+P_dPrecio)</f>
        <v>0</v>
      </c>
      <c r="V57" s="48" t="n">
        <f aca="false">V$32*INDEX(Precio_O,12)*INDEX(IdxPrecio_O,1,MIN(10,V$17))*(1+P_dPrecio)</f>
        <v>0</v>
      </c>
      <c r="W57" s="48" t="n">
        <f aca="false">W$32*INDEX(Precio_O,12)*INDEX(IdxPrecio_O,1,MIN(10,W$17))*(1+P_dPrecio)</f>
        <v>0</v>
      </c>
      <c r="X57" s="48" t="n">
        <f aca="false">X$32*INDEX(Precio_O,12)*INDEX(IdxPrecio_O,1,MIN(10,X$17))*(1+P_dPrecio)</f>
        <v>0</v>
      </c>
      <c r="Y57" s="48" t="n">
        <f aca="false">Y$32*INDEX(Precio_O,12)*INDEX(IdxPrecio_O,1,MIN(10,Y$17))*(1+P_dPrecio)</f>
        <v>0</v>
      </c>
      <c r="Z57" s="48" t="n">
        <f aca="false">Z$32*INDEX(Precio_O,12)*INDEX(IdxPrecio_O,1,MIN(10,Z$17))*(1+P_dPrecio)</f>
        <v>0</v>
      </c>
      <c r="AA57" s="48" t="n">
        <f aca="false">AA$32*INDEX(Precio_O,12)*INDEX(IdxPrecio_O,1,MIN(10,AA$17))*(1+P_dPrecio)</f>
        <v>0</v>
      </c>
      <c r="AB57" s="48" t="n">
        <f aca="false">AB$32*INDEX(Precio_O,12)*INDEX(IdxPrecio_O,1,MIN(10,AB$17))*(1+P_dPrecio)</f>
        <v>0</v>
      </c>
      <c r="AC57" s="48" t="n">
        <f aca="false">AC$32*INDEX(Precio_O,12)*INDEX(IdxPrecio_O,1,MIN(10,AC$17))*(1+P_dPrecio)</f>
        <v>0</v>
      </c>
      <c r="AD57" s="48" t="n">
        <f aca="false">AD$32*INDEX(Precio_O,12)*INDEX(IdxPrecio_O,1,MIN(10,AD$17))*(1+P_dPrecio)</f>
        <v>0</v>
      </c>
      <c r="AE57" s="48" t="n">
        <f aca="false">AE$32*INDEX(Precio_O,12)*INDEX(IdxPrecio_O,1,MIN(10,AE$17))*(1+P_dPrecio)</f>
        <v>0</v>
      </c>
      <c r="AF57" s="48" t="n">
        <f aca="false">AF$32*INDEX(Precio_O,12)*INDEX(IdxPrecio_O,1,MIN(10,AF$17))*(1+P_dPrecio)</f>
        <v>0</v>
      </c>
      <c r="AG57" s="48" t="n">
        <f aca="false">AG$32*INDEX(Precio_O,12)*INDEX(IdxPrecio_O,1,MIN(10,AG$17))*(1+P_dPrecio)</f>
        <v>0</v>
      </c>
      <c r="AH57" s="48" t="n">
        <f aca="false">AH$32*INDEX(Precio_O,12)*INDEX(IdxPrecio_O,1,MIN(10,AH$17))*(1+P_dPrecio)</f>
        <v>0</v>
      </c>
      <c r="AI57" s="48" t="n">
        <f aca="false">AI$32*INDEX(Precio_O,12)*INDEX(IdxPrecio_O,1,MIN(10,AI$17))*(1+P_dPrecio)</f>
        <v>0</v>
      </c>
      <c r="AJ57" s="48" t="n">
        <f aca="false">AJ$32*INDEX(Precio_O,12)*INDEX(IdxPrecio_O,1,MIN(10,AJ$17))*(1+P_dPrecio)</f>
        <v>0</v>
      </c>
      <c r="AK57" s="48" t="n">
        <f aca="false">AK$32*INDEX(Precio_O,12)*INDEX(IdxPrecio_O,1,MIN(10,AK$17))*(1+P_dPrecio)</f>
        <v>0</v>
      </c>
      <c r="AL57" s="48" t="n">
        <f aca="false">AL$32*INDEX(Precio_O,12)*INDEX(IdxPrecio_O,1,MIN(10,AL$17))*(1+P_dPrecio)</f>
        <v>0</v>
      </c>
      <c r="AM57" s="48" t="n">
        <f aca="false">AM$32*INDEX(Precio_O,12)*INDEX(IdxPrecio_O,1,MIN(10,AM$17))*(1+P_dPrecio)</f>
        <v>0</v>
      </c>
      <c r="AN57" s="48" t="n">
        <f aca="false">AN$32*INDEX(Precio_O,12)*INDEX(IdxPrecio_O,1,MIN(10,AN$17))*(1+P_dPrecio)</f>
        <v>0</v>
      </c>
      <c r="AO57" s="48" t="n">
        <f aca="false">AO$32*INDEX(Precio_O,12)*INDEX(IdxPrecio_O,1,MIN(10,AO$17))*(1+P_dPrecio)</f>
        <v>0</v>
      </c>
      <c r="AP57" s="48" t="n">
        <f aca="false">AP$32*INDEX(Precio_O,12)*INDEX(IdxPrecio_O,1,MIN(10,AP$17))*(1+P_dPrecio)</f>
        <v>0</v>
      </c>
      <c r="AQ57" s="48" t="n">
        <f aca="false">AQ$32*INDEX(Precio_O,12)*INDEX(IdxPrecio_O,1,MIN(10,AQ$17))*(1+P_dPrecio)</f>
        <v>0</v>
      </c>
      <c r="AR57" s="48" t="n">
        <f aca="false">AR$32*INDEX(Precio_O,12)*INDEX(IdxPrecio_O,1,MIN(10,AR$17))*(1+P_dPrecio)</f>
        <v>0</v>
      </c>
      <c r="AS57" s="48" t="n">
        <f aca="false">AS$32*INDEX(Precio_O,12)*INDEX(IdxPrecio_O,1,MIN(10,AS$17))*(1+P_dPrecio)</f>
        <v>0</v>
      </c>
      <c r="AT57" s="48" t="n">
        <f aca="false">AT$32*INDEX(Precio_O,12)*INDEX(IdxPrecio_O,1,MIN(10,AT$17))*(1+P_dPrecio)</f>
        <v>0</v>
      </c>
      <c r="AU57" s="48" t="n">
        <f aca="false">AU$32*INDEX(Precio_O,12)*INDEX(IdxPrecio_O,1,MIN(10,AU$17))*(1+P_dPrecio)</f>
        <v>0</v>
      </c>
      <c r="AV57" s="48" t="n">
        <f aca="false">AV$32*INDEX(Precio_O,12)*INDEX(IdxPrecio_O,1,MIN(10,AV$17))*(1+P_dPrecio)</f>
        <v>0</v>
      </c>
      <c r="AW57" s="48" t="n">
        <f aca="false">AW$32*INDEX(Precio_O,12)*INDEX(IdxPrecio_O,1,MIN(10,AW$17))*(1+P_dPrecio)</f>
        <v>0</v>
      </c>
      <c r="AX57" s="48" t="n">
        <f aca="false">AX$32*INDEX(Precio_O,12)*INDEX(IdxPrecio_O,1,MIN(10,AX$17))*(1+P_dPrecio)</f>
        <v>0</v>
      </c>
      <c r="AY57" s="48" t="n">
        <f aca="false">AY$32*INDEX(Precio_O,12)*INDEX(IdxPrecio_O,1,MIN(10,AY$17))*(1+P_dPrecio)</f>
        <v>0</v>
      </c>
      <c r="AZ57" s="48" t="n">
        <f aca="false">AZ$32*INDEX(Precio_O,12)*INDEX(IdxPrecio_O,1,MIN(10,AZ$17))*(1+P_dPrecio)</f>
        <v>0</v>
      </c>
      <c r="BA57" s="48" t="n">
        <f aca="false">BA$32*INDEX(Precio_O,12)*INDEX(IdxPrecio_O,1,MIN(10,BA$17))*(1+P_dPrecio)</f>
        <v>0</v>
      </c>
      <c r="BB57" s="48" t="n">
        <f aca="false">BB$32*INDEX(Precio_O,12)*INDEX(IdxPrecio_O,1,MIN(10,BB$17))*(1+P_dPrecio)</f>
        <v>0</v>
      </c>
      <c r="BC57" s="48" t="n">
        <f aca="false">BC$32*INDEX(Precio_O,12)*INDEX(IdxPrecio_O,1,MIN(10,BC$17))*(1+P_dPrecio)</f>
        <v>0</v>
      </c>
      <c r="BD57" s="48" t="n">
        <f aca="false">BD$32*INDEX(Precio_O,12)*INDEX(IdxPrecio_O,1,MIN(10,BD$17))*(1+P_dPrecio)</f>
        <v>0</v>
      </c>
      <c r="BE57" s="48" t="n">
        <f aca="false">BE$32*INDEX(Precio_O,12)*INDEX(IdxPrecio_O,1,MIN(10,BE$17))*(1+P_dPrecio)</f>
        <v>0</v>
      </c>
      <c r="BF57" s="48" t="n">
        <f aca="false">BF$32*INDEX(Precio_O,12)*INDEX(IdxPrecio_O,1,MIN(10,BF$17))*(1+P_dPrecio)</f>
        <v>0</v>
      </c>
      <c r="BG57" s="48" t="n">
        <f aca="false">BG$32*INDEX(Precio_O,12)*INDEX(IdxPrecio_O,1,MIN(10,BG$17))*(1+P_dPrecio)</f>
        <v>0</v>
      </c>
      <c r="BH57" s="48" t="n">
        <f aca="false">BH$32*INDEX(Precio_O,12)*INDEX(IdxPrecio_O,1,MIN(10,BH$17))*(1+P_dPrecio)</f>
        <v>0</v>
      </c>
      <c r="BI57" s="48" t="n">
        <f aca="false">BI$32*INDEX(Precio_O,12)*INDEX(IdxPrecio_O,1,MIN(10,BI$17))*(1+P_dPrecio)</f>
        <v>0</v>
      </c>
      <c r="BJ57" s="48" t="n">
        <f aca="false">BJ$32*INDEX(Precio_O,12)*INDEX(IdxPrecio_O,1,MIN(10,BJ$17))*(1+P_dPrecio)</f>
        <v>0</v>
      </c>
      <c r="BK57" s="48" t="n">
        <f aca="false">BK$32*INDEX(Precio_O,12)*INDEX(IdxPrecio_O,1,MIN(10,BK$17))*(1+P_dPrecio)</f>
        <v>0</v>
      </c>
      <c r="BL57" s="48" t="n">
        <f aca="false">BL$32*INDEX(Precio_O,12)*INDEX(IdxPrecio_O,1,MIN(10,BL$17))*(1+P_dPrecio)</f>
        <v>0</v>
      </c>
      <c r="BM57" s="48" t="n">
        <f aca="false">BM$32*INDEX(Precio_O,12)*INDEX(IdxPrecio_O,1,MIN(10,BM$17))*(1+P_dPrecio)</f>
        <v>0</v>
      </c>
      <c r="BN57" s="48" t="n">
        <f aca="false">BN$32*INDEX(Precio_O,12)*INDEX(IdxPrecio_O,1,MIN(10,BN$17))*(1+P_dPrecio)</f>
        <v>0</v>
      </c>
      <c r="BO57" s="48" t="n">
        <f aca="false">BO$32*INDEX(Precio_O,12)*INDEX(IdxPrecio_O,1,MIN(10,BO$17))*(1+P_dPrecio)</f>
        <v>0</v>
      </c>
      <c r="BP57" s="48" t="n">
        <f aca="false">BP$32*INDEX(Precio_O,12)*INDEX(IdxPrecio_O,1,MIN(10,BP$17))*(1+P_dPrecio)</f>
        <v>0</v>
      </c>
      <c r="BQ57" s="48" t="n">
        <f aca="false">BQ$32*INDEX(Precio_O,12)*INDEX(IdxPrecio_O,1,MIN(10,BQ$17))*(1+P_dPrecio)</f>
        <v>0</v>
      </c>
      <c r="BR57" s="48" t="n">
        <f aca="false">BR$32*INDEX(Precio_O,12)*INDEX(IdxPrecio_O,1,MIN(10,BR$17))*(1+P_dPrecio)</f>
        <v>0</v>
      </c>
      <c r="BS57" s="48" t="n">
        <f aca="false">BS$32*INDEX(Precio_O,12)*INDEX(IdxPrecio_O,1,MIN(10,BS$17))*(1+P_dPrecio)</f>
        <v>0</v>
      </c>
      <c r="BT57" s="48" t="n">
        <f aca="false">BT$32*INDEX(Precio_O,12)*INDEX(IdxPrecio_O,1,MIN(10,BT$17))*(1+P_dPrecio)</f>
        <v>0</v>
      </c>
      <c r="BU57" s="48" t="n">
        <f aca="false">BU$32*INDEX(Precio_O,12)*INDEX(IdxPrecio_O,1,MIN(10,BU$17))*(1+P_dPrecio)</f>
        <v>0</v>
      </c>
      <c r="BV57" s="48" t="n">
        <f aca="false">BV$32*INDEX(Precio_O,12)*INDEX(IdxPrecio_O,1,MIN(10,BV$17))*(1+P_dPrecio)</f>
        <v>0</v>
      </c>
      <c r="BW57" s="48" t="n">
        <f aca="false">BW$32*INDEX(Precio_O,12)*INDEX(IdxPrecio_O,1,MIN(10,BW$17))*(1+P_dPrecio)</f>
        <v>0</v>
      </c>
      <c r="BX57" s="48" t="n">
        <f aca="false">BX$32*INDEX(Precio_O,12)*INDEX(IdxPrecio_O,1,MIN(10,BX$17))*(1+P_dPrecio)</f>
        <v>0</v>
      </c>
      <c r="BY57" s="48" t="n">
        <f aca="false">BY$32*INDEX(Precio_O,12)*INDEX(IdxPrecio_O,1,MIN(10,BY$17))*(1+P_dPrecio)</f>
        <v>0</v>
      </c>
      <c r="BZ57" s="48" t="n">
        <f aca="false">BZ$32*INDEX(Precio_O,12)*INDEX(IdxPrecio_O,1,MIN(10,BZ$17))*(1+P_dPrecio)</f>
        <v>0</v>
      </c>
      <c r="CA57" s="48" t="n">
        <f aca="false">CA$32*INDEX(Precio_O,12)*INDEX(IdxPrecio_O,1,MIN(10,CA$17))*(1+P_dPrecio)</f>
        <v>0</v>
      </c>
      <c r="CB57" s="48" t="n">
        <f aca="false">CB$32*INDEX(Precio_O,12)*INDEX(IdxPrecio_O,1,MIN(10,CB$17))*(1+P_dPrecio)</f>
        <v>0</v>
      </c>
      <c r="CC57" s="48" t="n">
        <f aca="false">CC$32*INDEX(Precio_O,12)*INDEX(IdxPrecio_O,1,MIN(10,CC$17))*(1+P_dPrecio)</f>
        <v>0</v>
      </c>
      <c r="CD57" s="48" t="n">
        <f aca="false">CD$32*INDEX(Precio_O,12)*INDEX(IdxPrecio_O,1,MIN(10,CD$17))*(1+P_dPrecio)</f>
        <v>0</v>
      </c>
      <c r="CE57" s="48" t="n">
        <f aca="false">CE$32*INDEX(Precio_O,12)*INDEX(IdxPrecio_O,1,MIN(10,CE$17))*(1+P_dPrecio)</f>
        <v>0</v>
      </c>
      <c r="CF57" s="48" t="n">
        <f aca="false">CF$32*INDEX(Precio_O,12)*INDEX(IdxPrecio_O,1,MIN(10,CF$17))*(1+P_dPrecio)</f>
        <v>0</v>
      </c>
      <c r="CG57" s="48" t="n">
        <f aca="false">CG$32*INDEX(Precio_O,12)*INDEX(IdxPrecio_O,1,MIN(10,CG$17))*(1+P_dPrecio)</f>
        <v>0</v>
      </c>
      <c r="CH57" s="48" t="n">
        <f aca="false">CH$32*INDEX(Precio_O,12)*INDEX(IdxPrecio_O,1,MIN(10,CH$17))*(1+P_dPrecio)</f>
        <v>0</v>
      </c>
      <c r="CI57" s="48" t="n">
        <f aca="false">CI$32*INDEX(Precio_O,12)*INDEX(IdxPrecio_O,1,MIN(10,CI$17))*(1+P_dPrecio)</f>
        <v>0</v>
      </c>
      <c r="CJ57" s="48" t="n">
        <f aca="false">CJ$32*INDEX(Precio_O,12)*INDEX(IdxPrecio_O,1,MIN(10,CJ$17))*(1+P_dPrecio)</f>
        <v>0</v>
      </c>
      <c r="CK57" s="48" t="n">
        <f aca="false">CK$32*INDEX(Precio_O,12)*INDEX(IdxPrecio_O,1,MIN(10,CK$17))*(1+P_dPrecio)</f>
        <v>0</v>
      </c>
      <c r="CL57" s="48" t="n">
        <f aca="false">CL$32*INDEX(Precio_O,12)*INDEX(IdxPrecio_O,1,MIN(10,CL$17))*(1+P_dPrecio)</f>
        <v>0</v>
      </c>
      <c r="CM57" s="48" t="n">
        <f aca="false">CM$32*INDEX(Precio_O,12)*INDEX(IdxPrecio_O,1,MIN(10,CM$17))*(1+P_dPrecio)</f>
        <v>0</v>
      </c>
      <c r="CN57" s="48" t="n">
        <f aca="false">CN$32*INDEX(Precio_O,12)*INDEX(IdxPrecio_O,1,MIN(10,CN$17))*(1+P_dPrecio)</f>
        <v>0</v>
      </c>
      <c r="CO57" s="48" t="n">
        <f aca="false">CO$32*INDEX(Precio_O,12)*INDEX(IdxPrecio_O,1,MIN(10,CO$17))*(1+P_dPrecio)</f>
        <v>0</v>
      </c>
      <c r="CP57" s="48" t="n">
        <f aca="false">CP$32*INDEX(Precio_O,12)*INDEX(IdxPrecio_O,1,MIN(10,CP$17))*(1+P_dPrecio)</f>
        <v>0</v>
      </c>
      <c r="CQ57" s="48" t="n">
        <f aca="false">CQ$32*INDEX(Precio_O,12)*INDEX(IdxPrecio_O,1,MIN(10,CQ$17))*(1+P_dPrecio)</f>
        <v>0</v>
      </c>
      <c r="CR57" s="48" t="n">
        <f aca="false">CR$32*INDEX(Precio_O,12)*INDEX(IdxPrecio_O,1,MIN(10,CR$17))*(1+P_dPrecio)</f>
        <v>0</v>
      </c>
      <c r="CS57" s="48" t="n">
        <f aca="false">CS$32*INDEX(Precio_O,12)*INDEX(IdxPrecio_O,1,MIN(10,CS$17))*(1+P_dPrecio)</f>
        <v>0</v>
      </c>
      <c r="CT57" s="48" t="n">
        <f aca="false">CT$32*INDEX(Precio_O,12)*INDEX(IdxPrecio_O,1,MIN(10,CT$17))*(1+P_dPrecio)</f>
        <v>0</v>
      </c>
      <c r="CU57" s="48" t="n">
        <f aca="false">CU$32*INDEX(Precio_O,12)*INDEX(IdxPrecio_O,1,MIN(10,CU$17))*(1+P_dPrecio)</f>
        <v>0</v>
      </c>
      <c r="CV57" s="48" t="n">
        <f aca="false">CV$32*INDEX(Precio_O,12)*INDEX(IdxPrecio_O,1,MIN(10,CV$17))*(1+P_dPrecio)</f>
        <v>0</v>
      </c>
      <c r="CW57" s="48" t="n">
        <f aca="false">CW$32*INDEX(Precio_O,12)*INDEX(IdxPrecio_O,1,MIN(10,CW$17))*(1+P_dPrecio)</f>
        <v>0</v>
      </c>
      <c r="CX57" s="48" t="n">
        <f aca="false">CX$32*INDEX(Precio_O,12)*INDEX(IdxPrecio_O,1,MIN(10,CX$17))*(1+P_dPrecio)</f>
        <v>0</v>
      </c>
      <c r="CY57" s="48" t="n">
        <f aca="false">CY$32*INDEX(Precio_O,12)*INDEX(IdxPrecio_O,1,MIN(10,CY$17))*(1+P_dPrecio)</f>
        <v>0</v>
      </c>
      <c r="CZ57" s="48" t="n">
        <f aca="false">CZ$32*INDEX(Precio_O,12)*INDEX(IdxPrecio_O,1,MIN(10,CZ$17))*(1+P_dPrecio)</f>
        <v>0</v>
      </c>
      <c r="DA57" s="48" t="n">
        <f aca="false">DA$32*INDEX(Precio_O,12)*INDEX(IdxPrecio_O,1,MIN(10,DA$17))*(1+P_dPrecio)</f>
        <v>0</v>
      </c>
      <c r="DB57" s="48" t="n">
        <f aca="false">DB$32*INDEX(Precio_O,12)*INDEX(IdxPrecio_O,1,MIN(10,DB$17))*(1+P_dPrecio)</f>
        <v>0</v>
      </c>
      <c r="DC57" s="48" t="n">
        <f aca="false">DC$32*INDEX(Precio_O,12)*INDEX(IdxPrecio_O,1,MIN(10,DC$17))*(1+P_dPrecio)</f>
        <v>0</v>
      </c>
      <c r="DD57" s="48" t="n">
        <f aca="false">DD$32*INDEX(Precio_O,12)*INDEX(IdxPrecio_O,1,MIN(10,DD$17))*(1+P_dPrecio)</f>
        <v>0</v>
      </c>
      <c r="DE57" s="48" t="n">
        <f aca="false">DE$32*INDEX(Precio_O,12)*INDEX(IdxPrecio_O,1,MIN(10,DE$17))*(1+P_dPrecio)</f>
        <v>0</v>
      </c>
      <c r="DF57" s="48" t="n">
        <f aca="false">DF$32*INDEX(Precio_O,12)*INDEX(IdxPrecio_O,1,MIN(10,DF$17))*(1+P_dPrecio)</f>
        <v>0</v>
      </c>
      <c r="DG57" s="48" t="n">
        <f aca="false">DG$32*INDEX(Precio_O,12)*INDEX(IdxPrecio_O,1,MIN(10,DG$17))*(1+P_dPrecio)</f>
        <v>0</v>
      </c>
      <c r="DH57" s="48" t="n">
        <f aca="false">DH$32*INDEX(Precio_O,12)*INDEX(IdxPrecio_O,1,MIN(10,DH$17))*(1+P_dPrecio)</f>
        <v>0</v>
      </c>
      <c r="DI57" s="48" t="n">
        <f aca="false">DI$32*INDEX(Precio_O,12)*INDEX(IdxPrecio_O,1,MIN(10,DI$17))*(1+P_dPrecio)</f>
        <v>0</v>
      </c>
      <c r="DJ57" s="48" t="n">
        <f aca="false">DJ$32*INDEX(Precio_O,12)*INDEX(IdxPrecio_O,1,MIN(10,DJ$17))*(1+P_dPrecio)</f>
        <v>0</v>
      </c>
      <c r="DK57" s="48" t="n">
        <f aca="false">DK$32*INDEX(Precio_O,12)*INDEX(IdxPrecio_O,1,MIN(10,DK$17))*(1+P_dPrecio)</f>
        <v>0</v>
      </c>
      <c r="DL57" s="48" t="n">
        <f aca="false">DL$32*INDEX(Precio_O,12)*INDEX(IdxPrecio_O,1,MIN(10,DL$17))*(1+P_dPrecio)</f>
        <v>0</v>
      </c>
      <c r="DM57" s="48" t="n">
        <f aca="false">DM$32*INDEX(Precio_O,12)*INDEX(IdxPrecio_O,1,MIN(10,DM$17))*(1+P_dPrecio)</f>
        <v>0</v>
      </c>
      <c r="DN57" s="48" t="n">
        <f aca="false">DN$32*INDEX(Precio_O,12)*INDEX(IdxPrecio_O,1,MIN(10,DN$17))*(1+P_dPrecio)</f>
        <v>0</v>
      </c>
      <c r="DO57" s="48" t="n">
        <f aca="false">DO$32*INDEX(Precio_O,12)*INDEX(IdxPrecio_O,1,MIN(10,DO$17))*(1+P_dPrecio)</f>
        <v>0</v>
      </c>
      <c r="DP57" s="48" t="n">
        <f aca="false">DP$32*INDEX(Precio_O,12)*INDEX(IdxPrecio_O,1,MIN(10,DP$17))*(1+P_dPrecio)</f>
        <v>0</v>
      </c>
      <c r="DQ57" s="48" t="n">
        <f aca="false">DQ$32*INDEX(Precio_O,12)*INDEX(IdxPrecio_O,1,MIN(10,DQ$17))*(1+P_dPrecio)</f>
        <v>0</v>
      </c>
      <c r="DR57" s="48" t="n">
        <f aca="false">DR$32*INDEX(Precio_O,12)*INDEX(IdxPrecio_O,1,MIN(10,DR$17))*(1+P_dPrecio)</f>
        <v>0</v>
      </c>
      <c r="DS57" s="48" t="n">
        <f aca="false">DS$32*INDEX(Precio_O,12)*INDEX(IdxPrecio_O,1,MIN(10,DS$17))*(1+P_dPrecio)</f>
        <v>0</v>
      </c>
      <c r="DT57" s="48" t="n">
        <f aca="false">DT$32*INDEX(Precio_O,12)*INDEX(IdxPrecio_O,1,MIN(10,DT$17))*(1+P_dPrecio)</f>
        <v>0</v>
      </c>
      <c r="DU57" s="48" t="n">
        <f aca="false">DU$32*INDEX(Precio_O,12)*INDEX(IdxPrecio_O,1,MIN(10,DU$17))*(1+P_dPrecio)</f>
        <v>0</v>
      </c>
      <c r="DV57" s="48" t="n">
        <f aca="false">DV$32*INDEX(Precio_O,12)*INDEX(IdxPrecio_O,1,MIN(10,DV$17))*(1+P_dPrecio)</f>
        <v>0</v>
      </c>
      <c r="DW57" s="48" t="n">
        <f aca="false">DW$32*INDEX(Precio_O,12)*INDEX(IdxPrecio_O,1,MIN(10,DW$17))*(1+P_dPrecio)</f>
        <v>0</v>
      </c>
      <c r="DX57" s="48" t="n">
        <f aca="false">DX$32*INDEX(Precio_O,12)*INDEX(IdxPrecio_O,1,MIN(10,DX$17))*(1+P_dPrecio)</f>
        <v>0</v>
      </c>
      <c r="DY57" s="48" t="n">
        <f aca="false">DY$32*INDEX(Precio_O,12)*INDEX(IdxPrecio_O,1,MIN(10,DY$17))*(1+P_dPrecio)</f>
        <v>0</v>
      </c>
      <c r="DZ57" s="48" t="n">
        <f aca="false">DZ$32*INDEX(Precio_O,12)*INDEX(IdxPrecio_O,1,MIN(10,DZ$17))*(1+P_dPrecio)</f>
        <v>0</v>
      </c>
      <c r="EA57" s="48" t="n">
        <f aca="false">EA$32*INDEX(Precio_O,12)*INDEX(IdxPrecio_O,1,MIN(10,EA$17))*(1+P_dPrecio)</f>
        <v>0</v>
      </c>
      <c r="EB57" s="48" t="n">
        <f aca="false">EB$32*INDEX(Precio_O,12)*INDEX(IdxPrecio_O,1,MIN(10,EB$17))*(1+P_dPrecio)</f>
        <v>0</v>
      </c>
      <c r="EC57" s="48" t="n">
        <f aca="false">EC$32*INDEX(Precio_O,12)*INDEX(IdxPrecio_O,1,MIN(10,EC$17))*(1+P_dPrecio)</f>
        <v>0</v>
      </c>
      <c r="ED57" s="48" t="n">
        <f aca="false">ED$32*INDEX(Precio_O,12)*INDEX(IdxPrecio_O,1,MIN(10,ED$17))*(1+P_dPrecio)</f>
        <v>0</v>
      </c>
      <c r="EE57" s="48" t="n">
        <f aca="false">EE$32*INDEX(Precio_O,12)*INDEX(IdxPrecio_O,1,MIN(10,EE$17))*(1+P_dPrecio)</f>
        <v>0</v>
      </c>
      <c r="EF57" s="48" t="n">
        <f aca="false">EF$32*INDEX(Precio_O,12)*INDEX(IdxPrecio_O,1,MIN(10,EF$17))*(1+P_dPrecio)</f>
        <v>0</v>
      </c>
      <c r="EG57" s="48" t="n">
        <f aca="false">EG$32*INDEX(Precio_O,12)*INDEX(IdxPrecio_O,1,MIN(10,EG$17))*(1+P_dPrecio)</f>
        <v>0</v>
      </c>
      <c r="EH57" s="48" t="n">
        <f aca="false">EH$32*INDEX(Precio_O,12)*INDEX(IdxPrecio_O,1,MIN(10,EH$17))*(1+P_dPrecio)</f>
        <v>0</v>
      </c>
      <c r="EI57" s="48" t="n">
        <f aca="false">EI$32*INDEX(Precio_O,12)*INDEX(IdxPrecio_O,1,MIN(10,EI$17))*(1+P_dPrecio)</f>
        <v>0</v>
      </c>
      <c r="EJ57" s="48" t="n">
        <f aca="false">EJ$32*INDEX(Precio_O,12)*INDEX(IdxPrecio_O,1,MIN(10,EJ$17))*(1+P_dPrecio)</f>
        <v>0</v>
      </c>
      <c r="EK57" s="48" t="n">
        <f aca="false">EK$32*INDEX(Precio_O,12)*INDEX(IdxPrecio_O,1,MIN(10,EK$17))*(1+P_dPrecio)</f>
        <v>0</v>
      </c>
      <c r="EL57" s="48" t="n">
        <f aca="false">EL$32*INDEX(Precio_O,12)*INDEX(IdxPrecio_O,1,MIN(10,EL$17))*(1+P_dPrecio)</f>
        <v>0</v>
      </c>
      <c r="EM57" s="48" t="n">
        <f aca="false">EM$32*INDEX(Precio_O,12)*INDEX(IdxPrecio_O,1,MIN(10,EM$17))*(1+P_dPrecio)</f>
        <v>0</v>
      </c>
      <c r="EN57" s="48" t="n">
        <f aca="false">EN$32*INDEX(Precio_O,12)*INDEX(IdxPrecio_O,1,MIN(10,EN$17))*(1+P_dPrecio)</f>
        <v>0</v>
      </c>
      <c r="EO57" s="48" t="n">
        <f aca="false">EO$32*INDEX(Precio_O,12)*INDEX(IdxPrecio_O,1,MIN(10,EO$17))*(1+P_dPrecio)</f>
        <v>0</v>
      </c>
      <c r="EP57" s="48" t="n">
        <f aca="false">EP$32*INDEX(Precio_O,12)*INDEX(IdxPrecio_O,1,MIN(10,EP$17))*(1+P_dPrecio)</f>
        <v>0</v>
      </c>
      <c r="EQ57" s="48" t="n">
        <f aca="false">EQ$32*INDEX(Precio_O,12)*INDEX(IdxPrecio_O,1,MIN(10,EQ$17))*(1+P_dPrecio)</f>
        <v>0</v>
      </c>
      <c r="ER57" s="48" t="n">
        <f aca="false">ER$32*INDEX(Precio_O,12)*INDEX(IdxPrecio_O,1,MIN(10,ER$17))*(1+P_dPrecio)</f>
        <v>0</v>
      </c>
      <c r="ES57" s="48" t="n">
        <f aca="false">ES$32*INDEX(Precio_O,12)*INDEX(IdxPrecio_O,1,MIN(10,ES$17))*(1+P_dPrecio)</f>
        <v>0</v>
      </c>
    </row>
    <row r="58" customFormat="false" ht="15" hidden="false" customHeight="false" outlineLevel="0" collapsed="false">
      <c r="A58" s="11" t="s">
        <v>1103</v>
      </c>
      <c r="B58" s="53" t="str">
        <f aca="false">IF(INDEX(Prod_Nombre,13)="","Producto 13",INDEX(Prod_Nombre,13))&amp;" — ventas USD"</f>
        <v>Producto 13 — ventas USD</v>
      </c>
      <c r="C58" s="15" t="s">
        <v>508</v>
      </c>
      <c r="E58" s="54" t="n">
        <f aca="false">SUM(F58:ES58)</f>
        <v>0</v>
      </c>
      <c r="F58" s="48" t="n">
        <f aca="false">F$33*INDEX(Precio_O,13)*INDEX(IdxPrecio_O,1,MIN(10,F$17))*(1+P_dPrecio)</f>
        <v>0</v>
      </c>
      <c r="G58" s="48" t="n">
        <f aca="false">G$33*INDEX(Precio_O,13)*INDEX(IdxPrecio_O,1,MIN(10,G$17))*(1+P_dPrecio)</f>
        <v>0</v>
      </c>
      <c r="H58" s="48" t="n">
        <f aca="false">H$33*INDEX(Precio_O,13)*INDEX(IdxPrecio_O,1,MIN(10,H$17))*(1+P_dPrecio)</f>
        <v>0</v>
      </c>
      <c r="I58" s="48" t="n">
        <f aca="false">I$33*INDEX(Precio_O,13)*INDEX(IdxPrecio_O,1,MIN(10,I$17))*(1+P_dPrecio)</f>
        <v>0</v>
      </c>
      <c r="J58" s="48" t="n">
        <f aca="false">J$33*INDEX(Precio_O,13)*INDEX(IdxPrecio_O,1,MIN(10,J$17))*(1+P_dPrecio)</f>
        <v>0</v>
      </c>
      <c r="K58" s="48" t="n">
        <f aca="false">K$33*INDEX(Precio_O,13)*INDEX(IdxPrecio_O,1,MIN(10,K$17))*(1+P_dPrecio)</f>
        <v>0</v>
      </c>
      <c r="L58" s="48" t="n">
        <f aca="false">L$33*INDEX(Precio_O,13)*INDEX(IdxPrecio_O,1,MIN(10,L$17))*(1+P_dPrecio)</f>
        <v>0</v>
      </c>
      <c r="M58" s="48" t="n">
        <f aca="false">M$33*INDEX(Precio_O,13)*INDEX(IdxPrecio_O,1,MIN(10,M$17))*(1+P_dPrecio)</f>
        <v>0</v>
      </c>
      <c r="N58" s="48" t="n">
        <f aca="false">N$33*INDEX(Precio_O,13)*INDEX(IdxPrecio_O,1,MIN(10,N$17))*(1+P_dPrecio)</f>
        <v>0</v>
      </c>
      <c r="O58" s="48" t="n">
        <f aca="false">O$33*INDEX(Precio_O,13)*INDEX(IdxPrecio_O,1,MIN(10,O$17))*(1+P_dPrecio)</f>
        <v>0</v>
      </c>
      <c r="P58" s="48" t="n">
        <f aca="false">P$33*INDEX(Precio_O,13)*INDEX(IdxPrecio_O,1,MIN(10,P$17))*(1+P_dPrecio)</f>
        <v>0</v>
      </c>
      <c r="Q58" s="48" t="n">
        <f aca="false">Q$33*INDEX(Precio_O,13)*INDEX(IdxPrecio_O,1,MIN(10,Q$17))*(1+P_dPrecio)</f>
        <v>0</v>
      </c>
      <c r="R58" s="48" t="n">
        <f aca="false">R$33*INDEX(Precio_O,13)*INDEX(IdxPrecio_O,1,MIN(10,R$17))*(1+P_dPrecio)</f>
        <v>0</v>
      </c>
      <c r="S58" s="48" t="n">
        <f aca="false">S$33*INDEX(Precio_O,13)*INDEX(IdxPrecio_O,1,MIN(10,S$17))*(1+P_dPrecio)</f>
        <v>0</v>
      </c>
      <c r="T58" s="48" t="n">
        <f aca="false">T$33*INDEX(Precio_O,13)*INDEX(IdxPrecio_O,1,MIN(10,T$17))*(1+P_dPrecio)</f>
        <v>0</v>
      </c>
      <c r="U58" s="48" t="n">
        <f aca="false">U$33*INDEX(Precio_O,13)*INDEX(IdxPrecio_O,1,MIN(10,U$17))*(1+P_dPrecio)</f>
        <v>0</v>
      </c>
      <c r="V58" s="48" t="n">
        <f aca="false">V$33*INDEX(Precio_O,13)*INDEX(IdxPrecio_O,1,MIN(10,V$17))*(1+P_dPrecio)</f>
        <v>0</v>
      </c>
      <c r="W58" s="48" t="n">
        <f aca="false">W$33*INDEX(Precio_O,13)*INDEX(IdxPrecio_O,1,MIN(10,W$17))*(1+P_dPrecio)</f>
        <v>0</v>
      </c>
      <c r="X58" s="48" t="n">
        <f aca="false">X$33*INDEX(Precio_O,13)*INDEX(IdxPrecio_O,1,MIN(10,X$17))*(1+P_dPrecio)</f>
        <v>0</v>
      </c>
      <c r="Y58" s="48" t="n">
        <f aca="false">Y$33*INDEX(Precio_O,13)*INDEX(IdxPrecio_O,1,MIN(10,Y$17))*(1+P_dPrecio)</f>
        <v>0</v>
      </c>
      <c r="Z58" s="48" t="n">
        <f aca="false">Z$33*INDEX(Precio_O,13)*INDEX(IdxPrecio_O,1,MIN(10,Z$17))*(1+P_dPrecio)</f>
        <v>0</v>
      </c>
      <c r="AA58" s="48" t="n">
        <f aca="false">AA$33*INDEX(Precio_O,13)*INDEX(IdxPrecio_O,1,MIN(10,AA$17))*(1+P_dPrecio)</f>
        <v>0</v>
      </c>
      <c r="AB58" s="48" t="n">
        <f aca="false">AB$33*INDEX(Precio_O,13)*INDEX(IdxPrecio_O,1,MIN(10,AB$17))*(1+P_dPrecio)</f>
        <v>0</v>
      </c>
      <c r="AC58" s="48" t="n">
        <f aca="false">AC$33*INDEX(Precio_O,13)*INDEX(IdxPrecio_O,1,MIN(10,AC$17))*(1+P_dPrecio)</f>
        <v>0</v>
      </c>
      <c r="AD58" s="48" t="n">
        <f aca="false">AD$33*INDEX(Precio_O,13)*INDEX(IdxPrecio_O,1,MIN(10,AD$17))*(1+P_dPrecio)</f>
        <v>0</v>
      </c>
      <c r="AE58" s="48" t="n">
        <f aca="false">AE$33*INDEX(Precio_O,13)*INDEX(IdxPrecio_O,1,MIN(10,AE$17))*(1+P_dPrecio)</f>
        <v>0</v>
      </c>
      <c r="AF58" s="48" t="n">
        <f aca="false">AF$33*INDEX(Precio_O,13)*INDEX(IdxPrecio_O,1,MIN(10,AF$17))*(1+P_dPrecio)</f>
        <v>0</v>
      </c>
      <c r="AG58" s="48" t="n">
        <f aca="false">AG$33*INDEX(Precio_O,13)*INDEX(IdxPrecio_O,1,MIN(10,AG$17))*(1+P_dPrecio)</f>
        <v>0</v>
      </c>
      <c r="AH58" s="48" t="n">
        <f aca="false">AH$33*INDEX(Precio_O,13)*INDEX(IdxPrecio_O,1,MIN(10,AH$17))*(1+P_dPrecio)</f>
        <v>0</v>
      </c>
      <c r="AI58" s="48" t="n">
        <f aca="false">AI$33*INDEX(Precio_O,13)*INDEX(IdxPrecio_O,1,MIN(10,AI$17))*(1+P_dPrecio)</f>
        <v>0</v>
      </c>
      <c r="AJ58" s="48" t="n">
        <f aca="false">AJ$33*INDEX(Precio_O,13)*INDEX(IdxPrecio_O,1,MIN(10,AJ$17))*(1+P_dPrecio)</f>
        <v>0</v>
      </c>
      <c r="AK58" s="48" t="n">
        <f aca="false">AK$33*INDEX(Precio_O,13)*INDEX(IdxPrecio_O,1,MIN(10,AK$17))*(1+P_dPrecio)</f>
        <v>0</v>
      </c>
      <c r="AL58" s="48" t="n">
        <f aca="false">AL$33*INDEX(Precio_O,13)*INDEX(IdxPrecio_O,1,MIN(10,AL$17))*(1+P_dPrecio)</f>
        <v>0</v>
      </c>
      <c r="AM58" s="48" t="n">
        <f aca="false">AM$33*INDEX(Precio_O,13)*INDEX(IdxPrecio_O,1,MIN(10,AM$17))*(1+P_dPrecio)</f>
        <v>0</v>
      </c>
      <c r="AN58" s="48" t="n">
        <f aca="false">AN$33*INDEX(Precio_O,13)*INDEX(IdxPrecio_O,1,MIN(10,AN$17))*(1+P_dPrecio)</f>
        <v>0</v>
      </c>
      <c r="AO58" s="48" t="n">
        <f aca="false">AO$33*INDEX(Precio_O,13)*INDEX(IdxPrecio_O,1,MIN(10,AO$17))*(1+P_dPrecio)</f>
        <v>0</v>
      </c>
      <c r="AP58" s="48" t="n">
        <f aca="false">AP$33*INDEX(Precio_O,13)*INDEX(IdxPrecio_O,1,MIN(10,AP$17))*(1+P_dPrecio)</f>
        <v>0</v>
      </c>
      <c r="AQ58" s="48" t="n">
        <f aca="false">AQ$33*INDEX(Precio_O,13)*INDEX(IdxPrecio_O,1,MIN(10,AQ$17))*(1+P_dPrecio)</f>
        <v>0</v>
      </c>
      <c r="AR58" s="48" t="n">
        <f aca="false">AR$33*INDEX(Precio_O,13)*INDEX(IdxPrecio_O,1,MIN(10,AR$17))*(1+P_dPrecio)</f>
        <v>0</v>
      </c>
      <c r="AS58" s="48" t="n">
        <f aca="false">AS$33*INDEX(Precio_O,13)*INDEX(IdxPrecio_O,1,MIN(10,AS$17))*(1+P_dPrecio)</f>
        <v>0</v>
      </c>
      <c r="AT58" s="48" t="n">
        <f aca="false">AT$33*INDEX(Precio_O,13)*INDEX(IdxPrecio_O,1,MIN(10,AT$17))*(1+P_dPrecio)</f>
        <v>0</v>
      </c>
      <c r="AU58" s="48" t="n">
        <f aca="false">AU$33*INDEX(Precio_O,13)*INDEX(IdxPrecio_O,1,MIN(10,AU$17))*(1+P_dPrecio)</f>
        <v>0</v>
      </c>
      <c r="AV58" s="48" t="n">
        <f aca="false">AV$33*INDEX(Precio_O,13)*INDEX(IdxPrecio_O,1,MIN(10,AV$17))*(1+P_dPrecio)</f>
        <v>0</v>
      </c>
      <c r="AW58" s="48" t="n">
        <f aca="false">AW$33*INDEX(Precio_O,13)*INDEX(IdxPrecio_O,1,MIN(10,AW$17))*(1+P_dPrecio)</f>
        <v>0</v>
      </c>
      <c r="AX58" s="48" t="n">
        <f aca="false">AX$33*INDEX(Precio_O,13)*INDEX(IdxPrecio_O,1,MIN(10,AX$17))*(1+P_dPrecio)</f>
        <v>0</v>
      </c>
      <c r="AY58" s="48" t="n">
        <f aca="false">AY$33*INDEX(Precio_O,13)*INDEX(IdxPrecio_O,1,MIN(10,AY$17))*(1+P_dPrecio)</f>
        <v>0</v>
      </c>
      <c r="AZ58" s="48" t="n">
        <f aca="false">AZ$33*INDEX(Precio_O,13)*INDEX(IdxPrecio_O,1,MIN(10,AZ$17))*(1+P_dPrecio)</f>
        <v>0</v>
      </c>
      <c r="BA58" s="48" t="n">
        <f aca="false">BA$33*INDEX(Precio_O,13)*INDEX(IdxPrecio_O,1,MIN(10,BA$17))*(1+P_dPrecio)</f>
        <v>0</v>
      </c>
      <c r="BB58" s="48" t="n">
        <f aca="false">BB$33*INDEX(Precio_O,13)*INDEX(IdxPrecio_O,1,MIN(10,BB$17))*(1+P_dPrecio)</f>
        <v>0</v>
      </c>
      <c r="BC58" s="48" t="n">
        <f aca="false">BC$33*INDEX(Precio_O,13)*INDEX(IdxPrecio_O,1,MIN(10,BC$17))*(1+P_dPrecio)</f>
        <v>0</v>
      </c>
      <c r="BD58" s="48" t="n">
        <f aca="false">BD$33*INDEX(Precio_O,13)*INDEX(IdxPrecio_O,1,MIN(10,BD$17))*(1+P_dPrecio)</f>
        <v>0</v>
      </c>
      <c r="BE58" s="48" t="n">
        <f aca="false">BE$33*INDEX(Precio_O,13)*INDEX(IdxPrecio_O,1,MIN(10,BE$17))*(1+P_dPrecio)</f>
        <v>0</v>
      </c>
      <c r="BF58" s="48" t="n">
        <f aca="false">BF$33*INDEX(Precio_O,13)*INDEX(IdxPrecio_O,1,MIN(10,BF$17))*(1+P_dPrecio)</f>
        <v>0</v>
      </c>
      <c r="BG58" s="48" t="n">
        <f aca="false">BG$33*INDEX(Precio_O,13)*INDEX(IdxPrecio_O,1,MIN(10,BG$17))*(1+P_dPrecio)</f>
        <v>0</v>
      </c>
      <c r="BH58" s="48" t="n">
        <f aca="false">BH$33*INDEX(Precio_O,13)*INDEX(IdxPrecio_O,1,MIN(10,BH$17))*(1+P_dPrecio)</f>
        <v>0</v>
      </c>
      <c r="BI58" s="48" t="n">
        <f aca="false">BI$33*INDEX(Precio_O,13)*INDEX(IdxPrecio_O,1,MIN(10,BI$17))*(1+P_dPrecio)</f>
        <v>0</v>
      </c>
      <c r="BJ58" s="48" t="n">
        <f aca="false">BJ$33*INDEX(Precio_O,13)*INDEX(IdxPrecio_O,1,MIN(10,BJ$17))*(1+P_dPrecio)</f>
        <v>0</v>
      </c>
      <c r="BK58" s="48" t="n">
        <f aca="false">BK$33*INDEX(Precio_O,13)*INDEX(IdxPrecio_O,1,MIN(10,BK$17))*(1+P_dPrecio)</f>
        <v>0</v>
      </c>
      <c r="BL58" s="48" t="n">
        <f aca="false">BL$33*INDEX(Precio_O,13)*INDEX(IdxPrecio_O,1,MIN(10,BL$17))*(1+P_dPrecio)</f>
        <v>0</v>
      </c>
      <c r="BM58" s="48" t="n">
        <f aca="false">BM$33*INDEX(Precio_O,13)*INDEX(IdxPrecio_O,1,MIN(10,BM$17))*(1+P_dPrecio)</f>
        <v>0</v>
      </c>
      <c r="BN58" s="48" t="n">
        <f aca="false">BN$33*INDEX(Precio_O,13)*INDEX(IdxPrecio_O,1,MIN(10,BN$17))*(1+P_dPrecio)</f>
        <v>0</v>
      </c>
      <c r="BO58" s="48" t="n">
        <f aca="false">BO$33*INDEX(Precio_O,13)*INDEX(IdxPrecio_O,1,MIN(10,BO$17))*(1+P_dPrecio)</f>
        <v>0</v>
      </c>
      <c r="BP58" s="48" t="n">
        <f aca="false">BP$33*INDEX(Precio_O,13)*INDEX(IdxPrecio_O,1,MIN(10,BP$17))*(1+P_dPrecio)</f>
        <v>0</v>
      </c>
      <c r="BQ58" s="48" t="n">
        <f aca="false">BQ$33*INDEX(Precio_O,13)*INDEX(IdxPrecio_O,1,MIN(10,BQ$17))*(1+P_dPrecio)</f>
        <v>0</v>
      </c>
      <c r="BR58" s="48" t="n">
        <f aca="false">BR$33*INDEX(Precio_O,13)*INDEX(IdxPrecio_O,1,MIN(10,BR$17))*(1+P_dPrecio)</f>
        <v>0</v>
      </c>
      <c r="BS58" s="48" t="n">
        <f aca="false">BS$33*INDEX(Precio_O,13)*INDEX(IdxPrecio_O,1,MIN(10,BS$17))*(1+P_dPrecio)</f>
        <v>0</v>
      </c>
      <c r="BT58" s="48" t="n">
        <f aca="false">BT$33*INDEX(Precio_O,13)*INDEX(IdxPrecio_O,1,MIN(10,BT$17))*(1+P_dPrecio)</f>
        <v>0</v>
      </c>
      <c r="BU58" s="48" t="n">
        <f aca="false">BU$33*INDEX(Precio_O,13)*INDEX(IdxPrecio_O,1,MIN(10,BU$17))*(1+P_dPrecio)</f>
        <v>0</v>
      </c>
      <c r="BV58" s="48" t="n">
        <f aca="false">BV$33*INDEX(Precio_O,13)*INDEX(IdxPrecio_O,1,MIN(10,BV$17))*(1+P_dPrecio)</f>
        <v>0</v>
      </c>
      <c r="BW58" s="48" t="n">
        <f aca="false">BW$33*INDEX(Precio_O,13)*INDEX(IdxPrecio_O,1,MIN(10,BW$17))*(1+P_dPrecio)</f>
        <v>0</v>
      </c>
      <c r="BX58" s="48" t="n">
        <f aca="false">BX$33*INDEX(Precio_O,13)*INDEX(IdxPrecio_O,1,MIN(10,BX$17))*(1+P_dPrecio)</f>
        <v>0</v>
      </c>
      <c r="BY58" s="48" t="n">
        <f aca="false">BY$33*INDEX(Precio_O,13)*INDEX(IdxPrecio_O,1,MIN(10,BY$17))*(1+P_dPrecio)</f>
        <v>0</v>
      </c>
      <c r="BZ58" s="48" t="n">
        <f aca="false">BZ$33*INDEX(Precio_O,13)*INDEX(IdxPrecio_O,1,MIN(10,BZ$17))*(1+P_dPrecio)</f>
        <v>0</v>
      </c>
      <c r="CA58" s="48" t="n">
        <f aca="false">CA$33*INDEX(Precio_O,13)*INDEX(IdxPrecio_O,1,MIN(10,CA$17))*(1+P_dPrecio)</f>
        <v>0</v>
      </c>
      <c r="CB58" s="48" t="n">
        <f aca="false">CB$33*INDEX(Precio_O,13)*INDEX(IdxPrecio_O,1,MIN(10,CB$17))*(1+P_dPrecio)</f>
        <v>0</v>
      </c>
      <c r="CC58" s="48" t="n">
        <f aca="false">CC$33*INDEX(Precio_O,13)*INDEX(IdxPrecio_O,1,MIN(10,CC$17))*(1+P_dPrecio)</f>
        <v>0</v>
      </c>
      <c r="CD58" s="48" t="n">
        <f aca="false">CD$33*INDEX(Precio_O,13)*INDEX(IdxPrecio_O,1,MIN(10,CD$17))*(1+P_dPrecio)</f>
        <v>0</v>
      </c>
      <c r="CE58" s="48" t="n">
        <f aca="false">CE$33*INDEX(Precio_O,13)*INDEX(IdxPrecio_O,1,MIN(10,CE$17))*(1+P_dPrecio)</f>
        <v>0</v>
      </c>
      <c r="CF58" s="48" t="n">
        <f aca="false">CF$33*INDEX(Precio_O,13)*INDEX(IdxPrecio_O,1,MIN(10,CF$17))*(1+P_dPrecio)</f>
        <v>0</v>
      </c>
      <c r="CG58" s="48" t="n">
        <f aca="false">CG$33*INDEX(Precio_O,13)*INDEX(IdxPrecio_O,1,MIN(10,CG$17))*(1+P_dPrecio)</f>
        <v>0</v>
      </c>
      <c r="CH58" s="48" t="n">
        <f aca="false">CH$33*INDEX(Precio_O,13)*INDEX(IdxPrecio_O,1,MIN(10,CH$17))*(1+P_dPrecio)</f>
        <v>0</v>
      </c>
      <c r="CI58" s="48" t="n">
        <f aca="false">CI$33*INDEX(Precio_O,13)*INDEX(IdxPrecio_O,1,MIN(10,CI$17))*(1+P_dPrecio)</f>
        <v>0</v>
      </c>
      <c r="CJ58" s="48" t="n">
        <f aca="false">CJ$33*INDEX(Precio_O,13)*INDEX(IdxPrecio_O,1,MIN(10,CJ$17))*(1+P_dPrecio)</f>
        <v>0</v>
      </c>
      <c r="CK58" s="48" t="n">
        <f aca="false">CK$33*INDEX(Precio_O,13)*INDEX(IdxPrecio_O,1,MIN(10,CK$17))*(1+P_dPrecio)</f>
        <v>0</v>
      </c>
      <c r="CL58" s="48" t="n">
        <f aca="false">CL$33*INDEX(Precio_O,13)*INDEX(IdxPrecio_O,1,MIN(10,CL$17))*(1+P_dPrecio)</f>
        <v>0</v>
      </c>
      <c r="CM58" s="48" t="n">
        <f aca="false">CM$33*INDEX(Precio_O,13)*INDEX(IdxPrecio_O,1,MIN(10,CM$17))*(1+P_dPrecio)</f>
        <v>0</v>
      </c>
      <c r="CN58" s="48" t="n">
        <f aca="false">CN$33*INDEX(Precio_O,13)*INDEX(IdxPrecio_O,1,MIN(10,CN$17))*(1+P_dPrecio)</f>
        <v>0</v>
      </c>
      <c r="CO58" s="48" t="n">
        <f aca="false">CO$33*INDEX(Precio_O,13)*INDEX(IdxPrecio_O,1,MIN(10,CO$17))*(1+P_dPrecio)</f>
        <v>0</v>
      </c>
      <c r="CP58" s="48" t="n">
        <f aca="false">CP$33*INDEX(Precio_O,13)*INDEX(IdxPrecio_O,1,MIN(10,CP$17))*(1+P_dPrecio)</f>
        <v>0</v>
      </c>
      <c r="CQ58" s="48" t="n">
        <f aca="false">CQ$33*INDEX(Precio_O,13)*INDEX(IdxPrecio_O,1,MIN(10,CQ$17))*(1+P_dPrecio)</f>
        <v>0</v>
      </c>
      <c r="CR58" s="48" t="n">
        <f aca="false">CR$33*INDEX(Precio_O,13)*INDEX(IdxPrecio_O,1,MIN(10,CR$17))*(1+P_dPrecio)</f>
        <v>0</v>
      </c>
      <c r="CS58" s="48" t="n">
        <f aca="false">CS$33*INDEX(Precio_O,13)*INDEX(IdxPrecio_O,1,MIN(10,CS$17))*(1+P_dPrecio)</f>
        <v>0</v>
      </c>
      <c r="CT58" s="48" t="n">
        <f aca="false">CT$33*INDEX(Precio_O,13)*INDEX(IdxPrecio_O,1,MIN(10,CT$17))*(1+P_dPrecio)</f>
        <v>0</v>
      </c>
      <c r="CU58" s="48" t="n">
        <f aca="false">CU$33*INDEX(Precio_O,13)*INDEX(IdxPrecio_O,1,MIN(10,CU$17))*(1+P_dPrecio)</f>
        <v>0</v>
      </c>
      <c r="CV58" s="48" t="n">
        <f aca="false">CV$33*INDEX(Precio_O,13)*INDEX(IdxPrecio_O,1,MIN(10,CV$17))*(1+P_dPrecio)</f>
        <v>0</v>
      </c>
      <c r="CW58" s="48" t="n">
        <f aca="false">CW$33*INDEX(Precio_O,13)*INDEX(IdxPrecio_O,1,MIN(10,CW$17))*(1+P_dPrecio)</f>
        <v>0</v>
      </c>
      <c r="CX58" s="48" t="n">
        <f aca="false">CX$33*INDEX(Precio_O,13)*INDEX(IdxPrecio_O,1,MIN(10,CX$17))*(1+P_dPrecio)</f>
        <v>0</v>
      </c>
      <c r="CY58" s="48" t="n">
        <f aca="false">CY$33*INDEX(Precio_O,13)*INDEX(IdxPrecio_O,1,MIN(10,CY$17))*(1+P_dPrecio)</f>
        <v>0</v>
      </c>
      <c r="CZ58" s="48" t="n">
        <f aca="false">CZ$33*INDEX(Precio_O,13)*INDEX(IdxPrecio_O,1,MIN(10,CZ$17))*(1+P_dPrecio)</f>
        <v>0</v>
      </c>
      <c r="DA58" s="48" t="n">
        <f aca="false">DA$33*INDEX(Precio_O,13)*INDEX(IdxPrecio_O,1,MIN(10,DA$17))*(1+P_dPrecio)</f>
        <v>0</v>
      </c>
      <c r="DB58" s="48" t="n">
        <f aca="false">DB$33*INDEX(Precio_O,13)*INDEX(IdxPrecio_O,1,MIN(10,DB$17))*(1+P_dPrecio)</f>
        <v>0</v>
      </c>
      <c r="DC58" s="48" t="n">
        <f aca="false">DC$33*INDEX(Precio_O,13)*INDEX(IdxPrecio_O,1,MIN(10,DC$17))*(1+P_dPrecio)</f>
        <v>0</v>
      </c>
      <c r="DD58" s="48" t="n">
        <f aca="false">DD$33*INDEX(Precio_O,13)*INDEX(IdxPrecio_O,1,MIN(10,DD$17))*(1+P_dPrecio)</f>
        <v>0</v>
      </c>
      <c r="DE58" s="48" t="n">
        <f aca="false">DE$33*INDEX(Precio_O,13)*INDEX(IdxPrecio_O,1,MIN(10,DE$17))*(1+P_dPrecio)</f>
        <v>0</v>
      </c>
      <c r="DF58" s="48" t="n">
        <f aca="false">DF$33*INDEX(Precio_O,13)*INDEX(IdxPrecio_O,1,MIN(10,DF$17))*(1+P_dPrecio)</f>
        <v>0</v>
      </c>
      <c r="DG58" s="48" t="n">
        <f aca="false">DG$33*INDEX(Precio_O,13)*INDEX(IdxPrecio_O,1,MIN(10,DG$17))*(1+P_dPrecio)</f>
        <v>0</v>
      </c>
      <c r="DH58" s="48" t="n">
        <f aca="false">DH$33*INDEX(Precio_O,13)*INDEX(IdxPrecio_O,1,MIN(10,DH$17))*(1+P_dPrecio)</f>
        <v>0</v>
      </c>
      <c r="DI58" s="48" t="n">
        <f aca="false">DI$33*INDEX(Precio_O,13)*INDEX(IdxPrecio_O,1,MIN(10,DI$17))*(1+P_dPrecio)</f>
        <v>0</v>
      </c>
      <c r="DJ58" s="48" t="n">
        <f aca="false">DJ$33*INDEX(Precio_O,13)*INDEX(IdxPrecio_O,1,MIN(10,DJ$17))*(1+P_dPrecio)</f>
        <v>0</v>
      </c>
      <c r="DK58" s="48" t="n">
        <f aca="false">DK$33*INDEX(Precio_O,13)*INDEX(IdxPrecio_O,1,MIN(10,DK$17))*(1+P_dPrecio)</f>
        <v>0</v>
      </c>
      <c r="DL58" s="48" t="n">
        <f aca="false">DL$33*INDEX(Precio_O,13)*INDEX(IdxPrecio_O,1,MIN(10,DL$17))*(1+P_dPrecio)</f>
        <v>0</v>
      </c>
      <c r="DM58" s="48" t="n">
        <f aca="false">DM$33*INDEX(Precio_O,13)*INDEX(IdxPrecio_O,1,MIN(10,DM$17))*(1+P_dPrecio)</f>
        <v>0</v>
      </c>
      <c r="DN58" s="48" t="n">
        <f aca="false">DN$33*INDEX(Precio_O,13)*INDEX(IdxPrecio_O,1,MIN(10,DN$17))*(1+P_dPrecio)</f>
        <v>0</v>
      </c>
      <c r="DO58" s="48" t="n">
        <f aca="false">DO$33*INDEX(Precio_O,13)*INDEX(IdxPrecio_O,1,MIN(10,DO$17))*(1+P_dPrecio)</f>
        <v>0</v>
      </c>
      <c r="DP58" s="48" t="n">
        <f aca="false">DP$33*INDEX(Precio_O,13)*INDEX(IdxPrecio_O,1,MIN(10,DP$17))*(1+P_dPrecio)</f>
        <v>0</v>
      </c>
      <c r="DQ58" s="48" t="n">
        <f aca="false">DQ$33*INDEX(Precio_O,13)*INDEX(IdxPrecio_O,1,MIN(10,DQ$17))*(1+P_dPrecio)</f>
        <v>0</v>
      </c>
      <c r="DR58" s="48" t="n">
        <f aca="false">DR$33*INDEX(Precio_O,13)*INDEX(IdxPrecio_O,1,MIN(10,DR$17))*(1+P_dPrecio)</f>
        <v>0</v>
      </c>
      <c r="DS58" s="48" t="n">
        <f aca="false">DS$33*INDEX(Precio_O,13)*INDEX(IdxPrecio_O,1,MIN(10,DS$17))*(1+P_dPrecio)</f>
        <v>0</v>
      </c>
      <c r="DT58" s="48" t="n">
        <f aca="false">DT$33*INDEX(Precio_O,13)*INDEX(IdxPrecio_O,1,MIN(10,DT$17))*(1+P_dPrecio)</f>
        <v>0</v>
      </c>
      <c r="DU58" s="48" t="n">
        <f aca="false">DU$33*INDEX(Precio_O,13)*INDEX(IdxPrecio_O,1,MIN(10,DU$17))*(1+P_dPrecio)</f>
        <v>0</v>
      </c>
      <c r="DV58" s="48" t="n">
        <f aca="false">DV$33*INDEX(Precio_O,13)*INDEX(IdxPrecio_O,1,MIN(10,DV$17))*(1+P_dPrecio)</f>
        <v>0</v>
      </c>
      <c r="DW58" s="48" t="n">
        <f aca="false">DW$33*INDEX(Precio_O,13)*INDEX(IdxPrecio_O,1,MIN(10,DW$17))*(1+P_dPrecio)</f>
        <v>0</v>
      </c>
      <c r="DX58" s="48" t="n">
        <f aca="false">DX$33*INDEX(Precio_O,13)*INDEX(IdxPrecio_O,1,MIN(10,DX$17))*(1+P_dPrecio)</f>
        <v>0</v>
      </c>
      <c r="DY58" s="48" t="n">
        <f aca="false">DY$33*INDEX(Precio_O,13)*INDEX(IdxPrecio_O,1,MIN(10,DY$17))*(1+P_dPrecio)</f>
        <v>0</v>
      </c>
      <c r="DZ58" s="48" t="n">
        <f aca="false">DZ$33*INDEX(Precio_O,13)*INDEX(IdxPrecio_O,1,MIN(10,DZ$17))*(1+P_dPrecio)</f>
        <v>0</v>
      </c>
      <c r="EA58" s="48" t="n">
        <f aca="false">EA$33*INDEX(Precio_O,13)*INDEX(IdxPrecio_O,1,MIN(10,EA$17))*(1+P_dPrecio)</f>
        <v>0</v>
      </c>
      <c r="EB58" s="48" t="n">
        <f aca="false">EB$33*INDEX(Precio_O,13)*INDEX(IdxPrecio_O,1,MIN(10,EB$17))*(1+P_dPrecio)</f>
        <v>0</v>
      </c>
      <c r="EC58" s="48" t="n">
        <f aca="false">EC$33*INDEX(Precio_O,13)*INDEX(IdxPrecio_O,1,MIN(10,EC$17))*(1+P_dPrecio)</f>
        <v>0</v>
      </c>
      <c r="ED58" s="48" t="n">
        <f aca="false">ED$33*INDEX(Precio_O,13)*INDEX(IdxPrecio_O,1,MIN(10,ED$17))*(1+P_dPrecio)</f>
        <v>0</v>
      </c>
      <c r="EE58" s="48" t="n">
        <f aca="false">EE$33*INDEX(Precio_O,13)*INDEX(IdxPrecio_O,1,MIN(10,EE$17))*(1+P_dPrecio)</f>
        <v>0</v>
      </c>
      <c r="EF58" s="48" t="n">
        <f aca="false">EF$33*INDEX(Precio_O,13)*INDEX(IdxPrecio_O,1,MIN(10,EF$17))*(1+P_dPrecio)</f>
        <v>0</v>
      </c>
      <c r="EG58" s="48" t="n">
        <f aca="false">EG$33*INDEX(Precio_O,13)*INDEX(IdxPrecio_O,1,MIN(10,EG$17))*(1+P_dPrecio)</f>
        <v>0</v>
      </c>
      <c r="EH58" s="48" t="n">
        <f aca="false">EH$33*INDEX(Precio_O,13)*INDEX(IdxPrecio_O,1,MIN(10,EH$17))*(1+P_dPrecio)</f>
        <v>0</v>
      </c>
      <c r="EI58" s="48" t="n">
        <f aca="false">EI$33*INDEX(Precio_O,13)*INDEX(IdxPrecio_O,1,MIN(10,EI$17))*(1+P_dPrecio)</f>
        <v>0</v>
      </c>
      <c r="EJ58" s="48" t="n">
        <f aca="false">EJ$33*INDEX(Precio_O,13)*INDEX(IdxPrecio_O,1,MIN(10,EJ$17))*(1+P_dPrecio)</f>
        <v>0</v>
      </c>
      <c r="EK58" s="48" t="n">
        <f aca="false">EK$33*INDEX(Precio_O,13)*INDEX(IdxPrecio_O,1,MIN(10,EK$17))*(1+P_dPrecio)</f>
        <v>0</v>
      </c>
      <c r="EL58" s="48" t="n">
        <f aca="false">EL$33*INDEX(Precio_O,13)*INDEX(IdxPrecio_O,1,MIN(10,EL$17))*(1+P_dPrecio)</f>
        <v>0</v>
      </c>
      <c r="EM58" s="48" t="n">
        <f aca="false">EM$33*INDEX(Precio_O,13)*INDEX(IdxPrecio_O,1,MIN(10,EM$17))*(1+P_dPrecio)</f>
        <v>0</v>
      </c>
      <c r="EN58" s="48" t="n">
        <f aca="false">EN$33*INDEX(Precio_O,13)*INDEX(IdxPrecio_O,1,MIN(10,EN$17))*(1+P_dPrecio)</f>
        <v>0</v>
      </c>
      <c r="EO58" s="48" t="n">
        <f aca="false">EO$33*INDEX(Precio_O,13)*INDEX(IdxPrecio_O,1,MIN(10,EO$17))*(1+P_dPrecio)</f>
        <v>0</v>
      </c>
      <c r="EP58" s="48" t="n">
        <f aca="false">EP$33*INDEX(Precio_O,13)*INDEX(IdxPrecio_O,1,MIN(10,EP$17))*(1+P_dPrecio)</f>
        <v>0</v>
      </c>
      <c r="EQ58" s="48" t="n">
        <f aca="false">EQ$33*INDEX(Precio_O,13)*INDEX(IdxPrecio_O,1,MIN(10,EQ$17))*(1+P_dPrecio)</f>
        <v>0</v>
      </c>
      <c r="ER58" s="48" t="n">
        <f aca="false">ER$33*INDEX(Precio_O,13)*INDEX(IdxPrecio_O,1,MIN(10,ER$17))*(1+P_dPrecio)</f>
        <v>0</v>
      </c>
      <c r="ES58" s="48" t="n">
        <f aca="false">ES$33*INDEX(Precio_O,13)*INDEX(IdxPrecio_O,1,MIN(10,ES$17))*(1+P_dPrecio)</f>
        <v>0</v>
      </c>
    </row>
    <row r="59" customFormat="false" ht="15" hidden="false" customHeight="false" outlineLevel="0" collapsed="false">
      <c r="A59" s="11" t="s">
        <v>1104</v>
      </c>
      <c r="B59" s="53" t="str">
        <f aca="false">IF(INDEX(Prod_Nombre,14)="","Producto 14",INDEX(Prod_Nombre,14))&amp;" — ventas USD"</f>
        <v>Producto 14 — ventas USD</v>
      </c>
      <c r="C59" s="15" t="s">
        <v>508</v>
      </c>
      <c r="E59" s="54" t="n">
        <f aca="false">SUM(F59:ES59)</f>
        <v>0</v>
      </c>
      <c r="F59" s="48" t="n">
        <f aca="false">F$34*INDEX(Precio_O,14)*INDEX(IdxPrecio_O,1,MIN(10,F$17))*(1+P_dPrecio)</f>
        <v>0</v>
      </c>
      <c r="G59" s="48" t="n">
        <f aca="false">G$34*INDEX(Precio_O,14)*INDEX(IdxPrecio_O,1,MIN(10,G$17))*(1+P_dPrecio)</f>
        <v>0</v>
      </c>
      <c r="H59" s="48" t="n">
        <f aca="false">H$34*INDEX(Precio_O,14)*INDEX(IdxPrecio_O,1,MIN(10,H$17))*(1+P_dPrecio)</f>
        <v>0</v>
      </c>
      <c r="I59" s="48" t="n">
        <f aca="false">I$34*INDEX(Precio_O,14)*INDEX(IdxPrecio_O,1,MIN(10,I$17))*(1+P_dPrecio)</f>
        <v>0</v>
      </c>
      <c r="J59" s="48" t="n">
        <f aca="false">J$34*INDEX(Precio_O,14)*INDEX(IdxPrecio_O,1,MIN(10,J$17))*(1+P_dPrecio)</f>
        <v>0</v>
      </c>
      <c r="K59" s="48" t="n">
        <f aca="false">K$34*INDEX(Precio_O,14)*INDEX(IdxPrecio_O,1,MIN(10,K$17))*(1+P_dPrecio)</f>
        <v>0</v>
      </c>
      <c r="L59" s="48" t="n">
        <f aca="false">L$34*INDEX(Precio_O,14)*INDEX(IdxPrecio_O,1,MIN(10,L$17))*(1+P_dPrecio)</f>
        <v>0</v>
      </c>
      <c r="M59" s="48" t="n">
        <f aca="false">M$34*INDEX(Precio_O,14)*INDEX(IdxPrecio_O,1,MIN(10,M$17))*(1+P_dPrecio)</f>
        <v>0</v>
      </c>
      <c r="N59" s="48" t="n">
        <f aca="false">N$34*INDEX(Precio_O,14)*INDEX(IdxPrecio_O,1,MIN(10,N$17))*(1+P_dPrecio)</f>
        <v>0</v>
      </c>
      <c r="O59" s="48" t="n">
        <f aca="false">O$34*INDEX(Precio_O,14)*INDEX(IdxPrecio_O,1,MIN(10,O$17))*(1+P_dPrecio)</f>
        <v>0</v>
      </c>
      <c r="P59" s="48" t="n">
        <f aca="false">P$34*INDEX(Precio_O,14)*INDEX(IdxPrecio_O,1,MIN(10,P$17))*(1+P_dPrecio)</f>
        <v>0</v>
      </c>
      <c r="Q59" s="48" t="n">
        <f aca="false">Q$34*INDEX(Precio_O,14)*INDEX(IdxPrecio_O,1,MIN(10,Q$17))*(1+P_dPrecio)</f>
        <v>0</v>
      </c>
      <c r="R59" s="48" t="n">
        <f aca="false">R$34*INDEX(Precio_O,14)*INDEX(IdxPrecio_O,1,MIN(10,R$17))*(1+P_dPrecio)</f>
        <v>0</v>
      </c>
      <c r="S59" s="48" t="n">
        <f aca="false">S$34*INDEX(Precio_O,14)*INDEX(IdxPrecio_O,1,MIN(10,S$17))*(1+P_dPrecio)</f>
        <v>0</v>
      </c>
      <c r="T59" s="48" t="n">
        <f aca="false">T$34*INDEX(Precio_O,14)*INDEX(IdxPrecio_O,1,MIN(10,T$17))*(1+P_dPrecio)</f>
        <v>0</v>
      </c>
      <c r="U59" s="48" t="n">
        <f aca="false">U$34*INDEX(Precio_O,14)*INDEX(IdxPrecio_O,1,MIN(10,U$17))*(1+P_dPrecio)</f>
        <v>0</v>
      </c>
      <c r="V59" s="48" t="n">
        <f aca="false">V$34*INDEX(Precio_O,14)*INDEX(IdxPrecio_O,1,MIN(10,V$17))*(1+P_dPrecio)</f>
        <v>0</v>
      </c>
      <c r="W59" s="48" t="n">
        <f aca="false">W$34*INDEX(Precio_O,14)*INDEX(IdxPrecio_O,1,MIN(10,W$17))*(1+P_dPrecio)</f>
        <v>0</v>
      </c>
      <c r="X59" s="48" t="n">
        <f aca="false">X$34*INDEX(Precio_O,14)*INDEX(IdxPrecio_O,1,MIN(10,X$17))*(1+P_dPrecio)</f>
        <v>0</v>
      </c>
      <c r="Y59" s="48" t="n">
        <f aca="false">Y$34*INDEX(Precio_O,14)*INDEX(IdxPrecio_O,1,MIN(10,Y$17))*(1+P_dPrecio)</f>
        <v>0</v>
      </c>
      <c r="Z59" s="48" t="n">
        <f aca="false">Z$34*INDEX(Precio_O,14)*INDEX(IdxPrecio_O,1,MIN(10,Z$17))*(1+P_dPrecio)</f>
        <v>0</v>
      </c>
      <c r="AA59" s="48" t="n">
        <f aca="false">AA$34*INDEX(Precio_O,14)*INDEX(IdxPrecio_O,1,MIN(10,AA$17))*(1+P_dPrecio)</f>
        <v>0</v>
      </c>
      <c r="AB59" s="48" t="n">
        <f aca="false">AB$34*INDEX(Precio_O,14)*INDEX(IdxPrecio_O,1,MIN(10,AB$17))*(1+P_dPrecio)</f>
        <v>0</v>
      </c>
      <c r="AC59" s="48" t="n">
        <f aca="false">AC$34*INDEX(Precio_O,14)*INDEX(IdxPrecio_O,1,MIN(10,AC$17))*(1+P_dPrecio)</f>
        <v>0</v>
      </c>
      <c r="AD59" s="48" t="n">
        <f aca="false">AD$34*INDEX(Precio_O,14)*INDEX(IdxPrecio_O,1,MIN(10,AD$17))*(1+P_dPrecio)</f>
        <v>0</v>
      </c>
      <c r="AE59" s="48" t="n">
        <f aca="false">AE$34*INDEX(Precio_O,14)*INDEX(IdxPrecio_O,1,MIN(10,AE$17))*(1+P_dPrecio)</f>
        <v>0</v>
      </c>
      <c r="AF59" s="48" t="n">
        <f aca="false">AF$34*INDEX(Precio_O,14)*INDEX(IdxPrecio_O,1,MIN(10,AF$17))*(1+P_dPrecio)</f>
        <v>0</v>
      </c>
      <c r="AG59" s="48" t="n">
        <f aca="false">AG$34*INDEX(Precio_O,14)*INDEX(IdxPrecio_O,1,MIN(10,AG$17))*(1+P_dPrecio)</f>
        <v>0</v>
      </c>
      <c r="AH59" s="48" t="n">
        <f aca="false">AH$34*INDEX(Precio_O,14)*INDEX(IdxPrecio_O,1,MIN(10,AH$17))*(1+P_dPrecio)</f>
        <v>0</v>
      </c>
      <c r="AI59" s="48" t="n">
        <f aca="false">AI$34*INDEX(Precio_O,14)*INDEX(IdxPrecio_O,1,MIN(10,AI$17))*(1+P_dPrecio)</f>
        <v>0</v>
      </c>
      <c r="AJ59" s="48" t="n">
        <f aca="false">AJ$34*INDEX(Precio_O,14)*INDEX(IdxPrecio_O,1,MIN(10,AJ$17))*(1+P_dPrecio)</f>
        <v>0</v>
      </c>
      <c r="AK59" s="48" t="n">
        <f aca="false">AK$34*INDEX(Precio_O,14)*INDEX(IdxPrecio_O,1,MIN(10,AK$17))*(1+P_dPrecio)</f>
        <v>0</v>
      </c>
      <c r="AL59" s="48" t="n">
        <f aca="false">AL$34*INDEX(Precio_O,14)*INDEX(IdxPrecio_O,1,MIN(10,AL$17))*(1+P_dPrecio)</f>
        <v>0</v>
      </c>
      <c r="AM59" s="48" t="n">
        <f aca="false">AM$34*INDEX(Precio_O,14)*INDEX(IdxPrecio_O,1,MIN(10,AM$17))*(1+P_dPrecio)</f>
        <v>0</v>
      </c>
      <c r="AN59" s="48" t="n">
        <f aca="false">AN$34*INDEX(Precio_O,14)*INDEX(IdxPrecio_O,1,MIN(10,AN$17))*(1+P_dPrecio)</f>
        <v>0</v>
      </c>
      <c r="AO59" s="48" t="n">
        <f aca="false">AO$34*INDEX(Precio_O,14)*INDEX(IdxPrecio_O,1,MIN(10,AO$17))*(1+P_dPrecio)</f>
        <v>0</v>
      </c>
      <c r="AP59" s="48" t="n">
        <f aca="false">AP$34*INDEX(Precio_O,14)*INDEX(IdxPrecio_O,1,MIN(10,AP$17))*(1+P_dPrecio)</f>
        <v>0</v>
      </c>
      <c r="AQ59" s="48" t="n">
        <f aca="false">AQ$34*INDEX(Precio_O,14)*INDEX(IdxPrecio_O,1,MIN(10,AQ$17))*(1+P_dPrecio)</f>
        <v>0</v>
      </c>
      <c r="AR59" s="48" t="n">
        <f aca="false">AR$34*INDEX(Precio_O,14)*INDEX(IdxPrecio_O,1,MIN(10,AR$17))*(1+P_dPrecio)</f>
        <v>0</v>
      </c>
      <c r="AS59" s="48" t="n">
        <f aca="false">AS$34*INDEX(Precio_O,14)*INDEX(IdxPrecio_O,1,MIN(10,AS$17))*(1+P_dPrecio)</f>
        <v>0</v>
      </c>
      <c r="AT59" s="48" t="n">
        <f aca="false">AT$34*INDEX(Precio_O,14)*INDEX(IdxPrecio_O,1,MIN(10,AT$17))*(1+P_dPrecio)</f>
        <v>0</v>
      </c>
      <c r="AU59" s="48" t="n">
        <f aca="false">AU$34*INDEX(Precio_O,14)*INDEX(IdxPrecio_O,1,MIN(10,AU$17))*(1+P_dPrecio)</f>
        <v>0</v>
      </c>
      <c r="AV59" s="48" t="n">
        <f aca="false">AV$34*INDEX(Precio_O,14)*INDEX(IdxPrecio_O,1,MIN(10,AV$17))*(1+P_dPrecio)</f>
        <v>0</v>
      </c>
      <c r="AW59" s="48" t="n">
        <f aca="false">AW$34*INDEX(Precio_O,14)*INDEX(IdxPrecio_O,1,MIN(10,AW$17))*(1+P_dPrecio)</f>
        <v>0</v>
      </c>
      <c r="AX59" s="48" t="n">
        <f aca="false">AX$34*INDEX(Precio_O,14)*INDEX(IdxPrecio_O,1,MIN(10,AX$17))*(1+P_dPrecio)</f>
        <v>0</v>
      </c>
      <c r="AY59" s="48" t="n">
        <f aca="false">AY$34*INDEX(Precio_O,14)*INDEX(IdxPrecio_O,1,MIN(10,AY$17))*(1+P_dPrecio)</f>
        <v>0</v>
      </c>
      <c r="AZ59" s="48" t="n">
        <f aca="false">AZ$34*INDEX(Precio_O,14)*INDEX(IdxPrecio_O,1,MIN(10,AZ$17))*(1+P_dPrecio)</f>
        <v>0</v>
      </c>
      <c r="BA59" s="48" t="n">
        <f aca="false">BA$34*INDEX(Precio_O,14)*INDEX(IdxPrecio_O,1,MIN(10,BA$17))*(1+P_dPrecio)</f>
        <v>0</v>
      </c>
      <c r="BB59" s="48" t="n">
        <f aca="false">BB$34*INDEX(Precio_O,14)*INDEX(IdxPrecio_O,1,MIN(10,BB$17))*(1+P_dPrecio)</f>
        <v>0</v>
      </c>
      <c r="BC59" s="48" t="n">
        <f aca="false">BC$34*INDEX(Precio_O,14)*INDEX(IdxPrecio_O,1,MIN(10,BC$17))*(1+P_dPrecio)</f>
        <v>0</v>
      </c>
      <c r="BD59" s="48" t="n">
        <f aca="false">BD$34*INDEX(Precio_O,14)*INDEX(IdxPrecio_O,1,MIN(10,BD$17))*(1+P_dPrecio)</f>
        <v>0</v>
      </c>
      <c r="BE59" s="48" t="n">
        <f aca="false">BE$34*INDEX(Precio_O,14)*INDEX(IdxPrecio_O,1,MIN(10,BE$17))*(1+P_dPrecio)</f>
        <v>0</v>
      </c>
      <c r="BF59" s="48" t="n">
        <f aca="false">BF$34*INDEX(Precio_O,14)*INDEX(IdxPrecio_O,1,MIN(10,BF$17))*(1+P_dPrecio)</f>
        <v>0</v>
      </c>
      <c r="BG59" s="48" t="n">
        <f aca="false">BG$34*INDEX(Precio_O,14)*INDEX(IdxPrecio_O,1,MIN(10,BG$17))*(1+P_dPrecio)</f>
        <v>0</v>
      </c>
      <c r="BH59" s="48" t="n">
        <f aca="false">BH$34*INDEX(Precio_O,14)*INDEX(IdxPrecio_O,1,MIN(10,BH$17))*(1+P_dPrecio)</f>
        <v>0</v>
      </c>
      <c r="BI59" s="48" t="n">
        <f aca="false">BI$34*INDEX(Precio_O,14)*INDEX(IdxPrecio_O,1,MIN(10,BI$17))*(1+P_dPrecio)</f>
        <v>0</v>
      </c>
      <c r="BJ59" s="48" t="n">
        <f aca="false">BJ$34*INDEX(Precio_O,14)*INDEX(IdxPrecio_O,1,MIN(10,BJ$17))*(1+P_dPrecio)</f>
        <v>0</v>
      </c>
      <c r="BK59" s="48" t="n">
        <f aca="false">BK$34*INDEX(Precio_O,14)*INDEX(IdxPrecio_O,1,MIN(10,BK$17))*(1+P_dPrecio)</f>
        <v>0</v>
      </c>
      <c r="BL59" s="48" t="n">
        <f aca="false">BL$34*INDEX(Precio_O,14)*INDEX(IdxPrecio_O,1,MIN(10,BL$17))*(1+P_dPrecio)</f>
        <v>0</v>
      </c>
      <c r="BM59" s="48" t="n">
        <f aca="false">BM$34*INDEX(Precio_O,14)*INDEX(IdxPrecio_O,1,MIN(10,BM$17))*(1+P_dPrecio)</f>
        <v>0</v>
      </c>
      <c r="BN59" s="48" t="n">
        <f aca="false">BN$34*INDEX(Precio_O,14)*INDEX(IdxPrecio_O,1,MIN(10,BN$17))*(1+P_dPrecio)</f>
        <v>0</v>
      </c>
      <c r="BO59" s="48" t="n">
        <f aca="false">BO$34*INDEX(Precio_O,14)*INDEX(IdxPrecio_O,1,MIN(10,BO$17))*(1+P_dPrecio)</f>
        <v>0</v>
      </c>
      <c r="BP59" s="48" t="n">
        <f aca="false">BP$34*INDEX(Precio_O,14)*INDEX(IdxPrecio_O,1,MIN(10,BP$17))*(1+P_dPrecio)</f>
        <v>0</v>
      </c>
      <c r="BQ59" s="48" t="n">
        <f aca="false">BQ$34*INDEX(Precio_O,14)*INDEX(IdxPrecio_O,1,MIN(10,BQ$17))*(1+P_dPrecio)</f>
        <v>0</v>
      </c>
      <c r="BR59" s="48" t="n">
        <f aca="false">BR$34*INDEX(Precio_O,14)*INDEX(IdxPrecio_O,1,MIN(10,BR$17))*(1+P_dPrecio)</f>
        <v>0</v>
      </c>
      <c r="BS59" s="48" t="n">
        <f aca="false">BS$34*INDEX(Precio_O,14)*INDEX(IdxPrecio_O,1,MIN(10,BS$17))*(1+P_dPrecio)</f>
        <v>0</v>
      </c>
      <c r="BT59" s="48" t="n">
        <f aca="false">BT$34*INDEX(Precio_O,14)*INDEX(IdxPrecio_O,1,MIN(10,BT$17))*(1+P_dPrecio)</f>
        <v>0</v>
      </c>
      <c r="BU59" s="48" t="n">
        <f aca="false">BU$34*INDEX(Precio_O,14)*INDEX(IdxPrecio_O,1,MIN(10,BU$17))*(1+P_dPrecio)</f>
        <v>0</v>
      </c>
      <c r="BV59" s="48" t="n">
        <f aca="false">BV$34*INDEX(Precio_O,14)*INDEX(IdxPrecio_O,1,MIN(10,BV$17))*(1+P_dPrecio)</f>
        <v>0</v>
      </c>
      <c r="BW59" s="48" t="n">
        <f aca="false">BW$34*INDEX(Precio_O,14)*INDEX(IdxPrecio_O,1,MIN(10,BW$17))*(1+P_dPrecio)</f>
        <v>0</v>
      </c>
      <c r="BX59" s="48" t="n">
        <f aca="false">BX$34*INDEX(Precio_O,14)*INDEX(IdxPrecio_O,1,MIN(10,BX$17))*(1+P_dPrecio)</f>
        <v>0</v>
      </c>
      <c r="BY59" s="48" t="n">
        <f aca="false">BY$34*INDEX(Precio_O,14)*INDEX(IdxPrecio_O,1,MIN(10,BY$17))*(1+P_dPrecio)</f>
        <v>0</v>
      </c>
      <c r="BZ59" s="48" t="n">
        <f aca="false">BZ$34*INDEX(Precio_O,14)*INDEX(IdxPrecio_O,1,MIN(10,BZ$17))*(1+P_dPrecio)</f>
        <v>0</v>
      </c>
      <c r="CA59" s="48" t="n">
        <f aca="false">CA$34*INDEX(Precio_O,14)*INDEX(IdxPrecio_O,1,MIN(10,CA$17))*(1+P_dPrecio)</f>
        <v>0</v>
      </c>
      <c r="CB59" s="48" t="n">
        <f aca="false">CB$34*INDEX(Precio_O,14)*INDEX(IdxPrecio_O,1,MIN(10,CB$17))*(1+P_dPrecio)</f>
        <v>0</v>
      </c>
      <c r="CC59" s="48" t="n">
        <f aca="false">CC$34*INDEX(Precio_O,14)*INDEX(IdxPrecio_O,1,MIN(10,CC$17))*(1+P_dPrecio)</f>
        <v>0</v>
      </c>
      <c r="CD59" s="48" t="n">
        <f aca="false">CD$34*INDEX(Precio_O,14)*INDEX(IdxPrecio_O,1,MIN(10,CD$17))*(1+P_dPrecio)</f>
        <v>0</v>
      </c>
      <c r="CE59" s="48" t="n">
        <f aca="false">CE$34*INDEX(Precio_O,14)*INDEX(IdxPrecio_O,1,MIN(10,CE$17))*(1+P_dPrecio)</f>
        <v>0</v>
      </c>
      <c r="CF59" s="48" t="n">
        <f aca="false">CF$34*INDEX(Precio_O,14)*INDEX(IdxPrecio_O,1,MIN(10,CF$17))*(1+P_dPrecio)</f>
        <v>0</v>
      </c>
      <c r="CG59" s="48" t="n">
        <f aca="false">CG$34*INDEX(Precio_O,14)*INDEX(IdxPrecio_O,1,MIN(10,CG$17))*(1+P_dPrecio)</f>
        <v>0</v>
      </c>
      <c r="CH59" s="48" t="n">
        <f aca="false">CH$34*INDEX(Precio_O,14)*INDEX(IdxPrecio_O,1,MIN(10,CH$17))*(1+P_dPrecio)</f>
        <v>0</v>
      </c>
      <c r="CI59" s="48" t="n">
        <f aca="false">CI$34*INDEX(Precio_O,14)*INDEX(IdxPrecio_O,1,MIN(10,CI$17))*(1+P_dPrecio)</f>
        <v>0</v>
      </c>
      <c r="CJ59" s="48" t="n">
        <f aca="false">CJ$34*INDEX(Precio_O,14)*INDEX(IdxPrecio_O,1,MIN(10,CJ$17))*(1+P_dPrecio)</f>
        <v>0</v>
      </c>
      <c r="CK59" s="48" t="n">
        <f aca="false">CK$34*INDEX(Precio_O,14)*INDEX(IdxPrecio_O,1,MIN(10,CK$17))*(1+P_dPrecio)</f>
        <v>0</v>
      </c>
      <c r="CL59" s="48" t="n">
        <f aca="false">CL$34*INDEX(Precio_O,14)*INDEX(IdxPrecio_O,1,MIN(10,CL$17))*(1+P_dPrecio)</f>
        <v>0</v>
      </c>
      <c r="CM59" s="48" t="n">
        <f aca="false">CM$34*INDEX(Precio_O,14)*INDEX(IdxPrecio_O,1,MIN(10,CM$17))*(1+P_dPrecio)</f>
        <v>0</v>
      </c>
      <c r="CN59" s="48" t="n">
        <f aca="false">CN$34*INDEX(Precio_O,14)*INDEX(IdxPrecio_O,1,MIN(10,CN$17))*(1+P_dPrecio)</f>
        <v>0</v>
      </c>
      <c r="CO59" s="48" t="n">
        <f aca="false">CO$34*INDEX(Precio_O,14)*INDEX(IdxPrecio_O,1,MIN(10,CO$17))*(1+P_dPrecio)</f>
        <v>0</v>
      </c>
      <c r="CP59" s="48" t="n">
        <f aca="false">CP$34*INDEX(Precio_O,14)*INDEX(IdxPrecio_O,1,MIN(10,CP$17))*(1+P_dPrecio)</f>
        <v>0</v>
      </c>
      <c r="CQ59" s="48" t="n">
        <f aca="false">CQ$34*INDEX(Precio_O,14)*INDEX(IdxPrecio_O,1,MIN(10,CQ$17))*(1+P_dPrecio)</f>
        <v>0</v>
      </c>
      <c r="CR59" s="48" t="n">
        <f aca="false">CR$34*INDEX(Precio_O,14)*INDEX(IdxPrecio_O,1,MIN(10,CR$17))*(1+P_dPrecio)</f>
        <v>0</v>
      </c>
      <c r="CS59" s="48" t="n">
        <f aca="false">CS$34*INDEX(Precio_O,14)*INDEX(IdxPrecio_O,1,MIN(10,CS$17))*(1+P_dPrecio)</f>
        <v>0</v>
      </c>
      <c r="CT59" s="48" t="n">
        <f aca="false">CT$34*INDEX(Precio_O,14)*INDEX(IdxPrecio_O,1,MIN(10,CT$17))*(1+P_dPrecio)</f>
        <v>0</v>
      </c>
      <c r="CU59" s="48" t="n">
        <f aca="false">CU$34*INDEX(Precio_O,14)*INDEX(IdxPrecio_O,1,MIN(10,CU$17))*(1+P_dPrecio)</f>
        <v>0</v>
      </c>
      <c r="CV59" s="48" t="n">
        <f aca="false">CV$34*INDEX(Precio_O,14)*INDEX(IdxPrecio_O,1,MIN(10,CV$17))*(1+P_dPrecio)</f>
        <v>0</v>
      </c>
      <c r="CW59" s="48" t="n">
        <f aca="false">CW$34*INDEX(Precio_O,14)*INDEX(IdxPrecio_O,1,MIN(10,CW$17))*(1+P_dPrecio)</f>
        <v>0</v>
      </c>
      <c r="CX59" s="48" t="n">
        <f aca="false">CX$34*INDEX(Precio_O,14)*INDEX(IdxPrecio_O,1,MIN(10,CX$17))*(1+P_dPrecio)</f>
        <v>0</v>
      </c>
      <c r="CY59" s="48" t="n">
        <f aca="false">CY$34*INDEX(Precio_O,14)*INDEX(IdxPrecio_O,1,MIN(10,CY$17))*(1+P_dPrecio)</f>
        <v>0</v>
      </c>
      <c r="CZ59" s="48" t="n">
        <f aca="false">CZ$34*INDEX(Precio_O,14)*INDEX(IdxPrecio_O,1,MIN(10,CZ$17))*(1+P_dPrecio)</f>
        <v>0</v>
      </c>
      <c r="DA59" s="48" t="n">
        <f aca="false">DA$34*INDEX(Precio_O,14)*INDEX(IdxPrecio_O,1,MIN(10,DA$17))*(1+P_dPrecio)</f>
        <v>0</v>
      </c>
      <c r="DB59" s="48" t="n">
        <f aca="false">DB$34*INDEX(Precio_O,14)*INDEX(IdxPrecio_O,1,MIN(10,DB$17))*(1+P_dPrecio)</f>
        <v>0</v>
      </c>
      <c r="DC59" s="48" t="n">
        <f aca="false">DC$34*INDEX(Precio_O,14)*INDEX(IdxPrecio_O,1,MIN(10,DC$17))*(1+P_dPrecio)</f>
        <v>0</v>
      </c>
      <c r="DD59" s="48" t="n">
        <f aca="false">DD$34*INDEX(Precio_O,14)*INDEX(IdxPrecio_O,1,MIN(10,DD$17))*(1+P_dPrecio)</f>
        <v>0</v>
      </c>
      <c r="DE59" s="48" t="n">
        <f aca="false">DE$34*INDEX(Precio_O,14)*INDEX(IdxPrecio_O,1,MIN(10,DE$17))*(1+P_dPrecio)</f>
        <v>0</v>
      </c>
      <c r="DF59" s="48" t="n">
        <f aca="false">DF$34*INDEX(Precio_O,14)*INDEX(IdxPrecio_O,1,MIN(10,DF$17))*(1+P_dPrecio)</f>
        <v>0</v>
      </c>
      <c r="DG59" s="48" t="n">
        <f aca="false">DG$34*INDEX(Precio_O,14)*INDEX(IdxPrecio_O,1,MIN(10,DG$17))*(1+P_dPrecio)</f>
        <v>0</v>
      </c>
      <c r="DH59" s="48" t="n">
        <f aca="false">DH$34*INDEX(Precio_O,14)*INDEX(IdxPrecio_O,1,MIN(10,DH$17))*(1+P_dPrecio)</f>
        <v>0</v>
      </c>
      <c r="DI59" s="48" t="n">
        <f aca="false">DI$34*INDEX(Precio_O,14)*INDEX(IdxPrecio_O,1,MIN(10,DI$17))*(1+P_dPrecio)</f>
        <v>0</v>
      </c>
      <c r="DJ59" s="48" t="n">
        <f aca="false">DJ$34*INDEX(Precio_O,14)*INDEX(IdxPrecio_O,1,MIN(10,DJ$17))*(1+P_dPrecio)</f>
        <v>0</v>
      </c>
      <c r="DK59" s="48" t="n">
        <f aca="false">DK$34*INDEX(Precio_O,14)*INDEX(IdxPrecio_O,1,MIN(10,DK$17))*(1+P_dPrecio)</f>
        <v>0</v>
      </c>
      <c r="DL59" s="48" t="n">
        <f aca="false">DL$34*INDEX(Precio_O,14)*INDEX(IdxPrecio_O,1,MIN(10,DL$17))*(1+P_dPrecio)</f>
        <v>0</v>
      </c>
      <c r="DM59" s="48" t="n">
        <f aca="false">DM$34*INDEX(Precio_O,14)*INDEX(IdxPrecio_O,1,MIN(10,DM$17))*(1+P_dPrecio)</f>
        <v>0</v>
      </c>
      <c r="DN59" s="48" t="n">
        <f aca="false">DN$34*INDEX(Precio_O,14)*INDEX(IdxPrecio_O,1,MIN(10,DN$17))*(1+P_dPrecio)</f>
        <v>0</v>
      </c>
      <c r="DO59" s="48" t="n">
        <f aca="false">DO$34*INDEX(Precio_O,14)*INDEX(IdxPrecio_O,1,MIN(10,DO$17))*(1+P_dPrecio)</f>
        <v>0</v>
      </c>
      <c r="DP59" s="48" t="n">
        <f aca="false">DP$34*INDEX(Precio_O,14)*INDEX(IdxPrecio_O,1,MIN(10,DP$17))*(1+P_dPrecio)</f>
        <v>0</v>
      </c>
      <c r="DQ59" s="48" t="n">
        <f aca="false">DQ$34*INDEX(Precio_O,14)*INDEX(IdxPrecio_O,1,MIN(10,DQ$17))*(1+P_dPrecio)</f>
        <v>0</v>
      </c>
      <c r="DR59" s="48" t="n">
        <f aca="false">DR$34*INDEX(Precio_O,14)*INDEX(IdxPrecio_O,1,MIN(10,DR$17))*(1+P_dPrecio)</f>
        <v>0</v>
      </c>
      <c r="DS59" s="48" t="n">
        <f aca="false">DS$34*INDEX(Precio_O,14)*INDEX(IdxPrecio_O,1,MIN(10,DS$17))*(1+P_dPrecio)</f>
        <v>0</v>
      </c>
      <c r="DT59" s="48" t="n">
        <f aca="false">DT$34*INDEX(Precio_O,14)*INDEX(IdxPrecio_O,1,MIN(10,DT$17))*(1+P_dPrecio)</f>
        <v>0</v>
      </c>
      <c r="DU59" s="48" t="n">
        <f aca="false">DU$34*INDEX(Precio_O,14)*INDEX(IdxPrecio_O,1,MIN(10,DU$17))*(1+P_dPrecio)</f>
        <v>0</v>
      </c>
      <c r="DV59" s="48" t="n">
        <f aca="false">DV$34*INDEX(Precio_O,14)*INDEX(IdxPrecio_O,1,MIN(10,DV$17))*(1+P_dPrecio)</f>
        <v>0</v>
      </c>
      <c r="DW59" s="48" t="n">
        <f aca="false">DW$34*INDEX(Precio_O,14)*INDEX(IdxPrecio_O,1,MIN(10,DW$17))*(1+P_dPrecio)</f>
        <v>0</v>
      </c>
      <c r="DX59" s="48" t="n">
        <f aca="false">DX$34*INDEX(Precio_O,14)*INDEX(IdxPrecio_O,1,MIN(10,DX$17))*(1+P_dPrecio)</f>
        <v>0</v>
      </c>
      <c r="DY59" s="48" t="n">
        <f aca="false">DY$34*INDEX(Precio_O,14)*INDEX(IdxPrecio_O,1,MIN(10,DY$17))*(1+P_dPrecio)</f>
        <v>0</v>
      </c>
      <c r="DZ59" s="48" t="n">
        <f aca="false">DZ$34*INDEX(Precio_O,14)*INDEX(IdxPrecio_O,1,MIN(10,DZ$17))*(1+P_dPrecio)</f>
        <v>0</v>
      </c>
      <c r="EA59" s="48" t="n">
        <f aca="false">EA$34*INDEX(Precio_O,14)*INDEX(IdxPrecio_O,1,MIN(10,EA$17))*(1+P_dPrecio)</f>
        <v>0</v>
      </c>
      <c r="EB59" s="48" t="n">
        <f aca="false">EB$34*INDEX(Precio_O,14)*INDEX(IdxPrecio_O,1,MIN(10,EB$17))*(1+P_dPrecio)</f>
        <v>0</v>
      </c>
      <c r="EC59" s="48" t="n">
        <f aca="false">EC$34*INDEX(Precio_O,14)*INDEX(IdxPrecio_O,1,MIN(10,EC$17))*(1+P_dPrecio)</f>
        <v>0</v>
      </c>
      <c r="ED59" s="48" t="n">
        <f aca="false">ED$34*INDEX(Precio_O,14)*INDEX(IdxPrecio_O,1,MIN(10,ED$17))*(1+P_dPrecio)</f>
        <v>0</v>
      </c>
      <c r="EE59" s="48" t="n">
        <f aca="false">EE$34*INDEX(Precio_O,14)*INDEX(IdxPrecio_O,1,MIN(10,EE$17))*(1+P_dPrecio)</f>
        <v>0</v>
      </c>
      <c r="EF59" s="48" t="n">
        <f aca="false">EF$34*INDEX(Precio_O,14)*INDEX(IdxPrecio_O,1,MIN(10,EF$17))*(1+P_dPrecio)</f>
        <v>0</v>
      </c>
      <c r="EG59" s="48" t="n">
        <f aca="false">EG$34*INDEX(Precio_O,14)*INDEX(IdxPrecio_O,1,MIN(10,EG$17))*(1+P_dPrecio)</f>
        <v>0</v>
      </c>
      <c r="EH59" s="48" t="n">
        <f aca="false">EH$34*INDEX(Precio_O,14)*INDEX(IdxPrecio_O,1,MIN(10,EH$17))*(1+P_dPrecio)</f>
        <v>0</v>
      </c>
      <c r="EI59" s="48" t="n">
        <f aca="false">EI$34*INDEX(Precio_O,14)*INDEX(IdxPrecio_O,1,MIN(10,EI$17))*(1+P_dPrecio)</f>
        <v>0</v>
      </c>
      <c r="EJ59" s="48" t="n">
        <f aca="false">EJ$34*INDEX(Precio_O,14)*INDEX(IdxPrecio_O,1,MIN(10,EJ$17))*(1+P_dPrecio)</f>
        <v>0</v>
      </c>
      <c r="EK59" s="48" t="n">
        <f aca="false">EK$34*INDEX(Precio_O,14)*INDEX(IdxPrecio_O,1,MIN(10,EK$17))*(1+P_dPrecio)</f>
        <v>0</v>
      </c>
      <c r="EL59" s="48" t="n">
        <f aca="false">EL$34*INDEX(Precio_O,14)*INDEX(IdxPrecio_O,1,MIN(10,EL$17))*(1+P_dPrecio)</f>
        <v>0</v>
      </c>
      <c r="EM59" s="48" t="n">
        <f aca="false">EM$34*INDEX(Precio_O,14)*INDEX(IdxPrecio_O,1,MIN(10,EM$17))*(1+P_dPrecio)</f>
        <v>0</v>
      </c>
      <c r="EN59" s="48" t="n">
        <f aca="false">EN$34*INDEX(Precio_O,14)*INDEX(IdxPrecio_O,1,MIN(10,EN$17))*(1+P_dPrecio)</f>
        <v>0</v>
      </c>
      <c r="EO59" s="48" t="n">
        <f aca="false">EO$34*INDEX(Precio_O,14)*INDEX(IdxPrecio_O,1,MIN(10,EO$17))*(1+P_dPrecio)</f>
        <v>0</v>
      </c>
      <c r="EP59" s="48" t="n">
        <f aca="false">EP$34*INDEX(Precio_O,14)*INDEX(IdxPrecio_O,1,MIN(10,EP$17))*(1+P_dPrecio)</f>
        <v>0</v>
      </c>
      <c r="EQ59" s="48" t="n">
        <f aca="false">EQ$34*INDEX(Precio_O,14)*INDEX(IdxPrecio_O,1,MIN(10,EQ$17))*(1+P_dPrecio)</f>
        <v>0</v>
      </c>
      <c r="ER59" s="48" t="n">
        <f aca="false">ER$34*INDEX(Precio_O,14)*INDEX(IdxPrecio_O,1,MIN(10,ER$17))*(1+P_dPrecio)</f>
        <v>0</v>
      </c>
      <c r="ES59" s="48" t="n">
        <f aca="false">ES$34*INDEX(Precio_O,14)*INDEX(IdxPrecio_O,1,MIN(10,ES$17))*(1+P_dPrecio)</f>
        <v>0</v>
      </c>
    </row>
    <row r="60" customFormat="false" ht="15" hidden="false" customHeight="false" outlineLevel="0" collapsed="false">
      <c r="A60" s="11" t="s">
        <v>1105</v>
      </c>
      <c r="B60" s="53" t="str">
        <f aca="false">IF(INDEX(Prod_Nombre,15)="","Producto 15",INDEX(Prod_Nombre,15))&amp;" — ventas USD"</f>
        <v>Producto 15 — ventas USD</v>
      </c>
      <c r="C60" s="15" t="s">
        <v>508</v>
      </c>
      <c r="E60" s="54" t="n">
        <f aca="false">SUM(F60:ES60)</f>
        <v>0</v>
      </c>
      <c r="F60" s="48" t="n">
        <f aca="false">F$35*INDEX(Precio_O,15)*INDEX(IdxPrecio_O,1,MIN(10,F$17))*(1+P_dPrecio)</f>
        <v>0</v>
      </c>
      <c r="G60" s="48" t="n">
        <f aca="false">G$35*INDEX(Precio_O,15)*INDEX(IdxPrecio_O,1,MIN(10,G$17))*(1+P_dPrecio)</f>
        <v>0</v>
      </c>
      <c r="H60" s="48" t="n">
        <f aca="false">H$35*INDEX(Precio_O,15)*INDEX(IdxPrecio_O,1,MIN(10,H$17))*(1+P_dPrecio)</f>
        <v>0</v>
      </c>
      <c r="I60" s="48" t="n">
        <f aca="false">I$35*INDEX(Precio_O,15)*INDEX(IdxPrecio_O,1,MIN(10,I$17))*(1+P_dPrecio)</f>
        <v>0</v>
      </c>
      <c r="J60" s="48" t="n">
        <f aca="false">J$35*INDEX(Precio_O,15)*INDEX(IdxPrecio_O,1,MIN(10,J$17))*(1+P_dPrecio)</f>
        <v>0</v>
      </c>
      <c r="K60" s="48" t="n">
        <f aca="false">K$35*INDEX(Precio_O,15)*INDEX(IdxPrecio_O,1,MIN(10,K$17))*(1+P_dPrecio)</f>
        <v>0</v>
      </c>
      <c r="L60" s="48" t="n">
        <f aca="false">L$35*INDEX(Precio_O,15)*INDEX(IdxPrecio_O,1,MIN(10,L$17))*(1+P_dPrecio)</f>
        <v>0</v>
      </c>
      <c r="M60" s="48" t="n">
        <f aca="false">M$35*INDEX(Precio_O,15)*INDEX(IdxPrecio_O,1,MIN(10,M$17))*(1+P_dPrecio)</f>
        <v>0</v>
      </c>
      <c r="N60" s="48" t="n">
        <f aca="false">N$35*INDEX(Precio_O,15)*INDEX(IdxPrecio_O,1,MIN(10,N$17))*(1+P_dPrecio)</f>
        <v>0</v>
      </c>
      <c r="O60" s="48" t="n">
        <f aca="false">O$35*INDEX(Precio_O,15)*INDEX(IdxPrecio_O,1,MIN(10,O$17))*(1+P_dPrecio)</f>
        <v>0</v>
      </c>
      <c r="P60" s="48" t="n">
        <f aca="false">P$35*INDEX(Precio_O,15)*INDEX(IdxPrecio_O,1,MIN(10,P$17))*(1+P_dPrecio)</f>
        <v>0</v>
      </c>
      <c r="Q60" s="48" t="n">
        <f aca="false">Q$35*INDEX(Precio_O,15)*INDEX(IdxPrecio_O,1,MIN(10,Q$17))*(1+P_dPrecio)</f>
        <v>0</v>
      </c>
      <c r="R60" s="48" t="n">
        <f aca="false">R$35*INDEX(Precio_O,15)*INDEX(IdxPrecio_O,1,MIN(10,R$17))*(1+P_dPrecio)</f>
        <v>0</v>
      </c>
      <c r="S60" s="48" t="n">
        <f aca="false">S$35*INDEX(Precio_O,15)*INDEX(IdxPrecio_O,1,MIN(10,S$17))*(1+P_dPrecio)</f>
        <v>0</v>
      </c>
      <c r="T60" s="48" t="n">
        <f aca="false">T$35*INDEX(Precio_O,15)*INDEX(IdxPrecio_O,1,MIN(10,T$17))*(1+P_dPrecio)</f>
        <v>0</v>
      </c>
      <c r="U60" s="48" t="n">
        <f aca="false">U$35*INDEX(Precio_O,15)*INDEX(IdxPrecio_O,1,MIN(10,U$17))*(1+P_dPrecio)</f>
        <v>0</v>
      </c>
      <c r="V60" s="48" t="n">
        <f aca="false">V$35*INDEX(Precio_O,15)*INDEX(IdxPrecio_O,1,MIN(10,V$17))*(1+P_dPrecio)</f>
        <v>0</v>
      </c>
      <c r="W60" s="48" t="n">
        <f aca="false">W$35*INDEX(Precio_O,15)*INDEX(IdxPrecio_O,1,MIN(10,W$17))*(1+P_dPrecio)</f>
        <v>0</v>
      </c>
      <c r="X60" s="48" t="n">
        <f aca="false">X$35*INDEX(Precio_O,15)*INDEX(IdxPrecio_O,1,MIN(10,X$17))*(1+P_dPrecio)</f>
        <v>0</v>
      </c>
      <c r="Y60" s="48" t="n">
        <f aca="false">Y$35*INDEX(Precio_O,15)*INDEX(IdxPrecio_O,1,MIN(10,Y$17))*(1+P_dPrecio)</f>
        <v>0</v>
      </c>
      <c r="Z60" s="48" t="n">
        <f aca="false">Z$35*INDEX(Precio_O,15)*INDEX(IdxPrecio_O,1,MIN(10,Z$17))*(1+P_dPrecio)</f>
        <v>0</v>
      </c>
      <c r="AA60" s="48" t="n">
        <f aca="false">AA$35*INDEX(Precio_O,15)*INDEX(IdxPrecio_O,1,MIN(10,AA$17))*(1+P_dPrecio)</f>
        <v>0</v>
      </c>
      <c r="AB60" s="48" t="n">
        <f aca="false">AB$35*INDEX(Precio_O,15)*INDEX(IdxPrecio_O,1,MIN(10,AB$17))*(1+P_dPrecio)</f>
        <v>0</v>
      </c>
      <c r="AC60" s="48" t="n">
        <f aca="false">AC$35*INDEX(Precio_O,15)*INDEX(IdxPrecio_O,1,MIN(10,AC$17))*(1+P_dPrecio)</f>
        <v>0</v>
      </c>
      <c r="AD60" s="48" t="n">
        <f aca="false">AD$35*INDEX(Precio_O,15)*INDEX(IdxPrecio_O,1,MIN(10,AD$17))*(1+P_dPrecio)</f>
        <v>0</v>
      </c>
      <c r="AE60" s="48" t="n">
        <f aca="false">AE$35*INDEX(Precio_O,15)*INDEX(IdxPrecio_O,1,MIN(10,AE$17))*(1+P_dPrecio)</f>
        <v>0</v>
      </c>
      <c r="AF60" s="48" t="n">
        <f aca="false">AF$35*INDEX(Precio_O,15)*INDEX(IdxPrecio_O,1,MIN(10,AF$17))*(1+P_dPrecio)</f>
        <v>0</v>
      </c>
      <c r="AG60" s="48" t="n">
        <f aca="false">AG$35*INDEX(Precio_O,15)*INDEX(IdxPrecio_O,1,MIN(10,AG$17))*(1+P_dPrecio)</f>
        <v>0</v>
      </c>
      <c r="AH60" s="48" t="n">
        <f aca="false">AH$35*INDEX(Precio_O,15)*INDEX(IdxPrecio_O,1,MIN(10,AH$17))*(1+P_dPrecio)</f>
        <v>0</v>
      </c>
      <c r="AI60" s="48" t="n">
        <f aca="false">AI$35*INDEX(Precio_O,15)*INDEX(IdxPrecio_O,1,MIN(10,AI$17))*(1+P_dPrecio)</f>
        <v>0</v>
      </c>
      <c r="AJ60" s="48" t="n">
        <f aca="false">AJ$35*INDEX(Precio_O,15)*INDEX(IdxPrecio_O,1,MIN(10,AJ$17))*(1+P_dPrecio)</f>
        <v>0</v>
      </c>
      <c r="AK60" s="48" t="n">
        <f aca="false">AK$35*INDEX(Precio_O,15)*INDEX(IdxPrecio_O,1,MIN(10,AK$17))*(1+P_dPrecio)</f>
        <v>0</v>
      </c>
      <c r="AL60" s="48" t="n">
        <f aca="false">AL$35*INDEX(Precio_O,15)*INDEX(IdxPrecio_O,1,MIN(10,AL$17))*(1+P_dPrecio)</f>
        <v>0</v>
      </c>
      <c r="AM60" s="48" t="n">
        <f aca="false">AM$35*INDEX(Precio_O,15)*INDEX(IdxPrecio_O,1,MIN(10,AM$17))*(1+P_dPrecio)</f>
        <v>0</v>
      </c>
      <c r="AN60" s="48" t="n">
        <f aca="false">AN$35*INDEX(Precio_O,15)*INDEX(IdxPrecio_O,1,MIN(10,AN$17))*(1+P_dPrecio)</f>
        <v>0</v>
      </c>
      <c r="AO60" s="48" t="n">
        <f aca="false">AO$35*INDEX(Precio_O,15)*INDEX(IdxPrecio_O,1,MIN(10,AO$17))*(1+P_dPrecio)</f>
        <v>0</v>
      </c>
      <c r="AP60" s="48" t="n">
        <f aca="false">AP$35*INDEX(Precio_O,15)*INDEX(IdxPrecio_O,1,MIN(10,AP$17))*(1+P_dPrecio)</f>
        <v>0</v>
      </c>
      <c r="AQ60" s="48" t="n">
        <f aca="false">AQ$35*INDEX(Precio_O,15)*INDEX(IdxPrecio_O,1,MIN(10,AQ$17))*(1+P_dPrecio)</f>
        <v>0</v>
      </c>
      <c r="AR60" s="48" t="n">
        <f aca="false">AR$35*INDEX(Precio_O,15)*INDEX(IdxPrecio_O,1,MIN(10,AR$17))*(1+P_dPrecio)</f>
        <v>0</v>
      </c>
      <c r="AS60" s="48" t="n">
        <f aca="false">AS$35*INDEX(Precio_O,15)*INDEX(IdxPrecio_O,1,MIN(10,AS$17))*(1+P_dPrecio)</f>
        <v>0</v>
      </c>
      <c r="AT60" s="48" t="n">
        <f aca="false">AT$35*INDEX(Precio_O,15)*INDEX(IdxPrecio_O,1,MIN(10,AT$17))*(1+P_dPrecio)</f>
        <v>0</v>
      </c>
      <c r="AU60" s="48" t="n">
        <f aca="false">AU$35*INDEX(Precio_O,15)*INDEX(IdxPrecio_O,1,MIN(10,AU$17))*(1+P_dPrecio)</f>
        <v>0</v>
      </c>
      <c r="AV60" s="48" t="n">
        <f aca="false">AV$35*INDEX(Precio_O,15)*INDEX(IdxPrecio_O,1,MIN(10,AV$17))*(1+P_dPrecio)</f>
        <v>0</v>
      </c>
      <c r="AW60" s="48" t="n">
        <f aca="false">AW$35*INDEX(Precio_O,15)*INDEX(IdxPrecio_O,1,MIN(10,AW$17))*(1+P_dPrecio)</f>
        <v>0</v>
      </c>
      <c r="AX60" s="48" t="n">
        <f aca="false">AX$35*INDEX(Precio_O,15)*INDEX(IdxPrecio_O,1,MIN(10,AX$17))*(1+P_dPrecio)</f>
        <v>0</v>
      </c>
      <c r="AY60" s="48" t="n">
        <f aca="false">AY$35*INDEX(Precio_O,15)*INDEX(IdxPrecio_O,1,MIN(10,AY$17))*(1+P_dPrecio)</f>
        <v>0</v>
      </c>
      <c r="AZ60" s="48" t="n">
        <f aca="false">AZ$35*INDEX(Precio_O,15)*INDEX(IdxPrecio_O,1,MIN(10,AZ$17))*(1+P_dPrecio)</f>
        <v>0</v>
      </c>
      <c r="BA60" s="48" t="n">
        <f aca="false">BA$35*INDEX(Precio_O,15)*INDEX(IdxPrecio_O,1,MIN(10,BA$17))*(1+P_dPrecio)</f>
        <v>0</v>
      </c>
      <c r="BB60" s="48" t="n">
        <f aca="false">BB$35*INDEX(Precio_O,15)*INDEX(IdxPrecio_O,1,MIN(10,BB$17))*(1+P_dPrecio)</f>
        <v>0</v>
      </c>
      <c r="BC60" s="48" t="n">
        <f aca="false">BC$35*INDEX(Precio_O,15)*INDEX(IdxPrecio_O,1,MIN(10,BC$17))*(1+P_dPrecio)</f>
        <v>0</v>
      </c>
      <c r="BD60" s="48" t="n">
        <f aca="false">BD$35*INDEX(Precio_O,15)*INDEX(IdxPrecio_O,1,MIN(10,BD$17))*(1+P_dPrecio)</f>
        <v>0</v>
      </c>
      <c r="BE60" s="48" t="n">
        <f aca="false">BE$35*INDEX(Precio_O,15)*INDEX(IdxPrecio_O,1,MIN(10,BE$17))*(1+P_dPrecio)</f>
        <v>0</v>
      </c>
      <c r="BF60" s="48" t="n">
        <f aca="false">BF$35*INDEX(Precio_O,15)*INDEX(IdxPrecio_O,1,MIN(10,BF$17))*(1+P_dPrecio)</f>
        <v>0</v>
      </c>
      <c r="BG60" s="48" t="n">
        <f aca="false">BG$35*INDEX(Precio_O,15)*INDEX(IdxPrecio_O,1,MIN(10,BG$17))*(1+P_dPrecio)</f>
        <v>0</v>
      </c>
      <c r="BH60" s="48" t="n">
        <f aca="false">BH$35*INDEX(Precio_O,15)*INDEX(IdxPrecio_O,1,MIN(10,BH$17))*(1+P_dPrecio)</f>
        <v>0</v>
      </c>
      <c r="BI60" s="48" t="n">
        <f aca="false">BI$35*INDEX(Precio_O,15)*INDEX(IdxPrecio_O,1,MIN(10,BI$17))*(1+P_dPrecio)</f>
        <v>0</v>
      </c>
      <c r="BJ60" s="48" t="n">
        <f aca="false">BJ$35*INDEX(Precio_O,15)*INDEX(IdxPrecio_O,1,MIN(10,BJ$17))*(1+P_dPrecio)</f>
        <v>0</v>
      </c>
      <c r="BK60" s="48" t="n">
        <f aca="false">BK$35*INDEX(Precio_O,15)*INDEX(IdxPrecio_O,1,MIN(10,BK$17))*(1+P_dPrecio)</f>
        <v>0</v>
      </c>
      <c r="BL60" s="48" t="n">
        <f aca="false">BL$35*INDEX(Precio_O,15)*INDEX(IdxPrecio_O,1,MIN(10,BL$17))*(1+P_dPrecio)</f>
        <v>0</v>
      </c>
      <c r="BM60" s="48" t="n">
        <f aca="false">BM$35*INDEX(Precio_O,15)*INDEX(IdxPrecio_O,1,MIN(10,BM$17))*(1+P_dPrecio)</f>
        <v>0</v>
      </c>
      <c r="BN60" s="48" t="n">
        <f aca="false">BN$35*INDEX(Precio_O,15)*INDEX(IdxPrecio_O,1,MIN(10,BN$17))*(1+P_dPrecio)</f>
        <v>0</v>
      </c>
      <c r="BO60" s="48" t="n">
        <f aca="false">BO$35*INDEX(Precio_O,15)*INDEX(IdxPrecio_O,1,MIN(10,BO$17))*(1+P_dPrecio)</f>
        <v>0</v>
      </c>
      <c r="BP60" s="48" t="n">
        <f aca="false">BP$35*INDEX(Precio_O,15)*INDEX(IdxPrecio_O,1,MIN(10,BP$17))*(1+P_dPrecio)</f>
        <v>0</v>
      </c>
      <c r="BQ60" s="48" t="n">
        <f aca="false">BQ$35*INDEX(Precio_O,15)*INDEX(IdxPrecio_O,1,MIN(10,BQ$17))*(1+P_dPrecio)</f>
        <v>0</v>
      </c>
      <c r="BR60" s="48" t="n">
        <f aca="false">BR$35*INDEX(Precio_O,15)*INDEX(IdxPrecio_O,1,MIN(10,BR$17))*(1+P_dPrecio)</f>
        <v>0</v>
      </c>
      <c r="BS60" s="48" t="n">
        <f aca="false">BS$35*INDEX(Precio_O,15)*INDEX(IdxPrecio_O,1,MIN(10,BS$17))*(1+P_dPrecio)</f>
        <v>0</v>
      </c>
      <c r="BT60" s="48" t="n">
        <f aca="false">BT$35*INDEX(Precio_O,15)*INDEX(IdxPrecio_O,1,MIN(10,BT$17))*(1+P_dPrecio)</f>
        <v>0</v>
      </c>
      <c r="BU60" s="48" t="n">
        <f aca="false">BU$35*INDEX(Precio_O,15)*INDEX(IdxPrecio_O,1,MIN(10,BU$17))*(1+P_dPrecio)</f>
        <v>0</v>
      </c>
      <c r="BV60" s="48" t="n">
        <f aca="false">BV$35*INDEX(Precio_O,15)*INDEX(IdxPrecio_O,1,MIN(10,BV$17))*(1+P_dPrecio)</f>
        <v>0</v>
      </c>
      <c r="BW60" s="48" t="n">
        <f aca="false">BW$35*INDEX(Precio_O,15)*INDEX(IdxPrecio_O,1,MIN(10,BW$17))*(1+P_dPrecio)</f>
        <v>0</v>
      </c>
      <c r="BX60" s="48" t="n">
        <f aca="false">BX$35*INDEX(Precio_O,15)*INDEX(IdxPrecio_O,1,MIN(10,BX$17))*(1+P_dPrecio)</f>
        <v>0</v>
      </c>
      <c r="BY60" s="48" t="n">
        <f aca="false">BY$35*INDEX(Precio_O,15)*INDEX(IdxPrecio_O,1,MIN(10,BY$17))*(1+P_dPrecio)</f>
        <v>0</v>
      </c>
      <c r="BZ60" s="48" t="n">
        <f aca="false">BZ$35*INDEX(Precio_O,15)*INDEX(IdxPrecio_O,1,MIN(10,BZ$17))*(1+P_dPrecio)</f>
        <v>0</v>
      </c>
      <c r="CA60" s="48" t="n">
        <f aca="false">CA$35*INDEX(Precio_O,15)*INDEX(IdxPrecio_O,1,MIN(10,CA$17))*(1+P_dPrecio)</f>
        <v>0</v>
      </c>
      <c r="CB60" s="48" t="n">
        <f aca="false">CB$35*INDEX(Precio_O,15)*INDEX(IdxPrecio_O,1,MIN(10,CB$17))*(1+P_dPrecio)</f>
        <v>0</v>
      </c>
      <c r="CC60" s="48" t="n">
        <f aca="false">CC$35*INDEX(Precio_O,15)*INDEX(IdxPrecio_O,1,MIN(10,CC$17))*(1+P_dPrecio)</f>
        <v>0</v>
      </c>
      <c r="CD60" s="48" t="n">
        <f aca="false">CD$35*INDEX(Precio_O,15)*INDEX(IdxPrecio_O,1,MIN(10,CD$17))*(1+P_dPrecio)</f>
        <v>0</v>
      </c>
      <c r="CE60" s="48" t="n">
        <f aca="false">CE$35*INDEX(Precio_O,15)*INDEX(IdxPrecio_O,1,MIN(10,CE$17))*(1+P_dPrecio)</f>
        <v>0</v>
      </c>
      <c r="CF60" s="48" t="n">
        <f aca="false">CF$35*INDEX(Precio_O,15)*INDEX(IdxPrecio_O,1,MIN(10,CF$17))*(1+P_dPrecio)</f>
        <v>0</v>
      </c>
      <c r="CG60" s="48" t="n">
        <f aca="false">CG$35*INDEX(Precio_O,15)*INDEX(IdxPrecio_O,1,MIN(10,CG$17))*(1+P_dPrecio)</f>
        <v>0</v>
      </c>
      <c r="CH60" s="48" t="n">
        <f aca="false">CH$35*INDEX(Precio_O,15)*INDEX(IdxPrecio_O,1,MIN(10,CH$17))*(1+P_dPrecio)</f>
        <v>0</v>
      </c>
      <c r="CI60" s="48" t="n">
        <f aca="false">CI$35*INDEX(Precio_O,15)*INDEX(IdxPrecio_O,1,MIN(10,CI$17))*(1+P_dPrecio)</f>
        <v>0</v>
      </c>
      <c r="CJ60" s="48" t="n">
        <f aca="false">CJ$35*INDEX(Precio_O,15)*INDEX(IdxPrecio_O,1,MIN(10,CJ$17))*(1+P_dPrecio)</f>
        <v>0</v>
      </c>
      <c r="CK60" s="48" t="n">
        <f aca="false">CK$35*INDEX(Precio_O,15)*INDEX(IdxPrecio_O,1,MIN(10,CK$17))*(1+P_dPrecio)</f>
        <v>0</v>
      </c>
      <c r="CL60" s="48" t="n">
        <f aca="false">CL$35*INDEX(Precio_O,15)*INDEX(IdxPrecio_O,1,MIN(10,CL$17))*(1+P_dPrecio)</f>
        <v>0</v>
      </c>
      <c r="CM60" s="48" t="n">
        <f aca="false">CM$35*INDEX(Precio_O,15)*INDEX(IdxPrecio_O,1,MIN(10,CM$17))*(1+P_dPrecio)</f>
        <v>0</v>
      </c>
      <c r="CN60" s="48" t="n">
        <f aca="false">CN$35*INDEX(Precio_O,15)*INDEX(IdxPrecio_O,1,MIN(10,CN$17))*(1+P_dPrecio)</f>
        <v>0</v>
      </c>
      <c r="CO60" s="48" t="n">
        <f aca="false">CO$35*INDEX(Precio_O,15)*INDEX(IdxPrecio_O,1,MIN(10,CO$17))*(1+P_dPrecio)</f>
        <v>0</v>
      </c>
      <c r="CP60" s="48" t="n">
        <f aca="false">CP$35*INDEX(Precio_O,15)*INDEX(IdxPrecio_O,1,MIN(10,CP$17))*(1+P_dPrecio)</f>
        <v>0</v>
      </c>
      <c r="CQ60" s="48" t="n">
        <f aca="false">CQ$35*INDEX(Precio_O,15)*INDEX(IdxPrecio_O,1,MIN(10,CQ$17))*(1+P_dPrecio)</f>
        <v>0</v>
      </c>
      <c r="CR60" s="48" t="n">
        <f aca="false">CR$35*INDEX(Precio_O,15)*INDEX(IdxPrecio_O,1,MIN(10,CR$17))*(1+P_dPrecio)</f>
        <v>0</v>
      </c>
      <c r="CS60" s="48" t="n">
        <f aca="false">CS$35*INDEX(Precio_O,15)*INDEX(IdxPrecio_O,1,MIN(10,CS$17))*(1+P_dPrecio)</f>
        <v>0</v>
      </c>
      <c r="CT60" s="48" t="n">
        <f aca="false">CT$35*INDEX(Precio_O,15)*INDEX(IdxPrecio_O,1,MIN(10,CT$17))*(1+P_dPrecio)</f>
        <v>0</v>
      </c>
      <c r="CU60" s="48" t="n">
        <f aca="false">CU$35*INDEX(Precio_O,15)*INDEX(IdxPrecio_O,1,MIN(10,CU$17))*(1+P_dPrecio)</f>
        <v>0</v>
      </c>
      <c r="CV60" s="48" t="n">
        <f aca="false">CV$35*INDEX(Precio_O,15)*INDEX(IdxPrecio_O,1,MIN(10,CV$17))*(1+P_dPrecio)</f>
        <v>0</v>
      </c>
      <c r="CW60" s="48" t="n">
        <f aca="false">CW$35*INDEX(Precio_O,15)*INDEX(IdxPrecio_O,1,MIN(10,CW$17))*(1+P_dPrecio)</f>
        <v>0</v>
      </c>
      <c r="CX60" s="48" t="n">
        <f aca="false">CX$35*INDEX(Precio_O,15)*INDEX(IdxPrecio_O,1,MIN(10,CX$17))*(1+P_dPrecio)</f>
        <v>0</v>
      </c>
      <c r="CY60" s="48" t="n">
        <f aca="false">CY$35*INDEX(Precio_O,15)*INDEX(IdxPrecio_O,1,MIN(10,CY$17))*(1+P_dPrecio)</f>
        <v>0</v>
      </c>
      <c r="CZ60" s="48" t="n">
        <f aca="false">CZ$35*INDEX(Precio_O,15)*INDEX(IdxPrecio_O,1,MIN(10,CZ$17))*(1+P_dPrecio)</f>
        <v>0</v>
      </c>
      <c r="DA60" s="48" t="n">
        <f aca="false">DA$35*INDEX(Precio_O,15)*INDEX(IdxPrecio_O,1,MIN(10,DA$17))*(1+P_dPrecio)</f>
        <v>0</v>
      </c>
      <c r="DB60" s="48" t="n">
        <f aca="false">DB$35*INDEX(Precio_O,15)*INDEX(IdxPrecio_O,1,MIN(10,DB$17))*(1+P_dPrecio)</f>
        <v>0</v>
      </c>
      <c r="DC60" s="48" t="n">
        <f aca="false">DC$35*INDEX(Precio_O,15)*INDEX(IdxPrecio_O,1,MIN(10,DC$17))*(1+P_dPrecio)</f>
        <v>0</v>
      </c>
      <c r="DD60" s="48" t="n">
        <f aca="false">DD$35*INDEX(Precio_O,15)*INDEX(IdxPrecio_O,1,MIN(10,DD$17))*(1+P_dPrecio)</f>
        <v>0</v>
      </c>
      <c r="DE60" s="48" t="n">
        <f aca="false">DE$35*INDEX(Precio_O,15)*INDEX(IdxPrecio_O,1,MIN(10,DE$17))*(1+P_dPrecio)</f>
        <v>0</v>
      </c>
      <c r="DF60" s="48" t="n">
        <f aca="false">DF$35*INDEX(Precio_O,15)*INDEX(IdxPrecio_O,1,MIN(10,DF$17))*(1+P_dPrecio)</f>
        <v>0</v>
      </c>
      <c r="DG60" s="48" t="n">
        <f aca="false">DG$35*INDEX(Precio_O,15)*INDEX(IdxPrecio_O,1,MIN(10,DG$17))*(1+P_dPrecio)</f>
        <v>0</v>
      </c>
      <c r="DH60" s="48" t="n">
        <f aca="false">DH$35*INDEX(Precio_O,15)*INDEX(IdxPrecio_O,1,MIN(10,DH$17))*(1+P_dPrecio)</f>
        <v>0</v>
      </c>
      <c r="DI60" s="48" t="n">
        <f aca="false">DI$35*INDEX(Precio_O,15)*INDEX(IdxPrecio_O,1,MIN(10,DI$17))*(1+P_dPrecio)</f>
        <v>0</v>
      </c>
      <c r="DJ60" s="48" t="n">
        <f aca="false">DJ$35*INDEX(Precio_O,15)*INDEX(IdxPrecio_O,1,MIN(10,DJ$17))*(1+P_dPrecio)</f>
        <v>0</v>
      </c>
      <c r="DK60" s="48" t="n">
        <f aca="false">DK$35*INDEX(Precio_O,15)*INDEX(IdxPrecio_O,1,MIN(10,DK$17))*(1+P_dPrecio)</f>
        <v>0</v>
      </c>
      <c r="DL60" s="48" t="n">
        <f aca="false">DL$35*INDEX(Precio_O,15)*INDEX(IdxPrecio_O,1,MIN(10,DL$17))*(1+P_dPrecio)</f>
        <v>0</v>
      </c>
      <c r="DM60" s="48" t="n">
        <f aca="false">DM$35*INDEX(Precio_O,15)*INDEX(IdxPrecio_O,1,MIN(10,DM$17))*(1+P_dPrecio)</f>
        <v>0</v>
      </c>
      <c r="DN60" s="48" t="n">
        <f aca="false">DN$35*INDEX(Precio_O,15)*INDEX(IdxPrecio_O,1,MIN(10,DN$17))*(1+P_dPrecio)</f>
        <v>0</v>
      </c>
      <c r="DO60" s="48" t="n">
        <f aca="false">DO$35*INDEX(Precio_O,15)*INDEX(IdxPrecio_O,1,MIN(10,DO$17))*(1+P_dPrecio)</f>
        <v>0</v>
      </c>
      <c r="DP60" s="48" t="n">
        <f aca="false">DP$35*INDEX(Precio_O,15)*INDEX(IdxPrecio_O,1,MIN(10,DP$17))*(1+P_dPrecio)</f>
        <v>0</v>
      </c>
      <c r="DQ60" s="48" t="n">
        <f aca="false">DQ$35*INDEX(Precio_O,15)*INDEX(IdxPrecio_O,1,MIN(10,DQ$17))*(1+P_dPrecio)</f>
        <v>0</v>
      </c>
      <c r="DR60" s="48" t="n">
        <f aca="false">DR$35*INDEX(Precio_O,15)*INDEX(IdxPrecio_O,1,MIN(10,DR$17))*(1+P_dPrecio)</f>
        <v>0</v>
      </c>
      <c r="DS60" s="48" t="n">
        <f aca="false">DS$35*INDEX(Precio_O,15)*INDEX(IdxPrecio_O,1,MIN(10,DS$17))*(1+P_dPrecio)</f>
        <v>0</v>
      </c>
      <c r="DT60" s="48" t="n">
        <f aca="false">DT$35*INDEX(Precio_O,15)*INDEX(IdxPrecio_O,1,MIN(10,DT$17))*(1+P_dPrecio)</f>
        <v>0</v>
      </c>
      <c r="DU60" s="48" t="n">
        <f aca="false">DU$35*INDEX(Precio_O,15)*INDEX(IdxPrecio_O,1,MIN(10,DU$17))*(1+P_dPrecio)</f>
        <v>0</v>
      </c>
      <c r="DV60" s="48" t="n">
        <f aca="false">DV$35*INDEX(Precio_O,15)*INDEX(IdxPrecio_O,1,MIN(10,DV$17))*(1+P_dPrecio)</f>
        <v>0</v>
      </c>
      <c r="DW60" s="48" t="n">
        <f aca="false">DW$35*INDEX(Precio_O,15)*INDEX(IdxPrecio_O,1,MIN(10,DW$17))*(1+P_dPrecio)</f>
        <v>0</v>
      </c>
      <c r="DX60" s="48" t="n">
        <f aca="false">DX$35*INDEX(Precio_O,15)*INDEX(IdxPrecio_O,1,MIN(10,DX$17))*(1+P_dPrecio)</f>
        <v>0</v>
      </c>
      <c r="DY60" s="48" t="n">
        <f aca="false">DY$35*INDEX(Precio_O,15)*INDEX(IdxPrecio_O,1,MIN(10,DY$17))*(1+P_dPrecio)</f>
        <v>0</v>
      </c>
      <c r="DZ60" s="48" t="n">
        <f aca="false">DZ$35*INDEX(Precio_O,15)*INDEX(IdxPrecio_O,1,MIN(10,DZ$17))*(1+P_dPrecio)</f>
        <v>0</v>
      </c>
      <c r="EA60" s="48" t="n">
        <f aca="false">EA$35*INDEX(Precio_O,15)*INDEX(IdxPrecio_O,1,MIN(10,EA$17))*(1+P_dPrecio)</f>
        <v>0</v>
      </c>
      <c r="EB60" s="48" t="n">
        <f aca="false">EB$35*INDEX(Precio_O,15)*INDEX(IdxPrecio_O,1,MIN(10,EB$17))*(1+P_dPrecio)</f>
        <v>0</v>
      </c>
      <c r="EC60" s="48" t="n">
        <f aca="false">EC$35*INDEX(Precio_O,15)*INDEX(IdxPrecio_O,1,MIN(10,EC$17))*(1+P_dPrecio)</f>
        <v>0</v>
      </c>
      <c r="ED60" s="48" t="n">
        <f aca="false">ED$35*INDEX(Precio_O,15)*INDEX(IdxPrecio_O,1,MIN(10,ED$17))*(1+P_dPrecio)</f>
        <v>0</v>
      </c>
      <c r="EE60" s="48" t="n">
        <f aca="false">EE$35*INDEX(Precio_O,15)*INDEX(IdxPrecio_O,1,MIN(10,EE$17))*(1+P_dPrecio)</f>
        <v>0</v>
      </c>
      <c r="EF60" s="48" t="n">
        <f aca="false">EF$35*INDEX(Precio_O,15)*INDEX(IdxPrecio_O,1,MIN(10,EF$17))*(1+P_dPrecio)</f>
        <v>0</v>
      </c>
      <c r="EG60" s="48" t="n">
        <f aca="false">EG$35*INDEX(Precio_O,15)*INDEX(IdxPrecio_O,1,MIN(10,EG$17))*(1+P_dPrecio)</f>
        <v>0</v>
      </c>
      <c r="EH60" s="48" t="n">
        <f aca="false">EH$35*INDEX(Precio_O,15)*INDEX(IdxPrecio_O,1,MIN(10,EH$17))*(1+P_dPrecio)</f>
        <v>0</v>
      </c>
      <c r="EI60" s="48" t="n">
        <f aca="false">EI$35*INDEX(Precio_O,15)*INDEX(IdxPrecio_O,1,MIN(10,EI$17))*(1+P_dPrecio)</f>
        <v>0</v>
      </c>
      <c r="EJ60" s="48" t="n">
        <f aca="false">EJ$35*INDEX(Precio_O,15)*INDEX(IdxPrecio_O,1,MIN(10,EJ$17))*(1+P_dPrecio)</f>
        <v>0</v>
      </c>
      <c r="EK60" s="48" t="n">
        <f aca="false">EK$35*INDEX(Precio_O,15)*INDEX(IdxPrecio_O,1,MIN(10,EK$17))*(1+P_dPrecio)</f>
        <v>0</v>
      </c>
      <c r="EL60" s="48" t="n">
        <f aca="false">EL$35*INDEX(Precio_O,15)*INDEX(IdxPrecio_O,1,MIN(10,EL$17))*(1+P_dPrecio)</f>
        <v>0</v>
      </c>
      <c r="EM60" s="48" t="n">
        <f aca="false">EM$35*INDEX(Precio_O,15)*INDEX(IdxPrecio_O,1,MIN(10,EM$17))*(1+P_dPrecio)</f>
        <v>0</v>
      </c>
      <c r="EN60" s="48" t="n">
        <f aca="false">EN$35*INDEX(Precio_O,15)*INDEX(IdxPrecio_O,1,MIN(10,EN$17))*(1+P_dPrecio)</f>
        <v>0</v>
      </c>
      <c r="EO60" s="48" t="n">
        <f aca="false">EO$35*INDEX(Precio_O,15)*INDEX(IdxPrecio_O,1,MIN(10,EO$17))*(1+P_dPrecio)</f>
        <v>0</v>
      </c>
      <c r="EP60" s="48" t="n">
        <f aca="false">EP$35*INDEX(Precio_O,15)*INDEX(IdxPrecio_O,1,MIN(10,EP$17))*(1+P_dPrecio)</f>
        <v>0</v>
      </c>
      <c r="EQ60" s="48" t="n">
        <f aca="false">EQ$35*INDEX(Precio_O,15)*INDEX(IdxPrecio_O,1,MIN(10,EQ$17))*(1+P_dPrecio)</f>
        <v>0</v>
      </c>
      <c r="ER60" s="48" t="n">
        <f aca="false">ER$35*INDEX(Precio_O,15)*INDEX(IdxPrecio_O,1,MIN(10,ER$17))*(1+P_dPrecio)</f>
        <v>0</v>
      </c>
      <c r="ES60" s="48" t="n">
        <f aca="false">ES$35*INDEX(Precio_O,15)*INDEX(IdxPrecio_O,1,MIN(10,ES$17))*(1+P_dPrecio)</f>
        <v>0</v>
      </c>
    </row>
    <row r="61" customFormat="false" ht="15" hidden="false" customHeight="false" outlineLevel="0" collapsed="false">
      <c r="A61" s="11" t="s">
        <v>1106</v>
      </c>
      <c r="B61" s="53" t="str">
        <f aca="false">IF(INDEX(Prod_Nombre,16)="","Producto 16",INDEX(Prod_Nombre,16))&amp;" — ventas USD"</f>
        <v>Producto 16 — ventas USD</v>
      </c>
      <c r="C61" s="15" t="s">
        <v>508</v>
      </c>
      <c r="E61" s="54" t="n">
        <f aca="false">SUM(F61:ES61)</f>
        <v>0</v>
      </c>
      <c r="F61" s="48" t="n">
        <f aca="false">F$36*INDEX(Precio_O,16)*INDEX(IdxPrecio_O,1,MIN(10,F$17))*(1+P_dPrecio)</f>
        <v>0</v>
      </c>
      <c r="G61" s="48" t="n">
        <f aca="false">G$36*INDEX(Precio_O,16)*INDEX(IdxPrecio_O,1,MIN(10,G$17))*(1+P_dPrecio)</f>
        <v>0</v>
      </c>
      <c r="H61" s="48" t="n">
        <f aca="false">H$36*INDEX(Precio_O,16)*INDEX(IdxPrecio_O,1,MIN(10,H$17))*(1+P_dPrecio)</f>
        <v>0</v>
      </c>
      <c r="I61" s="48" t="n">
        <f aca="false">I$36*INDEX(Precio_O,16)*INDEX(IdxPrecio_O,1,MIN(10,I$17))*(1+P_dPrecio)</f>
        <v>0</v>
      </c>
      <c r="J61" s="48" t="n">
        <f aca="false">J$36*INDEX(Precio_O,16)*INDEX(IdxPrecio_O,1,MIN(10,J$17))*(1+P_dPrecio)</f>
        <v>0</v>
      </c>
      <c r="K61" s="48" t="n">
        <f aca="false">K$36*INDEX(Precio_O,16)*INDEX(IdxPrecio_O,1,MIN(10,K$17))*(1+P_dPrecio)</f>
        <v>0</v>
      </c>
      <c r="L61" s="48" t="n">
        <f aca="false">L$36*INDEX(Precio_O,16)*INDEX(IdxPrecio_O,1,MIN(10,L$17))*(1+P_dPrecio)</f>
        <v>0</v>
      </c>
      <c r="M61" s="48" t="n">
        <f aca="false">M$36*INDEX(Precio_O,16)*INDEX(IdxPrecio_O,1,MIN(10,M$17))*(1+P_dPrecio)</f>
        <v>0</v>
      </c>
      <c r="N61" s="48" t="n">
        <f aca="false">N$36*INDEX(Precio_O,16)*INDEX(IdxPrecio_O,1,MIN(10,N$17))*(1+P_dPrecio)</f>
        <v>0</v>
      </c>
      <c r="O61" s="48" t="n">
        <f aca="false">O$36*INDEX(Precio_O,16)*INDEX(IdxPrecio_O,1,MIN(10,O$17))*(1+P_dPrecio)</f>
        <v>0</v>
      </c>
      <c r="P61" s="48" t="n">
        <f aca="false">P$36*INDEX(Precio_O,16)*INDEX(IdxPrecio_O,1,MIN(10,P$17))*(1+P_dPrecio)</f>
        <v>0</v>
      </c>
      <c r="Q61" s="48" t="n">
        <f aca="false">Q$36*INDEX(Precio_O,16)*INDEX(IdxPrecio_O,1,MIN(10,Q$17))*(1+P_dPrecio)</f>
        <v>0</v>
      </c>
      <c r="R61" s="48" t="n">
        <f aca="false">R$36*INDEX(Precio_O,16)*INDEX(IdxPrecio_O,1,MIN(10,R$17))*(1+P_dPrecio)</f>
        <v>0</v>
      </c>
      <c r="S61" s="48" t="n">
        <f aca="false">S$36*INDEX(Precio_O,16)*INDEX(IdxPrecio_O,1,MIN(10,S$17))*(1+P_dPrecio)</f>
        <v>0</v>
      </c>
      <c r="T61" s="48" t="n">
        <f aca="false">T$36*INDEX(Precio_O,16)*INDEX(IdxPrecio_O,1,MIN(10,T$17))*(1+P_dPrecio)</f>
        <v>0</v>
      </c>
      <c r="U61" s="48" t="n">
        <f aca="false">U$36*INDEX(Precio_O,16)*INDEX(IdxPrecio_O,1,MIN(10,U$17))*(1+P_dPrecio)</f>
        <v>0</v>
      </c>
      <c r="V61" s="48" t="n">
        <f aca="false">V$36*INDEX(Precio_O,16)*INDEX(IdxPrecio_O,1,MIN(10,V$17))*(1+P_dPrecio)</f>
        <v>0</v>
      </c>
      <c r="W61" s="48" t="n">
        <f aca="false">W$36*INDEX(Precio_O,16)*INDEX(IdxPrecio_O,1,MIN(10,W$17))*(1+P_dPrecio)</f>
        <v>0</v>
      </c>
      <c r="X61" s="48" t="n">
        <f aca="false">X$36*INDEX(Precio_O,16)*INDEX(IdxPrecio_O,1,MIN(10,X$17))*(1+P_dPrecio)</f>
        <v>0</v>
      </c>
      <c r="Y61" s="48" t="n">
        <f aca="false">Y$36*INDEX(Precio_O,16)*INDEX(IdxPrecio_O,1,MIN(10,Y$17))*(1+P_dPrecio)</f>
        <v>0</v>
      </c>
      <c r="Z61" s="48" t="n">
        <f aca="false">Z$36*INDEX(Precio_O,16)*INDEX(IdxPrecio_O,1,MIN(10,Z$17))*(1+P_dPrecio)</f>
        <v>0</v>
      </c>
      <c r="AA61" s="48" t="n">
        <f aca="false">AA$36*INDEX(Precio_O,16)*INDEX(IdxPrecio_O,1,MIN(10,AA$17))*(1+P_dPrecio)</f>
        <v>0</v>
      </c>
      <c r="AB61" s="48" t="n">
        <f aca="false">AB$36*INDEX(Precio_O,16)*INDEX(IdxPrecio_O,1,MIN(10,AB$17))*(1+P_dPrecio)</f>
        <v>0</v>
      </c>
      <c r="AC61" s="48" t="n">
        <f aca="false">AC$36*INDEX(Precio_O,16)*INDEX(IdxPrecio_O,1,MIN(10,AC$17))*(1+P_dPrecio)</f>
        <v>0</v>
      </c>
      <c r="AD61" s="48" t="n">
        <f aca="false">AD$36*INDEX(Precio_O,16)*INDEX(IdxPrecio_O,1,MIN(10,AD$17))*(1+P_dPrecio)</f>
        <v>0</v>
      </c>
      <c r="AE61" s="48" t="n">
        <f aca="false">AE$36*INDEX(Precio_O,16)*INDEX(IdxPrecio_O,1,MIN(10,AE$17))*(1+P_dPrecio)</f>
        <v>0</v>
      </c>
      <c r="AF61" s="48" t="n">
        <f aca="false">AF$36*INDEX(Precio_O,16)*INDEX(IdxPrecio_O,1,MIN(10,AF$17))*(1+P_dPrecio)</f>
        <v>0</v>
      </c>
      <c r="AG61" s="48" t="n">
        <f aca="false">AG$36*INDEX(Precio_O,16)*INDEX(IdxPrecio_O,1,MIN(10,AG$17))*(1+P_dPrecio)</f>
        <v>0</v>
      </c>
      <c r="AH61" s="48" t="n">
        <f aca="false">AH$36*INDEX(Precio_O,16)*INDEX(IdxPrecio_O,1,MIN(10,AH$17))*(1+P_dPrecio)</f>
        <v>0</v>
      </c>
      <c r="AI61" s="48" t="n">
        <f aca="false">AI$36*INDEX(Precio_O,16)*INDEX(IdxPrecio_O,1,MIN(10,AI$17))*(1+P_dPrecio)</f>
        <v>0</v>
      </c>
      <c r="AJ61" s="48" t="n">
        <f aca="false">AJ$36*INDEX(Precio_O,16)*INDEX(IdxPrecio_O,1,MIN(10,AJ$17))*(1+P_dPrecio)</f>
        <v>0</v>
      </c>
      <c r="AK61" s="48" t="n">
        <f aca="false">AK$36*INDEX(Precio_O,16)*INDEX(IdxPrecio_O,1,MIN(10,AK$17))*(1+P_dPrecio)</f>
        <v>0</v>
      </c>
      <c r="AL61" s="48" t="n">
        <f aca="false">AL$36*INDEX(Precio_O,16)*INDEX(IdxPrecio_O,1,MIN(10,AL$17))*(1+P_dPrecio)</f>
        <v>0</v>
      </c>
      <c r="AM61" s="48" t="n">
        <f aca="false">AM$36*INDEX(Precio_O,16)*INDEX(IdxPrecio_O,1,MIN(10,AM$17))*(1+P_dPrecio)</f>
        <v>0</v>
      </c>
      <c r="AN61" s="48" t="n">
        <f aca="false">AN$36*INDEX(Precio_O,16)*INDEX(IdxPrecio_O,1,MIN(10,AN$17))*(1+P_dPrecio)</f>
        <v>0</v>
      </c>
      <c r="AO61" s="48" t="n">
        <f aca="false">AO$36*INDEX(Precio_O,16)*INDEX(IdxPrecio_O,1,MIN(10,AO$17))*(1+P_dPrecio)</f>
        <v>0</v>
      </c>
      <c r="AP61" s="48" t="n">
        <f aca="false">AP$36*INDEX(Precio_O,16)*INDEX(IdxPrecio_O,1,MIN(10,AP$17))*(1+P_dPrecio)</f>
        <v>0</v>
      </c>
      <c r="AQ61" s="48" t="n">
        <f aca="false">AQ$36*INDEX(Precio_O,16)*INDEX(IdxPrecio_O,1,MIN(10,AQ$17))*(1+P_dPrecio)</f>
        <v>0</v>
      </c>
      <c r="AR61" s="48" t="n">
        <f aca="false">AR$36*INDEX(Precio_O,16)*INDEX(IdxPrecio_O,1,MIN(10,AR$17))*(1+P_dPrecio)</f>
        <v>0</v>
      </c>
      <c r="AS61" s="48" t="n">
        <f aca="false">AS$36*INDEX(Precio_O,16)*INDEX(IdxPrecio_O,1,MIN(10,AS$17))*(1+P_dPrecio)</f>
        <v>0</v>
      </c>
      <c r="AT61" s="48" t="n">
        <f aca="false">AT$36*INDEX(Precio_O,16)*INDEX(IdxPrecio_O,1,MIN(10,AT$17))*(1+P_dPrecio)</f>
        <v>0</v>
      </c>
      <c r="AU61" s="48" t="n">
        <f aca="false">AU$36*INDEX(Precio_O,16)*INDEX(IdxPrecio_O,1,MIN(10,AU$17))*(1+P_dPrecio)</f>
        <v>0</v>
      </c>
      <c r="AV61" s="48" t="n">
        <f aca="false">AV$36*INDEX(Precio_O,16)*INDEX(IdxPrecio_O,1,MIN(10,AV$17))*(1+P_dPrecio)</f>
        <v>0</v>
      </c>
      <c r="AW61" s="48" t="n">
        <f aca="false">AW$36*INDEX(Precio_O,16)*INDEX(IdxPrecio_O,1,MIN(10,AW$17))*(1+P_dPrecio)</f>
        <v>0</v>
      </c>
      <c r="AX61" s="48" t="n">
        <f aca="false">AX$36*INDEX(Precio_O,16)*INDEX(IdxPrecio_O,1,MIN(10,AX$17))*(1+P_dPrecio)</f>
        <v>0</v>
      </c>
      <c r="AY61" s="48" t="n">
        <f aca="false">AY$36*INDEX(Precio_O,16)*INDEX(IdxPrecio_O,1,MIN(10,AY$17))*(1+P_dPrecio)</f>
        <v>0</v>
      </c>
      <c r="AZ61" s="48" t="n">
        <f aca="false">AZ$36*INDEX(Precio_O,16)*INDEX(IdxPrecio_O,1,MIN(10,AZ$17))*(1+P_dPrecio)</f>
        <v>0</v>
      </c>
      <c r="BA61" s="48" t="n">
        <f aca="false">BA$36*INDEX(Precio_O,16)*INDEX(IdxPrecio_O,1,MIN(10,BA$17))*(1+P_dPrecio)</f>
        <v>0</v>
      </c>
      <c r="BB61" s="48" t="n">
        <f aca="false">BB$36*INDEX(Precio_O,16)*INDEX(IdxPrecio_O,1,MIN(10,BB$17))*(1+P_dPrecio)</f>
        <v>0</v>
      </c>
      <c r="BC61" s="48" t="n">
        <f aca="false">BC$36*INDEX(Precio_O,16)*INDEX(IdxPrecio_O,1,MIN(10,BC$17))*(1+P_dPrecio)</f>
        <v>0</v>
      </c>
      <c r="BD61" s="48" t="n">
        <f aca="false">BD$36*INDEX(Precio_O,16)*INDEX(IdxPrecio_O,1,MIN(10,BD$17))*(1+P_dPrecio)</f>
        <v>0</v>
      </c>
      <c r="BE61" s="48" t="n">
        <f aca="false">BE$36*INDEX(Precio_O,16)*INDEX(IdxPrecio_O,1,MIN(10,BE$17))*(1+P_dPrecio)</f>
        <v>0</v>
      </c>
      <c r="BF61" s="48" t="n">
        <f aca="false">BF$36*INDEX(Precio_O,16)*INDEX(IdxPrecio_O,1,MIN(10,BF$17))*(1+P_dPrecio)</f>
        <v>0</v>
      </c>
      <c r="BG61" s="48" t="n">
        <f aca="false">BG$36*INDEX(Precio_O,16)*INDEX(IdxPrecio_O,1,MIN(10,BG$17))*(1+P_dPrecio)</f>
        <v>0</v>
      </c>
      <c r="BH61" s="48" t="n">
        <f aca="false">BH$36*INDEX(Precio_O,16)*INDEX(IdxPrecio_O,1,MIN(10,BH$17))*(1+P_dPrecio)</f>
        <v>0</v>
      </c>
      <c r="BI61" s="48" t="n">
        <f aca="false">BI$36*INDEX(Precio_O,16)*INDEX(IdxPrecio_O,1,MIN(10,BI$17))*(1+P_dPrecio)</f>
        <v>0</v>
      </c>
      <c r="BJ61" s="48" t="n">
        <f aca="false">BJ$36*INDEX(Precio_O,16)*INDEX(IdxPrecio_O,1,MIN(10,BJ$17))*(1+P_dPrecio)</f>
        <v>0</v>
      </c>
      <c r="BK61" s="48" t="n">
        <f aca="false">BK$36*INDEX(Precio_O,16)*INDEX(IdxPrecio_O,1,MIN(10,BK$17))*(1+P_dPrecio)</f>
        <v>0</v>
      </c>
      <c r="BL61" s="48" t="n">
        <f aca="false">BL$36*INDEX(Precio_O,16)*INDEX(IdxPrecio_O,1,MIN(10,BL$17))*(1+P_dPrecio)</f>
        <v>0</v>
      </c>
      <c r="BM61" s="48" t="n">
        <f aca="false">BM$36*INDEX(Precio_O,16)*INDEX(IdxPrecio_O,1,MIN(10,BM$17))*(1+P_dPrecio)</f>
        <v>0</v>
      </c>
      <c r="BN61" s="48" t="n">
        <f aca="false">BN$36*INDEX(Precio_O,16)*INDEX(IdxPrecio_O,1,MIN(10,BN$17))*(1+P_dPrecio)</f>
        <v>0</v>
      </c>
      <c r="BO61" s="48" t="n">
        <f aca="false">BO$36*INDEX(Precio_O,16)*INDEX(IdxPrecio_O,1,MIN(10,BO$17))*(1+P_dPrecio)</f>
        <v>0</v>
      </c>
      <c r="BP61" s="48" t="n">
        <f aca="false">BP$36*INDEX(Precio_O,16)*INDEX(IdxPrecio_O,1,MIN(10,BP$17))*(1+P_dPrecio)</f>
        <v>0</v>
      </c>
      <c r="BQ61" s="48" t="n">
        <f aca="false">BQ$36*INDEX(Precio_O,16)*INDEX(IdxPrecio_O,1,MIN(10,BQ$17))*(1+P_dPrecio)</f>
        <v>0</v>
      </c>
      <c r="BR61" s="48" t="n">
        <f aca="false">BR$36*INDEX(Precio_O,16)*INDEX(IdxPrecio_O,1,MIN(10,BR$17))*(1+P_dPrecio)</f>
        <v>0</v>
      </c>
      <c r="BS61" s="48" t="n">
        <f aca="false">BS$36*INDEX(Precio_O,16)*INDEX(IdxPrecio_O,1,MIN(10,BS$17))*(1+P_dPrecio)</f>
        <v>0</v>
      </c>
      <c r="BT61" s="48" t="n">
        <f aca="false">BT$36*INDEX(Precio_O,16)*INDEX(IdxPrecio_O,1,MIN(10,BT$17))*(1+P_dPrecio)</f>
        <v>0</v>
      </c>
      <c r="BU61" s="48" t="n">
        <f aca="false">BU$36*INDEX(Precio_O,16)*INDEX(IdxPrecio_O,1,MIN(10,BU$17))*(1+P_dPrecio)</f>
        <v>0</v>
      </c>
      <c r="BV61" s="48" t="n">
        <f aca="false">BV$36*INDEX(Precio_O,16)*INDEX(IdxPrecio_O,1,MIN(10,BV$17))*(1+P_dPrecio)</f>
        <v>0</v>
      </c>
      <c r="BW61" s="48" t="n">
        <f aca="false">BW$36*INDEX(Precio_O,16)*INDEX(IdxPrecio_O,1,MIN(10,BW$17))*(1+P_dPrecio)</f>
        <v>0</v>
      </c>
      <c r="BX61" s="48" t="n">
        <f aca="false">BX$36*INDEX(Precio_O,16)*INDEX(IdxPrecio_O,1,MIN(10,BX$17))*(1+P_dPrecio)</f>
        <v>0</v>
      </c>
      <c r="BY61" s="48" t="n">
        <f aca="false">BY$36*INDEX(Precio_O,16)*INDEX(IdxPrecio_O,1,MIN(10,BY$17))*(1+P_dPrecio)</f>
        <v>0</v>
      </c>
      <c r="BZ61" s="48" t="n">
        <f aca="false">BZ$36*INDEX(Precio_O,16)*INDEX(IdxPrecio_O,1,MIN(10,BZ$17))*(1+P_dPrecio)</f>
        <v>0</v>
      </c>
      <c r="CA61" s="48" t="n">
        <f aca="false">CA$36*INDEX(Precio_O,16)*INDEX(IdxPrecio_O,1,MIN(10,CA$17))*(1+P_dPrecio)</f>
        <v>0</v>
      </c>
      <c r="CB61" s="48" t="n">
        <f aca="false">CB$36*INDEX(Precio_O,16)*INDEX(IdxPrecio_O,1,MIN(10,CB$17))*(1+P_dPrecio)</f>
        <v>0</v>
      </c>
      <c r="CC61" s="48" t="n">
        <f aca="false">CC$36*INDEX(Precio_O,16)*INDEX(IdxPrecio_O,1,MIN(10,CC$17))*(1+P_dPrecio)</f>
        <v>0</v>
      </c>
      <c r="CD61" s="48" t="n">
        <f aca="false">CD$36*INDEX(Precio_O,16)*INDEX(IdxPrecio_O,1,MIN(10,CD$17))*(1+P_dPrecio)</f>
        <v>0</v>
      </c>
      <c r="CE61" s="48" t="n">
        <f aca="false">CE$36*INDEX(Precio_O,16)*INDEX(IdxPrecio_O,1,MIN(10,CE$17))*(1+P_dPrecio)</f>
        <v>0</v>
      </c>
      <c r="CF61" s="48" t="n">
        <f aca="false">CF$36*INDEX(Precio_O,16)*INDEX(IdxPrecio_O,1,MIN(10,CF$17))*(1+P_dPrecio)</f>
        <v>0</v>
      </c>
      <c r="CG61" s="48" t="n">
        <f aca="false">CG$36*INDEX(Precio_O,16)*INDEX(IdxPrecio_O,1,MIN(10,CG$17))*(1+P_dPrecio)</f>
        <v>0</v>
      </c>
      <c r="CH61" s="48" t="n">
        <f aca="false">CH$36*INDEX(Precio_O,16)*INDEX(IdxPrecio_O,1,MIN(10,CH$17))*(1+P_dPrecio)</f>
        <v>0</v>
      </c>
      <c r="CI61" s="48" t="n">
        <f aca="false">CI$36*INDEX(Precio_O,16)*INDEX(IdxPrecio_O,1,MIN(10,CI$17))*(1+P_dPrecio)</f>
        <v>0</v>
      </c>
      <c r="CJ61" s="48" t="n">
        <f aca="false">CJ$36*INDEX(Precio_O,16)*INDEX(IdxPrecio_O,1,MIN(10,CJ$17))*(1+P_dPrecio)</f>
        <v>0</v>
      </c>
      <c r="CK61" s="48" t="n">
        <f aca="false">CK$36*INDEX(Precio_O,16)*INDEX(IdxPrecio_O,1,MIN(10,CK$17))*(1+P_dPrecio)</f>
        <v>0</v>
      </c>
      <c r="CL61" s="48" t="n">
        <f aca="false">CL$36*INDEX(Precio_O,16)*INDEX(IdxPrecio_O,1,MIN(10,CL$17))*(1+P_dPrecio)</f>
        <v>0</v>
      </c>
      <c r="CM61" s="48" t="n">
        <f aca="false">CM$36*INDEX(Precio_O,16)*INDEX(IdxPrecio_O,1,MIN(10,CM$17))*(1+P_dPrecio)</f>
        <v>0</v>
      </c>
      <c r="CN61" s="48" t="n">
        <f aca="false">CN$36*INDEX(Precio_O,16)*INDEX(IdxPrecio_O,1,MIN(10,CN$17))*(1+P_dPrecio)</f>
        <v>0</v>
      </c>
      <c r="CO61" s="48" t="n">
        <f aca="false">CO$36*INDEX(Precio_O,16)*INDEX(IdxPrecio_O,1,MIN(10,CO$17))*(1+P_dPrecio)</f>
        <v>0</v>
      </c>
      <c r="CP61" s="48" t="n">
        <f aca="false">CP$36*INDEX(Precio_O,16)*INDEX(IdxPrecio_O,1,MIN(10,CP$17))*(1+P_dPrecio)</f>
        <v>0</v>
      </c>
      <c r="CQ61" s="48" t="n">
        <f aca="false">CQ$36*INDEX(Precio_O,16)*INDEX(IdxPrecio_O,1,MIN(10,CQ$17))*(1+P_dPrecio)</f>
        <v>0</v>
      </c>
      <c r="CR61" s="48" t="n">
        <f aca="false">CR$36*INDEX(Precio_O,16)*INDEX(IdxPrecio_O,1,MIN(10,CR$17))*(1+P_dPrecio)</f>
        <v>0</v>
      </c>
      <c r="CS61" s="48" t="n">
        <f aca="false">CS$36*INDEX(Precio_O,16)*INDEX(IdxPrecio_O,1,MIN(10,CS$17))*(1+P_dPrecio)</f>
        <v>0</v>
      </c>
      <c r="CT61" s="48" t="n">
        <f aca="false">CT$36*INDEX(Precio_O,16)*INDEX(IdxPrecio_O,1,MIN(10,CT$17))*(1+P_dPrecio)</f>
        <v>0</v>
      </c>
      <c r="CU61" s="48" t="n">
        <f aca="false">CU$36*INDEX(Precio_O,16)*INDEX(IdxPrecio_O,1,MIN(10,CU$17))*(1+P_dPrecio)</f>
        <v>0</v>
      </c>
      <c r="CV61" s="48" t="n">
        <f aca="false">CV$36*INDEX(Precio_O,16)*INDEX(IdxPrecio_O,1,MIN(10,CV$17))*(1+P_dPrecio)</f>
        <v>0</v>
      </c>
      <c r="CW61" s="48" t="n">
        <f aca="false">CW$36*INDEX(Precio_O,16)*INDEX(IdxPrecio_O,1,MIN(10,CW$17))*(1+P_dPrecio)</f>
        <v>0</v>
      </c>
      <c r="CX61" s="48" t="n">
        <f aca="false">CX$36*INDEX(Precio_O,16)*INDEX(IdxPrecio_O,1,MIN(10,CX$17))*(1+P_dPrecio)</f>
        <v>0</v>
      </c>
      <c r="CY61" s="48" t="n">
        <f aca="false">CY$36*INDEX(Precio_O,16)*INDEX(IdxPrecio_O,1,MIN(10,CY$17))*(1+P_dPrecio)</f>
        <v>0</v>
      </c>
      <c r="CZ61" s="48" t="n">
        <f aca="false">CZ$36*INDEX(Precio_O,16)*INDEX(IdxPrecio_O,1,MIN(10,CZ$17))*(1+P_dPrecio)</f>
        <v>0</v>
      </c>
      <c r="DA61" s="48" t="n">
        <f aca="false">DA$36*INDEX(Precio_O,16)*INDEX(IdxPrecio_O,1,MIN(10,DA$17))*(1+P_dPrecio)</f>
        <v>0</v>
      </c>
      <c r="DB61" s="48" t="n">
        <f aca="false">DB$36*INDEX(Precio_O,16)*INDEX(IdxPrecio_O,1,MIN(10,DB$17))*(1+P_dPrecio)</f>
        <v>0</v>
      </c>
      <c r="DC61" s="48" t="n">
        <f aca="false">DC$36*INDEX(Precio_O,16)*INDEX(IdxPrecio_O,1,MIN(10,DC$17))*(1+P_dPrecio)</f>
        <v>0</v>
      </c>
      <c r="DD61" s="48" t="n">
        <f aca="false">DD$36*INDEX(Precio_O,16)*INDEX(IdxPrecio_O,1,MIN(10,DD$17))*(1+P_dPrecio)</f>
        <v>0</v>
      </c>
      <c r="DE61" s="48" t="n">
        <f aca="false">DE$36*INDEX(Precio_O,16)*INDEX(IdxPrecio_O,1,MIN(10,DE$17))*(1+P_dPrecio)</f>
        <v>0</v>
      </c>
      <c r="DF61" s="48" t="n">
        <f aca="false">DF$36*INDEX(Precio_O,16)*INDEX(IdxPrecio_O,1,MIN(10,DF$17))*(1+P_dPrecio)</f>
        <v>0</v>
      </c>
      <c r="DG61" s="48" t="n">
        <f aca="false">DG$36*INDEX(Precio_O,16)*INDEX(IdxPrecio_O,1,MIN(10,DG$17))*(1+P_dPrecio)</f>
        <v>0</v>
      </c>
      <c r="DH61" s="48" t="n">
        <f aca="false">DH$36*INDEX(Precio_O,16)*INDEX(IdxPrecio_O,1,MIN(10,DH$17))*(1+P_dPrecio)</f>
        <v>0</v>
      </c>
      <c r="DI61" s="48" t="n">
        <f aca="false">DI$36*INDEX(Precio_O,16)*INDEX(IdxPrecio_O,1,MIN(10,DI$17))*(1+P_dPrecio)</f>
        <v>0</v>
      </c>
      <c r="DJ61" s="48" t="n">
        <f aca="false">DJ$36*INDEX(Precio_O,16)*INDEX(IdxPrecio_O,1,MIN(10,DJ$17))*(1+P_dPrecio)</f>
        <v>0</v>
      </c>
      <c r="DK61" s="48" t="n">
        <f aca="false">DK$36*INDEX(Precio_O,16)*INDEX(IdxPrecio_O,1,MIN(10,DK$17))*(1+P_dPrecio)</f>
        <v>0</v>
      </c>
      <c r="DL61" s="48" t="n">
        <f aca="false">DL$36*INDEX(Precio_O,16)*INDEX(IdxPrecio_O,1,MIN(10,DL$17))*(1+P_dPrecio)</f>
        <v>0</v>
      </c>
      <c r="DM61" s="48" t="n">
        <f aca="false">DM$36*INDEX(Precio_O,16)*INDEX(IdxPrecio_O,1,MIN(10,DM$17))*(1+P_dPrecio)</f>
        <v>0</v>
      </c>
      <c r="DN61" s="48" t="n">
        <f aca="false">DN$36*INDEX(Precio_O,16)*INDEX(IdxPrecio_O,1,MIN(10,DN$17))*(1+P_dPrecio)</f>
        <v>0</v>
      </c>
      <c r="DO61" s="48" t="n">
        <f aca="false">DO$36*INDEX(Precio_O,16)*INDEX(IdxPrecio_O,1,MIN(10,DO$17))*(1+P_dPrecio)</f>
        <v>0</v>
      </c>
      <c r="DP61" s="48" t="n">
        <f aca="false">DP$36*INDEX(Precio_O,16)*INDEX(IdxPrecio_O,1,MIN(10,DP$17))*(1+P_dPrecio)</f>
        <v>0</v>
      </c>
      <c r="DQ61" s="48" t="n">
        <f aca="false">DQ$36*INDEX(Precio_O,16)*INDEX(IdxPrecio_O,1,MIN(10,DQ$17))*(1+P_dPrecio)</f>
        <v>0</v>
      </c>
      <c r="DR61" s="48" t="n">
        <f aca="false">DR$36*INDEX(Precio_O,16)*INDEX(IdxPrecio_O,1,MIN(10,DR$17))*(1+P_dPrecio)</f>
        <v>0</v>
      </c>
      <c r="DS61" s="48" t="n">
        <f aca="false">DS$36*INDEX(Precio_O,16)*INDEX(IdxPrecio_O,1,MIN(10,DS$17))*(1+P_dPrecio)</f>
        <v>0</v>
      </c>
      <c r="DT61" s="48" t="n">
        <f aca="false">DT$36*INDEX(Precio_O,16)*INDEX(IdxPrecio_O,1,MIN(10,DT$17))*(1+P_dPrecio)</f>
        <v>0</v>
      </c>
      <c r="DU61" s="48" t="n">
        <f aca="false">DU$36*INDEX(Precio_O,16)*INDEX(IdxPrecio_O,1,MIN(10,DU$17))*(1+P_dPrecio)</f>
        <v>0</v>
      </c>
      <c r="DV61" s="48" t="n">
        <f aca="false">DV$36*INDEX(Precio_O,16)*INDEX(IdxPrecio_O,1,MIN(10,DV$17))*(1+P_dPrecio)</f>
        <v>0</v>
      </c>
      <c r="DW61" s="48" t="n">
        <f aca="false">DW$36*INDEX(Precio_O,16)*INDEX(IdxPrecio_O,1,MIN(10,DW$17))*(1+P_dPrecio)</f>
        <v>0</v>
      </c>
      <c r="DX61" s="48" t="n">
        <f aca="false">DX$36*INDEX(Precio_O,16)*INDEX(IdxPrecio_O,1,MIN(10,DX$17))*(1+P_dPrecio)</f>
        <v>0</v>
      </c>
      <c r="DY61" s="48" t="n">
        <f aca="false">DY$36*INDEX(Precio_O,16)*INDEX(IdxPrecio_O,1,MIN(10,DY$17))*(1+P_dPrecio)</f>
        <v>0</v>
      </c>
      <c r="DZ61" s="48" t="n">
        <f aca="false">DZ$36*INDEX(Precio_O,16)*INDEX(IdxPrecio_O,1,MIN(10,DZ$17))*(1+P_dPrecio)</f>
        <v>0</v>
      </c>
      <c r="EA61" s="48" t="n">
        <f aca="false">EA$36*INDEX(Precio_O,16)*INDEX(IdxPrecio_O,1,MIN(10,EA$17))*(1+P_dPrecio)</f>
        <v>0</v>
      </c>
      <c r="EB61" s="48" t="n">
        <f aca="false">EB$36*INDEX(Precio_O,16)*INDEX(IdxPrecio_O,1,MIN(10,EB$17))*(1+P_dPrecio)</f>
        <v>0</v>
      </c>
      <c r="EC61" s="48" t="n">
        <f aca="false">EC$36*INDEX(Precio_O,16)*INDEX(IdxPrecio_O,1,MIN(10,EC$17))*(1+P_dPrecio)</f>
        <v>0</v>
      </c>
      <c r="ED61" s="48" t="n">
        <f aca="false">ED$36*INDEX(Precio_O,16)*INDEX(IdxPrecio_O,1,MIN(10,ED$17))*(1+P_dPrecio)</f>
        <v>0</v>
      </c>
      <c r="EE61" s="48" t="n">
        <f aca="false">EE$36*INDEX(Precio_O,16)*INDEX(IdxPrecio_O,1,MIN(10,EE$17))*(1+P_dPrecio)</f>
        <v>0</v>
      </c>
      <c r="EF61" s="48" t="n">
        <f aca="false">EF$36*INDEX(Precio_O,16)*INDEX(IdxPrecio_O,1,MIN(10,EF$17))*(1+P_dPrecio)</f>
        <v>0</v>
      </c>
      <c r="EG61" s="48" t="n">
        <f aca="false">EG$36*INDEX(Precio_O,16)*INDEX(IdxPrecio_O,1,MIN(10,EG$17))*(1+P_dPrecio)</f>
        <v>0</v>
      </c>
      <c r="EH61" s="48" t="n">
        <f aca="false">EH$36*INDEX(Precio_O,16)*INDEX(IdxPrecio_O,1,MIN(10,EH$17))*(1+P_dPrecio)</f>
        <v>0</v>
      </c>
      <c r="EI61" s="48" t="n">
        <f aca="false">EI$36*INDEX(Precio_O,16)*INDEX(IdxPrecio_O,1,MIN(10,EI$17))*(1+P_dPrecio)</f>
        <v>0</v>
      </c>
      <c r="EJ61" s="48" t="n">
        <f aca="false">EJ$36*INDEX(Precio_O,16)*INDEX(IdxPrecio_O,1,MIN(10,EJ$17))*(1+P_dPrecio)</f>
        <v>0</v>
      </c>
      <c r="EK61" s="48" t="n">
        <f aca="false">EK$36*INDEX(Precio_O,16)*INDEX(IdxPrecio_O,1,MIN(10,EK$17))*(1+P_dPrecio)</f>
        <v>0</v>
      </c>
      <c r="EL61" s="48" t="n">
        <f aca="false">EL$36*INDEX(Precio_O,16)*INDEX(IdxPrecio_O,1,MIN(10,EL$17))*(1+P_dPrecio)</f>
        <v>0</v>
      </c>
      <c r="EM61" s="48" t="n">
        <f aca="false">EM$36*INDEX(Precio_O,16)*INDEX(IdxPrecio_O,1,MIN(10,EM$17))*(1+P_dPrecio)</f>
        <v>0</v>
      </c>
      <c r="EN61" s="48" t="n">
        <f aca="false">EN$36*INDEX(Precio_O,16)*INDEX(IdxPrecio_O,1,MIN(10,EN$17))*(1+P_dPrecio)</f>
        <v>0</v>
      </c>
      <c r="EO61" s="48" t="n">
        <f aca="false">EO$36*INDEX(Precio_O,16)*INDEX(IdxPrecio_O,1,MIN(10,EO$17))*(1+P_dPrecio)</f>
        <v>0</v>
      </c>
      <c r="EP61" s="48" t="n">
        <f aca="false">EP$36*INDEX(Precio_O,16)*INDEX(IdxPrecio_O,1,MIN(10,EP$17))*(1+P_dPrecio)</f>
        <v>0</v>
      </c>
      <c r="EQ61" s="48" t="n">
        <f aca="false">EQ$36*INDEX(Precio_O,16)*INDEX(IdxPrecio_O,1,MIN(10,EQ$17))*(1+P_dPrecio)</f>
        <v>0</v>
      </c>
      <c r="ER61" s="48" t="n">
        <f aca="false">ER$36*INDEX(Precio_O,16)*INDEX(IdxPrecio_O,1,MIN(10,ER$17))*(1+P_dPrecio)</f>
        <v>0</v>
      </c>
      <c r="ES61" s="48" t="n">
        <f aca="false">ES$36*INDEX(Precio_O,16)*INDEX(IdxPrecio_O,1,MIN(10,ES$17))*(1+P_dPrecio)</f>
        <v>0</v>
      </c>
    </row>
    <row r="62" customFormat="false" ht="15" hidden="false" customHeight="false" outlineLevel="0" collapsed="false">
      <c r="A62" s="11" t="s">
        <v>1107</v>
      </c>
      <c r="B62" s="53" t="str">
        <f aca="false">IF(INDEX(Prod_Nombre,17)="","Producto 17",INDEX(Prod_Nombre,17))&amp;" — ventas USD"</f>
        <v>Producto 17 — ventas USD</v>
      </c>
      <c r="C62" s="15" t="s">
        <v>508</v>
      </c>
      <c r="E62" s="54" t="n">
        <f aca="false">SUM(F62:ES62)</f>
        <v>0</v>
      </c>
      <c r="F62" s="48" t="n">
        <f aca="false">F$37*INDEX(Precio_O,17)*INDEX(IdxPrecio_O,1,MIN(10,F$17))*(1+P_dPrecio)</f>
        <v>0</v>
      </c>
      <c r="G62" s="48" t="n">
        <f aca="false">G$37*INDEX(Precio_O,17)*INDEX(IdxPrecio_O,1,MIN(10,G$17))*(1+P_dPrecio)</f>
        <v>0</v>
      </c>
      <c r="H62" s="48" t="n">
        <f aca="false">H$37*INDEX(Precio_O,17)*INDEX(IdxPrecio_O,1,MIN(10,H$17))*(1+P_dPrecio)</f>
        <v>0</v>
      </c>
      <c r="I62" s="48" t="n">
        <f aca="false">I$37*INDEX(Precio_O,17)*INDEX(IdxPrecio_O,1,MIN(10,I$17))*(1+P_dPrecio)</f>
        <v>0</v>
      </c>
      <c r="J62" s="48" t="n">
        <f aca="false">J$37*INDEX(Precio_O,17)*INDEX(IdxPrecio_O,1,MIN(10,J$17))*(1+P_dPrecio)</f>
        <v>0</v>
      </c>
      <c r="K62" s="48" t="n">
        <f aca="false">K$37*INDEX(Precio_O,17)*INDEX(IdxPrecio_O,1,MIN(10,K$17))*(1+P_dPrecio)</f>
        <v>0</v>
      </c>
      <c r="L62" s="48" t="n">
        <f aca="false">L$37*INDEX(Precio_O,17)*INDEX(IdxPrecio_O,1,MIN(10,L$17))*(1+P_dPrecio)</f>
        <v>0</v>
      </c>
      <c r="M62" s="48" t="n">
        <f aca="false">M$37*INDEX(Precio_O,17)*INDEX(IdxPrecio_O,1,MIN(10,M$17))*(1+P_dPrecio)</f>
        <v>0</v>
      </c>
      <c r="N62" s="48" t="n">
        <f aca="false">N$37*INDEX(Precio_O,17)*INDEX(IdxPrecio_O,1,MIN(10,N$17))*(1+P_dPrecio)</f>
        <v>0</v>
      </c>
      <c r="O62" s="48" t="n">
        <f aca="false">O$37*INDEX(Precio_O,17)*INDEX(IdxPrecio_O,1,MIN(10,O$17))*(1+P_dPrecio)</f>
        <v>0</v>
      </c>
      <c r="P62" s="48" t="n">
        <f aca="false">P$37*INDEX(Precio_O,17)*INDEX(IdxPrecio_O,1,MIN(10,P$17))*(1+P_dPrecio)</f>
        <v>0</v>
      </c>
      <c r="Q62" s="48" t="n">
        <f aca="false">Q$37*INDEX(Precio_O,17)*INDEX(IdxPrecio_O,1,MIN(10,Q$17))*(1+P_dPrecio)</f>
        <v>0</v>
      </c>
      <c r="R62" s="48" t="n">
        <f aca="false">R$37*INDEX(Precio_O,17)*INDEX(IdxPrecio_O,1,MIN(10,R$17))*(1+P_dPrecio)</f>
        <v>0</v>
      </c>
      <c r="S62" s="48" t="n">
        <f aca="false">S$37*INDEX(Precio_O,17)*INDEX(IdxPrecio_O,1,MIN(10,S$17))*(1+P_dPrecio)</f>
        <v>0</v>
      </c>
      <c r="T62" s="48" t="n">
        <f aca="false">T$37*INDEX(Precio_O,17)*INDEX(IdxPrecio_O,1,MIN(10,T$17))*(1+P_dPrecio)</f>
        <v>0</v>
      </c>
      <c r="U62" s="48" t="n">
        <f aca="false">U$37*INDEX(Precio_O,17)*INDEX(IdxPrecio_O,1,MIN(10,U$17))*(1+P_dPrecio)</f>
        <v>0</v>
      </c>
      <c r="V62" s="48" t="n">
        <f aca="false">V$37*INDEX(Precio_O,17)*INDEX(IdxPrecio_O,1,MIN(10,V$17))*(1+P_dPrecio)</f>
        <v>0</v>
      </c>
      <c r="W62" s="48" t="n">
        <f aca="false">W$37*INDEX(Precio_O,17)*INDEX(IdxPrecio_O,1,MIN(10,W$17))*(1+P_dPrecio)</f>
        <v>0</v>
      </c>
      <c r="X62" s="48" t="n">
        <f aca="false">X$37*INDEX(Precio_O,17)*INDEX(IdxPrecio_O,1,MIN(10,X$17))*(1+P_dPrecio)</f>
        <v>0</v>
      </c>
      <c r="Y62" s="48" t="n">
        <f aca="false">Y$37*INDEX(Precio_O,17)*INDEX(IdxPrecio_O,1,MIN(10,Y$17))*(1+P_dPrecio)</f>
        <v>0</v>
      </c>
      <c r="Z62" s="48" t="n">
        <f aca="false">Z$37*INDEX(Precio_O,17)*INDEX(IdxPrecio_O,1,MIN(10,Z$17))*(1+P_dPrecio)</f>
        <v>0</v>
      </c>
      <c r="AA62" s="48" t="n">
        <f aca="false">AA$37*INDEX(Precio_O,17)*INDEX(IdxPrecio_O,1,MIN(10,AA$17))*(1+P_dPrecio)</f>
        <v>0</v>
      </c>
      <c r="AB62" s="48" t="n">
        <f aca="false">AB$37*INDEX(Precio_O,17)*INDEX(IdxPrecio_O,1,MIN(10,AB$17))*(1+P_dPrecio)</f>
        <v>0</v>
      </c>
      <c r="AC62" s="48" t="n">
        <f aca="false">AC$37*INDEX(Precio_O,17)*INDEX(IdxPrecio_O,1,MIN(10,AC$17))*(1+P_dPrecio)</f>
        <v>0</v>
      </c>
      <c r="AD62" s="48" t="n">
        <f aca="false">AD$37*INDEX(Precio_O,17)*INDEX(IdxPrecio_O,1,MIN(10,AD$17))*(1+P_dPrecio)</f>
        <v>0</v>
      </c>
      <c r="AE62" s="48" t="n">
        <f aca="false">AE$37*INDEX(Precio_O,17)*INDEX(IdxPrecio_O,1,MIN(10,AE$17))*(1+P_dPrecio)</f>
        <v>0</v>
      </c>
      <c r="AF62" s="48" t="n">
        <f aca="false">AF$37*INDEX(Precio_O,17)*INDEX(IdxPrecio_O,1,MIN(10,AF$17))*(1+P_dPrecio)</f>
        <v>0</v>
      </c>
      <c r="AG62" s="48" t="n">
        <f aca="false">AG$37*INDEX(Precio_O,17)*INDEX(IdxPrecio_O,1,MIN(10,AG$17))*(1+P_dPrecio)</f>
        <v>0</v>
      </c>
      <c r="AH62" s="48" t="n">
        <f aca="false">AH$37*INDEX(Precio_O,17)*INDEX(IdxPrecio_O,1,MIN(10,AH$17))*(1+P_dPrecio)</f>
        <v>0</v>
      </c>
      <c r="AI62" s="48" t="n">
        <f aca="false">AI$37*INDEX(Precio_O,17)*INDEX(IdxPrecio_O,1,MIN(10,AI$17))*(1+P_dPrecio)</f>
        <v>0</v>
      </c>
      <c r="AJ62" s="48" t="n">
        <f aca="false">AJ$37*INDEX(Precio_O,17)*INDEX(IdxPrecio_O,1,MIN(10,AJ$17))*(1+P_dPrecio)</f>
        <v>0</v>
      </c>
      <c r="AK62" s="48" t="n">
        <f aca="false">AK$37*INDEX(Precio_O,17)*INDEX(IdxPrecio_O,1,MIN(10,AK$17))*(1+P_dPrecio)</f>
        <v>0</v>
      </c>
      <c r="AL62" s="48" t="n">
        <f aca="false">AL$37*INDEX(Precio_O,17)*INDEX(IdxPrecio_O,1,MIN(10,AL$17))*(1+P_dPrecio)</f>
        <v>0</v>
      </c>
      <c r="AM62" s="48" t="n">
        <f aca="false">AM$37*INDEX(Precio_O,17)*INDEX(IdxPrecio_O,1,MIN(10,AM$17))*(1+P_dPrecio)</f>
        <v>0</v>
      </c>
      <c r="AN62" s="48" t="n">
        <f aca="false">AN$37*INDEX(Precio_O,17)*INDEX(IdxPrecio_O,1,MIN(10,AN$17))*(1+P_dPrecio)</f>
        <v>0</v>
      </c>
      <c r="AO62" s="48" t="n">
        <f aca="false">AO$37*INDEX(Precio_O,17)*INDEX(IdxPrecio_O,1,MIN(10,AO$17))*(1+P_dPrecio)</f>
        <v>0</v>
      </c>
      <c r="AP62" s="48" t="n">
        <f aca="false">AP$37*INDEX(Precio_O,17)*INDEX(IdxPrecio_O,1,MIN(10,AP$17))*(1+P_dPrecio)</f>
        <v>0</v>
      </c>
      <c r="AQ62" s="48" t="n">
        <f aca="false">AQ$37*INDEX(Precio_O,17)*INDEX(IdxPrecio_O,1,MIN(10,AQ$17))*(1+P_dPrecio)</f>
        <v>0</v>
      </c>
      <c r="AR62" s="48" t="n">
        <f aca="false">AR$37*INDEX(Precio_O,17)*INDEX(IdxPrecio_O,1,MIN(10,AR$17))*(1+P_dPrecio)</f>
        <v>0</v>
      </c>
      <c r="AS62" s="48" t="n">
        <f aca="false">AS$37*INDEX(Precio_O,17)*INDEX(IdxPrecio_O,1,MIN(10,AS$17))*(1+P_dPrecio)</f>
        <v>0</v>
      </c>
      <c r="AT62" s="48" t="n">
        <f aca="false">AT$37*INDEX(Precio_O,17)*INDEX(IdxPrecio_O,1,MIN(10,AT$17))*(1+P_dPrecio)</f>
        <v>0</v>
      </c>
      <c r="AU62" s="48" t="n">
        <f aca="false">AU$37*INDEX(Precio_O,17)*INDEX(IdxPrecio_O,1,MIN(10,AU$17))*(1+P_dPrecio)</f>
        <v>0</v>
      </c>
      <c r="AV62" s="48" t="n">
        <f aca="false">AV$37*INDEX(Precio_O,17)*INDEX(IdxPrecio_O,1,MIN(10,AV$17))*(1+P_dPrecio)</f>
        <v>0</v>
      </c>
      <c r="AW62" s="48" t="n">
        <f aca="false">AW$37*INDEX(Precio_O,17)*INDEX(IdxPrecio_O,1,MIN(10,AW$17))*(1+P_dPrecio)</f>
        <v>0</v>
      </c>
      <c r="AX62" s="48" t="n">
        <f aca="false">AX$37*INDEX(Precio_O,17)*INDEX(IdxPrecio_O,1,MIN(10,AX$17))*(1+P_dPrecio)</f>
        <v>0</v>
      </c>
      <c r="AY62" s="48" t="n">
        <f aca="false">AY$37*INDEX(Precio_O,17)*INDEX(IdxPrecio_O,1,MIN(10,AY$17))*(1+P_dPrecio)</f>
        <v>0</v>
      </c>
      <c r="AZ62" s="48" t="n">
        <f aca="false">AZ$37*INDEX(Precio_O,17)*INDEX(IdxPrecio_O,1,MIN(10,AZ$17))*(1+P_dPrecio)</f>
        <v>0</v>
      </c>
      <c r="BA62" s="48" t="n">
        <f aca="false">BA$37*INDEX(Precio_O,17)*INDEX(IdxPrecio_O,1,MIN(10,BA$17))*(1+P_dPrecio)</f>
        <v>0</v>
      </c>
      <c r="BB62" s="48" t="n">
        <f aca="false">BB$37*INDEX(Precio_O,17)*INDEX(IdxPrecio_O,1,MIN(10,BB$17))*(1+P_dPrecio)</f>
        <v>0</v>
      </c>
      <c r="BC62" s="48" t="n">
        <f aca="false">BC$37*INDEX(Precio_O,17)*INDEX(IdxPrecio_O,1,MIN(10,BC$17))*(1+P_dPrecio)</f>
        <v>0</v>
      </c>
      <c r="BD62" s="48" t="n">
        <f aca="false">BD$37*INDEX(Precio_O,17)*INDEX(IdxPrecio_O,1,MIN(10,BD$17))*(1+P_dPrecio)</f>
        <v>0</v>
      </c>
      <c r="BE62" s="48" t="n">
        <f aca="false">BE$37*INDEX(Precio_O,17)*INDEX(IdxPrecio_O,1,MIN(10,BE$17))*(1+P_dPrecio)</f>
        <v>0</v>
      </c>
      <c r="BF62" s="48" t="n">
        <f aca="false">BF$37*INDEX(Precio_O,17)*INDEX(IdxPrecio_O,1,MIN(10,BF$17))*(1+P_dPrecio)</f>
        <v>0</v>
      </c>
      <c r="BG62" s="48" t="n">
        <f aca="false">BG$37*INDEX(Precio_O,17)*INDEX(IdxPrecio_O,1,MIN(10,BG$17))*(1+P_dPrecio)</f>
        <v>0</v>
      </c>
      <c r="BH62" s="48" t="n">
        <f aca="false">BH$37*INDEX(Precio_O,17)*INDEX(IdxPrecio_O,1,MIN(10,BH$17))*(1+P_dPrecio)</f>
        <v>0</v>
      </c>
      <c r="BI62" s="48" t="n">
        <f aca="false">BI$37*INDEX(Precio_O,17)*INDEX(IdxPrecio_O,1,MIN(10,BI$17))*(1+P_dPrecio)</f>
        <v>0</v>
      </c>
      <c r="BJ62" s="48" t="n">
        <f aca="false">BJ$37*INDEX(Precio_O,17)*INDEX(IdxPrecio_O,1,MIN(10,BJ$17))*(1+P_dPrecio)</f>
        <v>0</v>
      </c>
      <c r="BK62" s="48" t="n">
        <f aca="false">BK$37*INDEX(Precio_O,17)*INDEX(IdxPrecio_O,1,MIN(10,BK$17))*(1+P_dPrecio)</f>
        <v>0</v>
      </c>
      <c r="BL62" s="48" t="n">
        <f aca="false">BL$37*INDEX(Precio_O,17)*INDEX(IdxPrecio_O,1,MIN(10,BL$17))*(1+P_dPrecio)</f>
        <v>0</v>
      </c>
      <c r="BM62" s="48" t="n">
        <f aca="false">BM$37*INDEX(Precio_O,17)*INDEX(IdxPrecio_O,1,MIN(10,BM$17))*(1+P_dPrecio)</f>
        <v>0</v>
      </c>
      <c r="BN62" s="48" t="n">
        <f aca="false">BN$37*INDEX(Precio_O,17)*INDEX(IdxPrecio_O,1,MIN(10,BN$17))*(1+P_dPrecio)</f>
        <v>0</v>
      </c>
      <c r="BO62" s="48" t="n">
        <f aca="false">BO$37*INDEX(Precio_O,17)*INDEX(IdxPrecio_O,1,MIN(10,BO$17))*(1+P_dPrecio)</f>
        <v>0</v>
      </c>
      <c r="BP62" s="48" t="n">
        <f aca="false">BP$37*INDEX(Precio_O,17)*INDEX(IdxPrecio_O,1,MIN(10,BP$17))*(1+P_dPrecio)</f>
        <v>0</v>
      </c>
      <c r="BQ62" s="48" t="n">
        <f aca="false">BQ$37*INDEX(Precio_O,17)*INDEX(IdxPrecio_O,1,MIN(10,BQ$17))*(1+P_dPrecio)</f>
        <v>0</v>
      </c>
      <c r="BR62" s="48" t="n">
        <f aca="false">BR$37*INDEX(Precio_O,17)*INDEX(IdxPrecio_O,1,MIN(10,BR$17))*(1+P_dPrecio)</f>
        <v>0</v>
      </c>
      <c r="BS62" s="48" t="n">
        <f aca="false">BS$37*INDEX(Precio_O,17)*INDEX(IdxPrecio_O,1,MIN(10,BS$17))*(1+P_dPrecio)</f>
        <v>0</v>
      </c>
      <c r="BT62" s="48" t="n">
        <f aca="false">BT$37*INDEX(Precio_O,17)*INDEX(IdxPrecio_O,1,MIN(10,BT$17))*(1+P_dPrecio)</f>
        <v>0</v>
      </c>
      <c r="BU62" s="48" t="n">
        <f aca="false">BU$37*INDEX(Precio_O,17)*INDEX(IdxPrecio_O,1,MIN(10,BU$17))*(1+P_dPrecio)</f>
        <v>0</v>
      </c>
      <c r="BV62" s="48" t="n">
        <f aca="false">BV$37*INDEX(Precio_O,17)*INDEX(IdxPrecio_O,1,MIN(10,BV$17))*(1+P_dPrecio)</f>
        <v>0</v>
      </c>
      <c r="BW62" s="48" t="n">
        <f aca="false">BW$37*INDEX(Precio_O,17)*INDEX(IdxPrecio_O,1,MIN(10,BW$17))*(1+P_dPrecio)</f>
        <v>0</v>
      </c>
      <c r="BX62" s="48" t="n">
        <f aca="false">BX$37*INDEX(Precio_O,17)*INDEX(IdxPrecio_O,1,MIN(10,BX$17))*(1+P_dPrecio)</f>
        <v>0</v>
      </c>
      <c r="BY62" s="48" t="n">
        <f aca="false">BY$37*INDEX(Precio_O,17)*INDEX(IdxPrecio_O,1,MIN(10,BY$17))*(1+P_dPrecio)</f>
        <v>0</v>
      </c>
      <c r="BZ62" s="48" t="n">
        <f aca="false">BZ$37*INDEX(Precio_O,17)*INDEX(IdxPrecio_O,1,MIN(10,BZ$17))*(1+P_dPrecio)</f>
        <v>0</v>
      </c>
      <c r="CA62" s="48" t="n">
        <f aca="false">CA$37*INDEX(Precio_O,17)*INDEX(IdxPrecio_O,1,MIN(10,CA$17))*(1+P_dPrecio)</f>
        <v>0</v>
      </c>
      <c r="CB62" s="48" t="n">
        <f aca="false">CB$37*INDEX(Precio_O,17)*INDEX(IdxPrecio_O,1,MIN(10,CB$17))*(1+P_dPrecio)</f>
        <v>0</v>
      </c>
      <c r="CC62" s="48" t="n">
        <f aca="false">CC$37*INDEX(Precio_O,17)*INDEX(IdxPrecio_O,1,MIN(10,CC$17))*(1+P_dPrecio)</f>
        <v>0</v>
      </c>
      <c r="CD62" s="48" t="n">
        <f aca="false">CD$37*INDEX(Precio_O,17)*INDEX(IdxPrecio_O,1,MIN(10,CD$17))*(1+P_dPrecio)</f>
        <v>0</v>
      </c>
      <c r="CE62" s="48" t="n">
        <f aca="false">CE$37*INDEX(Precio_O,17)*INDEX(IdxPrecio_O,1,MIN(10,CE$17))*(1+P_dPrecio)</f>
        <v>0</v>
      </c>
      <c r="CF62" s="48" t="n">
        <f aca="false">CF$37*INDEX(Precio_O,17)*INDEX(IdxPrecio_O,1,MIN(10,CF$17))*(1+P_dPrecio)</f>
        <v>0</v>
      </c>
      <c r="CG62" s="48" t="n">
        <f aca="false">CG$37*INDEX(Precio_O,17)*INDEX(IdxPrecio_O,1,MIN(10,CG$17))*(1+P_dPrecio)</f>
        <v>0</v>
      </c>
      <c r="CH62" s="48" t="n">
        <f aca="false">CH$37*INDEX(Precio_O,17)*INDEX(IdxPrecio_O,1,MIN(10,CH$17))*(1+P_dPrecio)</f>
        <v>0</v>
      </c>
      <c r="CI62" s="48" t="n">
        <f aca="false">CI$37*INDEX(Precio_O,17)*INDEX(IdxPrecio_O,1,MIN(10,CI$17))*(1+P_dPrecio)</f>
        <v>0</v>
      </c>
      <c r="CJ62" s="48" t="n">
        <f aca="false">CJ$37*INDEX(Precio_O,17)*INDEX(IdxPrecio_O,1,MIN(10,CJ$17))*(1+P_dPrecio)</f>
        <v>0</v>
      </c>
      <c r="CK62" s="48" t="n">
        <f aca="false">CK$37*INDEX(Precio_O,17)*INDEX(IdxPrecio_O,1,MIN(10,CK$17))*(1+P_dPrecio)</f>
        <v>0</v>
      </c>
      <c r="CL62" s="48" t="n">
        <f aca="false">CL$37*INDEX(Precio_O,17)*INDEX(IdxPrecio_O,1,MIN(10,CL$17))*(1+P_dPrecio)</f>
        <v>0</v>
      </c>
      <c r="CM62" s="48" t="n">
        <f aca="false">CM$37*INDEX(Precio_O,17)*INDEX(IdxPrecio_O,1,MIN(10,CM$17))*(1+P_dPrecio)</f>
        <v>0</v>
      </c>
      <c r="CN62" s="48" t="n">
        <f aca="false">CN$37*INDEX(Precio_O,17)*INDEX(IdxPrecio_O,1,MIN(10,CN$17))*(1+P_dPrecio)</f>
        <v>0</v>
      </c>
      <c r="CO62" s="48" t="n">
        <f aca="false">CO$37*INDEX(Precio_O,17)*INDEX(IdxPrecio_O,1,MIN(10,CO$17))*(1+P_dPrecio)</f>
        <v>0</v>
      </c>
      <c r="CP62" s="48" t="n">
        <f aca="false">CP$37*INDEX(Precio_O,17)*INDEX(IdxPrecio_O,1,MIN(10,CP$17))*(1+P_dPrecio)</f>
        <v>0</v>
      </c>
      <c r="CQ62" s="48" t="n">
        <f aca="false">CQ$37*INDEX(Precio_O,17)*INDEX(IdxPrecio_O,1,MIN(10,CQ$17))*(1+P_dPrecio)</f>
        <v>0</v>
      </c>
      <c r="CR62" s="48" t="n">
        <f aca="false">CR$37*INDEX(Precio_O,17)*INDEX(IdxPrecio_O,1,MIN(10,CR$17))*(1+P_dPrecio)</f>
        <v>0</v>
      </c>
      <c r="CS62" s="48" t="n">
        <f aca="false">CS$37*INDEX(Precio_O,17)*INDEX(IdxPrecio_O,1,MIN(10,CS$17))*(1+P_dPrecio)</f>
        <v>0</v>
      </c>
      <c r="CT62" s="48" t="n">
        <f aca="false">CT$37*INDEX(Precio_O,17)*INDEX(IdxPrecio_O,1,MIN(10,CT$17))*(1+P_dPrecio)</f>
        <v>0</v>
      </c>
      <c r="CU62" s="48" t="n">
        <f aca="false">CU$37*INDEX(Precio_O,17)*INDEX(IdxPrecio_O,1,MIN(10,CU$17))*(1+P_dPrecio)</f>
        <v>0</v>
      </c>
      <c r="CV62" s="48" t="n">
        <f aca="false">CV$37*INDEX(Precio_O,17)*INDEX(IdxPrecio_O,1,MIN(10,CV$17))*(1+P_dPrecio)</f>
        <v>0</v>
      </c>
      <c r="CW62" s="48" t="n">
        <f aca="false">CW$37*INDEX(Precio_O,17)*INDEX(IdxPrecio_O,1,MIN(10,CW$17))*(1+P_dPrecio)</f>
        <v>0</v>
      </c>
      <c r="CX62" s="48" t="n">
        <f aca="false">CX$37*INDEX(Precio_O,17)*INDEX(IdxPrecio_O,1,MIN(10,CX$17))*(1+P_dPrecio)</f>
        <v>0</v>
      </c>
      <c r="CY62" s="48" t="n">
        <f aca="false">CY$37*INDEX(Precio_O,17)*INDEX(IdxPrecio_O,1,MIN(10,CY$17))*(1+P_dPrecio)</f>
        <v>0</v>
      </c>
      <c r="CZ62" s="48" t="n">
        <f aca="false">CZ$37*INDEX(Precio_O,17)*INDEX(IdxPrecio_O,1,MIN(10,CZ$17))*(1+P_dPrecio)</f>
        <v>0</v>
      </c>
      <c r="DA62" s="48" t="n">
        <f aca="false">DA$37*INDEX(Precio_O,17)*INDEX(IdxPrecio_O,1,MIN(10,DA$17))*(1+P_dPrecio)</f>
        <v>0</v>
      </c>
      <c r="DB62" s="48" t="n">
        <f aca="false">DB$37*INDEX(Precio_O,17)*INDEX(IdxPrecio_O,1,MIN(10,DB$17))*(1+P_dPrecio)</f>
        <v>0</v>
      </c>
      <c r="DC62" s="48" t="n">
        <f aca="false">DC$37*INDEX(Precio_O,17)*INDEX(IdxPrecio_O,1,MIN(10,DC$17))*(1+P_dPrecio)</f>
        <v>0</v>
      </c>
      <c r="DD62" s="48" t="n">
        <f aca="false">DD$37*INDEX(Precio_O,17)*INDEX(IdxPrecio_O,1,MIN(10,DD$17))*(1+P_dPrecio)</f>
        <v>0</v>
      </c>
      <c r="DE62" s="48" t="n">
        <f aca="false">DE$37*INDEX(Precio_O,17)*INDEX(IdxPrecio_O,1,MIN(10,DE$17))*(1+P_dPrecio)</f>
        <v>0</v>
      </c>
      <c r="DF62" s="48" t="n">
        <f aca="false">DF$37*INDEX(Precio_O,17)*INDEX(IdxPrecio_O,1,MIN(10,DF$17))*(1+P_dPrecio)</f>
        <v>0</v>
      </c>
      <c r="DG62" s="48" t="n">
        <f aca="false">DG$37*INDEX(Precio_O,17)*INDEX(IdxPrecio_O,1,MIN(10,DG$17))*(1+P_dPrecio)</f>
        <v>0</v>
      </c>
      <c r="DH62" s="48" t="n">
        <f aca="false">DH$37*INDEX(Precio_O,17)*INDEX(IdxPrecio_O,1,MIN(10,DH$17))*(1+P_dPrecio)</f>
        <v>0</v>
      </c>
      <c r="DI62" s="48" t="n">
        <f aca="false">DI$37*INDEX(Precio_O,17)*INDEX(IdxPrecio_O,1,MIN(10,DI$17))*(1+P_dPrecio)</f>
        <v>0</v>
      </c>
      <c r="DJ62" s="48" t="n">
        <f aca="false">DJ$37*INDEX(Precio_O,17)*INDEX(IdxPrecio_O,1,MIN(10,DJ$17))*(1+P_dPrecio)</f>
        <v>0</v>
      </c>
      <c r="DK62" s="48" t="n">
        <f aca="false">DK$37*INDEX(Precio_O,17)*INDEX(IdxPrecio_O,1,MIN(10,DK$17))*(1+P_dPrecio)</f>
        <v>0</v>
      </c>
      <c r="DL62" s="48" t="n">
        <f aca="false">DL$37*INDEX(Precio_O,17)*INDEX(IdxPrecio_O,1,MIN(10,DL$17))*(1+P_dPrecio)</f>
        <v>0</v>
      </c>
      <c r="DM62" s="48" t="n">
        <f aca="false">DM$37*INDEX(Precio_O,17)*INDEX(IdxPrecio_O,1,MIN(10,DM$17))*(1+P_dPrecio)</f>
        <v>0</v>
      </c>
      <c r="DN62" s="48" t="n">
        <f aca="false">DN$37*INDEX(Precio_O,17)*INDEX(IdxPrecio_O,1,MIN(10,DN$17))*(1+P_dPrecio)</f>
        <v>0</v>
      </c>
      <c r="DO62" s="48" t="n">
        <f aca="false">DO$37*INDEX(Precio_O,17)*INDEX(IdxPrecio_O,1,MIN(10,DO$17))*(1+P_dPrecio)</f>
        <v>0</v>
      </c>
      <c r="DP62" s="48" t="n">
        <f aca="false">DP$37*INDEX(Precio_O,17)*INDEX(IdxPrecio_O,1,MIN(10,DP$17))*(1+P_dPrecio)</f>
        <v>0</v>
      </c>
      <c r="DQ62" s="48" t="n">
        <f aca="false">DQ$37*INDEX(Precio_O,17)*INDEX(IdxPrecio_O,1,MIN(10,DQ$17))*(1+P_dPrecio)</f>
        <v>0</v>
      </c>
      <c r="DR62" s="48" t="n">
        <f aca="false">DR$37*INDEX(Precio_O,17)*INDEX(IdxPrecio_O,1,MIN(10,DR$17))*(1+P_dPrecio)</f>
        <v>0</v>
      </c>
      <c r="DS62" s="48" t="n">
        <f aca="false">DS$37*INDEX(Precio_O,17)*INDEX(IdxPrecio_O,1,MIN(10,DS$17))*(1+P_dPrecio)</f>
        <v>0</v>
      </c>
      <c r="DT62" s="48" t="n">
        <f aca="false">DT$37*INDEX(Precio_O,17)*INDEX(IdxPrecio_O,1,MIN(10,DT$17))*(1+P_dPrecio)</f>
        <v>0</v>
      </c>
      <c r="DU62" s="48" t="n">
        <f aca="false">DU$37*INDEX(Precio_O,17)*INDEX(IdxPrecio_O,1,MIN(10,DU$17))*(1+P_dPrecio)</f>
        <v>0</v>
      </c>
      <c r="DV62" s="48" t="n">
        <f aca="false">DV$37*INDEX(Precio_O,17)*INDEX(IdxPrecio_O,1,MIN(10,DV$17))*(1+P_dPrecio)</f>
        <v>0</v>
      </c>
      <c r="DW62" s="48" t="n">
        <f aca="false">DW$37*INDEX(Precio_O,17)*INDEX(IdxPrecio_O,1,MIN(10,DW$17))*(1+P_dPrecio)</f>
        <v>0</v>
      </c>
      <c r="DX62" s="48" t="n">
        <f aca="false">DX$37*INDEX(Precio_O,17)*INDEX(IdxPrecio_O,1,MIN(10,DX$17))*(1+P_dPrecio)</f>
        <v>0</v>
      </c>
      <c r="DY62" s="48" t="n">
        <f aca="false">DY$37*INDEX(Precio_O,17)*INDEX(IdxPrecio_O,1,MIN(10,DY$17))*(1+P_dPrecio)</f>
        <v>0</v>
      </c>
      <c r="DZ62" s="48" t="n">
        <f aca="false">DZ$37*INDEX(Precio_O,17)*INDEX(IdxPrecio_O,1,MIN(10,DZ$17))*(1+P_dPrecio)</f>
        <v>0</v>
      </c>
      <c r="EA62" s="48" t="n">
        <f aca="false">EA$37*INDEX(Precio_O,17)*INDEX(IdxPrecio_O,1,MIN(10,EA$17))*(1+P_dPrecio)</f>
        <v>0</v>
      </c>
      <c r="EB62" s="48" t="n">
        <f aca="false">EB$37*INDEX(Precio_O,17)*INDEX(IdxPrecio_O,1,MIN(10,EB$17))*(1+P_dPrecio)</f>
        <v>0</v>
      </c>
      <c r="EC62" s="48" t="n">
        <f aca="false">EC$37*INDEX(Precio_O,17)*INDEX(IdxPrecio_O,1,MIN(10,EC$17))*(1+P_dPrecio)</f>
        <v>0</v>
      </c>
      <c r="ED62" s="48" t="n">
        <f aca="false">ED$37*INDEX(Precio_O,17)*INDEX(IdxPrecio_O,1,MIN(10,ED$17))*(1+P_dPrecio)</f>
        <v>0</v>
      </c>
      <c r="EE62" s="48" t="n">
        <f aca="false">EE$37*INDEX(Precio_O,17)*INDEX(IdxPrecio_O,1,MIN(10,EE$17))*(1+P_dPrecio)</f>
        <v>0</v>
      </c>
      <c r="EF62" s="48" t="n">
        <f aca="false">EF$37*INDEX(Precio_O,17)*INDEX(IdxPrecio_O,1,MIN(10,EF$17))*(1+P_dPrecio)</f>
        <v>0</v>
      </c>
      <c r="EG62" s="48" t="n">
        <f aca="false">EG$37*INDEX(Precio_O,17)*INDEX(IdxPrecio_O,1,MIN(10,EG$17))*(1+P_dPrecio)</f>
        <v>0</v>
      </c>
      <c r="EH62" s="48" t="n">
        <f aca="false">EH$37*INDEX(Precio_O,17)*INDEX(IdxPrecio_O,1,MIN(10,EH$17))*(1+P_dPrecio)</f>
        <v>0</v>
      </c>
      <c r="EI62" s="48" t="n">
        <f aca="false">EI$37*INDEX(Precio_O,17)*INDEX(IdxPrecio_O,1,MIN(10,EI$17))*(1+P_dPrecio)</f>
        <v>0</v>
      </c>
      <c r="EJ62" s="48" t="n">
        <f aca="false">EJ$37*INDEX(Precio_O,17)*INDEX(IdxPrecio_O,1,MIN(10,EJ$17))*(1+P_dPrecio)</f>
        <v>0</v>
      </c>
      <c r="EK62" s="48" t="n">
        <f aca="false">EK$37*INDEX(Precio_O,17)*INDEX(IdxPrecio_O,1,MIN(10,EK$17))*(1+P_dPrecio)</f>
        <v>0</v>
      </c>
      <c r="EL62" s="48" t="n">
        <f aca="false">EL$37*INDEX(Precio_O,17)*INDEX(IdxPrecio_O,1,MIN(10,EL$17))*(1+P_dPrecio)</f>
        <v>0</v>
      </c>
      <c r="EM62" s="48" t="n">
        <f aca="false">EM$37*INDEX(Precio_O,17)*INDEX(IdxPrecio_O,1,MIN(10,EM$17))*(1+P_dPrecio)</f>
        <v>0</v>
      </c>
      <c r="EN62" s="48" t="n">
        <f aca="false">EN$37*INDEX(Precio_O,17)*INDEX(IdxPrecio_O,1,MIN(10,EN$17))*(1+P_dPrecio)</f>
        <v>0</v>
      </c>
      <c r="EO62" s="48" t="n">
        <f aca="false">EO$37*INDEX(Precio_O,17)*INDEX(IdxPrecio_O,1,MIN(10,EO$17))*(1+P_dPrecio)</f>
        <v>0</v>
      </c>
      <c r="EP62" s="48" t="n">
        <f aca="false">EP$37*INDEX(Precio_O,17)*INDEX(IdxPrecio_O,1,MIN(10,EP$17))*(1+P_dPrecio)</f>
        <v>0</v>
      </c>
      <c r="EQ62" s="48" t="n">
        <f aca="false">EQ$37*INDEX(Precio_O,17)*INDEX(IdxPrecio_O,1,MIN(10,EQ$17))*(1+P_dPrecio)</f>
        <v>0</v>
      </c>
      <c r="ER62" s="48" t="n">
        <f aca="false">ER$37*INDEX(Precio_O,17)*INDEX(IdxPrecio_O,1,MIN(10,ER$17))*(1+P_dPrecio)</f>
        <v>0</v>
      </c>
      <c r="ES62" s="48" t="n">
        <f aca="false">ES$37*INDEX(Precio_O,17)*INDEX(IdxPrecio_O,1,MIN(10,ES$17))*(1+P_dPrecio)</f>
        <v>0</v>
      </c>
    </row>
    <row r="63" customFormat="false" ht="15" hidden="false" customHeight="false" outlineLevel="0" collapsed="false">
      <c r="A63" s="11" t="s">
        <v>1108</v>
      </c>
      <c r="B63" s="53" t="str">
        <f aca="false">IF(INDEX(Prod_Nombre,18)="","Producto 18",INDEX(Prod_Nombre,18))&amp;" — ventas USD"</f>
        <v>Producto 18 — ventas USD</v>
      </c>
      <c r="C63" s="15" t="s">
        <v>508</v>
      </c>
      <c r="E63" s="54" t="n">
        <f aca="false">SUM(F63:ES63)</f>
        <v>0</v>
      </c>
      <c r="F63" s="48" t="n">
        <f aca="false">F$38*INDEX(Precio_O,18)*INDEX(IdxPrecio_O,1,MIN(10,F$17))*(1+P_dPrecio)</f>
        <v>0</v>
      </c>
      <c r="G63" s="48" t="n">
        <f aca="false">G$38*INDEX(Precio_O,18)*INDEX(IdxPrecio_O,1,MIN(10,G$17))*(1+P_dPrecio)</f>
        <v>0</v>
      </c>
      <c r="H63" s="48" t="n">
        <f aca="false">H$38*INDEX(Precio_O,18)*INDEX(IdxPrecio_O,1,MIN(10,H$17))*(1+P_dPrecio)</f>
        <v>0</v>
      </c>
      <c r="I63" s="48" t="n">
        <f aca="false">I$38*INDEX(Precio_O,18)*INDEX(IdxPrecio_O,1,MIN(10,I$17))*(1+P_dPrecio)</f>
        <v>0</v>
      </c>
      <c r="J63" s="48" t="n">
        <f aca="false">J$38*INDEX(Precio_O,18)*INDEX(IdxPrecio_O,1,MIN(10,J$17))*(1+P_dPrecio)</f>
        <v>0</v>
      </c>
      <c r="K63" s="48" t="n">
        <f aca="false">K$38*INDEX(Precio_O,18)*INDEX(IdxPrecio_O,1,MIN(10,K$17))*(1+P_dPrecio)</f>
        <v>0</v>
      </c>
      <c r="L63" s="48" t="n">
        <f aca="false">L$38*INDEX(Precio_O,18)*INDEX(IdxPrecio_O,1,MIN(10,L$17))*(1+P_dPrecio)</f>
        <v>0</v>
      </c>
      <c r="M63" s="48" t="n">
        <f aca="false">M$38*INDEX(Precio_O,18)*INDEX(IdxPrecio_O,1,MIN(10,M$17))*(1+P_dPrecio)</f>
        <v>0</v>
      </c>
      <c r="N63" s="48" t="n">
        <f aca="false">N$38*INDEX(Precio_O,18)*INDEX(IdxPrecio_O,1,MIN(10,N$17))*(1+P_dPrecio)</f>
        <v>0</v>
      </c>
      <c r="O63" s="48" t="n">
        <f aca="false">O$38*INDEX(Precio_O,18)*INDEX(IdxPrecio_O,1,MIN(10,O$17))*(1+P_dPrecio)</f>
        <v>0</v>
      </c>
      <c r="P63" s="48" t="n">
        <f aca="false">P$38*INDEX(Precio_O,18)*INDEX(IdxPrecio_O,1,MIN(10,P$17))*(1+P_dPrecio)</f>
        <v>0</v>
      </c>
      <c r="Q63" s="48" t="n">
        <f aca="false">Q$38*INDEX(Precio_O,18)*INDEX(IdxPrecio_O,1,MIN(10,Q$17))*(1+P_dPrecio)</f>
        <v>0</v>
      </c>
      <c r="R63" s="48" t="n">
        <f aca="false">R$38*INDEX(Precio_O,18)*INDEX(IdxPrecio_O,1,MIN(10,R$17))*(1+P_dPrecio)</f>
        <v>0</v>
      </c>
      <c r="S63" s="48" t="n">
        <f aca="false">S$38*INDEX(Precio_O,18)*INDEX(IdxPrecio_O,1,MIN(10,S$17))*(1+P_dPrecio)</f>
        <v>0</v>
      </c>
      <c r="T63" s="48" t="n">
        <f aca="false">T$38*INDEX(Precio_O,18)*INDEX(IdxPrecio_O,1,MIN(10,T$17))*(1+P_dPrecio)</f>
        <v>0</v>
      </c>
      <c r="U63" s="48" t="n">
        <f aca="false">U$38*INDEX(Precio_O,18)*INDEX(IdxPrecio_O,1,MIN(10,U$17))*(1+P_dPrecio)</f>
        <v>0</v>
      </c>
      <c r="V63" s="48" t="n">
        <f aca="false">V$38*INDEX(Precio_O,18)*INDEX(IdxPrecio_O,1,MIN(10,V$17))*(1+P_dPrecio)</f>
        <v>0</v>
      </c>
      <c r="W63" s="48" t="n">
        <f aca="false">W$38*INDEX(Precio_O,18)*INDEX(IdxPrecio_O,1,MIN(10,W$17))*(1+P_dPrecio)</f>
        <v>0</v>
      </c>
      <c r="X63" s="48" t="n">
        <f aca="false">X$38*INDEX(Precio_O,18)*INDEX(IdxPrecio_O,1,MIN(10,X$17))*(1+P_dPrecio)</f>
        <v>0</v>
      </c>
      <c r="Y63" s="48" t="n">
        <f aca="false">Y$38*INDEX(Precio_O,18)*INDEX(IdxPrecio_O,1,MIN(10,Y$17))*(1+P_dPrecio)</f>
        <v>0</v>
      </c>
      <c r="Z63" s="48" t="n">
        <f aca="false">Z$38*INDEX(Precio_O,18)*INDEX(IdxPrecio_O,1,MIN(10,Z$17))*(1+P_dPrecio)</f>
        <v>0</v>
      </c>
      <c r="AA63" s="48" t="n">
        <f aca="false">AA$38*INDEX(Precio_O,18)*INDEX(IdxPrecio_O,1,MIN(10,AA$17))*(1+P_dPrecio)</f>
        <v>0</v>
      </c>
      <c r="AB63" s="48" t="n">
        <f aca="false">AB$38*INDEX(Precio_O,18)*INDEX(IdxPrecio_O,1,MIN(10,AB$17))*(1+P_dPrecio)</f>
        <v>0</v>
      </c>
      <c r="AC63" s="48" t="n">
        <f aca="false">AC$38*INDEX(Precio_O,18)*INDEX(IdxPrecio_O,1,MIN(10,AC$17))*(1+P_dPrecio)</f>
        <v>0</v>
      </c>
      <c r="AD63" s="48" t="n">
        <f aca="false">AD$38*INDEX(Precio_O,18)*INDEX(IdxPrecio_O,1,MIN(10,AD$17))*(1+P_dPrecio)</f>
        <v>0</v>
      </c>
      <c r="AE63" s="48" t="n">
        <f aca="false">AE$38*INDEX(Precio_O,18)*INDEX(IdxPrecio_O,1,MIN(10,AE$17))*(1+P_dPrecio)</f>
        <v>0</v>
      </c>
      <c r="AF63" s="48" t="n">
        <f aca="false">AF$38*INDEX(Precio_O,18)*INDEX(IdxPrecio_O,1,MIN(10,AF$17))*(1+P_dPrecio)</f>
        <v>0</v>
      </c>
      <c r="AG63" s="48" t="n">
        <f aca="false">AG$38*INDEX(Precio_O,18)*INDEX(IdxPrecio_O,1,MIN(10,AG$17))*(1+P_dPrecio)</f>
        <v>0</v>
      </c>
      <c r="AH63" s="48" t="n">
        <f aca="false">AH$38*INDEX(Precio_O,18)*INDEX(IdxPrecio_O,1,MIN(10,AH$17))*(1+P_dPrecio)</f>
        <v>0</v>
      </c>
      <c r="AI63" s="48" t="n">
        <f aca="false">AI$38*INDEX(Precio_O,18)*INDEX(IdxPrecio_O,1,MIN(10,AI$17))*(1+P_dPrecio)</f>
        <v>0</v>
      </c>
      <c r="AJ63" s="48" t="n">
        <f aca="false">AJ$38*INDEX(Precio_O,18)*INDEX(IdxPrecio_O,1,MIN(10,AJ$17))*(1+P_dPrecio)</f>
        <v>0</v>
      </c>
      <c r="AK63" s="48" t="n">
        <f aca="false">AK$38*INDEX(Precio_O,18)*INDEX(IdxPrecio_O,1,MIN(10,AK$17))*(1+P_dPrecio)</f>
        <v>0</v>
      </c>
      <c r="AL63" s="48" t="n">
        <f aca="false">AL$38*INDEX(Precio_O,18)*INDEX(IdxPrecio_O,1,MIN(10,AL$17))*(1+P_dPrecio)</f>
        <v>0</v>
      </c>
      <c r="AM63" s="48" t="n">
        <f aca="false">AM$38*INDEX(Precio_O,18)*INDEX(IdxPrecio_O,1,MIN(10,AM$17))*(1+P_dPrecio)</f>
        <v>0</v>
      </c>
      <c r="AN63" s="48" t="n">
        <f aca="false">AN$38*INDEX(Precio_O,18)*INDEX(IdxPrecio_O,1,MIN(10,AN$17))*(1+P_dPrecio)</f>
        <v>0</v>
      </c>
      <c r="AO63" s="48" t="n">
        <f aca="false">AO$38*INDEX(Precio_O,18)*INDEX(IdxPrecio_O,1,MIN(10,AO$17))*(1+P_dPrecio)</f>
        <v>0</v>
      </c>
      <c r="AP63" s="48" t="n">
        <f aca="false">AP$38*INDEX(Precio_O,18)*INDEX(IdxPrecio_O,1,MIN(10,AP$17))*(1+P_dPrecio)</f>
        <v>0</v>
      </c>
      <c r="AQ63" s="48" t="n">
        <f aca="false">AQ$38*INDEX(Precio_O,18)*INDEX(IdxPrecio_O,1,MIN(10,AQ$17))*(1+P_dPrecio)</f>
        <v>0</v>
      </c>
      <c r="AR63" s="48" t="n">
        <f aca="false">AR$38*INDEX(Precio_O,18)*INDEX(IdxPrecio_O,1,MIN(10,AR$17))*(1+P_dPrecio)</f>
        <v>0</v>
      </c>
      <c r="AS63" s="48" t="n">
        <f aca="false">AS$38*INDEX(Precio_O,18)*INDEX(IdxPrecio_O,1,MIN(10,AS$17))*(1+P_dPrecio)</f>
        <v>0</v>
      </c>
      <c r="AT63" s="48" t="n">
        <f aca="false">AT$38*INDEX(Precio_O,18)*INDEX(IdxPrecio_O,1,MIN(10,AT$17))*(1+P_dPrecio)</f>
        <v>0</v>
      </c>
      <c r="AU63" s="48" t="n">
        <f aca="false">AU$38*INDEX(Precio_O,18)*INDEX(IdxPrecio_O,1,MIN(10,AU$17))*(1+P_dPrecio)</f>
        <v>0</v>
      </c>
      <c r="AV63" s="48" t="n">
        <f aca="false">AV$38*INDEX(Precio_O,18)*INDEX(IdxPrecio_O,1,MIN(10,AV$17))*(1+P_dPrecio)</f>
        <v>0</v>
      </c>
      <c r="AW63" s="48" t="n">
        <f aca="false">AW$38*INDEX(Precio_O,18)*INDEX(IdxPrecio_O,1,MIN(10,AW$17))*(1+P_dPrecio)</f>
        <v>0</v>
      </c>
      <c r="AX63" s="48" t="n">
        <f aca="false">AX$38*INDEX(Precio_O,18)*INDEX(IdxPrecio_O,1,MIN(10,AX$17))*(1+P_dPrecio)</f>
        <v>0</v>
      </c>
      <c r="AY63" s="48" t="n">
        <f aca="false">AY$38*INDEX(Precio_O,18)*INDEX(IdxPrecio_O,1,MIN(10,AY$17))*(1+P_dPrecio)</f>
        <v>0</v>
      </c>
      <c r="AZ63" s="48" t="n">
        <f aca="false">AZ$38*INDEX(Precio_O,18)*INDEX(IdxPrecio_O,1,MIN(10,AZ$17))*(1+P_dPrecio)</f>
        <v>0</v>
      </c>
      <c r="BA63" s="48" t="n">
        <f aca="false">BA$38*INDEX(Precio_O,18)*INDEX(IdxPrecio_O,1,MIN(10,BA$17))*(1+P_dPrecio)</f>
        <v>0</v>
      </c>
      <c r="BB63" s="48" t="n">
        <f aca="false">BB$38*INDEX(Precio_O,18)*INDEX(IdxPrecio_O,1,MIN(10,BB$17))*(1+P_dPrecio)</f>
        <v>0</v>
      </c>
      <c r="BC63" s="48" t="n">
        <f aca="false">BC$38*INDEX(Precio_O,18)*INDEX(IdxPrecio_O,1,MIN(10,BC$17))*(1+P_dPrecio)</f>
        <v>0</v>
      </c>
      <c r="BD63" s="48" t="n">
        <f aca="false">BD$38*INDEX(Precio_O,18)*INDEX(IdxPrecio_O,1,MIN(10,BD$17))*(1+P_dPrecio)</f>
        <v>0</v>
      </c>
      <c r="BE63" s="48" t="n">
        <f aca="false">BE$38*INDEX(Precio_O,18)*INDEX(IdxPrecio_O,1,MIN(10,BE$17))*(1+P_dPrecio)</f>
        <v>0</v>
      </c>
      <c r="BF63" s="48" t="n">
        <f aca="false">BF$38*INDEX(Precio_O,18)*INDEX(IdxPrecio_O,1,MIN(10,BF$17))*(1+P_dPrecio)</f>
        <v>0</v>
      </c>
      <c r="BG63" s="48" t="n">
        <f aca="false">BG$38*INDEX(Precio_O,18)*INDEX(IdxPrecio_O,1,MIN(10,BG$17))*(1+P_dPrecio)</f>
        <v>0</v>
      </c>
      <c r="BH63" s="48" t="n">
        <f aca="false">BH$38*INDEX(Precio_O,18)*INDEX(IdxPrecio_O,1,MIN(10,BH$17))*(1+P_dPrecio)</f>
        <v>0</v>
      </c>
      <c r="BI63" s="48" t="n">
        <f aca="false">BI$38*INDEX(Precio_O,18)*INDEX(IdxPrecio_O,1,MIN(10,BI$17))*(1+P_dPrecio)</f>
        <v>0</v>
      </c>
      <c r="BJ63" s="48" t="n">
        <f aca="false">BJ$38*INDEX(Precio_O,18)*INDEX(IdxPrecio_O,1,MIN(10,BJ$17))*(1+P_dPrecio)</f>
        <v>0</v>
      </c>
      <c r="BK63" s="48" t="n">
        <f aca="false">BK$38*INDEX(Precio_O,18)*INDEX(IdxPrecio_O,1,MIN(10,BK$17))*(1+P_dPrecio)</f>
        <v>0</v>
      </c>
      <c r="BL63" s="48" t="n">
        <f aca="false">BL$38*INDEX(Precio_O,18)*INDEX(IdxPrecio_O,1,MIN(10,BL$17))*(1+P_dPrecio)</f>
        <v>0</v>
      </c>
      <c r="BM63" s="48" t="n">
        <f aca="false">BM$38*INDEX(Precio_O,18)*INDEX(IdxPrecio_O,1,MIN(10,BM$17))*(1+P_dPrecio)</f>
        <v>0</v>
      </c>
      <c r="BN63" s="48" t="n">
        <f aca="false">BN$38*INDEX(Precio_O,18)*INDEX(IdxPrecio_O,1,MIN(10,BN$17))*(1+P_dPrecio)</f>
        <v>0</v>
      </c>
      <c r="BO63" s="48" t="n">
        <f aca="false">BO$38*INDEX(Precio_O,18)*INDEX(IdxPrecio_O,1,MIN(10,BO$17))*(1+P_dPrecio)</f>
        <v>0</v>
      </c>
      <c r="BP63" s="48" t="n">
        <f aca="false">BP$38*INDEX(Precio_O,18)*INDEX(IdxPrecio_O,1,MIN(10,BP$17))*(1+P_dPrecio)</f>
        <v>0</v>
      </c>
      <c r="BQ63" s="48" t="n">
        <f aca="false">BQ$38*INDEX(Precio_O,18)*INDEX(IdxPrecio_O,1,MIN(10,BQ$17))*(1+P_dPrecio)</f>
        <v>0</v>
      </c>
      <c r="BR63" s="48" t="n">
        <f aca="false">BR$38*INDEX(Precio_O,18)*INDEX(IdxPrecio_O,1,MIN(10,BR$17))*(1+P_dPrecio)</f>
        <v>0</v>
      </c>
      <c r="BS63" s="48" t="n">
        <f aca="false">BS$38*INDEX(Precio_O,18)*INDEX(IdxPrecio_O,1,MIN(10,BS$17))*(1+P_dPrecio)</f>
        <v>0</v>
      </c>
      <c r="BT63" s="48" t="n">
        <f aca="false">BT$38*INDEX(Precio_O,18)*INDEX(IdxPrecio_O,1,MIN(10,BT$17))*(1+P_dPrecio)</f>
        <v>0</v>
      </c>
      <c r="BU63" s="48" t="n">
        <f aca="false">BU$38*INDEX(Precio_O,18)*INDEX(IdxPrecio_O,1,MIN(10,BU$17))*(1+P_dPrecio)</f>
        <v>0</v>
      </c>
      <c r="BV63" s="48" t="n">
        <f aca="false">BV$38*INDEX(Precio_O,18)*INDEX(IdxPrecio_O,1,MIN(10,BV$17))*(1+P_dPrecio)</f>
        <v>0</v>
      </c>
      <c r="BW63" s="48" t="n">
        <f aca="false">BW$38*INDEX(Precio_O,18)*INDEX(IdxPrecio_O,1,MIN(10,BW$17))*(1+P_dPrecio)</f>
        <v>0</v>
      </c>
      <c r="BX63" s="48" t="n">
        <f aca="false">BX$38*INDEX(Precio_O,18)*INDEX(IdxPrecio_O,1,MIN(10,BX$17))*(1+P_dPrecio)</f>
        <v>0</v>
      </c>
      <c r="BY63" s="48" t="n">
        <f aca="false">BY$38*INDEX(Precio_O,18)*INDEX(IdxPrecio_O,1,MIN(10,BY$17))*(1+P_dPrecio)</f>
        <v>0</v>
      </c>
      <c r="BZ63" s="48" t="n">
        <f aca="false">BZ$38*INDEX(Precio_O,18)*INDEX(IdxPrecio_O,1,MIN(10,BZ$17))*(1+P_dPrecio)</f>
        <v>0</v>
      </c>
      <c r="CA63" s="48" t="n">
        <f aca="false">CA$38*INDEX(Precio_O,18)*INDEX(IdxPrecio_O,1,MIN(10,CA$17))*(1+P_dPrecio)</f>
        <v>0</v>
      </c>
      <c r="CB63" s="48" t="n">
        <f aca="false">CB$38*INDEX(Precio_O,18)*INDEX(IdxPrecio_O,1,MIN(10,CB$17))*(1+P_dPrecio)</f>
        <v>0</v>
      </c>
      <c r="CC63" s="48" t="n">
        <f aca="false">CC$38*INDEX(Precio_O,18)*INDEX(IdxPrecio_O,1,MIN(10,CC$17))*(1+P_dPrecio)</f>
        <v>0</v>
      </c>
      <c r="CD63" s="48" t="n">
        <f aca="false">CD$38*INDEX(Precio_O,18)*INDEX(IdxPrecio_O,1,MIN(10,CD$17))*(1+P_dPrecio)</f>
        <v>0</v>
      </c>
      <c r="CE63" s="48" t="n">
        <f aca="false">CE$38*INDEX(Precio_O,18)*INDEX(IdxPrecio_O,1,MIN(10,CE$17))*(1+P_dPrecio)</f>
        <v>0</v>
      </c>
      <c r="CF63" s="48" t="n">
        <f aca="false">CF$38*INDEX(Precio_O,18)*INDEX(IdxPrecio_O,1,MIN(10,CF$17))*(1+P_dPrecio)</f>
        <v>0</v>
      </c>
      <c r="CG63" s="48" t="n">
        <f aca="false">CG$38*INDEX(Precio_O,18)*INDEX(IdxPrecio_O,1,MIN(10,CG$17))*(1+P_dPrecio)</f>
        <v>0</v>
      </c>
      <c r="CH63" s="48" t="n">
        <f aca="false">CH$38*INDEX(Precio_O,18)*INDEX(IdxPrecio_O,1,MIN(10,CH$17))*(1+P_dPrecio)</f>
        <v>0</v>
      </c>
      <c r="CI63" s="48" t="n">
        <f aca="false">CI$38*INDEX(Precio_O,18)*INDEX(IdxPrecio_O,1,MIN(10,CI$17))*(1+P_dPrecio)</f>
        <v>0</v>
      </c>
      <c r="CJ63" s="48" t="n">
        <f aca="false">CJ$38*INDEX(Precio_O,18)*INDEX(IdxPrecio_O,1,MIN(10,CJ$17))*(1+P_dPrecio)</f>
        <v>0</v>
      </c>
      <c r="CK63" s="48" t="n">
        <f aca="false">CK$38*INDEX(Precio_O,18)*INDEX(IdxPrecio_O,1,MIN(10,CK$17))*(1+P_dPrecio)</f>
        <v>0</v>
      </c>
      <c r="CL63" s="48" t="n">
        <f aca="false">CL$38*INDEX(Precio_O,18)*INDEX(IdxPrecio_O,1,MIN(10,CL$17))*(1+P_dPrecio)</f>
        <v>0</v>
      </c>
      <c r="CM63" s="48" t="n">
        <f aca="false">CM$38*INDEX(Precio_O,18)*INDEX(IdxPrecio_O,1,MIN(10,CM$17))*(1+P_dPrecio)</f>
        <v>0</v>
      </c>
      <c r="CN63" s="48" t="n">
        <f aca="false">CN$38*INDEX(Precio_O,18)*INDEX(IdxPrecio_O,1,MIN(10,CN$17))*(1+P_dPrecio)</f>
        <v>0</v>
      </c>
      <c r="CO63" s="48" t="n">
        <f aca="false">CO$38*INDEX(Precio_O,18)*INDEX(IdxPrecio_O,1,MIN(10,CO$17))*(1+P_dPrecio)</f>
        <v>0</v>
      </c>
      <c r="CP63" s="48" t="n">
        <f aca="false">CP$38*INDEX(Precio_O,18)*INDEX(IdxPrecio_O,1,MIN(10,CP$17))*(1+P_dPrecio)</f>
        <v>0</v>
      </c>
      <c r="CQ63" s="48" t="n">
        <f aca="false">CQ$38*INDEX(Precio_O,18)*INDEX(IdxPrecio_O,1,MIN(10,CQ$17))*(1+P_dPrecio)</f>
        <v>0</v>
      </c>
      <c r="CR63" s="48" t="n">
        <f aca="false">CR$38*INDEX(Precio_O,18)*INDEX(IdxPrecio_O,1,MIN(10,CR$17))*(1+P_dPrecio)</f>
        <v>0</v>
      </c>
      <c r="CS63" s="48" t="n">
        <f aca="false">CS$38*INDEX(Precio_O,18)*INDEX(IdxPrecio_O,1,MIN(10,CS$17))*(1+P_dPrecio)</f>
        <v>0</v>
      </c>
      <c r="CT63" s="48" t="n">
        <f aca="false">CT$38*INDEX(Precio_O,18)*INDEX(IdxPrecio_O,1,MIN(10,CT$17))*(1+P_dPrecio)</f>
        <v>0</v>
      </c>
      <c r="CU63" s="48" t="n">
        <f aca="false">CU$38*INDEX(Precio_O,18)*INDEX(IdxPrecio_O,1,MIN(10,CU$17))*(1+P_dPrecio)</f>
        <v>0</v>
      </c>
      <c r="CV63" s="48" t="n">
        <f aca="false">CV$38*INDEX(Precio_O,18)*INDEX(IdxPrecio_O,1,MIN(10,CV$17))*(1+P_dPrecio)</f>
        <v>0</v>
      </c>
      <c r="CW63" s="48" t="n">
        <f aca="false">CW$38*INDEX(Precio_O,18)*INDEX(IdxPrecio_O,1,MIN(10,CW$17))*(1+P_dPrecio)</f>
        <v>0</v>
      </c>
      <c r="CX63" s="48" t="n">
        <f aca="false">CX$38*INDEX(Precio_O,18)*INDEX(IdxPrecio_O,1,MIN(10,CX$17))*(1+P_dPrecio)</f>
        <v>0</v>
      </c>
      <c r="CY63" s="48" t="n">
        <f aca="false">CY$38*INDEX(Precio_O,18)*INDEX(IdxPrecio_O,1,MIN(10,CY$17))*(1+P_dPrecio)</f>
        <v>0</v>
      </c>
      <c r="CZ63" s="48" t="n">
        <f aca="false">CZ$38*INDEX(Precio_O,18)*INDEX(IdxPrecio_O,1,MIN(10,CZ$17))*(1+P_dPrecio)</f>
        <v>0</v>
      </c>
      <c r="DA63" s="48" t="n">
        <f aca="false">DA$38*INDEX(Precio_O,18)*INDEX(IdxPrecio_O,1,MIN(10,DA$17))*(1+P_dPrecio)</f>
        <v>0</v>
      </c>
      <c r="DB63" s="48" t="n">
        <f aca="false">DB$38*INDEX(Precio_O,18)*INDEX(IdxPrecio_O,1,MIN(10,DB$17))*(1+P_dPrecio)</f>
        <v>0</v>
      </c>
      <c r="DC63" s="48" t="n">
        <f aca="false">DC$38*INDEX(Precio_O,18)*INDEX(IdxPrecio_O,1,MIN(10,DC$17))*(1+P_dPrecio)</f>
        <v>0</v>
      </c>
      <c r="DD63" s="48" t="n">
        <f aca="false">DD$38*INDEX(Precio_O,18)*INDEX(IdxPrecio_O,1,MIN(10,DD$17))*(1+P_dPrecio)</f>
        <v>0</v>
      </c>
      <c r="DE63" s="48" t="n">
        <f aca="false">DE$38*INDEX(Precio_O,18)*INDEX(IdxPrecio_O,1,MIN(10,DE$17))*(1+P_dPrecio)</f>
        <v>0</v>
      </c>
      <c r="DF63" s="48" t="n">
        <f aca="false">DF$38*INDEX(Precio_O,18)*INDEX(IdxPrecio_O,1,MIN(10,DF$17))*(1+P_dPrecio)</f>
        <v>0</v>
      </c>
      <c r="DG63" s="48" t="n">
        <f aca="false">DG$38*INDEX(Precio_O,18)*INDEX(IdxPrecio_O,1,MIN(10,DG$17))*(1+P_dPrecio)</f>
        <v>0</v>
      </c>
      <c r="DH63" s="48" t="n">
        <f aca="false">DH$38*INDEX(Precio_O,18)*INDEX(IdxPrecio_O,1,MIN(10,DH$17))*(1+P_dPrecio)</f>
        <v>0</v>
      </c>
      <c r="DI63" s="48" t="n">
        <f aca="false">DI$38*INDEX(Precio_O,18)*INDEX(IdxPrecio_O,1,MIN(10,DI$17))*(1+P_dPrecio)</f>
        <v>0</v>
      </c>
      <c r="DJ63" s="48" t="n">
        <f aca="false">DJ$38*INDEX(Precio_O,18)*INDEX(IdxPrecio_O,1,MIN(10,DJ$17))*(1+P_dPrecio)</f>
        <v>0</v>
      </c>
      <c r="DK63" s="48" t="n">
        <f aca="false">DK$38*INDEX(Precio_O,18)*INDEX(IdxPrecio_O,1,MIN(10,DK$17))*(1+P_dPrecio)</f>
        <v>0</v>
      </c>
      <c r="DL63" s="48" t="n">
        <f aca="false">DL$38*INDEX(Precio_O,18)*INDEX(IdxPrecio_O,1,MIN(10,DL$17))*(1+P_dPrecio)</f>
        <v>0</v>
      </c>
      <c r="DM63" s="48" t="n">
        <f aca="false">DM$38*INDEX(Precio_O,18)*INDEX(IdxPrecio_O,1,MIN(10,DM$17))*(1+P_dPrecio)</f>
        <v>0</v>
      </c>
      <c r="DN63" s="48" t="n">
        <f aca="false">DN$38*INDEX(Precio_O,18)*INDEX(IdxPrecio_O,1,MIN(10,DN$17))*(1+P_dPrecio)</f>
        <v>0</v>
      </c>
      <c r="DO63" s="48" t="n">
        <f aca="false">DO$38*INDEX(Precio_O,18)*INDEX(IdxPrecio_O,1,MIN(10,DO$17))*(1+P_dPrecio)</f>
        <v>0</v>
      </c>
      <c r="DP63" s="48" t="n">
        <f aca="false">DP$38*INDEX(Precio_O,18)*INDEX(IdxPrecio_O,1,MIN(10,DP$17))*(1+P_dPrecio)</f>
        <v>0</v>
      </c>
      <c r="DQ63" s="48" t="n">
        <f aca="false">DQ$38*INDEX(Precio_O,18)*INDEX(IdxPrecio_O,1,MIN(10,DQ$17))*(1+P_dPrecio)</f>
        <v>0</v>
      </c>
      <c r="DR63" s="48" t="n">
        <f aca="false">DR$38*INDEX(Precio_O,18)*INDEX(IdxPrecio_O,1,MIN(10,DR$17))*(1+P_dPrecio)</f>
        <v>0</v>
      </c>
      <c r="DS63" s="48" t="n">
        <f aca="false">DS$38*INDEX(Precio_O,18)*INDEX(IdxPrecio_O,1,MIN(10,DS$17))*(1+P_dPrecio)</f>
        <v>0</v>
      </c>
      <c r="DT63" s="48" t="n">
        <f aca="false">DT$38*INDEX(Precio_O,18)*INDEX(IdxPrecio_O,1,MIN(10,DT$17))*(1+P_dPrecio)</f>
        <v>0</v>
      </c>
      <c r="DU63" s="48" t="n">
        <f aca="false">DU$38*INDEX(Precio_O,18)*INDEX(IdxPrecio_O,1,MIN(10,DU$17))*(1+P_dPrecio)</f>
        <v>0</v>
      </c>
      <c r="DV63" s="48" t="n">
        <f aca="false">DV$38*INDEX(Precio_O,18)*INDEX(IdxPrecio_O,1,MIN(10,DV$17))*(1+P_dPrecio)</f>
        <v>0</v>
      </c>
      <c r="DW63" s="48" t="n">
        <f aca="false">DW$38*INDEX(Precio_O,18)*INDEX(IdxPrecio_O,1,MIN(10,DW$17))*(1+P_dPrecio)</f>
        <v>0</v>
      </c>
      <c r="DX63" s="48" t="n">
        <f aca="false">DX$38*INDEX(Precio_O,18)*INDEX(IdxPrecio_O,1,MIN(10,DX$17))*(1+P_dPrecio)</f>
        <v>0</v>
      </c>
      <c r="DY63" s="48" t="n">
        <f aca="false">DY$38*INDEX(Precio_O,18)*INDEX(IdxPrecio_O,1,MIN(10,DY$17))*(1+P_dPrecio)</f>
        <v>0</v>
      </c>
      <c r="DZ63" s="48" t="n">
        <f aca="false">DZ$38*INDEX(Precio_O,18)*INDEX(IdxPrecio_O,1,MIN(10,DZ$17))*(1+P_dPrecio)</f>
        <v>0</v>
      </c>
      <c r="EA63" s="48" t="n">
        <f aca="false">EA$38*INDEX(Precio_O,18)*INDEX(IdxPrecio_O,1,MIN(10,EA$17))*(1+P_dPrecio)</f>
        <v>0</v>
      </c>
      <c r="EB63" s="48" t="n">
        <f aca="false">EB$38*INDEX(Precio_O,18)*INDEX(IdxPrecio_O,1,MIN(10,EB$17))*(1+P_dPrecio)</f>
        <v>0</v>
      </c>
      <c r="EC63" s="48" t="n">
        <f aca="false">EC$38*INDEX(Precio_O,18)*INDEX(IdxPrecio_O,1,MIN(10,EC$17))*(1+P_dPrecio)</f>
        <v>0</v>
      </c>
      <c r="ED63" s="48" t="n">
        <f aca="false">ED$38*INDEX(Precio_O,18)*INDEX(IdxPrecio_O,1,MIN(10,ED$17))*(1+P_dPrecio)</f>
        <v>0</v>
      </c>
      <c r="EE63" s="48" t="n">
        <f aca="false">EE$38*INDEX(Precio_O,18)*INDEX(IdxPrecio_O,1,MIN(10,EE$17))*(1+P_dPrecio)</f>
        <v>0</v>
      </c>
      <c r="EF63" s="48" t="n">
        <f aca="false">EF$38*INDEX(Precio_O,18)*INDEX(IdxPrecio_O,1,MIN(10,EF$17))*(1+P_dPrecio)</f>
        <v>0</v>
      </c>
      <c r="EG63" s="48" t="n">
        <f aca="false">EG$38*INDEX(Precio_O,18)*INDEX(IdxPrecio_O,1,MIN(10,EG$17))*(1+P_dPrecio)</f>
        <v>0</v>
      </c>
      <c r="EH63" s="48" t="n">
        <f aca="false">EH$38*INDEX(Precio_O,18)*INDEX(IdxPrecio_O,1,MIN(10,EH$17))*(1+P_dPrecio)</f>
        <v>0</v>
      </c>
      <c r="EI63" s="48" t="n">
        <f aca="false">EI$38*INDEX(Precio_O,18)*INDEX(IdxPrecio_O,1,MIN(10,EI$17))*(1+P_dPrecio)</f>
        <v>0</v>
      </c>
      <c r="EJ63" s="48" t="n">
        <f aca="false">EJ$38*INDEX(Precio_O,18)*INDEX(IdxPrecio_O,1,MIN(10,EJ$17))*(1+P_dPrecio)</f>
        <v>0</v>
      </c>
      <c r="EK63" s="48" t="n">
        <f aca="false">EK$38*INDEX(Precio_O,18)*INDEX(IdxPrecio_O,1,MIN(10,EK$17))*(1+P_dPrecio)</f>
        <v>0</v>
      </c>
      <c r="EL63" s="48" t="n">
        <f aca="false">EL$38*INDEX(Precio_O,18)*INDEX(IdxPrecio_O,1,MIN(10,EL$17))*(1+P_dPrecio)</f>
        <v>0</v>
      </c>
      <c r="EM63" s="48" t="n">
        <f aca="false">EM$38*INDEX(Precio_O,18)*INDEX(IdxPrecio_O,1,MIN(10,EM$17))*(1+P_dPrecio)</f>
        <v>0</v>
      </c>
      <c r="EN63" s="48" t="n">
        <f aca="false">EN$38*INDEX(Precio_O,18)*INDEX(IdxPrecio_O,1,MIN(10,EN$17))*(1+P_dPrecio)</f>
        <v>0</v>
      </c>
      <c r="EO63" s="48" t="n">
        <f aca="false">EO$38*INDEX(Precio_O,18)*INDEX(IdxPrecio_O,1,MIN(10,EO$17))*(1+P_dPrecio)</f>
        <v>0</v>
      </c>
      <c r="EP63" s="48" t="n">
        <f aca="false">EP$38*INDEX(Precio_O,18)*INDEX(IdxPrecio_O,1,MIN(10,EP$17))*(1+P_dPrecio)</f>
        <v>0</v>
      </c>
      <c r="EQ63" s="48" t="n">
        <f aca="false">EQ$38*INDEX(Precio_O,18)*INDEX(IdxPrecio_O,1,MIN(10,EQ$17))*(1+P_dPrecio)</f>
        <v>0</v>
      </c>
      <c r="ER63" s="48" t="n">
        <f aca="false">ER$38*INDEX(Precio_O,18)*INDEX(IdxPrecio_O,1,MIN(10,ER$17))*(1+P_dPrecio)</f>
        <v>0</v>
      </c>
      <c r="ES63" s="48" t="n">
        <f aca="false">ES$38*INDEX(Precio_O,18)*INDEX(IdxPrecio_O,1,MIN(10,ES$17))*(1+P_dPrecio)</f>
        <v>0</v>
      </c>
    </row>
    <row r="64" customFormat="false" ht="15" hidden="false" customHeight="false" outlineLevel="0" collapsed="false">
      <c r="A64" s="11" t="s">
        <v>1109</v>
      </c>
      <c r="B64" s="53" t="str">
        <f aca="false">IF(INDEX(Prod_Nombre,19)="","Producto 19",INDEX(Prod_Nombre,19))&amp;" — ventas USD"</f>
        <v>Producto 19 — ventas USD</v>
      </c>
      <c r="C64" s="15" t="s">
        <v>508</v>
      </c>
      <c r="E64" s="54" t="n">
        <f aca="false">SUM(F64:ES64)</f>
        <v>0</v>
      </c>
      <c r="F64" s="48" t="n">
        <f aca="false">F$39*INDEX(Precio_O,19)*INDEX(IdxPrecio_O,1,MIN(10,F$17))*(1+P_dPrecio)</f>
        <v>0</v>
      </c>
      <c r="G64" s="48" t="n">
        <f aca="false">G$39*INDEX(Precio_O,19)*INDEX(IdxPrecio_O,1,MIN(10,G$17))*(1+P_dPrecio)</f>
        <v>0</v>
      </c>
      <c r="H64" s="48" t="n">
        <f aca="false">H$39*INDEX(Precio_O,19)*INDEX(IdxPrecio_O,1,MIN(10,H$17))*(1+P_dPrecio)</f>
        <v>0</v>
      </c>
      <c r="I64" s="48" t="n">
        <f aca="false">I$39*INDEX(Precio_O,19)*INDEX(IdxPrecio_O,1,MIN(10,I$17))*(1+P_dPrecio)</f>
        <v>0</v>
      </c>
      <c r="J64" s="48" t="n">
        <f aca="false">J$39*INDEX(Precio_O,19)*INDEX(IdxPrecio_O,1,MIN(10,J$17))*(1+P_dPrecio)</f>
        <v>0</v>
      </c>
      <c r="K64" s="48" t="n">
        <f aca="false">K$39*INDEX(Precio_O,19)*INDEX(IdxPrecio_O,1,MIN(10,K$17))*(1+P_dPrecio)</f>
        <v>0</v>
      </c>
      <c r="L64" s="48" t="n">
        <f aca="false">L$39*INDEX(Precio_O,19)*INDEX(IdxPrecio_O,1,MIN(10,L$17))*(1+P_dPrecio)</f>
        <v>0</v>
      </c>
      <c r="M64" s="48" t="n">
        <f aca="false">M$39*INDEX(Precio_O,19)*INDEX(IdxPrecio_O,1,MIN(10,M$17))*(1+P_dPrecio)</f>
        <v>0</v>
      </c>
      <c r="N64" s="48" t="n">
        <f aca="false">N$39*INDEX(Precio_O,19)*INDEX(IdxPrecio_O,1,MIN(10,N$17))*(1+P_dPrecio)</f>
        <v>0</v>
      </c>
      <c r="O64" s="48" t="n">
        <f aca="false">O$39*INDEX(Precio_O,19)*INDEX(IdxPrecio_O,1,MIN(10,O$17))*(1+P_dPrecio)</f>
        <v>0</v>
      </c>
      <c r="P64" s="48" t="n">
        <f aca="false">P$39*INDEX(Precio_O,19)*INDEX(IdxPrecio_O,1,MIN(10,P$17))*(1+P_dPrecio)</f>
        <v>0</v>
      </c>
      <c r="Q64" s="48" t="n">
        <f aca="false">Q$39*INDEX(Precio_O,19)*INDEX(IdxPrecio_O,1,MIN(10,Q$17))*(1+P_dPrecio)</f>
        <v>0</v>
      </c>
      <c r="R64" s="48" t="n">
        <f aca="false">R$39*INDEX(Precio_O,19)*INDEX(IdxPrecio_O,1,MIN(10,R$17))*(1+P_dPrecio)</f>
        <v>0</v>
      </c>
      <c r="S64" s="48" t="n">
        <f aca="false">S$39*INDEX(Precio_O,19)*INDEX(IdxPrecio_O,1,MIN(10,S$17))*(1+P_dPrecio)</f>
        <v>0</v>
      </c>
      <c r="T64" s="48" t="n">
        <f aca="false">T$39*INDEX(Precio_O,19)*INDEX(IdxPrecio_O,1,MIN(10,T$17))*(1+P_dPrecio)</f>
        <v>0</v>
      </c>
      <c r="U64" s="48" t="n">
        <f aca="false">U$39*INDEX(Precio_O,19)*INDEX(IdxPrecio_O,1,MIN(10,U$17))*(1+P_dPrecio)</f>
        <v>0</v>
      </c>
      <c r="V64" s="48" t="n">
        <f aca="false">V$39*INDEX(Precio_O,19)*INDEX(IdxPrecio_O,1,MIN(10,V$17))*(1+P_dPrecio)</f>
        <v>0</v>
      </c>
      <c r="W64" s="48" t="n">
        <f aca="false">W$39*INDEX(Precio_O,19)*INDEX(IdxPrecio_O,1,MIN(10,W$17))*(1+P_dPrecio)</f>
        <v>0</v>
      </c>
      <c r="X64" s="48" t="n">
        <f aca="false">X$39*INDEX(Precio_O,19)*INDEX(IdxPrecio_O,1,MIN(10,X$17))*(1+P_dPrecio)</f>
        <v>0</v>
      </c>
      <c r="Y64" s="48" t="n">
        <f aca="false">Y$39*INDEX(Precio_O,19)*INDEX(IdxPrecio_O,1,MIN(10,Y$17))*(1+P_dPrecio)</f>
        <v>0</v>
      </c>
      <c r="Z64" s="48" t="n">
        <f aca="false">Z$39*INDEX(Precio_O,19)*INDEX(IdxPrecio_O,1,MIN(10,Z$17))*(1+P_dPrecio)</f>
        <v>0</v>
      </c>
      <c r="AA64" s="48" t="n">
        <f aca="false">AA$39*INDEX(Precio_O,19)*INDEX(IdxPrecio_O,1,MIN(10,AA$17))*(1+P_dPrecio)</f>
        <v>0</v>
      </c>
      <c r="AB64" s="48" t="n">
        <f aca="false">AB$39*INDEX(Precio_O,19)*INDEX(IdxPrecio_O,1,MIN(10,AB$17))*(1+P_dPrecio)</f>
        <v>0</v>
      </c>
      <c r="AC64" s="48" t="n">
        <f aca="false">AC$39*INDEX(Precio_O,19)*INDEX(IdxPrecio_O,1,MIN(10,AC$17))*(1+P_dPrecio)</f>
        <v>0</v>
      </c>
      <c r="AD64" s="48" t="n">
        <f aca="false">AD$39*INDEX(Precio_O,19)*INDEX(IdxPrecio_O,1,MIN(10,AD$17))*(1+P_dPrecio)</f>
        <v>0</v>
      </c>
      <c r="AE64" s="48" t="n">
        <f aca="false">AE$39*INDEX(Precio_O,19)*INDEX(IdxPrecio_O,1,MIN(10,AE$17))*(1+P_dPrecio)</f>
        <v>0</v>
      </c>
      <c r="AF64" s="48" t="n">
        <f aca="false">AF$39*INDEX(Precio_O,19)*INDEX(IdxPrecio_O,1,MIN(10,AF$17))*(1+P_dPrecio)</f>
        <v>0</v>
      </c>
      <c r="AG64" s="48" t="n">
        <f aca="false">AG$39*INDEX(Precio_O,19)*INDEX(IdxPrecio_O,1,MIN(10,AG$17))*(1+P_dPrecio)</f>
        <v>0</v>
      </c>
      <c r="AH64" s="48" t="n">
        <f aca="false">AH$39*INDEX(Precio_O,19)*INDEX(IdxPrecio_O,1,MIN(10,AH$17))*(1+P_dPrecio)</f>
        <v>0</v>
      </c>
      <c r="AI64" s="48" t="n">
        <f aca="false">AI$39*INDEX(Precio_O,19)*INDEX(IdxPrecio_O,1,MIN(10,AI$17))*(1+P_dPrecio)</f>
        <v>0</v>
      </c>
      <c r="AJ64" s="48" t="n">
        <f aca="false">AJ$39*INDEX(Precio_O,19)*INDEX(IdxPrecio_O,1,MIN(10,AJ$17))*(1+P_dPrecio)</f>
        <v>0</v>
      </c>
      <c r="AK64" s="48" t="n">
        <f aca="false">AK$39*INDEX(Precio_O,19)*INDEX(IdxPrecio_O,1,MIN(10,AK$17))*(1+P_dPrecio)</f>
        <v>0</v>
      </c>
      <c r="AL64" s="48" t="n">
        <f aca="false">AL$39*INDEX(Precio_O,19)*INDEX(IdxPrecio_O,1,MIN(10,AL$17))*(1+P_dPrecio)</f>
        <v>0</v>
      </c>
      <c r="AM64" s="48" t="n">
        <f aca="false">AM$39*INDEX(Precio_O,19)*INDEX(IdxPrecio_O,1,MIN(10,AM$17))*(1+P_dPrecio)</f>
        <v>0</v>
      </c>
      <c r="AN64" s="48" t="n">
        <f aca="false">AN$39*INDEX(Precio_O,19)*INDEX(IdxPrecio_O,1,MIN(10,AN$17))*(1+P_dPrecio)</f>
        <v>0</v>
      </c>
      <c r="AO64" s="48" t="n">
        <f aca="false">AO$39*INDEX(Precio_O,19)*INDEX(IdxPrecio_O,1,MIN(10,AO$17))*(1+P_dPrecio)</f>
        <v>0</v>
      </c>
      <c r="AP64" s="48" t="n">
        <f aca="false">AP$39*INDEX(Precio_O,19)*INDEX(IdxPrecio_O,1,MIN(10,AP$17))*(1+P_dPrecio)</f>
        <v>0</v>
      </c>
      <c r="AQ64" s="48" t="n">
        <f aca="false">AQ$39*INDEX(Precio_O,19)*INDEX(IdxPrecio_O,1,MIN(10,AQ$17))*(1+P_dPrecio)</f>
        <v>0</v>
      </c>
      <c r="AR64" s="48" t="n">
        <f aca="false">AR$39*INDEX(Precio_O,19)*INDEX(IdxPrecio_O,1,MIN(10,AR$17))*(1+P_dPrecio)</f>
        <v>0</v>
      </c>
      <c r="AS64" s="48" t="n">
        <f aca="false">AS$39*INDEX(Precio_O,19)*INDEX(IdxPrecio_O,1,MIN(10,AS$17))*(1+P_dPrecio)</f>
        <v>0</v>
      </c>
      <c r="AT64" s="48" t="n">
        <f aca="false">AT$39*INDEX(Precio_O,19)*INDEX(IdxPrecio_O,1,MIN(10,AT$17))*(1+P_dPrecio)</f>
        <v>0</v>
      </c>
      <c r="AU64" s="48" t="n">
        <f aca="false">AU$39*INDEX(Precio_O,19)*INDEX(IdxPrecio_O,1,MIN(10,AU$17))*(1+P_dPrecio)</f>
        <v>0</v>
      </c>
      <c r="AV64" s="48" t="n">
        <f aca="false">AV$39*INDEX(Precio_O,19)*INDEX(IdxPrecio_O,1,MIN(10,AV$17))*(1+P_dPrecio)</f>
        <v>0</v>
      </c>
      <c r="AW64" s="48" t="n">
        <f aca="false">AW$39*INDEX(Precio_O,19)*INDEX(IdxPrecio_O,1,MIN(10,AW$17))*(1+P_dPrecio)</f>
        <v>0</v>
      </c>
      <c r="AX64" s="48" t="n">
        <f aca="false">AX$39*INDEX(Precio_O,19)*INDEX(IdxPrecio_O,1,MIN(10,AX$17))*(1+P_dPrecio)</f>
        <v>0</v>
      </c>
      <c r="AY64" s="48" t="n">
        <f aca="false">AY$39*INDEX(Precio_O,19)*INDEX(IdxPrecio_O,1,MIN(10,AY$17))*(1+P_dPrecio)</f>
        <v>0</v>
      </c>
      <c r="AZ64" s="48" t="n">
        <f aca="false">AZ$39*INDEX(Precio_O,19)*INDEX(IdxPrecio_O,1,MIN(10,AZ$17))*(1+P_dPrecio)</f>
        <v>0</v>
      </c>
      <c r="BA64" s="48" t="n">
        <f aca="false">BA$39*INDEX(Precio_O,19)*INDEX(IdxPrecio_O,1,MIN(10,BA$17))*(1+P_dPrecio)</f>
        <v>0</v>
      </c>
      <c r="BB64" s="48" t="n">
        <f aca="false">BB$39*INDEX(Precio_O,19)*INDEX(IdxPrecio_O,1,MIN(10,BB$17))*(1+P_dPrecio)</f>
        <v>0</v>
      </c>
      <c r="BC64" s="48" t="n">
        <f aca="false">BC$39*INDEX(Precio_O,19)*INDEX(IdxPrecio_O,1,MIN(10,BC$17))*(1+P_dPrecio)</f>
        <v>0</v>
      </c>
      <c r="BD64" s="48" t="n">
        <f aca="false">BD$39*INDEX(Precio_O,19)*INDEX(IdxPrecio_O,1,MIN(10,BD$17))*(1+P_dPrecio)</f>
        <v>0</v>
      </c>
      <c r="BE64" s="48" t="n">
        <f aca="false">BE$39*INDEX(Precio_O,19)*INDEX(IdxPrecio_O,1,MIN(10,BE$17))*(1+P_dPrecio)</f>
        <v>0</v>
      </c>
      <c r="BF64" s="48" t="n">
        <f aca="false">BF$39*INDEX(Precio_O,19)*INDEX(IdxPrecio_O,1,MIN(10,BF$17))*(1+P_dPrecio)</f>
        <v>0</v>
      </c>
      <c r="BG64" s="48" t="n">
        <f aca="false">BG$39*INDEX(Precio_O,19)*INDEX(IdxPrecio_O,1,MIN(10,BG$17))*(1+P_dPrecio)</f>
        <v>0</v>
      </c>
      <c r="BH64" s="48" t="n">
        <f aca="false">BH$39*INDEX(Precio_O,19)*INDEX(IdxPrecio_O,1,MIN(10,BH$17))*(1+P_dPrecio)</f>
        <v>0</v>
      </c>
      <c r="BI64" s="48" t="n">
        <f aca="false">BI$39*INDEX(Precio_O,19)*INDEX(IdxPrecio_O,1,MIN(10,BI$17))*(1+P_dPrecio)</f>
        <v>0</v>
      </c>
      <c r="BJ64" s="48" t="n">
        <f aca="false">BJ$39*INDEX(Precio_O,19)*INDEX(IdxPrecio_O,1,MIN(10,BJ$17))*(1+P_dPrecio)</f>
        <v>0</v>
      </c>
      <c r="BK64" s="48" t="n">
        <f aca="false">BK$39*INDEX(Precio_O,19)*INDEX(IdxPrecio_O,1,MIN(10,BK$17))*(1+P_dPrecio)</f>
        <v>0</v>
      </c>
      <c r="BL64" s="48" t="n">
        <f aca="false">BL$39*INDEX(Precio_O,19)*INDEX(IdxPrecio_O,1,MIN(10,BL$17))*(1+P_dPrecio)</f>
        <v>0</v>
      </c>
      <c r="BM64" s="48" t="n">
        <f aca="false">BM$39*INDEX(Precio_O,19)*INDEX(IdxPrecio_O,1,MIN(10,BM$17))*(1+P_dPrecio)</f>
        <v>0</v>
      </c>
      <c r="BN64" s="48" t="n">
        <f aca="false">BN$39*INDEX(Precio_O,19)*INDEX(IdxPrecio_O,1,MIN(10,BN$17))*(1+P_dPrecio)</f>
        <v>0</v>
      </c>
      <c r="BO64" s="48" t="n">
        <f aca="false">BO$39*INDEX(Precio_O,19)*INDEX(IdxPrecio_O,1,MIN(10,BO$17))*(1+P_dPrecio)</f>
        <v>0</v>
      </c>
      <c r="BP64" s="48" t="n">
        <f aca="false">BP$39*INDEX(Precio_O,19)*INDEX(IdxPrecio_O,1,MIN(10,BP$17))*(1+P_dPrecio)</f>
        <v>0</v>
      </c>
      <c r="BQ64" s="48" t="n">
        <f aca="false">BQ$39*INDEX(Precio_O,19)*INDEX(IdxPrecio_O,1,MIN(10,BQ$17))*(1+P_dPrecio)</f>
        <v>0</v>
      </c>
      <c r="BR64" s="48" t="n">
        <f aca="false">BR$39*INDEX(Precio_O,19)*INDEX(IdxPrecio_O,1,MIN(10,BR$17))*(1+P_dPrecio)</f>
        <v>0</v>
      </c>
      <c r="BS64" s="48" t="n">
        <f aca="false">BS$39*INDEX(Precio_O,19)*INDEX(IdxPrecio_O,1,MIN(10,BS$17))*(1+P_dPrecio)</f>
        <v>0</v>
      </c>
      <c r="BT64" s="48" t="n">
        <f aca="false">BT$39*INDEX(Precio_O,19)*INDEX(IdxPrecio_O,1,MIN(10,BT$17))*(1+P_dPrecio)</f>
        <v>0</v>
      </c>
      <c r="BU64" s="48" t="n">
        <f aca="false">BU$39*INDEX(Precio_O,19)*INDEX(IdxPrecio_O,1,MIN(10,BU$17))*(1+P_dPrecio)</f>
        <v>0</v>
      </c>
      <c r="BV64" s="48" t="n">
        <f aca="false">BV$39*INDEX(Precio_O,19)*INDEX(IdxPrecio_O,1,MIN(10,BV$17))*(1+P_dPrecio)</f>
        <v>0</v>
      </c>
      <c r="BW64" s="48" t="n">
        <f aca="false">BW$39*INDEX(Precio_O,19)*INDEX(IdxPrecio_O,1,MIN(10,BW$17))*(1+P_dPrecio)</f>
        <v>0</v>
      </c>
      <c r="BX64" s="48" t="n">
        <f aca="false">BX$39*INDEX(Precio_O,19)*INDEX(IdxPrecio_O,1,MIN(10,BX$17))*(1+P_dPrecio)</f>
        <v>0</v>
      </c>
      <c r="BY64" s="48" t="n">
        <f aca="false">BY$39*INDEX(Precio_O,19)*INDEX(IdxPrecio_O,1,MIN(10,BY$17))*(1+P_dPrecio)</f>
        <v>0</v>
      </c>
      <c r="BZ64" s="48" t="n">
        <f aca="false">BZ$39*INDEX(Precio_O,19)*INDEX(IdxPrecio_O,1,MIN(10,BZ$17))*(1+P_dPrecio)</f>
        <v>0</v>
      </c>
      <c r="CA64" s="48" t="n">
        <f aca="false">CA$39*INDEX(Precio_O,19)*INDEX(IdxPrecio_O,1,MIN(10,CA$17))*(1+P_dPrecio)</f>
        <v>0</v>
      </c>
      <c r="CB64" s="48" t="n">
        <f aca="false">CB$39*INDEX(Precio_O,19)*INDEX(IdxPrecio_O,1,MIN(10,CB$17))*(1+P_dPrecio)</f>
        <v>0</v>
      </c>
      <c r="CC64" s="48" t="n">
        <f aca="false">CC$39*INDEX(Precio_O,19)*INDEX(IdxPrecio_O,1,MIN(10,CC$17))*(1+P_dPrecio)</f>
        <v>0</v>
      </c>
      <c r="CD64" s="48" t="n">
        <f aca="false">CD$39*INDEX(Precio_O,19)*INDEX(IdxPrecio_O,1,MIN(10,CD$17))*(1+P_dPrecio)</f>
        <v>0</v>
      </c>
      <c r="CE64" s="48" t="n">
        <f aca="false">CE$39*INDEX(Precio_O,19)*INDEX(IdxPrecio_O,1,MIN(10,CE$17))*(1+P_dPrecio)</f>
        <v>0</v>
      </c>
      <c r="CF64" s="48" t="n">
        <f aca="false">CF$39*INDEX(Precio_O,19)*INDEX(IdxPrecio_O,1,MIN(10,CF$17))*(1+P_dPrecio)</f>
        <v>0</v>
      </c>
      <c r="CG64" s="48" t="n">
        <f aca="false">CG$39*INDEX(Precio_O,19)*INDEX(IdxPrecio_O,1,MIN(10,CG$17))*(1+P_dPrecio)</f>
        <v>0</v>
      </c>
      <c r="CH64" s="48" t="n">
        <f aca="false">CH$39*INDEX(Precio_O,19)*INDEX(IdxPrecio_O,1,MIN(10,CH$17))*(1+P_dPrecio)</f>
        <v>0</v>
      </c>
      <c r="CI64" s="48" t="n">
        <f aca="false">CI$39*INDEX(Precio_O,19)*INDEX(IdxPrecio_O,1,MIN(10,CI$17))*(1+P_dPrecio)</f>
        <v>0</v>
      </c>
      <c r="CJ64" s="48" t="n">
        <f aca="false">CJ$39*INDEX(Precio_O,19)*INDEX(IdxPrecio_O,1,MIN(10,CJ$17))*(1+P_dPrecio)</f>
        <v>0</v>
      </c>
      <c r="CK64" s="48" t="n">
        <f aca="false">CK$39*INDEX(Precio_O,19)*INDEX(IdxPrecio_O,1,MIN(10,CK$17))*(1+P_dPrecio)</f>
        <v>0</v>
      </c>
      <c r="CL64" s="48" t="n">
        <f aca="false">CL$39*INDEX(Precio_O,19)*INDEX(IdxPrecio_O,1,MIN(10,CL$17))*(1+P_dPrecio)</f>
        <v>0</v>
      </c>
      <c r="CM64" s="48" t="n">
        <f aca="false">CM$39*INDEX(Precio_O,19)*INDEX(IdxPrecio_O,1,MIN(10,CM$17))*(1+P_dPrecio)</f>
        <v>0</v>
      </c>
      <c r="CN64" s="48" t="n">
        <f aca="false">CN$39*INDEX(Precio_O,19)*INDEX(IdxPrecio_O,1,MIN(10,CN$17))*(1+P_dPrecio)</f>
        <v>0</v>
      </c>
      <c r="CO64" s="48" t="n">
        <f aca="false">CO$39*INDEX(Precio_O,19)*INDEX(IdxPrecio_O,1,MIN(10,CO$17))*(1+P_dPrecio)</f>
        <v>0</v>
      </c>
      <c r="CP64" s="48" t="n">
        <f aca="false">CP$39*INDEX(Precio_O,19)*INDEX(IdxPrecio_O,1,MIN(10,CP$17))*(1+P_dPrecio)</f>
        <v>0</v>
      </c>
      <c r="CQ64" s="48" t="n">
        <f aca="false">CQ$39*INDEX(Precio_O,19)*INDEX(IdxPrecio_O,1,MIN(10,CQ$17))*(1+P_dPrecio)</f>
        <v>0</v>
      </c>
      <c r="CR64" s="48" t="n">
        <f aca="false">CR$39*INDEX(Precio_O,19)*INDEX(IdxPrecio_O,1,MIN(10,CR$17))*(1+P_dPrecio)</f>
        <v>0</v>
      </c>
      <c r="CS64" s="48" t="n">
        <f aca="false">CS$39*INDEX(Precio_O,19)*INDEX(IdxPrecio_O,1,MIN(10,CS$17))*(1+P_dPrecio)</f>
        <v>0</v>
      </c>
      <c r="CT64" s="48" t="n">
        <f aca="false">CT$39*INDEX(Precio_O,19)*INDEX(IdxPrecio_O,1,MIN(10,CT$17))*(1+P_dPrecio)</f>
        <v>0</v>
      </c>
      <c r="CU64" s="48" t="n">
        <f aca="false">CU$39*INDEX(Precio_O,19)*INDEX(IdxPrecio_O,1,MIN(10,CU$17))*(1+P_dPrecio)</f>
        <v>0</v>
      </c>
      <c r="CV64" s="48" t="n">
        <f aca="false">CV$39*INDEX(Precio_O,19)*INDEX(IdxPrecio_O,1,MIN(10,CV$17))*(1+P_dPrecio)</f>
        <v>0</v>
      </c>
      <c r="CW64" s="48" t="n">
        <f aca="false">CW$39*INDEX(Precio_O,19)*INDEX(IdxPrecio_O,1,MIN(10,CW$17))*(1+P_dPrecio)</f>
        <v>0</v>
      </c>
      <c r="CX64" s="48" t="n">
        <f aca="false">CX$39*INDEX(Precio_O,19)*INDEX(IdxPrecio_O,1,MIN(10,CX$17))*(1+P_dPrecio)</f>
        <v>0</v>
      </c>
      <c r="CY64" s="48" t="n">
        <f aca="false">CY$39*INDEX(Precio_O,19)*INDEX(IdxPrecio_O,1,MIN(10,CY$17))*(1+P_dPrecio)</f>
        <v>0</v>
      </c>
      <c r="CZ64" s="48" t="n">
        <f aca="false">CZ$39*INDEX(Precio_O,19)*INDEX(IdxPrecio_O,1,MIN(10,CZ$17))*(1+P_dPrecio)</f>
        <v>0</v>
      </c>
      <c r="DA64" s="48" t="n">
        <f aca="false">DA$39*INDEX(Precio_O,19)*INDEX(IdxPrecio_O,1,MIN(10,DA$17))*(1+P_dPrecio)</f>
        <v>0</v>
      </c>
      <c r="DB64" s="48" t="n">
        <f aca="false">DB$39*INDEX(Precio_O,19)*INDEX(IdxPrecio_O,1,MIN(10,DB$17))*(1+P_dPrecio)</f>
        <v>0</v>
      </c>
      <c r="DC64" s="48" t="n">
        <f aca="false">DC$39*INDEX(Precio_O,19)*INDEX(IdxPrecio_O,1,MIN(10,DC$17))*(1+P_dPrecio)</f>
        <v>0</v>
      </c>
      <c r="DD64" s="48" t="n">
        <f aca="false">DD$39*INDEX(Precio_O,19)*INDEX(IdxPrecio_O,1,MIN(10,DD$17))*(1+P_dPrecio)</f>
        <v>0</v>
      </c>
      <c r="DE64" s="48" t="n">
        <f aca="false">DE$39*INDEX(Precio_O,19)*INDEX(IdxPrecio_O,1,MIN(10,DE$17))*(1+P_dPrecio)</f>
        <v>0</v>
      </c>
      <c r="DF64" s="48" t="n">
        <f aca="false">DF$39*INDEX(Precio_O,19)*INDEX(IdxPrecio_O,1,MIN(10,DF$17))*(1+P_dPrecio)</f>
        <v>0</v>
      </c>
      <c r="DG64" s="48" t="n">
        <f aca="false">DG$39*INDEX(Precio_O,19)*INDEX(IdxPrecio_O,1,MIN(10,DG$17))*(1+P_dPrecio)</f>
        <v>0</v>
      </c>
      <c r="DH64" s="48" t="n">
        <f aca="false">DH$39*INDEX(Precio_O,19)*INDEX(IdxPrecio_O,1,MIN(10,DH$17))*(1+P_dPrecio)</f>
        <v>0</v>
      </c>
      <c r="DI64" s="48" t="n">
        <f aca="false">DI$39*INDEX(Precio_O,19)*INDEX(IdxPrecio_O,1,MIN(10,DI$17))*(1+P_dPrecio)</f>
        <v>0</v>
      </c>
      <c r="DJ64" s="48" t="n">
        <f aca="false">DJ$39*INDEX(Precio_O,19)*INDEX(IdxPrecio_O,1,MIN(10,DJ$17))*(1+P_dPrecio)</f>
        <v>0</v>
      </c>
      <c r="DK64" s="48" t="n">
        <f aca="false">DK$39*INDEX(Precio_O,19)*INDEX(IdxPrecio_O,1,MIN(10,DK$17))*(1+P_dPrecio)</f>
        <v>0</v>
      </c>
      <c r="DL64" s="48" t="n">
        <f aca="false">DL$39*INDEX(Precio_O,19)*INDEX(IdxPrecio_O,1,MIN(10,DL$17))*(1+P_dPrecio)</f>
        <v>0</v>
      </c>
      <c r="DM64" s="48" t="n">
        <f aca="false">DM$39*INDEX(Precio_O,19)*INDEX(IdxPrecio_O,1,MIN(10,DM$17))*(1+P_dPrecio)</f>
        <v>0</v>
      </c>
      <c r="DN64" s="48" t="n">
        <f aca="false">DN$39*INDEX(Precio_O,19)*INDEX(IdxPrecio_O,1,MIN(10,DN$17))*(1+P_dPrecio)</f>
        <v>0</v>
      </c>
      <c r="DO64" s="48" t="n">
        <f aca="false">DO$39*INDEX(Precio_O,19)*INDEX(IdxPrecio_O,1,MIN(10,DO$17))*(1+P_dPrecio)</f>
        <v>0</v>
      </c>
      <c r="DP64" s="48" t="n">
        <f aca="false">DP$39*INDEX(Precio_O,19)*INDEX(IdxPrecio_O,1,MIN(10,DP$17))*(1+P_dPrecio)</f>
        <v>0</v>
      </c>
      <c r="DQ64" s="48" t="n">
        <f aca="false">DQ$39*INDEX(Precio_O,19)*INDEX(IdxPrecio_O,1,MIN(10,DQ$17))*(1+P_dPrecio)</f>
        <v>0</v>
      </c>
      <c r="DR64" s="48" t="n">
        <f aca="false">DR$39*INDEX(Precio_O,19)*INDEX(IdxPrecio_O,1,MIN(10,DR$17))*(1+P_dPrecio)</f>
        <v>0</v>
      </c>
      <c r="DS64" s="48" t="n">
        <f aca="false">DS$39*INDEX(Precio_O,19)*INDEX(IdxPrecio_O,1,MIN(10,DS$17))*(1+P_dPrecio)</f>
        <v>0</v>
      </c>
      <c r="DT64" s="48" t="n">
        <f aca="false">DT$39*INDEX(Precio_O,19)*INDEX(IdxPrecio_O,1,MIN(10,DT$17))*(1+P_dPrecio)</f>
        <v>0</v>
      </c>
      <c r="DU64" s="48" t="n">
        <f aca="false">DU$39*INDEX(Precio_O,19)*INDEX(IdxPrecio_O,1,MIN(10,DU$17))*(1+P_dPrecio)</f>
        <v>0</v>
      </c>
      <c r="DV64" s="48" t="n">
        <f aca="false">DV$39*INDEX(Precio_O,19)*INDEX(IdxPrecio_O,1,MIN(10,DV$17))*(1+P_dPrecio)</f>
        <v>0</v>
      </c>
      <c r="DW64" s="48" t="n">
        <f aca="false">DW$39*INDEX(Precio_O,19)*INDEX(IdxPrecio_O,1,MIN(10,DW$17))*(1+P_dPrecio)</f>
        <v>0</v>
      </c>
      <c r="DX64" s="48" t="n">
        <f aca="false">DX$39*INDEX(Precio_O,19)*INDEX(IdxPrecio_O,1,MIN(10,DX$17))*(1+P_dPrecio)</f>
        <v>0</v>
      </c>
      <c r="DY64" s="48" t="n">
        <f aca="false">DY$39*INDEX(Precio_O,19)*INDEX(IdxPrecio_O,1,MIN(10,DY$17))*(1+P_dPrecio)</f>
        <v>0</v>
      </c>
      <c r="DZ64" s="48" t="n">
        <f aca="false">DZ$39*INDEX(Precio_O,19)*INDEX(IdxPrecio_O,1,MIN(10,DZ$17))*(1+P_dPrecio)</f>
        <v>0</v>
      </c>
      <c r="EA64" s="48" t="n">
        <f aca="false">EA$39*INDEX(Precio_O,19)*INDEX(IdxPrecio_O,1,MIN(10,EA$17))*(1+P_dPrecio)</f>
        <v>0</v>
      </c>
      <c r="EB64" s="48" t="n">
        <f aca="false">EB$39*INDEX(Precio_O,19)*INDEX(IdxPrecio_O,1,MIN(10,EB$17))*(1+P_dPrecio)</f>
        <v>0</v>
      </c>
      <c r="EC64" s="48" t="n">
        <f aca="false">EC$39*INDEX(Precio_O,19)*INDEX(IdxPrecio_O,1,MIN(10,EC$17))*(1+P_dPrecio)</f>
        <v>0</v>
      </c>
      <c r="ED64" s="48" t="n">
        <f aca="false">ED$39*INDEX(Precio_O,19)*INDEX(IdxPrecio_O,1,MIN(10,ED$17))*(1+P_dPrecio)</f>
        <v>0</v>
      </c>
      <c r="EE64" s="48" t="n">
        <f aca="false">EE$39*INDEX(Precio_O,19)*INDEX(IdxPrecio_O,1,MIN(10,EE$17))*(1+P_dPrecio)</f>
        <v>0</v>
      </c>
      <c r="EF64" s="48" t="n">
        <f aca="false">EF$39*INDEX(Precio_O,19)*INDEX(IdxPrecio_O,1,MIN(10,EF$17))*(1+P_dPrecio)</f>
        <v>0</v>
      </c>
      <c r="EG64" s="48" t="n">
        <f aca="false">EG$39*INDEX(Precio_O,19)*INDEX(IdxPrecio_O,1,MIN(10,EG$17))*(1+P_dPrecio)</f>
        <v>0</v>
      </c>
      <c r="EH64" s="48" t="n">
        <f aca="false">EH$39*INDEX(Precio_O,19)*INDEX(IdxPrecio_O,1,MIN(10,EH$17))*(1+P_dPrecio)</f>
        <v>0</v>
      </c>
      <c r="EI64" s="48" t="n">
        <f aca="false">EI$39*INDEX(Precio_O,19)*INDEX(IdxPrecio_O,1,MIN(10,EI$17))*(1+P_dPrecio)</f>
        <v>0</v>
      </c>
      <c r="EJ64" s="48" t="n">
        <f aca="false">EJ$39*INDEX(Precio_O,19)*INDEX(IdxPrecio_O,1,MIN(10,EJ$17))*(1+P_dPrecio)</f>
        <v>0</v>
      </c>
      <c r="EK64" s="48" t="n">
        <f aca="false">EK$39*INDEX(Precio_O,19)*INDEX(IdxPrecio_O,1,MIN(10,EK$17))*(1+P_dPrecio)</f>
        <v>0</v>
      </c>
      <c r="EL64" s="48" t="n">
        <f aca="false">EL$39*INDEX(Precio_O,19)*INDEX(IdxPrecio_O,1,MIN(10,EL$17))*(1+P_dPrecio)</f>
        <v>0</v>
      </c>
      <c r="EM64" s="48" t="n">
        <f aca="false">EM$39*INDEX(Precio_O,19)*INDEX(IdxPrecio_O,1,MIN(10,EM$17))*(1+P_dPrecio)</f>
        <v>0</v>
      </c>
      <c r="EN64" s="48" t="n">
        <f aca="false">EN$39*INDEX(Precio_O,19)*INDEX(IdxPrecio_O,1,MIN(10,EN$17))*(1+P_dPrecio)</f>
        <v>0</v>
      </c>
      <c r="EO64" s="48" t="n">
        <f aca="false">EO$39*INDEX(Precio_O,19)*INDEX(IdxPrecio_O,1,MIN(10,EO$17))*(1+P_dPrecio)</f>
        <v>0</v>
      </c>
      <c r="EP64" s="48" t="n">
        <f aca="false">EP$39*INDEX(Precio_O,19)*INDEX(IdxPrecio_O,1,MIN(10,EP$17))*(1+P_dPrecio)</f>
        <v>0</v>
      </c>
      <c r="EQ64" s="48" t="n">
        <f aca="false">EQ$39*INDEX(Precio_O,19)*INDEX(IdxPrecio_O,1,MIN(10,EQ$17))*(1+P_dPrecio)</f>
        <v>0</v>
      </c>
      <c r="ER64" s="48" t="n">
        <f aca="false">ER$39*INDEX(Precio_O,19)*INDEX(IdxPrecio_O,1,MIN(10,ER$17))*(1+P_dPrecio)</f>
        <v>0</v>
      </c>
      <c r="ES64" s="48" t="n">
        <f aca="false">ES$39*INDEX(Precio_O,19)*INDEX(IdxPrecio_O,1,MIN(10,ES$17))*(1+P_dPrecio)</f>
        <v>0</v>
      </c>
    </row>
    <row r="65" customFormat="false" ht="15" hidden="false" customHeight="false" outlineLevel="0" collapsed="false">
      <c r="A65" s="11" t="s">
        <v>1110</v>
      </c>
      <c r="B65" s="53" t="str">
        <f aca="false">IF(INDEX(Prod_Nombre,20)="","Producto 20",INDEX(Prod_Nombre,20))&amp;" — ventas USD"</f>
        <v>Producto 20 — ventas USD</v>
      </c>
      <c r="C65" s="15" t="s">
        <v>508</v>
      </c>
      <c r="E65" s="54" t="n">
        <f aca="false">SUM(F65:ES65)</f>
        <v>0</v>
      </c>
      <c r="F65" s="48" t="n">
        <f aca="false">F$40*INDEX(Precio_O,20)*INDEX(IdxPrecio_O,1,MIN(10,F$17))*(1+P_dPrecio)</f>
        <v>0</v>
      </c>
      <c r="G65" s="48" t="n">
        <f aca="false">G$40*INDEX(Precio_O,20)*INDEX(IdxPrecio_O,1,MIN(10,G$17))*(1+P_dPrecio)</f>
        <v>0</v>
      </c>
      <c r="H65" s="48" t="n">
        <f aca="false">H$40*INDEX(Precio_O,20)*INDEX(IdxPrecio_O,1,MIN(10,H$17))*(1+P_dPrecio)</f>
        <v>0</v>
      </c>
      <c r="I65" s="48" t="n">
        <f aca="false">I$40*INDEX(Precio_O,20)*INDEX(IdxPrecio_O,1,MIN(10,I$17))*(1+P_dPrecio)</f>
        <v>0</v>
      </c>
      <c r="J65" s="48" t="n">
        <f aca="false">J$40*INDEX(Precio_O,20)*INDEX(IdxPrecio_O,1,MIN(10,J$17))*(1+P_dPrecio)</f>
        <v>0</v>
      </c>
      <c r="K65" s="48" t="n">
        <f aca="false">K$40*INDEX(Precio_O,20)*INDEX(IdxPrecio_O,1,MIN(10,K$17))*(1+P_dPrecio)</f>
        <v>0</v>
      </c>
      <c r="L65" s="48" t="n">
        <f aca="false">L$40*INDEX(Precio_O,20)*INDEX(IdxPrecio_O,1,MIN(10,L$17))*(1+P_dPrecio)</f>
        <v>0</v>
      </c>
      <c r="M65" s="48" t="n">
        <f aca="false">M$40*INDEX(Precio_O,20)*INDEX(IdxPrecio_O,1,MIN(10,M$17))*(1+P_dPrecio)</f>
        <v>0</v>
      </c>
      <c r="N65" s="48" t="n">
        <f aca="false">N$40*INDEX(Precio_O,20)*INDEX(IdxPrecio_O,1,MIN(10,N$17))*(1+P_dPrecio)</f>
        <v>0</v>
      </c>
      <c r="O65" s="48" t="n">
        <f aca="false">O$40*INDEX(Precio_O,20)*INDEX(IdxPrecio_O,1,MIN(10,O$17))*(1+P_dPrecio)</f>
        <v>0</v>
      </c>
      <c r="P65" s="48" t="n">
        <f aca="false">P$40*INDEX(Precio_O,20)*INDEX(IdxPrecio_O,1,MIN(10,P$17))*(1+P_dPrecio)</f>
        <v>0</v>
      </c>
      <c r="Q65" s="48" t="n">
        <f aca="false">Q$40*INDEX(Precio_O,20)*INDEX(IdxPrecio_O,1,MIN(10,Q$17))*(1+P_dPrecio)</f>
        <v>0</v>
      </c>
      <c r="R65" s="48" t="n">
        <f aca="false">R$40*INDEX(Precio_O,20)*INDEX(IdxPrecio_O,1,MIN(10,R$17))*(1+P_dPrecio)</f>
        <v>0</v>
      </c>
      <c r="S65" s="48" t="n">
        <f aca="false">S$40*INDEX(Precio_O,20)*INDEX(IdxPrecio_O,1,MIN(10,S$17))*(1+P_dPrecio)</f>
        <v>0</v>
      </c>
      <c r="T65" s="48" t="n">
        <f aca="false">T$40*INDEX(Precio_O,20)*INDEX(IdxPrecio_O,1,MIN(10,T$17))*(1+P_dPrecio)</f>
        <v>0</v>
      </c>
      <c r="U65" s="48" t="n">
        <f aca="false">U$40*INDEX(Precio_O,20)*INDEX(IdxPrecio_O,1,MIN(10,U$17))*(1+P_dPrecio)</f>
        <v>0</v>
      </c>
      <c r="V65" s="48" t="n">
        <f aca="false">V$40*INDEX(Precio_O,20)*INDEX(IdxPrecio_O,1,MIN(10,V$17))*(1+P_dPrecio)</f>
        <v>0</v>
      </c>
      <c r="W65" s="48" t="n">
        <f aca="false">W$40*INDEX(Precio_O,20)*INDEX(IdxPrecio_O,1,MIN(10,W$17))*(1+P_dPrecio)</f>
        <v>0</v>
      </c>
      <c r="X65" s="48" t="n">
        <f aca="false">X$40*INDEX(Precio_O,20)*INDEX(IdxPrecio_O,1,MIN(10,X$17))*(1+P_dPrecio)</f>
        <v>0</v>
      </c>
      <c r="Y65" s="48" t="n">
        <f aca="false">Y$40*INDEX(Precio_O,20)*INDEX(IdxPrecio_O,1,MIN(10,Y$17))*(1+P_dPrecio)</f>
        <v>0</v>
      </c>
      <c r="Z65" s="48" t="n">
        <f aca="false">Z$40*INDEX(Precio_O,20)*INDEX(IdxPrecio_O,1,MIN(10,Z$17))*(1+P_dPrecio)</f>
        <v>0</v>
      </c>
      <c r="AA65" s="48" t="n">
        <f aca="false">AA$40*INDEX(Precio_O,20)*INDEX(IdxPrecio_O,1,MIN(10,AA$17))*(1+P_dPrecio)</f>
        <v>0</v>
      </c>
      <c r="AB65" s="48" t="n">
        <f aca="false">AB$40*INDEX(Precio_O,20)*INDEX(IdxPrecio_O,1,MIN(10,AB$17))*(1+P_dPrecio)</f>
        <v>0</v>
      </c>
      <c r="AC65" s="48" t="n">
        <f aca="false">AC$40*INDEX(Precio_O,20)*INDEX(IdxPrecio_O,1,MIN(10,AC$17))*(1+P_dPrecio)</f>
        <v>0</v>
      </c>
      <c r="AD65" s="48" t="n">
        <f aca="false">AD$40*INDEX(Precio_O,20)*INDEX(IdxPrecio_O,1,MIN(10,AD$17))*(1+P_dPrecio)</f>
        <v>0</v>
      </c>
      <c r="AE65" s="48" t="n">
        <f aca="false">AE$40*INDEX(Precio_O,20)*INDEX(IdxPrecio_O,1,MIN(10,AE$17))*(1+P_dPrecio)</f>
        <v>0</v>
      </c>
      <c r="AF65" s="48" t="n">
        <f aca="false">AF$40*INDEX(Precio_O,20)*INDEX(IdxPrecio_O,1,MIN(10,AF$17))*(1+P_dPrecio)</f>
        <v>0</v>
      </c>
      <c r="AG65" s="48" t="n">
        <f aca="false">AG$40*INDEX(Precio_O,20)*INDEX(IdxPrecio_O,1,MIN(10,AG$17))*(1+P_dPrecio)</f>
        <v>0</v>
      </c>
      <c r="AH65" s="48" t="n">
        <f aca="false">AH$40*INDEX(Precio_O,20)*INDEX(IdxPrecio_O,1,MIN(10,AH$17))*(1+P_dPrecio)</f>
        <v>0</v>
      </c>
      <c r="AI65" s="48" t="n">
        <f aca="false">AI$40*INDEX(Precio_O,20)*INDEX(IdxPrecio_O,1,MIN(10,AI$17))*(1+P_dPrecio)</f>
        <v>0</v>
      </c>
      <c r="AJ65" s="48" t="n">
        <f aca="false">AJ$40*INDEX(Precio_O,20)*INDEX(IdxPrecio_O,1,MIN(10,AJ$17))*(1+P_dPrecio)</f>
        <v>0</v>
      </c>
      <c r="AK65" s="48" t="n">
        <f aca="false">AK$40*INDEX(Precio_O,20)*INDEX(IdxPrecio_O,1,MIN(10,AK$17))*(1+P_dPrecio)</f>
        <v>0</v>
      </c>
      <c r="AL65" s="48" t="n">
        <f aca="false">AL$40*INDEX(Precio_O,20)*INDEX(IdxPrecio_O,1,MIN(10,AL$17))*(1+P_dPrecio)</f>
        <v>0</v>
      </c>
      <c r="AM65" s="48" t="n">
        <f aca="false">AM$40*INDEX(Precio_O,20)*INDEX(IdxPrecio_O,1,MIN(10,AM$17))*(1+P_dPrecio)</f>
        <v>0</v>
      </c>
      <c r="AN65" s="48" t="n">
        <f aca="false">AN$40*INDEX(Precio_O,20)*INDEX(IdxPrecio_O,1,MIN(10,AN$17))*(1+P_dPrecio)</f>
        <v>0</v>
      </c>
      <c r="AO65" s="48" t="n">
        <f aca="false">AO$40*INDEX(Precio_O,20)*INDEX(IdxPrecio_O,1,MIN(10,AO$17))*(1+P_dPrecio)</f>
        <v>0</v>
      </c>
      <c r="AP65" s="48" t="n">
        <f aca="false">AP$40*INDEX(Precio_O,20)*INDEX(IdxPrecio_O,1,MIN(10,AP$17))*(1+P_dPrecio)</f>
        <v>0</v>
      </c>
      <c r="AQ65" s="48" t="n">
        <f aca="false">AQ$40*INDEX(Precio_O,20)*INDEX(IdxPrecio_O,1,MIN(10,AQ$17))*(1+P_dPrecio)</f>
        <v>0</v>
      </c>
      <c r="AR65" s="48" t="n">
        <f aca="false">AR$40*INDEX(Precio_O,20)*INDEX(IdxPrecio_O,1,MIN(10,AR$17))*(1+P_dPrecio)</f>
        <v>0</v>
      </c>
      <c r="AS65" s="48" t="n">
        <f aca="false">AS$40*INDEX(Precio_O,20)*INDEX(IdxPrecio_O,1,MIN(10,AS$17))*(1+P_dPrecio)</f>
        <v>0</v>
      </c>
      <c r="AT65" s="48" t="n">
        <f aca="false">AT$40*INDEX(Precio_O,20)*INDEX(IdxPrecio_O,1,MIN(10,AT$17))*(1+P_dPrecio)</f>
        <v>0</v>
      </c>
      <c r="AU65" s="48" t="n">
        <f aca="false">AU$40*INDEX(Precio_O,20)*INDEX(IdxPrecio_O,1,MIN(10,AU$17))*(1+P_dPrecio)</f>
        <v>0</v>
      </c>
      <c r="AV65" s="48" t="n">
        <f aca="false">AV$40*INDEX(Precio_O,20)*INDEX(IdxPrecio_O,1,MIN(10,AV$17))*(1+P_dPrecio)</f>
        <v>0</v>
      </c>
      <c r="AW65" s="48" t="n">
        <f aca="false">AW$40*INDEX(Precio_O,20)*INDEX(IdxPrecio_O,1,MIN(10,AW$17))*(1+P_dPrecio)</f>
        <v>0</v>
      </c>
      <c r="AX65" s="48" t="n">
        <f aca="false">AX$40*INDEX(Precio_O,20)*INDEX(IdxPrecio_O,1,MIN(10,AX$17))*(1+P_dPrecio)</f>
        <v>0</v>
      </c>
      <c r="AY65" s="48" t="n">
        <f aca="false">AY$40*INDEX(Precio_O,20)*INDEX(IdxPrecio_O,1,MIN(10,AY$17))*(1+P_dPrecio)</f>
        <v>0</v>
      </c>
      <c r="AZ65" s="48" t="n">
        <f aca="false">AZ$40*INDEX(Precio_O,20)*INDEX(IdxPrecio_O,1,MIN(10,AZ$17))*(1+P_dPrecio)</f>
        <v>0</v>
      </c>
      <c r="BA65" s="48" t="n">
        <f aca="false">BA$40*INDEX(Precio_O,20)*INDEX(IdxPrecio_O,1,MIN(10,BA$17))*(1+P_dPrecio)</f>
        <v>0</v>
      </c>
      <c r="BB65" s="48" t="n">
        <f aca="false">BB$40*INDEX(Precio_O,20)*INDEX(IdxPrecio_O,1,MIN(10,BB$17))*(1+P_dPrecio)</f>
        <v>0</v>
      </c>
      <c r="BC65" s="48" t="n">
        <f aca="false">BC$40*INDEX(Precio_O,20)*INDEX(IdxPrecio_O,1,MIN(10,BC$17))*(1+P_dPrecio)</f>
        <v>0</v>
      </c>
      <c r="BD65" s="48" t="n">
        <f aca="false">BD$40*INDEX(Precio_O,20)*INDEX(IdxPrecio_O,1,MIN(10,BD$17))*(1+P_dPrecio)</f>
        <v>0</v>
      </c>
      <c r="BE65" s="48" t="n">
        <f aca="false">BE$40*INDEX(Precio_O,20)*INDEX(IdxPrecio_O,1,MIN(10,BE$17))*(1+P_dPrecio)</f>
        <v>0</v>
      </c>
      <c r="BF65" s="48" t="n">
        <f aca="false">BF$40*INDEX(Precio_O,20)*INDEX(IdxPrecio_O,1,MIN(10,BF$17))*(1+P_dPrecio)</f>
        <v>0</v>
      </c>
      <c r="BG65" s="48" t="n">
        <f aca="false">BG$40*INDEX(Precio_O,20)*INDEX(IdxPrecio_O,1,MIN(10,BG$17))*(1+P_dPrecio)</f>
        <v>0</v>
      </c>
      <c r="BH65" s="48" t="n">
        <f aca="false">BH$40*INDEX(Precio_O,20)*INDEX(IdxPrecio_O,1,MIN(10,BH$17))*(1+P_dPrecio)</f>
        <v>0</v>
      </c>
      <c r="BI65" s="48" t="n">
        <f aca="false">BI$40*INDEX(Precio_O,20)*INDEX(IdxPrecio_O,1,MIN(10,BI$17))*(1+P_dPrecio)</f>
        <v>0</v>
      </c>
      <c r="BJ65" s="48" t="n">
        <f aca="false">BJ$40*INDEX(Precio_O,20)*INDEX(IdxPrecio_O,1,MIN(10,BJ$17))*(1+P_dPrecio)</f>
        <v>0</v>
      </c>
      <c r="BK65" s="48" t="n">
        <f aca="false">BK$40*INDEX(Precio_O,20)*INDEX(IdxPrecio_O,1,MIN(10,BK$17))*(1+P_dPrecio)</f>
        <v>0</v>
      </c>
      <c r="BL65" s="48" t="n">
        <f aca="false">BL$40*INDEX(Precio_O,20)*INDEX(IdxPrecio_O,1,MIN(10,BL$17))*(1+P_dPrecio)</f>
        <v>0</v>
      </c>
      <c r="BM65" s="48" t="n">
        <f aca="false">BM$40*INDEX(Precio_O,20)*INDEX(IdxPrecio_O,1,MIN(10,BM$17))*(1+P_dPrecio)</f>
        <v>0</v>
      </c>
      <c r="BN65" s="48" t="n">
        <f aca="false">BN$40*INDEX(Precio_O,20)*INDEX(IdxPrecio_O,1,MIN(10,BN$17))*(1+P_dPrecio)</f>
        <v>0</v>
      </c>
      <c r="BO65" s="48" t="n">
        <f aca="false">BO$40*INDEX(Precio_O,20)*INDEX(IdxPrecio_O,1,MIN(10,BO$17))*(1+P_dPrecio)</f>
        <v>0</v>
      </c>
      <c r="BP65" s="48" t="n">
        <f aca="false">BP$40*INDEX(Precio_O,20)*INDEX(IdxPrecio_O,1,MIN(10,BP$17))*(1+P_dPrecio)</f>
        <v>0</v>
      </c>
      <c r="BQ65" s="48" t="n">
        <f aca="false">BQ$40*INDEX(Precio_O,20)*INDEX(IdxPrecio_O,1,MIN(10,BQ$17))*(1+P_dPrecio)</f>
        <v>0</v>
      </c>
      <c r="BR65" s="48" t="n">
        <f aca="false">BR$40*INDEX(Precio_O,20)*INDEX(IdxPrecio_O,1,MIN(10,BR$17))*(1+P_dPrecio)</f>
        <v>0</v>
      </c>
      <c r="BS65" s="48" t="n">
        <f aca="false">BS$40*INDEX(Precio_O,20)*INDEX(IdxPrecio_O,1,MIN(10,BS$17))*(1+P_dPrecio)</f>
        <v>0</v>
      </c>
      <c r="BT65" s="48" t="n">
        <f aca="false">BT$40*INDEX(Precio_O,20)*INDEX(IdxPrecio_O,1,MIN(10,BT$17))*(1+P_dPrecio)</f>
        <v>0</v>
      </c>
      <c r="BU65" s="48" t="n">
        <f aca="false">BU$40*INDEX(Precio_O,20)*INDEX(IdxPrecio_O,1,MIN(10,BU$17))*(1+P_dPrecio)</f>
        <v>0</v>
      </c>
      <c r="BV65" s="48" t="n">
        <f aca="false">BV$40*INDEX(Precio_O,20)*INDEX(IdxPrecio_O,1,MIN(10,BV$17))*(1+P_dPrecio)</f>
        <v>0</v>
      </c>
      <c r="BW65" s="48" t="n">
        <f aca="false">BW$40*INDEX(Precio_O,20)*INDEX(IdxPrecio_O,1,MIN(10,BW$17))*(1+P_dPrecio)</f>
        <v>0</v>
      </c>
      <c r="BX65" s="48" t="n">
        <f aca="false">BX$40*INDEX(Precio_O,20)*INDEX(IdxPrecio_O,1,MIN(10,BX$17))*(1+P_dPrecio)</f>
        <v>0</v>
      </c>
      <c r="BY65" s="48" t="n">
        <f aca="false">BY$40*INDEX(Precio_O,20)*INDEX(IdxPrecio_O,1,MIN(10,BY$17))*(1+P_dPrecio)</f>
        <v>0</v>
      </c>
      <c r="BZ65" s="48" t="n">
        <f aca="false">BZ$40*INDEX(Precio_O,20)*INDEX(IdxPrecio_O,1,MIN(10,BZ$17))*(1+P_dPrecio)</f>
        <v>0</v>
      </c>
      <c r="CA65" s="48" t="n">
        <f aca="false">CA$40*INDEX(Precio_O,20)*INDEX(IdxPrecio_O,1,MIN(10,CA$17))*(1+P_dPrecio)</f>
        <v>0</v>
      </c>
      <c r="CB65" s="48" t="n">
        <f aca="false">CB$40*INDEX(Precio_O,20)*INDEX(IdxPrecio_O,1,MIN(10,CB$17))*(1+P_dPrecio)</f>
        <v>0</v>
      </c>
      <c r="CC65" s="48" t="n">
        <f aca="false">CC$40*INDEX(Precio_O,20)*INDEX(IdxPrecio_O,1,MIN(10,CC$17))*(1+P_dPrecio)</f>
        <v>0</v>
      </c>
      <c r="CD65" s="48" t="n">
        <f aca="false">CD$40*INDEX(Precio_O,20)*INDEX(IdxPrecio_O,1,MIN(10,CD$17))*(1+P_dPrecio)</f>
        <v>0</v>
      </c>
      <c r="CE65" s="48" t="n">
        <f aca="false">CE$40*INDEX(Precio_O,20)*INDEX(IdxPrecio_O,1,MIN(10,CE$17))*(1+P_dPrecio)</f>
        <v>0</v>
      </c>
      <c r="CF65" s="48" t="n">
        <f aca="false">CF$40*INDEX(Precio_O,20)*INDEX(IdxPrecio_O,1,MIN(10,CF$17))*(1+P_dPrecio)</f>
        <v>0</v>
      </c>
      <c r="CG65" s="48" t="n">
        <f aca="false">CG$40*INDEX(Precio_O,20)*INDEX(IdxPrecio_O,1,MIN(10,CG$17))*(1+P_dPrecio)</f>
        <v>0</v>
      </c>
      <c r="CH65" s="48" t="n">
        <f aca="false">CH$40*INDEX(Precio_O,20)*INDEX(IdxPrecio_O,1,MIN(10,CH$17))*(1+P_dPrecio)</f>
        <v>0</v>
      </c>
      <c r="CI65" s="48" t="n">
        <f aca="false">CI$40*INDEX(Precio_O,20)*INDEX(IdxPrecio_O,1,MIN(10,CI$17))*(1+P_dPrecio)</f>
        <v>0</v>
      </c>
      <c r="CJ65" s="48" t="n">
        <f aca="false">CJ$40*INDEX(Precio_O,20)*INDEX(IdxPrecio_O,1,MIN(10,CJ$17))*(1+P_dPrecio)</f>
        <v>0</v>
      </c>
      <c r="CK65" s="48" t="n">
        <f aca="false">CK$40*INDEX(Precio_O,20)*INDEX(IdxPrecio_O,1,MIN(10,CK$17))*(1+P_dPrecio)</f>
        <v>0</v>
      </c>
      <c r="CL65" s="48" t="n">
        <f aca="false">CL$40*INDEX(Precio_O,20)*INDEX(IdxPrecio_O,1,MIN(10,CL$17))*(1+P_dPrecio)</f>
        <v>0</v>
      </c>
      <c r="CM65" s="48" t="n">
        <f aca="false">CM$40*INDEX(Precio_O,20)*INDEX(IdxPrecio_O,1,MIN(10,CM$17))*(1+P_dPrecio)</f>
        <v>0</v>
      </c>
      <c r="CN65" s="48" t="n">
        <f aca="false">CN$40*INDEX(Precio_O,20)*INDEX(IdxPrecio_O,1,MIN(10,CN$17))*(1+P_dPrecio)</f>
        <v>0</v>
      </c>
      <c r="CO65" s="48" t="n">
        <f aca="false">CO$40*INDEX(Precio_O,20)*INDEX(IdxPrecio_O,1,MIN(10,CO$17))*(1+P_dPrecio)</f>
        <v>0</v>
      </c>
      <c r="CP65" s="48" t="n">
        <f aca="false">CP$40*INDEX(Precio_O,20)*INDEX(IdxPrecio_O,1,MIN(10,CP$17))*(1+P_dPrecio)</f>
        <v>0</v>
      </c>
      <c r="CQ65" s="48" t="n">
        <f aca="false">CQ$40*INDEX(Precio_O,20)*INDEX(IdxPrecio_O,1,MIN(10,CQ$17))*(1+P_dPrecio)</f>
        <v>0</v>
      </c>
      <c r="CR65" s="48" t="n">
        <f aca="false">CR$40*INDEX(Precio_O,20)*INDEX(IdxPrecio_O,1,MIN(10,CR$17))*(1+P_dPrecio)</f>
        <v>0</v>
      </c>
      <c r="CS65" s="48" t="n">
        <f aca="false">CS$40*INDEX(Precio_O,20)*INDEX(IdxPrecio_O,1,MIN(10,CS$17))*(1+P_dPrecio)</f>
        <v>0</v>
      </c>
      <c r="CT65" s="48" t="n">
        <f aca="false">CT$40*INDEX(Precio_O,20)*INDEX(IdxPrecio_O,1,MIN(10,CT$17))*(1+P_dPrecio)</f>
        <v>0</v>
      </c>
      <c r="CU65" s="48" t="n">
        <f aca="false">CU$40*INDEX(Precio_O,20)*INDEX(IdxPrecio_O,1,MIN(10,CU$17))*(1+P_dPrecio)</f>
        <v>0</v>
      </c>
      <c r="CV65" s="48" t="n">
        <f aca="false">CV$40*INDEX(Precio_O,20)*INDEX(IdxPrecio_O,1,MIN(10,CV$17))*(1+P_dPrecio)</f>
        <v>0</v>
      </c>
      <c r="CW65" s="48" t="n">
        <f aca="false">CW$40*INDEX(Precio_O,20)*INDEX(IdxPrecio_O,1,MIN(10,CW$17))*(1+P_dPrecio)</f>
        <v>0</v>
      </c>
      <c r="CX65" s="48" t="n">
        <f aca="false">CX$40*INDEX(Precio_O,20)*INDEX(IdxPrecio_O,1,MIN(10,CX$17))*(1+P_dPrecio)</f>
        <v>0</v>
      </c>
      <c r="CY65" s="48" t="n">
        <f aca="false">CY$40*INDEX(Precio_O,20)*INDEX(IdxPrecio_O,1,MIN(10,CY$17))*(1+P_dPrecio)</f>
        <v>0</v>
      </c>
      <c r="CZ65" s="48" t="n">
        <f aca="false">CZ$40*INDEX(Precio_O,20)*INDEX(IdxPrecio_O,1,MIN(10,CZ$17))*(1+P_dPrecio)</f>
        <v>0</v>
      </c>
      <c r="DA65" s="48" t="n">
        <f aca="false">DA$40*INDEX(Precio_O,20)*INDEX(IdxPrecio_O,1,MIN(10,DA$17))*(1+P_dPrecio)</f>
        <v>0</v>
      </c>
      <c r="DB65" s="48" t="n">
        <f aca="false">DB$40*INDEX(Precio_O,20)*INDEX(IdxPrecio_O,1,MIN(10,DB$17))*(1+P_dPrecio)</f>
        <v>0</v>
      </c>
      <c r="DC65" s="48" t="n">
        <f aca="false">DC$40*INDEX(Precio_O,20)*INDEX(IdxPrecio_O,1,MIN(10,DC$17))*(1+P_dPrecio)</f>
        <v>0</v>
      </c>
      <c r="DD65" s="48" t="n">
        <f aca="false">DD$40*INDEX(Precio_O,20)*INDEX(IdxPrecio_O,1,MIN(10,DD$17))*(1+P_dPrecio)</f>
        <v>0</v>
      </c>
      <c r="DE65" s="48" t="n">
        <f aca="false">DE$40*INDEX(Precio_O,20)*INDEX(IdxPrecio_O,1,MIN(10,DE$17))*(1+P_dPrecio)</f>
        <v>0</v>
      </c>
      <c r="DF65" s="48" t="n">
        <f aca="false">DF$40*INDEX(Precio_O,20)*INDEX(IdxPrecio_O,1,MIN(10,DF$17))*(1+P_dPrecio)</f>
        <v>0</v>
      </c>
      <c r="DG65" s="48" t="n">
        <f aca="false">DG$40*INDEX(Precio_O,20)*INDEX(IdxPrecio_O,1,MIN(10,DG$17))*(1+P_dPrecio)</f>
        <v>0</v>
      </c>
      <c r="DH65" s="48" t="n">
        <f aca="false">DH$40*INDEX(Precio_O,20)*INDEX(IdxPrecio_O,1,MIN(10,DH$17))*(1+P_dPrecio)</f>
        <v>0</v>
      </c>
      <c r="DI65" s="48" t="n">
        <f aca="false">DI$40*INDEX(Precio_O,20)*INDEX(IdxPrecio_O,1,MIN(10,DI$17))*(1+P_dPrecio)</f>
        <v>0</v>
      </c>
      <c r="DJ65" s="48" t="n">
        <f aca="false">DJ$40*INDEX(Precio_O,20)*INDEX(IdxPrecio_O,1,MIN(10,DJ$17))*(1+P_dPrecio)</f>
        <v>0</v>
      </c>
      <c r="DK65" s="48" t="n">
        <f aca="false">DK$40*INDEX(Precio_O,20)*INDEX(IdxPrecio_O,1,MIN(10,DK$17))*(1+P_dPrecio)</f>
        <v>0</v>
      </c>
      <c r="DL65" s="48" t="n">
        <f aca="false">DL$40*INDEX(Precio_O,20)*INDEX(IdxPrecio_O,1,MIN(10,DL$17))*(1+P_dPrecio)</f>
        <v>0</v>
      </c>
      <c r="DM65" s="48" t="n">
        <f aca="false">DM$40*INDEX(Precio_O,20)*INDEX(IdxPrecio_O,1,MIN(10,DM$17))*(1+P_dPrecio)</f>
        <v>0</v>
      </c>
      <c r="DN65" s="48" t="n">
        <f aca="false">DN$40*INDEX(Precio_O,20)*INDEX(IdxPrecio_O,1,MIN(10,DN$17))*(1+P_dPrecio)</f>
        <v>0</v>
      </c>
      <c r="DO65" s="48" t="n">
        <f aca="false">DO$40*INDEX(Precio_O,20)*INDEX(IdxPrecio_O,1,MIN(10,DO$17))*(1+P_dPrecio)</f>
        <v>0</v>
      </c>
      <c r="DP65" s="48" t="n">
        <f aca="false">DP$40*INDEX(Precio_O,20)*INDEX(IdxPrecio_O,1,MIN(10,DP$17))*(1+P_dPrecio)</f>
        <v>0</v>
      </c>
      <c r="DQ65" s="48" t="n">
        <f aca="false">DQ$40*INDEX(Precio_O,20)*INDEX(IdxPrecio_O,1,MIN(10,DQ$17))*(1+P_dPrecio)</f>
        <v>0</v>
      </c>
      <c r="DR65" s="48" t="n">
        <f aca="false">DR$40*INDEX(Precio_O,20)*INDEX(IdxPrecio_O,1,MIN(10,DR$17))*(1+P_dPrecio)</f>
        <v>0</v>
      </c>
      <c r="DS65" s="48" t="n">
        <f aca="false">DS$40*INDEX(Precio_O,20)*INDEX(IdxPrecio_O,1,MIN(10,DS$17))*(1+P_dPrecio)</f>
        <v>0</v>
      </c>
      <c r="DT65" s="48" t="n">
        <f aca="false">DT$40*INDEX(Precio_O,20)*INDEX(IdxPrecio_O,1,MIN(10,DT$17))*(1+P_dPrecio)</f>
        <v>0</v>
      </c>
      <c r="DU65" s="48" t="n">
        <f aca="false">DU$40*INDEX(Precio_O,20)*INDEX(IdxPrecio_O,1,MIN(10,DU$17))*(1+P_dPrecio)</f>
        <v>0</v>
      </c>
      <c r="DV65" s="48" t="n">
        <f aca="false">DV$40*INDEX(Precio_O,20)*INDEX(IdxPrecio_O,1,MIN(10,DV$17))*(1+P_dPrecio)</f>
        <v>0</v>
      </c>
      <c r="DW65" s="48" t="n">
        <f aca="false">DW$40*INDEX(Precio_O,20)*INDEX(IdxPrecio_O,1,MIN(10,DW$17))*(1+P_dPrecio)</f>
        <v>0</v>
      </c>
      <c r="DX65" s="48" t="n">
        <f aca="false">DX$40*INDEX(Precio_O,20)*INDEX(IdxPrecio_O,1,MIN(10,DX$17))*(1+P_dPrecio)</f>
        <v>0</v>
      </c>
      <c r="DY65" s="48" t="n">
        <f aca="false">DY$40*INDEX(Precio_O,20)*INDEX(IdxPrecio_O,1,MIN(10,DY$17))*(1+P_dPrecio)</f>
        <v>0</v>
      </c>
      <c r="DZ65" s="48" t="n">
        <f aca="false">DZ$40*INDEX(Precio_O,20)*INDEX(IdxPrecio_O,1,MIN(10,DZ$17))*(1+P_dPrecio)</f>
        <v>0</v>
      </c>
      <c r="EA65" s="48" t="n">
        <f aca="false">EA$40*INDEX(Precio_O,20)*INDEX(IdxPrecio_O,1,MIN(10,EA$17))*(1+P_dPrecio)</f>
        <v>0</v>
      </c>
      <c r="EB65" s="48" t="n">
        <f aca="false">EB$40*INDEX(Precio_O,20)*INDEX(IdxPrecio_O,1,MIN(10,EB$17))*(1+P_dPrecio)</f>
        <v>0</v>
      </c>
      <c r="EC65" s="48" t="n">
        <f aca="false">EC$40*INDEX(Precio_O,20)*INDEX(IdxPrecio_O,1,MIN(10,EC$17))*(1+P_dPrecio)</f>
        <v>0</v>
      </c>
      <c r="ED65" s="48" t="n">
        <f aca="false">ED$40*INDEX(Precio_O,20)*INDEX(IdxPrecio_O,1,MIN(10,ED$17))*(1+P_dPrecio)</f>
        <v>0</v>
      </c>
      <c r="EE65" s="48" t="n">
        <f aca="false">EE$40*INDEX(Precio_O,20)*INDEX(IdxPrecio_O,1,MIN(10,EE$17))*(1+P_dPrecio)</f>
        <v>0</v>
      </c>
      <c r="EF65" s="48" t="n">
        <f aca="false">EF$40*INDEX(Precio_O,20)*INDEX(IdxPrecio_O,1,MIN(10,EF$17))*(1+P_dPrecio)</f>
        <v>0</v>
      </c>
      <c r="EG65" s="48" t="n">
        <f aca="false">EG$40*INDEX(Precio_O,20)*INDEX(IdxPrecio_O,1,MIN(10,EG$17))*(1+P_dPrecio)</f>
        <v>0</v>
      </c>
      <c r="EH65" s="48" t="n">
        <f aca="false">EH$40*INDEX(Precio_O,20)*INDEX(IdxPrecio_O,1,MIN(10,EH$17))*(1+P_dPrecio)</f>
        <v>0</v>
      </c>
      <c r="EI65" s="48" t="n">
        <f aca="false">EI$40*INDEX(Precio_O,20)*INDEX(IdxPrecio_O,1,MIN(10,EI$17))*(1+P_dPrecio)</f>
        <v>0</v>
      </c>
      <c r="EJ65" s="48" t="n">
        <f aca="false">EJ$40*INDEX(Precio_O,20)*INDEX(IdxPrecio_O,1,MIN(10,EJ$17))*(1+P_dPrecio)</f>
        <v>0</v>
      </c>
      <c r="EK65" s="48" t="n">
        <f aca="false">EK$40*INDEX(Precio_O,20)*INDEX(IdxPrecio_O,1,MIN(10,EK$17))*(1+P_dPrecio)</f>
        <v>0</v>
      </c>
      <c r="EL65" s="48" t="n">
        <f aca="false">EL$40*INDEX(Precio_O,20)*INDEX(IdxPrecio_O,1,MIN(10,EL$17))*(1+P_dPrecio)</f>
        <v>0</v>
      </c>
      <c r="EM65" s="48" t="n">
        <f aca="false">EM$40*INDEX(Precio_O,20)*INDEX(IdxPrecio_O,1,MIN(10,EM$17))*(1+P_dPrecio)</f>
        <v>0</v>
      </c>
      <c r="EN65" s="48" t="n">
        <f aca="false">EN$40*INDEX(Precio_O,20)*INDEX(IdxPrecio_O,1,MIN(10,EN$17))*(1+P_dPrecio)</f>
        <v>0</v>
      </c>
      <c r="EO65" s="48" t="n">
        <f aca="false">EO$40*INDEX(Precio_O,20)*INDEX(IdxPrecio_O,1,MIN(10,EO$17))*(1+P_dPrecio)</f>
        <v>0</v>
      </c>
      <c r="EP65" s="48" t="n">
        <f aca="false">EP$40*INDEX(Precio_O,20)*INDEX(IdxPrecio_O,1,MIN(10,EP$17))*(1+P_dPrecio)</f>
        <v>0</v>
      </c>
      <c r="EQ65" s="48" t="n">
        <f aca="false">EQ$40*INDEX(Precio_O,20)*INDEX(IdxPrecio_O,1,MIN(10,EQ$17))*(1+P_dPrecio)</f>
        <v>0</v>
      </c>
      <c r="ER65" s="48" t="n">
        <f aca="false">ER$40*INDEX(Precio_O,20)*INDEX(IdxPrecio_O,1,MIN(10,ER$17))*(1+P_dPrecio)</f>
        <v>0</v>
      </c>
      <c r="ES65" s="48" t="n">
        <f aca="false">ES$40*INDEX(Precio_O,20)*INDEX(IdxPrecio_O,1,MIN(10,ES$17))*(1+P_dPrecio)</f>
        <v>0</v>
      </c>
    </row>
    <row r="66" customFormat="false" ht="15" hidden="false" customHeight="false" outlineLevel="0" collapsed="false">
      <c r="A66" s="11" t="s">
        <v>1111</v>
      </c>
      <c r="B66" s="53" t="str">
        <f aca="false">IF(INDEX(Prod_Nombre,21)="","Producto 21",INDEX(Prod_Nombre,21))&amp;" — ventas USD"</f>
        <v>Producto 21 — ventas USD</v>
      </c>
      <c r="C66" s="15" t="s">
        <v>508</v>
      </c>
      <c r="E66" s="54" t="n">
        <f aca="false">SUM(F66:ES66)</f>
        <v>0</v>
      </c>
      <c r="F66" s="48" t="n">
        <f aca="false">F$41*INDEX(Precio_O,21)*INDEX(IdxPrecio_O,1,MIN(10,F$17))*(1+P_dPrecio)</f>
        <v>0</v>
      </c>
      <c r="G66" s="48" t="n">
        <f aca="false">G$41*INDEX(Precio_O,21)*INDEX(IdxPrecio_O,1,MIN(10,G$17))*(1+P_dPrecio)</f>
        <v>0</v>
      </c>
      <c r="H66" s="48" t="n">
        <f aca="false">H$41*INDEX(Precio_O,21)*INDEX(IdxPrecio_O,1,MIN(10,H$17))*(1+P_dPrecio)</f>
        <v>0</v>
      </c>
      <c r="I66" s="48" t="n">
        <f aca="false">I$41*INDEX(Precio_O,21)*INDEX(IdxPrecio_O,1,MIN(10,I$17))*(1+P_dPrecio)</f>
        <v>0</v>
      </c>
      <c r="J66" s="48" t="n">
        <f aca="false">J$41*INDEX(Precio_O,21)*INDEX(IdxPrecio_O,1,MIN(10,J$17))*(1+P_dPrecio)</f>
        <v>0</v>
      </c>
      <c r="K66" s="48" t="n">
        <f aca="false">K$41*INDEX(Precio_O,21)*INDEX(IdxPrecio_O,1,MIN(10,K$17))*(1+P_dPrecio)</f>
        <v>0</v>
      </c>
      <c r="L66" s="48" t="n">
        <f aca="false">L$41*INDEX(Precio_O,21)*INDEX(IdxPrecio_O,1,MIN(10,L$17))*(1+P_dPrecio)</f>
        <v>0</v>
      </c>
      <c r="M66" s="48" t="n">
        <f aca="false">M$41*INDEX(Precio_O,21)*INDEX(IdxPrecio_O,1,MIN(10,M$17))*(1+P_dPrecio)</f>
        <v>0</v>
      </c>
      <c r="N66" s="48" t="n">
        <f aca="false">N$41*INDEX(Precio_O,21)*INDEX(IdxPrecio_O,1,MIN(10,N$17))*(1+P_dPrecio)</f>
        <v>0</v>
      </c>
      <c r="O66" s="48" t="n">
        <f aca="false">O$41*INDEX(Precio_O,21)*INDEX(IdxPrecio_O,1,MIN(10,O$17))*(1+P_dPrecio)</f>
        <v>0</v>
      </c>
      <c r="P66" s="48" t="n">
        <f aca="false">P$41*INDEX(Precio_O,21)*INDEX(IdxPrecio_O,1,MIN(10,P$17))*(1+P_dPrecio)</f>
        <v>0</v>
      </c>
      <c r="Q66" s="48" t="n">
        <f aca="false">Q$41*INDEX(Precio_O,21)*INDEX(IdxPrecio_O,1,MIN(10,Q$17))*(1+P_dPrecio)</f>
        <v>0</v>
      </c>
      <c r="R66" s="48" t="n">
        <f aca="false">R$41*INDEX(Precio_O,21)*INDEX(IdxPrecio_O,1,MIN(10,R$17))*(1+P_dPrecio)</f>
        <v>0</v>
      </c>
      <c r="S66" s="48" t="n">
        <f aca="false">S$41*INDEX(Precio_O,21)*INDEX(IdxPrecio_O,1,MIN(10,S$17))*(1+P_dPrecio)</f>
        <v>0</v>
      </c>
      <c r="T66" s="48" t="n">
        <f aca="false">T$41*INDEX(Precio_O,21)*INDEX(IdxPrecio_O,1,MIN(10,T$17))*(1+P_dPrecio)</f>
        <v>0</v>
      </c>
      <c r="U66" s="48" t="n">
        <f aca="false">U$41*INDEX(Precio_O,21)*INDEX(IdxPrecio_O,1,MIN(10,U$17))*(1+P_dPrecio)</f>
        <v>0</v>
      </c>
      <c r="V66" s="48" t="n">
        <f aca="false">V$41*INDEX(Precio_O,21)*INDEX(IdxPrecio_O,1,MIN(10,V$17))*(1+P_dPrecio)</f>
        <v>0</v>
      </c>
      <c r="W66" s="48" t="n">
        <f aca="false">W$41*INDEX(Precio_O,21)*INDEX(IdxPrecio_O,1,MIN(10,W$17))*(1+P_dPrecio)</f>
        <v>0</v>
      </c>
      <c r="X66" s="48" t="n">
        <f aca="false">X$41*INDEX(Precio_O,21)*INDEX(IdxPrecio_O,1,MIN(10,X$17))*(1+P_dPrecio)</f>
        <v>0</v>
      </c>
      <c r="Y66" s="48" t="n">
        <f aca="false">Y$41*INDEX(Precio_O,21)*INDEX(IdxPrecio_O,1,MIN(10,Y$17))*(1+P_dPrecio)</f>
        <v>0</v>
      </c>
      <c r="Z66" s="48" t="n">
        <f aca="false">Z$41*INDEX(Precio_O,21)*INDEX(IdxPrecio_O,1,MIN(10,Z$17))*(1+P_dPrecio)</f>
        <v>0</v>
      </c>
      <c r="AA66" s="48" t="n">
        <f aca="false">AA$41*INDEX(Precio_O,21)*INDEX(IdxPrecio_O,1,MIN(10,AA$17))*(1+P_dPrecio)</f>
        <v>0</v>
      </c>
      <c r="AB66" s="48" t="n">
        <f aca="false">AB$41*INDEX(Precio_O,21)*INDEX(IdxPrecio_O,1,MIN(10,AB$17))*(1+P_dPrecio)</f>
        <v>0</v>
      </c>
      <c r="AC66" s="48" t="n">
        <f aca="false">AC$41*INDEX(Precio_O,21)*INDEX(IdxPrecio_O,1,MIN(10,AC$17))*(1+P_dPrecio)</f>
        <v>0</v>
      </c>
      <c r="AD66" s="48" t="n">
        <f aca="false">AD$41*INDEX(Precio_O,21)*INDEX(IdxPrecio_O,1,MIN(10,AD$17))*(1+P_dPrecio)</f>
        <v>0</v>
      </c>
      <c r="AE66" s="48" t="n">
        <f aca="false">AE$41*INDEX(Precio_O,21)*INDEX(IdxPrecio_O,1,MIN(10,AE$17))*(1+P_dPrecio)</f>
        <v>0</v>
      </c>
      <c r="AF66" s="48" t="n">
        <f aca="false">AF$41*INDEX(Precio_O,21)*INDEX(IdxPrecio_O,1,MIN(10,AF$17))*(1+P_dPrecio)</f>
        <v>0</v>
      </c>
      <c r="AG66" s="48" t="n">
        <f aca="false">AG$41*INDEX(Precio_O,21)*INDEX(IdxPrecio_O,1,MIN(10,AG$17))*(1+P_dPrecio)</f>
        <v>0</v>
      </c>
      <c r="AH66" s="48" t="n">
        <f aca="false">AH$41*INDEX(Precio_O,21)*INDEX(IdxPrecio_O,1,MIN(10,AH$17))*(1+P_dPrecio)</f>
        <v>0</v>
      </c>
      <c r="AI66" s="48" t="n">
        <f aca="false">AI$41*INDEX(Precio_O,21)*INDEX(IdxPrecio_O,1,MIN(10,AI$17))*(1+P_dPrecio)</f>
        <v>0</v>
      </c>
      <c r="AJ66" s="48" t="n">
        <f aca="false">AJ$41*INDEX(Precio_O,21)*INDEX(IdxPrecio_O,1,MIN(10,AJ$17))*(1+P_dPrecio)</f>
        <v>0</v>
      </c>
      <c r="AK66" s="48" t="n">
        <f aca="false">AK$41*INDEX(Precio_O,21)*INDEX(IdxPrecio_O,1,MIN(10,AK$17))*(1+P_dPrecio)</f>
        <v>0</v>
      </c>
      <c r="AL66" s="48" t="n">
        <f aca="false">AL$41*INDEX(Precio_O,21)*INDEX(IdxPrecio_O,1,MIN(10,AL$17))*(1+P_dPrecio)</f>
        <v>0</v>
      </c>
      <c r="AM66" s="48" t="n">
        <f aca="false">AM$41*INDEX(Precio_O,21)*INDEX(IdxPrecio_O,1,MIN(10,AM$17))*(1+P_dPrecio)</f>
        <v>0</v>
      </c>
      <c r="AN66" s="48" t="n">
        <f aca="false">AN$41*INDEX(Precio_O,21)*INDEX(IdxPrecio_O,1,MIN(10,AN$17))*(1+P_dPrecio)</f>
        <v>0</v>
      </c>
      <c r="AO66" s="48" t="n">
        <f aca="false">AO$41*INDEX(Precio_O,21)*INDEX(IdxPrecio_O,1,MIN(10,AO$17))*(1+P_dPrecio)</f>
        <v>0</v>
      </c>
      <c r="AP66" s="48" t="n">
        <f aca="false">AP$41*INDEX(Precio_O,21)*INDEX(IdxPrecio_O,1,MIN(10,AP$17))*(1+P_dPrecio)</f>
        <v>0</v>
      </c>
      <c r="AQ66" s="48" t="n">
        <f aca="false">AQ$41*INDEX(Precio_O,21)*INDEX(IdxPrecio_O,1,MIN(10,AQ$17))*(1+P_dPrecio)</f>
        <v>0</v>
      </c>
      <c r="AR66" s="48" t="n">
        <f aca="false">AR$41*INDEX(Precio_O,21)*INDEX(IdxPrecio_O,1,MIN(10,AR$17))*(1+P_dPrecio)</f>
        <v>0</v>
      </c>
      <c r="AS66" s="48" t="n">
        <f aca="false">AS$41*INDEX(Precio_O,21)*INDEX(IdxPrecio_O,1,MIN(10,AS$17))*(1+P_dPrecio)</f>
        <v>0</v>
      </c>
      <c r="AT66" s="48" t="n">
        <f aca="false">AT$41*INDEX(Precio_O,21)*INDEX(IdxPrecio_O,1,MIN(10,AT$17))*(1+P_dPrecio)</f>
        <v>0</v>
      </c>
      <c r="AU66" s="48" t="n">
        <f aca="false">AU$41*INDEX(Precio_O,21)*INDEX(IdxPrecio_O,1,MIN(10,AU$17))*(1+P_dPrecio)</f>
        <v>0</v>
      </c>
      <c r="AV66" s="48" t="n">
        <f aca="false">AV$41*INDEX(Precio_O,21)*INDEX(IdxPrecio_O,1,MIN(10,AV$17))*(1+P_dPrecio)</f>
        <v>0</v>
      </c>
      <c r="AW66" s="48" t="n">
        <f aca="false">AW$41*INDEX(Precio_O,21)*INDEX(IdxPrecio_O,1,MIN(10,AW$17))*(1+P_dPrecio)</f>
        <v>0</v>
      </c>
      <c r="AX66" s="48" t="n">
        <f aca="false">AX$41*INDEX(Precio_O,21)*INDEX(IdxPrecio_O,1,MIN(10,AX$17))*(1+P_dPrecio)</f>
        <v>0</v>
      </c>
      <c r="AY66" s="48" t="n">
        <f aca="false">AY$41*INDEX(Precio_O,21)*INDEX(IdxPrecio_O,1,MIN(10,AY$17))*(1+P_dPrecio)</f>
        <v>0</v>
      </c>
      <c r="AZ66" s="48" t="n">
        <f aca="false">AZ$41*INDEX(Precio_O,21)*INDEX(IdxPrecio_O,1,MIN(10,AZ$17))*(1+P_dPrecio)</f>
        <v>0</v>
      </c>
      <c r="BA66" s="48" t="n">
        <f aca="false">BA$41*INDEX(Precio_O,21)*INDEX(IdxPrecio_O,1,MIN(10,BA$17))*(1+P_dPrecio)</f>
        <v>0</v>
      </c>
      <c r="BB66" s="48" t="n">
        <f aca="false">BB$41*INDEX(Precio_O,21)*INDEX(IdxPrecio_O,1,MIN(10,BB$17))*(1+P_dPrecio)</f>
        <v>0</v>
      </c>
      <c r="BC66" s="48" t="n">
        <f aca="false">BC$41*INDEX(Precio_O,21)*INDEX(IdxPrecio_O,1,MIN(10,BC$17))*(1+P_dPrecio)</f>
        <v>0</v>
      </c>
      <c r="BD66" s="48" t="n">
        <f aca="false">BD$41*INDEX(Precio_O,21)*INDEX(IdxPrecio_O,1,MIN(10,BD$17))*(1+P_dPrecio)</f>
        <v>0</v>
      </c>
      <c r="BE66" s="48" t="n">
        <f aca="false">BE$41*INDEX(Precio_O,21)*INDEX(IdxPrecio_O,1,MIN(10,BE$17))*(1+P_dPrecio)</f>
        <v>0</v>
      </c>
      <c r="BF66" s="48" t="n">
        <f aca="false">BF$41*INDEX(Precio_O,21)*INDEX(IdxPrecio_O,1,MIN(10,BF$17))*(1+P_dPrecio)</f>
        <v>0</v>
      </c>
      <c r="BG66" s="48" t="n">
        <f aca="false">BG$41*INDEX(Precio_O,21)*INDEX(IdxPrecio_O,1,MIN(10,BG$17))*(1+P_dPrecio)</f>
        <v>0</v>
      </c>
      <c r="BH66" s="48" t="n">
        <f aca="false">BH$41*INDEX(Precio_O,21)*INDEX(IdxPrecio_O,1,MIN(10,BH$17))*(1+P_dPrecio)</f>
        <v>0</v>
      </c>
      <c r="BI66" s="48" t="n">
        <f aca="false">BI$41*INDEX(Precio_O,21)*INDEX(IdxPrecio_O,1,MIN(10,BI$17))*(1+P_dPrecio)</f>
        <v>0</v>
      </c>
      <c r="BJ66" s="48" t="n">
        <f aca="false">BJ$41*INDEX(Precio_O,21)*INDEX(IdxPrecio_O,1,MIN(10,BJ$17))*(1+P_dPrecio)</f>
        <v>0</v>
      </c>
      <c r="BK66" s="48" t="n">
        <f aca="false">BK$41*INDEX(Precio_O,21)*INDEX(IdxPrecio_O,1,MIN(10,BK$17))*(1+P_dPrecio)</f>
        <v>0</v>
      </c>
      <c r="BL66" s="48" t="n">
        <f aca="false">BL$41*INDEX(Precio_O,21)*INDEX(IdxPrecio_O,1,MIN(10,BL$17))*(1+P_dPrecio)</f>
        <v>0</v>
      </c>
      <c r="BM66" s="48" t="n">
        <f aca="false">BM$41*INDEX(Precio_O,21)*INDEX(IdxPrecio_O,1,MIN(10,BM$17))*(1+P_dPrecio)</f>
        <v>0</v>
      </c>
      <c r="BN66" s="48" t="n">
        <f aca="false">BN$41*INDEX(Precio_O,21)*INDEX(IdxPrecio_O,1,MIN(10,BN$17))*(1+P_dPrecio)</f>
        <v>0</v>
      </c>
      <c r="BO66" s="48" t="n">
        <f aca="false">BO$41*INDEX(Precio_O,21)*INDEX(IdxPrecio_O,1,MIN(10,BO$17))*(1+P_dPrecio)</f>
        <v>0</v>
      </c>
      <c r="BP66" s="48" t="n">
        <f aca="false">BP$41*INDEX(Precio_O,21)*INDEX(IdxPrecio_O,1,MIN(10,BP$17))*(1+P_dPrecio)</f>
        <v>0</v>
      </c>
      <c r="BQ66" s="48" t="n">
        <f aca="false">BQ$41*INDEX(Precio_O,21)*INDEX(IdxPrecio_O,1,MIN(10,BQ$17))*(1+P_dPrecio)</f>
        <v>0</v>
      </c>
      <c r="BR66" s="48" t="n">
        <f aca="false">BR$41*INDEX(Precio_O,21)*INDEX(IdxPrecio_O,1,MIN(10,BR$17))*(1+P_dPrecio)</f>
        <v>0</v>
      </c>
      <c r="BS66" s="48" t="n">
        <f aca="false">BS$41*INDEX(Precio_O,21)*INDEX(IdxPrecio_O,1,MIN(10,BS$17))*(1+P_dPrecio)</f>
        <v>0</v>
      </c>
      <c r="BT66" s="48" t="n">
        <f aca="false">BT$41*INDEX(Precio_O,21)*INDEX(IdxPrecio_O,1,MIN(10,BT$17))*(1+P_dPrecio)</f>
        <v>0</v>
      </c>
      <c r="BU66" s="48" t="n">
        <f aca="false">BU$41*INDEX(Precio_O,21)*INDEX(IdxPrecio_O,1,MIN(10,BU$17))*(1+P_dPrecio)</f>
        <v>0</v>
      </c>
      <c r="BV66" s="48" t="n">
        <f aca="false">BV$41*INDEX(Precio_O,21)*INDEX(IdxPrecio_O,1,MIN(10,BV$17))*(1+P_dPrecio)</f>
        <v>0</v>
      </c>
      <c r="BW66" s="48" t="n">
        <f aca="false">BW$41*INDEX(Precio_O,21)*INDEX(IdxPrecio_O,1,MIN(10,BW$17))*(1+P_dPrecio)</f>
        <v>0</v>
      </c>
      <c r="BX66" s="48" t="n">
        <f aca="false">BX$41*INDEX(Precio_O,21)*INDEX(IdxPrecio_O,1,MIN(10,BX$17))*(1+P_dPrecio)</f>
        <v>0</v>
      </c>
      <c r="BY66" s="48" t="n">
        <f aca="false">BY$41*INDEX(Precio_O,21)*INDEX(IdxPrecio_O,1,MIN(10,BY$17))*(1+P_dPrecio)</f>
        <v>0</v>
      </c>
      <c r="BZ66" s="48" t="n">
        <f aca="false">BZ$41*INDEX(Precio_O,21)*INDEX(IdxPrecio_O,1,MIN(10,BZ$17))*(1+P_dPrecio)</f>
        <v>0</v>
      </c>
      <c r="CA66" s="48" t="n">
        <f aca="false">CA$41*INDEX(Precio_O,21)*INDEX(IdxPrecio_O,1,MIN(10,CA$17))*(1+P_dPrecio)</f>
        <v>0</v>
      </c>
      <c r="CB66" s="48" t="n">
        <f aca="false">CB$41*INDEX(Precio_O,21)*INDEX(IdxPrecio_O,1,MIN(10,CB$17))*(1+P_dPrecio)</f>
        <v>0</v>
      </c>
      <c r="CC66" s="48" t="n">
        <f aca="false">CC$41*INDEX(Precio_O,21)*INDEX(IdxPrecio_O,1,MIN(10,CC$17))*(1+P_dPrecio)</f>
        <v>0</v>
      </c>
      <c r="CD66" s="48" t="n">
        <f aca="false">CD$41*INDEX(Precio_O,21)*INDEX(IdxPrecio_O,1,MIN(10,CD$17))*(1+P_dPrecio)</f>
        <v>0</v>
      </c>
      <c r="CE66" s="48" t="n">
        <f aca="false">CE$41*INDEX(Precio_O,21)*INDEX(IdxPrecio_O,1,MIN(10,CE$17))*(1+P_dPrecio)</f>
        <v>0</v>
      </c>
      <c r="CF66" s="48" t="n">
        <f aca="false">CF$41*INDEX(Precio_O,21)*INDEX(IdxPrecio_O,1,MIN(10,CF$17))*(1+P_dPrecio)</f>
        <v>0</v>
      </c>
      <c r="CG66" s="48" t="n">
        <f aca="false">CG$41*INDEX(Precio_O,21)*INDEX(IdxPrecio_O,1,MIN(10,CG$17))*(1+P_dPrecio)</f>
        <v>0</v>
      </c>
      <c r="CH66" s="48" t="n">
        <f aca="false">CH$41*INDEX(Precio_O,21)*INDEX(IdxPrecio_O,1,MIN(10,CH$17))*(1+P_dPrecio)</f>
        <v>0</v>
      </c>
      <c r="CI66" s="48" t="n">
        <f aca="false">CI$41*INDEX(Precio_O,21)*INDEX(IdxPrecio_O,1,MIN(10,CI$17))*(1+P_dPrecio)</f>
        <v>0</v>
      </c>
      <c r="CJ66" s="48" t="n">
        <f aca="false">CJ$41*INDEX(Precio_O,21)*INDEX(IdxPrecio_O,1,MIN(10,CJ$17))*(1+P_dPrecio)</f>
        <v>0</v>
      </c>
      <c r="CK66" s="48" t="n">
        <f aca="false">CK$41*INDEX(Precio_O,21)*INDEX(IdxPrecio_O,1,MIN(10,CK$17))*(1+P_dPrecio)</f>
        <v>0</v>
      </c>
      <c r="CL66" s="48" t="n">
        <f aca="false">CL$41*INDEX(Precio_O,21)*INDEX(IdxPrecio_O,1,MIN(10,CL$17))*(1+P_dPrecio)</f>
        <v>0</v>
      </c>
      <c r="CM66" s="48" t="n">
        <f aca="false">CM$41*INDEX(Precio_O,21)*INDEX(IdxPrecio_O,1,MIN(10,CM$17))*(1+P_dPrecio)</f>
        <v>0</v>
      </c>
      <c r="CN66" s="48" t="n">
        <f aca="false">CN$41*INDEX(Precio_O,21)*INDEX(IdxPrecio_O,1,MIN(10,CN$17))*(1+P_dPrecio)</f>
        <v>0</v>
      </c>
      <c r="CO66" s="48" t="n">
        <f aca="false">CO$41*INDEX(Precio_O,21)*INDEX(IdxPrecio_O,1,MIN(10,CO$17))*(1+P_dPrecio)</f>
        <v>0</v>
      </c>
      <c r="CP66" s="48" t="n">
        <f aca="false">CP$41*INDEX(Precio_O,21)*INDEX(IdxPrecio_O,1,MIN(10,CP$17))*(1+P_dPrecio)</f>
        <v>0</v>
      </c>
      <c r="CQ66" s="48" t="n">
        <f aca="false">CQ$41*INDEX(Precio_O,21)*INDEX(IdxPrecio_O,1,MIN(10,CQ$17))*(1+P_dPrecio)</f>
        <v>0</v>
      </c>
      <c r="CR66" s="48" t="n">
        <f aca="false">CR$41*INDEX(Precio_O,21)*INDEX(IdxPrecio_O,1,MIN(10,CR$17))*(1+P_dPrecio)</f>
        <v>0</v>
      </c>
      <c r="CS66" s="48" t="n">
        <f aca="false">CS$41*INDEX(Precio_O,21)*INDEX(IdxPrecio_O,1,MIN(10,CS$17))*(1+P_dPrecio)</f>
        <v>0</v>
      </c>
      <c r="CT66" s="48" t="n">
        <f aca="false">CT$41*INDEX(Precio_O,21)*INDEX(IdxPrecio_O,1,MIN(10,CT$17))*(1+P_dPrecio)</f>
        <v>0</v>
      </c>
      <c r="CU66" s="48" t="n">
        <f aca="false">CU$41*INDEX(Precio_O,21)*INDEX(IdxPrecio_O,1,MIN(10,CU$17))*(1+P_dPrecio)</f>
        <v>0</v>
      </c>
      <c r="CV66" s="48" t="n">
        <f aca="false">CV$41*INDEX(Precio_O,21)*INDEX(IdxPrecio_O,1,MIN(10,CV$17))*(1+P_dPrecio)</f>
        <v>0</v>
      </c>
      <c r="CW66" s="48" t="n">
        <f aca="false">CW$41*INDEX(Precio_O,21)*INDEX(IdxPrecio_O,1,MIN(10,CW$17))*(1+P_dPrecio)</f>
        <v>0</v>
      </c>
      <c r="CX66" s="48" t="n">
        <f aca="false">CX$41*INDEX(Precio_O,21)*INDEX(IdxPrecio_O,1,MIN(10,CX$17))*(1+P_dPrecio)</f>
        <v>0</v>
      </c>
      <c r="CY66" s="48" t="n">
        <f aca="false">CY$41*INDEX(Precio_O,21)*INDEX(IdxPrecio_O,1,MIN(10,CY$17))*(1+P_dPrecio)</f>
        <v>0</v>
      </c>
      <c r="CZ66" s="48" t="n">
        <f aca="false">CZ$41*INDEX(Precio_O,21)*INDEX(IdxPrecio_O,1,MIN(10,CZ$17))*(1+P_dPrecio)</f>
        <v>0</v>
      </c>
      <c r="DA66" s="48" t="n">
        <f aca="false">DA$41*INDEX(Precio_O,21)*INDEX(IdxPrecio_O,1,MIN(10,DA$17))*(1+P_dPrecio)</f>
        <v>0</v>
      </c>
      <c r="DB66" s="48" t="n">
        <f aca="false">DB$41*INDEX(Precio_O,21)*INDEX(IdxPrecio_O,1,MIN(10,DB$17))*(1+P_dPrecio)</f>
        <v>0</v>
      </c>
      <c r="DC66" s="48" t="n">
        <f aca="false">DC$41*INDEX(Precio_O,21)*INDEX(IdxPrecio_O,1,MIN(10,DC$17))*(1+P_dPrecio)</f>
        <v>0</v>
      </c>
      <c r="DD66" s="48" t="n">
        <f aca="false">DD$41*INDEX(Precio_O,21)*INDEX(IdxPrecio_O,1,MIN(10,DD$17))*(1+P_dPrecio)</f>
        <v>0</v>
      </c>
      <c r="DE66" s="48" t="n">
        <f aca="false">DE$41*INDEX(Precio_O,21)*INDEX(IdxPrecio_O,1,MIN(10,DE$17))*(1+P_dPrecio)</f>
        <v>0</v>
      </c>
      <c r="DF66" s="48" t="n">
        <f aca="false">DF$41*INDEX(Precio_O,21)*INDEX(IdxPrecio_O,1,MIN(10,DF$17))*(1+P_dPrecio)</f>
        <v>0</v>
      </c>
      <c r="DG66" s="48" t="n">
        <f aca="false">DG$41*INDEX(Precio_O,21)*INDEX(IdxPrecio_O,1,MIN(10,DG$17))*(1+P_dPrecio)</f>
        <v>0</v>
      </c>
      <c r="DH66" s="48" t="n">
        <f aca="false">DH$41*INDEX(Precio_O,21)*INDEX(IdxPrecio_O,1,MIN(10,DH$17))*(1+P_dPrecio)</f>
        <v>0</v>
      </c>
      <c r="DI66" s="48" t="n">
        <f aca="false">DI$41*INDEX(Precio_O,21)*INDEX(IdxPrecio_O,1,MIN(10,DI$17))*(1+P_dPrecio)</f>
        <v>0</v>
      </c>
      <c r="DJ66" s="48" t="n">
        <f aca="false">DJ$41*INDEX(Precio_O,21)*INDEX(IdxPrecio_O,1,MIN(10,DJ$17))*(1+P_dPrecio)</f>
        <v>0</v>
      </c>
      <c r="DK66" s="48" t="n">
        <f aca="false">DK$41*INDEX(Precio_O,21)*INDEX(IdxPrecio_O,1,MIN(10,DK$17))*(1+P_dPrecio)</f>
        <v>0</v>
      </c>
      <c r="DL66" s="48" t="n">
        <f aca="false">DL$41*INDEX(Precio_O,21)*INDEX(IdxPrecio_O,1,MIN(10,DL$17))*(1+P_dPrecio)</f>
        <v>0</v>
      </c>
      <c r="DM66" s="48" t="n">
        <f aca="false">DM$41*INDEX(Precio_O,21)*INDEX(IdxPrecio_O,1,MIN(10,DM$17))*(1+P_dPrecio)</f>
        <v>0</v>
      </c>
      <c r="DN66" s="48" t="n">
        <f aca="false">DN$41*INDEX(Precio_O,21)*INDEX(IdxPrecio_O,1,MIN(10,DN$17))*(1+P_dPrecio)</f>
        <v>0</v>
      </c>
      <c r="DO66" s="48" t="n">
        <f aca="false">DO$41*INDEX(Precio_O,21)*INDEX(IdxPrecio_O,1,MIN(10,DO$17))*(1+P_dPrecio)</f>
        <v>0</v>
      </c>
      <c r="DP66" s="48" t="n">
        <f aca="false">DP$41*INDEX(Precio_O,21)*INDEX(IdxPrecio_O,1,MIN(10,DP$17))*(1+P_dPrecio)</f>
        <v>0</v>
      </c>
      <c r="DQ66" s="48" t="n">
        <f aca="false">DQ$41*INDEX(Precio_O,21)*INDEX(IdxPrecio_O,1,MIN(10,DQ$17))*(1+P_dPrecio)</f>
        <v>0</v>
      </c>
      <c r="DR66" s="48" t="n">
        <f aca="false">DR$41*INDEX(Precio_O,21)*INDEX(IdxPrecio_O,1,MIN(10,DR$17))*(1+P_dPrecio)</f>
        <v>0</v>
      </c>
      <c r="DS66" s="48" t="n">
        <f aca="false">DS$41*INDEX(Precio_O,21)*INDEX(IdxPrecio_O,1,MIN(10,DS$17))*(1+P_dPrecio)</f>
        <v>0</v>
      </c>
      <c r="DT66" s="48" t="n">
        <f aca="false">DT$41*INDEX(Precio_O,21)*INDEX(IdxPrecio_O,1,MIN(10,DT$17))*(1+P_dPrecio)</f>
        <v>0</v>
      </c>
      <c r="DU66" s="48" t="n">
        <f aca="false">DU$41*INDEX(Precio_O,21)*INDEX(IdxPrecio_O,1,MIN(10,DU$17))*(1+P_dPrecio)</f>
        <v>0</v>
      </c>
      <c r="DV66" s="48" t="n">
        <f aca="false">DV$41*INDEX(Precio_O,21)*INDEX(IdxPrecio_O,1,MIN(10,DV$17))*(1+P_dPrecio)</f>
        <v>0</v>
      </c>
      <c r="DW66" s="48" t="n">
        <f aca="false">DW$41*INDEX(Precio_O,21)*INDEX(IdxPrecio_O,1,MIN(10,DW$17))*(1+P_dPrecio)</f>
        <v>0</v>
      </c>
      <c r="DX66" s="48" t="n">
        <f aca="false">DX$41*INDEX(Precio_O,21)*INDEX(IdxPrecio_O,1,MIN(10,DX$17))*(1+P_dPrecio)</f>
        <v>0</v>
      </c>
      <c r="DY66" s="48" t="n">
        <f aca="false">DY$41*INDEX(Precio_O,21)*INDEX(IdxPrecio_O,1,MIN(10,DY$17))*(1+P_dPrecio)</f>
        <v>0</v>
      </c>
      <c r="DZ66" s="48" t="n">
        <f aca="false">DZ$41*INDEX(Precio_O,21)*INDEX(IdxPrecio_O,1,MIN(10,DZ$17))*(1+P_dPrecio)</f>
        <v>0</v>
      </c>
      <c r="EA66" s="48" t="n">
        <f aca="false">EA$41*INDEX(Precio_O,21)*INDEX(IdxPrecio_O,1,MIN(10,EA$17))*(1+P_dPrecio)</f>
        <v>0</v>
      </c>
      <c r="EB66" s="48" t="n">
        <f aca="false">EB$41*INDEX(Precio_O,21)*INDEX(IdxPrecio_O,1,MIN(10,EB$17))*(1+P_dPrecio)</f>
        <v>0</v>
      </c>
      <c r="EC66" s="48" t="n">
        <f aca="false">EC$41*INDEX(Precio_O,21)*INDEX(IdxPrecio_O,1,MIN(10,EC$17))*(1+P_dPrecio)</f>
        <v>0</v>
      </c>
      <c r="ED66" s="48" t="n">
        <f aca="false">ED$41*INDEX(Precio_O,21)*INDEX(IdxPrecio_O,1,MIN(10,ED$17))*(1+P_dPrecio)</f>
        <v>0</v>
      </c>
      <c r="EE66" s="48" t="n">
        <f aca="false">EE$41*INDEX(Precio_O,21)*INDEX(IdxPrecio_O,1,MIN(10,EE$17))*(1+P_dPrecio)</f>
        <v>0</v>
      </c>
      <c r="EF66" s="48" t="n">
        <f aca="false">EF$41*INDEX(Precio_O,21)*INDEX(IdxPrecio_O,1,MIN(10,EF$17))*(1+P_dPrecio)</f>
        <v>0</v>
      </c>
      <c r="EG66" s="48" t="n">
        <f aca="false">EG$41*INDEX(Precio_O,21)*INDEX(IdxPrecio_O,1,MIN(10,EG$17))*(1+P_dPrecio)</f>
        <v>0</v>
      </c>
      <c r="EH66" s="48" t="n">
        <f aca="false">EH$41*INDEX(Precio_O,21)*INDEX(IdxPrecio_O,1,MIN(10,EH$17))*(1+P_dPrecio)</f>
        <v>0</v>
      </c>
      <c r="EI66" s="48" t="n">
        <f aca="false">EI$41*INDEX(Precio_O,21)*INDEX(IdxPrecio_O,1,MIN(10,EI$17))*(1+P_dPrecio)</f>
        <v>0</v>
      </c>
      <c r="EJ66" s="48" t="n">
        <f aca="false">EJ$41*INDEX(Precio_O,21)*INDEX(IdxPrecio_O,1,MIN(10,EJ$17))*(1+P_dPrecio)</f>
        <v>0</v>
      </c>
      <c r="EK66" s="48" t="n">
        <f aca="false">EK$41*INDEX(Precio_O,21)*INDEX(IdxPrecio_O,1,MIN(10,EK$17))*(1+P_dPrecio)</f>
        <v>0</v>
      </c>
      <c r="EL66" s="48" t="n">
        <f aca="false">EL$41*INDEX(Precio_O,21)*INDEX(IdxPrecio_O,1,MIN(10,EL$17))*(1+P_dPrecio)</f>
        <v>0</v>
      </c>
      <c r="EM66" s="48" t="n">
        <f aca="false">EM$41*INDEX(Precio_O,21)*INDEX(IdxPrecio_O,1,MIN(10,EM$17))*(1+P_dPrecio)</f>
        <v>0</v>
      </c>
      <c r="EN66" s="48" t="n">
        <f aca="false">EN$41*INDEX(Precio_O,21)*INDEX(IdxPrecio_O,1,MIN(10,EN$17))*(1+P_dPrecio)</f>
        <v>0</v>
      </c>
      <c r="EO66" s="48" t="n">
        <f aca="false">EO$41*INDEX(Precio_O,21)*INDEX(IdxPrecio_O,1,MIN(10,EO$17))*(1+P_dPrecio)</f>
        <v>0</v>
      </c>
      <c r="EP66" s="48" t="n">
        <f aca="false">EP$41*INDEX(Precio_O,21)*INDEX(IdxPrecio_O,1,MIN(10,EP$17))*(1+P_dPrecio)</f>
        <v>0</v>
      </c>
      <c r="EQ66" s="48" t="n">
        <f aca="false">EQ$41*INDEX(Precio_O,21)*INDEX(IdxPrecio_O,1,MIN(10,EQ$17))*(1+P_dPrecio)</f>
        <v>0</v>
      </c>
      <c r="ER66" s="48" t="n">
        <f aca="false">ER$41*INDEX(Precio_O,21)*INDEX(IdxPrecio_O,1,MIN(10,ER$17))*(1+P_dPrecio)</f>
        <v>0</v>
      </c>
      <c r="ES66" s="48" t="n">
        <f aca="false">ES$41*INDEX(Precio_O,21)*INDEX(IdxPrecio_O,1,MIN(10,ES$17))*(1+P_dPrecio)</f>
        <v>0</v>
      </c>
    </row>
    <row r="67" customFormat="false" ht="15" hidden="false" customHeight="false" outlineLevel="0" collapsed="false">
      <c r="A67" s="11" t="s">
        <v>1112</v>
      </c>
      <c r="B67" s="53" t="str">
        <f aca="false">IF(INDEX(Prod_Nombre,22)="","Producto 22",INDEX(Prod_Nombre,22))&amp;" — ventas USD"</f>
        <v>Producto 22 — ventas USD</v>
      </c>
      <c r="C67" s="15" t="s">
        <v>508</v>
      </c>
      <c r="E67" s="54" t="n">
        <f aca="false">SUM(F67:ES67)</f>
        <v>0</v>
      </c>
      <c r="F67" s="48" t="n">
        <f aca="false">F$42*INDEX(Precio_O,22)*INDEX(IdxPrecio_O,1,MIN(10,F$17))*(1+P_dPrecio)</f>
        <v>0</v>
      </c>
      <c r="G67" s="48" t="n">
        <f aca="false">G$42*INDEX(Precio_O,22)*INDEX(IdxPrecio_O,1,MIN(10,G$17))*(1+P_dPrecio)</f>
        <v>0</v>
      </c>
      <c r="H67" s="48" t="n">
        <f aca="false">H$42*INDEX(Precio_O,22)*INDEX(IdxPrecio_O,1,MIN(10,H$17))*(1+P_dPrecio)</f>
        <v>0</v>
      </c>
      <c r="I67" s="48" t="n">
        <f aca="false">I$42*INDEX(Precio_O,22)*INDEX(IdxPrecio_O,1,MIN(10,I$17))*(1+P_dPrecio)</f>
        <v>0</v>
      </c>
      <c r="J67" s="48" t="n">
        <f aca="false">J$42*INDEX(Precio_O,22)*INDEX(IdxPrecio_O,1,MIN(10,J$17))*(1+P_dPrecio)</f>
        <v>0</v>
      </c>
      <c r="K67" s="48" t="n">
        <f aca="false">K$42*INDEX(Precio_O,22)*INDEX(IdxPrecio_O,1,MIN(10,K$17))*(1+P_dPrecio)</f>
        <v>0</v>
      </c>
      <c r="L67" s="48" t="n">
        <f aca="false">L$42*INDEX(Precio_O,22)*INDEX(IdxPrecio_O,1,MIN(10,L$17))*(1+P_dPrecio)</f>
        <v>0</v>
      </c>
      <c r="M67" s="48" t="n">
        <f aca="false">M$42*INDEX(Precio_O,22)*INDEX(IdxPrecio_O,1,MIN(10,M$17))*(1+P_dPrecio)</f>
        <v>0</v>
      </c>
      <c r="N67" s="48" t="n">
        <f aca="false">N$42*INDEX(Precio_O,22)*INDEX(IdxPrecio_O,1,MIN(10,N$17))*(1+P_dPrecio)</f>
        <v>0</v>
      </c>
      <c r="O67" s="48" t="n">
        <f aca="false">O$42*INDEX(Precio_O,22)*INDEX(IdxPrecio_O,1,MIN(10,O$17))*(1+P_dPrecio)</f>
        <v>0</v>
      </c>
      <c r="P67" s="48" t="n">
        <f aca="false">P$42*INDEX(Precio_O,22)*INDEX(IdxPrecio_O,1,MIN(10,P$17))*(1+P_dPrecio)</f>
        <v>0</v>
      </c>
      <c r="Q67" s="48" t="n">
        <f aca="false">Q$42*INDEX(Precio_O,22)*INDEX(IdxPrecio_O,1,MIN(10,Q$17))*(1+P_dPrecio)</f>
        <v>0</v>
      </c>
      <c r="R67" s="48" t="n">
        <f aca="false">R$42*INDEX(Precio_O,22)*INDEX(IdxPrecio_O,1,MIN(10,R$17))*(1+P_dPrecio)</f>
        <v>0</v>
      </c>
      <c r="S67" s="48" t="n">
        <f aca="false">S$42*INDEX(Precio_O,22)*INDEX(IdxPrecio_O,1,MIN(10,S$17))*(1+P_dPrecio)</f>
        <v>0</v>
      </c>
      <c r="T67" s="48" t="n">
        <f aca="false">T$42*INDEX(Precio_O,22)*INDEX(IdxPrecio_O,1,MIN(10,T$17))*(1+P_dPrecio)</f>
        <v>0</v>
      </c>
      <c r="U67" s="48" t="n">
        <f aca="false">U$42*INDEX(Precio_O,22)*INDEX(IdxPrecio_O,1,MIN(10,U$17))*(1+P_dPrecio)</f>
        <v>0</v>
      </c>
      <c r="V67" s="48" t="n">
        <f aca="false">V$42*INDEX(Precio_O,22)*INDEX(IdxPrecio_O,1,MIN(10,V$17))*(1+P_dPrecio)</f>
        <v>0</v>
      </c>
      <c r="W67" s="48" t="n">
        <f aca="false">W$42*INDEX(Precio_O,22)*INDEX(IdxPrecio_O,1,MIN(10,W$17))*(1+P_dPrecio)</f>
        <v>0</v>
      </c>
      <c r="X67" s="48" t="n">
        <f aca="false">X$42*INDEX(Precio_O,22)*INDEX(IdxPrecio_O,1,MIN(10,X$17))*(1+P_dPrecio)</f>
        <v>0</v>
      </c>
      <c r="Y67" s="48" t="n">
        <f aca="false">Y$42*INDEX(Precio_O,22)*INDEX(IdxPrecio_O,1,MIN(10,Y$17))*(1+P_dPrecio)</f>
        <v>0</v>
      </c>
      <c r="Z67" s="48" t="n">
        <f aca="false">Z$42*INDEX(Precio_O,22)*INDEX(IdxPrecio_O,1,MIN(10,Z$17))*(1+P_dPrecio)</f>
        <v>0</v>
      </c>
      <c r="AA67" s="48" t="n">
        <f aca="false">AA$42*INDEX(Precio_O,22)*INDEX(IdxPrecio_O,1,MIN(10,AA$17))*(1+P_dPrecio)</f>
        <v>0</v>
      </c>
      <c r="AB67" s="48" t="n">
        <f aca="false">AB$42*INDEX(Precio_O,22)*INDEX(IdxPrecio_O,1,MIN(10,AB$17))*(1+P_dPrecio)</f>
        <v>0</v>
      </c>
      <c r="AC67" s="48" t="n">
        <f aca="false">AC$42*INDEX(Precio_O,22)*INDEX(IdxPrecio_O,1,MIN(10,AC$17))*(1+P_dPrecio)</f>
        <v>0</v>
      </c>
      <c r="AD67" s="48" t="n">
        <f aca="false">AD$42*INDEX(Precio_O,22)*INDEX(IdxPrecio_O,1,MIN(10,AD$17))*(1+P_dPrecio)</f>
        <v>0</v>
      </c>
      <c r="AE67" s="48" t="n">
        <f aca="false">AE$42*INDEX(Precio_O,22)*INDEX(IdxPrecio_O,1,MIN(10,AE$17))*(1+P_dPrecio)</f>
        <v>0</v>
      </c>
      <c r="AF67" s="48" t="n">
        <f aca="false">AF$42*INDEX(Precio_O,22)*INDEX(IdxPrecio_O,1,MIN(10,AF$17))*(1+P_dPrecio)</f>
        <v>0</v>
      </c>
      <c r="AG67" s="48" t="n">
        <f aca="false">AG$42*INDEX(Precio_O,22)*INDEX(IdxPrecio_O,1,MIN(10,AG$17))*(1+P_dPrecio)</f>
        <v>0</v>
      </c>
      <c r="AH67" s="48" t="n">
        <f aca="false">AH$42*INDEX(Precio_O,22)*INDEX(IdxPrecio_O,1,MIN(10,AH$17))*(1+P_dPrecio)</f>
        <v>0</v>
      </c>
      <c r="AI67" s="48" t="n">
        <f aca="false">AI$42*INDEX(Precio_O,22)*INDEX(IdxPrecio_O,1,MIN(10,AI$17))*(1+P_dPrecio)</f>
        <v>0</v>
      </c>
      <c r="AJ67" s="48" t="n">
        <f aca="false">AJ$42*INDEX(Precio_O,22)*INDEX(IdxPrecio_O,1,MIN(10,AJ$17))*(1+P_dPrecio)</f>
        <v>0</v>
      </c>
      <c r="AK67" s="48" t="n">
        <f aca="false">AK$42*INDEX(Precio_O,22)*INDEX(IdxPrecio_O,1,MIN(10,AK$17))*(1+P_dPrecio)</f>
        <v>0</v>
      </c>
      <c r="AL67" s="48" t="n">
        <f aca="false">AL$42*INDEX(Precio_O,22)*INDEX(IdxPrecio_O,1,MIN(10,AL$17))*(1+P_dPrecio)</f>
        <v>0</v>
      </c>
      <c r="AM67" s="48" t="n">
        <f aca="false">AM$42*INDEX(Precio_O,22)*INDEX(IdxPrecio_O,1,MIN(10,AM$17))*(1+P_dPrecio)</f>
        <v>0</v>
      </c>
      <c r="AN67" s="48" t="n">
        <f aca="false">AN$42*INDEX(Precio_O,22)*INDEX(IdxPrecio_O,1,MIN(10,AN$17))*(1+P_dPrecio)</f>
        <v>0</v>
      </c>
      <c r="AO67" s="48" t="n">
        <f aca="false">AO$42*INDEX(Precio_O,22)*INDEX(IdxPrecio_O,1,MIN(10,AO$17))*(1+P_dPrecio)</f>
        <v>0</v>
      </c>
      <c r="AP67" s="48" t="n">
        <f aca="false">AP$42*INDEX(Precio_O,22)*INDEX(IdxPrecio_O,1,MIN(10,AP$17))*(1+P_dPrecio)</f>
        <v>0</v>
      </c>
      <c r="AQ67" s="48" t="n">
        <f aca="false">AQ$42*INDEX(Precio_O,22)*INDEX(IdxPrecio_O,1,MIN(10,AQ$17))*(1+P_dPrecio)</f>
        <v>0</v>
      </c>
      <c r="AR67" s="48" t="n">
        <f aca="false">AR$42*INDEX(Precio_O,22)*INDEX(IdxPrecio_O,1,MIN(10,AR$17))*(1+P_dPrecio)</f>
        <v>0</v>
      </c>
      <c r="AS67" s="48" t="n">
        <f aca="false">AS$42*INDEX(Precio_O,22)*INDEX(IdxPrecio_O,1,MIN(10,AS$17))*(1+P_dPrecio)</f>
        <v>0</v>
      </c>
      <c r="AT67" s="48" t="n">
        <f aca="false">AT$42*INDEX(Precio_O,22)*INDEX(IdxPrecio_O,1,MIN(10,AT$17))*(1+P_dPrecio)</f>
        <v>0</v>
      </c>
      <c r="AU67" s="48" t="n">
        <f aca="false">AU$42*INDEX(Precio_O,22)*INDEX(IdxPrecio_O,1,MIN(10,AU$17))*(1+P_dPrecio)</f>
        <v>0</v>
      </c>
      <c r="AV67" s="48" t="n">
        <f aca="false">AV$42*INDEX(Precio_O,22)*INDEX(IdxPrecio_O,1,MIN(10,AV$17))*(1+P_dPrecio)</f>
        <v>0</v>
      </c>
      <c r="AW67" s="48" t="n">
        <f aca="false">AW$42*INDEX(Precio_O,22)*INDEX(IdxPrecio_O,1,MIN(10,AW$17))*(1+P_dPrecio)</f>
        <v>0</v>
      </c>
      <c r="AX67" s="48" t="n">
        <f aca="false">AX$42*INDEX(Precio_O,22)*INDEX(IdxPrecio_O,1,MIN(10,AX$17))*(1+P_dPrecio)</f>
        <v>0</v>
      </c>
      <c r="AY67" s="48" t="n">
        <f aca="false">AY$42*INDEX(Precio_O,22)*INDEX(IdxPrecio_O,1,MIN(10,AY$17))*(1+P_dPrecio)</f>
        <v>0</v>
      </c>
      <c r="AZ67" s="48" t="n">
        <f aca="false">AZ$42*INDEX(Precio_O,22)*INDEX(IdxPrecio_O,1,MIN(10,AZ$17))*(1+P_dPrecio)</f>
        <v>0</v>
      </c>
      <c r="BA67" s="48" t="n">
        <f aca="false">BA$42*INDEX(Precio_O,22)*INDEX(IdxPrecio_O,1,MIN(10,BA$17))*(1+P_dPrecio)</f>
        <v>0</v>
      </c>
      <c r="BB67" s="48" t="n">
        <f aca="false">BB$42*INDEX(Precio_O,22)*INDEX(IdxPrecio_O,1,MIN(10,BB$17))*(1+P_dPrecio)</f>
        <v>0</v>
      </c>
      <c r="BC67" s="48" t="n">
        <f aca="false">BC$42*INDEX(Precio_O,22)*INDEX(IdxPrecio_O,1,MIN(10,BC$17))*(1+P_dPrecio)</f>
        <v>0</v>
      </c>
      <c r="BD67" s="48" t="n">
        <f aca="false">BD$42*INDEX(Precio_O,22)*INDEX(IdxPrecio_O,1,MIN(10,BD$17))*(1+P_dPrecio)</f>
        <v>0</v>
      </c>
      <c r="BE67" s="48" t="n">
        <f aca="false">BE$42*INDEX(Precio_O,22)*INDEX(IdxPrecio_O,1,MIN(10,BE$17))*(1+P_dPrecio)</f>
        <v>0</v>
      </c>
      <c r="BF67" s="48" t="n">
        <f aca="false">BF$42*INDEX(Precio_O,22)*INDEX(IdxPrecio_O,1,MIN(10,BF$17))*(1+P_dPrecio)</f>
        <v>0</v>
      </c>
      <c r="BG67" s="48" t="n">
        <f aca="false">BG$42*INDEX(Precio_O,22)*INDEX(IdxPrecio_O,1,MIN(10,BG$17))*(1+P_dPrecio)</f>
        <v>0</v>
      </c>
      <c r="BH67" s="48" t="n">
        <f aca="false">BH$42*INDEX(Precio_O,22)*INDEX(IdxPrecio_O,1,MIN(10,BH$17))*(1+P_dPrecio)</f>
        <v>0</v>
      </c>
      <c r="BI67" s="48" t="n">
        <f aca="false">BI$42*INDEX(Precio_O,22)*INDEX(IdxPrecio_O,1,MIN(10,BI$17))*(1+P_dPrecio)</f>
        <v>0</v>
      </c>
      <c r="BJ67" s="48" t="n">
        <f aca="false">BJ$42*INDEX(Precio_O,22)*INDEX(IdxPrecio_O,1,MIN(10,BJ$17))*(1+P_dPrecio)</f>
        <v>0</v>
      </c>
      <c r="BK67" s="48" t="n">
        <f aca="false">BK$42*INDEX(Precio_O,22)*INDEX(IdxPrecio_O,1,MIN(10,BK$17))*(1+P_dPrecio)</f>
        <v>0</v>
      </c>
      <c r="BL67" s="48" t="n">
        <f aca="false">BL$42*INDEX(Precio_O,22)*INDEX(IdxPrecio_O,1,MIN(10,BL$17))*(1+P_dPrecio)</f>
        <v>0</v>
      </c>
      <c r="BM67" s="48" t="n">
        <f aca="false">BM$42*INDEX(Precio_O,22)*INDEX(IdxPrecio_O,1,MIN(10,BM$17))*(1+P_dPrecio)</f>
        <v>0</v>
      </c>
      <c r="BN67" s="48" t="n">
        <f aca="false">BN$42*INDEX(Precio_O,22)*INDEX(IdxPrecio_O,1,MIN(10,BN$17))*(1+P_dPrecio)</f>
        <v>0</v>
      </c>
      <c r="BO67" s="48" t="n">
        <f aca="false">BO$42*INDEX(Precio_O,22)*INDEX(IdxPrecio_O,1,MIN(10,BO$17))*(1+P_dPrecio)</f>
        <v>0</v>
      </c>
      <c r="BP67" s="48" t="n">
        <f aca="false">BP$42*INDEX(Precio_O,22)*INDEX(IdxPrecio_O,1,MIN(10,BP$17))*(1+P_dPrecio)</f>
        <v>0</v>
      </c>
      <c r="BQ67" s="48" t="n">
        <f aca="false">BQ$42*INDEX(Precio_O,22)*INDEX(IdxPrecio_O,1,MIN(10,BQ$17))*(1+P_dPrecio)</f>
        <v>0</v>
      </c>
      <c r="BR67" s="48" t="n">
        <f aca="false">BR$42*INDEX(Precio_O,22)*INDEX(IdxPrecio_O,1,MIN(10,BR$17))*(1+P_dPrecio)</f>
        <v>0</v>
      </c>
      <c r="BS67" s="48" t="n">
        <f aca="false">BS$42*INDEX(Precio_O,22)*INDEX(IdxPrecio_O,1,MIN(10,BS$17))*(1+P_dPrecio)</f>
        <v>0</v>
      </c>
      <c r="BT67" s="48" t="n">
        <f aca="false">BT$42*INDEX(Precio_O,22)*INDEX(IdxPrecio_O,1,MIN(10,BT$17))*(1+P_dPrecio)</f>
        <v>0</v>
      </c>
      <c r="BU67" s="48" t="n">
        <f aca="false">BU$42*INDEX(Precio_O,22)*INDEX(IdxPrecio_O,1,MIN(10,BU$17))*(1+P_dPrecio)</f>
        <v>0</v>
      </c>
      <c r="BV67" s="48" t="n">
        <f aca="false">BV$42*INDEX(Precio_O,22)*INDEX(IdxPrecio_O,1,MIN(10,BV$17))*(1+P_dPrecio)</f>
        <v>0</v>
      </c>
      <c r="BW67" s="48" t="n">
        <f aca="false">BW$42*INDEX(Precio_O,22)*INDEX(IdxPrecio_O,1,MIN(10,BW$17))*(1+P_dPrecio)</f>
        <v>0</v>
      </c>
      <c r="BX67" s="48" t="n">
        <f aca="false">BX$42*INDEX(Precio_O,22)*INDEX(IdxPrecio_O,1,MIN(10,BX$17))*(1+P_dPrecio)</f>
        <v>0</v>
      </c>
      <c r="BY67" s="48" t="n">
        <f aca="false">BY$42*INDEX(Precio_O,22)*INDEX(IdxPrecio_O,1,MIN(10,BY$17))*(1+P_dPrecio)</f>
        <v>0</v>
      </c>
      <c r="BZ67" s="48" t="n">
        <f aca="false">BZ$42*INDEX(Precio_O,22)*INDEX(IdxPrecio_O,1,MIN(10,BZ$17))*(1+P_dPrecio)</f>
        <v>0</v>
      </c>
      <c r="CA67" s="48" t="n">
        <f aca="false">CA$42*INDEX(Precio_O,22)*INDEX(IdxPrecio_O,1,MIN(10,CA$17))*(1+P_dPrecio)</f>
        <v>0</v>
      </c>
      <c r="CB67" s="48" t="n">
        <f aca="false">CB$42*INDEX(Precio_O,22)*INDEX(IdxPrecio_O,1,MIN(10,CB$17))*(1+P_dPrecio)</f>
        <v>0</v>
      </c>
      <c r="CC67" s="48" t="n">
        <f aca="false">CC$42*INDEX(Precio_O,22)*INDEX(IdxPrecio_O,1,MIN(10,CC$17))*(1+P_dPrecio)</f>
        <v>0</v>
      </c>
      <c r="CD67" s="48" t="n">
        <f aca="false">CD$42*INDEX(Precio_O,22)*INDEX(IdxPrecio_O,1,MIN(10,CD$17))*(1+P_dPrecio)</f>
        <v>0</v>
      </c>
      <c r="CE67" s="48" t="n">
        <f aca="false">CE$42*INDEX(Precio_O,22)*INDEX(IdxPrecio_O,1,MIN(10,CE$17))*(1+P_dPrecio)</f>
        <v>0</v>
      </c>
      <c r="CF67" s="48" t="n">
        <f aca="false">CF$42*INDEX(Precio_O,22)*INDEX(IdxPrecio_O,1,MIN(10,CF$17))*(1+P_dPrecio)</f>
        <v>0</v>
      </c>
      <c r="CG67" s="48" t="n">
        <f aca="false">CG$42*INDEX(Precio_O,22)*INDEX(IdxPrecio_O,1,MIN(10,CG$17))*(1+P_dPrecio)</f>
        <v>0</v>
      </c>
      <c r="CH67" s="48" t="n">
        <f aca="false">CH$42*INDEX(Precio_O,22)*INDEX(IdxPrecio_O,1,MIN(10,CH$17))*(1+P_dPrecio)</f>
        <v>0</v>
      </c>
      <c r="CI67" s="48" t="n">
        <f aca="false">CI$42*INDEX(Precio_O,22)*INDEX(IdxPrecio_O,1,MIN(10,CI$17))*(1+P_dPrecio)</f>
        <v>0</v>
      </c>
      <c r="CJ67" s="48" t="n">
        <f aca="false">CJ$42*INDEX(Precio_O,22)*INDEX(IdxPrecio_O,1,MIN(10,CJ$17))*(1+P_dPrecio)</f>
        <v>0</v>
      </c>
      <c r="CK67" s="48" t="n">
        <f aca="false">CK$42*INDEX(Precio_O,22)*INDEX(IdxPrecio_O,1,MIN(10,CK$17))*(1+P_dPrecio)</f>
        <v>0</v>
      </c>
      <c r="CL67" s="48" t="n">
        <f aca="false">CL$42*INDEX(Precio_O,22)*INDEX(IdxPrecio_O,1,MIN(10,CL$17))*(1+P_dPrecio)</f>
        <v>0</v>
      </c>
      <c r="CM67" s="48" t="n">
        <f aca="false">CM$42*INDEX(Precio_O,22)*INDEX(IdxPrecio_O,1,MIN(10,CM$17))*(1+P_dPrecio)</f>
        <v>0</v>
      </c>
      <c r="CN67" s="48" t="n">
        <f aca="false">CN$42*INDEX(Precio_O,22)*INDEX(IdxPrecio_O,1,MIN(10,CN$17))*(1+P_dPrecio)</f>
        <v>0</v>
      </c>
      <c r="CO67" s="48" t="n">
        <f aca="false">CO$42*INDEX(Precio_O,22)*INDEX(IdxPrecio_O,1,MIN(10,CO$17))*(1+P_dPrecio)</f>
        <v>0</v>
      </c>
      <c r="CP67" s="48" t="n">
        <f aca="false">CP$42*INDEX(Precio_O,22)*INDEX(IdxPrecio_O,1,MIN(10,CP$17))*(1+P_dPrecio)</f>
        <v>0</v>
      </c>
      <c r="CQ67" s="48" t="n">
        <f aca="false">CQ$42*INDEX(Precio_O,22)*INDEX(IdxPrecio_O,1,MIN(10,CQ$17))*(1+P_dPrecio)</f>
        <v>0</v>
      </c>
      <c r="CR67" s="48" t="n">
        <f aca="false">CR$42*INDEX(Precio_O,22)*INDEX(IdxPrecio_O,1,MIN(10,CR$17))*(1+P_dPrecio)</f>
        <v>0</v>
      </c>
      <c r="CS67" s="48" t="n">
        <f aca="false">CS$42*INDEX(Precio_O,22)*INDEX(IdxPrecio_O,1,MIN(10,CS$17))*(1+P_dPrecio)</f>
        <v>0</v>
      </c>
      <c r="CT67" s="48" t="n">
        <f aca="false">CT$42*INDEX(Precio_O,22)*INDEX(IdxPrecio_O,1,MIN(10,CT$17))*(1+P_dPrecio)</f>
        <v>0</v>
      </c>
      <c r="CU67" s="48" t="n">
        <f aca="false">CU$42*INDEX(Precio_O,22)*INDEX(IdxPrecio_O,1,MIN(10,CU$17))*(1+P_dPrecio)</f>
        <v>0</v>
      </c>
      <c r="CV67" s="48" t="n">
        <f aca="false">CV$42*INDEX(Precio_O,22)*INDEX(IdxPrecio_O,1,MIN(10,CV$17))*(1+P_dPrecio)</f>
        <v>0</v>
      </c>
      <c r="CW67" s="48" t="n">
        <f aca="false">CW$42*INDEX(Precio_O,22)*INDEX(IdxPrecio_O,1,MIN(10,CW$17))*(1+P_dPrecio)</f>
        <v>0</v>
      </c>
      <c r="CX67" s="48" t="n">
        <f aca="false">CX$42*INDEX(Precio_O,22)*INDEX(IdxPrecio_O,1,MIN(10,CX$17))*(1+P_dPrecio)</f>
        <v>0</v>
      </c>
      <c r="CY67" s="48" t="n">
        <f aca="false">CY$42*INDEX(Precio_O,22)*INDEX(IdxPrecio_O,1,MIN(10,CY$17))*(1+P_dPrecio)</f>
        <v>0</v>
      </c>
      <c r="CZ67" s="48" t="n">
        <f aca="false">CZ$42*INDEX(Precio_O,22)*INDEX(IdxPrecio_O,1,MIN(10,CZ$17))*(1+P_dPrecio)</f>
        <v>0</v>
      </c>
      <c r="DA67" s="48" t="n">
        <f aca="false">DA$42*INDEX(Precio_O,22)*INDEX(IdxPrecio_O,1,MIN(10,DA$17))*(1+P_dPrecio)</f>
        <v>0</v>
      </c>
      <c r="DB67" s="48" t="n">
        <f aca="false">DB$42*INDEX(Precio_O,22)*INDEX(IdxPrecio_O,1,MIN(10,DB$17))*(1+P_dPrecio)</f>
        <v>0</v>
      </c>
      <c r="DC67" s="48" t="n">
        <f aca="false">DC$42*INDEX(Precio_O,22)*INDEX(IdxPrecio_O,1,MIN(10,DC$17))*(1+P_dPrecio)</f>
        <v>0</v>
      </c>
      <c r="DD67" s="48" t="n">
        <f aca="false">DD$42*INDEX(Precio_O,22)*INDEX(IdxPrecio_O,1,MIN(10,DD$17))*(1+P_dPrecio)</f>
        <v>0</v>
      </c>
      <c r="DE67" s="48" t="n">
        <f aca="false">DE$42*INDEX(Precio_O,22)*INDEX(IdxPrecio_O,1,MIN(10,DE$17))*(1+P_dPrecio)</f>
        <v>0</v>
      </c>
      <c r="DF67" s="48" t="n">
        <f aca="false">DF$42*INDEX(Precio_O,22)*INDEX(IdxPrecio_O,1,MIN(10,DF$17))*(1+P_dPrecio)</f>
        <v>0</v>
      </c>
      <c r="DG67" s="48" t="n">
        <f aca="false">DG$42*INDEX(Precio_O,22)*INDEX(IdxPrecio_O,1,MIN(10,DG$17))*(1+P_dPrecio)</f>
        <v>0</v>
      </c>
      <c r="DH67" s="48" t="n">
        <f aca="false">DH$42*INDEX(Precio_O,22)*INDEX(IdxPrecio_O,1,MIN(10,DH$17))*(1+P_dPrecio)</f>
        <v>0</v>
      </c>
      <c r="DI67" s="48" t="n">
        <f aca="false">DI$42*INDEX(Precio_O,22)*INDEX(IdxPrecio_O,1,MIN(10,DI$17))*(1+P_dPrecio)</f>
        <v>0</v>
      </c>
      <c r="DJ67" s="48" t="n">
        <f aca="false">DJ$42*INDEX(Precio_O,22)*INDEX(IdxPrecio_O,1,MIN(10,DJ$17))*(1+P_dPrecio)</f>
        <v>0</v>
      </c>
      <c r="DK67" s="48" t="n">
        <f aca="false">DK$42*INDEX(Precio_O,22)*INDEX(IdxPrecio_O,1,MIN(10,DK$17))*(1+P_dPrecio)</f>
        <v>0</v>
      </c>
      <c r="DL67" s="48" t="n">
        <f aca="false">DL$42*INDEX(Precio_O,22)*INDEX(IdxPrecio_O,1,MIN(10,DL$17))*(1+P_dPrecio)</f>
        <v>0</v>
      </c>
      <c r="DM67" s="48" t="n">
        <f aca="false">DM$42*INDEX(Precio_O,22)*INDEX(IdxPrecio_O,1,MIN(10,DM$17))*(1+P_dPrecio)</f>
        <v>0</v>
      </c>
      <c r="DN67" s="48" t="n">
        <f aca="false">DN$42*INDEX(Precio_O,22)*INDEX(IdxPrecio_O,1,MIN(10,DN$17))*(1+P_dPrecio)</f>
        <v>0</v>
      </c>
      <c r="DO67" s="48" t="n">
        <f aca="false">DO$42*INDEX(Precio_O,22)*INDEX(IdxPrecio_O,1,MIN(10,DO$17))*(1+P_dPrecio)</f>
        <v>0</v>
      </c>
      <c r="DP67" s="48" t="n">
        <f aca="false">DP$42*INDEX(Precio_O,22)*INDEX(IdxPrecio_O,1,MIN(10,DP$17))*(1+P_dPrecio)</f>
        <v>0</v>
      </c>
      <c r="DQ67" s="48" t="n">
        <f aca="false">DQ$42*INDEX(Precio_O,22)*INDEX(IdxPrecio_O,1,MIN(10,DQ$17))*(1+P_dPrecio)</f>
        <v>0</v>
      </c>
      <c r="DR67" s="48" t="n">
        <f aca="false">DR$42*INDEX(Precio_O,22)*INDEX(IdxPrecio_O,1,MIN(10,DR$17))*(1+P_dPrecio)</f>
        <v>0</v>
      </c>
      <c r="DS67" s="48" t="n">
        <f aca="false">DS$42*INDEX(Precio_O,22)*INDEX(IdxPrecio_O,1,MIN(10,DS$17))*(1+P_dPrecio)</f>
        <v>0</v>
      </c>
      <c r="DT67" s="48" t="n">
        <f aca="false">DT$42*INDEX(Precio_O,22)*INDEX(IdxPrecio_O,1,MIN(10,DT$17))*(1+P_dPrecio)</f>
        <v>0</v>
      </c>
      <c r="DU67" s="48" t="n">
        <f aca="false">DU$42*INDEX(Precio_O,22)*INDEX(IdxPrecio_O,1,MIN(10,DU$17))*(1+P_dPrecio)</f>
        <v>0</v>
      </c>
      <c r="DV67" s="48" t="n">
        <f aca="false">DV$42*INDEX(Precio_O,22)*INDEX(IdxPrecio_O,1,MIN(10,DV$17))*(1+P_dPrecio)</f>
        <v>0</v>
      </c>
      <c r="DW67" s="48" t="n">
        <f aca="false">DW$42*INDEX(Precio_O,22)*INDEX(IdxPrecio_O,1,MIN(10,DW$17))*(1+P_dPrecio)</f>
        <v>0</v>
      </c>
      <c r="DX67" s="48" t="n">
        <f aca="false">DX$42*INDEX(Precio_O,22)*INDEX(IdxPrecio_O,1,MIN(10,DX$17))*(1+P_dPrecio)</f>
        <v>0</v>
      </c>
      <c r="DY67" s="48" t="n">
        <f aca="false">DY$42*INDEX(Precio_O,22)*INDEX(IdxPrecio_O,1,MIN(10,DY$17))*(1+P_dPrecio)</f>
        <v>0</v>
      </c>
      <c r="DZ67" s="48" t="n">
        <f aca="false">DZ$42*INDEX(Precio_O,22)*INDEX(IdxPrecio_O,1,MIN(10,DZ$17))*(1+P_dPrecio)</f>
        <v>0</v>
      </c>
      <c r="EA67" s="48" t="n">
        <f aca="false">EA$42*INDEX(Precio_O,22)*INDEX(IdxPrecio_O,1,MIN(10,EA$17))*(1+P_dPrecio)</f>
        <v>0</v>
      </c>
      <c r="EB67" s="48" t="n">
        <f aca="false">EB$42*INDEX(Precio_O,22)*INDEX(IdxPrecio_O,1,MIN(10,EB$17))*(1+P_dPrecio)</f>
        <v>0</v>
      </c>
      <c r="EC67" s="48" t="n">
        <f aca="false">EC$42*INDEX(Precio_O,22)*INDEX(IdxPrecio_O,1,MIN(10,EC$17))*(1+P_dPrecio)</f>
        <v>0</v>
      </c>
      <c r="ED67" s="48" t="n">
        <f aca="false">ED$42*INDEX(Precio_O,22)*INDEX(IdxPrecio_O,1,MIN(10,ED$17))*(1+P_dPrecio)</f>
        <v>0</v>
      </c>
      <c r="EE67" s="48" t="n">
        <f aca="false">EE$42*INDEX(Precio_O,22)*INDEX(IdxPrecio_O,1,MIN(10,EE$17))*(1+P_dPrecio)</f>
        <v>0</v>
      </c>
      <c r="EF67" s="48" t="n">
        <f aca="false">EF$42*INDEX(Precio_O,22)*INDEX(IdxPrecio_O,1,MIN(10,EF$17))*(1+P_dPrecio)</f>
        <v>0</v>
      </c>
      <c r="EG67" s="48" t="n">
        <f aca="false">EG$42*INDEX(Precio_O,22)*INDEX(IdxPrecio_O,1,MIN(10,EG$17))*(1+P_dPrecio)</f>
        <v>0</v>
      </c>
      <c r="EH67" s="48" t="n">
        <f aca="false">EH$42*INDEX(Precio_O,22)*INDEX(IdxPrecio_O,1,MIN(10,EH$17))*(1+P_dPrecio)</f>
        <v>0</v>
      </c>
      <c r="EI67" s="48" t="n">
        <f aca="false">EI$42*INDEX(Precio_O,22)*INDEX(IdxPrecio_O,1,MIN(10,EI$17))*(1+P_dPrecio)</f>
        <v>0</v>
      </c>
      <c r="EJ67" s="48" t="n">
        <f aca="false">EJ$42*INDEX(Precio_O,22)*INDEX(IdxPrecio_O,1,MIN(10,EJ$17))*(1+P_dPrecio)</f>
        <v>0</v>
      </c>
      <c r="EK67" s="48" t="n">
        <f aca="false">EK$42*INDEX(Precio_O,22)*INDEX(IdxPrecio_O,1,MIN(10,EK$17))*(1+P_dPrecio)</f>
        <v>0</v>
      </c>
      <c r="EL67" s="48" t="n">
        <f aca="false">EL$42*INDEX(Precio_O,22)*INDEX(IdxPrecio_O,1,MIN(10,EL$17))*(1+P_dPrecio)</f>
        <v>0</v>
      </c>
      <c r="EM67" s="48" t="n">
        <f aca="false">EM$42*INDEX(Precio_O,22)*INDEX(IdxPrecio_O,1,MIN(10,EM$17))*(1+P_dPrecio)</f>
        <v>0</v>
      </c>
      <c r="EN67" s="48" t="n">
        <f aca="false">EN$42*INDEX(Precio_O,22)*INDEX(IdxPrecio_O,1,MIN(10,EN$17))*(1+P_dPrecio)</f>
        <v>0</v>
      </c>
      <c r="EO67" s="48" t="n">
        <f aca="false">EO$42*INDEX(Precio_O,22)*INDEX(IdxPrecio_O,1,MIN(10,EO$17))*(1+P_dPrecio)</f>
        <v>0</v>
      </c>
      <c r="EP67" s="48" t="n">
        <f aca="false">EP$42*INDEX(Precio_O,22)*INDEX(IdxPrecio_O,1,MIN(10,EP$17))*(1+P_dPrecio)</f>
        <v>0</v>
      </c>
      <c r="EQ67" s="48" t="n">
        <f aca="false">EQ$42*INDEX(Precio_O,22)*INDEX(IdxPrecio_O,1,MIN(10,EQ$17))*(1+P_dPrecio)</f>
        <v>0</v>
      </c>
      <c r="ER67" s="48" t="n">
        <f aca="false">ER$42*INDEX(Precio_O,22)*INDEX(IdxPrecio_O,1,MIN(10,ER$17))*(1+P_dPrecio)</f>
        <v>0</v>
      </c>
      <c r="ES67" s="48" t="n">
        <f aca="false">ES$42*INDEX(Precio_O,22)*INDEX(IdxPrecio_O,1,MIN(10,ES$17))*(1+P_dPrecio)</f>
        <v>0</v>
      </c>
    </row>
    <row r="68" customFormat="false" ht="15" hidden="false" customHeight="false" outlineLevel="0" collapsed="false">
      <c r="A68" s="11" t="s">
        <v>1113</v>
      </c>
      <c r="B68" s="53" t="str">
        <f aca="false">IF(INDEX(Prod_Nombre,23)="","Producto 23",INDEX(Prod_Nombre,23))&amp;" — ventas USD"</f>
        <v>Producto 23 — ventas USD</v>
      </c>
      <c r="C68" s="15" t="s">
        <v>508</v>
      </c>
      <c r="E68" s="54" t="n">
        <f aca="false">SUM(F68:ES68)</f>
        <v>0</v>
      </c>
      <c r="F68" s="48" t="n">
        <f aca="false">F$43*INDEX(Precio_O,23)*INDEX(IdxPrecio_O,1,MIN(10,F$17))*(1+P_dPrecio)</f>
        <v>0</v>
      </c>
      <c r="G68" s="48" t="n">
        <f aca="false">G$43*INDEX(Precio_O,23)*INDEX(IdxPrecio_O,1,MIN(10,G$17))*(1+P_dPrecio)</f>
        <v>0</v>
      </c>
      <c r="H68" s="48" t="n">
        <f aca="false">H$43*INDEX(Precio_O,23)*INDEX(IdxPrecio_O,1,MIN(10,H$17))*(1+P_dPrecio)</f>
        <v>0</v>
      </c>
      <c r="I68" s="48" t="n">
        <f aca="false">I$43*INDEX(Precio_O,23)*INDEX(IdxPrecio_O,1,MIN(10,I$17))*(1+P_dPrecio)</f>
        <v>0</v>
      </c>
      <c r="J68" s="48" t="n">
        <f aca="false">J$43*INDEX(Precio_O,23)*INDEX(IdxPrecio_O,1,MIN(10,J$17))*(1+P_dPrecio)</f>
        <v>0</v>
      </c>
      <c r="K68" s="48" t="n">
        <f aca="false">K$43*INDEX(Precio_O,23)*INDEX(IdxPrecio_O,1,MIN(10,K$17))*(1+P_dPrecio)</f>
        <v>0</v>
      </c>
      <c r="L68" s="48" t="n">
        <f aca="false">L$43*INDEX(Precio_O,23)*INDEX(IdxPrecio_O,1,MIN(10,L$17))*(1+P_dPrecio)</f>
        <v>0</v>
      </c>
      <c r="M68" s="48" t="n">
        <f aca="false">M$43*INDEX(Precio_O,23)*INDEX(IdxPrecio_O,1,MIN(10,M$17))*(1+P_dPrecio)</f>
        <v>0</v>
      </c>
      <c r="N68" s="48" t="n">
        <f aca="false">N$43*INDEX(Precio_O,23)*INDEX(IdxPrecio_O,1,MIN(10,N$17))*(1+P_dPrecio)</f>
        <v>0</v>
      </c>
      <c r="O68" s="48" t="n">
        <f aca="false">O$43*INDEX(Precio_O,23)*INDEX(IdxPrecio_O,1,MIN(10,O$17))*(1+P_dPrecio)</f>
        <v>0</v>
      </c>
      <c r="P68" s="48" t="n">
        <f aca="false">P$43*INDEX(Precio_O,23)*INDEX(IdxPrecio_O,1,MIN(10,P$17))*(1+P_dPrecio)</f>
        <v>0</v>
      </c>
      <c r="Q68" s="48" t="n">
        <f aca="false">Q$43*INDEX(Precio_O,23)*INDEX(IdxPrecio_O,1,MIN(10,Q$17))*(1+P_dPrecio)</f>
        <v>0</v>
      </c>
      <c r="R68" s="48" t="n">
        <f aca="false">R$43*INDEX(Precio_O,23)*INDEX(IdxPrecio_O,1,MIN(10,R$17))*(1+P_dPrecio)</f>
        <v>0</v>
      </c>
      <c r="S68" s="48" t="n">
        <f aca="false">S$43*INDEX(Precio_O,23)*INDEX(IdxPrecio_O,1,MIN(10,S$17))*(1+P_dPrecio)</f>
        <v>0</v>
      </c>
      <c r="T68" s="48" t="n">
        <f aca="false">T$43*INDEX(Precio_O,23)*INDEX(IdxPrecio_O,1,MIN(10,T$17))*(1+P_dPrecio)</f>
        <v>0</v>
      </c>
      <c r="U68" s="48" t="n">
        <f aca="false">U$43*INDEX(Precio_O,23)*INDEX(IdxPrecio_O,1,MIN(10,U$17))*(1+P_dPrecio)</f>
        <v>0</v>
      </c>
      <c r="V68" s="48" t="n">
        <f aca="false">V$43*INDEX(Precio_O,23)*INDEX(IdxPrecio_O,1,MIN(10,V$17))*(1+P_dPrecio)</f>
        <v>0</v>
      </c>
      <c r="W68" s="48" t="n">
        <f aca="false">W$43*INDEX(Precio_O,23)*INDEX(IdxPrecio_O,1,MIN(10,W$17))*(1+P_dPrecio)</f>
        <v>0</v>
      </c>
      <c r="X68" s="48" t="n">
        <f aca="false">X$43*INDEX(Precio_O,23)*INDEX(IdxPrecio_O,1,MIN(10,X$17))*(1+P_dPrecio)</f>
        <v>0</v>
      </c>
      <c r="Y68" s="48" t="n">
        <f aca="false">Y$43*INDEX(Precio_O,23)*INDEX(IdxPrecio_O,1,MIN(10,Y$17))*(1+P_dPrecio)</f>
        <v>0</v>
      </c>
      <c r="Z68" s="48" t="n">
        <f aca="false">Z$43*INDEX(Precio_O,23)*INDEX(IdxPrecio_O,1,MIN(10,Z$17))*(1+P_dPrecio)</f>
        <v>0</v>
      </c>
      <c r="AA68" s="48" t="n">
        <f aca="false">AA$43*INDEX(Precio_O,23)*INDEX(IdxPrecio_O,1,MIN(10,AA$17))*(1+P_dPrecio)</f>
        <v>0</v>
      </c>
      <c r="AB68" s="48" t="n">
        <f aca="false">AB$43*INDEX(Precio_O,23)*INDEX(IdxPrecio_O,1,MIN(10,AB$17))*(1+P_dPrecio)</f>
        <v>0</v>
      </c>
      <c r="AC68" s="48" t="n">
        <f aca="false">AC$43*INDEX(Precio_O,23)*INDEX(IdxPrecio_O,1,MIN(10,AC$17))*(1+P_dPrecio)</f>
        <v>0</v>
      </c>
      <c r="AD68" s="48" t="n">
        <f aca="false">AD$43*INDEX(Precio_O,23)*INDEX(IdxPrecio_O,1,MIN(10,AD$17))*(1+P_dPrecio)</f>
        <v>0</v>
      </c>
      <c r="AE68" s="48" t="n">
        <f aca="false">AE$43*INDEX(Precio_O,23)*INDEX(IdxPrecio_O,1,MIN(10,AE$17))*(1+P_dPrecio)</f>
        <v>0</v>
      </c>
      <c r="AF68" s="48" t="n">
        <f aca="false">AF$43*INDEX(Precio_O,23)*INDEX(IdxPrecio_O,1,MIN(10,AF$17))*(1+P_dPrecio)</f>
        <v>0</v>
      </c>
      <c r="AG68" s="48" t="n">
        <f aca="false">AG$43*INDEX(Precio_O,23)*INDEX(IdxPrecio_O,1,MIN(10,AG$17))*(1+P_dPrecio)</f>
        <v>0</v>
      </c>
      <c r="AH68" s="48" t="n">
        <f aca="false">AH$43*INDEX(Precio_O,23)*INDEX(IdxPrecio_O,1,MIN(10,AH$17))*(1+P_dPrecio)</f>
        <v>0</v>
      </c>
      <c r="AI68" s="48" t="n">
        <f aca="false">AI$43*INDEX(Precio_O,23)*INDEX(IdxPrecio_O,1,MIN(10,AI$17))*(1+P_dPrecio)</f>
        <v>0</v>
      </c>
      <c r="AJ68" s="48" t="n">
        <f aca="false">AJ$43*INDEX(Precio_O,23)*INDEX(IdxPrecio_O,1,MIN(10,AJ$17))*(1+P_dPrecio)</f>
        <v>0</v>
      </c>
      <c r="AK68" s="48" t="n">
        <f aca="false">AK$43*INDEX(Precio_O,23)*INDEX(IdxPrecio_O,1,MIN(10,AK$17))*(1+P_dPrecio)</f>
        <v>0</v>
      </c>
      <c r="AL68" s="48" t="n">
        <f aca="false">AL$43*INDEX(Precio_O,23)*INDEX(IdxPrecio_O,1,MIN(10,AL$17))*(1+P_dPrecio)</f>
        <v>0</v>
      </c>
      <c r="AM68" s="48" t="n">
        <f aca="false">AM$43*INDEX(Precio_O,23)*INDEX(IdxPrecio_O,1,MIN(10,AM$17))*(1+P_dPrecio)</f>
        <v>0</v>
      </c>
      <c r="AN68" s="48" t="n">
        <f aca="false">AN$43*INDEX(Precio_O,23)*INDEX(IdxPrecio_O,1,MIN(10,AN$17))*(1+P_dPrecio)</f>
        <v>0</v>
      </c>
      <c r="AO68" s="48" t="n">
        <f aca="false">AO$43*INDEX(Precio_O,23)*INDEX(IdxPrecio_O,1,MIN(10,AO$17))*(1+P_dPrecio)</f>
        <v>0</v>
      </c>
      <c r="AP68" s="48" t="n">
        <f aca="false">AP$43*INDEX(Precio_O,23)*INDEX(IdxPrecio_O,1,MIN(10,AP$17))*(1+P_dPrecio)</f>
        <v>0</v>
      </c>
      <c r="AQ68" s="48" t="n">
        <f aca="false">AQ$43*INDEX(Precio_O,23)*INDEX(IdxPrecio_O,1,MIN(10,AQ$17))*(1+P_dPrecio)</f>
        <v>0</v>
      </c>
      <c r="AR68" s="48" t="n">
        <f aca="false">AR$43*INDEX(Precio_O,23)*INDEX(IdxPrecio_O,1,MIN(10,AR$17))*(1+P_dPrecio)</f>
        <v>0</v>
      </c>
      <c r="AS68" s="48" t="n">
        <f aca="false">AS$43*INDEX(Precio_O,23)*INDEX(IdxPrecio_O,1,MIN(10,AS$17))*(1+P_dPrecio)</f>
        <v>0</v>
      </c>
      <c r="AT68" s="48" t="n">
        <f aca="false">AT$43*INDEX(Precio_O,23)*INDEX(IdxPrecio_O,1,MIN(10,AT$17))*(1+P_dPrecio)</f>
        <v>0</v>
      </c>
      <c r="AU68" s="48" t="n">
        <f aca="false">AU$43*INDEX(Precio_O,23)*INDEX(IdxPrecio_O,1,MIN(10,AU$17))*(1+P_dPrecio)</f>
        <v>0</v>
      </c>
      <c r="AV68" s="48" t="n">
        <f aca="false">AV$43*INDEX(Precio_O,23)*INDEX(IdxPrecio_O,1,MIN(10,AV$17))*(1+P_dPrecio)</f>
        <v>0</v>
      </c>
      <c r="AW68" s="48" t="n">
        <f aca="false">AW$43*INDEX(Precio_O,23)*INDEX(IdxPrecio_O,1,MIN(10,AW$17))*(1+P_dPrecio)</f>
        <v>0</v>
      </c>
      <c r="AX68" s="48" t="n">
        <f aca="false">AX$43*INDEX(Precio_O,23)*INDEX(IdxPrecio_O,1,MIN(10,AX$17))*(1+P_dPrecio)</f>
        <v>0</v>
      </c>
      <c r="AY68" s="48" t="n">
        <f aca="false">AY$43*INDEX(Precio_O,23)*INDEX(IdxPrecio_O,1,MIN(10,AY$17))*(1+P_dPrecio)</f>
        <v>0</v>
      </c>
      <c r="AZ68" s="48" t="n">
        <f aca="false">AZ$43*INDEX(Precio_O,23)*INDEX(IdxPrecio_O,1,MIN(10,AZ$17))*(1+P_dPrecio)</f>
        <v>0</v>
      </c>
      <c r="BA68" s="48" t="n">
        <f aca="false">BA$43*INDEX(Precio_O,23)*INDEX(IdxPrecio_O,1,MIN(10,BA$17))*(1+P_dPrecio)</f>
        <v>0</v>
      </c>
      <c r="BB68" s="48" t="n">
        <f aca="false">BB$43*INDEX(Precio_O,23)*INDEX(IdxPrecio_O,1,MIN(10,BB$17))*(1+P_dPrecio)</f>
        <v>0</v>
      </c>
      <c r="BC68" s="48" t="n">
        <f aca="false">BC$43*INDEX(Precio_O,23)*INDEX(IdxPrecio_O,1,MIN(10,BC$17))*(1+P_dPrecio)</f>
        <v>0</v>
      </c>
      <c r="BD68" s="48" t="n">
        <f aca="false">BD$43*INDEX(Precio_O,23)*INDEX(IdxPrecio_O,1,MIN(10,BD$17))*(1+P_dPrecio)</f>
        <v>0</v>
      </c>
      <c r="BE68" s="48" t="n">
        <f aca="false">BE$43*INDEX(Precio_O,23)*INDEX(IdxPrecio_O,1,MIN(10,BE$17))*(1+P_dPrecio)</f>
        <v>0</v>
      </c>
      <c r="BF68" s="48" t="n">
        <f aca="false">BF$43*INDEX(Precio_O,23)*INDEX(IdxPrecio_O,1,MIN(10,BF$17))*(1+P_dPrecio)</f>
        <v>0</v>
      </c>
      <c r="BG68" s="48" t="n">
        <f aca="false">BG$43*INDEX(Precio_O,23)*INDEX(IdxPrecio_O,1,MIN(10,BG$17))*(1+P_dPrecio)</f>
        <v>0</v>
      </c>
      <c r="BH68" s="48" t="n">
        <f aca="false">BH$43*INDEX(Precio_O,23)*INDEX(IdxPrecio_O,1,MIN(10,BH$17))*(1+P_dPrecio)</f>
        <v>0</v>
      </c>
      <c r="BI68" s="48" t="n">
        <f aca="false">BI$43*INDEX(Precio_O,23)*INDEX(IdxPrecio_O,1,MIN(10,BI$17))*(1+P_dPrecio)</f>
        <v>0</v>
      </c>
      <c r="BJ68" s="48" t="n">
        <f aca="false">BJ$43*INDEX(Precio_O,23)*INDEX(IdxPrecio_O,1,MIN(10,BJ$17))*(1+P_dPrecio)</f>
        <v>0</v>
      </c>
      <c r="BK68" s="48" t="n">
        <f aca="false">BK$43*INDEX(Precio_O,23)*INDEX(IdxPrecio_O,1,MIN(10,BK$17))*(1+P_dPrecio)</f>
        <v>0</v>
      </c>
      <c r="BL68" s="48" t="n">
        <f aca="false">BL$43*INDEX(Precio_O,23)*INDEX(IdxPrecio_O,1,MIN(10,BL$17))*(1+P_dPrecio)</f>
        <v>0</v>
      </c>
      <c r="BM68" s="48" t="n">
        <f aca="false">BM$43*INDEX(Precio_O,23)*INDEX(IdxPrecio_O,1,MIN(10,BM$17))*(1+P_dPrecio)</f>
        <v>0</v>
      </c>
      <c r="BN68" s="48" t="n">
        <f aca="false">BN$43*INDEX(Precio_O,23)*INDEX(IdxPrecio_O,1,MIN(10,BN$17))*(1+P_dPrecio)</f>
        <v>0</v>
      </c>
      <c r="BO68" s="48" t="n">
        <f aca="false">BO$43*INDEX(Precio_O,23)*INDEX(IdxPrecio_O,1,MIN(10,BO$17))*(1+P_dPrecio)</f>
        <v>0</v>
      </c>
      <c r="BP68" s="48" t="n">
        <f aca="false">BP$43*INDEX(Precio_O,23)*INDEX(IdxPrecio_O,1,MIN(10,BP$17))*(1+P_dPrecio)</f>
        <v>0</v>
      </c>
      <c r="BQ68" s="48" t="n">
        <f aca="false">BQ$43*INDEX(Precio_O,23)*INDEX(IdxPrecio_O,1,MIN(10,BQ$17))*(1+P_dPrecio)</f>
        <v>0</v>
      </c>
      <c r="BR68" s="48" t="n">
        <f aca="false">BR$43*INDEX(Precio_O,23)*INDEX(IdxPrecio_O,1,MIN(10,BR$17))*(1+P_dPrecio)</f>
        <v>0</v>
      </c>
      <c r="BS68" s="48" t="n">
        <f aca="false">BS$43*INDEX(Precio_O,23)*INDEX(IdxPrecio_O,1,MIN(10,BS$17))*(1+P_dPrecio)</f>
        <v>0</v>
      </c>
      <c r="BT68" s="48" t="n">
        <f aca="false">BT$43*INDEX(Precio_O,23)*INDEX(IdxPrecio_O,1,MIN(10,BT$17))*(1+P_dPrecio)</f>
        <v>0</v>
      </c>
      <c r="BU68" s="48" t="n">
        <f aca="false">BU$43*INDEX(Precio_O,23)*INDEX(IdxPrecio_O,1,MIN(10,BU$17))*(1+P_dPrecio)</f>
        <v>0</v>
      </c>
      <c r="BV68" s="48" t="n">
        <f aca="false">BV$43*INDEX(Precio_O,23)*INDEX(IdxPrecio_O,1,MIN(10,BV$17))*(1+P_dPrecio)</f>
        <v>0</v>
      </c>
      <c r="BW68" s="48" t="n">
        <f aca="false">BW$43*INDEX(Precio_O,23)*INDEX(IdxPrecio_O,1,MIN(10,BW$17))*(1+P_dPrecio)</f>
        <v>0</v>
      </c>
      <c r="BX68" s="48" t="n">
        <f aca="false">BX$43*INDEX(Precio_O,23)*INDEX(IdxPrecio_O,1,MIN(10,BX$17))*(1+P_dPrecio)</f>
        <v>0</v>
      </c>
      <c r="BY68" s="48" t="n">
        <f aca="false">BY$43*INDEX(Precio_O,23)*INDEX(IdxPrecio_O,1,MIN(10,BY$17))*(1+P_dPrecio)</f>
        <v>0</v>
      </c>
      <c r="BZ68" s="48" t="n">
        <f aca="false">BZ$43*INDEX(Precio_O,23)*INDEX(IdxPrecio_O,1,MIN(10,BZ$17))*(1+P_dPrecio)</f>
        <v>0</v>
      </c>
      <c r="CA68" s="48" t="n">
        <f aca="false">CA$43*INDEX(Precio_O,23)*INDEX(IdxPrecio_O,1,MIN(10,CA$17))*(1+P_dPrecio)</f>
        <v>0</v>
      </c>
      <c r="CB68" s="48" t="n">
        <f aca="false">CB$43*INDEX(Precio_O,23)*INDEX(IdxPrecio_O,1,MIN(10,CB$17))*(1+P_dPrecio)</f>
        <v>0</v>
      </c>
      <c r="CC68" s="48" t="n">
        <f aca="false">CC$43*INDEX(Precio_O,23)*INDEX(IdxPrecio_O,1,MIN(10,CC$17))*(1+P_dPrecio)</f>
        <v>0</v>
      </c>
      <c r="CD68" s="48" t="n">
        <f aca="false">CD$43*INDEX(Precio_O,23)*INDEX(IdxPrecio_O,1,MIN(10,CD$17))*(1+P_dPrecio)</f>
        <v>0</v>
      </c>
      <c r="CE68" s="48" t="n">
        <f aca="false">CE$43*INDEX(Precio_O,23)*INDEX(IdxPrecio_O,1,MIN(10,CE$17))*(1+P_dPrecio)</f>
        <v>0</v>
      </c>
      <c r="CF68" s="48" t="n">
        <f aca="false">CF$43*INDEX(Precio_O,23)*INDEX(IdxPrecio_O,1,MIN(10,CF$17))*(1+P_dPrecio)</f>
        <v>0</v>
      </c>
      <c r="CG68" s="48" t="n">
        <f aca="false">CG$43*INDEX(Precio_O,23)*INDEX(IdxPrecio_O,1,MIN(10,CG$17))*(1+P_dPrecio)</f>
        <v>0</v>
      </c>
      <c r="CH68" s="48" t="n">
        <f aca="false">CH$43*INDEX(Precio_O,23)*INDEX(IdxPrecio_O,1,MIN(10,CH$17))*(1+P_dPrecio)</f>
        <v>0</v>
      </c>
      <c r="CI68" s="48" t="n">
        <f aca="false">CI$43*INDEX(Precio_O,23)*INDEX(IdxPrecio_O,1,MIN(10,CI$17))*(1+P_dPrecio)</f>
        <v>0</v>
      </c>
      <c r="CJ68" s="48" t="n">
        <f aca="false">CJ$43*INDEX(Precio_O,23)*INDEX(IdxPrecio_O,1,MIN(10,CJ$17))*(1+P_dPrecio)</f>
        <v>0</v>
      </c>
      <c r="CK68" s="48" t="n">
        <f aca="false">CK$43*INDEX(Precio_O,23)*INDEX(IdxPrecio_O,1,MIN(10,CK$17))*(1+P_dPrecio)</f>
        <v>0</v>
      </c>
      <c r="CL68" s="48" t="n">
        <f aca="false">CL$43*INDEX(Precio_O,23)*INDEX(IdxPrecio_O,1,MIN(10,CL$17))*(1+P_dPrecio)</f>
        <v>0</v>
      </c>
      <c r="CM68" s="48" t="n">
        <f aca="false">CM$43*INDEX(Precio_O,23)*INDEX(IdxPrecio_O,1,MIN(10,CM$17))*(1+P_dPrecio)</f>
        <v>0</v>
      </c>
      <c r="CN68" s="48" t="n">
        <f aca="false">CN$43*INDEX(Precio_O,23)*INDEX(IdxPrecio_O,1,MIN(10,CN$17))*(1+P_dPrecio)</f>
        <v>0</v>
      </c>
      <c r="CO68" s="48" t="n">
        <f aca="false">CO$43*INDEX(Precio_O,23)*INDEX(IdxPrecio_O,1,MIN(10,CO$17))*(1+P_dPrecio)</f>
        <v>0</v>
      </c>
      <c r="CP68" s="48" t="n">
        <f aca="false">CP$43*INDEX(Precio_O,23)*INDEX(IdxPrecio_O,1,MIN(10,CP$17))*(1+P_dPrecio)</f>
        <v>0</v>
      </c>
      <c r="CQ68" s="48" t="n">
        <f aca="false">CQ$43*INDEX(Precio_O,23)*INDEX(IdxPrecio_O,1,MIN(10,CQ$17))*(1+P_dPrecio)</f>
        <v>0</v>
      </c>
      <c r="CR68" s="48" t="n">
        <f aca="false">CR$43*INDEX(Precio_O,23)*INDEX(IdxPrecio_O,1,MIN(10,CR$17))*(1+P_dPrecio)</f>
        <v>0</v>
      </c>
      <c r="CS68" s="48" t="n">
        <f aca="false">CS$43*INDEX(Precio_O,23)*INDEX(IdxPrecio_O,1,MIN(10,CS$17))*(1+P_dPrecio)</f>
        <v>0</v>
      </c>
      <c r="CT68" s="48" t="n">
        <f aca="false">CT$43*INDEX(Precio_O,23)*INDEX(IdxPrecio_O,1,MIN(10,CT$17))*(1+P_dPrecio)</f>
        <v>0</v>
      </c>
      <c r="CU68" s="48" t="n">
        <f aca="false">CU$43*INDEX(Precio_O,23)*INDEX(IdxPrecio_O,1,MIN(10,CU$17))*(1+P_dPrecio)</f>
        <v>0</v>
      </c>
      <c r="CV68" s="48" t="n">
        <f aca="false">CV$43*INDEX(Precio_O,23)*INDEX(IdxPrecio_O,1,MIN(10,CV$17))*(1+P_dPrecio)</f>
        <v>0</v>
      </c>
      <c r="CW68" s="48" t="n">
        <f aca="false">CW$43*INDEX(Precio_O,23)*INDEX(IdxPrecio_O,1,MIN(10,CW$17))*(1+P_dPrecio)</f>
        <v>0</v>
      </c>
      <c r="CX68" s="48" t="n">
        <f aca="false">CX$43*INDEX(Precio_O,23)*INDEX(IdxPrecio_O,1,MIN(10,CX$17))*(1+P_dPrecio)</f>
        <v>0</v>
      </c>
      <c r="CY68" s="48" t="n">
        <f aca="false">CY$43*INDEX(Precio_O,23)*INDEX(IdxPrecio_O,1,MIN(10,CY$17))*(1+P_dPrecio)</f>
        <v>0</v>
      </c>
      <c r="CZ68" s="48" t="n">
        <f aca="false">CZ$43*INDEX(Precio_O,23)*INDEX(IdxPrecio_O,1,MIN(10,CZ$17))*(1+P_dPrecio)</f>
        <v>0</v>
      </c>
      <c r="DA68" s="48" t="n">
        <f aca="false">DA$43*INDEX(Precio_O,23)*INDEX(IdxPrecio_O,1,MIN(10,DA$17))*(1+P_dPrecio)</f>
        <v>0</v>
      </c>
      <c r="DB68" s="48" t="n">
        <f aca="false">DB$43*INDEX(Precio_O,23)*INDEX(IdxPrecio_O,1,MIN(10,DB$17))*(1+P_dPrecio)</f>
        <v>0</v>
      </c>
      <c r="DC68" s="48" t="n">
        <f aca="false">DC$43*INDEX(Precio_O,23)*INDEX(IdxPrecio_O,1,MIN(10,DC$17))*(1+P_dPrecio)</f>
        <v>0</v>
      </c>
      <c r="DD68" s="48" t="n">
        <f aca="false">DD$43*INDEX(Precio_O,23)*INDEX(IdxPrecio_O,1,MIN(10,DD$17))*(1+P_dPrecio)</f>
        <v>0</v>
      </c>
      <c r="DE68" s="48" t="n">
        <f aca="false">DE$43*INDEX(Precio_O,23)*INDEX(IdxPrecio_O,1,MIN(10,DE$17))*(1+P_dPrecio)</f>
        <v>0</v>
      </c>
      <c r="DF68" s="48" t="n">
        <f aca="false">DF$43*INDEX(Precio_O,23)*INDEX(IdxPrecio_O,1,MIN(10,DF$17))*(1+P_dPrecio)</f>
        <v>0</v>
      </c>
      <c r="DG68" s="48" t="n">
        <f aca="false">DG$43*INDEX(Precio_O,23)*INDEX(IdxPrecio_O,1,MIN(10,DG$17))*(1+P_dPrecio)</f>
        <v>0</v>
      </c>
      <c r="DH68" s="48" t="n">
        <f aca="false">DH$43*INDEX(Precio_O,23)*INDEX(IdxPrecio_O,1,MIN(10,DH$17))*(1+P_dPrecio)</f>
        <v>0</v>
      </c>
      <c r="DI68" s="48" t="n">
        <f aca="false">DI$43*INDEX(Precio_O,23)*INDEX(IdxPrecio_O,1,MIN(10,DI$17))*(1+P_dPrecio)</f>
        <v>0</v>
      </c>
      <c r="DJ68" s="48" t="n">
        <f aca="false">DJ$43*INDEX(Precio_O,23)*INDEX(IdxPrecio_O,1,MIN(10,DJ$17))*(1+P_dPrecio)</f>
        <v>0</v>
      </c>
      <c r="DK68" s="48" t="n">
        <f aca="false">DK$43*INDEX(Precio_O,23)*INDEX(IdxPrecio_O,1,MIN(10,DK$17))*(1+P_dPrecio)</f>
        <v>0</v>
      </c>
      <c r="DL68" s="48" t="n">
        <f aca="false">DL$43*INDEX(Precio_O,23)*INDEX(IdxPrecio_O,1,MIN(10,DL$17))*(1+P_dPrecio)</f>
        <v>0</v>
      </c>
      <c r="DM68" s="48" t="n">
        <f aca="false">DM$43*INDEX(Precio_O,23)*INDEX(IdxPrecio_O,1,MIN(10,DM$17))*(1+P_dPrecio)</f>
        <v>0</v>
      </c>
      <c r="DN68" s="48" t="n">
        <f aca="false">DN$43*INDEX(Precio_O,23)*INDEX(IdxPrecio_O,1,MIN(10,DN$17))*(1+P_dPrecio)</f>
        <v>0</v>
      </c>
      <c r="DO68" s="48" t="n">
        <f aca="false">DO$43*INDEX(Precio_O,23)*INDEX(IdxPrecio_O,1,MIN(10,DO$17))*(1+P_dPrecio)</f>
        <v>0</v>
      </c>
      <c r="DP68" s="48" t="n">
        <f aca="false">DP$43*INDEX(Precio_O,23)*INDEX(IdxPrecio_O,1,MIN(10,DP$17))*(1+P_dPrecio)</f>
        <v>0</v>
      </c>
      <c r="DQ68" s="48" t="n">
        <f aca="false">DQ$43*INDEX(Precio_O,23)*INDEX(IdxPrecio_O,1,MIN(10,DQ$17))*(1+P_dPrecio)</f>
        <v>0</v>
      </c>
      <c r="DR68" s="48" t="n">
        <f aca="false">DR$43*INDEX(Precio_O,23)*INDEX(IdxPrecio_O,1,MIN(10,DR$17))*(1+P_dPrecio)</f>
        <v>0</v>
      </c>
      <c r="DS68" s="48" t="n">
        <f aca="false">DS$43*INDEX(Precio_O,23)*INDEX(IdxPrecio_O,1,MIN(10,DS$17))*(1+P_dPrecio)</f>
        <v>0</v>
      </c>
      <c r="DT68" s="48" t="n">
        <f aca="false">DT$43*INDEX(Precio_O,23)*INDEX(IdxPrecio_O,1,MIN(10,DT$17))*(1+P_dPrecio)</f>
        <v>0</v>
      </c>
      <c r="DU68" s="48" t="n">
        <f aca="false">DU$43*INDEX(Precio_O,23)*INDEX(IdxPrecio_O,1,MIN(10,DU$17))*(1+P_dPrecio)</f>
        <v>0</v>
      </c>
      <c r="DV68" s="48" t="n">
        <f aca="false">DV$43*INDEX(Precio_O,23)*INDEX(IdxPrecio_O,1,MIN(10,DV$17))*(1+P_dPrecio)</f>
        <v>0</v>
      </c>
      <c r="DW68" s="48" t="n">
        <f aca="false">DW$43*INDEX(Precio_O,23)*INDEX(IdxPrecio_O,1,MIN(10,DW$17))*(1+P_dPrecio)</f>
        <v>0</v>
      </c>
      <c r="DX68" s="48" t="n">
        <f aca="false">DX$43*INDEX(Precio_O,23)*INDEX(IdxPrecio_O,1,MIN(10,DX$17))*(1+P_dPrecio)</f>
        <v>0</v>
      </c>
      <c r="DY68" s="48" t="n">
        <f aca="false">DY$43*INDEX(Precio_O,23)*INDEX(IdxPrecio_O,1,MIN(10,DY$17))*(1+P_dPrecio)</f>
        <v>0</v>
      </c>
      <c r="DZ68" s="48" t="n">
        <f aca="false">DZ$43*INDEX(Precio_O,23)*INDEX(IdxPrecio_O,1,MIN(10,DZ$17))*(1+P_dPrecio)</f>
        <v>0</v>
      </c>
      <c r="EA68" s="48" t="n">
        <f aca="false">EA$43*INDEX(Precio_O,23)*INDEX(IdxPrecio_O,1,MIN(10,EA$17))*(1+P_dPrecio)</f>
        <v>0</v>
      </c>
      <c r="EB68" s="48" t="n">
        <f aca="false">EB$43*INDEX(Precio_O,23)*INDEX(IdxPrecio_O,1,MIN(10,EB$17))*(1+P_dPrecio)</f>
        <v>0</v>
      </c>
      <c r="EC68" s="48" t="n">
        <f aca="false">EC$43*INDEX(Precio_O,23)*INDEX(IdxPrecio_O,1,MIN(10,EC$17))*(1+P_dPrecio)</f>
        <v>0</v>
      </c>
      <c r="ED68" s="48" t="n">
        <f aca="false">ED$43*INDEX(Precio_O,23)*INDEX(IdxPrecio_O,1,MIN(10,ED$17))*(1+P_dPrecio)</f>
        <v>0</v>
      </c>
      <c r="EE68" s="48" t="n">
        <f aca="false">EE$43*INDEX(Precio_O,23)*INDEX(IdxPrecio_O,1,MIN(10,EE$17))*(1+P_dPrecio)</f>
        <v>0</v>
      </c>
      <c r="EF68" s="48" t="n">
        <f aca="false">EF$43*INDEX(Precio_O,23)*INDEX(IdxPrecio_O,1,MIN(10,EF$17))*(1+P_dPrecio)</f>
        <v>0</v>
      </c>
      <c r="EG68" s="48" t="n">
        <f aca="false">EG$43*INDEX(Precio_O,23)*INDEX(IdxPrecio_O,1,MIN(10,EG$17))*(1+P_dPrecio)</f>
        <v>0</v>
      </c>
      <c r="EH68" s="48" t="n">
        <f aca="false">EH$43*INDEX(Precio_O,23)*INDEX(IdxPrecio_O,1,MIN(10,EH$17))*(1+P_dPrecio)</f>
        <v>0</v>
      </c>
      <c r="EI68" s="48" t="n">
        <f aca="false">EI$43*INDEX(Precio_O,23)*INDEX(IdxPrecio_O,1,MIN(10,EI$17))*(1+P_dPrecio)</f>
        <v>0</v>
      </c>
      <c r="EJ68" s="48" t="n">
        <f aca="false">EJ$43*INDEX(Precio_O,23)*INDEX(IdxPrecio_O,1,MIN(10,EJ$17))*(1+P_dPrecio)</f>
        <v>0</v>
      </c>
      <c r="EK68" s="48" t="n">
        <f aca="false">EK$43*INDEX(Precio_O,23)*INDEX(IdxPrecio_O,1,MIN(10,EK$17))*(1+P_dPrecio)</f>
        <v>0</v>
      </c>
      <c r="EL68" s="48" t="n">
        <f aca="false">EL$43*INDEX(Precio_O,23)*INDEX(IdxPrecio_O,1,MIN(10,EL$17))*(1+P_dPrecio)</f>
        <v>0</v>
      </c>
      <c r="EM68" s="48" t="n">
        <f aca="false">EM$43*INDEX(Precio_O,23)*INDEX(IdxPrecio_O,1,MIN(10,EM$17))*(1+P_dPrecio)</f>
        <v>0</v>
      </c>
      <c r="EN68" s="48" t="n">
        <f aca="false">EN$43*INDEX(Precio_O,23)*INDEX(IdxPrecio_O,1,MIN(10,EN$17))*(1+P_dPrecio)</f>
        <v>0</v>
      </c>
      <c r="EO68" s="48" t="n">
        <f aca="false">EO$43*INDEX(Precio_O,23)*INDEX(IdxPrecio_O,1,MIN(10,EO$17))*(1+P_dPrecio)</f>
        <v>0</v>
      </c>
      <c r="EP68" s="48" t="n">
        <f aca="false">EP$43*INDEX(Precio_O,23)*INDEX(IdxPrecio_O,1,MIN(10,EP$17))*(1+P_dPrecio)</f>
        <v>0</v>
      </c>
      <c r="EQ68" s="48" t="n">
        <f aca="false">EQ$43*INDEX(Precio_O,23)*INDEX(IdxPrecio_O,1,MIN(10,EQ$17))*(1+P_dPrecio)</f>
        <v>0</v>
      </c>
      <c r="ER68" s="48" t="n">
        <f aca="false">ER$43*INDEX(Precio_O,23)*INDEX(IdxPrecio_O,1,MIN(10,ER$17))*(1+P_dPrecio)</f>
        <v>0</v>
      </c>
      <c r="ES68" s="48" t="n">
        <f aca="false">ES$43*INDEX(Precio_O,23)*INDEX(IdxPrecio_O,1,MIN(10,ES$17))*(1+P_dPrecio)</f>
        <v>0</v>
      </c>
    </row>
    <row r="69" customFormat="false" ht="15" hidden="false" customHeight="false" outlineLevel="0" collapsed="false">
      <c r="A69" s="11" t="s">
        <v>1114</v>
      </c>
      <c r="B69" s="53" t="str">
        <f aca="false">IF(INDEX(Prod_Nombre,24)="","Producto 24",INDEX(Prod_Nombre,24))&amp;" — ventas USD"</f>
        <v>Producto 24 — ventas USD</v>
      </c>
      <c r="C69" s="15" t="s">
        <v>508</v>
      </c>
      <c r="E69" s="54" t="n">
        <f aca="false">SUM(F69:ES69)</f>
        <v>0</v>
      </c>
      <c r="F69" s="48" t="n">
        <f aca="false">F$44*INDEX(Precio_O,24)*INDEX(IdxPrecio_O,1,MIN(10,F$17))*(1+P_dPrecio)</f>
        <v>0</v>
      </c>
      <c r="G69" s="48" t="n">
        <f aca="false">G$44*INDEX(Precio_O,24)*INDEX(IdxPrecio_O,1,MIN(10,G$17))*(1+P_dPrecio)</f>
        <v>0</v>
      </c>
      <c r="H69" s="48" t="n">
        <f aca="false">H$44*INDEX(Precio_O,24)*INDEX(IdxPrecio_O,1,MIN(10,H$17))*(1+P_dPrecio)</f>
        <v>0</v>
      </c>
      <c r="I69" s="48" t="n">
        <f aca="false">I$44*INDEX(Precio_O,24)*INDEX(IdxPrecio_O,1,MIN(10,I$17))*(1+P_dPrecio)</f>
        <v>0</v>
      </c>
      <c r="J69" s="48" t="n">
        <f aca="false">J$44*INDEX(Precio_O,24)*INDEX(IdxPrecio_O,1,MIN(10,J$17))*(1+P_dPrecio)</f>
        <v>0</v>
      </c>
      <c r="K69" s="48" t="n">
        <f aca="false">K$44*INDEX(Precio_O,24)*INDEX(IdxPrecio_O,1,MIN(10,K$17))*(1+P_dPrecio)</f>
        <v>0</v>
      </c>
      <c r="L69" s="48" t="n">
        <f aca="false">L$44*INDEX(Precio_O,24)*INDEX(IdxPrecio_O,1,MIN(10,L$17))*(1+P_dPrecio)</f>
        <v>0</v>
      </c>
      <c r="M69" s="48" t="n">
        <f aca="false">M$44*INDEX(Precio_O,24)*INDEX(IdxPrecio_O,1,MIN(10,M$17))*(1+P_dPrecio)</f>
        <v>0</v>
      </c>
      <c r="N69" s="48" t="n">
        <f aca="false">N$44*INDEX(Precio_O,24)*INDEX(IdxPrecio_O,1,MIN(10,N$17))*(1+P_dPrecio)</f>
        <v>0</v>
      </c>
      <c r="O69" s="48" t="n">
        <f aca="false">O$44*INDEX(Precio_O,24)*INDEX(IdxPrecio_O,1,MIN(10,O$17))*(1+P_dPrecio)</f>
        <v>0</v>
      </c>
      <c r="P69" s="48" t="n">
        <f aca="false">P$44*INDEX(Precio_O,24)*INDEX(IdxPrecio_O,1,MIN(10,P$17))*(1+P_dPrecio)</f>
        <v>0</v>
      </c>
      <c r="Q69" s="48" t="n">
        <f aca="false">Q$44*INDEX(Precio_O,24)*INDEX(IdxPrecio_O,1,MIN(10,Q$17))*(1+P_dPrecio)</f>
        <v>0</v>
      </c>
      <c r="R69" s="48" t="n">
        <f aca="false">R$44*INDEX(Precio_O,24)*INDEX(IdxPrecio_O,1,MIN(10,R$17))*(1+P_dPrecio)</f>
        <v>0</v>
      </c>
      <c r="S69" s="48" t="n">
        <f aca="false">S$44*INDEX(Precio_O,24)*INDEX(IdxPrecio_O,1,MIN(10,S$17))*(1+P_dPrecio)</f>
        <v>0</v>
      </c>
      <c r="T69" s="48" t="n">
        <f aca="false">T$44*INDEX(Precio_O,24)*INDEX(IdxPrecio_O,1,MIN(10,T$17))*(1+P_dPrecio)</f>
        <v>0</v>
      </c>
      <c r="U69" s="48" t="n">
        <f aca="false">U$44*INDEX(Precio_O,24)*INDEX(IdxPrecio_O,1,MIN(10,U$17))*(1+P_dPrecio)</f>
        <v>0</v>
      </c>
      <c r="V69" s="48" t="n">
        <f aca="false">V$44*INDEX(Precio_O,24)*INDEX(IdxPrecio_O,1,MIN(10,V$17))*(1+P_dPrecio)</f>
        <v>0</v>
      </c>
      <c r="W69" s="48" t="n">
        <f aca="false">W$44*INDEX(Precio_O,24)*INDEX(IdxPrecio_O,1,MIN(10,W$17))*(1+P_dPrecio)</f>
        <v>0</v>
      </c>
      <c r="X69" s="48" t="n">
        <f aca="false">X$44*INDEX(Precio_O,24)*INDEX(IdxPrecio_O,1,MIN(10,X$17))*(1+P_dPrecio)</f>
        <v>0</v>
      </c>
      <c r="Y69" s="48" t="n">
        <f aca="false">Y$44*INDEX(Precio_O,24)*INDEX(IdxPrecio_O,1,MIN(10,Y$17))*(1+P_dPrecio)</f>
        <v>0</v>
      </c>
      <c r="Z69" s="48" t="n">
        <f aca="false">Z$44*INDEX(Precio_O,24)*INDEX(IdxPrecio_O,1,MIN(10,Z$17))*(1+P_dPrecio)</f>
        <v>0</v>
      </c>
      <c r="AA69" s="48" t="n">
        <f aca="false">AA$44*INDEX(Precio_O,24)*INDEX(IdxPrecio_O,1,MIN(10,AA$17))*(1+P_dPrecio)</f>
        <v>0</v>
      </c>
      <c r="AB69" s="48" t="n">
        <f aca="false">AB$44*INDEX(Precio_O,24)*INDEX(IdxPrecio_O,1,MIN(10,AB$17))*(1+P_dPrecio)</f>
        <v>0</v>
      </c>
      <c r="AC69" s="48" t="n">
        <f aca="false">AC$44*INDEX(Precio_O,24)*INDEX(IdxPrecio_O,1,MIN(10,AC$17))*(1+P_dPrecio)</f>
        <v>0</v>
      </c>
      <c r="AD69" s="48" t="n">
        <f aca="false">AD$44*INDEX(Precio_O,24)*INDEX(IdxPrecio_O,1,MIN(10,AD$17))*(1+P_dPrecio)</f>
        <v>0</v>
      </c>
      <c r="AE69" s="48" t="n">
        <f aca="false">AE$44*INDEX(Precio_O,24)*INDEX(IdxPrecio_O,1,MIN(10,AE$17))*(1+P_dPrecio)</f>
        <v>0</v>
      </c>
      <c r="AF69" s="48" t="n">
        <f aca="false">AF$44*INDEX(Precio_O,24)*INDEX(IdxPrecio_O,1,MIN(10,AF$17))*(1+P_dPrecio)</f>
        <v>0</v>
      </c>
      <c r="AG69" s="48" t="n">
        <f aca="false">AG$44*INDEX(Precio_O,24)*INDEX(IdxPrecio_O,1,MIN(10,AG$17))*(1+P_dPrecio)</f>
        <v>0</v>
      </c>
      <c r="AH69" s="48" t="n">
        <f aca="false">AH$44*INDEX(Precio_O,24)*INDEX(IdxPrecio_O,1,MIN(10,AH$17))*(1+P_dPrecio)</f>
        <v>0</v>
      </c>
      <c r="AI69" s="48" t="n">
        <f aca="false">AI$44*INDEX(Precio_O,24)*INDEX(IdxPrecio_O,1,MIN(10,AI$17))*(1+P_dPrecio)</f>
        <v>0</v>
      </c>
      <c r="AJ69" s="48" t="n">
        <f aca="false">AJ$44*INDEX(Precio_O,24)*INDEX(IdxPrecio_O,1,MIN(10,AJ$17))*(1+P_dPrecio)</f>
        <v>0</v>
      </c>
      <c r="AK69" s="48" t="n">
        <f aca="false">AK$44*INDEX(Precio_O,24)*INDEX(IdxPrecio_O,1,MIN(10,AK$17))*(1+P_dPrecio)</f>
        <v>0</v>
      </c>
      <c r="AL69" s="48" t="n">
        <f aca="false">AL$44*INDEX(Precio_O,24)*INDEX(IdxPrecio_O,1,MIN(10,AL$17))*(1+P_dPrecio)</f>
        <v>0</v>
      </c>
      <c r="AM69" s="48" t="n">
        <f aca="false">AM$44*INDEX(Precio_O,24)*INDEX(IdxPrecio_O,1,MIN(10,AM$17))*(1+P_dPrecio)</f>
        <v>0</v>
      </c>
      <c r="AN69" s="48" t="n">
        <f aca="false">AN$44*INDEX(Precio_O,24)*INDEX(IdxPrecio_O,1,MIN(10,AN$17))*(1+P_dPrecio)</f>
        <v>0</v>
      </c>
      <c r="AO69" s="48" t="n">
        <f aca="false">AO$44*INDEX(Precio_O,24)*INDEX(IdxPrecio_O,1,MIN(10,AO$17))*(1+P_dPrecio)</f>
        <v>0</v>
      </c>
      <c r="AP69" s="48" t="n">
        <f aca="false">AP$44*INDEX(Precio_O,24)*INDEX(IdxPrecio_O,1,MIN(10,AP$17))*(1+P_dPrecio)</f>
        <v>0</v>
      </c>
      <c r="AQ69" s="48" t="n">
        <f aca="false">AQ$44*INDEX(Precio_O,24)*INDEX(IdxPrecio_O,1,MIN(10,AQ$17))*(1+P_dPrecio)</f>
        <v>0</v>
      </c>
      <c r="AR69" s="48" t="n">
        <f aca="false">AR$44*INDEX(Precio_O,24)*INDEX(IdxPrecio_O,1,MIN(10,AR$17))*(1+P_dPrecio)</f>
        <v>0</v>
      </c>
      <c r="AS69" s="48" t="n">
        <f aca="false">AS$44*INDEX(Precio_O,24)*INDEX(IdxPrecio_O,1,MIN(10,AS$17))*(1+P_dPrecio)</f>
        <v>0</v>
      </c>
      <c r="AT69" s="48" t="n">
        <f aca="false">AT$44*INDEX(Precio_O,24)*INDEX(IdxPrecio_O,1,MIN(10,AT$17))*(1+P_dPrecio)</f>
        <v>0</v>
      </c>
      <c r="AU69" s="48" t="n">
        <f aca="false">AU$44*INDEX(Precio_O,24)*INDEX(IdxPrecio_O,1,MIN(10,AU$17))*(1+P_dPrecio)</f>
        <v>0</v>
      </c>
      <c r="AV69" s="48" t="n">
        <f aca="false">AV$44*INDEX(Precio_O,24)*INDEX(IdxPrecio_O,1,MIN(10,AV$17))*(1+P_dPrecio)</f>
        <v>0</v>
      </c>
      <c r="AW69" s="48" t="n">
        <f aca="false">AW$44*INDEX(Precio_O,24)*INDEX(IdxPrecio_O,1,MIN(10,AW$17))*(1+P_dPrecio)</f>
        <v>0</v>
      </c>
      <c r="AX69" s="48" t="n">
        <f aca="false">AX$44*INDEX(Precio_O,24)*INDEX(IdxPrecio_O,1,MIN(10,AX$17))*(1+P_dPrecio)</f>
        <v>0</v>
      </c>
      <c r="AY69" s="48" t="n">
        <f aca="false">AY$44*INDEX(Precio_O,24)*INDEX(IdxPrecio_O,1,MIN(10,AY$17))*(1+P_dPrecio)</f>
        <v>0</v>
      </c>
      <c r="AZ69" s="48" t="n">
        <f aca="false">AZ$44*INDEX(Precio_O,24)*INDEX(IdxPrecio_O,1,MIN(10,AZ$17))*(1+P_dPrecio)</f>
        <v>0</v>
      </c>
      <c r="BA69" s="48" t="n">
        <f aca="false">BA$44*INDEX(Precio_O,24)*INDEX(IdxPrecio_O,1,MIN(10,BA$17))*(1+P_dPrecio)</f>
        <v>0</v>
      </c>
      <c r="BB69" s="48" t="n">
        <f aca="false">BB$44*INDEX(Precio_O,24)*INDEX(IdxPrecio_O,1,MIN(10,BB$17))*(1+P_dPrecio)</f>
        <v>0</v>
      </c>
      <c r="BC69" s="48" t="n">
        <f aca="false">BC$44*INDEX(Precio_O,24)*INDEX(IdxPrecio_O,1,MIN(10,BC$17))*(1+P_dPrecio)</f>
        <v>0</v>
      </c>
      <c r="BD69" s="48" t="n">
        <f aca="false">BD$44*INDEX(Precio_O,24)*INDEX(IdxPrecio_O,1,MIN(10,BD$17))*(1+P_dPrecio)</f>
        <v>0</v>
      </c>
      <c r="BE69" s="48" t="n">
        <f aca="false">BE$44*INDEX(Precio_O,24)*INDEX(IdxPrecio_O,1,MIN(10,BE$17))*(1+P_dPrecio)</f>
        <v>0</v>
      </c>
      <c r="BF69" s="48" t="n">
        <f aca="false">BF$44*INDEX(Precio_O,24)*INDEX(IdxPrecio_O,1,MIN(10,BF$17))*(1+P_dPrecio)</f>
        <v>0</v>
      </c>
      <c r="BG69" s="48" t="n">
        <f aca="false">BG$44*INDEX(Precio_O,24)*INDEX(IdxPrecio_O,1,MIN(10,BG$17))*(1+P_dPrecio)</f>
        <v>0</v>
      </c>
      <c r="BH69" s="48" t="n">
        <f aca="false">BH$44*INDEX(Precio_O,24)*INDEX(IdxPrecio_O,1,MIN(10,BH$17))*(1+P_dPrecio)</f>
        <v>0</v>
      </c>
      <c r="BI69" s="48" t="n">
        <f aca="false">BI$44*INDEX(Precio_O,24)*INDEX(IdxPrecio_O,1,MIN(10,BI$17))*(1+P_dPrecio)</f>
        <v>0</v>
      </c>
      <c r="BJ69" s="48" t="n">
        <f aca="false">BJ$44*INDEX(Precio_O,24)*INDEX(IdxPrecio_O,1,MIN(10,BJ$17))*(1+P_dPrecio)</f>
        <v>0</v>
      </c>
      <c r="BK69" s="48" t="n">
        <f aca="false">BK$44*INDEX(Precio_O,24)*INDEX(IdxPrecio_O,1,MIN(10,BK$17))*(1+P_dPrecio)</f>
        <v>0</v>
      </c>
      <c r="BL69" s="48" t="n">
        <f aca="false">BL$44*INDEX(Precio_O,24)*INDEX(IdxPrecio_O,1,MIN(10,BL$17))*(1+P_dPrecio)</f>
        <v>0</v>
      </c>
      <c r="BM69" s="48" t="n">
        <f aca="false">BM$44*INDEX(Precio_O,24)*INDEX(IdxPrecio_O,1,MIN(10,BM$17))*(1+P_dPrecio)</f>
        <v>0</v>
      </c>
      <c r="BN69" s="48" t="n">
        <f aca="false">BN$44*INDEX(Precio_O,24)*INDEX(IdxPrecio_O,1,MIN(10,BN$17))*(1+P_dPrecio)</f>
        <v>0</v>
      </c>
      <c r="BO69" s="48" t="n">
        <f aca="false">BO$44*INDEX(Precio_O,24)*INDEX(IdxPrecio_O,1,MIN(10,BO$17))*(1+P_dPrecio)</f>
        <v>0</v>
      </c>
      <c r="BP69" s="48" t="n">
        <f aca="false">BP$44*INDEX(Precio_O,24)*INDEX(IdxPrecio_O,1,MIN(10,BP$17))*(1+P_dPrecio)</f>
        <v>0</v>
      </c>
      <c r="BQ69" s="48" t="n">
        <f aca="false">BQ$44*INDEX(Precio_O,24)*INDEX(IdxPrecio_O,1,MIN(10,BQ$17))*(1+P_dPrecio)</f>
        <v>0</v>
      </c>
      <c r="BR69" s="48" t="n">
        <f aca="false">BR$44*INDEX(Precio_O,24)*INDEX(IdxPrecio_O,1,MIN(10,BR$17))*(1+P_dPrecio)</f>
        <v>0</v>
      </c>
      <c r="BS69" s="48" t="n">
        <f aca="false">BS$44*INDEX(Precio_O,24)*INDEX(IdxPrecio_O,1,MIN(10,BS$17))*(1+P_dPrecio)</f>
        <v>0</v>
      </c>
      <c r="BT69" s="48" t="n">
        <f aca="false">BT$44*INDEX(Precio_O,24)*INDEX(IdxPrecio_O,1,MIN(10,BT$17))*(1+P_dPrecio)</f>
        <v>0</v>
      </c>
      <c r="BU69" s="48" t="n">
        <f aca="false">BU$44*INDEX(Precio_O,24)*INDEX(IdxPrecio_O,1,MIN(10,BU$17))*(1+P_dPrecio)</f>
        <v>0</v>
      </c>
      <c r="BV69" s="48" t="n">
        <f aca="false">BV$44*INDEX(Precio_O,24)*INDEX(IdxPrecio_O,1,MIN(10,BV$17))*(1+P_dPrecio)</f>
        <v>0</v>
      </c>
      <c r="BW69" s="48" t="n">
        <f aca="false">BW$44*INDEX(Precio_O,24)*INDEX(IdxPrecio_O,1,MIN(10,BW$17))*(1+P_dPrecio)</f>
        <v>0</v>
      </c>
      <c r="BX69" s="48" t="n">
        <f aca="false">BX$44*INDEX(Precio_O,24)*INDEX(IdxPrecio_O,1,MIN(10,BX$17))*(1+P_dPrecio)</f>
        <v>0</v>
      </c>
      <c r="BY69" s="48" t="n">
        <f aca="false">BY$44*INDEX(Precio_O,24)*INDEX(IdxPrecio_O,1,MIN(10,BY$17))*(1+P_dPrecio)</f>
        <v>0</v>
      </c>
      <c r="BZ69" s="48" t="n">
        <f aca="false">BZ$44*INDEX(Precio_O,24)*INDEX(IdxPrecio_O,1,MIN(10,BZ$17))*(1+P_dPrecio)</f>
        <v>0</v>
      </c>
      <c r="CA69" s="48" t="n">
        <f aca="false">CA$44*INDEX(Precio_O,24)*INDEX(IdxPrecio_O,1,MIN(10,CA$17))*(1+P_dPrecio)</f>
        <v>0</v>
      </c>
      <c r="CB69" s="48" t="n">
        <f aca="false">CB$44*INDEX(Precio_O,24)*INDEX(IdxPrecio_O,1,MIN(10,CB$17))*(1+P_dPrecio)</f>
        <v>0</v>
      </c>
      <c r="CC69" s="48" t="n">
        <f aca="false">CC$44*INDEX(Precio_O,24)*INDEX(IdxPrecio_O,1,MIN(10,CC$17))*(1+P_dPrecio)</f>
        <v>0</v>
      </c>
      <c r="CD69" s="48" t="n">
        <f aca="false">CD$44*INDEX(Precio_O,24)*INDEX(IdxPrecio_O,1,MIN(10,CD$17))*(1+P_dPrecio)</f>
        <v>0</v>
      </c>
      <c r="CE69" s="48" t="n">
        <f aca="false">CE$44*INDEX(Precio_O,24)*INDEX(IdxPrecio_O,1,MIN(10,CE$17))*(1+P_dPrecio)</f>
        <v>0</v>
      </c>
      <c r="CF69" s="48" t="n">
        <f aca="false">CF$44*INDEX(Precio_O,24)*INDEX(IdxPrecio_O,1,MIN(10,CF$17))*(1+P_dPrecio)</f>
        <v>0</v>
      </c>
      <c r="CG69" s="48" t="n">
        <f aca="false">CG$44*INDEX(Precio_O,24)*INDEX(IdxPrecio_O,1,MIN(10,CG$17))*(1+P_dPrecio)</f>
        <v>0</v>
      </c>
      <c r="CH69" s="48" t="n">
        <f aca="false">CH$44*INDEX(Precio_O,24)*INDEX(IdxPrecio_O,1,MIN(10,CH$17))*(1+P_dPrecio)</f>
        <v>0</v>
      </c>
      <c r="CI69" s="48" t="n">
        <f aca="false">CI$44*INDEX(Precio_O,24)*INDEX(IdxPrecio_O,1,MIN(10,CI$17))*(1+P_dPrecio)</f>
        <v>0</v>
      </c>
      <c r="CJ69" s="48" t="n">
        <f aca="false">CJ$44*INDEX(Precio_O,24)*INDEX(IdxPrecio_O,1,MIN(10,CJ$17))*(1+P_dPrecio)</f>
        <v>0</v>
      </c>
      <c r="CK69" s="48" t="n">
        <f aca="false">CK$44*INDEX(Precio_O,24)*INDEX(IdxPrecio_O,1,MIN(10,CK$17))*(1+P_dPrecio)</f>
        <v>0</v>
      </c>
      <c r="CL69" s="48" t="n">
        <f aca="false">CL$44*INDEX(Precio_O,24)*INDEX(IdxPrecio_O,1,MIN(10,CL$17))*(1+P_dPrecio)</f>
        <v>0</v>
      </c>
      <c r="CM69" s="48" t="n">
        <f aca="false">CM$44*INDEX(Precio_O,24)*INDEX(IdxPrecio_O,1,MIN(10,CM$17))*(1+P_dPrecio)</f>
        <v>0</v>
      </c>
      <c r="CN69" s="48" t="n">
        <f aca="false">CN$44*INDEX(Precio_O,24)*INDEX(IdxPrecio_O,1,MIN(10,CN$17))*(1+P_dPrecio)</f>
        <v>0</v>
      </c>
      <c r="CO69" s="48" t="n">
        <f aca="false">CO$44*INDEX(Precio_O,24)*INDEX(IdxPrecio_O,1,MIN(10,CO$17))*(1+P_dPrecio)</f>
        <v>0</v>
      </c>
      <c r="CP69" s="48" t="n">
        <f aca="false">CP$44*INDEX(Precio_O,24)*INDEX(IdxPrecio_O,1,MIN(10,CP$17))*(1+P_dPrecio)</f>
        <v>0</v>
      </c>
      <c r="CQ69" s="48" t="n">
        <f aca="false">CQ$44*INDEX(Precio_O,24)*INDEX(IdxPrecio_O,1,MIN(10,CQ$17))*(1+P_dPrecio)</f>
        <v>0</v>
      </c>
      <c r="CR69" s="48" t="n">
        <f aca="false">CR$44*INDEX(Precio_O,24)*INDEX(IdxPrecio_O,1,MIN(10,CR$17))*(1+P_dPrecio)</f>
        <v>0</v>
      </c>
      <c r="CS69" s="48" t="n">
        <f aca="false">CS$44*INDEX(Precio_O,24)*INDEX(IdxPrecio_O,1,MIN(10,CS$17))*(1+P_dPrecio)</f>
        <v>0</v>
      </c>
      <c r="CT69" s="48" t="n">
        <f aca="false">CT$44*INDEX(Precio_O,24)*INDEX(IdxPrecio_O,1,MIN(10,CT$17))*(1+P_dPrecio)</f>
        <v>0</v>
      </c>
      <c r="CU69" s="48" t="n">
        <f aca="false">CU$44*INDEX(Precio_O,24)*INDEX(IdxPrecio_O,1,MIN(10,CU$17))*(1+P_dPrecio)</f>
        <v>0</v>
      </c>
      <c r="CV69" s="48" t="n">
        <f aca="false">CV$44*INDEX(Precio_O,24)*INDEX(IdxPrecio_O,1,MIN(10,CV$17))*(1+P_dPrecio)</f>
        <v>0</v>
      </c>
      <c r="CW69" s="48" t="n">
        <f aca="false">CW$44*INDEX(Precio_O,24)*INDEX(IdxPrecio_O,1,MIN(10,CW$17))*(1+P_dPrecio)</f>
        <v>0</v>
      </c>
      <c r="CX69" s="48" t="n">
        <f aca="false">CX$44*INDEX(Precio_O,24)*INDEX(IdxPrecio_O,1,MIN(10,CX$17))*(1+P_dPrecio)</f>
        <v>0</v>
      </c>
      <c r="CY69" s="48" t="n">
        <f aca="false">CY$44*INDEX(Precio_O,24)*INDEX(IdxPrecio_O,1,MIN(10,CY$17))*(1+P_dPrecio)</f>
        <v>0</v>
      </c>
      <c r="CZ69" s="48" t="n">
        <f aca="false">CZ$44*INDEX(Precio_O,24)*INDEX(IdxPrecio_O,1,MIN(10,CZ$17))*(1+P_dPrecio)</f>
        <v>0</v>
      </c>
      <c r="DA69" s="48" t="n">
        <f aca="false">DA$44*INDEX(Precio_O,24)*INDEX(IdxPrecio_O,1,MIN(10,DA$17))*(1+P_dPrecio)</f>
        <v>0</v>
      </c>
      <c r="DB69" s="48" t="n">
        <f aca="false">DB$44*INDEX(Precio_O,24)*INDEX(IdxPrecio_O,1,MIN(10,DB$17))*(1+P_dPrecio)</f>
        <v>0</v>
      </c>
      <c r="DC69" s="48" t="n">
        <f aca="false">DC$44*INDEX(Precio_O,24)*INDEX(IdxPrecio_O,1,MIN(10,DC$17))*(1+P_dPrecio)</f>
        <v>0</v>
      </c>
      <c r="DD69" s="48" t="n">
        <f aca="false">DD$44*INDEX(Precio_O,24)*INDEX(IdxPrecio_O,1,MIN(10,DD$17))*(1+P_dPrecio)</f>
        <v>0</v>
      </c>
      <c r="DE69" s="48" t="n">
        <f aca="false">DE$44*INDEX(Precio_O,24)*INDEX(IdxPrecio_O,1,MIN(10,DE$17))*(1+P_dPrecio)</f>
        <v>0</v>
      </c>
      <c r="DF69" s="48" t="n">
        <f aca="false">DF$44*INDEX(Precio_O,24)*INDEX(IdxPrecio_O,1,MIN(10,DF$17))*(1+P_dPrecio)</f>
        <v>0</v>
      </c>
      <c r="DG69" s="48" t="n">
        <f aca="false">DG$44*INDEX(Precio_O,24)*INDEX(IdxPrecio_O,1,MIN(10,DG$17))*(1+P_dPrecio)</f>
        <v>0</v>
      </c>
      <c r="DH69" s="48" t="n">
        <f aca="false">DH$44*INDEX(Precio_O,24)*INDEX(IdxPrecio_O,1,MIN(10,DH$17))*(1+P_dPrecio)</f>
        <v>0</v>
      </c>
      <c r="DI69" s="48" t="n">
        <f aca="false">DI$44*INDEX(Precio_O,24)*INDEX(IdxPrecio_O,1,MIN(10,DI$17))*(1+P_dPrecio)</f>
        <v>0</v>
      </c>
      <c r="DJ69" s="48" t="n">
        <f aca="false">DJ$44*INDEX(Precio_O,24)*INDEX(IdxPrecio_O,1,MIN(10,DJ$17))*(1+P_dPrecio)</f>
        <v>0</v>
      </c>
      <c r="DK69" s="48" t="n">
        <f aca="false">DK$44*INDEX(Precio_O,24)*INDEX(IdxPrecio_O,1,MIN(10,DK$17))*(1+P_dPrecio)</f>
        <v>0</v>
      </c>
      <c r="DL69" s="48" t="n">
        <f aca="false">DL$44*INDEX(Precio_O,24)*INDEX(IdxPrecio_O,1,MIN(10,DL$17))*(1+P_dPrecio)</f>
        <v>0</v>
      </c>
      <c r="DM69" s="48" t="n">
        <f aca="false">DM$44*INDEX(Precio_O,24)*INDEX(IdxPrecio_O,1,MIN(10,DM$17))*(1+P_dPrecio)</f>
        <v>0</v>
      </c>
      <c r="DN69" s="48" t="n">
        <f aca="false">DN$44*INDEX(Precio_O,24)*INDEX(IdxPrecio_O,1,MIN(10,DN$17))*(1+P_dPrecio)</f>
        <v>0</v>
      </c>
      <c r="DO69" s="48" t="n">
        <f aca="false">DO$44*INDEX(Precio_O,24)*INDEX(IdxPrecio_O,1,MIN(10,DO$17))*(1+P_dPrecio)</f>
        <v>0</v>
      </c>
      <c r="DP69" s="48" t="n">
        <f aca="false">DP$44*INDEX(Precio_O,24)*INDEX(IdxPrecio_O,1,MIN(10,DP$17))*(1+P_dPrecio)</f>
        <v>0</v>
      </c>
      <c r="DQ69" s="48" t="n">
        <f aca="false">DQ$44*INDEX(Precio_O,24)*INDEX(IdxPrecio_O,1,MIN(10,DQ$17))*(1+P_dPrecio)</f>
        <v>0</v>
      </c>
      <c r="DR69" s="48" t="n">
        <f aca="false">DR$44*INDEX(Precio_O,24)*INDEX(IdxPrecio_O,1,MIN(10,DR$17))*(1+P_dPrecio)</f>
        <v>0</v>
      </c>
      <c r="DS69" s="48" t="n">
        <f aca="false">DS$44*INDEX(Precio_O,24)*INDEX(IdxPrecio_O,1,MIN(10,DS$17))*(1+P_dPrecio)</f>
        <v>0</v>
      </c>
      <c r="DT69" s="48" t="n">
        <f aca="false">DT$44*INDEX(Precio_O,24)*INDEX(IdxPrecio_O,1,MIN(10,DT$17))*(1+P_dPrecio)</f>
        <v>0</v>
      </c>
      <c r="DU69" s="48" t="n">
        <f aca="false">DU$44*INDEX(Precio_O,24)*INDEX(IdxPrecio_O,1,MIN(10,DU$17))*(1+P_dPrecio)</f>
        <v>0</v>
      </c>
      <c r="DV69" s="48" t="n">
        <f aca="false">DV$44*INDEX(Precio_O,24)*INDEX(IdxPrecio_O,1,MIN(10,DV$17))*(1+P_dPrecio)</f>
        <v>0</v>
      </c>
      <c r="DW69" s="48" t="n">
        <f aca="false">DW$44*INDEX(Precio_O,24)*INDEX(IdxPrecio_O,1,MIN(10,DW$17))*(1+P_dPrecio)</f>
        <v>0</v>
      </c>
      <c r="DX69" s="48" t="n">
        <f aca="false">DX$44*INDEX(Precio_O,24)*INDEX(IdxPrecio_O,1,MIN(10,DX$17))*(1+P_dPrecio)</f>
        <v>0</v>
      </c>
      <c r="DY69" s="48" t="n">
        <f aca="false">DY$44*INDEX(Precio_O,24)*INDEX(IdxPrecio_O,1,MIN(10,DY$17))*(1+P_dPrecio)</f>
        <v>0</v>
      </c>
      <c r="DZ69" s="48" t="n">
        <f aca="false">DZ$44*INDEX(Precio_O,24)*INDEX(IdxPrecio_O,1,MIN(10,DZ$17))*(1+P_dPrecio)</f>
        <v>0</v>
      </c>
      <c r="EA69" s="48" t="n">
        <f aca="false">EA$44*INDEX(Precio_O,24)*INDEX(IdxPrecio_O,1,MIN(10,EA$17))*(1+P_dPrecio)</f>
        <v>0</v>
      </c>
      <c r="EB69" s="48" t="n">
        <f aca="false">EB$44*INDEX(Precio_O,24)*INDEX(IdxPrecio_O,1,MIN(10,EB$17))*(1+P_dPrecio)</f>
        <v>0</v>
      </c>
      <c r="EC69" s="48" t="n">
        <f aca="false">EC$44*INDEX(Precio_O,24)*INDEX(IdxPrecio_O,1,MIN(10,EC$17))*(1+P_dPrecio)</f>
        <v>0</v>
      </c>
      <c r="ED69" s="48" t="n">
        <f aca="false">ED$44*INDEX(Precio_O,24)*INDEX(IdxPrecio_O,1,MIN(10,ED$17))*(1+P_dPrecio)</f>
        <v>0</v>
      </c>
      <c r="EE69" s="48" t="n">
        <f aca="false">EE$44*INDEX(Precio_O,24)*INDEX(IdxPrecio_O,1,MIN(10,EE$17))*(1+P_dPrecio)</f>
        <v>0</v>
      </c>
      <c r="EF69" s="48" t="n">
        <f aca="false">EF$44*INDEX(Precio_O,24)*INDEX(IdxPrecio_O,1,MIN(10,EF$17))*(1+P_dPrecio)</f>
        <v>0</v>
      </c>
      <c r="EG69" s="48" t="n">
        <f aca="false">EG$44*INDEX(Precio_O,24)*INDEX(IdxPrecio_O,1,MIN(10,EG$17))*(1+P_dPrecio)</f>
        <v>0</v>
      </c>
      <c r="EH69" s="48" t="n">
        <f aca="false">EH$44*INDEX(Precio_O,24)*INDEX(IdxPrecio_O,1,MIN(10,EH$17))*(1+P_dPrecio)</f>
        <v>0</v>
      </c>
      <c r="EI69" s="48" t="n">
        <f aca="false">EI$44*INDEX(Precio_O,24)*INDEX(IdxPrecio_O,1,MIN(10,EI$17))*(1+P_dPrecio)</f>
        <v>0</v>
      </c>
      <c r="EJ69" s="48" t="n">
        <f aca="false">EJ$44*INDEX(Precio_O,24)*INDEX(IdxPrecio_O,1,MIN(10,EJ$17))*(1+P_dPrecio)</f>
        <v>0</v>
      </c>
      <c r="EK69" s="48" t="n">
        <f aca="false">EK$44*INDEX(Precio_O,24)*INDEX(IdxPrecio_O,1,MIN(10,EK$17))*(1+P_dPrecio)</f>
        <v>0</v>
      </c>
      <c r="EL69" s="48" t="n">
        <f aca="false">EL$44*INDEX(Precio_O,24)*INDEX(IdxPrecio_O,1,MIN(10,EL$17))*(1+P_dPrecio)</f>
        <v>0</v>
      </c>
      <c r="EM69" s="48" t="n">
        <f aca="false">EM$44*INDEX(Precio_O,24)*INDEX(IdxPrecio_O,1,MIN(10,EM$17))*(1+P_dPrecio)</f>
        <v>0</v>
      </c>
      <c r="EN69" s="48" t="n">
        <f aca="false">EN$44*INDEX(Precio_O,24)*INDEX(IdxPrecio_O,1,MIN(10,EN$17))*(1+P_dPrecio)</f>
        <v>0</v>
      </c>
      <c r="EO69" s="48" t="n">
        <f aca="false">EO$44*INDEX(Precio_O,24)*INDEX(IdxPrecio_O,1,MIN(10,EO$17))*(1+P_dPrecio)</f>
        <v>0</v>
      </c>
      <c r="EP69" s="48" t="n">
        <f aca="false">EP$44*INDEX(Precio_O,24)*INDEX(IdxPrecio_O,1,MIN(10,EP$17))*(1+P_dPrecio)</f>
        <v>0</v>
      </c>
      <c r="EQ69" s="48" t="n">
        <f aca="false">EQ$44*INDEX(Precio_O,24)*INDEX(IdxPrecio_O,1,MIN(10,EQ$17))*(1+P_dPrecio)</f>
        <v>0</v>
      </c>
      <c r="ER69" s="48" t="n">
        <f aca="false">ER$44*INDEX(Precio_O,24)*INDEX(IdxPrecio_O,1,MIN(10,ER$17))*(1+P_dPrecio)</f>
        <v>0</v>
      </c>
      <c r="ES69" s="48" t="n">
        <f aca="false">ES$44*INDEX(Precio_O,24)*INDEX(IdxPrecio_O,1,MIN(10,ES$17))*(1+P_dPrecio)</f>
        <v>0</v>
      </c>
    </row>
    <row r="70" customFormat="false" ht="15" hidden="false" customHeight="false" outlineLevel="0" collapsed="false">
      <c r="A70" s="11" t="s">
        <v>1115</v>
      </c>
      <c r="B70" s="53" t="str">
        <f aca="false">IF(INDEX(Prod_Nombre,25)="","Producto 25",INDEX(Prod_Nombre,25))&amp;" — ventas USD"</f>
        <v>Producto 25 — ventas USD</v>
      </c>
      <c r="C70" s="15" t="s">
        <v>508</v>
      </c>
      <c r="E70" s="54" t="n">
        <f aca="false">SUM(F70:ES70)</f>
        <v>0</v>
      </c>
      <c r="F70" s="48" t="n">
        <f aca="false">F$45*INDEX(Precio_O,25)*INDEX(IdxPrecio_O,1,MIN(10,F$17))*(1+P_dPrecio)</f>
        <v>0</v>
      </c>
      <c r="G70" s="48" t="n">
        <f aca="false">G$45*INDEX(Precio_O,25)*INDEX(IdxPrecio_O,1,MIN(10,G$17))*(1+P_dPrecio)</f>
        <v>0</v>
      </c>
      <c r="H70" s="48" t="n">
        <f aca="false">H$45*INDEX(Precio_O,25)*INDEX(IdxPrecio_O,1,MIN(10,H$17))*(1+P_dPrecio)</f>
        <v>0</v>
      </c>
      <c r="I70" s="48" t="n">
        <f aca="false">I$45*INDEX(Precio_O,25)*INDEX(IdxPrecio_O,1,MIN(10,I$17))*(1+P_dPrecio)</f>
        <v>0</v>
      </c>
      <c r="J70" s="48" t="n">
        <f aca="false">J$45*INDEX(Precio_O,25)*INDEX(IdxPrecio_O,1,MIN(10,J$17))*(1+P_dPrecio)</f>
        <v>0</v>
      </c>
      <c r="K70" s="48" t="n">
        <f aca="false">K$45*INDEX(Precio_O,25)*INDEX(IdxPrecio_O,1,MIN(10,K$17))*(1+P_dPrecio)</f>
        <v>0</v>
      </c>
      <c r="L70" s="48" t="n">
        <f aca="false">L$45*INDEX(Precio_O,25)*INDEX(IdxPrecio_O,1,MIN(10,L$17))*(1+P_dPrecio)</f>
        <v>0</v>
      </c>
      <c r="M70" s="48" t="n">
        <f aca="false">M$45*INDEX(Precio_O,25)*INDEX(IdxPrecio_O,1,MIN(10,M$17))*(1+P_dPrecio)</f>
        <v>0</v>
      </c>
      <c r="N70" s="48" t="n">
        <f aca="false">N$45*INDEX(Precio_O,25)*INDEX(IdxPrecio_O,1,MIN(10,N$17))*(1+P_dPrecio)</f>
        <v>0</v>
      </c>
      <c r="O70" s="48" t="n">
        <f aca="false">O$45*INDEX(Precio_O,25)*INDEX(IdxPrecio_O,1,MIN(10,O$17))*(1+P_dPrecio)</f>
        <v>0</v>
      </c>
      <c r="P70" s="48" t="n">
        <f aca="false">P$45*INDEX(Precio_O,25)*INDEX(IdxPrecio_O,1,MIN(10,P$17))*(1+P_dPrecio)</f>
        <v>0</v>
      </c>
      <c r="Q70" s="48" t="n">
        <f aca="false">Q$45*INDEX(Precio_O,25)*INDEX(IdxPrecio_O,1,MIN(10,Q$17))*(1+P_dPrecio)</f>
        <v>0</v>
      </c>
      <c r="R70" s="48" t="n">
        <f aca="false">R$45*INDEX(Precio_O,25)*INDEX(IdxPrecio_O,1,MIN(10,R$17))*(1+P_dPrecio)</f>
        <v>0</v>
      </c>
      <c r="S70" s="48" t="n">
        <f aca="false">S$45*INDEX(Precio_O,25)*INDEX(IdxPrecio_O,1,MIN(10,S$17))*(1+P_dPrecio)</f>
        <v>0</v>
      </c>
      <c r="T70" s="48" t="n">
        <f aca="false">T$45*INDEX(Precio_O,25)*INDEX(IdxPrecio_O,1,MIN(10,T$17))*(1+P_dPrecio)</f>
        <v>0</v>
      </c>
      <c r="U70" s="48" t="n">
        <f aca="false">U$45*INDEX(Precio_O,25)*INDEX(IdxPrecio_O,1,MIN(10,U$17))*(1+P_dPrecio)</f>
        <v>0</v>
      </c>
      <c r="V70" s="48" t="n">
        <f aca="false">V$45*INDEX(Precio_O,25)*INDEX(IdxPrecio_O,1,MIN(10,V$17))*(1+P_dPrecio)</f>
        <v>0</v>
      </c>
      <c r="W70" s="48" t="n">
        <f aca="false">W$45*INDEX(Precio_O,25)*INDEX(IdxPrecio_O,1,MIN(10,W$17))*(1+P_dPrecio)</f>
        <v>0</v>
      </c>
      <c r="X70" s="48" t="n">
        <f aca="false">X$45*INDEX(Precio_O,25)*INDEX(IdxPrecio_O,1,MIN(10,X$17))*(1+P_dPrecio)</f>
        <v>0</v>
      </c>
      <c r="Y70" s="48" t="n">
        <f aca="false">Y$45*INDEX(Precio_O,25)*INDEX(IdxPrecio_O,1,MIN(10,Y$17))*(1+P_dPrecio)</f>
        <v>0</v>
      </c>
      <c r="Z70" s="48" t="n">
        <f aca="false">Z$45*INDEX(Precio_O,25)*INDEX(IdxPrecio_O,1,MIN(10,Z$17))*(1+P_dPrecio)</f>
        <v>0</v>
      </c>
      <c r="AA70" s="48" t="n">
        <f aca="false">AA$45*INDEX(Precio_O,25)*INDEX(IdxPrecio_O,1,MIN(10,AA$17))*(1+P_dPrecio)</f>
        <v>0</v>
      </c>
      <c r="AB70" s="48" t="n">
        <f aca="false">AB$45*INDEX(Precio_O,25)*INDEX(IdxPrecio_O,1,MIN(10,AB$17))*(1+P_dPrecio)</f>
        <v>0</v>
      </c>
      <c r="AC70" s="48" t="n">
        <f aca="false">AC$45*INDEX(Precio_O,25)*INDEX(IdxPrecio_O,1,MIN(10,AC$17))*(1+P_dPrecio)</f>
        <v>0</v>
      </c>
      <c r="AD70" s="48" t="n">
        <f aca="false">AD$45*INDEX(Precio_O,25)*INDEX(IdxPrecio_O,1,MIN(10,AD$17))*(1+P_dPrecio)</f>
        <v>0</v>
      </c>
      <c r="AE70" s="48" t="n">
        <f aca="false">AE$45*INDEX(Precio_O,25)*INDEX(IdxPrecio_O,1,MIN(10,AE$17))*(1+P_dPrecio)</f>
        <v>0</v>
      </c>
      <c r="AF70" s="48" t="n">
        <f aca="false">AF$45*INDEX(Precio_O,25)*INDEX(IdxPrecio_O,1,MIN(10,AF$17))*(1+P_dPrecio)</f>
        <v>0</v>
      </c>
      <c r="AG70" s="48" t="n">
        <f aca="false">AG$45*INDEX(Precio_O,25)*INDEX(IdxPrecio_O,1,MIN(10,AG$17))*(1+P_dPrecio)</f>
        <v>0</v>
      </c>
      <c r="AH70" s="48" t="n">
        <f aca="false">AH$45*INDEX(Precio_O,25)*INDEX(IdxPrecio_O,1,MIN(10,AH$17))*(1+P_dPrecio)</f>
        <v>0</v>
      </c>
      <c r="AI70" s="48" t="n">
        <f aca="false">AI$45*INDEX(Precio_O,25)*INDEX(IdxPrecio_O,1,MIN(10,AI$17))*(1+P_dPrecio)</f>
        <v>0</v>
      </c>
      <c r="AJ70" s="48" t="n">
        <f aca="false">AJ$45*INDEX(Precio_O,25)*INDEX(IdxPrecio_O,1,MIN(10,AJ$17))*(1+P_dPrecio)</f>
        <v>0</v>
      </c>
      <c r="AK70" s="48" t="n">
        <f aca="false">AK$45*INDEX(Precio_O,25)*INDEX(IdxPrecio_O,1,MIN(10,AK$17))*(1+P_dPrecio)</f>
        <v>0</v>
      </c>
      <c r="AL70" s="48" t="n">
        <f aca="false">AL$45*INDEX(Precio_O,25)*INDEX(IdxPrecio_O,1,MIN(10,AL$17))*(1+P_dPrecio)</f>
        <v>0</v>
      </c>
      <c r="AM70" s="48" t="n">
        <f aca="false">AM$45*INDEX(Precio_O,25)*INDEX(IdxPrecio_O,1,MIN(10,AM$17))*(1+P_dPrecio)</f>
        <v>0</v>
      </c>
      <c r="AN70" s="48" t="n">
        <f aca="false">AN$45*INDEX(Precio_O,25)*INDEX(IdxPrecio_O,1,MIN(10,AN$17))*(1+P_dPrecio)</f>
        <v>0</v>
      </c>
      <c r="AO70" s="48" t="n">
        <f aca="false">AO$45*INDEX(Precio_O,25)*INDEX(IdxPrecio_O,1,MIN(10,AO$17))*(1+P_dPrecio)</f>
        <v>0</v>
      </c>
      <c r="AP70" s="48" t="n">
        <f aca="false">AP$45*INDEX(Precio_O,25)*INDEX(IdxPrecio_O,1,MIN(10,AP$17))*(1+P_dPrecio)</f>
        <v>0</v>
      </c>
      <c r="AQ70" s="48" t="n">
        <f aca="false">AQ$45*INDEX(Precio_O,25)*INDEX(IdxPrecio_O,1,MIN(10,AQ$17))*(1+P_dPrecio)</f>
        <v>0</v>
      </c>
      <c r="AR70" s="48" t="n">
        <f aca="false">AR$45*INDEX(Precio_O,25)*INDEX(IdxPrecio_O,1,MIN(10,AR$17))*(1+P_dPrecio)</f>
        <v>0</v>
      </c>
      <c r="AS70" s="48" t="n">
        <f aca="false">AS$45*INDEX(Precio_O,25)*INDEX(IdxPrecio_O,1,MIN(10,AS$17))*(1+P_dPrecio)</f>
        <v>0</v>
      </c>
      <c r="AT70" s="48" t="n">
        <f aca="false">AT$45*INDEX(Precio_O,25)*INDEX(IdxPrecio_O,1,MIN(10,AT$17))*(1+P_dPrecio)</f>
        <v>0</v>
      </c>
      <c r="AU70" s="48" t="n">
        <f aca="false">AU$45*INDEX(Precio_O,25)*INDEX(IdxPrecio_O,1,MIN(10,AU$17))*(1+P_dPrecio)</f>
        <v>0</v>
      </c>
      <c r="AV70" s="48" t="n">
        <f aca="false">AV$45*INDEX(Precio_O,25)*INDEX(IdxPrecio_O,1,MIN(10,AV$17))*(1+P_dPrecio)</f>
        <v>0</v>
      </c>
      <c r="AW70" s="48" t="n">
        <f aca="false">AW$45*INDEX(Precio_O,25)*INDEX(IdxPrecio_O,1,MIN(10,AW$17))*(1+P_dPrecio)</f>
        <v>0</v>
      </c>
      <c r="AX70" s="48" t="n">
        <f aca="false">AX$45*INDEX(Precio_O,25)*INDEX(IdxPrecio_O,1,MIN(10,AX$17))*(1+P_dPrecio)</f>
        <v>0</v>
      </c>
      <c r="AY70" s="48" t="n">
        <f aca="false">AY$45*INDEX(Precio_O,25)*INDEX(IdxPrecio_O,1,MIN(10,AY$17))*(1+P_dPrecio)</f>
        <v>0</v>
      </c>
      <c r="AZ70" s="48" t="n">
        <f aca="false">AZ$45*INDEX(Precio_O,25)*INDEX(IdxPrecio_O,1,MIN(10,AZ$17))*(1+P_dPrecio)</f>
        <v>0</v>
      </c>
      <c r="BA70" s="48" t="n">
        <f aca="false">BA$45*INDEX(Precio_O,25)*INDEX(IdxPrecio_O,1,MIN(10,BA$17))*(1+P_dPrecio)</f>
        <v>0</v>
      </c>
      <c r="BB70" s="48" t="n">
        <f aca="false">BB$45*INDEX(Precio_O,25)*INDEX(IdxPrecio_O,1,MIN(10,BB$17))*(1+P_dPrecio)</f>
        <v>0</v>
      </c>
      <c r="BC70" s="48" t="n">
        <f aca="false">BC$45*INDEX(Precio_O,25)*INDEX(IdxPrecio_O,1,MIN(10,BC$17))*(1+P_dPrecio)</f>
        <v>0</v>
      </c>
      <c r="BD70" s="48" t="n">
        <f aca="false">BD$45*INDEX(Precio_O,25)*INDEX(IdxPrecio_O,1,MIN(10,BD$17))*(1+P_dPrecio)</f>
        <v>0</v>
      </c>
      <c r="BE70" s="48" t="n">
        <f aca="false">BE$45*INDEX(Precio_O,25)*INDEX(IdxPrecio_O,1,MIN(10,BE$17))*(1+P_dPrecio)</f>
        <v>0</v>
      </c>
      <c r="BF70" s="48" t="n">
        <f aca="false">BF$45*INDEX(Precio_O,25)*INDEX(IdxPrecio_O,1,MIN(10,BF$17))*(1+P_dPrecio)</f>
        <v>0</v>
      </c>
      <c r="BG70" s="48" t="n">
        <f aca="false">BG$45*INDEX(Precio_O,25)*INDEX(IdxPrecio_O,1,MIN(10,BG$17))*(1+P_dPrecio)</f>
        <v>0</v>
      </c>
      <c r="BH70" s="48" t="n">
        <f aca="false">BH$45*INDEX(Precio_O,25)*INDEX(IdxPrecio_O,1,MIN(10,BH$17))*(1+P_dPrecio)</f>
        <v>0</v>
      </c>
      <c r="BI70" s="48" t="n">
        <f aca="false">BI$45*INDEX(Precio_O,25)*INDEX(IdxPrecio_O,1,MIN(10,BI$17))*(1+P_dPrecio)</f>
        <v>0</v>
      </c>
      <c r="BJ70" s="48" t="n">
        <f aca="false">BJ$45*INDEX(Precio_O,25)*INDEX(IdxPrecio_O,1,MIN(10,BJ$17))*(1+P_dPrecio)</f>
        <v>0</v>
      </c>
      <c r="BK70" s="48" t="n">
        <f aca="false">BK$45*INDEX(Precio_O,25)*INDEX(IdxPrecio_O,1,MIN(10,BK$17))*(1+P_dPrecio)</f>
        <v>0</v>
      </c>
      <c r="BL70" s="48" t="n">
        <f aca="false">BL$45*INDEX(Precio_O,25)*INDEX(IdxPrecio_O,1,MIN(10,BL$17))*(1+P_dPrecio)</f>
        <v>0</v>
      </c>
      <c r="BM70" s="48" t="n">
        <f aca="false">BM$45*INDEX(Precio_O,25)*INDEX(IdxPrecio_O,1,MIN(10,BM$17))*(1+P_dPrecio)</f>
        <v>0</v>
      </c>
      <c r="BN70" s="48" t="n">
        <f aca="false">BN$45*INDEX(Precio_O,25)*INDEX(IdxPrecio_O,1,MIN(10,BN$17))*(1+P_dPrecio)</f>
        <v>0</v>
      </c>
      <c r="BO70" s="48" t="n">
        <f aca="false">BO$45*INDEX(Precio_O,25)*INDEX(IdxPrecio_O,1,MIN(10,BO$17))*(1+P_dPrecio)</f>
        <v>0</v>
      </c>
      <c r="BP70" s="48" t="n">
        <f aca="false">BP$45*INDEX(Precio_O,25)*INDEX(IdxPrecio_O,1,MIN(10,BP$17))*(1+P_dPrecio)</f>
        <v>0</v>
      </c>
      <c r="BQ70" s="48" t="n">
        <f aca="false">BQ$45*INDEX(Precio_O,25)*INDEX(IdxPrecio_O,1,MIN(10,BQ$17))*(1+P_dPrecio)</f>
        <v>0</v>
      </c>
      <c r="BR70" s="48" t="n">
        <f aca="false">BR$45*INDEX(Precio_O,25)*INDEX(IdxPrecio_O,1,MIN(10,BR$17))*(1+P_dPrecio)</f>
        <v>0</v>
      </c>
      <c r="BS70" s="48" t="n">
        <f aca="false">BS$45*INDEX(Precio_O,25)*INDEX(IdxPrecio_O,1,MIN(10,BS$17))*(1+P_dPrecio)</f>
        <v>0</v>
      </c>
      <c r="BT70" s="48" t="n">
        <f aca="false">BT$45*INDEX(Precio_O,25)*INDEX(IdxPrecio_O,1,MIN(10,BT$17))*(1+P_dPrecio)</f>
        <v>0</v>
      </c>
      <c r="BU70" s="48" t="n">
        <f aca="false">BU$45*INDEX(Precio_O,25)*INDEX(IdxPrecio_O,1,MIN(10,BU$17))*(1+P_dPrecio)</f>
        <v>0</v>
      </c>
      <c r="BV70" s="48" t="n">
        <f aca="false">BV$45*INDEX(Precio_O,25)*INDEX(IdxPrecio_O,1,MIN(10,BV$17))*(1+P_dPrecio)</f>
        <v>0</v>
      </c>
      <c r="BW70" s="48" t="n">
        <f aca="false">BW$45*INDEX(Precio_O,25)*INDEX(IdxPrecio_O,1,MIN(10,BW$17))*(1+P_dPrecio)</f>
        <v>0</v>
      </c>
      <c r="BX70" s="48" t="n">
        <f aca="false">BX$45*INDEX(Precio_O,25)*INDEX(IdxPrecio_O,1,MIN(10,BX$17))*(1+P_dPrecio)</f>
        <v>0</v>
      </c>
      <c r="BY70" s="48" t="n">
        <f aca="false">BY$45*INDEX(Precio_O,25)*INDEX(IdxPrecio_O,1,MIN(10,BY$17))*(1+P_dPrecio)</f>
        <v>0</v>
      </c>
      <c r="BZ70" s="48" t="n">
        <f aca="false">BZ$45*INDEX(Precio_O,25)*INDEX(IdxPrecio_O,1,MIN(10,BZ$17))*(1+P_dPrecio)</f>
        <v>0</v>
      </c>
      <c r="CA70" s="48" t="n">
        <f aca="false">CA$45*INDEX(Precio_O,25)*INDEX(IdxPrecio_O,1,MIN(10,CA$17))*(1+P_dPrecio)</f>
        <v>0</v>
      </c>
      <c r="CB70" s="48" t="n">
        <f aca="false">CB$45*INDEX(Precio_O,25)*INDEX(IdxPrecio_O,1,MIN(10,CB$17))*(1+P_dPrecio)</f>
        <v>0</v>
      </c>
      <c r="CC70" s="48" t="n">
        <f aca="false">CC$45*INDEX(Precio_O,25)*INDEX(IdxPrecio_O,1,MIN(10,CC$17))*(1+P_dPrecio)</f>
        <v>0</v>
      </c>
      <c r="CD70" s="48" t="n">
        <f aca="false">CD$45*INDEX(Precio_O,25)*INDEX(IdxPrecio_O,1,MIN(10,CD$17))*(1+P_dPrecio)</f>
        <v>0</v>
      </c>
      <c r="CE70" s="48" t="n">
        <f aca="false">CE$45*INDEX(Precio_O,25)*INDEX(IdxPrecio_O,1,MIN(10,CE$17))*(1+P_dPrecio)</f>
        <v>0</v>
      </c>
      <c r="CF70" s="48" t="n">
        <f aca="false">CF$45*INDEX(Precio_O,25)*INDEX(IdxPrecio_O,1,MIN(10,CF$17))*(1+P_dPrecio)</f>
        <v>0</v>
      </c>
      <c r="CG70" s="48" t="n">
        <f aca="false">CG$45*INDEX(Precio_O,25)*INDEX(IdxPrecio_O,1,MIN(10,CG$17))*(1+P_dPrecio)</f>
        <v>0</v>
      </c>
      <c r="CH70" s="48" t="n">
        <f aca="false">CH$45*INDEX(Precio_O,25)*INDEX(IdxPrecio_O,1,MIN(10,CH$17))*(1+P_dPrecio)</f>
        <v>0</v>
      </c>
      <c r="CI70" s="48" t="n">
        <f aca="false">CI$45*INDEX(Precio_O,25)*INDEX(IdxPrecio_O,1,MIN(10,CI$17))*(1+P_dPrecio)</f>
        <v>0</v>
      </c>
      <c r="CJ70" s="48" t="n">
        <f aca="false">CJ$45*INDEX(Precio_O,25)*INDEX(IdxPrecio_O,1,MIN(10,CJ$17))*(1+P_dPrecio)</f>
        <v>0</v>
      </c>
      <c r="CK70" s="48" t="n">
        <f aca="false">CK$45*INDEX(Precio_O,25)*INDEX(IdxPrecio_O,1,MIN(10,CK$17))*(1+P_dPrecio)</f>
        <v>0</v>
      </c>
      <c r="CL70" s="48" t="n">
        <f aca="false">CL$45*INDEX(Precio_O,25)*INDEX(IdxPrecio_O,1,MIN(10,CL$17))*(1+P_dPrecio)</f>
        <v>0</v>
      </c>
      <c r="CM70" s="48" t="n">
        <f aca="false">CM$45*INDEX(Precio_O,25)*INDEX(IdxPrecio_O,1,MIN(10,CM$17))*(1+P_dPrecio)</f>
        <v>0</v>
      </c>
      <c r="CN70" s="48" t="n">
        <f aca="false">CN$45*INDEX(Precio_O,25)*INDEX(IdxPrecio_O,1,MIN(10,CN$17))*(1+P_dPrecio)</f>
        <v>0</v>
      </c>
      <c r="CO70" s="48" t="n">
        <f aca="false">CO$45*INDEX(Precio_O,25)*INDEX(IdxPrecio_O,1,MIN(10,CO$17))*(1+P_dPrecio)</f>
        <v>0</v>
      </c>
      <c r="CP70" s="48" t="n">
        <f aca="false">CP$45*INDEX(Precio_O,25)*INDEX(IdxPrecio_O,1,MIN(10,CP$17))*(1+P_dPrecio)</f>
        <v>0</v>
      </c>
      <c r="CQ70" s="48" t="n">
        <f aca="false">CQ$45*INDEX(Precio_O,25)*INDEX(IdxPrecio_O,1,MIN(10,CQ$17))*(1+P_dPrecio)</f>
        <v>0</v>
      </c>
      <c r="CR70" s="48" t="n">
        <f aca="false">CR$45*INDEX(Precio_O,25)*INDEX(IdxPrecio_O,1,MIN(10,CR$17))*(1+P_dPrecio)</f>
        <v>0</v>
      </c>
      <c r="CS70" s="48" t="n">
        <f aca="false">CS$45*INDEX(Precio_O,25)*INDEX(IdxPrecio_O,1,MIN(10,CS$17))*(1+P_dPrecio)</f>
        <v>0</v>
      </c>
      <c r="CT70" s="48" t="n">
        <f aca="false">CT$45*INDEX(Precio_O,25)*INDEX(IdxPrecio_O,1,MIN(10,CT$17))*(1+P_dPrecio)</f>
        <v>0</v>
      </c>
      <c r="CU70" s="48" t="n">
        <f aca="false">CU$45*INDEX(Precio_O,25)*INDEX(IdxPrecio_O,1,MIN(10,CU$17))*(1+P_dPrecio)</f>
        <v>0</v>
      </c>
      <c r="CV70" s="48" t="n">
        <f aca="false">CV$45*INDEX(Precio_O,25)*INDEX(IdxPrecio_O,1,MIN(10,CV$17))*(1+P_dPrecio)</f>
        <v>0</v>
      </c>
      <c r="CW70" s="48" t="n">
        <f aca="false">CW$45*INDEX(Precio_O,25)*INDEX(IdxPrecio_O,1,MIN(10,CW$17))*(1+P_dPrecio)</f>
        <v>0</v>
      </c>
      <c r="CX70" s="48" t="n">
        <f aca="false">CX$45*INDEX(Precio_O,25)*INDEX(IdxPrecio_O,1,MIN(10,CX$17))*(1+P_dPrecio)</f>
        <v>0</v>
      </c>
      <c r="CY70" s="48" t="n">
        <f aca="false">CY$45*INDEX(Precio_O,25)*INDEX(IdxPrecio_O,1,MIN(10,CY$17))*(1+P_dPrecio)</f>
        <v>0</v>
      </c>
      <c r="CZ70" s="48" t="n">
        <f aca="false">CZ$45*INDEX(Precio_O,25)*INDEX(IdxPrecio_O,1,MIN(10,CZ$17))*(1+P_dPrecio)</f>
        <v>0</v>
      </c>
      <c r="DA70" s="48" t="n">
        <f aca="false">DA$45*INDEX(Precio_O,25)*INDEX(IdxPrecio_O,1,MIN(10,DA$17))*(1+P_dPrecio)</f>
        <v>0</v>
      </c>
      <c r="DB70" s="48" t="n">
        <f aca="false">DB$45*INDEX(Precio_O,25)*INDEX(IdxPrecio_O,1,MIN(10,DB$17))*(1+P_dPrecio)</f>
        <v>0</v>
      </c>
      <c r="DC70" s="48" t="n">
        <f aca="false">DC$45*INDEX(Precio_O,25)*INDEX(IdxPrecio_O,1,MIN(10,DC$17))*(1+P_dPrecio)</f>
        <v>0</v>
      </c>
      <c r="DD70" s="48" t="n">
        <f aca="false">DD$45*INDEX(Precio_O,25)*INDEX(IdxPrecio_O,1,MIN(10,DD$17))*(1+P_dPrecio)</f>
        <v>0</v>
      </c>
      <c r="DE70" s="48" t="n">
        <f aca="false">DE$45*INDEX(Precio_O,25)*INDEX(IdxPrecio_O,1,MIN(10,DE$17))*(1+P_dPrecio)</f>
        <v>0</v>
      </c>
      <c r="DF70" s="48" t="n">
        <f aca="false">DF$45*INDEX(Precio_O,25)*INDEX(IdxPrecio_O,1,MIN(10,DF$17))*(1+P_dPrecio)</f>
        <v>0</v>
      </c>
      <c r="DG70" s="48" t="n">
        <f aca="false">DG$45*INDEX(Precio_O,25)*INDEX(IdxPrecio_O,1,MIN(10,DG$17))*(1+P_dPrecio)</f>
        <v>0</v>
      </c>
      <c r="DH70" s="48" t="n">
        <f aca="false">DH$45*INDEX(Precio_O,25)*INDEX(IdxPrecio_O,1,MIN(10,DH$17))*(1+P_dPrecio)</f>
        <v>0</v>
      </c>
      <c r="DI70" s="48" t="n">
        <f aca="false">DI$45*INDEX(Precio_O,25)*INDEX(IdxPrecio_O,1,MIN(10,DI$17))*(1+P_dPrecio)</f>
        <v>0</v>
      </c>
      <c r="DJ70" s="48" t="n">
        <f aca="false">DJ$45*INDEX(Precio_O,25)*INDEX(IdxPrecio_O,1,MIN(10,DJ$17))*(1+P_dPrecio)</f>
        <v>0</v>
      </c>
      <c r="DK70" s="48" t="n">
        <f aca="false">DK$45*INDEX(Precio_O,25)*INDEX(IdxPrecio_O,1,MIN(10,DK$17))*(1+P_dPrecio)</f>
        <v>0</v>
      </c>
      <c r="DL70" s="48" t="n">
        <f aca="false">DL$45*INDEX(Precio_O,25)*INDEX(IdxPrecio_O,1,MIN(10,DL$17))*(1+P_dPrecio)</f>
        <v>0</v>
      </c>
      <c r="DM70" s="48" t="n">
        <f aca="false">DM$45*INDEX(Precio_O,25)*INDEX(IdxPrecio_O,1,MIN(10,DM$17))*(1+P_dPrecio)</f>
        <v>0</v>
      </c>
      <c r="DN70" s="48" t="n">
        <f aca="false">DN$45*INDEX(Precio_O,25)*INDEX(IdxPrecio_O,1,MIN(10,DN$17))*(1+P_dPrecio)</f>
        <v>0</v>
      </c>
      <c r="DO70" s="48" t="n">
        <f aca="false">DO$45*INDEX(Precio_O,25)*INDEX(IdxPrecio_O,1,MIN(10,DO$17))*(1+P_dPrecio)</f>
        <v>0</v>
      </c>
      <c r="DP70" s="48" t="n">
        <f aca="false">DP$45*INDEX(Precio_O,25)*INDEX(IdxPrecio_O,1,MIN(10,DP$17))*(1+P_dPrecio)</f>
        <v>0</v>
      </c>
      <c r="DQ70" s="48" t="n">
        <f aca="false">DQ$45*INDEX(Precio_O,25)*INDEX(IdxPrecio_O,1,MIN(10,DQ$17))*(1+P_dPrecio)</f>
        <v>0</v>
      </c>
      <c r="DR70" s="48" t="n">
        <f aca="false">DR$45*INDEX(Precio_O,25)*INDEX(IdxPrecio_O,1,MIN(10,DR$17))*(1+P_dPrecio)</f>
        <v>0</v>
      </c>
      <c r="DS70" s="48" t="n">
        <f aca="false">DS$45*INDEX(Precio_O,25)*INDEX(IdxPrecio_O,1,MIN(10,DS$17))*(1+P_dPrecio)</f>
        <v>0</v>
      </c>
      <c r="DT70" s="48" t="n">
        <f aca="false">DT$45*INDEX(Precio_O,25)*INDEX(IdxPrecio_O,1,MIN(10,DT$17))*(1+P_dPrecio)</f>
        <v>0</v>
      </c>
      <c r="DU70" s="48" t="n">
        <f aca="false">DU$45*INDEX(Precio_O,25)*INDEX(IdxPrecio_O,1,MIN(10,DU$17))*(1+P_dPrecio)</f>
        <v>0</v>
      </c>
      <c r="DV70" s="48" t="n">
        <f aca="false">DV$45*INDEX(Precio_O,25)*INDEX(IdxPrecio_O,1,MIN(10,DV$17))*(1+P_dPrecio)</f>
        <v>0</v>
      </c>
      <c r="DW70" s="48" t="n">
        <f aca="false">DW$45*INDEX(Precio_O,25)*INDEX(IdxPrecio_O,1,MIN(10,DW$17))*(1+P_dPrecio)</f>
        <v>0</v>
      </c>
      <c r="DX70" s="48" t="n">
        <f aca="false">DX$45*INDEX(Precio_O,25)*INDEX(IdxPrecio_O,1,MIN(10,DX$17))*(1+P_dPrecio)</f>
        <v>0</v>
      </c>
      <c r="DY70" s="48" t="n">
        <f aca="false">DY$45*INDEX(Precio_O,25)*INDEX(IdxPrecio_O,1,MIN(10,DY$17))*(1+P_dPrecio)</f>
        <v>0</v>
      </c>
      <c r="DZ70" s="48" t="n">
        <f aca="false">DZ$45*INDEX(Precio_O,25)*INDEX(IdxPrecio_O,1,MIN(10,DZ$17))*(1+P_dPrecio)</f>
        <v>0</v>
      </c>
      <c r="EA70" s="48" t="n">
        <f aca="false">EA$45*INDEX(Precio_O,25)*INDEX(IdxPrecio_O,1,MIN(10,EA$17))*(1+P_dPrecio)</f>
        <v>0</v>
      </c>
      <c r="EB70" s="48" t="n">
        <f aca="false">EB$45*INDEX(Precio_O,25)*INDEX(IdxPrecio_O,1,MIN(10,EB$17))*(1+P_dPrecio)</f>
        <v>0</v>
      </c>
      <c r="EC70" s="48" t="n">
        <f aca="false">EC$45*INDEX(Precio_O,25)*INDEX(IdxPrecio_O,1,MIN(10,EC$17))*(1+P_dPrecio)</f>
        <v>0</v>
      </c>
      <c r="ED70" s="48" t="n">
        <f aca="false">ED$45*INDEX(Precio_O,25)*INDEX(IdxPrecio_O,1,MIN(10,ED$17))*(1+P_dPrecio)</f>
        <v>0</v>
      </c>
      <c r="EE70" s="48" t="n">
        <f aca="false">EE$45*INDEX(Precio_O,25)*INDEX(IdxPrecio_O,1,MIN(10,EE$17))*(1+P_dPrecio)</f>
        <v>0</v>
      </c>
      <c r="EF70" s="48" t="n">
        <f aca="false">EF$45*INDEX(Precio_O,25)*INDEX(IdxPrecio_O,1,MIN(10,EF$17))*(1+P_dPrecio)</f>
        <v>0</v>
      </c>
      <c r="EG70" s="48" t="n">
        <f aca="false">EG$45*INDEX(Precio_O,25)*INDEX(IdxPrecio_O,1,MIN(10,EG$17))*(1+P_dPrecio)</f>
        <v>0</v>
      </c>
      <c r="EH70" s="48" t="n">
        <f aca="false">EH$45*INDEX(Precio_O,25)*INDEX(IdxPrecio_O,1,MIN(10,EH$17))*(1+P_dPrecio)</f>
        <v>0</v>
      </c>
      <c r="EI70" s="48" t="n">
        <f aca="false">EI$45*INDEX(Precio_O,25)*INDEX(IdxPrecio_O,1,MIN(10,EI$17))*(1+P_dPrecio)</f>
        <v>0</v>
      </c>
      <c r="EJ70" s="48" t="n">
        <f aca="false">EJ$45*INDEX(Precio_O,25)*INDEX(IdxPrecio_O,1,MIN(10,EJ$17))*(1+P_dPrecio)</f>
        <v>0</v>
      </c>
      <c r="EK70" s="48" t="n">
        <f aca="false">EK$45*INDEX(Precio_O,25)*INDEX(IdxPrecio_O,1,MIN(10,EK$17))*(1+P_dPrecio)</f>
        <v>0</v>
      </c>
      <c r="EL70" s="48" t="n">
        <f aca="false">EL$45*INDEX(Precio_O,25)*INDEX(IdxPrecio_O,1,MIN(10,EL$17))*(1+P_dPrecio)</f>
        <v>0</v>
      </c>
      <c r="EM70" s="48" t="n">
        <f aca="false">EM$45*INDEX(Precio_O,25)*INDEX(IdxPrecio_O,1,MIN(10,EM$17))*(1+P_dPrecio)</f>
        <v>0</v>
      </c>
      <c r="EN70" s="48" t="n">
        <f aca="false">EN$45*INDEX(Precio_O,25)*INDEX(IdxPrecio_O,1,MIN(10,EN$17))*(1+P_dPrecio)</f>
        <v>0</v>
      </c>
      <c r="EO70" s="48" t="n">
        <f aca="false">EO$45*INDEX(Precio_O,25)*INDEX(IdxPrecio_O,1,MIN(10,EO$17))*(1+P_dPrecio)</f>
        <v>0</v>
      </c>
      <c r="EP70" s="48" t="n">
        <f aca="false">EP$45*INDEX(Precio_O,25)*INDEX(IdxPrecio_O,1,MIN(10,EP$17))*(1+P_dPrecio)</f>
        <v>0</v>
      </c>
      <c r="EQ70" s="48" t="n">
        <f aca="false">EQ$45*INDEX(Precio_O,25)*INDEX(IdxPrecio_O,1,MIN(10,EQ$17))*(1+P_dPrecio)</f>
        <v>0</v>
      </c>
      <c r="ER70" s="48" t="n">
        <f aca="false">ER$45*INDEX(Precio_O,25)*INDEX(IdxPrecio_O,1,MIN(10,ER$17))*(1+P_dPrecio)</f>
        <v>0</v>
      </c>
      <c r="ES70" s="48" t="n">
        <f aca="false">ES$45*INDEX(Precio_O,25)*INDEX(IdxPrecio_O,1,MIN(10,ES$17))*(1+P_dPrecio)</f>
        <v>0</v>
      </c>
    </row>
    <row r="71" customFormat="false" ht="15" hidden="false" customHeight="false" outlineLevel="0" collapsed="false">
      <c r="A71" s="11" t="s">
        <v>1116</v>
      </c>
      <c r="B71" s="67" t="s">
        <v>1117</v>
      </c>
      <c r="C71" s="15" t="s">
        <v>508</v>
      </c>
      <c r="E71" s="54" t="n">
        <f aca="false">SUM(F71:ES71)</f>
        <v>81222447.7216454</v>
      </c>
      <c r="F71" s="19" t="n">
        <f aca="false">SUM(F$46:F$70)</f>
        <v>404166.666666667</v>
      </c>
      <c r="G71" s="19" t="n">
        <f aca="false">SUM(G$46:G$70)</f>
        <v>404166.666666667</v>
      </c>
      <c r="H71" s="19" t="n">
        <f aca="false">SUM(H$46:H$70)</f>
        <v>404166.666666667</v>
      </c>
      <c r="I71" s="19" t="n">
        <f aca="false">SUM(I$46:I$70)</f>
        <v>404166.666666667</v>
      </c>
      <c r="J71" s="19" t="n">
        <f aca="false">SUM(J$46:J$70)</f>
        <v>404166.666666667</v>
      </c>
      <c r="K71" s="19" t="n">
        <f aca="false">SUM(K$46:K$70)</f>
        <v>404166.666666667</v>
      </c>
      <c r="L71" s="19" t="n">
        <f aca="false">SUM(L$46:L$70)</f>
        <v>404166.666666667</v>
      </c>
      <c r="M71" s="19" t="n">
        <f aca="false">SUM(M$46:M$70)</f>
        <v>404166.666666667</v>
      </c>
      <c r="N71" s="19" t="n">
        <f aca="false">SUM(N$46:N$70)</f>
        <v>404166.666666667</v>
      </c>
      <c r="O71" s="19" t="n">
        <f aca="false">SUM(O$46:O$70)</f>
        <v>404166.666666667</v>
      </c>
      <c r="P71" s="19" t="n">
        <f aca="false">SUM(P$46:P$70)</f>
        <v>404166.666666667</v>
      </c>
      <c r="Q71" s="19" t="n">
        <f aca="false">SUM(Q$46:Q$70)</f>
        <v>404166.666666667</v>
      </c>
      <c r="R71" s="19" t="n">
        <f aca="false">SUM(R$46:R$70)</f>
        <v>515100</v>
      </c>
      <c r="S71" s="19" t="n">
        <f aca="false">SUM(S$46:S$70)</f>
        <v>515100</v>
      </c>
      <c r="T71" s="19" t="n">
        <f aca="false">SUM(T$46:T$70)</f>
        <v>515100</v>
      </c>
      <c r="U71" s="19" t="n">
        <f aca="false">SUM(U$46:U$70)</f>
        <v>515100</v>
      </c>
      <c r="V71" s="19" t="n">
        <f aca="false">SUM(V$46:V$70)</f>
        <v>515100</v>
      </c>
      <c r="W71" s="19" t="n">
        <f aca="false">SUM(W$46:W$70)</f>
        <v>515100</v>
      </c>
      <c r="X71" s="19" t="n">
        <f aca="false">SUM(X$46:X$70)</f>
        <v>515100</v>
      </c>
      <c r="Y71" s="19" t="n">
        <f aca="false">SUM(Y$46:Y$70)</f>
        <v>515100</v>
      </c>
      <c r="Z71" s="19" t="n">
        <f aca="false">SUM(Z$46:Z$70)</f>
        <v>515100</v>
      </c>
      <c r="AA71" s="19" t="n">
        <f aca="false">SUM(AA$46:AA$70)</f>
        <v>515100</v>
      </c>
      <c r="AB71" s="19" t="n">
        <f aca="false">SUM(AB$46:AB$70)</f>
        <v>515100</v>
      </c>
      <c r="AC71" s="19" t="n">
        <f aca="false">SUM(AC$46:AC$70)</f>
        <v>515100</v>
      </c>
      <c r="AD71" s="19" t="n">
        <f aca="false">SUM(AD$46:AD$70)</f>
        <v>628211.583333333</v>
      </c>
      <c r="AE71" s="19" t="n">
        <f aca="false">SUM(AE$46:AE$70)</f>
        <v>628211.583333333</v>
      </c>
      <c r="AF71" s="19" t="n">
        <f aca="false">SUM(AF$46:AF$70)</f>
        <v>628211.583333333</v>
      </c>
      <c r="AG71" s="19" t="n">
        <f aca="false">SUM(AG$46:AG$70)</f>
        <v>628211.583333333</v>
      </c>
      <c r="AH71" s="19" t="n">
        <f aca="false">SUM(AH$46:AH$70)</f>
        <v>628211.583333333</v>
      </c>
      <c r="AI71" s="19" t="n">
        <f aca="false">SUM(AI$46:AI$70)</f>
        <v>628211.583333333</v>
      </c>
      <c r="AJ71" s="19" t="n">
        <f aca="false">SUM(AJ$46:AJ$70)</f>
        <v>628211.583333333</v>
      </c>
      <c r="AK71" s="19" t="n">
        <f aca="false">SUM(AK$46:AK$70)</f>
        <v>628211.583333333</v>
      </c>
      <c r="AL71" s="19" t="n">
        <f aca="false">SUM(AL$46:AL$70)</f>
        <v>628211.583333333</v>
      </c>
      <c r="AM71" s="19" t="n">
        <f aca="false">SUM(AM$46:AM$70)</f>
        <v>628211.583333333</v>
      </c>
      <c r="AN71" s="19" t="n">
        <f aca="false">SUM(AN$46:AN$70)</f>
        <v>628211.583333333</v>
      </c>
      <c r="AO71" s="19" t="n">
        <f aca="false">SUM(AO$46:AO$70)</f>
        <v>628211.583333333</v>
      </c>
      <c r="AP71" s="19" t="n">
        <f aca="false">SUM(AP$46:AP$70)</f>
        <v>723786.4525</v>
      </c>
      <c r="AQ71" s="19" t="n">
        <f aca="false">SUM(AQ$46:AQ$70)</f>
        <v>723786.4525</v>
      </c>
      <c r="AR71" s="19" t="n">
        <f aca="false">SUM(AR$46:AR$70)</f>
        <v>723786.4525</v>
      </c>
      <c r="AS71" s="19" t="n">
        <f aca="false">SUM(AS$46:AS$70)</f>
        <v>723786.4525</v>
      </c>
      <c r="AT71" s="19" t="n">
        <f aca="false">SUM(AT$46:AT$70)</f>
        <v>723786.4525</v>
      </c>
      <c r="AU71" s="19" t="n">
        <f aca="false">SUM(AU$46:AU$70)</f>
        <v>723786.4525</v>
      </c>
      <c r="AV71" s="19" t="n">
        <f aca="false">SUM(AV$46:AV$70)</f>
        <v>723786.4525</v>
      </c>
      <c r="AW71" s="19" t="n">
        <f aca="false">SUM(AW$46:AW$70)</f>
        <v>723786.4525</v>
      </c>
      <c r="AX71" s="19" t="n">
        <f aca="false">SUM(AX$46:AX$70)</f>
        <v>723786.4525</v>
      </c>
      <c r="AY71" s="19" t="n">
        <f aca="false">SUM(AY$46:AY$70)</f>
        <v>723786.4525</v>
      </c>
      <c r="AZ71" s="19" t="n">
        <f aca="false">SUM(AZ$46:AZ$70)</f>
        <v>723786.4525</v>
      </c>
      <c r="BA71" s="19" t="n">
        <f aca="false">SUM(BA$46:BA$70)</f>
        <v>723786.4525</v>
      </c>
      <c r="BB71" s="19" t="n">
        <f aca="false">SUM(BB$46:BB$70)</f>
        <v>731024.317025</v>
      </c>
      <c r="BC71" s="19" t="n">
        <f aca="false">SUM(BC$46:BC$70)</f>
        <v>731024.317025</v>
      </c>
      <c r="BD71" s="19" t="n">
        <f aca="false">SUM(BD$46:BD$70)</f>
        <v>731024.317025</v>
      </c>
      <c r="BE71" s="19" t="n">
        <f aca="false">SUM(BE$46:BE$70)</f>
        <v>731024.317025</v>
      </c>
      <c r="BF71" s="19" t="n">
        <f aca="false">SUM(BF$46:BF$70)</f>
        <v>731024.317025</v>
      </c>
      <c r="BG71" s="19" t="n">
        <f aca="false">SUM(BG$46:BG$70)</f>
        <v>731024.317025</v>
      </c>
      <c r="BH71" s="19" t="n">
        <f aca="false">SUM(BH$46:BH$70)</f>
        <v>731024.317025</v>
      </c>
      <c r="BI71" s="19" t="n">
        <f aca="false">SUM(BI$46:BI$70)</f>
        <v>731024.317025</v>
      </c>
      <c r="BJ71" s="19" t="n">
        <f aca="false">SUM(BJ$46:BJ$70)</f>
        <v>731024.317025</v>
      </c>
      <c r="BK71" s="19" t="n">
        <f aca="false">SUM(BK$46:BK$70)</f>
        <v>731024.317025</v>
      </c>
      <c r="BL71" s="19" t="n">
        <f aca="false">SUM(BL$46:BL$70)</f>
        <v>731024.317025</v>
      </c>
      <c r="BM71" s="19" t="n">
        <f aca="false">SUM(BM$46:BM$70)</f>
        <v>731024.317025</v>
      </c>
      <c r="BN71" s="19" t="n">
        <f aca="false">SUM(BN$46:BN$70)</f>
        <v>738334.56019525</v>
      </c>
      <c r="BO71" s="19" t="n">
        <f aca="false">SUM(BO$46:BO$70)</f>
        <v>738334.56019525</v>
      </c>
      <c r="BP71" s="19" t="n">
        <f aca="false">SUM(BP$46:BP$70)</f>
        <v>738334.56019525</v>
      </c>
      <c r="BQ71" s="19" t="n">
        <f aca="false">SUM(BQ$46:BQ$70)</f>
        <v>738334.56019525</v>
      </c>
      <c r="BR71" s="19" t="n">
        <f aca="false">SUM(BR$46:BR$70)</f>
        <v>738334.56019525</v>
      </c>
      <c r="BS71" s="19" t="n">
        <f aca="false">SUM(BS$46:BS$70)</f>
        <v>738334.56019525</v>
      </c>
      <c r="BT71" s="19" t="n">
        <f aca="false">SUM(BT$46:BT$70)</f>
        <v>738334.56019525</v>
      </c>
      <c r="BU71" s="19" t="n">
        <f aca="false">SUM(BU$46:BU$70)</f>
        <v>738334.56019525</v>
      </c>
      <c r="BV71" s="19" t="n">
        <f aca="false">SUM(BV$46:BV$70)</f>
        <v>738334.56019525</v>
      </c>
      <c r="BW71" s="19" t="n">
        <f aca="false">SUM(BW$46:BW$70)</f>
        <v>738334.56019525</v>
      </c>
      <c r="BX71" s="19" t="n">
        <f aca="false">SUM(BX$46:BX$70)</f>
        <v>738334.56019525</v>
      </c>
      <c r="BY71" s="19" t="n">
        <f aca="false">SUM(BY$46:BY$70)</f>
        <v>738334.56019525</v>
      </c>
      <c r="BZ71" s="19" t="n">
        <f aca="false">SUM(BZ$46:BZ$70)</f>
        <v>745717.905797202</v>
      </c>
      <c r="CA71" s="19" t="n">
        <f aca="false">SUM(CA$46:CA$70)</f>
        <v>745717.905797202</v>
      </c>
      <c r="CB71" s="19" t="n">
        <f aca="false">SUM(CB$46:CB$70)</f>
        <v>745717.905797202</v>
      </c>
      <c r="CC71" s="19" t="n">
        <f aca="false">SUM(CC$46:CC$70)</f>
        <v>745717.905797202</v>
      </c>
      <c r="CD71" s="19" t="n">
        <f aca="false">SUM(CD$46:CD$70)</f>
        <v>745717.905797202</v>
      </c>
      <c r="CE71" s="19" t="n">
        <f aca="false">SUM(CE$46:CE$70)</f>
        <v>745717.905797202</v>
      </c>
      <c r="CF71" s="19" t="n">
        <f aca="false">SUM(CF$46:CF$70)</f>
        <v>745717.905797202</v>
      </c>
      <c r="CG71" s="19" t="n">
        <f aca="false">SUM(CG$46:CG$70)</f>
        <v>745717.905797202</v>
      </c>
      <c r="CH71" s="19" t="n">
        <f aca="false">SUM(CH$46:CH$70)</f>
        <v>745717.905797202</v>
      </c>
      <c r="CI71" s="19" t="n">
        <f aca="false">SUM(CI$46:CI$70)</f>
        <v>745717.905797202</v>
      </c>
      <c r="CJ71" s="19" t="n">
        <f aca="false">SUM(CJ$46:CJ$70)</f>
        <v>745717.905797202</v>
      </c>
      <c r="CK71" s="19" t="n">
        <f aca="false">SUM(CK$46:CK$70)</f>
        <v>745717.905797202</v>
      </c>
      <c r="CL71" s="19" t="n">
        <f aca="false">SUM(CL$46:CL$70)</f>
        <v>753175.084855174</v>
      </c>
      <c r="CM71" s="19" t="n">
        <f aca="false">SUM(CM$46:CM$70)</f>
        <v>753175.084855174</v>
      </c>
      <c r="CN71" s="19" t="n">
        <f aca="false">SUM(CN$46:CN$70)</f>
        <v>753175.084855174</v>
      </c>
      <c r="CO71" s="19" t="n">
        <f aca="false">SUM(CO$46:CO$70)</f>
        <v>753175.084855174</v>
      </c>
      <c r="CP71" s="19" t="n">
        <f aca="false">SUM(CP$46:CP$70)</f>
        <v>753175.084855174</v>
      </c>
      <c r="CQ71" s="19" t="n">
        <f aca="false">SUM(CQ$46:CQ$70)</f>
        <v>753175.084855174</v>
      </c>
      <c r="CR71" s="19" t="n">
        <f aca="false">SUM(CR$46:CR$70)</f>
        <v>753175.084855174</v>
      </c>
      <c r="CS71" s="19" t="n">
        <f aca="false">SUM(CS$46:CS$70)</f>
        <v>753175.084855174</v>
      </c>
      <c r="CT71" s="19" t="n">
        <f aca="false">SUM(CT$46:CT$70)</f>
        <v>753175.084855174</v>
      </c>
      <c r="CU71" s="19" t="n">
        <f aca="false">SUM(CU$46:CU$70)</f>
        <v>753175.084855174</v>
      </c>
      <c r="CV71" s="19" t="n">
        <f aca="false">SUM(CV$46:CV$70)</f>
        <v>753175.084855174</v>
      </c>
      <c r="CW71" s="19" t="n">
        <f aca="false">SUM(CW$46:CW$70)</f>
        <v>753175.084855174</v>
      </c>
      <c r="CX71" s="19" t="n">
        <f aca="false">SUM(CX$46:CX$70)</f>
        <v>760706.835703726</v>
      </c>
      <c r="CY71" s="19" t="n">
        <f aca="false">SUM(CY$46:CY$70)</f>
        <v>760706.835703726</v>
      </c>
      <c r="CZ71" s="19" t="n">
        <f aca="false">SUM(CZ$46:CZ$70)</f>
        <v>760706.835703726</v>
      </c>
      <c r="DA71" s="19" t="n">
        <f aca="false">SUM(DA$46:DA$70)</f>
        <v>760706.835703726</v>
      </c>
      <c r="DB71" s="19" t="n">
        <f aca="false">SUM(DB$46:DB$70)</f>
        <v>760706.835703726</v>
      </c>
      <c r="DC71" s="19" t="n">
        <f aca="false">SUM(DC$46:DC$70)</f>
        <v>760706.835703726</v>
      </c>
      <c r="DD71" s="19" t="n">
        <f aca="false">SUM(DD$46:DD$70)</f>
        <v>760706.835703726</v>
      </c>
      <c r="DE71" s="19" t="n">
        <f aca="false">SUM(DE$46:DE$70)</f>
        <v>760706.835703726</v>
      </c>
      <c r="DF71" s="19" t="n">
        <f aca="false">SUM(DF$46:DF$70)</f>
        <v>760706.835703726</v>
      </c>
      <c r="DG71" s="19" t="n">
        <f aca="false">SUM(DG$46:DG$70)</f>
        <v>760706.835703726</v>
      </c>
      <c r="DH71" s="19" t="n">
        <f aca="false">SUM(DH$46:DH$70)</f>
        <v>760706.835703726</v>
      </c>
      <c r="DI71" s="19" t="n">
        <f aca="false">SUM(DI$46:DI$70)</f>
        <v>760706.835703726</v>
      </c>
      <c r="DJ71" s="19" t="n">
        <f aca="false">SUM(DJ$46:DJ$70)</f>
        <v>768313.904060764</v>
      </c>
      <c r="DK71" s="19" t="n">
        <f aca="false">SUM(DK$46:DK$70)</f>
        <v>768313.904060764</v>
      </c>
      <c r="DL71" s="19" t="n">
        <f aca="false">SUM(DL$46:DL$70)</f>
        <v>768313.904060764</v>
      </c>
      <c r="DM71" s="19" t="n">
        <f aca="false">SUM(DM$46:DM$70)</f>
        <v>768313.904060764</v>
      </c>
      <c r="DN71" s="19" t="n">
        <f aca="false">SUM(DN$46:DN$70)</f>
        <v>768313.904060764</v>
      </c>
      <c r="DO71" s="19" t="n">
        <f aca="false">SUM(DO$46:DO$70)</f>
        <v>768313.904060764</v>
      </c>
      <c r="DP71" s="19" t="n">
        <f aca="false">SUM(DP$46:DP$70)</f>
        <v>768313.904060764</v>
      </c>
      <c r="DQ71" s="19" t="n">
        <f aca="false">SUM(DQ$46:DQ$70)</f>
        <v>768313.904060764</v>
      </c>
      <c r="DR71" s="19" t="n">
        <f aca="false">SUM(DR$46:DR$70)</f>
        <v>768313.904060764</v>
      </c>
      <c r="DS71" s="19" t="n">
        <f aca="false">SUM(DS$46:DS$70)</f>
        <v>768313.904060764</v>
      </c>
      <c r="DT71" s="19" t="n">
        <f aca="false">SUM(DT$46:DT$70)</f>
        <v>768313.904060764</v>
      </c>
      <c r="DU71" s="19" t="n">
        <f aca="false">SUM(DU$46:DU$70)</f>
        <v>768313.904060764</v>
      </c>
      <c r="DV71" s="19" t="n">
        <f aca="false">SUM(DV$46:DV$70)</f>
        <v>0</v>
      </c>
      <c r="DW71" s="19" t="n">
        <f aca="false">SUM(DW$46:DW$70)</f>
        <v>0</v>
      </c>
      <c r="DX71" s="19" t="n">
        <f aca="false">SUM(DX$46:DX$70)</f>
        <v>0</v>
      </c>
      <c r="DY71" s="19" t="n">
        <f aca="false">SUM(DY$46:DY$70)</f>
        <v>0</v>
      </c>
      <c r="DZ71" s="19" t="n">
        <f aca="false">SUM(DZ$46:DZ$70)</f>
        <v>0</v>
      </c>
      <c r="EA71" s="19" t="n">
        <f aca="false">SUM(EA$46:EA$70)</f>
        <v>0</v>
      </c>
      <c r="EB71" s="19" t="n">
        <f aca="false">SUM(EB$46:EB$70)</f>
        <v>0</v>
      </c>
      <c r="EC71" s="19" t="n">
        <f aca="false">SUM(EC$46:EC$70)</f>
        <v>0</v>
      </c>
      <c r="ED71" s="19" t="n">
        <f aca="false">SUM(ED$46:ED$70)</f>
        <v>0</v>
      </c>
      <c r="EE71" s="19" t="n">
        <f aca="false">SUM(EE$46:EE$70)</f>
        <v>0</v>
      </c>
      <c r="EF71" s="19" t="n">
        <f aca="false">SUM(EF$46:EF$70)</f>
        <v>0</v>
      </c>
      <c r="EG71" s="19" t="n">
        <f aca="false">SUM(EG$46:EG$70)</f>
        <v>0</v>
      </c>
      <c r="EH71" s="19" t="n">
        <f aca="false">SUM(EH$46:EH$70)</f>
        <v>0</v>
      </c>
      <c r="EI71" s="19" t="n">
        <f aca="false">SUM(EI$46:EI$70)</f>
        <v>0</v>
      </c>
      <c r="EJ71" s="19" t="n">
        <f aca="false">SUM(EJ$46:EJ$70)</f>
        <v>0</v>
      </c>
      <c r="EK71" s="19" t="n">
        <f aca="false">SUM(EK$46:EK$70)</f>
        <v>0</v>
      </c>
      <c r="EL71" s="19" t="n">
        <f aca="false">SUM(EL$46:EL$70)</f>
        <v>0</v>
      </c>
      <c r="EM71" s="19" t="n">
        <f aca="false">SUM(EM$46:EM$70)</f>
        <v>0</v>
      </c>
      <c r="EN71" s="19" t="n">
        <f aca="false">SUM(EN$46:EN$70)</f>
        <v>0</v>
      </c>
      <c r="EO71" s="19" t="n">
        <f aca="false">SUM(EO$46:EO$70)</f>
        <v>0</v>
      </c>
      <c r="EP71" s="19" t="n">
        <f aca="false">SUM(EP$46:EP$70)</f>
        <v>0</v>
      </c>
      <c r="EQ71" s="19" t="n">
        <f aca="false">SUM(EQ$46:EQ$70)</f>
        <v>0</v>
      </c>
      <c r="ER71" s="19" t="n">
        <f aca="false">SUM(ER$46:ER$70)</f>
        <v>0</v>
      </c>
      <c r="ES71" s="19" t="n">
        <f aca="false">SUM(ES$46:ES$70)</f>
        <v>0</v>
      </c>
    </row>
    <row r="72" customFormat="false" ht="15" hidden="false" customHeight="false" outlineLevel="0" collapsed="false">
      <c r="A72" s="13"/>
      <c r="B72" s="12" t="s">
        <v>1118</v>
      </c>
      <c r="C72" s="13"/>
      <c r="D72" s="13"/>
      <c r="E72" s="13"/>
    </row>
    <row r="73" customFormat="false" ht="15" hidden="false" customHeight="false" outlineLevel="0" collapsed="false">
      <c r="A73" s="11" t="s">
        <v>1119</v>
      </c>
      <c r="B73" s="15" t="s">
        <v>1120</v>
      </c>
      <c r="C73" s="15" t="s">
        <v>508</v>
      </c>
      <c r="E73" s="54" t="n">
        <f aca="false">SUM(F73:ES73)</f>
        <v>25293483.38356</v>
      </c>
      <c r="F73" s="48" t="n">
        <f aca="false">SUMPRODUCT(F21:F45,MP_O)*INDEX(IdxMP_O,1,MIN(10,F$17))*(1+P_dMat)/(1-P_Merma)</f>
        <v>125875</v>
      </c>
      <c r="G73" s="48" t="n">
        <f aca="false">SUMPRODUCT(G21:G45,MP_O)*INDEX(IdxMP_O,1,MIN(10,G$17))*(1+P_dMat)/(1-P_Merma)</f>
        <v>125875</v>
      </c>
      <c r="H73" s="48" t="n">
        <f aca="false">SUMPRODUCT(H21:H45,MP_O)*INDEX(IdxMP_O,1,MIN(10,H$17))*(1+P_dMat)/(1-P_Merma)</f>
        <v>125875</v>
      </c>
      <c r="I73" s="48" t="n">
        <f aca="false">SUMPRODUCT(I21:I45,MP_O)*INDEX(IdxMP_O,1,MIN(10,I$17))*(1+P_dMat)/(1-P_Merma)</f>
        <v>125875</v>
      </c>
      <c r="J73" s="48" t="n">
        <f aca="false">SUMPRODUCT(J21:J45,MP_O)*INDEX(IdxMP_O,1,MIN(10,J$17))*(1+P_dMat)/(1-P_Merma)</f>
        <v>125875</v>
      </c>
      <c r="K73" s="48" t="n">
        <f aca="false">SUMPRODUCT(K21:K45,MP_O)*INDEX(IdxMP_O,1,MIN(10,K$17))*(1+P_dMat)/(1-P_Merma)</f>
        <v>125875</v>
      </c>
      <c r="L73" s="48" t="n">
        <f aca="false">SUMPRODUCT(L21:L45,MP_O)*INDEX(IdxMP_O,1,MIN(10,L$17))*(1+P_dMat)/(1-P_Merma)</f>
        <v>125875</v>
      </c>
      <c r="M73" s="48" t="n">
        <f aca="false">SUMPRODUCT(M21:M45,MP_O)*INDEX(IdxMP_O,1,MIN(10,M$17))*(1+P_dMat)/(1-P_Merma)</f>
        <v>125875</v>
      </c>
      <c r="N73" s="48" t="n">
        <f aca="false">SUMPRODUCT(N21:N45,MP_O)*INDEX(IdxMP_O,1,MIN(10,N$17))*(1+P_dMat)/(1-P_Merma)</f>
        <v>125875</v>
      </c>
      <c r="O73" s="48" t="n">
        <f aca="false">SUMPRODUCT(O21:O45,MP_O)*INDEX(IdxMP_O,1,MIN(10,O$17))*(1+P_dMat)/(1-P_Merma)</f>
        <v>125875</v>
      </c>
      <c r="P73" s="48" t="n">
        <f aca="false">SUMPRODUCT(P21:P45,MP_O)*INDEX(IdxMP_O,1,MIN(10,P$17))*(1+P_dMat)/(1-P_Merma)</f>
        <v>125875</v>
      </c>
      <c r="Q73" s="48" t="n">
        <f aca="false">SUMPRODUCT(Q21:Q45,MP_O)*INDEX(IdxMP_O,1,MIN(10,Q$17))*(1+P_dMat)/(1-P_Merma)</f>
        <v>125875</v>
      </c>
      <c r="R73" s="48" t="n">
        <f aca="false">SUMPRODUCT(R21:R45,MP_O)*INDEX(IdxMP_O,1,MIN(10,R$17))*(1+P_dMat)/(1-P_Merma)</f>
        <v>160476.375</v>
      </c>
      <c r="S73" s="48" t="n">
        <f aca="false">SUMPRODUCT(S21:S45,MP_O)*INDEX(IdxMP_O,1,MIN(10,S$17))*(1+P_dMat)/(1-P_Merma)</f>
        <v>160476.375</v>
      </c>
      <c r="T73" s="48" t="n">
        <f aca="false">SUMPRODUCT(T21:T45,MP_O)*INDEX(IdxMP_O,1,MIN(10,T$17))*(1+P_dMat)/(1-P_Merma)</f>
        <v>160476.375</v>
      </c>
      <c r="U73" s="48" t="n">
        <f aca="false">SUMPRODUCT(U21:U45,MP_O)*INDEX(IdxMP_O,1,MIN(10,U$17))*(1+P_dMat)/(1-P_Merma)</f>
        <v>160476.375</v>
      </c>
      <c r="V73" s="48" t="n">
        <f aca="false">SUMPRODUCT(V21:V45,MP_O)*INDEX(IdxMP_O,1,MIN(10,V$17))*(1+P_dMat)/(1-P_Merma)</f>
        <v>160476.375</v>
      </c>
      <c r="W73" s="48" t="n">
        <f aca="false">SUMPRODUCT(W21:W45,MP_O)*INDEX(IdxMP_O,1,MIN(10,W$17))*(1+P_dMat)/(1-P_Merma)</f>
        <v>160476.375</v>
      </c>
      <c r="X73" s="48" t="n">
        <f aca="false">SUMPRODUCT(X21:X45,MP_O)*INDEX(IdxMP_O,1,MIN(10,X$17))*(1+P_dMat)/(1-P_Merma)</f>
        <v>160476.375</v>
      </c>
      <c r="Y73" s="48" t="n">
        <f aca="false">SUMPRODUCT(Y21:Y45,MP_O)*INDEX(IdxMP_O,1,MIN(10,Y$17))*(1+P_dMat)/(1-P_Merma)</f>
        <v>160476.375</v>
      </c>
      <c r="Z73" s="48" t="n">
        <f aca="false">SUMPRODUCT(Z21:Z45,MP_O)*INDEX(IdxMP_O,1,MIN(10,Z$17))*(1+P_dMat)/(1-P_Merma)</f>
        <v>160476.375</v>
      </c>
      <c r="AA73" s="48" t="n">
        <f aca="false">SUMPRODUCT(AA21:AA45,MP_O)*INDEX(IdxMP_O,1,MIN(10,AA$17))*(1+P_dMat)/(1-P_Merma)</f>
        <v>160476.375</v>
      </c>
      <c r="AB73" s="48" t="n">
        <f aca="false">SUMPRODUCT(AB21:AB45,MP_O)*INDEX(IdxMP_O,1,MIN(10,AB$17))*(1+P_dMat)/(1-P_Merma)</f>
        <v>160476.375</v>
      </c>
      <c r="AC73" s="48" t="n">
        <f aca="false">SUMPRODUCT(AC21:AC45,MP_O)*INDEX(IdxMP_O,1,MIN(10,AC$17))*(1+P_dMat)/(1-P_Merma)</f>
        <v>160476.375</v>
      </c>
      <c r="AD73" s="48" t="n">
        <f aca="false">SUMPRODUCT(AD21:AD45,MP_O)*INDEX(IdxMP_O,1,MIN(10,AD$17))*(1+P_dMat)/(1-P_Merma)</f>
        <v>195757.19</v>
      </c>
      <c r="AE73" s="48" t="n">
        <f aca="false">SUMPRODUCT(AE21:AE45,MP_O)*INDEX(IdxMP_O,1,MIN(10,AE$17))*(1+P_dMat)/(1-P_Merma)</f>
        <v>195757.19</v>
      </c>
      <c r="AF73" s="48" t="n">
        <f aca="false">SUMPRODUCT(AF21:AF45,MP_O)*INDEX(IdxMP_O,1,MIN(10,AF$17))*(1+P_dMat)/(1-P_Merma)</f>
        <v>195757.19</v>
      </c>
      <c r="AG73" s="48" t="n">
        <f aca="false">SUMPRODUCT(AG21:AG45,MP_O)*INDEX(IdxMP_O,1,MIN(10,AG$17))*(1+P_dMat)/(1-P_Merma)</f>
        <v>195757.19</v>
      </c>
      <c r="AH73" s="48" t="n">
        <f aca="false">SUMPRODUCT(AH21:AH45,MP_O)*INDEX(IdxMP_O,1,MIN(10,AH$17))*(1+P_dMat)/(1-P_Merma)</f>
        <v>195757.19</v>
      </c>
      <c r="AI73" s="48" t="n">
        <f aca="false">SUMPRODUCT(AI21:AI45,MP_O)*INDEX(IdxMP_O,1,MIN(10,AI$17))*(1+P_dMat)/(1-P_Merma)</f>
        <v>195757.19</v>
      </c>
      <c r="AJ73" s="48" t="n">
        <f aca="false">SUMPRODUCT(AJ21:AJ45,MP_O)*INDEX(IdxMP_O,1,MIN(10,AJ$17))*(1+P_dMat)/(1-P_Merma)</f>
        <v>195757.19</v>
      </c>
      <c r="AK73" s="48" t="n">
        <f aca="false">SUMPRODUCT(AK21:AK45,MP_O)*INDEX(IdxMP_O,1,MIN(10,AK$17))*(1+P_dMat)/(1-P_Merma)</f>
        <v>195757.19</v>
      </c>
      <c r="AL73" s="48" t="n">
        <f aca="false">SUMPRODUCT(AL21:AL45,MP_O)*INDEX(IdxMP_O,1,MIN(10,AL$17))*(1+P_dMat)/(1-P_Merma)</f>
        <v>195757.19</v>
      </c>
      <c r="AM73" s="48" t="n">
        <f aca="false">SUMPRODUCT(AM21:AM45,MP_O)*INDEX(IdxMP_O,1,MIN(10,AM$17))*(1+P_dMat)/(1-P_Merma)</f>
        <v>195757.19</v>
      </c>
      <c r="AN73" s="48" t="n">
        <f aca="false">SUMPRODUCT(AN21:AN45,MP_O)*INDEX(IdxMP_O,1,MIN(10,AN$17))*(1+P_dMat)/(1-P_Merma)</f>
        <v>195757.19</v>
      </c>
      <c r="AO73" s="48" t="n">
        <f aca="false">SUMPRODUCT(AO21:AO45,MP_O)*INDEX(IdxMP_O,1,MIN(10,AO$17))*(1+P_dMat)/(1-P_Merma)</f>
        <v>195757.19</v>
      </c>
      <c r="AP73" s="48" t="n">
        <f aca="false">SUMPRODUCT(AP21:AP45,MP_O)*INDEX(IdxMP_O,1,MIN(10,AP$17))*(1+P_dMat)/(1-P_Merma)</f>
        <v>225365.4649875</v>
      </c>
      <c r="AQ73" s="48" t="n">
        <f aca="false">SUMPRODUCT(AQ21:AQ45,MP_O)*INDEX(IdxMP_O,1,MIN(10,AQ$17))*(1+P_dMat)/(1-P_Merma)</f>
        <v>225365.4649875</v>
      </c>
      <c r="AR73" s="48" t="n">
        <f aca="false">SUMPRODUCT(AR21:AR45,MP_O)*INDEX(IdxMP_O,1,MIN(10,AR$17))*(1+P_dMat)/(1-P_Merma)</f>
        <v>225365.4649875</v>
      </c>
      <c r="AS73" s="48" t="n">
        <f aca="false">SUMPRODUCT(AS21:AS45,MP_O)*INDEX(IdxMP_O,1,MIN(10,AS$17))*(1+P_dMat)/(1-P_Merma)</f>
        <v>225365.4649875</v>
      </c>
      <c r="AT73" s="48" t="n">
        <f aca="false">SUMPRODUCT(AT21:AT45,MP_O)*INDEX(IdxMP_O,1,MIN(10,AT$17))*(1+P_dMat)/(1-P_Merma)</f>
        <v>225365.4649875</v>
      </c>
      <c r="AU73" s="48" t="n">
        <f aca="false">SUMPRODUCT(AU21:AU45,MP_O)*INDEX(IdxMP_O,1,MIN(10,AU$17))*(1+P_dMat)/(1-P_Merma)</f>
        <v>225365.4649875</v>
      </c>
      <c r="AV73" s="48" t="n">
        <f aca="false">SUMPRODUCT(AV21:AV45,MP_O)*INDEX(IdxMP_O,1,MIN(10,AV$17))*(1+P_dMat)/(1-P_Merma)</f>
        <v>225365.4649875</v>
      </c>
      <c r="AW73" s="48" t="n">
        <f aca="false">SUMPRODUCT(AW21:AW45,MP_O)*INDEX(IdxMP_O,1,MIN(10,AW$17))*(1+P_dMat)/(1-P_Merma)</f>
        <v>225365.4649875</v>
      </c>
      <c r="AX73" s="48" t="n">
        <f aca="false">SUMPRODUCT(AX21:AX45,MP_O)*INDEX(IdxMP_O,1,MIN(10,AX$17))*(1+P_dMat)/(1-P_Merma)</f>
        <v>225365.4649875</v>
      </c>
      <c r="AY73" s="48" t="n">
        <f aca="false">SUMPRODUCT(AY21:AY45,MP_O)*INDEX(IdxMP_O,1,MIN(10,AY$17))*(1+P_dMat)/(1-P_Merma)</f>
        <v>225365.4649875</v>
      </c>
      <c r="AZ73" s="48" t="n">
        <f aca="false">SUMPRODUCT(AZ21:AZ45,MP_O)*INDEX(IdxMP_O,1,MIN(10,AZ$17))*(1+P_dMat)/(1-P_Merma)</f>
        <v>225365.4649875</v>
      </c>
      <c r="BA73" s="48" t="n">
        <f aca="false">SUMPRODUCT(BA21:BA45,MP_O)*INDEX(IdxMP_O,1,MIN(10,BA$17))*(1+P_dMat)/(1-P_Merma)</f>
        <v>225365.4649875</v>
      </c>
      <c r="BB73" s="48" t="n">
        <f aca="false">SUMPRODUCT(BB21:BB45,MP_O)*INDEX(IdxMP_O,1,MIN(10,BB$17))*(1+P_dMat)/(1-P_Merma)</f>
        <v>227619.119637375</v>
      </c>
      <c r="BC73" s="48" t="n">
        <f aca="false">SUMPRODUCT(BC21:BC45,MP_O)*INDEX(IdxMP_O,1,MIN(10,BC$17))*(1+P_dMat)/(1-P_Merma)</f>
        <v>227619.119637375</v>
      </c>
      <c r="BD73" s="48" t="n">
        <f aca="false">SUMPRODUCT(BD21:BD45,MP_O)*INDEX(IdxMP_O,1,MIN(10,BD$17))*(1+P_dMat)/(1-P_Merma)</f>
        <v>227619.119637375</v>
      </c>
      <c r="BE73" s="48" t="n">
        <f aca="false">SUMPRODUCT(BE21:BE45,MP_O)*INDEX(IdxMP_O,1,MIN(10,BE$17))*(1+P_dMat)/(1-P_Merma)</f>
        <v>227619.119637375</v>
      </c>
      <c r="BF73" s="48" t="n">
        <f aca="false">SUMPRODUCT(BF21:BF45,MP_O)*INDEX(IdxMP_O,1,MIN(10,BF$17))*(1+P_dMat)/(1-P_Merma)</f>
        <v>227619.119637375</v>
      </c>
      <c r="BG73" s="48" t="n">
        <f aca="false">SUMPRODUCT(BG21:BG45,MP_O)*INDEX(IdxMP_O,1,MIN(10,BG$17))*(1+P_dMat)/(1-P_Merma)</f>
        <v>227619.119637375</v>
      </c>
      <c r="BH73" s="48" t="n">
        <f aca="false">SUMPRODUCT(BH21:BH45,MP_O)*INDEX(IdxMP_O,1,MIN(10,BH$17))*(1+P_dMat)/(1-P_Merma)</f>
        <v>227619.119637375</v>
      </c>
      <c r="BI73" s="48" t="n">
        <f aca="false">SUMPRODUCT(BI21:BI45,MP_O)*INDEX(IdxMP_O,1,MIN(10,BI$17))*(1+P_dMat)/(1-P_Merma)</f>
        <v>227619.119637375</v>
      </c>
      <c r="BJ73" s="48" t="n">
        <f aca="false">SUMPRODUCT(BJ21:BJ45,MP_O)*INDEX(IdxMP_O,1,MIN(10,BJ$17))*(1+P_dMat)/(1-P_Merma)</f>
        <v>227619.119637375</v>
      </c>
      <c r="BK73" s="48" t="n">
        <f aca="false">SUMPRODUCT(BK21:BK45,MP_O)*INDEX(IdxMP_O,1,MIN(10,BK$17))*(1+P_dMat)/(1-P_Merma)</f>
        <v>227619.119637375</v>
      </c>
      <c r="BL73" s="48" t="n">
        <f aca="false">SUMPRODUCT(BL21:BL45,MP_O)*INDEX(IdxMP_O,1,MIN(10,BL$17))*(1+P_dMat)/(1-P_Merma)</f>
        <v>227619.119637375</v>
      </c>
      <c r="BM73" s="48" t="n">
        <f aca="false">SUMPRODUCT(BM21:BM45,MP_O)*INDEX(IdxMP_O,1,MIN(10,BM$17))*(1+P_dMat)/(1-P_Merma)</f>
        <v>227619.119637375</v>
      </c>
      <c r="BN73" s="48" t="n">
        <f aca="false">SUMPRODUCT(BN21:BN45,MP_O)*INDEX(IdxMP_O,1,MIN(10,BN$17))*(1+P_dMat)/(1-P_Merma)</f>
        <v>229895.310833749</v>
      </c>
      <c r="BO73" s="48" t="n">
        <f aca="false">SUMPRODUCT(BO21:BO45,MP_O)*INDEX(IdxMP_O,1,MIN(10,BO$17))*(1+P_dMat)/(1-P_Merma)</f>
        <v>229895.310833749</v>
      </c>
      <c r="BP73" s="48" t="n">
        <f aca="false">SUMPRODUCT(BP21:BP45,MP_O)*INDEX(IdxMP_O,1,MIN(10,BP$17))*(1+P_dMat)/(1-P_Merma)</f>
        <v>229895.310833749</v>
      </c>
      <c r="BQ73" s="48" t="n">
        <f aca="false">SUMPRODUCT(BQ21:BQ45,MP_O)*INDEX(IdxMP_O,1,MIN(10,BQ$17))*(1+P_dMat)/(1-P_Merma)</f>
        <v>229895.310833749</v>
      </c>
      <c r="BR73" s="48" t="n">
        <f aca="false">SUMPRODUCT(BR21:BR45,MP_O)*INDEX(IdxMP_O,1,MIN(10,BR$17))*(1+P_dMat)/(1-P_Merma)</f>
        <v>229895.310833749</v>
      </c>
      <c r="BS73" s="48" t="n">
        <f aca="false">SUMPRODUCT(BS21:BS45,MP_O)*INDEX(IdxMP_O,1,MIN(10,BS$17))*(1+P_dMat)/(1-P_Merma)</f>
        <v>229895.310833749</v>
      </c>
      <c r="BT73" s="48" t="n">
        <f aca="false">SUMPRODUCT(BT21:BT45,MP_O)*INDEX(IdxMP_O,1,MIN(10,BT$17))*(1+P_dMat)/(1-P_Merma)</f>
        <v>229895.310833749</v>
      </c>
      <c r="BU73" s="48" t="n">
        <f aca="false">SUMPRODUCT(BU21:BU45,MP_O)*INDEX(IdxMP_O,1,MIN(10,BU$17))*(1+P_dMat)/(1-P_Merma)</f>
        <v>229895.310833749</v>
      </c>
      <c r="BV73" s="48" t="n">
        <f aca="false">SUMPRODUCT(BV21:BV45,MP_O)*INDEX(IdxMP_O,1,MIN(10,BV$17))*(1+P_dMat)/(1-P_Merma)</f>
        <v>229895.310833749</v>
      </c>
      <c r="BW73" s="48" t="n">
        <f aca="false">SUMPRODUCT(BW21:BW45,MP_O)*INDEX(IdxMP_O,1,MIN(10,BW$17))*(1+P_dMat)/(1-P_Merma)</f>
        <v>229895.310833749</v>
      </c>
      <c r="BX73" s="48" t="n">
        <f aca="false">SUMPRODUCT(BX21:BX45,MP_O)*INDEX(IdxMP_O,1,MIN(10,BX$17))*(1+P_dMat)/(1-P_Merma)</f>
        <v>229895.310833749</v>
      </c>
      <c r="BY73" s="48" t="n">
        <f aca="false">SUMPRODUCT(BY21:BY45,MP_O)*INDEX(IdxMP_O,1,MIN(10,BY$17))*(1+P_dMat)/(1-P_Merma)</f>
        <v>229895.310833749</v>
      </c>
      <c r="BZ73" s="48" t="n">
        <f aca="false">SUMPRODUCT(BZ21:BZ45,MP_O)*INDEX(IdxMP_O,1,MIN(10,BZ$17))*(1+P_dMat)/(1-P_Merma)</f>
        <v>232194.263942086</v>
      </c>
      <c r="CA73" s="48" t="n">
        <f aca="false">SUMPRODUCT(CA21:CA45,MP_O)*INDEX(IdxMP_O,1,MIN(10,CA$17))*(1+P_dMat)/(1-P_Merma)</f>
        <v>232194.263942086</v>
      </c>
      <c r="CB73" s="48" t="n">
        <f aca="false">SUMPRODUCT(CB21:CB45,MP_O)*INDEX(IdxMP_O,1,MIN(10,CB$17))*(1+P_dMat)/(1-P_Merma)</f>
        <v>232194.263942086</v>
      </c>
      <c r="CC73" s="48" t="n">
        <f aca="false">SUMPRODUCT(CC21:CC45,MP_O)*INDEX(IdxMP_O,1,MIN(10,CC$17))*(1+P_dMat)/(1-P_Merma)</f>
        <v>232194.263942086</v>
      </c>
      <c r="CD73" s="48" t="n">
        <f aca="false">SUMPRODUCT(CD21:CD45,MP_O)*INDEX(IdxMP_O,1,MIN(10,CD$17))*(1+P_dMat)/(1-P_Merma)</f>
        <v>232194.263942086</v>
      </c>
      <c r="CE73" s="48" t="n">
        <f aca="false">SUMPRODUCT(CE21:CE45,MP_O)*INDEX(IdxMP_O,1,MIN(10,CE$17))*(1+P_dMat)/(1-P_Merma)</f>
        <v>232194.263942086</v>
      </c>
      <c r="CF73" s="48" t="n">
        <f aca="false">SUMPRODUCT(CF21:CF45,MP_O)*INDEX(IdxMP_O,1,MIN(10,CF$17))*(1+P_dMat)/(1-P_Merma)</f>
        <v>232194.263942086</v>
      </c>
      <c r="CG73" s="48" t="n">
        <f aca="false">SUMPRODUCT(CG21:CG45,MP_O)*INDEX(IdxMP_O,1,MIN(10,CG$17))*(1+P_dMat)/(1-P_Merma)</f>
        <v>232194.263942086</v>
      </c>
      <c r="CH73" s="48" t="n">
        <f aca="false">SUMPRODUCT(CH21:CH45,MP_O)*INDEX(IdxMP_O,1,MIN(10,CH$17))*(1+P_dMat)/(1-P_Merma)</f>
        <v>232194.263942086</v>
      </c>
      <c r="CI73" s="48" t="n">
        <f aca="false">SUMPRODUCT(CI21:CI45,MP_O)*INDEX(IdxMP_O,1,MIN(10,CI$17))*(1+P_dMat)/(1-P_Merma)</f>
        <v>232194.263942086</v>
      </c>
      <c r="CJ73" s="48" t="n">
        <f aca="false">SUMPRODUCT(CJ21:CJ45,MP_O)*INDEX(IdxMP_O,1,MIN(10,CJ$17))*(1+P_dMat)/(1-P_Merma)</f>
        <v>232194.263942086</v>
      </c>
      <c r="CK73" s="48" t="n">
        <f aca="false">SUMPRODUCT(CK21:CK45,MP_O)*INDEX(IdxMP_O,1,MIN(10,CK$17))*(1+P_dMat)/(1-P_Merma)</f>
        <v>232194.263942086</v>
      </c>
      <c r="CL73" s="48" t="n">
        <f aca="false">SUMPRODUCT(CL21:CL45,MP_O)*INDEX(IdxMP_O,1,MIN(10,CL$17))*(1+P_dMat)/(1-P_Merma)</f>
        <v>234516.206581507</v>
      </c>
      <c r="CM73" s="48" t="n">
        <f aca="false">SUMPRODUCT(CM21:CM45,MP_O)*INDEX(IdxMP_O,1,MIN(10,CM$17))*(1+P_dMat)/(1-P_Merma)</f>
        <v>234516.206581507</v>
      </c>
      <c r="CN73" s="48" t="n">
        <f aca="false">SUMPRODUCT(CN21:CN45,MP_O)*INDEX(IdxMP_O,1,MIN(10,CN$17))*(1+P_dMat)/(1-P_Merma)</f>
        <v>234516.206581507</v>
      </c>
      <c r="CO73" s="48" t="n">
        <f aca="false">SUMPRODUCT(CO21:CO45,MP_O)*INDEX(IdxMP_O,1,MIN(10,CO$17))*(1+P_dMat)/(1-P_Merma)</f>
        <v>234516.206581507</v>
      </c>
      <c r="CP73" s="48" t="n">
        <f aca="false">SUMPRODUCT(CP21:CP45,MP_O)*INDEX(IdxMP_O,1,MIN(10,CP$17))*(1+P_dMat)/(1-P_Merma)</f>
        <v>234516.206581507</v>
      </c>
      <c r="CQ73" s="48" t="n">
        <f aca="false">SUMPRODUCT(CQ21:CQ45,MP_O)*INDEX(IdxMP_O,1,MIN(10,CQ$17))*(1+P_dMat)/(1-P_Merma)</f>
        <v>234516.206581507</v>
      </c>
      <c r="CR73" s="48" t="n">
        <f aca="false">SUMPRODUCT(CR21:CR45,MP_O)*INDEX(IdxMP_O,1,MIN(10,CR$17))*(1+P_dMat)/(1-P_Merma)</f>
        <v>234516.206581507</v>
      </c>
      <c r="CS73" s="48" t="n">
        <f aca="false">SUMPRODUCT(CS21:CS45,MP_O)*INDEX(IdxMP_O,1,MIN(10,CS$17))*(1+P_dMat)/(1-P_Merma)</f>
        <v>234516.206581507</v>
      </c>
      <c r="CT73" s="48" t="n">
        <f aca="false">SUMPRODUCT(CT21:CT45,MP_O)*INDEX(IdxMP_O,1,MIN(10,CT$17))*(1+P_dMat)/(1-P_Merma)</f>
        <v>234516.206581507</v>
      </c>
      <c r="CU73" s="48" t="n">
        <f aca="false">SUMPRODUCT(CU21:CU45,MP_O)*INDEX(IdxMP_O,1,MIN(10,CU$17))*(1+P_dMat)/(1-P_Merma)</f>
        <v>234516.206581507</v>
      </c>
      <c r="CV73" s="48" t="n">
        <f aca="false">SUMPRODUCT(CV21:CV45,MP_O)*INDEX(IdxMP_O,1,MIN(10,CV$17))*(1+P_dMat)/(1-P_Merma)</f>
        <v>234516.206581507</v>
      </c>
      <c r="CW73" s="48" t="n">
        <f aca="false">SUMPRODUCT(CW21:CW45,MP_O)*INDEX(IdxMP_O,1,MIN(10,CW$17))*(1+P_dMat)/(1-P_Merma)</f>
        <v>234516.206581507</v>
      </c>
      <c r="CX73" s="48" t="n">
        <f aca="false">SUMPRODUCT(CX21:CX45,MP_O)*INDEX(IdxMP_O,1,MIN(10,CX$17))*(1+P_dMat)/(1-P_Merma)</f>
        <v>236861.368647322</v>
      </c>
      <c r="CY73" s="48" t="n">
        <f aca="false">SUMPRODUCT(CY21:CY45,MP_O)*INDEX(IdxMP_O,1,MIN(10,CY$17))*(1+P_dMat)/(1-P_Merma)</f>
        <v>236861.368647322</v>
      </c>
      <c r="CZ73" s="48" t="n">
        <f aca="false">SUMPRODUCT(CZ21:CZ45,MP_O)*INDEX(IdxMP_O,1,MIN(10,CZ$17))*(1+P_dMat)/(1-P_Merma)</f>
        <v>236861.368647322</v>
      </c>
      <c r="DA73" s="48" t="n">
        <f aca="false">SUMPRODUCT(DA21:DA45,MP_O)*INDEX(IdxMP_O,1,MIN(10,DA$17))*(1+P_dMat)/(1-P_Merma)</f>
        <v>236861.368647322</v>
      </c>
      <c r="DB73" s="48" t="n">
        <f aca="false">SUMPRODUCT(DB21:DB45,MP_O)*INDEX(IdxMP_O,1,MIN(10,DB$17))*(1+P_dMat)/(1-P_Merma)</f>
        <v>236861.368647322</v>
      </c>
      <c r="DC73" s="48" t="n">
        <f aca="false">SUMPRODUCT(DC21:DC45,MP_O)*INDEX(IdxMP_O,1,MIN(10,DC$17))*(1+P_dMat)/(1-P_Merma)</f>
        <v>236861.368647322</v>
      </c>
      <c r="DD73" s="48" t="n">
        <f aca="false">SUMPRODUCT(DD21:DD45,MP_O)*INDEX(IdxMP_O,1,MIN(10,DD$17))*(1+P_dMat)/(1-P_Merma)</f>
        <v>236861.368647322</v>
      </c>
      <c r="DE73" s="48" t="n">
        <f aca="false">SUMPRODUCT(DE21:DE45,MP_O)*INDEX(IdxMP_O,1,MIN(10,DE$17))*(1+P_dMat)/(1-P_Merma)</f>
        <v>236861.368647322</v>
      </c>
      <c r="DF73" s="48" t="n">
        <f aca="false">SUMPRODUCT(DF21:DF45,MP_O)*INDEX(IdxMP_O,1,MIN(10,DF$17))*(1+P_dMat)/(1-P_Merma)</f>
        <v>236861.368647322</v>
      </c>
      <c r="DG73" s="48" t="n">
        <f aca="false">SUMPRODUCT(DG21:DG45,MP_O)*INDEX(IdxMP_O,1,MIN(10,DG$17))*(1+P_dMat)/(1-P_Merma)</f>
        <v>236861.368647322</v>
      </c>
      <c r="DH73" s="48" t="n">
        <f aca="false">SUMPRODUCT(DH21:DH45,MP_O)*INDEX(IdxMP_O,1,MIN(10,DH$17))*(1+P_dMat)/(1-P_Merma)</f>
        <v>236861.368647322</v>
      </c>
      <c r="DI73" s="48" t="n">
        <f aca="false">SUMPRODUCT(DI21:DI45,MP_O)*INDEX(IdxMP_O,1,MIN(10,DI$17))*(1+P_dMat)/(1-P_Merma)</f>
        <v>236861.368647322</v>
      </c>
      <c r="DJ73" s="48" t="n">
        <f aca="false">SUMPRODUCT(DJ21:DJ45,MP_O)*INDEX(IdxMP_O,1,MIN(10,DJ$17))*(1+P_dMat)/(1-P_Merma)</f>
        <v>239229.982333795</v>
      </c>
      <c r="DK73" s="48" t="n">
        <f aca="false">SUMPRODUCT(DK21:DK45,MP_O)*INDEX(IdxMP_O,1,MIN(10,DK$17))*(1+P_dMat)/(1-P_Merma)</f>
        <v>239229.982333795</v>
      </c>
      <c r="DL73" s="48" t="n">
        <f aca="false">SUMPRODUCT(DL21:DL45,MP_O)*INDEX(IdxMP_O,1,MIN(10,DL$17))*(1+P_dMat)/(1-P_Merma)</f>
        <v>239229.982333795</v>
      </c>
      <c r="DM73" s="48" t="n">
        <f aca="false">SUMPRODUCT(DM21:DM45,MP_O)*INDEX(IdxMP_O,1,MIN(10,DM$17))*(1+P_dMat)/(1-P_Merma)</f>
        <v>239229.982333795</v>
      </c>
      <c r="DN73" s="48" t="n">
        <f aca="false">SUMPRODUCT(DN21:DN45,MP_O)*INDEX(IdxMP_O,1,MIN(10,DN$17))*(1+P_dMat)/(1-P_Merma)</f>
        <v>239229.982333795</v>
      </c>
      <c r="DO73" s="48" t="n">
        <f aca="false">SUMPRODUCT(DO21:DO45,MP_O)*INDEX(IdxMP_O,1,MIN(10,DO$17))*(1+P_dMat)/(1-P_Merma)</f>
        <v>239229.982333795</v>
      </c>
      <c r="DP73" s="48" t="n">
        <f aca="false">SUMPRODUCT(DP21:DP45,MP_O)*INDEX(IdxMP_O,1,MIN(10,DP$17))*(1+P_dMat)/(1-P_Merma)</f>
        <v>239229.982333795</v>
      </c>
      <c r="DQ73" s="48" t="n">
        <f aca="false">SUMPRODUCT(DQ21:DQ45,MP_O)*INDEX(IdxMP_O,1,MIN(10,DQ$17))*(1+P_dMat)/(1-P_Merma)</f>
        <v>239229.982333795</v>
      </c>
      <c r="DR73" s="48" t="n">
        <f aca="false">SUMPRODUCT(DR21:DR45,MP_O)*INDEX(IdxMP_O,1,MIN(10,DR$17))*(1+P_dMat)/(1-P_Merma)</f>
        <v>239229.982333795</v>
      </c>
      <c r="DS73" s="48" t="n">
        <f aca="false">SUMPRODUCT(DS21:DS45,MP_O)*INDEX(IdxMP_O,1,MIN(10,DS$17))*(1+P_dMat)/(1-P_Merma)</f>
        <v>239229.982333795</v>
      </c>
      <c r="DT73" s="48" t="n">
        <f aca="false">SUMPRODUCT(DT21:DT45,MP_O)*INDEX(IdxMP_O,1,MIN(10,DT$17))*(1+P_dMat)/(1-P_Merma)</f>
        <v>239229.982333795</v>
      </c>
      <c r="DU73" s="48" t="n">
        <f aca="false">SUMPRODUCT(DU21:DU45,MP_O)*INDEX(IdxMP_O,1,MIN(10,DU$17))*(1+P_dMat)/(1-P_Merma)</f>
        <v>239229.982333795</v>
      </c>
      <c r="DV73" s="48" t="n">
        <f aca="false">SUMPRODUCT(DV21:DV45,MP_O)*INDEX(IdxMP_O,1,MIN(10,DV$17))*(1+P_dMat)/(1-P_Merma)</f>
        <v>0</v>
      </c>
      <c r="DW73" s="48" t="n">
        <f aca="false">SUMPRODUCT(DW21:DW45,MP_O)*INDEX(IdxMP_O,1,MIN(10,DW$17))*(1+P_dMat)/(1-P_Merma)</f>
        <v>0</v>
      </c>
      <c r="DX73" s="48" t="n">
        <f aca="false">SUMPRODUCT(DX21:DX45,MP_O)*INDEX(IdxMP_O,1,MIN(10,DX$17))*(1+P_dMat)/(1-P_Merma)</f>
        <v>0</v>
      </c>
      <c r="DY73" s="48" t="n">
        <f aca="false">SUMPRODUCT(DY21:DY45,MP_O)*INDEX(IdxMP_O,1,MIN(10,DY$17))*(1+P_dMat)/(1-P_Merma)</f>
        <v>0</v>
      </c>
      <c r="DZ73" s="48" t="n">
        <f aca="false">SUMPRODUCT(DZ21:DZ45,MP_O)*INDEX(IdxMP_O,1,MIN(10,DZ$17))*(1+P_dMat)/(1-P_Merma)</f>
        <v>0</v>
      </c>
      <c r="EA73" s="48" t="n">
        <f aca="false">SUMPRODUCT(EA21:EA45,MP_O)*INDEX(IdxMP_O,1,MIN(10,EA$17))*(1+P_dMat)/(1-P_Merma)</f>
        <v>0</v>
      </c>
      <c r="EB73" s="48" t="n">
        <f aca="false">SUMPRODUCT(EB21:EB45,MP_O)*INDEX(IdxMP_O,1,MIN(10,EB$17))*(1+P_dMat)/(1-P_Merma)</f>
        <v>0</v>
      </c>
      <c r="EC73" s="48" t="n">
        <f aca="false">SUMPRODUCT(EC21:EC45,MP_O)*INDEX(IdxMP_O,1,MIN(10,EC$17))*(1+P_dMat)/(1-P_Merma)</f>
        <v>0</v>
      </c>
      <c r="ED73" s="48" t="n">
        <f aca="false">SUMPRODUCT(ED21:ED45,MP_O)*INDEX(IdxMP_O,1,MIN(10,ED$17))*(1+P_dMat)/(1-P_Merma)</f>
        <v>0</v>
      </c>
      <c r="EE73" s="48" t="n">
        <f aca="false">SUMPRODUCT(EE21:EE45,MP_O)*INDEX(IdxMP_O,1,MIN(10,EE$17))*(1+P_dMat)/(1-P_Merma)</f>
        <v>0</v>
      </c>
      <c r="EF73" s="48" t="n">
        <f aca="false">SUMPRODUCT(EF21:EF45,MP_O)*INDEX(IdxMP_O,1,MIN(10,EF$17))*(1+P_dMat)/(1-P_Merma)</f>
        <v>0</v>
      </c>
      <c r="EG73" s="48" t="n">
        <f aca="false">SUMPRODUCT(EG21:EG45,MP_O)*INDEX(IdxMP_O,1,MIN(10,EG$17))*(1+P_dMat)/(1-P_Merma)</f>
        <v>0</v>
      </c>
      <c r="EH73" s="48" t="n">
        <f aca="false">SUMPRODUCT(EH21:EH45,MP_O)*INDEX(IdxMP_O,1,MIN(10,EH$17))*(1+P_dMat)/(1-P_Merma)</f>
        <v>0</v>
      </c>
      <c r="EI73" s="48" t="n">
        <f aca="false">SUMPRODUCT(EI21:EI45,MP_O)*INDEX(IdxMP_O,1,MIN(10,EI$17))*(1+P_dMat)/(1-P_Merma)</f>
        <v>0</v>
      </c>
      <c r="EJ73" s="48" t="n">
        <f aca="false">SUMPRODUCT(EJ21:EJ45,MP_O)*INDEX(IdxMP_O,1,MIN(10,EJ$17))*(1+P_dMat)/(1-P_Merma)</f>
        <v>0</v>
      </c>
      <c r="EK73" s="48" t="n">
        <f aca="false">SUMPRODUCT(EK21:EK45,MP_O)*INDEX(IdxMP_O,1,MIN(10,EK$17))*(1+P_dMat)/(1-P_Merma)</f>
        <v>0</v>
      </c>
      <c r="EL73" s="48" t="n">
        <f aca="false">SUMPRODUCT(EL21:EL45,MP_O)*INDEX(IdxMP_O,1,MIN(10,EL$17))*(1+P_dMat)/(1-P_Merma)</f>
        <v>0</v>
      </c>
      <c r="EM73" s="48" t="n">
        <f aca="false">SUMPRODUCT(EM21:EM45,MP_O)*INDEX(IdxMP_O,1,MIN(10,EM$17))*(1+P_dMat)/(1-P_Merma)</f>
        <v>0</v>
      </c>
      <c r="EN73" s="48" t="n">
        <f aca="false">SUMPRODUCT(EN21:EN45,MP_O)*INDEX(IdxMP_O,1,MIN(10,EN$17))*(1+P_dMat)/(1-P_Merma)</f>
        <v>0</v>
      </c>
      <c r="EO73" s="48" t="n">
        <f aca="false">SUMPRODUCT(EO21:EO45,MP_O)*INDEX(IdxMP_O,1,MIN(10,EO$17))*(1+P_dMat)/(1-P_Merma)</f>
        <v>0</v>
      </c>
      <c r="EP73" s="48" t="n">
        <f aca="false">SUMPRODUCT(EP21:EP45,MP_O)*INDEX(IdxMP_O,1,MIN(10,EP$17))*(1+P_dMat)/(1-P_Merma)</f>
        <v>0</v>
      </c>
      <c r="EQ73" s="48" t="n">
        <f aca="false">SUMPRODUCT(EQ21:EQ45,MP_O)*INDEX(IdxMP_O,1,MIN(10,EQ$17))*(1+P_dMat)/(1-P_Merma)</f>
        <v>0</v>
      </c>
      <c r="ER73" s="48" t="n">
        <f aca="false">SUMPRODUCT(ER21:ER45,MP_O)*INDEX(IdxMP_O,1,MIN(10,ER$17))*(1+P_dMat)/(1-P_Merma)</f>
        <v>0</v>
      </c>
      <c r="ES73" s="48" t="n">
        <f aca="false">SUMPRODUCT(ES21:ES45,MP_O)*INDEX(IdxMP_O,1,MIN(10,ES$17))*(1+P_dMat)/(1-P_Merma)</f>
        <v>0</v>
      </c>
    </row>
    <row r="74" customFormat="false" ht="15" hidden="false" customHeight="false" outlineLevel="0" collapsed="false">
      <c r="A74" s="11" t="s">
        <v>1121</v>
      </c>
      <c r="B74" s="15" t="s">
        <v>1122</v>
      </c>
      <c r="C74" s="15" t="s">
        <v>508</v>
      </c>
      <c r="E74" s="54" t="n">
        <f aca="false">SUM(F74:ES74)</f>
        <v>14024610</v>
      </c>
      <c r="F74" s="48" t="n">
        <f aca="false">SUMPRODUCT(F21:F45,INS_O)*INDEX(IdxOV_O,1,MIN(10,F$17))*(1+P_dMat)/(1-P_Merma)</f>
        <v>73297.5</v>
      </c>
      <c r="G74" s="48" t="n">
        <f aca="false">SUMPRODUCT(G21:G45,INS_O)*INDEX(IdxOV_O,1,MIN(10,G$17))*(1+P_dMat)/(1-P_Merma)</f>
        <v>73297.5</v>
      </c>
      <c r="H74" s="48" t="n">
        <f aca="false">SUMPRODUCT(H21:H45,INS_O)*INDEX(IdxOV_O,1,MIN(10,H$17))*(1+P_dMat)/(1-P_Merma)</f>
        <v>73297.5</v>
      </c>
      <c r="I74" s="48" t="n">
        <f aca="false">SUMPRODUCT(I21:I45,INS_O)*INDEX(IdxOV_O,1,MIN(10,I$17))*(1+P_dMat)/(1-P_Merma)</f>
        <v>73297.5</v>
      </c>
      <c r="J74" s="48" t="n">
        <f aca="false">SUMPRODUCT(J21:J45,INS_O)*INDEX(IdxOV_O,1,MIN(10,J$17))*(1+P_dMat)/(1-P_Merma)</f>
        <v>73297.5</v>
      </c>
      <c r="K74" s="48" t="n">
        <f aca="false">SUMPRODUCT(K21:K45,INS_O)*INDEX(IdxOV_O,1,MIN(10,K$17))*(1+P_dMat)/(1-P_Merma)</f>
        <v>73297.5</v>
      </c>
      <c r="L74" s="48" t="n">
        <f aca="false">SUMPRODUCT(L21:L45,INS_O)*INDEX(IdxOV_O,1,MIN(10,L$17))*(1+P_dMat)/(1-P_Merma)</f>
        <v>73297.5</v>
      </c>
      <c r="M74" s="48" t="n">
        <f aca="false">SUMPRODUCT(M21:M45,INS_O)*INDEX(IdxOV_O,1,MIN(10,M$17))*(1+P_dMat)/(1-P_Merma)</f>
        <v>73297.5</v>
      </c>
      <c r="N74" s="48" t="n">
        <f aca="false">SUMPRODUCT(N21:N45,INS_O)*INDEX(IdxOV_O,1,MIN(10,N$17))*(1+P_dMat)/(1-P_Merma)</f>
        <v>73297.5</v>
      </c>
      <c r="O74" s="48" t="n">
        <f aca="false">SUMPRODUCT(O21:O45,INS_O)*INDEX(IdxOV_O,1,MIN(10,O$17))*(1+P_dMat)/(1-P_Merma)</f>
        <v>73297.5</v>
      </c>
      <c r="P74" s="48" t="n">
        <f aca="false">SUMPRODUCT(P21:P45,INS_O)*INDEX(IdxOV_O,1,MIN(10,P$17))*(1+P_dMat)/(1-P_Merma)</f>
        <v>73297.5</v>
      </c>
      <c r="Q74" s="48" t="n">
        <f aca="false">SUMPRODUCT(Q21:Q45,INS_O)*INDEX(IdxOV_O,1,MIN(10,Q$17))*(1+P_dMat)/(1-P_Merma)</f>
        <v>73297.5</v>
      </c>
      <c r="R74" s="48" t="n">
        <f aca="false">SUMPRODUCT(R21:R45,INS_O)*INDEX(IdxOV_O,1,MIN(10,R$17))*(1+P_dMat)/(1-P_Merma)</f>
        <v>92632.5</v>
      </c>
      <c r="S74" s="48" t="n">
        <f aca="false">SUMPRODUCT(S21:S45,INS_O)*INDEX(IdxOV_O,1,MIN(10,S$17))*(1+P_dMat)/(1-P_Merma)</f>
        <v>92632.5</v>
      </c>
      <c r="T74" s="48" t="n">
        <f aca="false">SUMPRODUCT(T21:T45,INS_O)*INDEX(IdxOV_O,1,MIN(10,T$17))*(1+P_dMat)/(1-P_Merma)</f>
        <v>92632.5</v>
      </c>
      <c r="U74" s="48" t="n">
        <f aca="false">SUMPRODUCT(U21:U45,INS_O)*INDEX(IdxOV_O,1,MIN(10,U$17))*(1+P_dMat)/(1-P_Merma)</f>
        <v>92632.5</v>
      </c>
      <c r="V74" s="48" t="n">
        <f aca="false">SUMPRODUCT(V21:V45,INS_O)*INDEX(IdxOV_O,1,MIN(10,V$17))*(1+P_dMat)/(1-P_Merma)</f>
        <v>92632.5</v>
      </c>
      <c r="W74" s="48" t="n">
        <f aca="false">SUMPRODUCT(W21:W45,INS_O)*INDEX(IdxOV_O,1,MIN(10,W$17))*(1+P_dMat)/(1-P_Merma)</f>
        <v>92632.5</v>
      </c>
      <c r="X74" s="48" t="n">
        <f aca="false">SUMPRODUCT(X21:X45,INS_O)*INDEX(IdxOV_O,1,MIN(10,X$17))*(1+P_dMat)/(1-P_Merma)</f>
        <v>92632.5</v>
      </c>
      <c r="Y74" s="48" t="n">
        <f aca="false">SUMPRODUCT(Y21:Y45,INS_O)*INDEX(IdxOV_O,1,MIN(10,Y$17))*(1+P_dMat)/(1-P_Merma)</f>
        <v>92632.5</v>
      </c>
      <c r="Z74" s="48" t="n">
        <f aca="false">SUMPRODUCT(Z21:Z45,INS_O)*INDEX(IdxOV_O,1,MIN(10,Z$17))*(1+P_dMat)/(1-P_Merma)</f>
        <v>92632.5</v>
      </c>
      <c r="AA74" s="48" t="n">
        <f aca="false">SUMPRODUCT(AA21:AA45,INS_O)*INDEX(IdxOV_O,1,MIN(10,AA$17))*(1+P_dMat)/(1-P_Merma)</f>
        <v>92632.5</v>
      </c>
      <c r="AB74" s="48" t="n">
        <f aca="false">SUMPRODUCT(AB21:AB45,INS_O)*INDEX(IdxOV_O,1,MIN(10,AB$17))*(1+P_dMat)/(1-P_Merma)</f>
        <v>92632.5</v>
      </c>
      <c r="AC74" s="48" t="n">
        <f aca="false">SUMPRODUCT(AC21:AC45,INS_O)*INDEX(IdxOV_O,1,MIN(10,AC$17))*(1+P_dMat)/(1-P_Merma)</f>
        <v>92632.5</v>
      </c>
      <c r="AD74" s="48" t="n">
        <f aca="false">SUMPRODUCT(AD21:AD45,INS_O)*INDEX(IdxOV_O,1,MIN(10,AD$17))*(1+P_dMat)/(1-P_Merma)</f>
        <v>111967.5</v>
      </c>
      <c r="AE74" s="48" t="n">
        <f aca="false">SUMPRODUCT(AE21:AE45,INS_O)*INDEX(IdxOV_O,1,MIN(10,AE$17))*(1+P_dMat)/(1-P_Merma)</f>
        <v>111967.5</v>
      </c>
      <c r="AF74" s="48" t="n">
        <f aca="false">SUMPRODUCT(AF21:AF45,INS_O)*INDEX(IdxOV_O,1,MIN(10,AF$17))*(1+P_dMat)/(1-P_Merma)</f>
        <v>111967.5</v>
      </c>
      <c r="AG74" s="48" t="n">
        <f aca="false">SUMPRODUCT(AG21:AG45,INS_O)*INDEX(IdxOV_O,1,MIN(10,AG$17))*(1+P_dMat)/(1-P_Merma)</f>
        <v>111967.5</v>
      </c>
      <c r="AH74" s="48" t="n">
        <f aca="false">SUMPRODUCT(AH21:AH45,INS_O)*INDEX(IdxOV_O,1,MIN(10,AH$17))*(1+P_dMat)/(1-P_Merma)</f>
        <v>111967.5</v>
      </c>
      <c r="AI74" s="48" t="n">
        <f aca="false">SUMPRODUCT(AI21:AI45,INS_O)*INDEX(IdxOV_O,1,MIN(10,AI$17))*(1+P_dMat)/(1-P_Merma)</f>
        <v>111967.5</v>
      </c>
      <c r="AJ74" s="48" t="n">
        <f aca="false">SUMPRODUCT(AJ21:AJ45,INS_O)*INDEX(IdxOV_O,1,MIN(10,AJ$17))*(1+P_dMat)/(1-P_Merma)</f>
        <v>111967.5</v>
      </c>
      <c r="AK74" s="48" t="n">
        <f aca="false">SUMPRODUCT(AK21:AK45,INS_O)*INDEX(IdxOV_O,1,MIN(10,AK$17))*(1+P_dMat)/(1-P_Merma)</f>
        <v>111967.5</v>
      </c>
      <c r="AL74" s="48" t="n">
        <f aca="false">SUMPRODUCT(AL21:AL45,INS_O)*INDEX(IdxOV_O,1,MIN(10,AL$17))*(1+P_dMat)/(1-P_Merma)</f>
        <v>111967.5</v>
      </c>
      <c r="AM74" s="48" t="n">
        <f aca="false">SUMPRODUCT(AM21:AM45,INS_O)*INDEX(IdxOV_O,1,MIN(10,AM$17))*(1+P_dMat)/(1-P_Merma)</f>
        <v>111967.5</v>
      </c>
      <c r="AN74" s="48" t="n">
        <f aca="false">SUMPRODUCT(AN21:AN45,INS_O)*INDEX(IdxOV_O,1,MIN(10,AN$17))*(1+P_dMat)/(1-P_Merma)</f>
        <v>111967.5</v>
      </c>
      <c r="AO74" s="48" t="n">
        <f aca="false">SUMPRODUCT(AO21:AO45,INS_O)*INDEX(IdxOV_O,1,MIN(10,AO$17))*(1+P_dMat)/(1-P_Merma)</f>
        <v>111967.5</v>
      </c>
      <c r="AP74" s="48" t="n">
        <f aca="false">SUMPRODUCT(AP21:AP45,INS_O)*INDEX(IdxOV_O,1,MIN(10,AP$17))*(1+P_dMat)/(1-P_Merma)</f>
        <v>127260</v>
      </c>
      <c r="AQ74" s="48" t="n">
        <f aca="false">SUMPRODUCT(AQ21:AQ45,INS_O)*INDEX(IdxOV_O,1,MIN(10,AQ$17))*(1+P_dMat)/(1-P_Merma)</f>
        <v>127260</v>
      </c>
      <c r="AR74" s="48" t="n">
        <f aca="false">SUMPRODUCT(AR21:AR45,INS_O)*INDEX(IdxOV_O,1,MIN(10,AR$17))*(1+P_dMat)/(1-P_Merma)</f>
        <v>127260</v>
      </c>
      <c r="AS74" s="48" t="n">
        <f aca="false">SUMPRODUCT(AS21:AS45,INS_O)*INDEX(IdxOV_O,1,MIN(10,AS$17))*(1+P_dMat)/(1-P_Merma)</f>
        <v>127260</v>
      </c>
      <c r="AT74" s="48" t="n">
        <f aca="false">SUMPRODUCT(AT21:AT45,INS_O)*INDEX(IdxOV_O,1,MIN(10,AT$17))*(1+P_dMat)/(1-P_Merma)</f>
        <v>127260</v>
      </c>
      <c r="AU74" s="48" t="n">
        <f aca="false">SUMPRODUCT(AU21:AU45,INS_O)*INDEX(IdxOV_O,1,MIN(10,AU$17))*(1+P_dMat)/(1-P_Merma)</f>
        <v>127260</v>
      </c>
      <c r="AV74" s="48" t="n">
        <f aca="false">SUMPRODUCT(AV21:AV45,INS_O)*INDEX(IdxOV_O,1,MIN(10,AV$17))*(1+P_dMat)/(1-P_Merma)</f>
        <v>127260</v>
      </c>
      <c r="AW74" s="48" t="n">
        <f aca="false">SUMPRODUCT(AW21:AW45,INS_O)*INDEX(IdxOV_O,1,MIN(10,AW$17))*(1+P_dMat)/(1-P_Merma)</f>
        <v>127260</v>
      </c>
      <c r="AX74" s="48" t="n">
        <f aca="false">SUMPRODUCT(AX21:AX45,INS_O)*INDEX(IdxOV_O,1,MIN(10,AX$17))*(1+P_dMat)/(1-P_Merma)</f>
        <v>127260</v>
      </c>
      <c r="AY74" s="48" t="n">
        <f aca="false">SUMPRODUCT(AY21:AY45,INS_O)*INDEX(IdxOV_O,1,MIN(10,AY$17))*(1+P_dMat)/(1-P_Merma)</f>
        <v>127260</v>
      </c>
      <c r="AZ74" s="48" t="n">
        <f aca="false">SUMPRODUCT(AZ21:AZ45,INS_O)*INDEX(IdxOV_O,1,MIN(10,AZ$17))*(1+P_dMat)/(1-P_Merma)</f>
        <v>127260</v>
      </c>
      <c r="BA74" s="48" t="n">
        <f aca="false">SUMPRODUCT(BA21:BA45,INS_O)*INDEX(IdxOV_O,1,MIN(10,BA$17))*(1+P_dMat)/(1-P_Merma)</f>
        <v>127260</v>
      </c>
      <c r="BB74" s="48" t="n">
        <f aca="false">SUMPRODUCT(BB21:BB45,INS_O)*INDEX(IdxOV_O,1,MIN(10,BB$17))*(1+P_dMat)/(1-P_Merma)</f>
        <v>127260</v>
      </c>
      <c r="BC74" s="48" t="n">
        <f aca="false">SUMPRODUCT(BC21:BC45,INS_O)*INDEX(IdxOV_O,1,MIN(10,BC$17))*(1+P_dMat)/(1-P_Merma)</f>
        <v>127260</v>
      </c>
      <c r="BD74" s="48" t="n">
        <f aca="false">SUMPRODUCT(BD21:BD45,INS_O)*INDEX(IdxOV_O,1,MIN(10,BD$17))*(1+P_dMat)/(1-P_Merma)</f>
        <v>127260</v>
      </c>
      <c r="BE74" s="48" t="n">
        <f aca="false">SUMPRODUCT(BE21:BE45,INS_O)*INDEX(IdxOV_O,1,MIN(10,BE$17))*(1+P_dMat)/(1-P_Merma)</f>
        <v>127260</v>
      </c>
      <c r="BF74" s="48" t="n">
        <f aca="false">SUMPRODUCT(BF21:BF45,INS_O)*INDEX(IdxOV_O,1,MIN(10,BF$17))*(1+P_dMat)/(1-P_Merma)</f>
        <v>127260</v>
      </c>
      <c r="BG74" s="48" t="n">
        <f aca="false">SUMPRODUCT(BG21:BG45,INS_O)*INDEX(IdxOV_O,1,MIN(10,BG$17))*(1+P_dMat)/(1-P_Merma)</f>
        <v>127260</v>
      </c>
      <c r="BH74" s="48" t="n">
        <f aca="false">SUMPRODUCT(BH21:BH45,INS_O)*INDEX(IdxOV_O,1,MIN(10,BH$17))*(1+P_dMat)/(1-P_Merma)</f>
        <v>127260</v>
      </c>
      <c r="BI74" s="48" t="n">
        <f aca="false">SUMPRODUCT(BI21:BI45,INS_O)*INDEX(IdxOV_O,1,MIN(10,BI$17))*(1+P_dMat)/(1-P_Merma)</f>
        <v>127260</v>
      </c>
      <c r="BJ74" s="48" t="n">
        <f aca="false">SUMPRODUCT(BJ21:BJ45,INS_O)*INDEX(IdxOV_O,1,MIN(10,BJ$17))*(1+P_dMat)/(1-P_Merma)</f>
        <v>127260</v>
      </c>
      <c r="BK74" s="48" t="n">
        <f aca="false">SUMPRODUCT(BK21:BK45,INS_O)*INDEX(IdxOV_O,1,MIN(10,BK$17))*(1+P_dMat)/(1-P_Merma)</f>
        <v>127260</v>
      </c>
      <c r="BL74" s="48" t="n">
        <f aca="false">SUMPRODUCT(BL21:BL45,INS_O)*INDEX(IdxOV_O,1,MIN(10,BL$17))*(1+P_dMat)/(1-P_Merma)</f>
        <v>127260</v>
      </c>
      <c r="BM74" s="48" t="n">
        <f aca="false">SUMPRODUCT(BM21:BM45,INS_O)*INDEX(IdxOV_O,1,MIN(10,BM$17))*(1+P_dMat)/(1-P_Merma)</f>
        <v>127260</v>
      </c>
      <c r="BN74" s="48" t="n">
        <f aca="false">SUMPRODUCT(BN21:BN45,INS_O)*INDEX(IdxOV_O,1,MIN(10,BN$17))*(1+P_dMat)/(1-P_Merma)</f>
        <v>127260</v>
      </c>
      <c r="BO74" s="48" t="n">
        <f aca="false">SUMPRODUCT(BO21:BO45,INS_O)*INDEX(IdxOV_O,1,MIN(10,BO$17))*(1+P_dMat)/(1-P_Merma)</f>
        <v>127260</v>
      </c>
      <c r="BP74" s="48" t="n">
        <f aca="false">SUMPRODUCT(BP21:BP45,INS_O)*INDEX(IdxOV_O,1,MIN(10,BP$17))*(1+P_dMat)/(1-P_Merma)</f>
        <v>127260</v>
      </c>
      <c r="BQ74" s="48" t="n">
        <f aca="false">SUMPRODUCT(BQ21:BQ45,INS_O)*INDEX(IdxOV_O,1,MIN(10,BQ$17))*(1+P_dMat)/(1-P_Merma)</f>
        <v>127260</v>
      </c>
      <c r="BR74" s="48" t="n">
        <f aca="false">SUMPRODUCT(BR21:BR45,INS_O)*INDEX(IdxOV_O,1,MIN(10,BR$17))*(1+P_dMat)/(1-P_Merma)</f>
        <v>127260</v>
      </c>
      <c r="BS74" s="48" t="n">
        <f aca="false">SUMPRODUCT(BS21:BS45,INS_O)*INDEX(IdxOV_O,1,MIN(10,BS$17))*(1+P_dMat)/(1-P_Merma)</f>
        <v>127260</v>
      </c>
      <c r="BT74" s="48" t="n">
        <f aca="false">SUMPRODUCT(BT21:BT45,INS_O)*INDEX(IdxOV_O,1,MIN(10,BT$17))*(1+P_dMat)/(1-P_Merma)</f>
        <v>127260</v>
      </c>
      <c r="BU74" s="48" t="n">
        <f aca="false">SUMPRODUCT(BU21:BU45,INS_O)*INDEX(IdxOV_O,1,MIN(10,BU$17))*(1+P_dMat)/(1-P_Merma)</f>
        <v>127260</v>
      </c>
      <c r="BV74" s="48" t="n">
        <f aca="false">SUMPRODUCT(BV21:BV45,INS_O)*INDEX(IdxOV_O,1,MIN(10,BV$17))*(1+P_dMat)/(1-P_Merma)</f>
        <v>127260</v>
      </c>
      <c r="BW74" s="48" t="n">
        <f aca="false">SUMPRODUCT(BW21:BW45,INS_O)*INDEX(IdxOV_O,1,MIN(10,BW$17))*(1+P_dMat)/(1-P_Merma)</f>
        <v>127260</v>
      </c>
      <c r="BX74" s="48" t="n">
        <f aca="false">SUMPRODUCT(BX21:BX45,INS_O)*INDEX(IdxOV_O,1,MIN(10,BX$17))*(1+P_dMat)/(1-P_Merma)</f>
        <v>127260</v>
      </c>
      <c r="BY74" s="48" t="n">
        <f aca="false">SUMPRODUCT(BY21:BY45,INS_O)*INDEX(IdxOV_O,1,MIN(10,BY$17))*(1+P_dMat)/(1-P_Merma)</f>
        <v>127260</v>
      </c>
      <c r="BZ74" s="48" t="n">
        <f aca="false">SUMPRODUCT(BZ21:BZ45,INS_O)*INDEX(IdxOV_O,1,MIN(10,BZ$17))*(1+P_dMat)/(1-P_Merma)</f>
        <v>127260</v>
      </c>
      <c r="CA74" s="48" t="n">
        <f aca="false">SUMPRODUCT(CA21:CA45,INS_O)*INDEX(IdxOV_O,1,MIN(10,CA$17))*(1+P_dMat)/(1-P_Merma)</f>
        <v>127260</v>
      </c>
      <c r="CB74" s="48" t="n">
        <f aca="false">SUMPRODUCT(CB21:CB45,INS_O)*INDEX(IdxOV_O,1,MIN(10,CB$17))*(1+P_dMat)/(1-P_Merma)</f>
        <v>127260</v>
      </c>
      <c r="CC74" s="48" t="n">
        <f aca="false">SUMPRODUCT(CC21:CC45,INS_O)*INDEX(IdxOV_O,1,MIN(10,CC$17))*(1+P_dMat)/(1-P_Merma)</f>
        <v>127260</v>
      </c>
      <c r="CD74" s="48" t="n">
        <f aca="false">SUMPRODUCT(CD21:CD45,INS_O)*INDEX(IdxOV_O,1,MIN(10,CD$17))*(1+P_dMat)/(1-P_Merma)</f>
        <v>127260</v>
      </c>
      <c r="CE74" s="48" t="n">
        <f aca="false">SUMPRODUCT(CE21:CE45,INS_O)*INDEX(IdxOV_O,1,MIN(10,CE$17))*(1+P_dMat)/(1-P_Merma)</f>
        <v>127260</v>
      </c>
      <c r="CF74" s="48" t="n">
        <f aca="false">SUMPRODUCT(CF21:CF45,INS_O)*INDEX(IdxOV_O,1,MIN(10,CF$17))*(1+P_dMat)/(1-P_Merma)</f>
        <v>127260</v>
      </c>
      <c r="CG74" s="48" t="n">
        <f aca="false">SUMPRODUCT(CG21:CG45,INS_O)*INDEX(IdxOV_O,1,MIN(10,CG$17))*(1+P_dMat)/(1-P_Merma)</f>
        <v>127260</v>
      </c>
      <c r="CH74" s="48" t="n">
        <f aca="false">SUMPRODUCT(CH21:CH45,INS_O)*INDEX(IdxOV_O,1,MIN(10,CH$17))*(1+P_dMat)/(1-P_Merma)</f>
        <v>127260</v>
      </c>
      <c r="CI74" s="48" t="n">
        <f aca="false">SUMPRODUCT(CI21:CI45,INS_O)*INDEX(IdxOV_O,1,MIN(10,CI$17))*(1+P_dMat)/(1-P_Merma)</f>
        <v>127260</v>
      </c>
      <c r="CJ74" s="48" t="n">
        <f aca="false">SUMPRODUCT(CJ21:CJ45,INS_O)*INDEX(IdxOV_O,1,MIN(10,CJ$17))*(1+P_dMat)/(1-P_Merma)</f>
        <v>127260</v>
      </c>
      <c r="CK74" s="48" t="n">
        <f aca="false">SUMPRODUCT(CK21:CK45,INS_O)*INDEX(IdxOV_O,1,MIN(10,CK$17))*(1+P_dMat)/(1-P_Merma)</f>
        <v>127260</v>
      </c>
      <c r="CL74" s="48" t="n">
        <f aca="false">SUMPRODUCT(CL21:CL45,INS_O)*INDEX(IdxOV_O,1,MIN(10,CL$17))*(1+P_dMat)/(1-P_Merma)</f>
        <v>127260</v>
      </c>
      <c r="CM74" s="48" t="n">
        <f aca="false">SUMPRODUCT(CM21:CM45,INS_O)*INDEX(IdxOV_O,1,MIN(10,CM$17))*(1+P_dMat)/(1-P_Merma)</f>
        <v>127260</v>
      </c>
      <c r="CN74" s="48" t="n">
        <f aca="false">SUMPRODUCT(CN21:CN45,INS_O)*INDEX(IdxOV_O,1,MIN(10,CN$17))*(1+P_dMat)/(1-P_Merma)</f>
        <v>127260</v>
      </c>
      <c r="CO74" s="48" t="n">
        <f aca="false">SUMPRODUCT(CO21:CO45,INS_O)*INDEX(IdxOV_O,1,MIN(10,CO$17))*(1+P_dMat)/(1-P_Merma)</f>
        <v>127260</v>
      </c>
      <c r="CP74" s="48" t="n">
        <f aca="false">SUMPRODUCT(CP21:CP45,INS_O)*INDEX(IdxOV_O,1,MIN(10,CP$17))*(1+P_dMat)/(1-P_Merma)</f>
        <v>127260</v>
      </c>
      <c r="CQ74" s="48" t="n">
        <f aca="false">SUMPRODUCT(CQ21:CQ45,INS_O)*INDEX(IdxOV_O,1,MIN(10,CQ$17))*(1+P_dMat)/(1-P_Merma)</f>
        <v>127260</v>
      </c>
      <c r="CR74" s="48" t="n">
        <f aca="false">SUMPRODUCT(CR21:CR45,INS_O)*INDEX(IdxOV_O,1,MIN(10,CR$17))*(1+P_dMat)/(1-P_Merma)</f>
        <v>127260</v>
      </c>
      <c r="CS74" s="48" t="n">
        <f aca="false">SUMPRODUCT(CS21:CS45,INS_O)*INDEX(IdxOV_O,1,MIN(10,CS$17))*(1+P_dMat)/(1-P_Merma)</f>
        <v>127260</v>
      </c>
      <c r="CT74" s="48" t="n">
        <f aca="false">SUMPRODUCT(CT21:CT45,INS_O)*INDEX(IdxOV_O,1,MIN(10,CT$17))*(1+P_dMat)/(1-P_Merma)</f>
        <v>127260</v>
      </c>
      <c r="CU74" s="48" t="n">
        <f aca="false">SUMPRODUCT(CU21:CU45,INS_O)*INDEX(IdxOV_O,1,MIN(10,CU$17))*(1+P_dMat)/(1-P_Merma)</f>
        <v>127260</v>
      </c>
      <c r="CV74" s="48" t="n">
        <f aca="false">SUMPRODUCT(CV21:CV45,INS_O)*INDEX(IdxOV_O,1,MIN(10,CV$17))*(1+P_dMat)/(1-P_Merma)</f>
        <v>127260</v>
      </c>
      <c r="CW74" s="48" t="n">
        <f aca="false">SUMPRODUCT(CW21:CW45,INS_O)*INDEX(IdxOV_O,1,MIN(10,CW$17))*(1+P_dMat)/(1-P_Merma)</f>
        <v>127260</v>
      </c>
      <c r="CX74" s="48" t="n">
        <f aca="false">SUMPRODUCT(CX21:CX45,INS_O)*INDEX(IdxOV_O,1,MIN(10,CX$17))*(1+P_dMat)/(1-P_Merma)</f>
        <v>127260</v>
      </c>
      <c r="CY74" s="48" t="n">
        <f aca="false">SUMPRODUCT(CY21:CY45,INS_O)*INDEX(IdxOV_O,1,MIN(10,CY$17))*(1+P_dMat)/(1-P_Merma)</f>
        <v>127260</v>
      </c>
      <c r="CZ74" s="48" t="n">
        <f aca="false">SUMPRODUCT(CZ21:CZ45,INS_O)*INDEX(IdxOV_O,1,MIN(10,CZ$17))*(1+P_dMat)/(1-P_Merma)</f>
        <v>127260</v>
      </c>
      <c r="DA74" s="48" t="n">
        <f aca="false">SUMPRODUCT(DA21:DA45,INS_O)*INDEX(IdxOV_O,1,MIN(10,DA$17))*(1+P_dMat)/(1-P_Merma)</f>
        <v>127260</v>
      </c>
      <c r="DB74" s="48" t="n">
        <f aca="false">SUMPRODUCT(DB21:DB45,INS_O)*INDEX(IdxOV_O,1,MIN(10,DB$17))*(1+P_dMat)/(1-P_Merma)</f>
        <v>127260</v>
      </c>
      <c r="DC74" s="48" t="n">
        <f aca="false">SUMPRODUCT(DC21:DC45,INS_O)*INDEX(IdxOV_O,1,MIN(10,DC$17))*(1+P_dMat)/(1-P_Merma)</f>
        <v>127260</v>
      </c>
      <c r="DD74" s="48" t="n">
        <f aca="false">SUMPRODUCT(DD21:DD45,INS_O)*INDEX(IdxOV_O,1,MIN(10,DD$17))*(1+P_dMat)/(1-P_Merma)</f>
        <v>127260</v>
      </c>
      <c r="DE74" s="48" t="n">
        <f aca="false">SUMPRODUCT(DE21:DE45,INS_O)*INDEX(IdxOV_O,1,MIN(10,DE$17))*(1+P_dMat)/(1-P_Merma)</f>
        <v>127260</v>
      </c>
      <c r="DF74" s="48" t="n">
        <f aca="false">SUMPRODUCT(DF21:DF45,INS_O)*INDEX(IdxOV_O,1,MIN(10,DF$17))*(1+P_dMat)/(1-P_Merma)</f>
        <v>127260</v>
      </c>
      <c r="DG74" s="48" t="n">
        <f aca="false">SUMPRODUCT(DG21:DG45,INS_O)*INDEX(IdxOV_O,1,MIN(10,DG$17))*(1+P_dMat)/(1-P_Merma)</f>
        <v>127260</v>
      </c>
      <c r="DH74" s="48" t="n">
        <f aca="false">SUMPRODUCT(DH21:DH45,INS_O)*INDEX(IdxOV_O,1,MIN(10,DH$17))*(1+P_dMat)/(1-P_Merma)</f>
        <v>127260</v>
      </c>
      <c r="DI74" s="48" t="n">
        <f aca="false">SUMPRODUCT(DI21:DI45,INS_O)*INDEX(IdxOV_O,1,MIN(10,DI$17))*(1+P_dMat)/(1-P_Merma)</f>
        <v>127260</v>
      </c>
      <c r="DJ74" s="48" t="n">
        <f aca="false">SUMPRODUCT(DJ21:DJ45,INS_O)*INDEX(IdxOV_O,1,MIN(10,DJ$17))*(1+P_dMat)/(1-P_Merma)</f>
        <v>127260</v>
      </c>
      <c r="DK74" s="48" t="n">
        <f aca="false">SUMPRODUCT(DK21:DK45,INS_O)*INDEX(IdxOV_O,1,MIN(10,DK$17))*(1+P_dMat)/(1-P_Merma)</f>
        <v>127260</v>
      </c>
      <c r="DL74" s="48" t="n">
        <f aca="false">SUMPRODUCT(DL21:DL45,INS_O)*INDEX(IdxOV_O,1,MIN(10,DL$17))*(1+P_dMat)/(1-P_Merma)</f>
        <v>127260</v>
      </c>
      <c r="DM74" s="48" t="n">
        <f aca="false">SUMPRODUCT(DM21:DM45,INS_O)*INDEX(IdxOV_O,1,MIN(10,DM$17))*(1+P_dMat)/(1-P_Merma)</f>
        <v>127260</v>
      </c>
      <c r="DN74" s="48" t="n">
        <f aca="false">SUMPRODUCT(DN21:DN45,INS_O)*INDEX(IdxOV_O,1,MIN(10,DN$17))*(1+P_dMat)/(1-P_Merma)</f>
        <v>127260</v>
      </c>
      <c r="DO74" s="48" t="n">
        <f aca="false">SUMPRODUCT(DO21:DO45,INS_O)*INDEX(IdxOV_O,1,MIN(10,DO$17))*(1+P_dMat)/(1-P_Merma)</f>
        <v>127260</v>
      </c>
      <c r="DP74" s="48" t="n">
        <f aca="false">SUMPRODUCT(DP21:DP45,INS_O)*INDEX(IdxOV_O,1,MIN(10,DP$17))*(1+P_dMat)/(1-P_Merma)</f>
        <v>127260</v>
      </c>
      <c r="DQ74" s="48" t="n">
        <f aca="false">SUMPRODUCT(DQ21:DQ45,INS_O)*INDEX(IdxOV_O,1,MIN(10,DQ$17))*(1+P_dMat)/(1-P_Merma)</f>
        <v>127260</v>
      </c>
      <c r="DR74" s="48" t="n">
        <f aca="false">SUMPRODUCT(DR21:DR45,INS_O)*INDEX(IdxOV_O,1,MIN(10,DR$17))*(1+P_dMat)/(1-P_Merma)</f>
        <v>127260</v>
      </c>
      <c r="DS74" s="48" t="n">
        <f aca="false">SUMPRODUCT(DS21:DS45,INS_O)*INDEX(IdxOV_O,1,MIN(10,DS$17))*(1+P_dMat)/(1-P_Merma)</f>
        <v>127260</v>
      </c>
      <c r="DT74" s="48" t="n">
        <f aca="false">SUMPRODUCT(DT21:DT45,INS_O)*INDEX(IdxOV_O,1,MIN(10,DT$17))*(1+P_dMat)/(1-P_Merma)</f>
        <v>127260</v>
      </c>
      <c r="DU74" s="48" t="n">
        <f aca="false">SUMPRODUCT(DU21:DU45,INS_O)*INDEX(IdxOV_O,1,MIN(10,DU$17))*(1+P_dMat)/(1-P_Merma)</f>
        <v>127260</v>
      </c>
      <c r="DV74" s="48" t="n">
        <f aca="false">SUMPRODUCT(DV21:DV45,INS_O)*INDEX(IdxOV_O,1,MIN(10,DV$17))*(1+P_dMat)/(1-P_Merma)</f>
        <v>0</v>
      </c>
      <c r="DW74" s="48" t="n">
        <f aca="false">SUMPRODUCT(DW21:DW45,INS_O)*INDEX(IdxOV_O,1,MIN(10,DW$17))*(1+P_dMat)/(1-P_Merma)</f>
        <v>0</v>
      </c>
      <c r="DX74" s="48" t="n">
        <f aca="false">SUMPRODUCT(DX21:DX45,INS_O)*INDEX(IdxOV_O,1,MIN(10,DX$17))*(1+P_dMat)/(1-P_Merma)</f>
        <v>0</v>
      </c>
      <c r="DY74" s="48" t="n">
        <f aca="false">SUMPRODUCT(DY21:DY45,INS_O)*INDEX(IdxOV_O,1,MIN(10,DY$17))*(1+P_dMat)/(1-P_Merma)</f>
        <v>0</v>
      </c>
      <c r="DZ74" s="48" t="n">
        <f aca="false">SUMPRODUCT(DZ21:DZ45,INS_O)*INDEX(IdxOV_O,1,MIN(10,DZ$17))*(1+P_dMat)/(1-P_Merma)</f>
        <v>0</v>
      </c>
      <c r="EA74" s="48" t="n">
        <f aca="false">SUMPRODUCT(EA21:EA45,INS_O)*INDEX(IdxOV_O,1,MIN(10,EA$17))*(1+P_dMat)/(1-P_Merma)</f>
        <v>0</v>
      </c>
      <c r="EB74" s="48" t="n">
        <f aca="false">SUMPRODUCT(EB21:EB45,INS_O)*INDEX(IdxOV_O,1,MIN(10,EB$17))*(1+P_dMat)/(1-P_Merma)</f>
        <v>0</v>
      </c>
      <c r="EC74" s="48" t="n">
        <f aca="false">SUMPRODUCT(EC21:EC45,INS_O)*INDEX(IdxOV_O,1,MIN(10,EC$17))*(1+P_dMat)/(1-P_Merma)</f>
        <v>0</v>
      </c>
      <c r="ED74" s="48" t="n">
        <f aca="false">SUMPRODUCT(ED21:ED45,INS_O)*INDEX(IdxOV_O,1,MIN(10,ED$17))*(1+P_dMat)/(1-P_Merma)</f>
        <v>0</v>
      </c>
      <c r="EE74" s="48" t="n">
        <f aca="false">SUMPRODUCT(EE21:EE45,INS_O)*INDEX(IdxOV_O,1,MIN(10,EE$17))*(1+P_dMat)/(1-P_Merma)</f>
        <v>0</v>
      </c>
      <c r="EF74" s="48" t="n">
        <f aca="false">SUMPRODUCT(EF21:EF45,INS_O)*INDEX(IdxOV_O,1,MIN(10,EF$17))*(1+P_dMat)/(1-P_Merma)</f>
        <v>0</v>
      </c>
      <c r="EG74" s="48" t="n">
        <f aca="false">SUMPRODUCT(EG21:EG45,INS_O)*INDEX(IdxOV_O,1,MIN(10,EG$17))*(1+P_dMat)/(1-P_Merma)</f>
        <v>0</v>
      </c>
      <c r="EH74" s="48" t="n">
        <f aca="false">SUMPRODUCT(EH21:EH45,INS_O)*INDEX(IdxOV_O,1,MIN(10,EH$17))*(1+P_dMat)/(1-P_Merma)</f>
        <v>0</v>
      </c>
      <c r="EI74" s="48" t="n">
        <f aca="false">SUMPRODUCT(EI21:EI45,INS_O)*INDEX(IdxOV_O,1,MIN(10,EI$17))*(1+P_dMat)/(1-P_Merma)</f>
        <v>0</v>
      </c>
      <c r="EJ74" s="48" t="n">
        <f aca="false">SUMPRODUCT(EJ21:EJ45,INS_O)*INDEX(IdxOV_O,1,MIN(10,EJ$17))*(1+P_dMat)/(1-P_Merma)</f>
        <v>0</v>
      </c>
      <c r="EK74" s="48" t="n">
        <f aca="false">SUMPRODUCT(EK21:EK45,INS_O)*INDEX(IdxOV_O,1,MIN(10,EK$17))*(1+P_dMat)/(1-P_Merma)</f>
        <v>0</v>
      </c>
      <c r="EL74" s="48" t="n">
        <f aca="false">SUMPRODUCT(EL21:EL45,INS_O)*INDEX(IdxOV_O,1,MIN(10,EL$17))*(1+P_dMat)/(1-P_Merma)</f>
        <v>0</v>
      </c>
      <c r="EM74" s="48" t="n">
        <f aca="false">SUMPRODUCT(EM21:EM45,INS_O)*INDEX(IdxOV_O,1,MIN(10,EM$17))*(1+P_dMat)/(1-P_Merma)</f>
        <v>0</v>
      </c>
      <c r="EN74" s="48" t="n">
        <f aca="false">SUMPRODUCT(EN21:EN45,INS_O)*INDEX(IdxOV_O,1,MIN(10,EN$17))*(1+P_dMat)/(1-P_Merma)</f>
        <v>0</v>
      </c>
      <c r="EO74" s="48" t="n">
        <f aca="false">SUMPRODUCT(EO21:EO45,INS_O)*INDEX(IdxOV_O,1,MIN(10,EO$17))*(1+P_dMat)/(1-P_Merma)</f>
        <v>0</v>
      </c>
      <c r="EP74" s="48" t="n">
        <f aca="false">SUMPRODUCT(EP21:EP45,INS_O)*INDEX(IdxOV_O,1,MIN(10,EP$17))*(1+P_dMat)/(1-P_Merma)</f>
        <v>0</v>
      </c>
      <c r="EQ74" s="48" t="n">
        <f aca="false">SUMPRODUCT(EQ21:EQ45,INS_O)*INDEX(IdxOV_O,1,MIN(10,EQ$17))*(1+P_dMat)/(1-P_Merma)</f>
        <v>0</v>
      </c>
      <c r="ER74" s="48" t="n">
        <f aca="false">SUMPRODUCT(ER21:ER45,INS_O)*INDEX(IdxOV_O,1,MIN(10,ER$17))*(1+P_dMat)/(1-P_Merma)</f>
        <v>0</v>
      </c>
      <c r="ES74" s="48" t="n">
        <f aca="false">SUMPRODUCT(ES21:ES45,INS_O)*INDEX(IdxOV_O,1,MIN(10,ES$17))*(1+P_dMat)/(1-P_Merma)</f>
        <v>0</v>
      </c>
    </row>
    <row r="75" customFormat="false" ht="15" hidden="false" customHeight="false" outlineLevel="0" collapsed="false">
      <c r="A75" s="11" t="s">
        <v>1123</v>
      </c>
      <c r="B75" s="15" t="s">
        <v>1124</v>
      </c>
      <c r="C75" s="15" t="s">
        <v>508</v>
      </c>
      <c r="E75" s="54" t="n">
        <f aca="false">SUM(F75:ES75)</f>
        <v>8388891.936</v>
      </c>
      <c r="F75" s="48" t="n">
        <f aca="false">SUMPRODUCT(F21:F45,OV_O)*INDEX(IdxOV_O,1,MIN(10,F$17))*(1+P_dMat)/(1-P_Merma)</f>
        <v>43834.333</v>
      </c>
      <c r="G75" s="48" t="n">
        <f aca="false">SUMPRODUCT(G21:G45,OV_O)*INDEX(IdxOV_O,1,MIN(10,G$17))*(1+P_dMat)/(1-P_Merma)</f>
        <v>43834.333</v>
      </c>
      <c r="H75" s="48" t="n">
        <f aca="false">SUMPRODUCT(H21:H45,OV_O)*INDEX(IdxOV_O,1,MIN(10,H$17))*(1+P_dMat)/(1-P_Merma)</f>
        <v>43834.333</v>
      </c>
      <c r="I75" s="48" t="n">
        <f aca="false">SUMPRODUCT(I21:I45,OV_O)*INDEX(IdxOV_O,1,MIN(10,I$17))*(1+P_dMat)/(1-P_Merma)</f>
        <v>43834.333</v>
      </c>
      <c r="J75" s="48" t="n">
        <f aca="false">SUMPRODUCT(J21:J45,OV_O)*INDEX(IdxOV_O,1,MIN(10,J$17))*(1+P_dMat)/(1-P_Merma)</f>
        <v>43834.333</v>
      </c>
      <c r="K75" s="48" t="n">
        <f aca="false">SUMPRODUCT(K21:K45,OV_O)*INDEX(IdxOV_O,1,MIN(10,K$17))*(1+P_dMat)/(1-P_Merma)</f>
        <v>43834.333</v>
      </c>
      <c r="L75" s="48" t="n">
        <f aca="false">SUMPRODUCT(L21:L45,OV_O)*INDEX(IdxOV_O,1,MIN(10,L$17))*(1+P_dMat)/(1-P_Merma)</f>
        <v>43834.333</v>
      </c>
      <c r="M75" s="48" t="n">
        <f aca="false">SUMPRODUCT(M21:M45,OV_O)*INDEX(IdxOV_O,1,MIN(10,M$17))*(1+P_dMat)/(1-P_Merma)</f>
        <v>43834.333</v>
      </c>
      <c r="N75" s="48" t="n">
        <f aca="false">SUMPRODUCT(N21:N45,OV_O)*INDEX(IdxOV_O,1,MIN(10,N$17))*(1+P_dMat)/(1-P_Merma)</f>
        <v>43834.333</v>
      </c>
      <c r="O75" s="48" t="n">
        <f aca="false">SUMPRODUCT(O21:O45,OV_O)*INDEX(IdxOV_O,1,MIN(10,O$17))*(1+P_dMat)/(1-P_Merma)</f>
        <v>43834.333</v>
      </c>
      <c r="P75" s="48" t="n">
        <f aca="false">SUMPRODUCT(P21:P45,OV_O)*INDEX(IdxOV_O,1,MIN(10,P$17))*(1+P_dMat)/(1-P_Merma)</f>
        <v>43834.333</v>
      </c>
      <c r="Q75" s="48" t="n">
        <f aca="false">SUMPRODUCT(Q21:Q45,OV_O)*INDEX(IdxOV_O,1,MIN(10,Q$17))*(1+P_dMat)/(1-P_Merma)</f>
        <v>43834.333</v>
      </c>
      <c r="R75" s="48" t="n">
        <f aca="false">SUMPRODUCT(R21:R45,OV_O)*INDEX(IdxOV_O,1,MIN(10,R$17))*(1+P_dMat)/(1-P_Merma)</f>
        <v>55361.66625</v>
      </c>
      <c r="S75" s="48" t="n">
        <f aca="false">SUMPRODUCT(S21:S45,OV_O)*INDEX(IdxOV_O,1,MIN(10,S$17))*(1+P_dMat)/(1-P_Merma)</f>
        <v>55361.66625</v>
      </c>
      <c r="T75" s="48" t="n">
        <f aca="false">SUMPRODUCT(T21:T45,OV_O)*INDEX(IdxOV_O,1,MIN(10,T$17))*(1+P_dMat)/(1-P_Merma)</f>
        <v>55361.66625</v>
      </c>
      <c r="U75" s="48" t="n">
        <f aca="false">SUMPRODUCT(U21:U45,OV_O)*INDEX(IdxOV_O,1,MIN(10,U$17))*(1+P_dMat)/(1-P_Merma)</f>
        <v>55361.66625</v>
      </c>
      <c r="V75" s="48" t="n">
        <f aca="false">SUMPRODUCT(V21:V45,OV_O)*INDEX(IdxOV_O,1,MIN(10,V$17))*(1+P_dMat)/(1-P_Merma)</f>
        <v>55361.66625</v>
      </c>
      <c r="W75" s="48" t="n">
        <f aca="false">SUMPRODUCT(W21:W45,OV_O)*INDEX(IdxOV_O,1,MIN(10,W$17))*(1+P_dMat)/(1-P_Merma)</f>
        <v>55361.66625</v>
      </c>
      <c r="X75" s="48" t="n">
        <f aca="false">SUMPRODUCT(X21:X45,OV_O)*INDEX(IdxOV_O,1,MIN(10,X$17))*(1+P_dMat)/(1-P_Merma)</f>
        <v>55361.66625</v>
      </c>
      <c r="Y75" s="48" t="n">
        <f aca="false">SUMPRODUCT(Y21:Y45,OV_O)*INDEX(IdxOV_O,1,MIN(10,Y$17))*(1+P_dMat)/(1-P_Merma)</f>
        <v>55361.66625</v>
      </c>
      <c r="Z75" s="48" t="n">
        <f aca="false">SUMPRODUCT(Z21:Z45,OV_O)*INDEX(IdxOV_O,1,MIN(10,Z$17))*(1+P_dMat)/(1-P_Merma)</f>
        <v>55361.66625</v>
      </c>
      <c r="AA75" s="48" t="n">
        <f aca="false">SUMPRODUCT(AA21:AA45,OV_O)*INDEX(IdxOV_O,1,MIN(10,AA$17))*(1+P_dMat)/(1-P_Merma)</f>
        <v>55361.66625</v>
      </c>
      <c r="AB75" s="48" t="n">
        <f aca="false">SUMPRODUCT(AB21:AB45,OV_O)*INDEX(IdxOV_O,1,MIN(10,AB$17))*(1+P_dMat)/(1-P_Merma)</f>
        <v>55361.66625</v>
      </c>
      <c r="AC75" s="48" t="n">
        <f aca="false">SUMPRODUCT(AC21:AC45,OV_O)*INDEX(IdxOV_O,1,MIN(10,AC$17))*(1+P_dMat)/(1-P_Merma)</f>
        <v>55361.66625</v>
      </c>
      <c r="AD75" s="48" t="n">
        <f aca="false">SUMPRODUCT(AD21:AD45,OV_O)*INDEX(IdxOV_O,1,MIN(10,AD$17))*(1+P_dMat)/(1-P_Merma)</f>
        <v>66888.9995</v>
      </c>
      <c r="AE75" s="48" t="n">
        <f aca="false">SUMPRODUCT(AE21:AE45,OV_O)*INDEX(IdxOV_O,1,MIN(10,AE$17))*(1+P_dMat)/(1-P_Merma)</f>
        <v>66888.9995</v>
      </c>
      <c r="AF75" s="48" t="n">
        <f aca="false">SUMPRODUCT(AF21:AF45,OV_O)*INDEX(IdxOV_O,1,MIN(10,AF$17))*(1+P_dMat)/(1-P_Merma)</f>
        <v>66888.9995</v>
      </c>
      <c r="AG75" s="48" t="n">
        <f aca="false">SUMPRODUCT(AG21:AG45,OV_O)*INDEX(IdxOV_O,1,MIN(10,AG$17))*(1+P_dMat)/(1-P_Merma)</f>
        <v>66888.9995</v>
      </c>
      <c r="AH75" s="48" t="n">
        <f aca="false">SUMPRODUCT(AH21:AH45,OV_O)*INDEX(IdxOV_O,1,MIN(10,AH$17))*(1+P_dMat)/(1-P_Merma)</f>
        <v>66888.9995</v>
      </c>
      <c r="AI75" s="48" t="n">
        <f aca="false">SUMPRODUCT(AI21:AI45,OV_O)*INDEX(IdxOV_O,1,MIN(10,AI$17))*(1+P_dMat)/(1-P_Merma)</f>
        <v>66888.9995</v>
      </c>
      <c r="AJ75" s="48" t="n">
        <f aca="false">SUMPRODUCT(AJ21:AJ45,OV_O)*INDEX(IdxOV_O,1,MIN(10,AJ$17))*(1+P_dMat)/(1-P_Merma)</f>
        <v>66888.9995</v>
      </c>
      <c r="AK75" s="48" t="n">
        <f aca="false">SUMPRODUCT(AK21:AK45,OV_O)*INDEX(IdxOV_O,1,MIN(10,AK$17))*(1+P_dMat)/(1-P_Merma)</f>
        <v>66888.9995</v>
      </c>
      <c r="AL75" s="48" t="n">
        <f aca="false">SUMPRODUCT(AL21:AL45,OV_O)*INDEX(IdxOV_O,1,MIN(10,AL$17))*(1+P_dMat)/(1-P_Merma)</f>
        <v>66888.9995</v>
      </c>
      <c r="AM75" s="48" t="n">
        <f aca="false">SUMPRODUCT(AM21:AM45,OV_O)*INDEX(IdxOV_O,1,MIN(10,AM$17))*(1+P_dMat)/(1-P_Merma)</f>
        <v>66888.9995</v>
      </c>
      <c r="AN75" s="48" t="n">
        <f aca="false">SUMPRODUCT(AN21:AN45,OV_O)*INDEX(IdxOV_O,1,MIN(10,AN$17))*(1+P_dMat)/(1-P_Merma)</f>
        <v>66888.9995</v>
      </c>
      <c r="AO75" s="48" t="n">
        <f aca="false">SUMPRODUCT(AO21:AO45,OV_O)*INDEX(IdxOV_O,1,MIN(10,AO$17))*(1+P_dMat)/(1-P_Merma)</f>
        <v>66888.9995</v>
      </c>
      <c r="AP75" s="48" t="n">
        <f aca="false">SUMPRODUCT(AP21:AP45,OV_O)*INDEX(IdxOV_O,1,MIN(10,AP$17))*(1+P_dMat)/(1-P_Merma)</f>
        <v>76141.33275</v>
      </c>
      <c r="AQ75" s="48" t="n">
        <f aca="false">SUMPRODUCT(AQ21:AQ45,OV_O)*INDEX(IdxOV_O,1,MIN(10,AQ$17))*(1+P_dMat)/(1-P_Merma)</f>
        <v>76141.33275</v>
      </c>
      <c r="AR75" s="48" t="n">
        <f aca="false">SUMPRODUCT(AR21:AR45,OV_O)*INDEX(IdxOV_O,1,MIN(10,AR$17))*(1+P_dMat)/(1-P_Merma)</f>
        <v>76141.33275</v>
      </c>
      <c r="AS75" s="48" t="n">
        <f aca="false">SUMPRODUCT(AS21:AS45,OV_O)*INDEX(IdxOV_O,1,MIN(10,AS$17))*(1+P_dMat)/(1-P_Merma)</f>
        <v>76141.33275</v>
      </c>
      <c r="AT75" s="48" t="n">
        <f aca="false">SUMPRODUCT(AT21:AT45,OV_O)*INDEX(IdxOV_O,1,MIN(10,AT$17))*(1+P_dMat)/(1-P_Merma)</f>
        <v>76141.33275</v>
      </c>
      <c r="AU75" s="48" t="n">
        <f aca="false">SUMPRODUCT(AU21:AU45,OV_O)*INDEX(IdxOV_O,1,MIN(10,AU$17))*(1+P_dMat)/(1-P_Merma)</f>
        <v>76141.33275</v>
      </c>
      <c r="AV75" s="48" t="n">
        <f aca="false">SUMPRODUCT(AV21:AV45,OV_O)*INDEX(IdxOV_O,1,MIN(10,AV$17))*(1+P_dMat)/(1-P_Merma)</f>
        <v>76141.33275</v>
      </c>
      <c r="AW75" s="48" t="n">
        <f aca="false">SUMPRODUCT(AW21:AW45,OV_O)*INDEX(IdxOV_O,1,MIN(10,AW$17))*(1+P_dMat)/(1-P_Merma)</f>
        <v>76141.33275</v>
      </c>
      <c r="AX75" s="48" t="n">
        <f aca="false">SUMPRODUCT(AX21:AX45,OV_O)*INDEX(IdxOV_O,1,MIN(10,AX$17))*(1+P_dMat)/(1-P_Merma)</f>
        <v>76141.33275</v>
      </c>
      <c r="AY75" s="48" t="n">
        <f aca="false">SUMPRODUCT(AY21:AY45,OV_O)*INDEX(IdxOV_O,1,MIN(10,AY$17))*(1+P_dMat)/(1-P_Merma)</f>
        <v>76141.33275</v>
      </c>
      <c r="AZ75" s="48" t="n">
        <f aca="false">SUMPRODUCT(AZ21:AZ45,OV_O)*INDEX(IdxOV_O,1,MIN(10,AZ$17))*(1+P_dMat)/(1-P_Merma)</f>
        <v>76141.33275</v>
      </c>
      <c r="BA75" s="48" t="n">
        <f aca="false">SUMPRODUCT(BA21:BA45,OV_O)*INDEX(IdxOV_O,1,MIN(10,BA$17))*(1+P_dMat)/(1-P_Merma)</f>
        <v>76141.33275</v>
      </c>
      <c r="BB75" s="48" t="n">
        <f aca="false">SUMPRODUCT(BB21:BB45,OV_O)*INDEX(IdxOV_O,1,MIN(10,BB$17))*(1+P_dMat)/(1-P_Merma)</f>
        <v>76141.33275</v>
      </c>
      <c r="BC75" s="48" t="n">
        <f aca="false">SUMPRODUCT(BC21:BC45,OV_O)*INDEX(IdxOV_O,1,MIN(10,BC$17))*(1+P_dMat)/(1-P_Merma)</f>
        <v>76141.33275</v>
      </c>
      <c r="BD75" s="48" t="n">
        <f aca="false">SUMPRODUCT(BD21:BD45,OV_O)*INDEX(IdxOV_O,1,MIN(10,BD$17))*(1+P_dMat)/(1-P_Merma)</f>
        <v>76141.33275</v>
      </c>
      <c r="BE75" s="48" t="n">
        <f aca="false">SUMPRODUCT(BE21:BE45,OV_O)*INDEX(IdxOV_O,1,MIN(10,BE$17))*(1+P_dMat)/(1-P_Merma)</f>
        <v>76141.33275</v>
      </c>
      <c r="BF75" s="48" t="n">
        <f aca="false">SUMPRODUCT(BF21:BF45,OV_O)*INDEX(IdxOV_O,1,MIN(10,BF$17))*(1+P_dMat)/(1-P_Merma)</f>
        <v>76141.33275</v>
      </c>
      <c r="BG75" s="48" t="n">
        <f aca="false">SUMPRODUCT(BG21:BG45,OV_O)*INDEX(IdxOV_O,1,MIN(10,BG$17))*(1+P_dMat)/(1-P_Merma)</f>
        <v>76141.33275</v>
      </c>
      <c r="BH75" s="48" t="n">
        <f aca="false">SUMPRODUCT(BH21:BH45,OV_O)*INDEX(IdxOV_O,1,MIN(10,BH$17))*(1+P_dMat)/(1-P_Merma)</f>
        <v>76141.33275</v>
      </c>
      <c r="BI75" s="48" t="n">
        <f aca="false">SUMPRODUCT(BI21:BI45,OV_O)*INDEX(IdxOV_O,1,MIN(10,BI$17))*(1+P_dMat)/(1-P_Merma)</f>
        <v>76141.33275</v>
      </c>
      <c r="BJ75" s="48" t="n">
        <f aca="false">SUMPRODUCT(BJ21:BJ45,OV_O)*INDEX(IdxOV_O,1,MIN(10,BJ$17))*(1+P_dMat)/(1-P_Merma)</f>
        <v>76141.33275</v>
      </c>
      <c r="BK75" s="48" t="n">
        <f aca="false">SUMPRODUCT(BK21:BK45,OV_O)*INDEX(IdxOV_O,1,MIN(10,BK$17))*(1+P_dMat)/(1-P_Merma)</f>
        <v>76141.33275</v>
      </c>
      <c r="BL75" s="48" t="n">
        <f aca="false">SUMPRODUCT(BL21:BL45,OV_O)*INDEX(IdxOV_O,1,MIN(10,BL$17))*(1+P_dMat)/(1-P_Merma)</f>
        <v>76141.33275</v>
      </c>
      <c r="BM75" s="48" t="n">
        <f aca="false">SUMPRODUCT(BM21:BM45,OV_O)*INDEX(IdxOV_O,1,MIN(10,BM$17))*(1+P_dMat)/(1-P_Merma)</f>
        <v>76141.33275</v>
      </c>
      <c r="BN75" s="48" t="n">
        <f aca="false">SUMPRODUCT(BN21:BN45,OV_O)*INDEX(IdxOV_O,1,MIN(10,BN$17))*(1+P_dMat)/(1-P_Merma)</f>
        <v>76141.33275</v>
      </c>
      <c r="BO75" s="48" t="n">
        <f aca="false">SUMPRODUCT(BO21:BO45,OV_O)*INDEX(IdxOV_O,1,MIN(10,BO$17))*(1+P_dMat)/(1-P_Merma)</f>
        <v>76141.33275</v>
      </c>
      <c r="BP75" s="48" t="n">
        <f aca="false">SUMPRODUCT(BP21:BP45,OV_O)*INDEX(IdxOV_O,1,MIN(10,BP$17))*(1+P_dMat)/(1-P_Merma)</f>
        <v>76141.33275</v>
      </c>
      <c r="BQ75" s="48" t="n">
        <f aca="false">SUMPRODUCT(BQ21:BQ45,OV_O)*INDEX(IdxOV_O,1,MIN(10,BQ$17))*(1+P_dMat)/(1-P_Merma)</f>
        <v>76141.33275</v>
      </c>
      <c r="BR75" s="48" t="n">
        <f aca="false">SUMPRODUCT(BR21:BR45,OV_O)*INDEX(IdxOV_O,1,MIN(10,BR$17))*(1+P_dMat)/(1-P_Merma)</f>
        <v>76141.33275</v>
      </c>
      <c r="BS75" s="48" t="n">
        <f aca="false">SUMPRODUCT(BS21:BS45,OV_O)*INDEX(IdxOV_O,1,MIN(10,BS$17))*(1+P_dMat)/(1-P_Merma)</f>
        <v>76141.33275</v>
      </c>
      <c r="BT75" s="48" t="n">
        <f aca="false">SUMPRODUCT(BT21:BT45,OV_O)*INDEX(IdxOV_O,1,MIN(10,BT$17))*(1+P_dMat)/(1-P_Merma)</f>
        <v>76141.33275</v>
      </c>
      <c r="BU75" s="48" t="n">
        <f aca="false">SUMPRODUCT(BU21:BU45,OV_O)*INDEX(IdxOV_O,1,MIN(10,BU$17))*(1+P_dMat)/(1-P_Merma)</f>
        <v>76141.33275</v>
      </c>
      <c r="BV75" s="48" t="n">
        <f aca="false">SUMPRODUCT(BV21:BV45,OV_O)*INDEX(IdxOV_O,1,MIN(10,BV$17))*(1+P_dMat)/(1-P_Merma)</f>
        <v>76141.33275</v>
      </c>
      <c r="BW75" s="48" t="n">
        <f aca="false">SUMPRODUCT(BW21:BW45,OV_O)*INDEX(IdxOV_O,1,MIN(10,BW$17))*(1+P_dMat)/(1-P_Merma)</f>
        <v>76141.33275</v>
      </c>
      <c r="BX75" s="48" t="n">
        <f aca="false">SUMPRODUCT(BX21:BX45,OV_O)*INDEX(IdxOV_O,1,MIN(10,BX$17))*(1+P_dMat)/(1-P_Merma)</f>
        <v>76141.33275</v>
      </c>
      <c r="BY75" s="48" t="n">
        <f aca="false">SUMPRODUCT(BY21:BY45,OV_O)*INDEX(IdxOV_O,1,MIN(10,BY$17))*(1+P_dMat)/(1-P_Merma)</f>
        <v>76141.33275</v>
      </c>
      <c r="BZ75" s="48" t="n">
        <f aca="false">SUMPRODUCT(BZ21:BZ45,OV_O)*INDEX(IdxOV_O,1,MIN(10,BZ$17))*(1+P_dMat)/(1-P_Merma)</f>
        <v>76141.33275</v>
      </c>
      <c r="CA75" s="48" t="n">
        <f aca="false">SUMPRODUCT(CA21:CA45,OV_O)*INDEX(IdxOV_O,1,MIN(10,CA$17))*(1+P_dMat)/(1-P_Merma)</f>
        <v>76141.33275</v>
      </c>
      <c r="CB75" s="48" t="n">
        <f aca="false">SUMPRODUCT(CB21:CB45,OV_O)*INDEX(IdxOV_O,1,MIN(10,CB$17))*(1+P_dMat)/(1-P_Merma)</f>
        <v>76141.33275</v>
      </c>
      <c r="CC75" s="48" t="n">
        <f aca="false">SUMPRODUCT(CC21:CC45,OV_O)*INDEX(IdxOV_O,1,MIN(10,CC$17))*(1+P_dMat)/(1-P_Merma)</f>
        <v>76141.33275</v>
      </c>
      <c r="CD75" s="48" t="n">
        <f aca="false">SUMPRODUCT(CD21:CD45,OV_O)*INDEX(IdxOV_O,1,MIN(10,CD$17))*(1+P_dMat)/(1-P_Merma)</f>
        <v>76141.33275</v>
      </c>
      <c r="CE75" s="48" t="n">
        <f aca="false">SUMPRODUCT(CE21:CE45,OV_O)*INDEX(IdxOV_O,1,MIN(10,CE$17))*(1+P_dMat)/(1-P_Merma)</f>
        <v>76141.33275</v>
      </c>
      <c r="CF75" s="48" t="n">
        <f aca="false">SUMPRODUCT(CF21:CF45,OV_O)*INDEX(IdxOV_O,1,MIN(10,CF$17))*(1+P_dMat)/(1-P_Merma)</f>
        <v>76141.33275</v>
      </c>
      <c r="CG75" s="48" t="n">
        <f aca="false">SUMPRODUCT(CG21:CG45,OV_O)*INDEX(IdxOV_O,1,MIN(10,CG$17))*(1+P_dMat)/(1-P_Merma)</f>
        <v>76141.33275</v>
      </c>
      <c r="CH75" s="48" t="n">
        <f aca="false">SUMPRODUCT(CH21:CH45,OV_O)*INDEX(IdxOV_O,1,MIN(10,CH$17))*(1+P_dMat)/(1-P_Merma)</f>
        <v>76141.33275</v>
      </c>
      <c r="CI75" s="48" t="n">
        <f aca="false">SUMPRODUCT(CI21:CI45,OV_O)*INDEX(IdxOV_O,1,MIN(10,CI$17))*(1+P_dMat)/(1-P_Merma)</f>
        <v>76141.33275</v>
      </c>
      <c r="CJ75" s="48" t="n">
        <f aca="false">SUMPRODUCT(CJ21:CJ45,OV_O)*INDEX(IdxOV_O,1,MIN(10,CJ$17))*(1+P_dMat)/(1-P_Merma)</f>
        <v>76141.33275</v>
      </c>
      <c r="CK75" s="48" t="n">
        <f aca="false">SUMPRODUCT(CK21:CK45,OV_O)*INDEX(IdxOV_O,1,MIN(10,CK$17))*(1+P_dMat)/(1-P_Merma)</f>
        <v>76141.33275</v>
      </c>
      <c r="CL75" s="48" t="n">
        <f aca="false">SUMPRODUCT(CL21:CL45,OV_O)*INDEX(IdxOV_O,1,MIN(10,CL$17))*(1+P_dMat)/(1-P_Merma)</f>
        <v>76141.33275</v>
      </c>
      <c r="CM75" s="48" t="n">
        <f aca="false">SUMPRODUCT(CM21:CM45,OV_O)*INDEX(IdxOV_O,1,MIN(10,CM$17))*(1+P_dMat)/(1-P_Merma)</f>
        <v>76141.33275</v>
      </c>
      <c r="CN75" s="48" t="n">
        <f aca="false">SUMPRODUCT(CN21:CN45,OV_O)*INDEX(IdxOV_O,1,MIN(10,CN$17))*(1+P_dMat)/(1-P_Merma)</f>
        <v>76141.33275</v>
      </c>
      <c r="CO75" s="48" t="n">
        <f aca="false">SUMPRODUCT(CO21:CO45,OV_O)*INDEX(IdxOV_O,1,MIN(10,CO$17))*(1+P_dMat)/(1-P_Merma)</f>
        <v>76141.33275</v>
      </c>
      <c r="CP75" s="48" t="n">
        <f aca="false">SUMPRODUCT(CP21:CP45,OV_O)*INDEX(IdxOV_O,1,MIN(10,CP$17))*(1+P_dMat)/(1-P_Merma)</f>
        <v>76141.33275</v>
      </c>
      <c r="CQ75" s="48" t="n">
        <f aca="false">SUMPRODUCT(CQ21:CQ45,OV_O)*INDEX(IdxOV_O,1,MIN(10,CQ$17))*(1+P_dMat)/(1-P_Merma)</f>
        <v>76141.33275</v>
      </c>
      <c r="CR75" s="48" t="n">
        <f aca="false">SUMPRODUCT(CR21:CR45,OV_O)*INDEX(IdxOV_O,1,MIN(10,CR$17))*(1+P_dMat)/(1-P_Merma)</f>
        <v>76141.33275</v>
      </c>
      <c r="CS75" s="48" t="n">
        <f aca="false">SUMPRODUCT(CS21:CS45,OV_O)*INDEX(IdxOV_O,1,MIN(10,CS$17))*(1+P_dMat)/(1-P_Merma)</f>
        <v>76141.33275</v>
      </c>
      <c r="CT75" s="48" t="n">
        <f aca="false">SUMPRODUCT(CT21:CT45,OV_O)*INDEX(IdxOV_O,1,MIN(10,CT$17))*(1+P_dMat)/(1-P_Merma)</f>
        <v>76141.33275</v>
      </c>
      <c r="CU75" s="48" t="n">
        <f aca="false">SUMPRODUCT(CU21:CU45,OV_O)*INDEX(IdxOV_O,1,MIN(10,CU$17))*(1+P_dMat)/(1-P_Merma)</f>
        <v>76141.33275</v>
      </c>
      <c r="CV75" s="48" t="n">
        <f aca="false">SUMPRODUCT(CV21:CV45,OV_O)*INDEX(IdxOV_O,1,MIN(10,CV$17))*(1+P_dMat)/(1-P_Merma)</f>
        <v>76141.33275</v>
      </c>
      <c r="CW75" s="48" t="n">
        <f aca="false">SUMPRODUCT(CW21:CW45,OV_O)*INDEX(IdxOV_O,1,MIN(10,CW$17))*(1+P_dMat)/(1-P_Merma)</f>
        <v>76141.33275</v>
      </c>
      <c r="CX75" s="48" t="n">
        <f aca="false">SUMPRODUCT(CX21:CX45,OV_O)*INDEX(IdxOV_O,1,MIN(10,CX$17))*(1+P_dMat)/(1-P_Merma)</f>
        <v>76141.33275</v>
      </c>
      <c r="CY75" s="48" t="n">
        <f aca="false">SUMPRODUCT(CY21:CY45,OV_O)*INDEX(IdxOV_O,1,MIN(10,CY$17))*(1+P_dMat)/(1-P_Merma)</f>
        <v>76141.33275</v>
      </c>
      <c r="CZ75" s="48" t="n">
        <f aca="false">SUMPRODUCT(CZ21:CZ45,OV_O)*INDEX(IdxOV_O,1,MIN(10,CZ$17))*(1+P_dMat)/(1-P_Merma)</f>
        <v>76141.33275</v>
      </c>
      <c r="DA75" s="48" t="n">
        <f aca="false">SUMPRODUCT(DA21:DA45,OV_O)*INDEX(IdxOV_O,1,MIN(10,DA$17))*(1+P_dMat)/(1-P_Merma)</f>
        <v>76141.33275</v>
      </c>
      <c r="DB75" s="48" t="n">
        <f aca="false">SUMPRODUCT(DB21:DB45,OV_O)*INDEX(IdxOV_O,1,MIN(10,DB$17))*(1+P_dMat)/(1-P_Merma)</f>
        <v>76141.33275</v>
      </c>
      <c r="DC75" s="48" t="n">
        <f aca="false">SUMPRODUCT(DC21:DC45,OV_O)*INDEX(IdxOV_O,1,MIN(10,DC$17))*(1+P_dMat)/(1-P_Merma)</f>
        <v>76141.33275</v>
      </c>
      <c r="DD75" s="48" t="n">
        <f aca="false">SUMPRODUCT(DD21:DD45,OV_O)*INDEX(IdxOV_O,1,MIN(10,DD$17))*(1+P_dMat)/(1-P_Merma)</f>
        <v>76141.33275</v>
      </c>
      <c r="DE75" s="48" t="n">
        <f aca="false">SUMPRODUCT(DE21:DE45,OV_O)*INDEX(IdxOV_O,1,MIN(10,DE$17))*(1+P_dMat)/(1-P_Merma)</f>
        <v>76141.33275</v>
      </c>
      <c r="DF75" s="48" t="n">
        <f aca="false">SUMPRODUCT(DF21:DF45,OV_O)*INDEX(IdxOV_O,1,MIN(10,DF$17))*(1+P_dMat)/(1-P_Merma)</f>
        <v>76141.33275</v>
      </c>
      <c r="DG75" s="48" t="n">
        <f aca="false">SUMPRODUCT(DG21:DG45,OV_O)*INDEX(IdxOV_O,1,MIN(10,DG$17))*(1+P_dMat)/(1-P_Merma)</f>
        <v>76141.33275</v>
      </c>
      <c r="DH75" s="48" t="n">
        <f aca="false">SUMPRODUCT(DH21:DH45,OV_O)*INDEX(IdxOV_O,1,MIN(10,DH$17))*(1+P_dMat)/(1-P_Merma)</f>
        <v>76141.33275</v>
      </c>
      <c r="DI75" s="48" t="n">
        <f aca="false">SUMPRODUCT(DI21:DI45,OV_O)*INDEX(IdxOV_O,1,MIN(10,DI$17))*(1+P_dMat)/(1-P_Merma)</f>
        <v>76141.33275</v>
      </c>
      <c r="DJ75" s="48" t="n">
        <f aca="false">SUMPRODUCT(DJ21:DJ45,OV_O)*INDEX(IdxOV_O,1,MIN(10,DJ$17))*(1+P_dMat)/(1-P_Merma)</f>
        <v>76141.33275</v>
      </c>
      <c r="DK75" s="48" t="n">
        <f aca="false">SUMPRODUCT(DK21:DK45,OV_O)*INDEX(IdxOV_O,1,MIN(10,DK$17))*(1+P_dMat)/(1-P_Merma)</f>
        <v>76141.33275</v>
      </c>
      <c r="DL75" s="48" t="n">
        <f aca="false">SUMPRODUCT(DL21:DL45,OV_O)*INDEX(IdxOV_O,1,MIN(10,DL$17))*(1+P_dMat)/(1-P_Merma)</f>
        <v>76141.33275</v>
      </c>
      <c r="DM75" s="48" t="n">
        <f aca="false">SUMPRODUCT(DM21:DM45,OV_O)*INDEX(IdxOV_O,1,MIN(10,DM$17))*(1+P_dMat)/(1-P_Merma)</f>
        <v>76141.33275</v>
      </c>
      <c r="DN75" s="48" t="n">
        <f aca="false">SUMPRODUCT(DN21:DN45,OV_O)*INDEX(IdxOV_O,1,MIN(10,DN$17))*(1+P_dMat)/(1-P_Merma)</f>
        <v>76141.33275</v>
      </c>
      <c r="DO75" s="48" t="n">
        <f aca="false">SUMPRODUCT(DO21:DO45,OV_O)*INDEX(IdxOV_O,1,MIN(10,DO$17))*(1+P_dMat)/(1-P_Merma)</f>
        <v>76141.33275</v>
      </c>
      <c r="DP75" s="48" t="n">
        <f aca="false">SUMPRODUCT(DP21:DP45,OV_O)*INDEX(IdxOV_O,1,MIN(10,DP$17))*(1+P_dMat)/(1-P_Merma)</f>
        <v>76141.33275</v>
      </c>
      <c r="DQ75" s="48" t="n">
        <f aca="false">SUMPRODUCT(DQ21:DQ45,OV_O)*INDEX(IdxOV_O,1,MIN(10,DQ$17))*(1+P_dMat)/(1-P_Merma)</f>
        <v>76141.33275</v>
      </c>
      <c r="DR75" s="48" t="n">
        <f aca="false">SUMPRODUCT(DR21:DR45,OV_O)*INDEX(IdxOV_O,1,MIN(10,DR$17))*(1+P_dMat)/(1-P_Merma)</f>
        <v>76141.33275</v>
      </c>
      <c r="DS75" s="48" t="n">
        <f aca="false">SUMPRODUCT(DS21:DS45,OV_O)*INDEX(IdxOV_O,1,MIN(10,DS$17))*(1+P_dMat)/(1-P_Merma)</f>
        <v>76141.33275</v>
      </c>
      <c r="DT75" s="48" t="n">
        <f aca="false">SUMPRODUCT(DT21:DT45,OV_O)*INDEX(IdxOV_O,1,MIN(10,DT$17))*(1+P_dMat)/(1-P_Merma)</f>
        <v>76141.33275</v>
      </c>
      <c r="DU75" s="48" t="n">
        <f aca="false">SUMPRODUCT(DU21:DU45,OV_O)*INDEX(IdxOV_O,1,MIN(10,DU$17))*(1+P_dMat)/(1-P_Merma)</f>
        <v>76141.33275</v>
      </c>
      <c r="DV75" s="48" t="n">
        <f aca="false">SUMPRODUCT(DV21:DV45,OV_O)*INDEX(IdxOV_O,1,MIN(10,DV$17))*(1+P_dMat)/(1-P_Merma)</f>
        <v>0</v>
      </c>
      <c r="DW75" s="48" t="n">
        <f aca="false">SUMPRODUCT(DW21:DW45,OV_O)*INDEX(IdxOV_O,1,MIN(10,DW$17))*(1+P_dMat)/(1-P_Merma)</f>
        <v>0</v>
      </c>
      <c r="DX75" s="48" t="n">
        <f aca="false">SUMPRODUCT(DX21:DX45,OV_O)*INDEX(IdxOV_O,1,MIN(10,DX$17))*(1+P_dMat)/(1-P_Merma)</f>
        <v>0</v>
      </c>
      <c r="DY75" s="48" t="n">
        <f aca="false">SUMPRODUCT(DY21:DY45,OV_O)*INDEX(IdxOV_O,1,MIN(10,DY$17))*(1+P_dMat)/(1-P_Merma)</f>
        <v>0</v>
      </c>
      <c r="DZ75" s="48" t="n">
        <f aca="false">SUMPRODUCT(DZ21:DZ45,OV_O)*INDEX(IdxOV_O,1,MIN(10,DZ$17))*(1+P_dMat)/(1-P_Merma)</f>
        <v>0</v>
      </c>
      <c r="EA75" s="48" t="n">
        <f aca="false">SUMPRODUCT(EA21:EA45,OV_O)*INDEX(IdxOV_O,1,MIN(10,EA$17))*(1+P_dMat)/(1-P_Merma)</f>
        <v>0</v>
      </c>
      <c r="EB75" s="48" t="n">
        <f aca="false">SUMPRODUCT(EB21:EB45,OV_O)*INDEX(IdxOV_O,1,MIN(10,EB$17))*(1+P_dMat)/(1-P_Merma)</f>
        <v>0</v>
      </c>
      <c r="EC75" s="48" t="n">
        <f aca="false">SUMPRODUCT(EC21:EC45,OV_O)*INDEX(IdxOV_O,1,MIN(10,EC$17))*(1+P_dMat)/(1-P_Merma)</f>
        <v>0</v>
      </c>
      <c r="ED75" s="48" t="n">
        <f aca="false">SUMPRODUCT(ED21:ED45,OV_O)*INDEX(IdxOV_O,1,MIN(10,ED$17))*(1+P_dMat)/(1-P_Merma)</f>
        <v>0</v>
      </c>
      <c r="EE75" s="48" t="n">
        <f aca="false">SUMPRODUCT(EE21:EE45,OV_O)*INDEX(IdxOV_O,1,MIN(10,EE$17))*(1+P_dMat)/(1-P_Merma)</f>
        <v>0</v>
      </c>
      <c r="EF75" s="48" t="n">
        <f aca="false">SUMPRODUCT(EF21:EF45,OV_O)*INDEX(IdxOV_O,1,MIN(10,EF$17))*(1+P_dMat)/(1-P_Merma)</f>
        <v>0</v>
      </c>
      <c r="EG75" s="48" t="n">
        <f aca="false">SUMPRODUCT(EG21:EG45,OV_O)*INDEX(IdxOV_O,1,MIN(10,EG$17))*(1+P_dMat)/(1-P_Merma)</f>
        <v>0</v>
      </c>
      <c r="EH75" s="48" t="n">
        <f aca="false">SUMPRODUCT(EH21:EH45,OV_O)*INDEX(IdxOV_O,1,MIN(10,EH$17))*(1+P_dMat)/(1-P_Merma)</f>
        <v>0</v>
      </c>
      <c r="EI75" s="48" t="n">
        <f aca="false">SUMPRODUCT(EI21:EI45,OV_O)*INDEX(IdxOV_O,1,MIN(10,EI$17))*(1+P_dMat)/(1-P_Merma)</f>
        <v>0</v>
      </c>
      <c r="EJ75" s="48" t="n">
        <f aca="false">SUMPRODUCT(EJ21:EJ45,OV_O)*INDEX(IdxOV_O,1,MIN(10,EJ$17))*(1+P_dMat)/(1-P_Merma)</f>
        <v>0</v>
      </c>
      <c r="EK75" s="48" t="n">
        <f aca="false">SUMPRODUCT(EK21:EK45,OV_O)*INDEX(IdxOV_O,1,MIN(10,EK$17))*(1+P_dMat)/(1-P_Merma)</f>
        <v>0</v>
      </c>
      <c r="EL75" s="48" t="n">
        <f aca="false">SUMPRODUCT(EL21:EL45,OV_O)*INDEX(IdxOV_O,1,MIN(10,EL$17))*(1+P_dMat)/(1-P_Merma)</f>
        <v>0</v>
      </c>
      <c r="EM75" s="48" t="n">
        <f aca="false">SUMPRODUCT(EM21:EM45,OV_O)*INDEX(IdxOV_O,1,MIN(10,EM$17))*(1+P_dMat)/(1-P_Merma)</f>
        <v>0</v>
      </c>
      <c r="EN75" s="48" t="n">
        <f aca="false">SUMPRODUCT(EN21:EN45,OV_O)*INDEX(IdxOV_O,1,MIN(10,EN$17))*(1+P_dMat)/(1-P_Merma)</f>
        <v>0</v>
      </c>
      <c r="EO75" s="48" t="n">
        <f aca="false">SUMPRODUCT(EO21:EO45,OV_O)*INDEX(IdxOV_O,1,MIN(10,EO$17))*(1+P_dMat)/(1-P_Merma)</f>
        <v>0</v>
      </c>
      <c r="EP75" s="48" t="n">
        <f aca="false">SUMPRODUCT(EP21:EP45,OV_O)*INDEX(IdxOV_O,1,MIN(10,EP$17))*(1+P_dMat)/(1-P_Merma)</f>
        <v>0</v>
      </c>
      <c r="EQ75" s="48" t="n">
        <f aca="false">SUMPRODUCT(EQ21:EQ45,OV_O)*INDEX(IdxOV_O,1,MIN(10,EQ$17))*(1+P_dMat)/(1-P_Merma)</f>
        <v>0</v>
      </c>
      <c r="ER75" s="48" t="n">
        <f aca="false">SUMPRODUCT(ER21:ER45,OV_O)*INDEX(IdxOV_O,1,MIN(10,ER$17))*(1+P_dMat)/(1-P_Merma)</f>
        <v>0</v>
      </c>
      <c r="ES75" s="48" t="n">
        <f aca="false">SUMPRODUCT(ES21:ES45,OV_O)*INDEX(IdxOV_O,1,MIN(10,ES$17))*(1+P_dMat)/(1-P_Merma)</f>
        <v>0</v>
      </c>
    </row>
    <row r="76" customFormat="false" ht="15" hidden="false" customHeight="false" outlineLevel="0" collapsed="false">
      <c r="A76" s="11" t="s">
        <v>1125</v>
      </c>
      <c r="B76" s="15" t="s">
        <v>1126</v>
      </c>
      <c r="C76" s="15" t="s">
        <v>508</v>
      </c>
      <c r="E76" s="54" t="n">
        <f aca="false">SUM(F76:ES76)</f>
        <v>1179542.8015068</v>
      </c>
      <c r="F76" s="48" t="n">
        <f aca="false">P_Desp*(F$73+F$74)</f>
        <v>5975.175</v>
      </c>
      <c r="G76" s="48" t="n">
        <f aca="false">P_Desp*(G$73+G$74)</f>
        <v>5975.175</v>
      </c>
      <c r="H76" s="48" t="n">
        <f aca="false">P_Desp*(H$73+H$74)</f>
        <v>5975.175</v>
      </c>
      <c r="I76" s="48" t="n">
        <f aca="false">P_Desp*(I$73+I$74)</f>
        <v>5975.175</v>
      </c>
      <c r="J76" s="48" t="n">
        <f aca="false">P_Desp*(J$73+J$74)</f>
        <v>5975.175</v>
      </c>
      <c r="K76" s="48" t="n">
        <f aca="false">P_Desp*(K$73+K$74)</f>
        <v>5975.175</v>
      </c>
      <c r="L76" s="48" t="n">
        <f aca="false">P_Desp*(L$73+L$74)</f>
        <v>5975.175</v>
      </c>
      <c r="M76" s="48" t="n">
        <f aca="false">P_Desp*(M$73+M$74)</f>
        <v>5975.175</v>
      </c>
      <c r="N76" s="48" t="n">
        <f aca="false">P_Desp*(N$73+N$74)</f>
        <v>5975.175</v>
      </c>
      <c r="O76" s="48" t="n">
        <f aca="false">P_Desp*(O$73+O$74)</f>
        <v>5975.175</v>
      </c>
      <c r="P76" s="48" t="n">
        <f aca="false">P_Desp*(P$73+P$74)</f>
        <v>5975.175</v>
      </c>
      <c r="Q76" s="48" t="n">
        <f aca="false">P_Desp*(Q$73+Q$74)</f>
        <v>5975.175</v>
      </c>
      <c r="R76" s="48" t="n">
        <f aca="false">P_Desp*(R$73+R$74)</f>
        <v>7593.26625</v>
      </c>
      <c r="S76" s="48" t="n">
        <f aca="false">P_Desp*(S$73+S$74)</f>
        <v>7593.26625</v>
      </c>
      <c r="T76" s="48" t="n">
        <f aca="false">P_Desp*(T$73+T$74)</f>
        <v>7593.26625</v>
      </c>
      <c r="U76" s="48" t="n">
        <f aca="false">P_Desp*(U$73+U$74)</f>
        <v>7593.26625</v>
      </c>
      <c r="V76" s="48" t="n">
        <f aca="false">P_Desp*(V$73+V$74)</f>
        <v>7593.26625</v>
      </c>
      <c r="W76" s="48" t="n">
        <f aca="false">P_Desp*(W$73+W$74)</f>
        <v>7593.26625</v>
      </c>
      <c r="X76" s="48" t="n">
        <f aca="false">P_Desp*(X$73+X$74)</f>
        <v>7593.26625</v>
      </c>
      <c r="Y76" s="48" t="n">
        <f aca="false">P_Desp*(Y$73+Y$74)</f>
        <v>7593.26625</v>
      </c>
      <c r="Z76" s="48" t="n">
        <f aca="false">P_Desp*(Z$73+Z$74)</f>
        <v>7593.26625</v>
      </c>
      <c r="AA76" s="48" t="n">
        <f aca="false">P_Desp*(AA$73+AA$74)</f>
        <v>7593.26625</v>
      </c>
      <c r="AB76" s="48" t="n">
        <f aca="false">P_Desp*(AB$73+AB$74)</f>
        <v>7593.26625</v>
      </c>
      <c r="AC76" s="48" t="n">
        <f aca="false">P_Desp*(AC$73+AC$74)</f>
        <v>7593.26625</v>
      </c>
      <c r="AD76" s="48" t="n">
        <f aca="false">P_Desp*(AD$73+AD$74)</f>
        <v>9231.7407</v>
      </c>
      <c r="AE76" s="48" t="n">
        <f aca="false">P_Desp*(AE$73+AE$74)</f>
        <v>9231.7407</v>
      </c>
      <c r="AF76" s="48" t="n">
        <f aca="false">P_Desp*(AF$73+AF$74)</f>
        <v>9231.7407</v>
      </c>
      <c r="AG76" s="48" t="n">
        <f aca="false">P_Desp*(AG$73+AG$74)</f>
        <v>9231.7407</v>
      </c>
      <c r="AH76" s="48" t="n">
        <f aca="false">P_Desp*(AH$73+AH$74)</f>
        <v>9231.7407</v>
      </c>
      <c r="AI76" s="48" t="n">
        <f aca="false">P_Desp*(AI$73+AI$74)</f>
        <v>9231.7407</v>
      </c>
      <c r="AJ76" s="48" t="n">
        <f aca="false">P_Desp*(AJ$73+AJ$74)</f>
        <v>9231.7407</v>
      </c>
      <c r="AK76" s="48" t="n">
        <f aca="false">P_Desp*(AK$73+AK$74)</f>
        <v>9231.7407</v>
      </c>
      <c r="AL76" s="48" t="n">
        <f aca="false">P_Desp*(AL$73+AL$74)</f>
        <v>9231.7407</v>
      </c>
      <c r="AM76" s="48" t="n">
        <f aca="false">P_Desp*(AM$73+AM$74)</f>
        <v>9231.7407</v>
      </c>
      <c r="AN76" s="48" t="n">
        <f aca="false">P_Desp*(AN$73+AN$74)</f>
        <v>9231.7407</v>
      </c>
      <c r="AO76" s="48" t="n">
        <f aca="false">P_Desp*(AO$73+AO$74)</f>
        <v>9231.7407</v>
      </c>
      <c r="AP76" s="48" t="n">
        <f aca="false">P_Desp*(AP$73+AP$74)</f>
        <v>10578.763949625</v>
      </c>
      <c r="AQ76" s="48" t="n">
        <f aca="false">P_Desp*(AQ$73+AQ$74)</f>
        <v>10578.763949625</v>
      </c>
      <c r="AR76" s="48" t="n">
        <f aca="false">P_Desp*(AR$73+AR$74)</f>
        <v>10578.763949625</v>
      </c>
      <c r="AS76" s="48" t="n">
        <f aca="false">P_Desp*(AS$73+AS$74)</f>
        <v>10578.763949625</v>
      </c>
      <c r="AT76" s="48" t="n">
        <f aca="false">P_Desp*(AT$73+AT$74)</f>
        <v>10578.763949625</v>
      </c>
      <c r="AU76" s="48" t="n">
        <f aca="false">P_Desp*(AU$73+AU$74)</f>
        <v>10578.763949625</v>
      </c>
      <c r="AV76" s="48" t="n">
        <f aca="false">P_Desp*(AV$73+AV$74)</f>
        <v>10578.763949625</v>
      </c>
      <c r="AW76" s="48" t="n">
        <f aca="false">P_Desp*(AW$73+AW$74)</f>
        <v>10578.763949625</v>
      </c>
      <c r="AX76" s="48" t="n">
        <f aca="false">P_Desp*(AX$73+AX$74)</f>
        <v>10578.763949625</v>
      </c>
      <c r="AY76" s="48" t="n">
        <f aca="false">P_Desp*(AY$73+AY$74)</f>
        <v>10578.763949625</v>
      </c>
      <c r="AZ76" s="48" t="n">
        <f aca="false">P_Desp*(AZ$73+AZ$74)</f>
        <v>10578.763949625</v>
      </c>
      <c r="BA76" s="48" t="n">
        <f aca="false">P_Desp*(BA$73+BA$74)</f>
        <v>10578.763949625</v>
      </c>
      <c r="BB76" s="48" t="n">
        <f aca="false">P_Desp*(BB$73+BB$74)</f>
        <v>10646.3735891213</v>
      </c>
      <c r="BC76" s="48" t="n">
        <f aca="false">P_Desp*(BC$73+BC$74)</f>
        <v>10646.3735891213</v>
      </c>
      <c r="BD76" s="48" t="n">
        <f aca="false">P_Desp*(BD$73+BD$74)</f>
        <v>10646.3735891213</v>
      </c>
      <c r="BE76" s="48" t="n">
        <f aca="false">P_Desp*(BE$73+BE$74)</f>
        <v>10646.3735891213</v>
      </c>
      <c r="BF76" s="48" t="n">
        <f aca="false">P_Desp*(BF$73+BF$74)</f>
        <v>10646.3735891213</v>
      </c>
      <c r="BG76" s="48" t="n">
        <f aca="false">P_Desp*(BG$73+BG$74)</f>
        <v>10646.3735891213</v>
      </c>
      <c r="BH76" s="48" t="n">
        <f aca="false">P_Desp*(BH$73+BH$74)</f>
        <v>10646.3735891213</v>
      </c>
      <c r="BI76" s="48" t="n">
        <f aca="false">P_Desp*(BI$73+BI$74)</f>
        <v>10646.3735891213</v>
      </c>
      <c r="BJ76" s="48" t="n">
        <f aca="false">P_Desp*(BJ$73+BJ$74)</f>
        <v>10646.3735891213</v>
      </c>
      <c r="BK76" s="48" t="n">
        <f aca="false">P_Desp*(BK$73+BK$74)</f>
        <v>10646.3735891213</v>
      </c>
      <c r="BL76" s="48" t="n">
        <f aca="false">P_Desp*(BL$73+BL$74)</f>
        <v>10646.3735891213</v>
      </c>
      <c r="BM76" s="48" t="n">
        <f aca="false">P_Desp*(BM$73+BM$74)</f>
        <v>10646.3735891213</v>
      </c>
      <c r="BN76" s="48" t="n">
        <f aca="false">P_Desp*(BN$73+BN$74)</f>
        <v>10714.6593250125</v>
      </c>
      <c r="BO76" s="48" t="n">
        <f aca="false">P_Desp*(BO$73+BO$74)</f>
        <v>10714.6593250125</v>
      </c>
      <c r="BP76" s="48" t="n">
        <f aca="false">P_Desp*(BP$73+BP$74)</f>
        <v>10714.6593250125</v>
      </c>
      <c r="BQ76" s="48" t="n">
        <f aca="false">P_Desp*(BQ$73+BQ$74)</f>
        <v>10714.6593250125</v>
      </c>
      <c r="BR76" s="48" t="n">
        <f aca="false">P_Desp*(BR$73+BR$74)</f>
        <v>10714.6593250125</v>
      </c>
      <c r="BS76" s="48" t="n">
        <f aca="false">P_Desp*(BS$73+BS$74)</f>
        <v>10714.6593250125</v>
      </c>
      <c r="BT76" s="48" t="n">
        <f aca="false">P_Desp*(BT$73+BT$74)</f>
        <v>10714.6593250125</v>
      </c>
      <c r="BU76" s="48" t="n">
        <f aca="false">P_Desp*(BU$73+BU$74)</f>
        <v>10714.6593250125</v>
      </c>
      <c r="BV76" s="48" t="n">
        <f aca="false">P_Desp*(BV$73+BV$74)</f>
        <v>10714.6593250125</v>
      </c>
      <c r="BW76" s="48" t="n">
        <f aca="false">P_Desp*(BW$73+BW$74)</f>
        <v>10714.6593250125</v>
      </c>
      <c r="BX76" s="48" t="n">
        <f aca="false">P_Desp*(BX$73+BX$74)</f>
        <v>10714.6593250125</v>
      </c>
      <c r="BY76" s="48" t="n">
        <f aca="false">P_Desp*(BY$73+BY$74)</f>
        <v>10714.6593250125</v>
      </c>
      <c r="BZ76" s="48" t="n">
        <f aca="false">P_Desp*(BZ$73+BZ$74)</f>
        <v>10783.6279182626</v>
      </c>
      <c r="CA76" s="48" t="n">
        <f aca="false">P_Desp*(CA$73+CA$74)</f>
        <v>10783.6279182626</v>
      </c>
      <c r="CB76" s="48" t="n">
        <f aca="false">P_Desp*(CB$73+CB$74)</f>
        <v>10783.6279182626</v>
      </c>
      <c r="CC76" s="48" t="n">
        <f aca="false">P_Desp*(CC$73+CC$74)</f>
        <v>10783.6279182626</v>
      </c>
      <c r="CD76" s="48" t="n">
        <f aca="false">P_Desp*(CD$73+CD$74)</f>
        <v>10783.6279182626</v>
      </c>
      <c r="CE76" s="48" t="n">
        <f aca="false">P_Desp*(CE$73+CE$74)</f>
        <v>10783.6279182626</v>
      </c>
      <c r="CF76" s="48" t="n">
        <f aca="false">P_Desp*(CF$73+CF$74)</f>
        <v>10783.6279182626</v>
      </c>
      <c r="CG76" s="48" t="n">
        <f aca="false">P_Desp*(CG$73+CG$74)</f>
        <v>10783.6279182626</v>
      </c>
      <c r="CH76" s="48" t="n">
        <f aca="false">P_Desp*(CH$73+CH$74)</f>
        <v>10783.6279182626</v>
      </c>
      <c r="CI76" s="48" t="n">
        <f aca="false">P_Desp*(CI$73+CI$74)</f>
        <v>10783.6279182626</v>
      </c>
      <c r="CJ76" s="48" t="n">
        <f aca="false">P_Desp*(CJ$73+CJ$74)</f>
        <v>10783.6279182626</v>
      </c>
      <c r="CK76" s="48" t="n">
        <f aca="false">P_Desp*(CK$73+CK$74)</f>
        <v>10783.6279182626</v>
      </c>
      <c r="CL76" s="48" t="n">
        <f aca="false">P_Desp*(CL$73+CL$74)</f>
        <v>10853.2861974452</v>
      </c>
      <c r="CM76" s="48" t="n">
        <f aca="false">P_Desp*(CM$73+CM$74)</f>
        <v>10853.2861974452</v>
      </c>
      <c r="CN76" s="48" t="n">
        <f aca="false">P_Desp*(CN$73+CN$74)</f>
        <v>10853.2861974452</v>
      </c>
      <c r="CO76" s="48" t="n">
        <f aca="false">P_Desp*(CO$73+CO$74)</f>
        <v>10853.2861974452</v>
      </c>
      <c r="CP76" s="48" t="n">
        <f aca="false">P_Desp*(CP$73+CP$74)</f>
        <v>10853.2861974452</v>
      </c>
      <c r="CQ76" s="48" t="n">
        <f aca="false">P_Desp*(CQ$73+CQ$74)</f>
        <v>10853.2861974452</v>
      </c>
      <c r="CR76" s="48" t="n">
        <f aca="false">P_Desp*(CR$73+CR$74)</f>
        <v>10853.2861974452</v>
      </c>
      <c r="CS76" s="48" t="n">
        <f aca="false">P_Desp*(CS$73+CS$74)</f>
        <v>10853.2861974452</v>
      </c>
      <c r="CT76" s="48" t="n">
        <f aca="false">P_Desp*(CT$73+CT$74)</f>
        <v>10853.2861974452</v>
      </c>
      <c r="CU76" s="48" t="n">
        <f aca="false">P_Desp*(CU$73+CU$74)</f>
        <v>10853.2861974452</v>
      </c>
      <c r="CV76" s="48" t="n">
        <f aca="false">P_Desp*(CV$73+CV$74)</f>
        <v>10853.2861974452</v>
      </c>
      <c r="CW76" s="48" t="n">
        <f aca="false">P_Desp*(CW$73+CW$74)</f>
        <v>10853.2861974452</v>
      </c>
      <c r="CX76" s="48" t="n">
        <f aca="false">P_Desp*(CX$73+CX$74)</f>
        <v>10923.6410594197</v>
      </c>
      <c r="CY76" s="48" t="n">
        <f aca="false">P_Desp*(CY$73+CY$74)</f>
        <v>10923.6410594197</v>
      </c>
      <c r="CZ76" s="48" t="n">
        <f aca="false">P_Desp*(CZ$73+CZ$74)</f>
        <v>10923.6410594197</v>
      </c>
      <c r="DA76" s="48" t="n">
        <f aca="false">P_Desp*(DA$73+DA$74)</f>
        <v>10923.6410594197</v>
      </c>
      <c r="DB76" s="48" t="n">
        <f aca="false">P_Desp*(DB$73+DB$74)</f>
        <v>10923.6410594197</v>
      </c>
      <c r="DC76" s="48" t="n">
        <f aca="false">P_Desp*(DC$73+DC$74)</f>
        <v>10923.6410594197</v>
      </c>
      <c r="DD76" s="48" t="n">
        <f aca="false">P_Desp*(DD$73+DD$74)</f>
        <v>10923.6410594197</v>
      </c>
      <c r="DE76" s="48" t="n">
        <f aca="false">P_Desp*(DE$73+DE$74)</f>
        <v>10923.6410594197</v>
      </c>
      <c r="DF76" s="48" t="n">
        <f aca="false">P_Desp*(DF$73+DF$74)</f>
        <v>10923.6410594197</v>
      </c>
      <c r="DG76" s="48" t="n">
        <f aca="false">P_Desp*(DG$73+DG$74)</f>
        <v>10923.6410594197</v>
      </c>
      <c r="DH76" s="48" t="n">
        <f aca="false">P_Desp*(DH$73+DH$74)</f>
        <v>10923.6410594197</v>
      </c>
      <c r="DI76" s="48" t="n">
        <f aca="false">P_Desp*(DI$73+DI$74)</f>
        <v>10923.6410594197</v>
      </c>
      <c r="DJ76" s="48" t="n">
        <f aca="false">P_Desp*(DJ$73+DJ$74)</f>
        <v>10994.6994700139</v>
      </c>
      <c r="DK76" s="48" t="n">
        <f aca="false">P_Desp*(DK$73+DK$74)</f>
        <v>10994.6994700139</v>
      </c>
      <c r="DL76" s="48" t="n">
        <f aca="false">P_Desp*(DL$73+DL$74)</f>
        <v>10994.6994700139</v>
      </c>
      <c r="DM76" s="48" t="n">
        <f aca="false">P_Desp*(DM$73+DM$74)</f>
        <v>10994.6994700139</v>
      </c>
      <c r="DN76" s="48" t="n">
        <f aca="false">P_Desp*(DN$73+DN$74)</f>
        <v>10994.6994700139</v>
      </c>
      <c r="DO76" s="48" t="n">
        <f aca="false">P_Desp*(DO$73+DO$74)</f>
        <v>10994.6994700139</v>
      </c>
      <c r="DP76" s="48" t="n">
        <f aca="false">P_Desp*(DP$73+DP$74)</f>
        <v>10994.6994700139</v>
      </c>
      <c r="DQ76" s="48" t="n">
        <f aca="false">P_Desp*(DQ$73+DQ$74)</f>
        <v>10994.6994700139</v>
      </c>
      <c r="DR76" s="48" t="n">
        <f aca="false">P_Desp*(DR$73+DR$74)</f>
        <v>10994.6994700139</v>
      </c>
      <c r="DS76" s="48" t="n">
        <f aca="false">P_Desp*(DS$73+DS$74)</f>
        <v>10994.6994700139</v>
      </c>
      <c r="DT76" s="48" t="n">
        <f aca="false">P_Desp*(DT$73+DT$74)</f>
        <v>10994.6994700139</v>
      </c>
      <c r="DU76" s="48" t="n">
        <f aca="false">P_Desp*(DU$73+DU$74)</f>
        <v>10994.6994700139</v>
      </c>
      <c r="DV76" s="48" t="n">
        <f aca="false">P_Desp*(DV$73+DV$74)</f>
        <v>0</v>
      </c>
      <c r="DW76" s="48" t="n">
        <f aca="false">P_Desp*(DW$73+DW$74)</f>
        <v>0</v>
      </c>
      <c r="DX76" s="48" t="n">
        <f aca="false">P_Desp*(DX$73+DX$74)</f>
        <v>0</v>
      </c>
      <c r="DY76" s="48" t="n">
        <f aca="false">P_Desp*(DY$73+DY$74)</f>
        <v>0</v>
      </c>
      <c r="DZ76" s="48" t="n">
        <f aca="false">P_Desp*(DZ$73+DZ$74)</f>
        <v>0</v>
      </c>
      <c r="EA76" s="48" t="n">
        <f aca="false">P_Desp*(EA$73+EA$74)</f>
        <v>0</v>
      </c>
      <c r="EB76" s="48" t="n">
        <f aca="false">P_Desp*(EB$73+EB$74)</f>
        <v>0</v>
      </c>
      <c r="EC76" s="48" t="n">
        <f aca="false">P_Desp*(EC$73+EC$74)</f>
        <v>0</v>
      </c>
      <c r="ED76" s="48" t="n">
        <f aca="false">P_Desp*(ED$73+ED$74)</f>
        <v>0</v>
      </c>
      <c r="EE76" s="48" t="n">
        <f aca="false">P_Desp*(EE$73+EE$74)</f>
        <v>0</v>
      </c>
      <c r="EF76" s="48" t="n">
        <f aca="false">P_Desp*(EF$73+EF$74)</f>
        <v>0</v>
      </c>
      <c r="EG76" s="48" t="n">
        <f aca="false">P_Desp*(EG$73+EG$74)</f>
        <v>0</v>
      </c>
      <c r="EH76" s="48" t="n">
        <f aca="false">P_Desp*(EH$73+EH$74)</f>
        <v>0</v>
      </c>
      <c r="EI76" s="48" t="n">
        <f aca="false">P_Desp*(EI$73+EI$74)</f>
        <v>0</v>
      </c>
      <c r="EJ76" s="48" t="n">
        <f aca="false">P_Desp*(EJ$73+EJ$74)</f>
        <v>0</v>
      </c>
      <c r="EK76" s="48" t="n">
        <f aca="false">P_Desp*(EK$73+EK$74)</f>
        <v>0</v>
      </c>
      <c r="EL76" s="48" t="n">
        <f aca="false">P_Desp*(EL$73+EL$74)</f>
        <v>0</v>
      </c>
      <c r="EM76" s="48" t="n">
        <f aca="false">P_Desp*(EM$73+EM$74)</f>
        <v>0</v>
      </c>
      <c r="EN76" s="48" t="n">
        <f aca="false">P_Desp*(EN$73+EN$74)</f>
        <v>0</v>
      </c>
      <c r="EO76" s="48" t="n">
        <f aca="false">P_Desp*(EO$73+EO$74)</f>
        <v>0</v>
      </c>
      <c r="EP76" s="48" t="n">
        <f aca="false">P_Desp*(EP$73+EP$74)</f>
        <v>0</v>
      </c>
      <c r="EQ76" s="48" t="n">
        <f aca="false">P_Desp*(EQ$73+EQ$74)</f>
        <v>0</v>
      </c>
      <c r="ER76" s="48" t="n">
        <f aca="false">P_Desp*(ER$73+ER$74)</f>
        <v>0</v>
      </c>
      <c r="ES76" s="48" t="n">
        <f aca="false">P_Desp*(ES$73+ES$74)</f>
        <v>0</v>
      </c>
    </row>
    <row r="77" customFormat="false" ht="15" hidden="false" customHeight="false" outlineLevel="0" collapsed="false">
      <c r="A77" s="11" t="s">
        <v>1127</v>
      </c>
      <c r="B77" s="15" t="s">
        <v>1128</v>
      </c>
      <c r="C77" s="15" t="s">
        <v>853</v>
      </c>
      <c r="F77" s="50" t="n">
        <f aca="false">SUMPRODUCT((Per_Clase="Directo")*INDEX(Dot_O,0,MIN(10,F$17)))*(F$15+F$16*P_PreDir)</f>
        <v>43</v>
      </c>
      <c r="G77" s="50" t="n">
        <f aca="false">SUMPRODUCT((Per_Clase="Directo")*INDEX(Dot_O,0,MIN(10,G$17)))*(G$15+G$16*P_PreDir)</f>
        <v>43</v>
      </c>
      <c r="H77" s="50" t="n">
        <f aca="false">SUMPRODUCT((Per_Clase="Directo")*INDEX(Dot_O,0,MIN(10,H$17)))*(H$15+H$16*P_PreDir)</f>
        <v>43</v>
      </c>
      <c r="I77" s="50" t="n">
        <f aca="false">SUMPRODUCT((Per_Clase="Directo")*INDEX(Dot_O,0,MIN(10,I$17)))*(I$15+I$16*P_PreDir)</f>
        <v>43</v>
      </c>
      <c r="J77" s="50" t="n">
        <f aca="false">SUMPRODUCT((Per_Clase="Directo")*INDEX(Dot_O,0,MIN(10,J$17)))*(J$15+J$16*P_PreDir)</f>
        <v>43</v>
      </c>
      <c r="K77" s="50" t="n">
        <f aca="false">SUMPRODUCT((Per_Clase="Directo")*INDEX(Dot_O,0,MIN(10,K$17)))*(K$15+K$16*P_PreDir)</f>
        <v>43</v>
      </c>
      <c r="L77" s="50" t="n">
        <f aca="false">SUMPRODUCT((Per_Clase="Directo")*INDEX(Dot_O,0,MIN(10,L$17)))*(L$15+L$16*P_PreDir)</f>
        <v>43</v>
      </c>
      <c r="M77" s="50" t="n">
        <f aca="false">SUMPRODUCT((Per_Clase="Directo")*INDEX(Dot_O,0,MIN(10,M$17)))*(M$15+M$16*P_PreDir)</f>
        <v>43</v>
      </c>
      <c r="N77" s="50" t="n">
        <f aca="false">SUMPRODUCT((Per_Clase="Directo")*INDEX(Dot_O,0,MIN(10,N$17)))*(N$15+N$16*P_PreDir)</f>
        <v>43</v>
      </c>
      <c r="O77" s="50" t="n">
        <f aca="false">SUMPRODUCT((Per_Clase="Directo")*INDEX(Dot_O,0,MIN(10,O$17)))*(O$15+O$16*P_PreDir)</f>
        <v>43</v>
      </c>
      <c r="P77" s="50" t="n">
        <f aca="false">SUMPRODUCT((Per_Clase="Directo")*INDEX(Dot_O,0,MIN(10,P$17)))*(P$15+P$16*P_PreDir)</f>
        <v>43</v>
      </c>
      <c r="Q77" s="50" t="n">
        <f aca="false">SUMPRODUCT((Per_Clase="Directo")*INDEX(Dot_O,0,MIN(10,Q$17)))*(Q$15+Q$16*P_PreDir)</f>
        <v>43</v>
      </c>
      <c r="R77" s="50" t="n">
        <f aca="false">SUMPRODUCT((Per_Clase="Directo")*INDEX(Dot_O,0,MIN(10,R$17)))*(R$15+R$16*P_PreDir)</f>
        <v>43</v>
      </c>
      <c r="S77" s="50" t="n">
        <f aca="false">SUMPRODUCT((Per_Clase="Directo")*INDEX(Dot_O,0,MIN(10,S$17)))*(S$15+S$16*P_PreDir)</f>
        <v>43</v>
      </c>
      <c r="T77" s="50" t="n">
        <f aca="false">SUMPRODUCT((Per_Clase="Directo")*INDEX(Dot_O,0,MIN(10,T$17)))*(T$15+T$16*P_PreDir)</f>
        <v>43</v>
      </c>
      <c r="U77" s="50" t="n">
        <f aca="false">SUMPRODUCT((Per_Clase="Directo")*INDEX(Dot_O,0,MIN(10,U$17)))*(U$15+U$16*P_PreDir)</f>
        <v>43</v>
      </c>
      <c r="V77" s="50" t="n">
        <f aca="false">SUMPRODUCT((Per_Clase="Directo")*INDEX(Dot_O,0,MIN(10,V$17)))*(V$15+V$16*P_PreDir)</f>
        <v>43</v>
      </c>
      <c r="W77" s="50" t="n">
        <f aca="false">SUMPRODUCT((Per_Clase="Directo")*INDEX(Dot_O,0,MIN(10,W$17)))*(W$15+W$16*P_PreDir)</f>
        <v>43</v>
      </c>
      <c r="X77" s="50" t="n">
        <f aca="false">SUMPRODUCT((Per_Clase="Directo")*INDEX(Dot_O,0,MIN(10,X$17)))*(X$15+X$16*P_PreDir)</f>
        <v>43</v>
      </c>
      <c r="Y77" s="50" t="n">
        <f aca="false">SUMPRODUCT((Per_Clase="Directo")*INDEX(Dot_O,0,MIN(10,Y$17)))*(Y$15+Y$16*P_PreDir)</f>
        <v>43</v>
      </c>
      <c r="Z77" s="50" t="n">
        <f aca="false">SUMPRODUCT((Per_Clase="Directo")*INDEX(Dot_O,0,MIN(10,Z$17)))*(Z$15+Z$16*P_PreDir)</f>
        <v>43</v>
      </c>
      <c r="AA77" s="50" t="n">
        <f aca="false">SUMPRODUCT((Per_Clase="Directo")*INDEX(Dot_O,0,MIN(10,AA$17)))*(AA$15+AA$16*P_PreDir)</f>
        <v>43</v>
      </c>
      <c r="AB77" s="50" t="n">
        <f aca="false">SUMPRODUCT((Per_Clase="Directo")*INDEX(Dot_O,0,MIN(10,AB$17)))*(AB$15+AB$16*P_PreDir)</f>
        <v>43</v>
      </c>
      <c r="AC77" s="50" t="n">
        <f aca="false">SUMPRODUCT((Per_Clase="Directo")*INDEX(Dot_O,0,MIN(10,AC$17)))*(AC$15+AC$16*P_PreDir)</f>
        <v>43</v>
      </c>
      <c r="AD77" s="50" t="n">
        <f aca="false">SUMPRODUCT((Per_Clase="Directo")*INDEX(Dot_O,0,MIN(10,AD$17)))*(AD$15+AD$16*P_PreDir)</f>
        <v>46</v>
      </c>
      <c r="AE77" s="50" t="n">
        <f aca="false">SUMPRODUCT((Per_Clase="Directo")*INDEX(Dot_O,0,MIN(10,AE$17)))*(AE$15+AE$16*P_PreDir)</f>
        <v>46</v>
      </c>
      <c r="AF77" s="50" t="n">
        <f aca="false">SUMPRODUCT((Per_Clase="Directo")*INDEX(Dot_O,0,MIN(10,AF$17)))*(AF$15+AF$16*P_PreDir)</f>
        <v>46</v>
      </c>
      <c r="AG77" s="50" t="n">
        <f aca="false">SUMPRODUCT((Per_Clase="Directo")*INDEX(Dot_O,0,MIN(10,AG$17)))*(AG$15+AG$16*P_PreDir)</f>
        <v>46</v>
      </c>
      <c r="AH77" s="50" t="n">
        <f aca="false">SUMPRODUCT((Per_Clase="Directo")*INDEX(Dot_O,0,MIN(10,AH$17)))*(AH$15+AH$16*P_PreDir)</f>
        <v>46</v>
      </c>
      <c r="AI77" s="50" t="n">
        <f aca="false">SUMPRODUCT((Per_Clase="Directo")*INDEX(Dot_O,0,MIN(10,AI$17)))*(AI$15+AI$16*P_PreDir)</f>
        <v>46</v>
      </c>
      <c r="AJ77" s="50" t="n">
        <f aca="false">SUMPRODUCT((Per_Clase="Directo")*INDEX(Dot_O,0,MIN(10,AJ$17)))*(AJ$15+AJ$16*P_PreDir)</f>
        <v>46</v>
      </c>
      <c r="AK77" s="50" t="n">
        <f aca="false">SUMPRODUCT((Per_Clase="Directo")*INDEX(Dot_O,0,MIN(10,AK$17)))*(AK$15+AK$16*P_PreDir)</f>
        <v>46</v>
      </c>
      <c r="AL77" s="50" t="n">
        <f aca="false">SUMPRODUCT((Per_Clase="Directo")*INDEX(Dot_O,0,MIN(10,AL$17)))*(AL$15+AL$16*P_PreDir)</f>
        <v>46</v>
      </c>
      <c r="AM77" s="50" t="n">
        <f aca="false">SUMPRODUCT((Per_Clase="Directo")*INDEX(Dot_O,0,MIN(10,AM$17)))*(AM$15+AM$16*P_PreDir)</f>
        <v>46</v>
      </c>
      <c r="AN77" s="50" t="n">
        <f aca="false">SUMPRODUCT((Per_Clase="Directo")*INDEX(Dot_O,0,MIN(10,AN$17)))*(AN$15+AN$16*P_PreDir)</f>
        <v>46</v>
      </c>
      <c r="AO77" s="50" t="n">
        <f aca="false">SUMPRODUCT((Per_Clase="Directo")*INDEX(Dot_O,0,MIN(10,AO$17)))*(AO$15+AO$16*P_PreDir)</f>
        <v>46</v>
      </c>
      <c r="AP77" s="50" t="n">
        <f aca="false">SUMPRODUCT((Per_Clase="Directo")*INDEX(Dot_O,0,MIN(10,AP$17)))*(AP$15+AP$16*P_PreDir)</f>
        <v>49</v>
      </c>
      <c r="AQ77" s="50" t="n">
        <f aca="false">SUMPRODUCT((Per_Clase="Directo")*INDEX(Dot_O,0,MIN(10,AQ$17)))*(AQ$15+AQ$16*P_PreDir)</f>
        <v>49</v>
      </c>
      <c r="AR77" s="50" t="n">
        <f aca="false">SUMPRODUCT((Per_Clase="Directo")*INDEX(Dot_O,0,MIN(10,AR$17)))*(AR$15+AR$16*P_PreDir)</f>
        <v>49</v>
      </c>
      <c r="AS77" s="50" t="n">
        <f aca="false">SUMPRODUCT((Per_Clase="Directo")*INDEX(Dot_O,0,MIN(10,AS$17)))*(AS$15+AS$16*P_PreDir)</f>
        <v>49</v>
      </c>
      <c r="AT77" s="50" t="n">
        <f aca="false">SUMPRODUCT((Per_Clase="Directo")*INDEX(Dot_O,0,MIN(10,AT$17)))*(AT$15+AT$16*P_PreDir)</f>
        <v>49</v>
      </c>
      <c r="AU77" s="50" t="n">
        <f aca="false">SUMPRODUCT((Per_Clase="Directo")*INDEX(Dot_O,0,MIN(10,AU$17)))*(AU$15+AU$16*P_PreDir)</f>
        <v>49</v>
      </c>
      <c r="AV77" s="50" t="n">
        <f aca="false">SUMPRODUCT((Per_Clase="Directo")*INDEX(Dot_O,0,MIN(10,AV$17)))*(AV$15+AV$16*P_PreDir)</f>
        <v>49</v>
      </c>
      <c r="AW77" s="50" t="n">
        <f aca="false">SUMPRODUCT((Per_Clase="Directo")*INDEX(Dot_O,0,MIN(10,AW$17)))*(AW$15+AW$16*P_PreDir)</f>
        <v>49</v>
      </c>
      <c r="AX77" s="50" t="n">
        <f aca="false">SUMPRODUCT((Per_Clase="Directo")*INDEX(Dot_O,0,MIN(10,AX$17)))*(AX$15+AX$16*P_PreDir)</f>
        <v>49</v>
      </c>
      <c r="AY77" s="50" t="n">
        <f aca="false">SUMPRODUCT((Per_Clase="Directo")*INDEX(Dot_O,0,MIN(10,AY$17)))*(AY$15+AY$16*P_PreDir)</f>
        <v>49</v>
      </c>
      <c r="AZ77" s="50" t="n">
        <f aca="false">SUMPRODUCT((Per_Clase="Directo")*INDEX(Dot_O,0,MIN(10,AZ$17)))*(AZ$15+AZ$16*P_PreDir)</f>
        <v>49</v>
      </c>
      <c r="BA77" s="50" t="n">
        <f aca="false">SUMPRODUCT((Per_Clase="Directo")*INDEX(Dot_O,0,MIN(10,BA$17)))*(BA$15+BA$16*P_PreDir)</f>
        <v>49</v>
      </c>
      <c r="BB77" s="50" t="n">
        <f aca="false">SUMPRODUCT((Per_Clase="Directo")*INDEX(Dot_O,0,MIN(10,BB$17)))*(BB$15+BB$16*P_PreDir)</f>
        <v>52</v>
      </c>
      <c r="BC77" s="50" t="n">
        <f aca="false">SUMPRODUCT((Per_Clase="Directo")*INDEX(Dot_O,0,MIN(10,BC$17)))*(BC$15+BC$16*P_PreDir)</f>
        <v>52</v>
      </c>
      <c r="BD77" s="50" t="n">
        <f aca="false">SUMPRODUCT((Per_Clase="Directo")*INDEX(Dot_O,0,MIN(10,BD$17)))*(BD$15+BD$16*P_PreDir)</f>
        <v>52</v>
      </c>
      <c r="BE77" s="50" t="n">
        <f aca="false">SUMPRODUCT((Per_Clase="Directo")*INDEX(Dot_O,0,MIN(10,BE$17)))*(BE$15+BE$16*P_PreDir)</f>
        <v>52</v>
      </c>
      <c r="BF77" s="50" t="n">
        <f aca="false">SUMPRODUCT((Per_Clase="Directo")*INDEX(Dot_O,0,MIN(10,BF$17)))*(BF$15+BF$16*P_PreDir)</f>
        <v>52</v>
      </c>
      <c r="BG77" s="50" t="n">
        <f aca="false">SUMPRODUCT((Per_Clase="Directo")*INDEX(Dot_O,0,MIN(10,BG$17)))*(BG$15+BG$16*P_PreDir)</f>
        <v>52</v>
      </c>
      <c r="BH77" s="50" t="n">
        <f aca="false">SUMPRODUCT((Per_Clase="Directo")*INDEX(Dot_O,0,MIN(10,BH$17)))*(BH$15+BH$16*P_PreDir)</f>
        <v>52</v>
      </c>
      <c r="BI77" s="50" t="n">
        <f aca="false">SUMPRODUCT((Per_Clase="Directo")*INDEX(Dot_O,0,MIN(10,BI$17)))*(BI$15+BI$16*P_PreDir)</f>
        <v>52</v>
      </c>
      <c r="BJ77" s="50" t="n">
        <f aca="false">SUMPRODUCT((Per_Clase="Directo")*INDEX(Dot_O,0,MIN(10,BJ$17)))*(BJ$15+BJ$16*P_PreDir)</f>
        <v>52</v>
      </c>
      <c r="BK77" s="50" t="n">
        <f aca="false">SUMPRODUCT((Per_Clase="Directo")*INDEX(Dot_O,0,MIN(10,BK$17)))*(BK$15+BK$16*P_PreDir)</f>
        <v>52</v>
      </c>
      <c r="BL77" s="50" t="n">
        <f aca="false">SUMPRODUCT((Per_Clase="Directo")*INDEX(Dot_O,0,MIN(10,BL$17)))*(BL$15+BL$16*P_PreDir)</f>
        <v>52</v>
      </c>
      <c r="BM77" s="50" t="n">
        <f aca="false">SUMPRODUCT((Per_Clase="Directo")*INDEX(Dot_O,0,MIN(10,BM$17)))*(BM$15+BM$16*P_PreDir)</f>
        <v>52</v>
      </c>
      <c r="BN77" s="50" t="n">
        <f aca="false">SUMPRODUCT((Per_Clase="Directo")*INDEX(Dot_O,0,MIN(10,BN$17)))*(BN$15+BN$16*P_PreDir)</f>
        <v>52</v>
      </c>
      <c r="BO77" s="50" t="n">
        <f aca="false">SUMPRODUCT((Per_Clase="Directo")*INDEX(Dot_O,0,MIN(10,BO$17)))*(BO$15+BO$16*P_PreDir)</f>
        <v>52</v>
      </c>
      <c r="BP77" s="50" t="n">
        <f aca="false">SUMPRODUCT((Per_Clase="Directo")*INDEX(Dot_O,0,MIN(10,BP$17)))*(BP$15+BP$16*P_PreDir)</f>
        <v>52</v>
      </c>
      <c r="BQ77" s="50" t="n">
        <f aca="false">SUMPRODUCT((Per_Clase="Directo")*INDEX(Dot_O,0,MIN(10,BQ$17)))*(BQ$15+BQ$16*P_PreDir)</f>
        <v>52</v>
      </c>
      <c r="BR77" s="50" t="n">
        <f aca="false">SUMPRODUCT((Per_Clase="Directo")*INDEX(Dot_O,0,MIN(10,BR$17)))*(BR$15+BR$16*P_PreDir)</f>
        <v>52</v>
      </c>
      <c r="BS77" s="50" t="n">
        <f aca="false">SUMPRODUCT((Per_Clase="Directo")*INDEX(Dot_O,0,MIN(10,BS$17)))*(BS$15+BS$16*P_PreDir)</f>
        <v>52</v>
      </c>
      <c r="BT77" s="50" t="n">
        <f aca="false">SUMPRODUCT((Per_Clase="Directo")*INDEX(Dot_O,0,MIN(10,BT$17)))*(BT$15+BT$16*P_PreDir)</f>
        <v>52</v>
      </c>
      <c r="BU77" s="50" t="n">
        <f aca="false">SUMPRODUCT((Per_Clase="Directo")*INDEX(Dot_O,0,MIN(10,BU$17)))*(BU$15+BU$16*P_PreDir)</f>
        <v>52</v>
      </c>
      <c r="BV77" s="50" t="n">
        <f aca="false">SUMPRODUCT((Per_Clase="Directo")*INDEX(Dot_O,0,MIN(10,BV$17)))*(BV$15+BV$16*P_PreDir)</f>
        <v>52</v>
      </c>
      <c r="BW77" s="50" t="n">
        <f aca="false">SUMPRODUCT((Per_Clase="Directo")*INDEX(Dot_O,0,MIN(10,BW$17)))*(BW$15+BW$16*P_PreDir)</f>
        <v>52</v>
      </c>
      <c r="BX77" s="50" t="n">
        <f aca="false">SUMPRODUCT((Per_Clase="Directo")*INDEX(Dot_O,0,MIN(10,BX$17)))*(BX$15+BX$16*P_PreDir)</f>
        <v>52</v>
      </c>
      <c r="BY77" s="50" t="n">
        <f aca="false">SUMPRODUCT((Per_Clase="Directo")*INDEX(Dot_O,0,MIN(10,BY$17)))*(BY$15+BY$16*P_PreDir)</f>
        <v>52</v>
      </c>
      <c r="BZ77" s="50" t="n">
        <f aca="false">SUMPRODUCT((Per_Clase="Directo")*INDEX(Dot_O,0,MIN(10,BZ$17)))*(BZ$15+BZ$16*P_PreDir)</f>
        <v>52</v>
      </c>
      <c r="CA77" s="50" t="n">
        <f aca="false">SUMPRODUCT((Per_Clase="Directo")*INDEX(Dot_O,0,MIN(10,CA$17)))*(CA$15+CA$16*P_PreDir)</f>
        <v>52</v>
      </c>
      <c r="CB77" s="50" t="n">
        <f aca="false">SUMPRODUCT((Per_Clase="Directo")*INDEX(Dot_O,0,MIN(10,CB$17)))*(CB$15+CB$16*P_PreDir)</f>
        <v>52</v>
      </c>
      <c r="CC77" s="50" t="n">
        <f aca="false">SUMPRODUCT((Per_Clase="Directo")*INDEX(Dot_O,0,MIN(10,CC$17)))*(CC$15+CC$16*P_PreDir)</f>
        <v>52</v>
      </c>
      <c r="CD77" s="50" t="n">
        <f aca="false">SUMPRODUCT((Per_Clase="Directo")*INDEX(Dot_O,0,MIN(10,CD$17)))*(CD$15+CD$16*P_PreDir)</f>
        <v>52</v>
      </c>
      <c r="CE77" s="50" t="n">
        <f aca="false">SUMPRODUCT((Per_Clase="Directo")*INDEX(Dot_O,0,MIN(10,CE$17)))*(CE$15+CE$16*P_PreDir)</f>
        <v>52</v>
      </c>
      <c r="CF77" s="50" t="n">
        <f aca="false">SUMPRODUCT((Per_Clase="Directo")*INDEX(Dot_O,0,MIN(10,CF$17)))*(CF$15+CF$16*P_PreDir)</f>
        <v>52</v>
      </c>
      <c r="CG77" s="50" t="n">
        <f aca="false">SUMPRODUCT((Per_Clase="Directo")*INDEX(Dot_O,0,MIN(10,CG$17)))*(CG$15+CG$16*P_PreDir)</f>
        <v>52</v>
      </c>
      <c r="CH77" s="50" t="n">
        <f aca="false">SUMPRODUCT((Per_Clase="Directo")*INDEX(Dot_O,0,MIN(10,CH$17)))*(CH$15+CH$16*P_PreDir)</f>
        <v>52</v>
      </c>
      <c r="CI77" s="50" t="n">
        <f aca="false">SUMPRODUCT((Per_Clase="Directo")*INDEX(Dot_O,0,MIN(10,CI$17)))*(CI$15+CI$16*P_PreDir)</f>
        <v>52</v>
      </c>
      <c r="CJ77" s="50" t="n">
        <f aca="false">SUMPRODUCT((Per_Clase="Directo")*INDEX(Dot_O,0,MIN(10,CJ$17)))*(CJ$15+CJ$16*P_PreDir)</f>
        <v>52</v>
      </c>
      <c r="CK77" s="50" t="n">
        <f aca="false">SUMPRODUCT((Per_Clase="Directo")*INDEX(Dot_O,0,MIN(10,CK$17)))*(CK$15+CK$16*P_PreDir)</f>
        <v>52</v>
      </c>
      <c r="CL77" s="50" t="n">
        <f aca="false">SUMPRODUCT((Per_Clase="Directo")*INDEX(Dot_O,0,MIN(10,CL$17)))*(CL$15+CL$16*P_PreDir)</f>
        <v>52</v>
      </c>
      <c r="CM77" s="50" t="n">
        <f aca="false">SUMPRODUCT((Per_Clase="Directo")*INDEX(Dot_O,0,MIN(10,CM$17)))*(CM$15+CM$16*P_PreDir)</f>
        <v>52</v>
      </c>
      <c r="CN77" s="50" t="n">
        <f aca="false">SUMPRODUCT((Per_Clase="Directo")*INDEX(Dot_O,0,MIN(10,CN$17)))*(CN$15+CN$16*P_PreDir)</f>
        <v>52</v>
      </c>
      <c r="CO77" s="50" t="n">
        <f aca="false">SUMPRODUCT((Per_Clase="Directo")*INDEX(Dot_O,0,MIN(10,CO$17)))*(CO$15+CO$16*P_PreDir)</f>
        <v>52</v>
      </c>
      <c r="CP77" s="50" t="n">
        <f aca="false">SUMPRODUCT((Per_Clase="Directo")*INDEX(Dot_O,0,MIN(10,CP$17)))*(CP$15+CP$16*P_PreDir)</f>
        <v>52</v>
      </c>
      <c r="CQ77" s="50" t="n">
        <f aca="false">SUMPRODUCT((Per_Clase="Directo")*INDEX(Dot_O,0,MIN(10,CQ$17)))*(CQ$15+CQ$16*P_PreDir)</f>
        <v>52</v>
      </c>
      <c r="CR77" s="50" t="n">
        <f aca="false">SUMPRODUCT((Per_Clase="Directo")*INDEX(Dot_O,0,MIN(10,CR$17)))*(CR$15+CR$16*P_PreDir)</f>
        <v>52</v>
      </c>
      <c r="CS77" s="50" t="n">
        <f aca="false">SUMPRODUCT((Per_Clase="Directo")*INDEX(Dot_O,0,MIN(10,CS$17)))*(CS$15+CS$16*P_PreDir)</f>
        <v>52</v>
      </c>
      <c r="CT77" s="50" t="n">
        <f aca="false">SUMPRODUCT((Per_Clase="Directo")*INDEX(Dot_O,0,MIN(10,CT$17)))*(CT$15+CT$16*P_PreDir)</f>
        <v>52</v>
      </c>
      <c r="CU77" s="50" t="n">
        <f aca="false">SUMPRODUCT((Per_Clase="Directo")*INDEX(Dot_O,0,MIN(10,CU$17)))*(CU$15+CU$16*P_PreDir)</f>
        <v>52</v>
      </c>
      <c r="CV77" s="50" t="n">
        <f aca="false">SUMPRODUCT((Per_Clase="Directo")*INDEX(Dot_O,0,MIN(10,CV$17)))*(CV$15+CV$16*P_PreDir)</f>
        <v>52</v>
      </c>
      <c r="CW77" s="50" t="n">
        <f aca="false">SUMPRODUCT((Per_Clase="Directo")*INDEX(Dot_O,0,MIN(10,CW$17)))*(CW$15+CW$16*P_PreDir)</f>
        <v>52</v>
      </c>
      <c r="CX77" s="50" t="n">
        <f aca="false">SUMPRODUCT((Per_Clase="Directo")*INDEX(Dot_O,0,MIN(10,CX$17)))*(CX$15+CX$16*P_PreDir)</f>
        <v>52</v>
      </c>
      <c r="CY77" s="50" t="n">
        <f aca="false">SUMPRODUCT((Per_Clase="Directo")*INDEX(Dot_O,0,MIN(10,CY$17)))*(CY$15+CY$16*P_PreDir)</f>
        <v>52</v>
      </c>
      <c r="CZ77" s="50" t="n">
        <f aca="false">SUMPRODUCT((Per_Clase="Directo")*INDEX(Dot_O,0,MIN(10,CZ$17)))*(CZ$15+CZ$16*P_PreDir)</f>
        <v>52</v>
      </c>
      <c r="DA77" s="50" t="n">
        <f aca="false">SUMPRODUCT((Per_Clase="Directo")*INDEX(Dot_O,0,MIN(10,DA$17)))*(DA$15+DA$16*P_PreDir)</f>
        <v>52</v>
      </c>
      <c r="DB77" s="50" t="n">
        <f aca="false">SUMPRODUCT((Per_Clase="Directo")*INDEX(Dot_O,0,MIN(10,DB$17)))*(DB$15+DB$16*P_PreDir)</f>
        <v>52</v>
      </c>
      <c r="DC77" s="50" t="n">
        <f aca="false">SUMPRODUCT((Per_Clase="Directo")*INDEX(Dot_O,0,MIN(10,DC$17)))*(DC$15+DC$16*P_PreDir)</f>
        <v>52</v>
      </c>
      <c r="DD77" s="50" t="n">
        <f aca="false">SUMPRODUCT((Per_Clase="Directo")*INDEX(Dot_O,0,MIN(10,DD$17)))*(DD$15+DD$16*P_PreDir)</f>
        <v>52</v>
      </c>
      <c r="DE77" s="50" t="n">
        <f aca="false">SUMPRODUCT((Per_Clase="Directo")*INDEX(Dot_O,0,MIN(10,DE$17)))*(DE$15+DE$16*P_PreDir)</f>
        <v>52</v>
      </c>
      <c r="DF77" s="50" t="n">
        <f aca="false">SUMPRODUCT((Per_Clase="Directo")*INDEX(Dot_O,0,MIN(10,DF$17)))*(DF$15+DF$16*P_PreDir)</f>
        <v>52</v>
      </c>
      <c r="DG77" s="50" t="n">
        <f aca="false">SUMPRODUCT((Per_Clase="Directo")*INDEX(Dot_O,0,MIN(10,DG$17)))*(DG$15+DG$16*P_PreDir)</f>
        <v>52</v>
      </c>
      <c r="DH77" s="50" t="n">
        <f aca="false">SUMPRODUCT((Per_Clase="Directo")*INDEX(Dot_O,0,MIN(10,DH$17)))*(DH$15+DH$16*P_PreDir)</f>
        <v>52</v>
      </c>
      <c r="DI77" s="50" t="n">
        <f aca="false">SUMPRODUCT((Per_Clase="Directo")*INDEX(Dot_O,0,MIN(10,DI$17)))*(DI$15+DI$16*P_PreDir)</f>
        <v>52</v>
      </c>
      <c r="DJ77" s="50" t="n">
        <f aca="false">SUMPRODUCT((Per_Clase="Directo")*INDEX(Dot_O,0,MIN(10,DJ$17)))*(DJ$15+DJ$16*P_PreDir)</f>
        <v>52</v>
      </c>
      <c r="DK77" s="50" t="n">
        <f aca="false">SUMPRODUCT((Per_Clase="Directo")*INDEX(Dot_O,0,MIN(10,DK$17)))*(DK$15+DK$16*P_PreDir)</f>
        <v>52</v>
      </c>
      <c r="DL77" s="50" t="n">
        <f aca="false">SUMPRODUCT((Per_Clase="Directo")*INDEX(Dot_O,0,MIN(10,DL$17)))*(DL$15+DL$16*P_PreDir)</f>
        <v>52</v>
      </c>
      <c r="DM77" s="50" t="n">
        <f aca="false">SUMPRODUCT((Per_Clase="Directo")*INDEX(Dot_O,0,MIN(10,DM$17)))*(DM$15+DM$16*P_PreDir)</f>
        <v>52</v>
      </c>
      <c r="DN77" s="50" t="n">
        <f aca="false">SUMPRODUCT((Per_Clase="Directo")*INDEX(Dot_O,0,MIN(10,DN$17)))*(DN$15+DN$16*P_PreDir)</f>
        <v>52</v>
      </c>
      <c r="DO77" s="50" t="n">
        <f aca="false">SUMPRODUCT((Per_Clase="Directo")*INDEX(Dot_O,0,MIN(10,DO$17)))*(DO$15+DO$16*P_PreDir)</f>
        <v>52</v>
      </c>
      <c r="DP77" s="50" t="n">
        <f aca="false">SUMPRODUCT((Per_Clase="Directo")*INDEX(Dot_O,0,MIN(10,DP$17)))*(DP$15+DP$16*P_PreDir)</f>
        <v>52</v>
      </c>
      <c r="DQ77" s="50" t="n">
        <f aca="false">SUMPRODUCT((Per_Clase="Directo")*INDEX(Dot_O,0,MIN(10,DQ$17)))*(DQ$15+DQ$16*P_PreDir)</f>
        <v>52</v>
      </c>
      <c r="DR77" s="50" t="n">
        <f aca="false">SUMPRODUCT((Per_Clase="Directo")*INDEX(Dot_O,0,MIN(10,DR$17)))*(DR$15+DR$16*P_PreDir)</f>
        <v>52</v>
      </c>
      <c r="DS77" s="50" t="n">
        <f aca="false">SUMPRODUCT((Per_Clase="Directo")*INDEX(Dot_O,0,MIN(10,DS$17)))*(DS$15+DS$16*P_PreDir)</f>
        <v>52</v>
      </c>
      <c r="DT77" s="50" t="n">
        <f aca="false">SUMPRODUCT((Per_Clase="Directo")*INDEX(Dot_O,0,MIN(10,DT$17)))*(DT$15+DT$16*P_PreDir)</f>
        <v>52</v>
      </c>
      <c r="DU77" s="50" t="n">
        <f aca="false">SUMPRODUCT((Per_Clase="Directo")*INDEX(Dot_O,0,MIN(10,DU$17)))*(DU$15+DU$16*P_PreDir)</f>
        <v>52</v>
      </c>
      <c r="DV77" s="50" t="n">
        <f aca="false">SUMPRODUCT((Per_Clase="Directo")*INDEX(Dot_O,0,MIN(10,DV$17)))*(DV$15+DV$16*P_PreDir)</f>
        <v>0</v>
      </c>
      <c r="DW77" s="50" t="n">
        <f aca="false">SUMPRODUCT((Per_Clase="Directo")*INDEX(Dot_O,0,MIN(10,DW$17)))*(DW$15+DW$16*P_PreDir)</f>
        <v>0</v>
      </c>
      <c r="DX77" s="50" t="n">
        <f aca="false">SUMPRODUCT((Per_Clase="Directo")*INDEX(Dot_O,0,MIN(10,DX$17)))*(DX$15+DX$16*P_PreDir)</f>
        <v>0</v>
      </c>
      <c r="DY77" s="50" t="n">
        <f aca="false">SUMPRODUCT((Per_Clase="Directo")*INDEX(Dot_O,0,MIN(10,DY$17)))*(DY$15+DY$16*P_PreDir)</f>
        <v>0</v>
      </c>
      <c r="DZ77" s="50" t="n">
        <f aca="false">SUMPRODUCT((Per_Clase="Directo")*INDEX(Dot_O,0,MIN(10,DZ$17)))*(DZ$15+DZ$16*P_PreDir)</f>
        <v>0</v>
      </c>
      <c r="EA77" s="50" t="n">
        <f aca="false">SUMPRODUCT((Per_Clase="Directo")*INDEX(Dot_O,0,MIN(10,EA$17)))*(EA$15+EA$16*P_PreDir)</f>
        <v>0</v>
      </c>
      <c r="EB77" s="50" t="n">
        <f aca="false">SUMPRODUCT((Per_Clase="Directo")*INDEX(Dot_O,0,MIN(10,EB$17)))*(EB$15+EB$16*P_PreDir)</f>
        <v>0</v>
      </c>
      <c r="EC77" s="50" t="n">
        <f aca="false">SUMPRODUCT((Per_Clase="Directo")*INDEX(Dot_O,0,MIN(10,EC$17)))*(EC$15+EC$16*P_PreDir)</f>
        <v>0</v>
      </c>
      <c r="ED77" s="50" t="n">
        <f aca="false">SUMPRODUCT((Per_Clase="Directo")*INDEX(Dot_O,0,MIN(10,ED$17)))*(ED$15+ED$16*P_PreDir)</f>
        <v>0</v>
      </c>
      <c r="EE77" s="50" t="n">
        <f aca="false">SUMPRODUCT((Per_Clase="Directo")*INDEX(Dot_O,0,MIN(10,EE$17)))*(EE$15+EE$16*P_PreDir)</f>
        <v>0</v>
      </c>
      <c r="EF77" s="50" t="n">
        <f aca="false">SUMPRODUCT((Per_Clase="Directo")*INDEX(Dot_O,0,MIN(10,EF$17)))*(EF$15+EF$16*P_PreDir)</f>
        <v>0</v>
      </c>
      <c r="EG77" s="50" t="n">
        <f aca="false">SUMPRODUCT((Per_Clase="Directo")*INDEX(Dot_O,0,MIN(10,EG$17)))*(EG$15+EG$16*P_PreDir)</f>
        <v>0</v>
      </c>
      <c r="EH77" s="50" t="n">
        <f aca="false">SUMPRODUCT((Per_Clase="Directo")*INDEX(Dot_O,0,MIN(10,EH$17)))*(EH$15+EH$16*P_PreDir)</f>
        <v>0</v>
      </c>
      <c r="EI77" s="50" t="n">
        <f aca="false">SUMPRODUCT((Per_Clase="Directo")*INDEX(Dot_O,0,MIN(10,EI$17)))*(EI$15+EI$16*P_PreDir)</f>
        <v>0</v>
      </c>
      <c r="EJ77" s="50" t="n">
        <f aca="false">SUMPRODUCT((Per_Clase="Directo")*INDEX(Dot_O,0,MIN(10,EJ$17)))*(EJ$15+EJ$16*P_PreDir)</f>
        <v>0</v>
      </c>
      <c r="EK77" s="50" t="n">
        <f aca="false">SUMPRODUCT((Per_Clase="Directo")*INDEX(Dot_O,0,MIN(10,EK$17)))*(EK$15+EK$16*P_PreDir)</f>
        <v>0</v>
      </c>
      <c r="EL77" s="50" t="n">
        <f aca="false">SUMPRODUCT((Per_Clase="Directo")*INDEX(Dot_O,0,MIN(10,EL$17)))*(EL$15+EL$16*P_PreDir)</f>
        <v>0</v>
      </c>
      <c r="EM77" s="50" t="n">
        <f aca="false">SUMPRODUCT((Per_Clase="Directo")*INDEX(Dot_O,0,MIN(10,EM$17)))*(EM$15+EM$16*P_PreDir)</f>
        <v>0</v>
      </c>
      <c r="EN77" s="50" t="n">
        <f aca="false">SUMPRODUCT((Per_Clase="Directo")*INDEX(Dot_O,0,MIN(10,EN$17)))*(EN$15+EN$16*P_PreDir)</f>
        <v>0</v>
      </c>
      <c r="EO77" s="50" t="n">
        <f aca="false">SUMPRODUCT((Per_Clase="Directo")*INDEX(Dot_O,0,MIN(10,EO$17)))*(EO$15+EO$16*P_PreDir)</f>
        <v>0</v>
      </c>
      <c r="EP77" s="50" t="n">
        <f aca="false">SUMPRODUCT((Per_Clase="Directo")*INDEX(Dot_O,0,MIN(10,EP$17)))*(EP$15+EP$16*P_PreDir)</f>
        <v>0</v>
      </c>
      <c r="EQ77" s="50" t="n">
        <f aca="false">SUMPRODUCT((Per_Clase="Directo")*INDEX(Dot_O,0,MIN(10,EQ$17)))*(EQ$15+EQ$16*P_PreDir)</f>
        <v>0</v>
      </c>
      <c r="ER77" s="50" t="n">
        <f aca="false">SUMPRODUCT((Per_Clase="Directo")*INDEX(Dot_O,0,MIN(10,ER$17)))*(ER$15+ER$16*P_PreDir)</f>
        <v>0</v>
      </c>
      <c r="ES77" s="50" t="n">
        <f aca="false">SUMPRODUCT((Per_Clase="Directo")*INDEX(Dot_O,0,MIN(10,ES$17)))*(ES$15+ES$16*P_PreDir)</f>
        <v>0</v>
      </c>
    </row>
    <row r="78" customFormat="false" ht="15" hidden="false" customHeight="false" outlineLevel="0" collapsed="false">
      <c r="A78" s="11" t="s">
        <v>1129</v>
      </c>
      <c r="B78" s="15" t="s">
        <v>1130</v>
      </c>
      <c r="C78" s="15" t="s">
        <v>508</v>
      </c>
      <c r="E78" s="54" t="n">
        <f aca="false">SUM(F78:ES78)</f>
        <v>4532548.91505156</v>
      </c>
      <c r="F78" s="48" t="n">
        <f aca="false">SUMPRODUCT((Per_Clase="Directo")*Sal_O*INDEX(Dot_O,0,MIN(10,F$17))*((Per_Mon="PYG")*F$19+(Per_Mon&lt;&gt;"PYG")))*(F$15+F$16*P_PreDir)*INDEX(IdxSal_O,1,MIN(10,F$17))*(1+P_Cargas)+F$77*P_Alim*F$19</f>
        <v>32622.2257971233</v>
      </c>
      <c r="G78" s="48" t="n">
        <f aca="false">SUMPRODUCT((Per_Clase="Directo")*Sal_O*INDEX(Dot_O,0,MIN(10,G$17))*((Per_Mon="PYG")*G$19+(Per_Mon&lt;&gt;"PYG")))*(G$15+G$16*P_PreDir)*INDEX(IdxSal_O,1,MIN(10,G$17))*(1+P_Cargas)+G$77*P_Alim*G$19</f>
        <v>32622.2257971233</v>
      </c>
      <c r="H78" s="48" t="n">
        <f aca="false">SUMPRODUCT((Per_Clase="Directo")*Sal_O*INDEX(Dot_O,0,MIN(10,H$17))*((Per_Mon="PYG")*H$19+(Per_Mon&lt;&gt;"PYG")))*(H$15+H$16*P_PreDir)*INDEX(IdxSal_O,1,MIN(10,H$17))*(1+P_Cargas)+H$77*P_Alim*H$19</f>
        <v>32622.2257971233</v>
      </c>
      <c r="I78" s="48" t="n">
        <f aca="false">SUMPRODUCT((Per_Clase="Directo")*Sal_O*INDEX(Dot_O,0,MIN(10,I$17))*((Per_Mon="PYG")*I$19+(Per_Mon&lt;&gt;"PYG")))*(I$15+I$16*P_PreDir)*INDEX(IdxSal_O,1,MIN(10,I$17))*(1+P_Cargas)+I$77*P_Alim*I$19</f>
        <v>32622.2257971233</v>
      </c>
      <c r="J78" s="48" t="n">
        <f aca="false">SUMPRODUCT((Per_Clase="Directo")*Sal_O*INDEX(Dot_O,0,MIN(10,J$17))*((Per_Mon="PYG")*J$19+(Per_Mon&lt;&gt;"PYG")))*(J$15+J$16*P_PreDir)*INDEX(IdxSal_O,1,MIN(10,J$17))*(1+P_Cargas)+J$77*P_Alim*J$19</f>
        <v>32622.2257971233</v>
      </c>
      <c r="K78" s="48" t="n">
        <f aca="false">SUMPRODUCT((Per_Clase="Directo")*Sal_O*INDEX(Dot_O,0,MIN(10,K$17))*((Per_Mon="PYG")*K$19+(Per_Mon&lt;&gt;"PYG")))*(K$15+K$16*P_PreDir)*INDEX(IdxSal_O,1,MIN(10,K$17))*(1+P_Cargas)+K$77*P_Alim*K$19</f>
        <v>32622.2257971233</v>
      </c>
      <c r="L78" s="48" t="n">
        <f aca="false">SUMPRODUCT((Per_Clase="Directo")*Sal_O*INDEX(Dot_O,0,MIN(10,L$17))*((Per_Mon="PYG")*L$19+(Per_Mon&lt;&gt;"PYG")))*(L$15+L$16*P_PreDir)*INDEX(IdxSal_O,1,MIN(10,L$17))*(1+P_Cargas)+L$77*P_Alim*L$19</f>
        <v>32622.2257971233</v>
      </c>
      <c r="M78" s="48" t="n">
        <f aca="false">SUMPRODUCT((Per_Clase="Directo")*Sal_O*INDEX(Dot_O,0,MIN(10,M$17))*((Per_Mon="PYG")*M$19+(Per_Mon&lt;&gt;"PYG")))*(M$15+M$16*P_PreDir)*INDEX(IdxSal_O,1,MIN(10,M$17))*(1+P_Cargas)+M$77*P_Alim*M$19</f>
        <v>32622.2257971233</v>
      </c>
      <c r="N78" s="48" t="n">
        <f aca="false">SUMPRODUCT((Per_Clase="Directo")*Sal_O*INDEX(Dot_O,0,MIN(10,N$17))*((Per_Mon="PYG")*N$19+(Per_Mon&lt;&gt;"PYG")))*(N$15+N$16*P_PreDir)*INDEX(IdxSal_O,1,MIN(10,N$17))*(1+P_Cargas)+N$77*P_Alim*N$19</f>
        <v>32622.2257971233</v>
      </c>
      <c r="O78" s="48" t="n">
        <f aca="false">SUMPRODUCT((Per_Clase="Directo")*Sal_O*INDEX(Dot_O,0,MIN(10,O$17))*((Per_Mon="PYG")*O$19+(Per_Mon&lt;&gt;"PYG")))*(O$15+O$16*P_PreDir)*INDEX(IdxSal_O,1,MIN(10,O$17))*(1+P_Cargas)+O$77*P_Alim*O$19</f>
        <v>32622.2257971233</v>
      </c>
      <c r="P78" s="48" t="n">
        <f aca="false">SUMPRODUCT((Per_Clase="Directo")*Sal_O*INDEX(Dot_O,0,MIN(10,P$17))*((Per_Mon="PYG")*P$19+(Per_Mon&lt;&gt;"PYG")))*(P$15+P$16*P_PreDir)*INDEX(IdxSal_O,1,MIN(10,P$17))*(1+P_Cargas)+P$77*P_Alim*P$19</f>
        <v>32622.2257971233</v>
      </c>
      <c r="Q78" s="48" t="n">
        <f aca="false">SUMPRODUCT((Per_Clase="Directo")*Sal_O*INDEX(Dot_O,0,MIN(10,Q$17))*((Per_Mon="PYG")*Q$19+(Per_Mon&lt;&gt;"PYG")))*(Q$15+Q$16*P_PreDir)*INDEX(IdxSal_O,1,MIN(10,Q$17))*(1+P_Cargas)+Q$77*P_Alim*Q$19</f>
        <v>32622.2257971233</v>
      </c>
      <c r="R78" s="48" t="n">
        <f aca="false">SUMPRODUCT((Per_Clase="Directo")*Sal_O*INDEX(Dot_O,0,MIN(10,R$17))*((Per_Mon="PYG")*R$19+(Per_Mon&lt;&gt;"PYG")))*(R$15+R$16*P_PreDir)*INDEX(IdxSal_O,1,MIN(10,R$17))*(1+P_Cargas)+R$77*P_Alim*R$19</f>
        <v>32622.2257971233</v>
      </c>
      <c r="S78" s="48" t="n">
        <f aca="false">SUMPRODUCT((Per_Clase="Directo")*Sal_O*INDEX(Dot_O,0,MIN(10,S$17))*((Per_Mon="PYG")*S$19+(Per_Mon&lt;&gt;"PYG")))*(S$15+S$16*P_PreDir)*INDEX(IdxSal_O,1,MIN(10,S$17))*(1+P_Cargas)+S$77*P_Alim*S$19</f>
        <v>32622.2257971233</v>
      </c>
      <c r="T78" s="48" t="n">
        <f aca="false">SUMPRODUCT((Per_Clase="Directo")*Sal_O*INDEX(Dot_O,0,MIN(10,T$17))*((Per_Mon="PYG")*T$19+(Per_Mon&lt;&gt;"PYG")))*(T$15+T$16*P_PreDir)*INDEX(IdxSal_O,1,MIN(10,T$17))*(1+P_Cargas)+T$77*P_Alim*T$19</f>
        <v>32622.2257971233</v>
      </c>
      <c r="U78" s="48" t="n">
        <f aca="false">SUMPRODUCT((Per_Clase="Directo")*Sal_O*INDEX(Dot_O,0,MIN(10,U$17))*((Per_Mon="PYG")*U$19+(Per_Mon&lt;&gt;"PYG")))*(U$15+U$16*P_PreDir)*INDEX(IdxSal_O,1,MIN(10,U$17))*(1+P_Cargas)+U$77*P_Alim*U$19</f>
        <v>32622.2257971233</v>
      </c>
      <c r="V78" s="48" t="n">
        <f aca="false">SUMPRODUCT((Per_Clase="Directo")*Sal_O*INDEX(Dot_O,0,MIN(10,V$17))*((Per_Mon="PYG")*V$19+(Per_Mon&lt;&gt;"PYG")))*(V$15+V$16*P_PreDir)*INDEX(IdxSal_O,1,MIN(10,V$17))*(1+P_Cargas)+V$77*P_Alim*V$19</f>
        <v>32622.2257971233</v>
      </c>
      <c r="W78" s="48" t="n">
        <f aca="false">SUMPRODUCT((Per_Clase="Directo")*Sal_O*INDEX(Dot_O,0,MIN(10,W$17))*((Per_Mon="PYG")*W$19+(Per_Mon&lt;&gt;"PYG")))*(W$15+W$16*P_PreDir)*INDEX(IdxSal_O,1,MIN(10,W$17))*(1+P_Cargas)+W$77*P_Alim*W$19</f>
        <v>32622.2257971233</v>
      </c>
      <c r="X78" s="48" t="n">
        <f aca="false">SUMPRODUCT((Per_Clase="Directo")*Sal_O*INDEX(Dot_O,0,MIN(10,X$17))*((Per_Mon="PYG")*X$19+(Per_Mon&lt;&gt;"PYG")))*(X$15+X$16*P_PreDir)*INDEX(IdxSal_O,1,MIN(10,X$17))*(1+P_Cargas)+X$77*P_Alim*X$19</f>
        <v>32622.2257971233</v>
      </c>
      <c r="Y78" s="48" t="n">
        <f aca="false">SUMPRODUCT((Per_Clase="Directo")*Sal_O*INDEX(Dot_O,0,MIN(10,Y$17))*((Per_Mon="PYG")*Y$19+(Per_Mon&lt;&gt;"PYG")))*(Y$15+Y$16*P_PreDir)*INDEX(IdxSal_O,1,MIN(10,Y$17))*(1+P_Cargas)+Y$77*P_Alim*Y$19</f>
        <v>32622.2257971233</v>
      </c>
      <c r="Z78" s="48" t="n">
        <f aca="false">SUMPRODUCT((Per_Clase="Directo")*Sal_O*INDEX(Dot_O,0,MIN(10,Z$17))*((Per_Mon="PYG")*Z$19+(Per_Mon&lt;&gt;"PYG")))*(Z$15+Z$16*P_PreDir)*INDEX(IdxSal_O,1,MIN(10,Z$17))*(1+P_Cargas)+Z$77*P_Alim*Z$19</f>
        <v>32622.2257971233</v>
      </c>
      <c r="AA78" s="48" t="n">
        <f aca="false">SUMPRODUCT((Per_Clase="Directo")*Sal_O*INDEX(Dot_O,0,MIN(10,AA$17))*((Per_Mon="PYG")*AA$19+(Per_Mon&lt;&gt;"PYG")))*(AA$15+AA$16*P_PreDir)*INDEX(IdxSal_O,1,MIN(10,AA$17))*(1+P_Cargas)+AA$77*P_Alim*AA$19</f>
        <v>32622.2257971233</v>
      </c>
      <c r="AB78" s="48" t="n">
        <f aca="false">SUMPRODUCT((Per_Clase="Directo")*Sal_O*INDEX(Dot_O,0,MIN(10,AB$17))*((Per_Mon="PYG")*AB$19+(Per_Mon&lt;&gt;"PYG")))*(AB$15+AB$16*P_PreDir)*INDEX(IdxSal_O,1,MIN(10,AB$17))*(1+P_Cargas)+AB$77*P_Alim*AB$19</f>
        <v>32622.2257971233</v>
      </c>
      <c r="AC78" s="48" t="n">
        <f aca="false">SUMPRODUCT((Per_Clase="Directo")*Sal_O*INDEX(Dot_O,0,MIN(10,AC$17))*((Per_Mon="PYG")*AC$19+(Per_Mon&lt;&gt;"PYG")))*(AC$15+AC$16*P_PreDir)*INDEX(IdxSal_O,1,MIN(10,AC$17))*(1+P_Cargas)+AC$77*P_Alim*AC$19</f>
        <v>32622.2257971233</v>
      </c>
      <c r="AD78" s="48" t="n">
        <f aca="false">SUMPRODUCT((Per_Clase="Directo")*Sal_O*INDEX(Dot_O,0,MIN(10,AD$17))*((Per_Mon="PYG")*AD$19+(Per_Mon&lt;&gt;"PYG")))*(AD$15+AD$16*P_PreDir)*INDEX(IdxSal_O,1,MIN(10,AD$17))*(1+P_Cargas)+AD$77*P_Alim*AD$19</f>
        <v>35267.6436408904</v>
      </c>
      <c r="AE78" s="48" t="n">
        <f aca="false">SUMPRODUCT((Per_Clase="Directo")*Sal_O*INDEX(Dot_O,0,MIN(10,AE$17))*((Per_Mon="PYG")*AE$19+(Per_Mon&lt;&gt;"PYG")))*(AE$15+AE$16*P_PreDir)*INDEX(IdxSal_O,1,MIN(10,AE$17))*(1+P_Cargas)+AE$77*P_Alim*AE$19</f>
        <v>35267.6436408904</v>
      </c>
      <c r="AF78" s="48" t="n">
        <f aca="false">SUMPRODUCT((Per_Clase="Directo")*Sal_O*INDEX(Dot_O,0,MIN(10,AF$17))*((Per_Mon="PYG")*AF$19+(Per_Mon&lt;&gt;"PYG")))*(AF$15+AF$16*P_PreDir)*INDEX(IdxSal_O,1,MIN(10,AF$17))*(1+P_Cargas)+AF$77*P_Alim*AF$19</f>
        <v>35267.6436408904</v>
      </c>
      <c r="AG78" s="48" t="n">
        <f aca="false">SUMPRODUCT((Per_Clase="Directo")*Sal_O*INDEX(Dot_O,0,MIN(10,AG$17))*((Per_Mon="PYG")*AG$19+(Per_Mon&lt;&gt;"PYG")))*(AG$15+AG$16*P_PreDir)*INDEX(IdxSal_O,1,MIN(10,AG$17))*(1+P_Cargas)+AG$77*P_Alim*AG$19</f>
        <v>35267.6436408904</v>
      </c>
      <c r="AH78" s="48" t="n">
        <f aca="false">SUMPRODUCT((Per_Clase="Directo")*Sal_O*INDEX(Dot_O,0,MIN(10,AH$17))*((Per_Mon="PYG")*AH$19+(Per_Mon&lt;&gt;"PYG")))*(AH$15+AH$16*P_PreDir)*INDEX(IdxSal_O,1,MIN(10,AH$17))*(1+P_Cargas)+AH$77*P_Alim*AH$19</f>
        <v>35267.6436408904</v>
      </c>
      <c r="AI78" s="48" t="n">
        <f aca="false">SUMPRODUCT((Per_Clase="Directo")*Sal_O*INDEX(Dot_O,0,MIN(10,AI$17))*((Per_Mon="PYG")*AI$19+(Per_Mon&lt;&gt;"PYG")))*(AI$15+AI$16*P_PreDir)*INDEX(IdxSal_O,1,MIN(10,AI$17))*(1+P_Cargas)+AI$77*P_Alim*AI$19</f>
        <v>35267.6436408904</v>
      </c>
      <c r="AJ78" s="48" t="n">
        <f aca="false">SUMPRODUCT((Per_Clase="Directo")*Sal_O*INDEX(Dot_O,0,MIN(10,AJ$17))*((Per_Mon="PYG")*AJ$19+(Per_Mon&lt;&gt;"PYG")))*(AJ$15+AJ$16*P_PreDir)*INDEX(IdxSal_O,1,MIN(10,AJ$17))*(1+P_Cargas)+AJ$77*P_Alim*AJ$19</f>
        <v>35267.6436408904</v>
      </c>
      <c r="AK78" s="48" t="n">
        <f aca="false">SUMPRODUCT((Per_Clase="Directo")*Sal_O*INDEX(Dot_O,0,MIN(10,AK$17))*((Per_Mon="PYG")*AK$19+(Per_Mon&lt;&gt;"PYG")))*(AK$15+AK$16*P_PreDir)*INDEX(IdxSal_O,1,MIN(10,AK$17))*(1+P_Cargas)+AK$77*P_Alim*AK$19</f>
        <v>35267.6436408904</v>
      </c>
      <c r="AL78" s="48" t="n">
        <f aca="false">SUMPRODUCT((Per_Clase="Directo")*Sal_O*INDEX(Dot_O,0,MIN(10,AL$17))*((Per_Mon="PYG")*AL$19+(Per_Mon&lt;&gt;"PYG")))*(AL$15+AL$16*P_PreDir)*INDEX(IdxSal_O,1,MIN(10,AL$17))*(1+P_Cargas)+AL$77*P_Alim*AL$19</f>
        <v>35267.6436408904</v>
      </c>
      <c r="AM78" s="48" t="n">
        <f aca="false">SUMPRODUCT((Per_Clase="Directo")*Sal_O*INDEX(Dot_O,0,MIN(10,AM$17))*((Per_Mon="PYG")*AM$19+(Per_Mon&lt;&gt;"PYG")))*(AM$15+AM$16*P_PreDir)*INDEX(IdxSal_O,1,MIN(10,AM$17))*(1+P_Cargas)+AM$77*P_Alim*AM$19</f>
        <v>35267.6436408904</v>
      </c>
      <c r="AN78" s="48" t="n">
        <f aca="false">SUMPRODUCT((Per_Clase="Directo")*Sal_O*INDEX(Dot_O,0,MIN(10,AN$17))*((Per_Mon="PYG")*AN$19+(Per_Mon&lt;&gt;"PYG")))*(AN$15+AN$16*P_PreDir)*INDEX(IdxSal_O,1,MIN(10,AN$17))*(1+P_Cargas)+AN$77*P_Alim*AN$19</f>
        <v>35267.6436408904</v>
      </c>
      <c r="AO78" s="48" t="n">
        <f aca="false">SUMPRODUCT((Per_Clase="Directo")*Sal_O*INDEX(Dot_O,0,MIN(10,AO$17))*((Per_Mon="PYG")*AO$19+(Per_Mon&lt;&gt;"PYG")))*(AO$15+AO$16*P_PreDir)*INDEX(IdxSal_O,1,MIN(10,AO$17))*(1+P_Cargas)+AO$77*P_Alim*AO$19</f>
        <v>35267.6436408904</v>
      </c>
      <c r="AP78" s="48" t="n">
        <f aca="false">SUMPRODUCT((Per_Clase="Directo")*Sal_O*INDEX(Dot_O,0,MIN(10,AP$17))*((Per_Mon="PYG")*AP$19+(Per_Mon&lt;&gt;"PYG")))*(AP$15+AP$16*P_PreDir)*INDEX(IdxSal_O,1,MIN(10,AP$17))*(1+P_Cargas)+AP$77*P_Alim*AP$19</f>
        <v>37386.0127952877</v>
      </c>
      <c r="AQ78" s="48" t="n">
        <f aca="false">SUMPRODUCT((Per_Clase="Directo")*Sal_O*INDEX(Dot_O,0,MIN(10,AQ$17))*((Per_Mon="PYG")*AQ$19+(Per_Mon&lt;&gt;"PYG")))*(AQ$15+AQ$16*P_PreDir)*INDEX(IdxSal_O,1,MIN(10,AQ$17))*(1+P_Cargas)+AQ$77*P_Alim*AQ$19</f>
        <v>37386.0127952877</v>
      </c>
      <c r="AR78" s="48" t="n">
        <f aca="false">SUMPRODUCT((Per_Clase="Directo")*Sal_O*INDEX(Dot_O,0,MIN(10,AR$17))*((Per_Mon="PYG")*AR$19+(Per_Mon&lt;&gt;"PYG")))*(AR$15+AR$16*P_PreDir)*INDEX(IdxSal_O,1,MIN(10,AR$17))*(1+P_Cargas)+AR$77*P_Alim*AR$19</f>
        <v>37386.0127952877</v>
      </c>
      <c r="AS78" s="48" t="n">
        <f aca="false">SUMPRODUCT((Per_Clase="Directo")*Sal_O*INDEX(Dot_O,0,MIN(10,AS$17))*((Per_Mon="PYG")*AS$19+(Per_Mon&lt;&gt;"PYG")))*(AS$15+AS$16*P_PreDir)*INDEX(IdxSal_O,1,MIN(10,AS$17))*(1+P_Cargas)+AS$77*P_Alim*AS$19</f>
        <v>37386.0127952877</v>
      </c>
      <c r="AT78" s="48" t="n">
        <f aca="false">SUMPRODUCT((Per_Clase="Directo")*Sal_O*INDEX(Dot_O,0,MIN(10,AT$17))*((Per_Mon="PYG")*AT$19+(Per_Mon&lt;&gt;"PYG")))*(AT$15+AT$16*P_PreDir)*INDEX(IdxSal_O,1,MIN(10,AT$17))*(1+P_Cargas)+AT$77*P_Alim*AT$19</f>
        <v>37386.0127952877</v>
      </c>
      <c r="AU78" s="48" t="n">
        <f aca="false">SUMPRODUCT((Per_Clase="Directo")*Sal_O*INDEX(Dot_O,0,MIN(10,AU$17))*((Per_Mon="PYG")*AU$19+(Per_Mon&lt;&gt;"PYG")))*(AU$15+AU$16*P_PreDir)*INDEX(IdxSal_O,1,MIN(10,AU$17))*(1+P_Cargas)+AU$77*P_Alim*AU$19</f>
        <v>37386.0127952877</v>
      </c>
      <c r="AV78" s="48" t="n">
        <f aca="false">SUMPRODUCT((Per_Clase="Directo")*Sal_O*INDEX(Dot_O,0,MIN(10,AV$17))*((Per_Mon="PYG")*AV$19+(Per_Mon&lt;&gt;"PYG")))*(AV$15+AV$16*P_PreDir)*INDEX(IdxSal_O,1,MIN(10,AV$17))*(1+P_Cargas)+AV$77*P_Alim*AV$19</f>
        <v>37386.0127952877</v>
      </c>
      <c r="AW78" s="48" t="n">
        <f aca="false">SUMPRODUCT((Per_Clase="Directo")*Sal_O*INDEX(Dot_O,0,MIN(10,AW$17))*((Per_Mon="PYG")*AW$19+(Per_Mon&lt;&gt;"PYG")))*(AW$15+AW$16*P_PreDir)*INDEX(IdxSal_O,1,MIN(10,AW$17))*(1+P_Cargas)+AW$77*P_Alim*AW$19</f>
        <v>37386.0127952877</v>
      </c>
      <c r="AX78" s="48" t="n">
        <f aca="false">SUMPRODUCT((Per_Clase="Directo")*Sal_O*INDEX(Dot_O,0,MIN(10,AX$17))*((Per_Mon="PYG")*AX$19+(Per_Mon&lt;&gt;"PYG")))*(AX$15+AX$16*P_PreDir)*INDEX(IdxSal_O,1,MIN(10,AX$17))*(1+P_Cargas)+AX$77*P_Alim*AX$19</f>
        <v>37386.0127952877</v>
      </c>
      <c r="AY78" s="48" t="n">
        <f aca="false">SUMPRODUCT((Per_Clase="Directo")*Sal_O*INDEX(Dot_O,0,MIN(10,AY$17))*((Per_Mon="PYG")*AY$19+(Per_Mon&lt;&gt;"PYG")))*(AY$15+AY$16*P_PreDir)*INDEX(IdxSal_O,1,MIN(10,AY$17))*(1+P_Cargas)+AY$77*P_Alim*AY$19</f>
        <v>37386.0127952877</v>
      </c>
      <c r="AZ78" s="48" t="n">
        <f aca="false">SUMPRODUCT((Per_Clase="Directo")*Sal_O*INDEX(Dot_O,0,MIN(10,AZ$17))*((Per_Mon="PYG")*AZ$19+(Per_Mon&lt;&gt;"PYG")))*(AZ$15+AZ$16*P_PreDir)*INDEX(IdxSal_O,1,MIN(10,AZ$17))*(1+P_Cargas)+AZ$77*P_Alim*AZ$19</f>
        <v>37386.0127952877</v>
      </c>
      <c r="BA78" s="48" t="n">
        <f aca="false">SUMPRODUCT((Per_Clase="Directo")*Sal_O*INDEX(Dot_O,0,MIN(10,BA$17))*((Per_Mon="PYG")*BA$19+(Per_Mon&lt;&gt;"PYG")))*(BA$15+BA$16*P_PreDir)*INDEX(IdxSal_O,1,MIN(10,BA$17))*(1+P_Cargas)+BA$77*P_Alim*BA$19</f>
        <v>37386.0127952877</v>
      </c>
      <c r="BB78" s="48" t="n">
        <f aca="false">SUMPRODUCT((Per_Clase="Directo")*Sal_O*INDEX(Dot_O,0,MIN(10,BB$17))*((Per_Mon="PYG")*BB$19+(Per_Mon&lt;&gt;"PYG")))*(BB$15+BB$16*P_PreDir)*INDEX(IdxSal_O,1,MIN(10,BB$17))*(1+P_Cargas)+BB$77*P_Alim*BB$19</f>
        <v>39969.0502595343</v>
      </c>
      <c r="BC78" s="48" t="n">
        <f aca="false">SUMPRODUCT((Per_Clase="Directo")*Sal_O*INDEX(Dot_O,0,MIN(10,BC$17))*((Per_Mon="PYG")*BC$19+(Per_Mon&lt;&gt;"PYG")))*(BC$15+BC$16*P_PreDir)*INDEX(IdxSal_O,1,MIN(10,BC$17))*(1+P_Cargas)+BC$77*P_Alim*BC$19</f>
        <v>39969.0502595343</v>
      </c>
      <c r="BD78" s="48" t="n">
        <f aca="false">SUMPRODUCT((Per_Clase="Directo")*Sal_O*INDEX(Dot_O,0,MIN(10,BD$17))*((Per_Mon="PYG")*BD$19+(Per_Mon&lt;&gt;"PYG")))*(BD$15+BD$16*P_PreDir)*INDEX(IdxSal_O,1,MIN(10,BD$17))*(1+P_Cargas)+BD$77*P_Alim*BD$19</f>
        <v>39969.0502595343</v>
      </c>
      <c r="BE78" s="48" t="n">
        <f aca="false">SUMPRODUCT((Per_Clase="Directo")*Sal_O*INDEX(Dot_O,0,MIN(10,BE$17))*((Per_Mon="PYG")*BE$19+(Per_Mon&lt;&gt;"PYG")))*(BE$15+BE$16*P_PreDir)*INDEX(IdxSal_O,1,MIN(10,BE$17))*(1+P_Cargas)+BE$77*P_Alim*BE$19</f>
        <v>39969.0502595343</v>
      </c>
      <c r="BF78" s="48" t="n">
        <f aca="false">SUMPRODUCT((Per_Clase="Directo")*Sal_O*INDEX(Dot_O,0,MIN(10,BF$17))*((Per_Mon="PYG")*BF$19+(Per_Mon&lt;&gt;"PYG")))*(BF$15+BF$16*P_PreDir)*INDEX(IdxSal_O,1,MIN(10,BF$17))*(1+P_Cargas)+BF$77*P_Alim*BF$19</f>
        <v>39969.0502595343</v>
      </c>
      <c r="BG78" s="48" t="n">
        <f aca="false">SUMPRODUCT((Per_Clase="Directo")*Sal_O*INDEX(Dot_O,0,MIN(10,BG$17))*((Per_Mon="PYG")*BG$19+(Per_Mon&lt;&gt;"PYG")))*(BG$15+BG$16*P_PreDir)*INDEX(IdxSal_O,1,MIN(10,BG$17))*(1+P_Cargas)+BG$77*P_Alim*BG$19</f>
        <v>39969.0502595343</v>
      </c>
      <c r="BH78" s="48" t="n">
        <f aca="false">SUMPRODUCT((Per_Clase="Directo")*Sal_O*INDEX(Dot_O,0,MIN(10,BH$17))*((Per_Mon="PYG")*BH$19+(Per_Mon&lt;&gt;"PYG")))*(BH$15+BH$16*P_PreDir)*INDEX(IdxSal_O,1,MIN(10,BH$17))*(1+P_Cargas)+BH$77*P_Alim*BH$19</f>
        <v>39969.0502595343</v>
      </c>
      <c r="BI78" s="48" t="n">
        <f aca="false">SUMPRODUCT((Per_Clase="Directo")*Sal_O*INDEX(Dot_O,0,MIN(10,BI$17))*((Per_Mon="PYG")*BI$19+(Per_Mon&lt;&gt;"PYG")))*(BI$15+BI$16*P_PreDir)*INDEX(IdxSal_O,1,MIN(10,BI$17))*(1+P_Cargas)+BI$77*P_Alim*BI$19</f>
        <v>39969.0502595343</v>
      </c>
      <c r="BJ78" s="48" t="n">
        <f aca="false">SUMPRODUCT((Per_Clase="Directo")*Sal_O*INDEX(Dot_O,0,MIN(10,BJ$17))*((Per_Mon="PYG")*BJ$19+(Per_Mon&lt;&gt;"PYG")))*(BJ$15+BJ$16*P_PreDir)*INDEX(IdxSal_O,1,MIN(10,BJ$17))*(1+P_Cargas)+BJ$77*P_Alim*BJ$19</f>
        <v>39969.0502595343</v>
      </c>
      <c r="BK78" s="48" t="n">
        <f aca="false">SUMPRODUCT((Per_Clase="Directo")*Sal_O*INDEX(Dot_O,0,MIN(10,BK$17))*((Per_Mon="PYG")*BK$19+(Per_Mon&lt;&gt;"PYG")))*(BK$15+BK$16*P_PreDir)*INDEX(IdxSal_O,1,MIN(10,BK$17))*(1+P_Cargas)+BK$77*P_Alim*BK$19</f>
        <v>39969.0502595343</v>
      </c>
      <c r="BL78" s="48" t="n">
        <f aca="false">SUMPRODUCT((Per_Clase="Directo")*Sal_O*INDEX(Dot_O,0,MIN(10,BL$17))*((Per_Mon="PYG")*BL$19+(Per_Mon&lt;&gt;"PYG")))*(BL$15+BL$16*P_PreDir)*INDEX(IdxSal_O,1,MIN(10,BL$17))*(1+P_Cargas)+BL$77*P_Alim*BL$19</f>
        <v>39969.0502595343</v>
      </c>
      <c r="BM78" s="48" t="n">
        <f aca="false">SUMPRODUCT((Per_Clase="Directo")*Sal_O*INDEX(Dot_O,0,MIN(10,BM$17))*((Per_Mon="PYG")*BM$19+(Per_Mon&lt;&gt;"PYG")))*(BM$15+BM$16*P_PreDir)*INDEX(IdxSal_O,1,MIN(10,BM$17))*(1+P_Cargas)+BM$77*P_Alim*BM$19</f>
        <v>39969.0502595343</v>
      </c>
      <c r="BN78" s="48" t="n">
        <f aca="false">SUMPRODUCT((Per_Clase="Directo")*Sal_O*INDEX(Dot_O,0,MIN(10,BN$17))*((Per_Mon="PYG")*BN$19+(Per_Mon&lt;&gt;"PYG")))*(BN$15+BN$16*P_PreDir)*INDEX(IdxSal_O,1,MIN(10,BN$17))*(1+P_Cargas)+BN$77*P_Alim*BN$19</f>
        <v>39969.0502595343</v>
      </c>
      <c r="BO78" s="48" t="n">
        <f aca="false">SUMPRODUCT((Per_Clase="Directo")*Sal_O*INDEX(Dot_O,0,MIN(10,BO$17))*((Per_Mon="PYG")*BO$19+(Per_Mon&lt;&gt;"PYG")))*(BO$15+BO$16*P_PreDir)*INDEX(IdxSal_O,1,MIN(10,BO$17))*(1+P_Cargas)+BO$77*P_Alim*BO$19</f>
        <v>39969.0502595343</v>
      </c>
      <c r="BP78" s="48" t="n">
        <f aca="false">SUMPRODUCT((Per_Clase="Directo")*Sal_O*INDEX(Dot_O,0,MIN(10,BP$17))*((Per_Mon="PYG")*BP$19+(Per_Mon&lt;&gt;"PYG")))*(BP$15+BP$16*P_PreDir)*INDEX(IdxSal_O,1,MIN(10,BP$17))*(1+P_Cargas)+BP$77*P_Alim*BP$19</f>
        <v>39969.0502595343</v>
      </c>
      <c r="BQ78" s="48" t="n">
        <f aca="false">SUMPRODUCT((Per_Clase="Directo")*Sal_O*INDEX(Dot_O,0,MIN(10,BQ$17))*((Per_Mon="PYG")*BQ$19+(Per_Mon&lt;&gt;"PYG")))*(BQ$15+BQ$16*P_PreDir)*INDEX(IdxSal_O,1,MIN(10,BQ$17))*(1+P_Cargas)+BQ$77*P_Alim*BQ$19</f>
        <v>39969.0502595343</v>
      </c>
      <c r="BR78" s="48" t="n">
        <f aca="false">SUMPRODUCT((Per_Clase="Directo")*Sal_O*INDEX(Dot_O,0,MIN(10,BR$17))*((Per_Mon="PYG")*BR$19+(Per_Mon&lt;&gt;"PYG")))*(BR$15+BR$16*P_PreDir)*INDEX(IdxSal_O,1,MIN(10,BR$17))*(1+P_Cargas)+BR$77*P_Alim*BR$19</f>
        <v>39969.0502595343</v>
      </c>
      <c r="BS78" s="48" t="n">
        <f aca="false">SUMPRODUCT((Per_Clase="Directo")*Sal_O*INDEX(Dot_O,0,MIN(10,BS$17))*((Per_Mon="PYG")*BS$19+(Per_Mon&lt;&gt;"PYG")))*(BS$15+BS$16*P_PreDir)*INDEX(IdxSal_O,1,MIN(10,BS$17))*(1+P_Cargas)+BS$77*P_Alim*BS$19</f>
        <v>39969.0502595343</v>
      </c>
      <c r="BT78" s="48" t="n">
        <f aca="false">SUMPRODUCT((Per_Clase="Directo")*Sal_O*INDEX(Dot_O,0,MIN(10,BT$17))*((Per_Mon="PYG")*BT$19+(Per_Mon&lt;&gt;"PYG")))*(BT$15+BT$16*P_PreDir)*INDEX(IdxSal_O,1,MIN(10,BT$17))*(1+P_Cargas)+BT$77*P_Alim*BT$19</f>
        <v>39969.0502595343</v>
      </c>
      <c r="BU78" s="48" t="n">
        <f aca="false">SUMPRODUCT((Per_Clase="Directo")*Sal_O*INDEX(Dot_O,0,MIN(10,BU$17))*((Per_Mon="PYG")*BU$19+(Per_Mon&lt;&gt;"PYG")))*(BU$15+BU$16*P_PreDir)*INDEX(IdxSal_O,1,MIN(10,BU$17))*(1+P_Cargas)+BU$77*P_Alim*BU$19</f>
        <v>39969.0502595343</v>
      </c>
      <c r="BV78" s="48" t="n">
        <f aca="false">SUMPRODUCT((Per_Clase="Directo")*Sal_O*INDEX(Dot_O,0,MIN(10,BV$17))*((Per_Mon="PYG")*BV$19+(Per_Mon&lt;&gt;"PYG")))*(BV$15+BV$16*P_PreDir)*INDEX(IdxSal_O,1,MIN(10,BV$17))*(1+P_Cargas)+BV$77*P_Alim*BV$19</f>
        <v>39969.0502595343</v>
      </c>
      <c r="BW78" s="48" t="n">
        <f aca="false">SUMPRODUCT((Per_Clase="Directo")*Sal_O*INDEX(Dot_O,0,MIN(10,BW$17))*((Per_Mon="PYG")*BW$19+(Per_Mon&lt;&gt;"PYG")))*(BW$15+BW$16*P_PreDir)*INDEX(IdxSal_O,1,MIN(10,BW$17))*(1+P_Cargas)+BW$77*P_Alim*BW$19</f>
        <v>39969.0502595343</v>
      </c>
      <c r="BX78" s="48" t="n">
        <f aca="false">SUMPRODUCT((Per_Clase="Directo")*Sal_O*INDEX(Dot_O,0,MIN(10,BX$17))*((Per_Mon="PYG")*BX$19+(Per_Mon&lt;&gt;"PYG")))*(BX$15+BX$16*P_PreDir)*INDEX(IdxSal_O,1,MIN(10,BX$17))*(1+P_Cargas)+BX$77*P_Alim*BX$19</f>
        <v>39969.0502595343</v>
      </c>
      <c r="BY78" s="48" t="n">
        <f aca="false">SUMPRODUCT((Per_Clase="Directo")*Sal_O*INDEX(Dot_O,0,MIN(10,BY$17))*((Per_Mon="PYG")*BY$19+(Per_Mon&lt;&gt;"PYG")))*(BY$15+BY$16*P_PreDir)*INDEX(IdxSal_O,1,MIN(10,BY$17))*(1+P_Cargas)+BY$77*P_Alim*BY$19</f>
        <v>39969.0502595343</v>
      </c>
      <c r="BZ78" s="48" t="n">
        <f aca="false">SUMPRODUCT((Per_Clase="Directo")*Sal_O*INDEX(Dot_O,0,MIN(10,BZ$17))*((Per_Mon="PYG")*BZ$19+(Per_Mon&lt;&gt;"PYG")))*(BZ$15+BZ$16*P_PreDir)*INDEX(IdxSal_O,1,MIN(10,BZ$17))*(1+P_Cargas)+BZ$77*P_Alim*BZ$19</f>
        <v>39969.0502595343</v>
      </c>
      <c r="CA78" s="48" t="n">
        <f aca="false">SUMPRODUCT((Per_Clase="Directo")*Sal_O*INDEX(Dot_O,0,MIN(10,CA$17))*((Per_Mon="PYG")*CA$19+(Per_Mon&lt;&gt;"PYG")))*(CA$15+CA$16*P_PreDir)*INDEX(IdxSal_O,1,MIN(10,CA$17))*(1+P_Cargas)+CA$77*P_Alim*CA$19</f>
        <v>39969.0502595343</v>
      </c>
      <c r="CB78" s="48" t="n">
        <f aca="false">SUMPRODUCT((Per_Clase="Directo")*Sal_O*INDEX(Dot_O,0,MIN(10,CB$17))*((Per_Mon="PYG")*CB$19+(Per_Mon&lt;&gt;"PYG")))*(CB$15+CB$16*P_PreDir)*INDEX(IdxSal_O,1,MIN(10,CB$17))*(1+P_Cargas)+CB$77*P_Alim*CB$19</f>
        <v>39969.0502595343</v>
      </c>
      <c r="CC78" s="48" t="n">
        <f aca="false">SUMPRODUCT((Per_Clase="Directo")*Sal_O*INDEX(Dot_O,0,MIN(10,CC$17))*((Per_Mon="PYG")*CC$19+(Per_Mon&lt;&gt;"PYG")))*(CC$15+CC$16*P_PreDir)*INDEX(IdxSal_O,1,MIN(10,CC$17))*(1+P_Cargas)+CC$77*P_Alim*CC$19</f>
        <v>39969.0502595343</v>
      </c>
      <c r="CD78" s="48" t="n">
        <f aca="false">SUMPRODUCT((Per_Clase="Directo")*Sal_O*INDEX(Dot_O,0,MIN(10,CD$17))*((Per_Mon="PYG")*CD$19+(Per_Mon&lt;&gt;"PYG")))*(CD$15+CD$16*P_PreDir)*INDEX(IdxSal_O,1,MIN(10,CD$17))*(1+P_Cargas)+CD$77*P_Alim*CD$19</f>
        <v>39969.0502595343</v>
      </c>
      <c r="CE78" s="48" t="n">
        <f aca="false">SUMPRODUCT((Per_Clase="Directo")*Sal_O*INDEX(Dot_O,0,MIN(10,CE$17))*((Per_Mon="PYG")*CE$19+(Per_Mon&lt;&gt;"PYG")))*(CE$15+CE$16*P_PreDir)*INDEX(IdxSal_O,1,MIN(10,CE$17))*(1+P_Cargas)+CE$77*P_Alim*CE$19</f>
        <v>39969.0502595343</v>
      </c>
      <c r="CF78" s="48" t="n">
        <f aca="false">SUMPRODUCT((Per_Clase="Directo")*Sal_O*INDEX(Dot_O,0,MIN(10,CF$17))*((Per_Mon="PYG")*CF$19+(Per_Mon&lt;&gt;"PYG")))*(CF$15+CF$16*P_PreDir)*INDEX(IdxSal_O,1,MIN(10,CF$17))*(1+P_Cargas)+CF$77*P_Alim*CF$19</f>
        <v>39969.0502595343</v>
      </c>
      <c r="CG78" s="48" t="n">
        <f aca="false">SUMPRODUCT((Per_Clase="Directo")*Sal_O*INDEX(Dot_O,0,MIN(10,CG$17))*((Per_Mon="PYG")*CG$19+(Per_Mon&lt;&gt;"PYG")))*(CG$15+CG$16*P_PreDir)*INDEX(IdxSal_O,1,MIN(10,CG$17))*(1+P_Cargas)+CG$77*P_Alim*CG$19</f>
        <v>39969.0502595343</v>
      </c>
      <c r="CH78" s="48" t="n">
        <f aca="false">SUMPRODUCT((Per_Clase="Directo")*Sal_O*INDEX(Dot_O,0,MIN(10,CH$17))*((Per_Mon="PYG")*CH$19+(Per_Mon&lt;&gt;"PYG")))*(CH$15+CH$16*P_PreDir)*INDEX(IdxSal_O,1,MIN(10,CH$17))*(1+P_Cargas)+CH$77*P_Alim*CH$19</f>
        <v>39969.0502595343</v>
      </c>
      <c r="CI78" s="48" t="n">
        <f aca="false">SUMPRODUCT((Per_Clase="Directo")*Sal_O*INDEX(Dot_O,0,MIN(10,CI$17))*((Per_Mon="PYG")*CI$19+(Per_Mon&lt;&gt;"PYG")))*(CI$15+CI$16*P_PreDir)*INDEX(IdxSal_O,1,MIN(10,CI$17))*(1+P_Cargas)+CI$77*P_Alim*CI$19</f>
        <v>39969.0502595343</v>
      </c>
      <c r="CJ78" s="48" t="n">
        <f aca="false">SUMPRODUCT((Per_Clase="Directo")*Sal_O*INDEX(Dot_O,0,MIN(10,CJ$17))*((Per_Mon="PYG")*CJ$19+(Per_Mon&lt;&gt;"PYG")))*(CJ$15+CJ$16*P_PreDir)*INDEX(IdxSal_O,1,MIN(10,CJ$17))*(1+P_Cargas)+CJ$77*P_Alim*CJ$19</f>
        <v>39969.0502595343</v>
      </c>
      <c r="CK78" s="48" t="n">
        <f aca="false">SUMPRODUCT((Per_Clase="Directo")*Sal_O*INDEX(Dot_O,0,MIN(10,CK$17))*((Per_Mon="PYG")*CK$19+(Per_Mon&lt;&gt;"PYG")))*(CK$15+CK$16*P_PreDir)*INDEX(IdxSal_O,1,MIN(10,CK$17))*(1+P_Cargas)+CK$77*P_Alim*CK$19</f>
        <v>39969.0502595343</v>
      </c>
      <c r="CL78" s="48" t="n">
        <f aca="false">SUMPRODUCT((Per_Clase="Directo")*Sal_O*INDEX(Dot_O,0,MIN(10,CL$17))*((Per_Mon="PYG")*CL$19+(Per_Mon&lt;&gt;"PYG")))*(CL$15+CL$16*P_PreDir)*INDEX(IdxSal_O,1,MIN(10,CL$17))*(1+P_Cargas)+CL$77*P_Alim*CL$19</f>
        <v>39969.0502595343</v>
      </c>
      <c r="CM78" s="48" t="n">
        <f aca="false">SUMPRODUCT((Per_Clase="Directo")*Sal_O*INDEX(Dot_O,0,MIN(10,CM$17))*((Per_Mon="PYG")*CM$19+(Per_Mon&lt;&gt;"PYG")))*(CM$15+CM$16*P_PreDir)*INDEX(IdxSal_O,1,MIN(10,CM$17))*(1+P_Cargas)+CM$77*P_Alim*CM$19</f>
        <v>39969.0502595343</v>
      </c>
      <c r="CN78" s="48" t="n">
        <f aca="false">SUMPRODUCT((Per_Clase="Directo")*Sal_O*INDEX(Dot_O,0,MIN(10,CN$17))*((Per_Mon="PYG")*CN$19+(Per_Mon&lt;&gt;"PYG")))*(CN$15+CN$16*P_PreDir)*INDEX(IdxSal_O,1,MIN(10,CN$17))*(1+P_Cargas)+CN$77*P_Alim*CN$19</f>
        <v>39969.0502595343</v>
      </c>
      <c r="CO78" s="48" t="n">
        <f aca="false">SUMPRODUCT((Per_Clase="Directo")*Sal_O*INDEX(Dot_O,0,MIN(10,CO$17))*((Per_Mon="PYG")*CO$19+(Per_Mon&lt;&gt;"PYG")))*(CO$15+CO$16*P_PreDir)*INDEX(IdxSal_O,1,MIN(10,CO$17))*(1+P_Cargas)+CO$77*P_Alim*CO$19</f>
        <v>39969.0502595343</v>
      </c>
      <c r="CP78" s="48" t="n">
        <f aca="false">SUMPRODUCT((Per_Clase="Directo")*Sal_O*INDEX(Dot_O,0,MIN(10,CP$17))*((Per_Mon="PYG")*CP$19+(Per_Mon&lt;&gt;"PYG")))*(CP$15+CP$16*P_PreDir)*INDEX(IdxSal_O,1,MIN(10,CP$17))*(1+P_Cargas)+CP$77*P_Alim*CP$19</f>
        <v>39969.0502595343</v>
      </c>
      <c r="CQ78" s="48" t="n">
        <f aca="false">SUMPRODUCT((Per_Clase="Directo")*Sal_O*INDEX(Dot_O,0,MIN(10,CQ$17))*((Per_Mon="PYG")*CQ$19+(Per_Mon&lt;&gt;"PYG")))*(CQ$15+CQ$16*P_PreDir)*INDEX(IdxSal_O,1,MIN(10,CQ$17))*(1+P_Cargas)+CQ$77*P_Alim*CQ$19</f>
        <v>39969.0502595343</v>
      </c>
      <c r="CR78" s="48" t="n">
        <f aca="false">SUMPRODUCT((Per_Clase="Directo")*Sal_O*INDEX(Dot_O,0,MIN(10,CR$17))*((Per_Mon="PYG")*CR$19+(Per_Mon&lt;&gt;"PYG")))*(CR$15+CR$16*P_PreDir)*INDEX(IdxSal_O,1,MIN(10,CR$17))*(1+P_Cargas)+CR$77*P_Alim*CR$19</f>
        <v>39969.0502595343</v>
      </c>
      <c r="CS78" s="48" t="n">
        <f aca="false">SUMPRODUCT((Per_Clase="Directo")*Sal_O*INDEX(Dot_O,0,MIN(10,CS$17))*((Per_Mon="PYG")*CS$19+(Per_Mon&lt;&gt;"PYG")))*(CS$15+CS$16*P_PreDir)*INDEX(IdxSal_O,1,MIN(10,CS$17))*(1+P_Cargas)+CS$77*P_Alim*CS$19</f>
        <v>39969.0502595343</v>
      </c>
      <c r="CT78" s="48" t="n">
        <f aca="false">SUMPRODUCT((Per_Clase="Directo")*Sal_O*INDEX(Dot_O,0,MIN(10,CT$17))*((Per_Mon="PYG")*CT$19+(Per_Mon&lt;&gt;"PYG")))*(CT$15+CT$16*P_PreDir)*INDEX(IdxSal_O,1,MIN(10,CT$17))*(1+P_Cargas)+CT$77*P_Alim*CT$19</f>
        <v>39969.0502595343</v>
      </c>
      <c r="CU78" s="48" t="n">
        <f aca="false">SUMPRODUCT((Per_Clase="Directo")*Sal_O*INDEX(Dot_O,0,MIN(10,CU$17))*((Per_Mon="PYG")*CU$19+(Per_Mon&lt;&gt;"PYG")))*(CU$15+CU$16*P_PreDir)*INDEX(IdxSal_O,1,MIN(10,CU$17))*(1+P_Cargas)+CU$77*P_Alim*CU$19</f>
        <v>39969.0502595343</v>
      </c>
      <c r="CV78" s="48" t="n">
        <f aca="false">SUMPRODUCT((Per_Clase="Directo")*Sal_O*INDEX(Dot_O,0,MIN(10,CV$17))*((Per_Mon="PYG")*CV$19+(Per_Mon&lt;&gt;"PYG")))*(CV$15+CV$16*P_PreDir)*INDEX(IdxSal_O,1,MIN(10,CV$17))*(1+P_Cargas)+CV$77*P_Alim*CV$19</f>
        <v>39969.0502595343</v>
      </c>
      <c r="CW78" s="48" t="n">
        <f aca="false">SUMPRODUCT((Per_Clase="Directo")*Sal_O*INDEX(Dot_O,0,MIN(10,CW$17))*((Per_Mon="PYG")*CW$19+(Per_Mon&lt;&gt;"PYG")))*(CW$15+CW$16*P_PreDir)*INDEX(IdxSal_O,1,MIN(10,CW$17))*(1+P_Cargas)+CW$77*P_Alim*CW$19</f>
        <v>39969.0502595343</v>
      </c>
      <c r="CX78" s="48" t="n">
        <f aca="false">SUMPRODUCT((Per_Clase="Directo")*Sal_O*INDEX(Dot_O,0,MIN(10,CX$17))*((Per_Mon="PYG")*CX$19+(Per_Mon&lt;&gt;"PYG")))*(CX$15+CX$16*P_PreDir)*INDEX(IdxSal_O,1,MIN(10,CX$17))*(1+P_Cargas)+CX$77*P_Alim*CX$19</f>
        <v>39969.0502595343</v>
      </c>
      <c r="CY78" s="48" t="n">
        <f aca="false">SUMPRODUCT((Per_Clase="Directo")*Sal_O*INDEX(Dot_O,0,MIN(10,CY$17))*((Per_Mon="PYG")*CY$19+(Per_Mon&lt;&gt;"PYG")))*(CY$15+CY$16*P_PreDir)*INDEX(IdxSal_O,1,MIN(10,CY$17))*(1+P_Cargas)+CY$77*P_Alim*CY$19</f>
        <v>39969.0502595343</v>
      </c>
      <c r="CZ78" s="48" t="n">
        <f aca="false">SUMPRODUCT((Per_Clase="Directo")*Sal_O*INDEX(Dot_O,0,MIN(10,CZ$17))*((Per_Mon="PYG")*CZ$19+(Per_Mon&lt;&gt;"PYG")))*(CZ$15+CZ$16*P_PreDir)*INDEX(IdxSal_O,1,MIN(10,CZ$17))*(1+P_Cargas)+CZ$77*P_Alim*CZ$19</f>
        <v>39969.0502595343</v>
      </c>
      <c r="DA78" s="48" t="n">
        <f aca="false">SUMPRODUCT((Per_Clase="Directo")*Sal_O*INDEX(Dot_O,0,MIN(10,DA$17))*((Per_Mon="PYG")*DA$19+(Per_Mon&lt;&gt;"PYG")))*(DA$15+DA$16*P_PreDir)*INDEX(IdxSal_O,1,MIN(10,DA$17))*(1+P_Cargas)+DA$77*P_Alim*DA$19</f>
        <v>39969.0502595343</v>
      </c>
      <c r="DB78" s="48" t="n">
        <f aca="false">SUMPRODUCT((Per_Clase="Directo")*Sal_O*INDEX(Dot_O,0,MIN(10,DB$17))*((Per_Mon="PYG")*DB$19+(Per_Mon&lt;&gt;"PYG")))*(DB$15+DB$16*P_PreDir)*INDEX(IdxSal_O,1,MIN(10,DB$17))*(1+P_Cargas)+DB$77*P_Alim*DB$19</f>
        <v>39969.0502595343</v>
      </c>
      <c r="DC78" s="48" t="n">
        <f aca="false">SUMPRODUCT((Per_Clase="Directo")*Sal_O*INDEX(Dot_O,0,MIN(10,DC$17))*((Per_Mon="PYG")*DC$19+(Per_Mon&lt;&gt;"PYG")))*(DC$15+DC$16*P_PreDir)*INDEX(IdxSal_O,1,MIN(10,DC$17))*(1+P_Cargas)+DC$77*P_Alim*DC$19</f>
        <v>39969.0502595343</v>
      </c>
      <c r="DD78" s="48" t="n">
        <f aca="false">SUMPRODUCT((Per_Clase="Directo")*Sal_O*INDEX(Dot_O,0,MIN(10,DD$17))*((Per_Mon="PYG")*DD$19+(Per_Mon&lt;&gt;"PYG")))*(DD$15+DD$16*P_PreDir)*INDEX(IdxSal_O,1,MIN(10,DD$17))*(1+P_Cargas)+DD$77*P_Alim*DD$19</f>
        <v>39969.0502595343</v>
      </c>
      <c r="DE78" s="48" t="n">
        <f aca="false">SUMPRODUCT((Per_Clase="Directo")*Sal_O*INDEX(Dot_O,0,MIN(10,DE$17))*((Per_Mon="PYG")*DE$19+(Per_Mon&lt;&gt;"PYG")))*(DE$15+DE$16*P_PreDir)*INDEX(IdxSal_O,1,MIN(10,DE$17))*(1+P_Cargas)+DE$77*P_Alim*DE$19</f>
        <v>39969.0502595343</v>
      </c>
      <c r="DF78" s="48" t="n">
        <f aca="false">SUMPRODUCT((Per_Clase="Directo")*Sal_O*INDEX(Dot_O,0,MIN(10,DF$17))*((Per_Mon="PYG")*DF$19+(Per_Mon&lt;&gt;"PYG")))*(DF$15+DF$16*P_PreDir)*INDEX(IdxSal_O,1,MIN(10,DF$17))*(1+P_Cargas)+DF$77*P_Alim*DF$19</f>
        <v>39969.0502595343</v>
      </c>
      <c r="DG78" s="48" t="n">
        <f aca="false">SUMPRODUCT((Per_Clase="Directo")*Sal_O*INDEX(Dot_O,0,MIN(10,DG$17))*((Per_Mon="PYG")*DG$19+(Per_Mon&lt;&gt;"PYG")))*(DG$15+DG$16*P_PreDir)*INDEX(IdxSal_O,1,MIN(10,DG$17))*(1+P_Cargas)+DG$77*P_Alim*DG$19</f>
        <v>39969.0502595343</v>
      </c>
      <c r="DH78" s="48" t="n">
        <f aca="false">SUMPRODUCT((Per_Clase="Directo")*Sal_O*INDEX(Dot_O,0,MIN(10,DH$17))*((Per_Mon="PYG")*DH$19+(Per_Mon&lt;&gt;"PYG")))*(DH$15+DH$16*P_PreDir)*INDEX(IdxSal_O,1,MIN(10,DH$17))*(1+P_Cargas)+DH$77*P_Alim*DH$19</f>
        <v>39969.0502595343</v>
      </c>
      <c r="DI78" s="48" t="n">
        <f aca="false">SUMPRODUCT((Per_Clase="Directo")*Sal_O*INDEX(Dot_O,0,MIN(10,DI$17))*((Per_Mon="PYG")*DI$19+(Per_Mon&lt;&gt;"PYG")))*(DI$15+DI$16*P_PreDir)*INDEX(IdxSal_O,1,MIN(10,DI$17))*(1+P_Cargas)+DI$77*P_Alim*DI$19</f>
        <v>39969.0502595343</v>
      </c>
      <c r="DJ78" s="48" t="n">
        <f aca="false">SUMPRODUCT((Per_Clase="Directo")*Sal_O*INDEX(Dot_O,0,MIN(10,DJ$17))*((Per_Mon="PYG")*DJ$19+(Per_Mon&lt;&gt;"PYG")))*(DJ$15+DJ$16*P_PreDir)*INDEX(IdxSal_O,1,MIN(10,DJ$17))*(1+P_Cargas)+DJ$77*P_Alim*DJ$19</f>
        <v>39969.0502595343</v>
      </c>
      <c r="DK78" s="48" t="n">
        <f aca="false">SUMPRODUCT((Per_Clase="Directo")*Sal_O*INDEX(Dot_O,0,MIN(10,DK$17))*((Per_Mon="PYG")*DK$19+(Per_Mon&lt;&gt;"PYG")))*(DK$15+DK$16*P_PreDir)*INDEX(IdxSal_O,1,MIN(10,DK$17))*(1+P_Cargas)+DK$77*P_Alim*DK$19</f>
        <v>39969.0502595343</v>
      </c>
      <c r="DL78" s="48" t="n">
        <f aca="false">SUMPRODUCT((Per_Clase="Directo")*Sal_O*INDEX(Dot_O,0,MIN(10,DL$17))*((Per_Mon="PYG")*DL$19+(Per_Mon&lt;&gt;"PYG")))*(DL$15+DL$16*P_PreDir)*INDEX(IdxSal_O,1,MIN(10,DL$17))*(1+P_Cargas)+DL$77*P_Alim*DL$19</f>
        <v>39969.0502595343</v>
      </c>
      <c r="DM78" s="48" t="n">
        <f aca="false">SUMPRODUCT((Per_Clase="Directo")*Sal_O*INDEX(Dot_O,0,MIN(10,DM$17))*((Per_Mon="PYG")*DM$19+(Per_Mon&lt;&gt;"PYG")))*(DM$15+DM$16*P_PreDir)*INDEX(IdxSal_O,1,MIN(10,DM$17))*(1+P_Cargas)+DM$77*P_Alim*DM$19</f>
        <v>39969.0502595343</v>
      </c>
      <c r="DN78" s="48" t="n">
        <f aca="false">SUMPRODUCT((Per_Clase="Directo")*Sal_O*INDEX(Dot_O,0,MIN(10,DN$17))*((Per_Mon="PYG")*DN$19+(Per_Mon&lt;&gt;"PYG")))*(DN$15+DN$16*P_PreDir)*INDEX(IdxSal_O,1,MIN(10,DN$17))*(1+P_Cargas)+DN$77*P_Alim*DN$19</f>
        <v>39969.0502595343</v>
      </c>
      <c r="DO78" s="48" t="n">
        <f aca="false">SUMPRODUCT((Per_Clase="Directo")*Sal_O*INDEX(Dot_O,0,MIN(10,DO$17))*((Per_Mon="PYG")*DO$19+(Per_Mon&lt;&gt;"PYG")))*(DO$15+DO$16*P_PreDir)*INDEX(IdxSal_O,1,MIN(10,DO$17))*(1+P_Cargas)+DO$77*P_Alim*DO$19</f>
        <v>39969.0502595343</v>
      </c>
      <c r="DP78" s="48" t="n">
        <f aca="false">SUMPRODUCT((Per_Clase="Directo")*Sal_O*INDEX(Dot_O,0,MIN(10,DP$17))*((Per_Mon="PYG")*DP$19+(Per_Mon&lt;&gt;"PYG")))*(DP$15+DP$16*P_PreDir)*INDEX(IdxSal_O,1,MIN(10,DP$17))*(1+P_Cargas)+DP$77*P_Alim*DP$19</f>
        <v>39969.0502595343</v>
      </c>
      <c r="DQ78" s="48" t="n">
        <f aca="false">SUMPRODUCT((Per_Clase="Directo")*Sal_O*INDEX(Dot_O,0,MIN(10,DQ$17))*((Per_Mon="PYG")*DQ$19+(Per_Mon&lt;&gt;"PYG")))*(DQ$15+DQ$16*P_PreDir)*INDEX(IdxSal_O,1,MIN(10,DQ$17))*(1+P_Cargas)+DQ$77*P_Alim*DQ$19</f>
        <v>39969.0502595343</v>
      </c>
      <c r="DR78" s="48" t="n">
        <f aca="false">SUMPRODUCT((Per_Clase="Directo")*Sal_O*INDEX(Dot_O,0,MIN(10,DR$17))*((Per_Mon="PYG")*DR$19+(Per_Mon&lt;&gt;"PYG")))*(DR$15+DR$16*P_PreDir)*INDEX(IdxSal_O,1,MIN(10,DR$17))*(1+P_Cargas)+DR$77*P_Alim*DR$19</f>
        <v>39969.0502595343</v>
      </c>
      <c r="DS78" s="48" t="n">
        <f aca="false">SUMPRODUCT((Per_Clase="Directo")*Sal_O*INDEX(Dot_O,0,MIN(10,DS$17))*((Per_Mon="PYG")*DS$19+(Per_Mon&lt;&gt;"PYG")))*(DS$15+DS$16*P_PreDir)*INDEX(IdxSal_O,1,MIN(10,DS$17))*(1+P_Cargas)+DS$77*P_Alim*DS$19</f>
        <v>39969.0502595343</v>
      </c>
      <c r="DT78" s="48" t="n">
        <f aca="false">SUMPRODUCT((Per_Clase="Directo")*Sal_O*INDEX(Dot_O,0,MIN(10,DT$17))*((Per_Mon="PYG")*DT$19+(Per_Mon&lt;&gt;"PYG")))*(DT$15+DT$16*P_PreDir)*INDEX(IdxSal_O,1,MIN(10,DT$17))*(1+P_Cargas)+DT$77*P_Alim*DT$19</f>
        <v>39969.0502595343</v>
      </c>
      <c r="DU78" s="48" t="n">
        <f aca="false">SUMPRODUCT((Per_Clase="Directo")*Sal_O*INDEX(Dot_O,0,MIN(10,DU$17))*((Per_Mon="PYG")*DU$19+(Per_Mon&lt;&gt;"PYG")))*(DU$15+DU$16*P_PreDir)*INDEX(IdxSal_O,1,MIN(10,DU$17))*(1+P_Cargas)+DU$77*P_Alim*DU$19</f>
        <v>39969.0502595343</v>
      </c>
      <c r="DV78" s="48" t="n">
        <f aca="false">SUMPRODUCT((Per_Clase="Directo")*Sal_O*INDEX(Dot_O,0,MIN(10,DV$17))*((Per_Mon="PYG")*DV$19+(Per_Mon&lt;&gt;"PYG")))*(DV$15+DV$16*P_PreDir)*INDEX(IdxSal_O,1,MIN(10,DV$17))*(1+P_Cargas)+DV$77*P_Alim*DV$19</f>
        <v>0</v>
      </c>
      <c r="DW78" s="48" t="n">
        <f aca="false">SUMPRODUCT((Per_Clase="Directo")*Sal_O*INDEX(Dot_O,0,MIN(10,DW$17))*((Per_Mon="PYG")*DW$19+(Per_Mon&lt;&gt;"PYG")))*(DW$15+DW$16*P_PreDir)*INDEX(IdxSal_O,1,MIN(10,DW$17))*(1+P_Cargas)+DW$77*P_Alim*DW$19</f>
        <v>0</v>
      </c>
      <c r="DX78" s="48" t="n">
        <f aca="false">SUMPRODUCT((Per_Clase="Directo")*Sal_O*INDEX(Dot_O,0,MIN(10,DX$17))*((Per_Mon="PYG")*DX$19+(Per_Mon&lt;&gt;"PYG")))*(DX$15+DX$16*P_PreDir)*INDEX(IdxSal_O,1,MIN(10,DX$17))*(1+P_Cargas)+DX$77*P_Alim*DX$19</f>
        <v>0</v>
      </c>
      <c r="DY78" s="48" t="n">
        <f aca="false">SUMPRODUCT((Per_Clase="Directo")*Sal_O*INDEX(Dot_O,0,MIN(10,DY$17))*((Per_Mon="PYG")*DY$19+(Per_Mon&lt;&gt;"PYG")))*(DY$15+DY$16*P_PreDir)*INDEX(IdxSal_O,1,MIN(10,DY$17))*(1+P_Cargas)+DY$77*P_Alim*DY$19</f>
        <v>0</v>
      </c>
      <c r="DZ78" s="48" t="n">
        <f aca="false">SUMPRODUCT((Per_Clase="Directo")*Sal_O*INDEX(Dot_O,0,MIN(10,DZ$17))*((Per_Mon="PYG")*DZ$19+(Per_Mon&lt;&gt;"PYG")))*(DZ$15+DZ$16*P_PreDir)*INDEX(IdxSal_O,1,MIN(10,DZ$17))*(1+P_Cargas)+DZ$77*P_Alim*DZ$19</f>
        <v>0</v>
      </c>
      <c r="EA78" s="48" t="n">
        <f aca="false">SUMPRODUCT((Per_Clase="Directo")*Sal_O*INDEX(Dot_O,0,MIN(10,EA$17))*((Per_Mon="PYG")*EA$19+(Per_Mon&lt;&gt;"PYG")))*(EA$15+EA$16*P_PreDir)*INDEX(IdxSal_O,1,MIN(10,EA$17))*(1+P_Cargas)+EA$77*P_Alim*EA$19</f>
        <v>0</v>
      </c>
      <c r="EB78" s="48" t="n">
        <f aca="false">SUMPRODUCT((Per_Clase="Directo")*Sal_O*INDEX(Dot_O,0,MIN(10,EB$17))*((Per_Mon="PYG")*EB$19+(Per_Mon&lt;&gt;"PYG")))*(EB$15+EB$16*P_PreDir)*INDEX(IdxSal_O,1,MIN(10,EB$17))*(1+P_Cargas)+EB$77*P_Alim*EB$19</f>
        <v>0</v>
      </c>
      <c r="EC78" s="48" t="n">
        <f aca="false">SUMPRODUCT((Per_Clase="Directo")*Sal_O*INDEX(Dot_O,0,MIN(10,EC$17))*((Per_Mon="PYG")*EC$19+(Per_Mon&lt;&gt;"PYG")))*(EC$15+EC$16*P_PreDir)*INDEX(IdxSal_O,1,MIN(10,EC$17))*(1+P_Cargas)+EC$77*P_Alim*EC$19</f>
        <v>0</v>
      </c>
      <c r="ED78" s="48" t="n">
        <f aca="false">SUMPRODUCT((Per_Clase="Directo")*Sal_O*INDEX(Dot_O,0,MIN(10,ED$17))*((Per_Mon="PYG")*ED$19+(Per_Mon&lt;&gt;"PYG")))*(ED$15+ED$16*P_PreDir)*INDEX(IdxSal_O,1,MIN(10,ED$17))*(1+P_Cargas)+ED$77*P_Alim*ED$19</f>
        <v>0</v>
      </c>
      <c r="EE78" s="48" t="n">
        <f aca="false">SUMPRODUCT((Per_Clase="Directo")*Sal_O*INDEX(Dot_O,0,MIN(10,EE$17))*((Per_Mon="PYG")*EE$19+(Per_Mon&lt;&gt;"PYG")))*(EE$15+EE$16*P_PreDir)*INDEX(IdxSal_O,1,MIN(10,EE$17))*(1+P_Cargas)+EE$77*P_Alim*EE$19</f>
        <v>0</v>
      </c>
      <c r="EF78" s="48" t="n">
        <f aca="false">SUMPRODUCT((Per_Clase="Directo")*Sal_O*INDEX(Dot_O,0,MIN(10,EF$17))*((Per_Mon="PYG")*EF$19+(Per_Mon&lt;&gt;"PYG")))*(EF$15+EF$16*P_PreDir)*INDEX(IdxSal_O,1,MIN(10,EF$17))*(1+P_Cargas)+EF$77*P_Alim*EF$19</f>
        <v>0</v>
      </c>
      <c r="EG78" s="48" t="n">
        <f aca="false">SUMPRODUCT((Per_Clase="Directo")*Sal_O*INDEX(Dot_O,0,MIN(10,EG$17))*((Per_Mon="PYG")*EG$19+(Per_Mon&lt;&gt;"PYG")))*(EG$15+EG$16*P_PreDir)*INDEX(IdxSal_O,1,MIN(10,EG$17))*(1+P_Cargas)+EG$77*P_Alim*EG$19</f>
        <v>0</v>
      </c>
      <c r="EH78" s="48" t="n">
        <f aca="false">SUMPRODUCT((Per_Clase="Directo")*Sal_O*INDEX(Dot_O,0,MIN(10,EH$17))*((Per_Mon="PYG")*EH$19+(Per_Mon&lt;&gt;"PYG")))*(EH$15+EH$16*P_PreDir)*INDEX(IdxSal_O,1,MIN(10,EH$17))*(1+P_Cargas)+EH$77*P_Alim*EH$19</f>
        <v>0</v>
      </c>
      <c r="EI78" s="48" t="n">
        <f aca="false">SUMPRODUCT((Per_Clase="Directo")*Sal_O*INDEX(Dot_O,0,MIN(10,EI$17))*((Per_Mon="PYG")*EI$19+(Per_Mon&lt;&gt;"PYG")))*(EI$15+EI$16*P_PreDir)*INDEX(IdxSal_O,1,MIN(10,EI$17))*(1+P_Cargas)+EI$77*P_Alim*EI$19</f>
        <v>0</v>
      </c>
      <c r="EJ78" s="48" t="n">
        <f aca="false">SUMPRODUCT((Per_Clase="Directo")*Sal_O*INDEX(Dot_O,0,MIN(10,EJ$17))*((Per_Mon="PYG")*EJ$19+(Per_Mon&lt;&gt;"PYG")))*(EJ$15+EJ$16*P_PreDir)*INDEX(IdxSal_O,1,MIN(10,EJ$17))*(1+P_Cargas)+EJ$77*P_Alim*EJ$19</f>
        <v>0</v>
      </c>
      <c r="EK78" s="48" t="n">
        <f aca="false">SUMPRODUCT((Per_Clase="Directo")*Sal_O*INDEX(Dot_O,0,MIN(10,EK$17))*((Per_Mon="PYG")*EK$19+(Per_Mon&lt;&gt;"PYG")))*(EK$15+EK$16*P_PreDir)*INDEX(IdxSal_O,1,MIN(10,EK$17))*(1+P_Cargas)+EK$77*P_Alim*EK$19</f>
        <v>0</v>
      </c>
      <c r="EL78" s="48" t="n">
        <f aca="false">SUMPRODUCT((Per_Clase="Directo")*Sal_O*INDEX(Dot_O,0,MIN(10,EL$17))*((Per_Mon="PYG")*EL$19+(Per_Mon&lt;&gt;"PYG")))*(EL$15+EL$16*P_PreDir)*INDEX(IdxSal_O,1,MIN(10,EL$17))*(1+P_Cargas)+EL$77*P_Alim*EL$19</f>
        <v>0</v>
      </c>
      <c r="EM78" s="48" t="n">
        <f aca="false">SUMPRODUCT((Per_Clase="Directo")*Sal_O*INDEX(Dot_O,0,MIN(10,EM$17))*((Per_Mon="PYG")*EM$19+(Per_Mon&lt;&gt;"PYG")))*(EM$15+EM$16*P_PreDir)*INDEX(IdxSal_O,1,MIN(10,EM$17))*(1+P_Cargas)+EM$77*P_Alim*EM$19</f>
        <v>0</v>
      </c>
      <c r="EN78" s="48" t="n">
        <f aca="false">SUMPRODUCT((Per_Clase="Directo")*Sal_O*INDEX(Dot_O,0,MIN(10,EN$17))*((Per_Mon="PYG")*EN$19+(Per_Mon&lt;&gt;"PYG")))*(EN$15+EN$16*P_PreDir)*INDEX(IdxSal_O,1,MIN(10,EN$17))*(1+P_Cargas)+EN$77*P_Alim*EN$19</f>
        <v>0</v>
      </c>
      <c r="EO78" s="48" t="n">
        <f aca="false">SUMPRODUCT((Per_Clase="Directo")*Sal_O*INDEX(Dot_O,0,MIN(10,EO$17))*((Per_Mon="PYG")*EO$19+(Per_Mon&lt;&gt;"PYG")))*(EO$15+EO$16*P_PreDir)*INDEX(IdxSal_O,1,MIN(10,EO$17))*(1+P_Cargas)+EO$77*P_Alim*EO$19</f>
        <v>0</v>
      </c>
      <c r="EP78" s="48" t="n">
        <f aca="false">SUMPRODUCT((Per_Clase="Directo")*Sal_O*INDEX(Dot_O,0,MIN(10,EP$17))*((Per_Mon="PYG")*EP$19+(Per_Mon&lt;&gt;"PYG")))*(EP$15+EP$16*P_PreDir)*INDEX(IdxSal_O,1,MIN(10,EP$17))*(1+P_Cargas)+EP$77*P_Alim*EP$19</f>
        <v>0</v>
      </c>
      <c r="EQ78" s="48" t="n">
        <f aca="false">SUMPRODUCT((Per_Clase="Directo")*Sal_O*INDEX(Dot_O,0,MIN(10,EQ$17))*((Per_Mon="PYG")*EQ$19+(Per_Mon&lt;&gt;"PYG")))*(EQ$15+EQ$16*P_PreDir)*INDEX(IdxSal_O,1,MIN(10,EQ$17))*(1+P_Cargas)+EQ$77*P_Alim*EQ$19</f>
        <v>0</v>
      </c>
      <c r="ER78" s="48" t="n">
        <f aca="false">SUMPRODUCT((Per_Clase="Directo")*Sal_O*INDEX(Dot_O,0,MIN(10,ER$17))*((Per_Mon="PYG")*ER$19+(Per_Mon&lt;&gt;"PYG")))*(ER$15+ER$16*P_PreDir)*INDEX(IdxSal_O,1,MIN(10,ER$17))*(1+P_Cargas)+ER$77*P_Alim*ER$19</f>
        <v>0</v>
      </c>
      <c r="ES78" s="48" t="n">
        <f aca="false">SUMPRODUCT((Per_Clase="Directo")*Sal_O*INDEX(Dot_O,0,MIN(10,ES$17))*((Per_Mon="PYG")*ES$19+(Per_Mon&lt;&gt;"PYG")))*(ES$15+ES$16*P_PreDir)*INDEX(IdxSal_O,1,MIN(10,ES$17))*(1+P_Cargas)+ES$77*P_Alim*ES$19</f>
        <v>0</v>
      </c>
    </row>
    <row r="79" customFormat="false" ht="15" hidden="false" customHeight="false" outlineLevel="0" collapsed="false">
      <c r="A79" s="11" t="s">
        <v>1131</v>
      </c>
      <c r="B79" s="15" t="s">
        <v>1132</v>
      </c>
      <c r="C79" s="15" t="s">
        <v>853</v>
      </c>
      <c r="F79" s="50" t="n">
        <f aca="false">SUMPRODUCT((Per_Clase="Indirecto")*INDEX(Dot_O,0,MIN(10,F$17)))*(F$15+F$16*P_PreInd)</f>
        <v>17</v>
      </c>
      <c r="G79" s="50" t="n">
        <f aca="false">SUMPRODUCT((Per_Clase="Indirecto")*INDEX(Dot_O,0,MIN(10,G$17)))*(G$15+G$16*P_PreInd)</f>
        <v>17</v>
      </c>
      <c r="H79" s="50" t="n">
        <f aca="false">SUMPRODUCT((Per_Clase="Indirecto")*INDEX(Dot_O,0,MIN(10,H$17)))*(H$15+H$16*P_PreInd)</f>
        <v>17</v>
      </c>
      <c r="I79" s="50" t="n">
        <f aca="false">SUMPRODUCT((Per_Clase="Indirecto")*INDEX(Dot_O,0,MIN(10,I$17)))*(I$15+I$16*P_PreInd)</f>
        <v>17</v>
      </c>
      <c r="J79" s="50" t="n">
        <f aca="false">SUMPRODUCT((Per_Clase="Indirecto")*INDEX(Dot_O,0,MIN(10,J$17)))*(J$15+J$16*P_PreInd)</f>
        <v>17</v>
      </c>
      <c r="K79" s="50" t="n">
        <f aca="false">SUMPRODUCT((Per_Clase="Indirecto")*INDEX(Dot_O,0,MIN(10,K$17)))*(K$15+K$16*P_PreInd)</f>
        <v>17</v>
      </c>
      <c r="L79" s="50" t="n">
        <f aca="false">SUMPRODUCT((Per_Clase="Indirecto")*INDEX(Dot_O,0,MIN(10,L$17)))*(L$15+L$16*P_PreInd)</f>
        <v>17</v>
      </c>
      <c r="M79" s="50" t="n">
        <f aca="false">SUMPRODUCT((Per_Clase="Indirecto")*INDEX(Dot_O,0,MIN(10,M$17)))*(M$15+M$16*P_PreInd)</f>
        <v>17</v>
      </c>
      <c r="N79" s="50" t="n">
        <f aca="false">SUMPRODUCT((Per_Clase="Indirecto")*INDEX(Dot_O,0,MIN(10,N$17)))*(N$15+N$16*P_PreInd)</f>
        <v>17</v>
      </c>
      <c r="O79" s="50" t="n">
        <f aca="false">SUMPRODUCT((Per_Clase="Indirecto")*INDEX(Dot_O,0,MIN(10,O$17)))*(O$15+O$16*P_PreInd)</f>
        <v>17</v>
      </c>
      <c r="P79" s="50" t="n">
        <f aca="false">SUMPRODUCT((Per_Clase="Indirecto")*INDEX(Dot_O,0,MIN(10,P$17)))*(P$15+P$16*P_PreInd)</f>
        <v>17</v>
      </c>
      <c r="Q79" s="50" t="n">
        <f aca="false">SUMPRODUCT((Per_Clase="Indirecto")*INDEX(Dot_O,0,MIN(10,Q$17)))*(Q$15+Q$16*P_PreInd)</f>
        <v>17</v>
      </c>
      <c r="R79" s="50" t="n">
        <f aca="false">SUMPRODUCT((Per_Clase="Indirecto")*INDEX(Dot_O,0,MIN(10,R$17)))*(R$15+R$16*P_PreInd)</f>
        <v>17</v>
      </c>
      <c r="S79" s="50" t="n">
        <f aca="false">SUMPRODUCT((Per_Clase="Indirecto")*INDEX(Dot_O,0,MIN(10,S$17)))*(S$15+S$16*P_PreInd)</f>
        <v>17</v>
      </c>
      <c r="T79" s="50" t="n">
        <f aca="false">SUMPRODUCT((Per_Clase="Indirecto")*INDEX(Dot_O,0,MIN(10,T$17)))*(T$15+T$16*P_PreInd)</f>
        <v>17</v>
      </c>
      <c r="U79" s="50" t="n">
        <f aca="false">SUMPRODUCT((Per_Clase="Indirecto")*INDEX(Dot_O,0,MIN(10,U$17)))*(U$15+U$16*P_PreInd)</f>
        <v>17</v>
      </c>
      <c r="V79" s="50" t="n">
        <f aca="false">SUMPRODUCT((Per_Clase="Indirecto")*INDEX(Dot_O,0,MIN(10,V$17)))*(V$15+V$16*P_PreInd)</f>
        <v>17</v>
      </c>
      <c r="W79" s="50" t="n">
        <f aca="false">SUMPRODUCT((Per_Clase="Indirecto")*INDEX(Dot_O,0,MIN(10,W$17)))*(W$15+W$16*P_PreInd)</f>
        <v>17</v>
      </c>
      <c r="X79" s="50" t="n">
        <f aca="false">SUMPRODUCT((Per_Clase="Indirecto")*INDEX(Dot_O,0,MIN(10,X$17)))*(X$15+X$16*P_PreInd)</f>
        <v>17</v>
      </c>
      <c r="Y79" s="50" t="n">
        <f aca="false">SUMPRODUCT((Per_Clase="Indirecto")*INDEX(Dot_O,0,MIN(10,Y$17)))*(Y$15+Y$16*P_PreInd)</f>
        <v>17</v>
      </c>
      <c r="Z79" s="50" t="n">
        <f aca="false">SUMPRODUCT((Per_Clase="Indirecto")*INDEX(Dot_O,0,MIN(10,Z$17)))*(Z$15+Z$16*P_PreInd)</f>
        <v>17</v>
      </c>
      <c r="AA79" s="50" t="n">
        <f aca="false">SUMPRODUCT((Per_Clase="Indirecto")*INDEX(Dot_O,0,MIN(10,AA$17)))*(AA$15+AA$16*P_PreInd)</f>
        <v>17</v>
      </c>
      <c r="AB79" s="50" t="n">
        <f aca="false">SUMPRODUCT((Per_Clase="Indirecto")*INDEX(Dot_O,0,MIN(10,AB$17)))*(AB$15+AB$16*P_PreInd)</f>
        <v>17</v>
      </c>
      <c r="AC79" s="50" t="n">
        <f aca="false">SUMPRODUCT((Per_Clase="Indirecto")*INDEX(Dot_O,0,MIN(10,AC$17)))*(AC$15+AC$16*P_PreInd)</f>
        <v>17</v>
      </c>
      <c r="AD79" s="50" t="n">
        <f aca="false">SUMPRODUCT((Per_Clase="Indirecto")*INDEX(Dot_O,0,MIN(10,AD$17)))*(AD$15+AD$16*P_PreInd)</f>
        <v>17</v>
      </c>
      <c r="AE79" s="50" t="n">
        <f aca="false">SUMPRODUCT((Per_Clase="Indirecto")*INDEX(Dot_O,0,MIN(10,AE$17)))*(AE$15+AE$16*P_PreInd)</f>
        <v>17</v>
      </c>
      <c r="AF79" s="50" t="n">
        <f aca="false">SUMPRODUCT((Per_Clase="Indirecto")*INDEX(Dot_O,0,MIN(10,AF$17)))*(AF$15+AF$16*P_PreInd)</f>
        <v>17</v>
      </c>
      <c r="AG79" s="50" t="n">
        <f aca="false">SUMPRODUCT((Per_Clase="Indirecto")*INDEX(Dot_O,0,MIN(10,AG$17)))*(AG$15+AG$16*P_PreInd)</f>
        <v>17</v>
      </c>
      <c r="AH79" s="50" t="n">
        <f aca="false">SUMPRODUCT((Per_Clase="Indirecto")*INDEX(Dot_O,0,MIN(10,AH$17)))*(AH$15+AH$16*P_PreInd)</f>
        <v>17</v>
      </c>
      <c r="AI79" s="50" t="n">
        <f aca="false">SUMPRODUCT((Per_Clase="Indirecto")*INDEX(Dot_O,0,MIN(10,AI$17)))*(AI$15+AI$16*P_PreInd)</f>
        <v>17</v>
      </c>
      <c r="AJ79" s="50" t="n">
        <f aca="false">SUMPRODUCT((Per_Clase="Indirecto")*INDEX(Dot_O,0,MIN(10,AJ$17)))*(AJ$15+AJ$16*P_PreInd)</f>
        <v>17</v>
      </c>
      <c r="AK79" s="50" t="n">
        <f aca="false">SUMPRODUCT((Per_Clase="Indirecto")*INDEX(Dot_O,0,MIN(10,AK$17)))*(AK$15+AK$16*P_PreInd)</f>
        <v>17</v>
      </c>
      <c r="AL79" s="50" t="n">
        <f aca="false">SUMPRODUCT((Per_Clase="Indirecto")*INDEX(Dot_O,0,MIN(10,AL$17)))*(AL$15+AL$16*P_PreInd)</f>
        <v>17</v>
      </c>
      <c r="AM79" s="50" t="n">
        <f aca="false">SUMPRODUCT((Per_Clase="Indirecto")*INDEX(Dot_O,0,MIN(10,AM$17)))*(AM$15+AM$16*P_PreInd)</f>
        <v>17</v>
      </c>
      <c r="AN79" s="50" t="n">
        <f aca="false">SUMPRODUCT((Per_Clase="Indirecto")*INDEX(Dot_O,0,MIN(10,AN$17)))*(AN$15+AN$16*P_PreInd)</f>
        <v>17</v>
      </c>
      <c r="AO79" s="50" t="n">
        <f aca="false">SUMPRODUCT((Per_Clase="Indirecto")*INDEX(Dot_O,0,MIN(10,AO$17)))*(AO$15+AO$16*P_PreInd)</f>
        <v>17</v>
      </c>
      <c r="AP79" s="50" t="n">
        <f aca="false">SUMPRODUCT((Per_Clase="Indirecto")*INDEX(Dot_O,0,MIN(10,AP$17)))*(AP$15+AP$16*P_PreInd)</f>
        <v>17</v>
      </c>
      <c r="AQ79" s="50" t="n">
        <f aca="false">SUMPRODUCT((Per_Clase="Indirecto")*INDEX(Dot_O,0,MIN(10,AQ$17)))*(AQ$15+AQ$16*P_PreInd)</f>
        <v>17</v>
      </c>
      <c r="AR79" s="50" t="n">
        <f aca="false">SUMPRODUCT((Per_Clase="Indirecto")*INDEX(Dot_O,0,MIN(10,AR$17)))*(AR$15+AR$16*P_PreInd)</f>
        <v>17</v>
      </c>
      <c r="AS79" s="50" t="n">
        <f aca="false">SUMPRODUCT((Per_Clase="Indirecto")*INDEX(Dot_O,0,MIN(10,AS$17)))*(AS$15+AS$16*P_PreInd)</f>
        <v>17</v>
      </c>
      <c r="AT79" s="50" t="n">
        <f aca="false">SUMPRODUCT((Per_Clase="Indirecto")*INDEX(Dot_O,0,MIN(10,AT$17)))*(AT$15+AT$16*P_PreInd)</f>
        <v>17</v>
      </c>
      <c r="AU79" s="50" t="n">
        <f aca="false">SUMPRODUCT((Per_Clase="Indirecto")*INDEX(Dot_O,0,MIN(10,AU$17)))*(AU$15+AU$16*P_PreInd)</f>
        <v>17</v>
      </c>
      <c r="AV79" s="50" t="n">
        <f aca="false">SUMPRODUCT((Per_Clase="Indirecto")*INDEX(Dot_O,0,MIN(10,AV$17)))*(AV$15+AV$16*P_PreInd)</f>
        <v>17</v>
      </c>
      <c r="AW79" s="50" t="n">
        <f aca="false">SUMPRODUCT((Per_Clase="Indirecto")*INDEX(Dot_O,0,MIN(10,AW$17)))*(AW$15+AW$16*P_PreInd)</f>
        <v>17</v>
      </c>
      <c r="AX79" s="50" t="n">
        <f aca="false">SUMPRODUCT((Per_Clase="Indirecto")*INDEX(Dot_O,0,MIN(10,AX$17)))*(AX$15+AX$16*P_PreInd)</f>
        <v>17</v>
      </c>
      <c r="AY79" s="50" t="n">
        <f aca="false">SUMPRODUCT((Per_Clase="Indirecto")*INDEX(Dot_O,0,MIN(10,AY$17)))*(AY$15+AY$16*P_PreInd)</f>
        <v>17</v>
      </c>
      <c r="AZ79" s="50" t="n">
        <f aca="false">SUMPRODUCT((Per_Clase="Indirecto")*INDEX(Dot_O,0,MIN(10,AZ$17)))*(AZ$15+AZ$16*P_PreInd)</f>
        <v>17</v>
      </c>
      <c r="BA79" s="50" t="n">
        <f aca="false">SUMPRODUCT((Per_Clase="Indirecto")*INDEX(Dot_O,0,MIN(10,BA$17)))*(BA$15+BA$16*P_PreInd)</f>
        <v>17</v>
      </c>
      <c r="BB79" s="50" t="n">
        <f aca="false">SUMPRODUCT((Per_Clase="Indirecto")*INDEX(Dot_O,0,MIN(10,BB$17)))*(BB$15+BB$16*P_PreInd)</f>
        <v>17</v>
      </c>
      <c r="BC79" s="50" t="n">
        <f aca="false">SUMPRODUCT((Per_Clase="Indirecto")*INDEX(Dot_O,0,MIN(10,BC$17)))*(BC$15+BC$16*P_PreInd)</f>
        <v>17</v>
      </c>
      <c r="BD79" s="50" t="n">
        <f aca="false">SUMPRODUCT((Per_Clase="Indirecto")*INDEX(Dot_O,0,MIN(10,BD$17)))*(BD$15+BD$16*P_PreInd)</f>
        <v>17</v>
      </c>
      <c r="BE79" s="50" t="n">
        <f aca="false">SUMPRODUCT((Per_Clase="Indirecto")*INDEX(Dot_O,0,MIN(10,BE$17)))*(BE$15+BE$16*P_PreInd)</f>
        <v>17</v>
      </c>
      <c r="BF79" s="50" t="n">
        <f aca="false">SUMPRODUCT((Per_Clase="Indirecto")*INDEX(Dot_O,0,MIN(10,BF$17)))*(BF$15+BF$16*P_PreInd)</f>
        <v>17</v>
      </c>
      <c r="BG79" s="50" t="n">
        <f aca="false">SUMPRODUCT((Per_Clase="Indirecto")*INDEX(Dot_O,0,MIN(10,BG$17)))*(BG$15+BG$16*P_PreInd)</f>
        <v>17</v>
      </c>
      <c r="BH79" s="50" t="n">
        <f aca="false">SUMPRODUCT((Per_Clase="Indirecto")*INDEX(Dot_O,0,MIN(10,BH$17)))*(BH$15+BH$16*P_PreInd)</f>
        <v>17</v>
      </c>
      <c r="BI79" s="50" t="n">
        <f aca="false">SUMPRODUCT((Per_Clase="Indirecto")*INDEX(Dot_O,0,MIN(10,BI$17)))*(BI$15+BI$16*P_PreInd)</f>
        <v>17</v>
      </c>
      <c r="BJ79" s="50" t="n">
        <f aca="false">SUMPRODUCT((Per_Clase="Indirecto")*INDEX(Dot_O,0,MIN(10,BJ$17)))*(BJ$15+BJ$16*P_PreInd)</f>
        <v>17</v>
      </c>
      <c r="BK79" s="50" t="n">
        <f aca="false">SUMPRODUCT((Per_Clase="Indirecto")*INDEX(Dot_O,0,MIN(10,BK$17)))*(BK$15+BK$16*P_PreInd)</f>
        <v>17</v>
      </c>
      <c r="BL79" s="50" t="n">
        <f aca="false">SUMPRODUCT((Per_Clase="Indirecto")*INDEX(Dot_O,0,MIN(10,BL$17)))*(BL$15+BL$16*P_PreInd)</f>
        <v>17</v>
      </c>
      <c r="BM79" s="50" t="n">
        <f aca="false">SUMPRODUCT((Per_Clase="Indirecto")*INDEX(Dot_O,0,MIN(10,BM$17)))*(BM$15+BM$16*P_PreInd)</f>
        <v>17</v>
      </c>
      <c r="BN79" s="50" t="n">
        <f aca="false">SUMPRODUCT((Per_Clase="Indirecto")*INDEX(Dot_O,0,MIN(10,BN$17)))*(BN$15+BN$16*P_PreInd)</f>
        <v>17</v>
      </c>
      <c r="BO79" s="50" t="n">
        <f aca="false">SUMPRODUCT((Per_Clase="Indirecto")*INDEX(Dot_O,0,MIN(10,BO$17)))*(BO$15+BO$16*P_PreInd)</f>
        <v>17</v>
      </c>
      <c r="BP79" s="50" t="n">
        <f aca="false">SUMPRODUCT((Per_Clase="Indirecto")*INDEX(Dot_O,0,MIN(10,BP$17)))*(BP$15+BP$16*P_PreInd)</f>
        <v>17</v>
      </c>
      <c r="BQ79" s="50" t="n">
        <f aca="false">SUMPRODUCT((Per_Clase="Indirecto")*INDEX(Dot_O,0,MIN(10,BQ$17)))*(BQ$15+BQ$16*P_PreInd)</f>
        <v>17</v>
      </c>
      <c r="BR79" s="50" t="n">
        <f aca="false">SUMPRODUCT((Per_Clase="Indirecto")*INDEX(Dot_O,0,MIN(10,BR$17)))*(BR$15+BR$16*P_PreInd)</f>
        <v>17</v>
      </c>
      <c r="BS79" s="50" t="n">
        <f aca="false">SUMPRODUCT((Per_Clase="Indirecto")*INDEX(Dot_O,0,MIN(10,BS$17)))*(BS$15+BS$16*P_PreInd)</f>
        <v>17</v>
      </c>
      <c r="BT79" s="50" t="n">
        <f aca="false">SUMPRODUCT((Per_Clase="Indirecto")*INDEX(Dot_O,0,MIN(10,BT$17)))*(BT$15+BT$16*P_PreInd)</f>
        <v>17</v>
      </c>
      <c r="BU79" s="50" t="n">
        <f aca="false">SUMPRODUCT((Per_Clase="Indirecto")*INDEX(Dot_O,0,MIN(10,BU$17)))*(BU$15+BU$16*P_PreInd)</f>
        <v>17</v>
      </c>
      <c r="BV79" s="50" t="n">
        <f aca="false">SUMPRODUCT((Per_Clase="Indirecto")*INDEX(Dot_O,0,MIN(10,BV$17)))*(BV$15+BV$16*P_PreInd)</f>
        <v>17</v>
      </c>
      <c r="BW79" s="50" t="n">
        <f aca="false">SUMPRODUCT((Per_Clase="Indirecto")*INDEX(Dot_O,0,MIN(10,BW$17)))*(BW$15+BW$16*P_PreInd)</f>
        <v>17</v>
      </c>
      <c r="BX79" s="50" t="n">
        <f aca="false">SUMPRODUCT((Per_Clase="Indirecto")*INDEX(Dot_O,0,MIN(10,BX$17)))*(BX$15+BX$16*P_PreInd)</f>
        <v>17</v>
      </c>
      <c r="BY79" s="50" t="n">
        <f aca="false">SUMPRODUCT((Per_Clase="Indirecto")*INDEX(Dot_O,0,MIN(10,BY$17)))*(BY$15+BY$16*P_PreInd)</f>
        <v>17</v>
      </c>
      <c r="BZ79" s="50" t="n">
        <f aca="false">SUMPRODUCT((Per_Clase="Indirecto")*INDEX(Dot_O,0,MIN(10,BZ$17)))*(BZ$15+BZ$16*P_PreInd)</f>
        <v>17</v>
      </c>
      <c r="CA79" s="50" t="n">
        <f aca="false">SUMPRODUCT((Per_Clase="Indirecto")*INDEX(Dot_O,0,MIN(10,CA$17)))*(CA$15+CA$16*P_PreInd)</f>
        <v>17</v>
      </c>
      <c r="CB79" s="50" t="n">
        <f aca="false">SUMPRODUCT((Per_Clase="Indirecto")*INDEX(Dot_O,0,MIN(10,CB$17)))*(CB$15+CB$16*P_PreInd)</f>
        <v>17</v>
      </c>
      <c r="CC79" s="50" t="n">
        <f aca="false">SUMPRODUCT((Per_Clase="Indirecto")*INDEX(Dot_O,0,MIN(10,CC$17)))*(CC$15+CC$16*P_PreInd)</f>
        <v>17</v>
      </c>
      <c r="CD79" s="50" t="n">
        <f aca="false">SUMPRODUCT((Per_Clase="Indirecto")*INDEX(Dot_O,0,MIN(10,CD$17)))*(CD$15+CD$16*P_PreInd)</f>
        <v>17</v>
      </c>
      <c r="CE79" s="50" t="n">
        <f aca="false">SUMPRODUCT((Per_Clase="Indirecto")*INDEX(Dot_O,0,MIN(10,CE$17)))*(CE$15+CE$16*P_PreInd)</f>
        <v>17</v>
      </c>
      <c r="CF79" s="50" t="n">
        <f aca="false">SUMPRODUCT((Per_Clase="Indirecto")*INDEX(Dot_O,0,MIN(10,CF$17)))*(CF$15+CF$16*P_PreInd)</f>
        <v>17</v>
      </c>
      <c r="CG79" s="50" t="n">
        <f aca="false">SUMPRODUCT((Per_Clase="Indirecto")*INDEX(Dot_O,0,MIN(10,CG$17)))*(CG$15+CG$16*P_PreInd)</f>
        <v>17</v>
      </c>
      <c r="CH79" s="50" t="n">
        <f aca="false">SUMPRODUCT((Per_Clase="Indirecto")*INDEX(Dot_O,0,MIN(10,CH$17)))*(CH$15+CH$16*P_PreInd)</f>
        <v>17</v>
      </c>
      <c r="CI79" s="50" t="n">
        <f aca="false">SUMPRODUCT((Per_Clase="Indirecto")*INDEX(Dot_O,0,MIN(10,CI$17)))*(CI$15+CI$16*P_PreInd)</f>
        <v>17</v>
      </c>
      <c r="CJ79" s="50" t="n">
        <f aca="false">SUMPRODUCT((Per_Clase="Indirecto")*INDEX(Dot_O,0,MIN(10,CJ$17)))*(CJ$15+CJ$16*P_PreInd)</f>
        <v>17</v>
      </c>
      <c r="CK79" s="50" t="n">
        <f aca="false">SUMPRODUCT((Per_Clase="Indirecto")*INDEX(Dot_O,0,MIN(10,CK$17)))*(CK$15+CK$16*P_PreInd)</f>
        <v>17</v>
      </c>
      <c r="CL79" s="50" t="n">
        <f aca="false">SUMPRODUCT((Per_Clase="Indirecto")*INDEX(Dot_O,0,MIN(10,CL$17)))*(CL$15+CL$16*P_PreInd)</f>
        <v>17</v>
      </c>
      <c r="CM79" s="50" t="n">
        <f aca="false">SUMPRODUCT((Per_Clase="Indirecto")*INDEX(Dot_O,0,MIN(10,CM$17)))*(CM$15+CM$16*P_PreInd)</f>
        <v>17</v>
      </c>
      <c r="CN79" s="50" t="n">
        <f aca="false">SUMPRODUCT((Per_Clase="Indirecto")*INDEX(Dot_O,0,MIN(10,CN$17)))*(CN$15+CN$16*P_PreInd)</f>
        <v>17</v>
      </c>
      <c r="CO79" s="50" t="n">
        <f aca="false">SUMPRODUCT((Per_Clase="Indirecto")*INDEX(Dot_O,0,MIN(10,CO$17)))*(CO$15+CO$16*P_PreInd)</f>
        <v>17</v>
      </c>
      <c r="CP79" s="50" t="n">
        <f aca="false">SUMPRODUCT((Per_Clase="Indirecto")*INDEX(Dot_O,0,MIN(10,CP$17)))*(CP$15+CP$16*P_PreInd)</f>
        <v>17</v>
      </c>
      <c r="CQ79" s="50" t="n">
        <f aca="false">SUMPRODUCT((Per_Clase="Indirecto")*INDEX(Dot_O,0,MIN(10,CQ$17)))*(CQ$15+CQ$16*P_PreInd)</f>
        <v>17</v>
      </c>
      <c r="CR79" s="50" t="n">
        <f aca="false">SUMPRODUCT((Per_Clase="Indirecto")*INDEX(Dot_O,0,MIN(10,CR$17)))*(CR$15+CR$16*P_PreInd)</f>
        <v>17</v>
      </c>
      <c r="CS79" s="50" t="n">
        <f aca="false">SUMPRODUCT((Per_Clase="Indirecto")*INDEX(Dot_O,0,MIN(10,CS$17)))*(CS$15+CS$16*P_PreInd)</f>
        <v>17</v>
      </c>
      <c r="CT79" s="50" t="n">
        <f aca="false">SUMPRODUCT((Per_Clase="Indirecto")*INDEX(Dot_O,0,MIN(10,CT$17)))*(CT$15+CT$16*P_PreInd)</f>
        <v>17</v>
      </c>
      <c r="CU79" s="50" t="n">
        <f aca="false">SUMPRODUCT((Per_Clase="Indirecto")*INDEX(Dot_O,0,MIN(10,CU$17)))*(CU$15+CU$16*P_PreInd)</f>
        <v>17</v>
      </c>
      <c r="CV79" s="50" t="n">
        <f aca="false">SUMPRODUCT((Per_Clase="Indirecto")*INDEX(Dot_O,0,MIN(10,CV$17)))*(CV$15+CV$16*P_PreInd)</f>
        <v>17</v>
      </c>
      <c r="CW79" s="50" t="n">
        <f aca="false">SUMPRODUCT((Per_Clase="Indirecto")*INDEX(Dot_O,0,MIN(10,CW$17)))*(CW$15+CW$16*P_PreInd)</f>
        <v>17</v>
      </c>
      <c r="CX79" s="50" t="n">
        <f aca="false">SUMPRODUCT((Per_Clase="Indirecto")*INDEX(Dot_O,0,MIN(10,CX$17)))*(CX$15+CX$16*P_PreInd)</f>
        <v>17</v>
      </c>
      <c r="CY79" s="50" t="n">
        <f aca="false">SUMPRODUCT((Per_Clase="Indirecto")*INDEX(Dot_O,0,MIN(10,CY$17)))*(CY$15+CY$16*P_PreInd)</f>
        <v>17</v>
      </c>
      <c r="CZ79" s="50" t="n">
        <f aca="false">SUMPRODUCT((Per_Clase="Indirecto")*INDEX(Dot_O,0,MIN(10,CZ$17)))*(CZ$15+CZ$16*P_PreInd)</f>
        <v>17</v>
      </c>
      <c r="DA79" s="50" t="n">
        <f aca="false">SUMPRODUCT((Per_Clase="Indirecto")*INDEX(Dot_O,0,MIN(10,DA$17)))*(DA$15+DA$16*P_PreInd)</f>
        <v>17</v>
      </c>
      <c r="DB79" s="50" t="n">
        <f aca="false">SUMPRODUCT((Per_Clase="Indirecto")*INDEX(Dot_O,0,MIN(10,DB$17)))*(DB$15+DB$16*P_PreInd)</f>
        <v>17</v>
      </c>
      <c r="DC79" s="50" t="n">
        <f aca="false">SUMPRODUCT((Per_Clase="Indirecto")*INDEX(Dot_O,0,MIN(10,DC$17)))*(DC$15+DC$16*P_PreInd)</f>
        <v>17</v>
      </c>
      <c r="DD79" s="50" t="n">
        <f aca="false">SUMPRODUCT((Per_Clase="Indirecto")*INDEX(Dot_O,0,MIN(10,DD$17)))*(DD$15+DD$16*P_PreInd)</f>
        <v>17</v>
      </c>
      <c r="DE79" s="50" t="n">
        <f aca="false">SUMPRODUCT((Per_Clase="Indirecto")*INDEX(Dot_O,0,MIN(10,DE$17)))*(DE$15+DE$16*P_PreInd)</f>
        <v>17</v>
      </c>
      <c r="DF79" s="50" t="n">
        <f aca="false">SUMPRODUCT((Per_Clase="Indirecto")*INDEX(Dot_O,0,MIN(10,DF$17)))*(DF$15+DF$16*P_PreInd)</f>
        <v>17</v>
      </c>
      <c r="DG79" s="50" t="n">
        <f aca="false">SUMPRODUCT((Per_Clase="Indirecto")*INDEX(Dot_O,0,MIN(10,DG$17)))*(DG$15+DG$16*P_PreInd)</f>
        <v>17</v>
      </c>
      <c r="DH79" s="50" t="n">
        <f aca="false">SUMPRODUCT((Per_Clase="Indirecto")*INDEX(Dot_O,0,MIN(10,DH$17)))*(DH$15+DH$16*P_PreInd)</f>
        <v>17</v>
      </c>
      <c r="DI79" s="50" t="n">
        <f aca="false">SUMPRODUCT((Per_Clase="Indirecto")*INDEX(Dot_O,0,MIN(10,DI$17)))*(DI$15+DI$16*P_PreInd)</f>
        <v>17</v>
      </c>
      <c r="DJ79" s="50" t="n">
        <f aca="false">SUMPRODUCT((Per_Clase="Indirecto")*INDEX(Dot_O,0,MIN(10,DJ$17)))*(DJ$15+DJ$16*P_PreInd)</f>
        <v>17</v>
      </c>
      <c r="DK79" s="50" t="n">
        <f aca="false">SUMPRODUCT((Per_Clase="Indirecto")*INDEX(Dot_O,0,MIN(10,DK$17)))*(DK$15+DK$16*P_PreInd)</f>
        <v>17</v>
      </c>
      <c r="DL79" s="50" t="n">
        <f aca="false">SUMPRODUCT((Per_Clase="Indirecto")*INDEX(Dot_O,0,MIN(10,DL$17)))*(DL$15+DL$16*P_PreInd)</f>
        <v>17</v>
      </c>
      <c r="DM79" s="50" t="n">
        <f aca="false">SUMPRODUCT((Per_Clase="Indirecto")*INDEX(Dot_O,0,MIN(10,DM$17)))*(DM$15+DM$16*P_PreInd)</f>
        <v>17</v>
      </c>
      <c r="DN79" s="50" t="n">
        <f aca="false">SUMPRODUCT((Per_Clase="Indirecto")*INDEX(Dot_O,0,MIN(10,DN$17)))*(DN$15+DN$16*P_PreInd)</f>
        <v>17</v>
      </c>
      <c r="DO79" s="50" t="n">
        <f aca="false">SUMPRODUCT((Per_Clase="Indirecto")*INDEX(Dot_O,0,MIN(10,DO$17)))*(DO$15+DO$16*P_PreInd)</f>
        <v>17</v>
      </c>
      <c r="DP79" s="50" t="n">
        <f aca="false">SUMPRODUCT((Per_Clase="Indirecto")*INDEX(Dot_O,0,MIN(10,DP$17)))*(DP$15+DP$16*P_PreInd)</f>
        <v>17</v>
      </c>
      <c r="DQ79" s="50" t="n">
        <f aca="false">SUMPRODUCT((Per_Clase="Indirecto")*INDEX(Dot_O,0,MIN(10,DQ$17)))*(DQ$15+DQ$16*P_PreInd)</f>
        <v>17</v>
      </c>
      <c r="DR79" s="50" t="n">
        <f aca="false">SUMPRODUCT((Per_Clase="Indirecto")*INDEX(Dot_O,0,MIN(10,DR$17)))*(DR$15+DR$16*P_PreInd)</f>
        <v>17</v>
      </c>
      <c r="DS79" s="50" t="n">
        <f aca="false">SUMPRODUCT((Per_Clase="Indirecto")*INDEX(Dot_O,0,MIN(10,DS$17)))*(DS$15+DS$16*P_PreInd)</f>
        <v>17</v>
      </c>
      <c r="DT79" s="50" t="n">
        <f aca="false">SUMPRODUCT((Per_Clase="Indirecto")*INDEX(Dot_O,0,MIN(10,DT$17)))*(DT$15+DT$16*P_PreInd)</f>
        <v>17</v>
      </c>
      <c r="DU79" s="50" t="n">
        <f aca="false">SUMPRODUCT((Per_Clase="Indirecto")*INDEX(Dot_O,0,MIN(10,DU$17)))*(DU$15+DU$16*P_PreInd)</f>
        <v>17</v>
      </c>
      <c r="DV79" s="50" t="n">
        <f aca="false">SUMPRODUCT((Per_Clase="Indirecto")*INDEX(Dot_O,0,MIN(10,DV$17)))*(DV$15+DV$16*P_PreInd)</f>
        <v>0</v>
      </c>
      <c r="DW79" s="50" t="n">
        <f aca="false">SUMPRODUCT((Per_Clase="Indirecto")*INDEX(Dot_O,0,MIN(10,DW$17)))*(DW$15+DW$16*P_PreInd)</f>
        <v>0</v>
      </c>
      <c r="DX79" s="50" t="n">
        <f aca="false">SUMPRODUCT((Per_Clase="Indirecto")*INDEX(Dot_O,0,MIN(10,DX$17)))*(DX$15+DX$16*P_PreInd)</f>
        <v>0</v>
      </c>
      <c r="DY79" s="50" t="n">
        <f aca="false">SUMPRODUCT((Per_Clase="Indirecto")*INDEX(Dot_O,0,MIN(10,DY$17)))*(DY$15+DY$16*P_PreInd)</f>
        <v>0</v>
      </c>
      <c r="DZ79" s="50" t="n">
        <f aca="false">SUMPRODUCT((Per_Clase="Indirecto")*INDEX(Dot_O,0,MIN(10,DZ$17)))*(DZ$15+DZ$16*P_PreInd)</f>
        <v>0</v>
      </c>
      <c r="EA79" s="50" t="n">
        <f aca="false">SUMPRODUCT((Per_Clase="Indirecto")*INDEX(Dot_O,0,MIN(10,EA$17)))*(EA$15+EA$16*P_PreInd)</f>
        <v>0</v>
      </c>
      <c r="EB79" s="50" t="n">
        <f aca="false">SUMPRODUCT((Per_Clase="Indirecto")*INDEX(Dot_O,0,MIN(10,EB$17)))*(EB$15+EB$16*P_PreInd)</f>
        <v>0</v>
      </c>
      <c r="EC79" s="50" t="n">
        <f aca="false">SUMPRODUCT((Per_Clase="Indirecto")*INDEX(Dot_O,0,MIN(10,EC$17)))*(EC$15+EC$16*P_PreInd)</f>
        <v>0</v>
      </c>
      <c r="ED79" s="50" t="n">
        <f aca="false">SUMPRODUCT((Per_Clase="Indirecto")*INDEX(Dot_O,0,MIN(10,ED$17)))*(ED$15+ED$16*P_PreInd)</f>
        <v>0</v>
      </c>
      <c r="EE79" s="50" t="n">
        <f aca="false">SUMPRODUCT((Per_Clase="Indirecto")*INDEX(Dot_O,0,MIN(10,EE$17)))*(EE$15+EE$16*P_PreInd)</f>
        <v>0</v>
      </c>
      <c r="EF79" s="50" t="n">
        <f aca="false">SUMPRODUCT((Per_Clase="Indirecto")*INDEX(Dot_O,0,MIN(10,EF$17)))*(EF$15+EF$16*P_PreInd)</f>
        <v>0</v>
      </c>
      <c r="EG79" s="50" t="n">
        <f aca="false">SUMPRODUCT((Per_Clase="Indirecto")*INDEX(Dot_O,0,MIN(10,EG$17)))*(EG$15+EG$16*P_PreInd)</f>
        <v>0</v>
      </c>
      <c r="EH79" s="50" t="n">
        <f aca="false">SUMPRODUCT((Per_Clase="Indirecto")*INDEX(Dot_O,0,MIN(10,EH$17)))*(EH$15+EH$16*P_PreInd)</f>
        <v>0</v>
      </c>
      <c r="EI79" s="50" t="n">
        <f aca="false">SUMPRODUCT((Per_Clase="Indirecto")*INDEX(Dot_O,0,MIN(10,EI$17)))*(EI$15+EI$16*P_PreInd)</f>
        <v>0</v>
      </c>
      <c r="EJ79" s="50" t="n">
        <f aca="false">SUMPRODUCT((Per_Clase="Indirecto")*INDEX(Dot_O,0,MIN(10,EJ$17)))*(EJ$15+EJ$16*P_PreInd)</f>
        <v>0</v>
      </c>
      <c r="EK79" s="50" t="n">
        <f aca="false">SUMPRODUCT((Per_Clase="Indirecto")*INDEX(Dot_O,0,MIN(10,EK$17)))*(EK$15+EK$16*P_PreInd)</f>
        <v>0</v>
      </c>
      <c r="EL79" s="50" t="n">
        <f aca="false">SUMPRODUCT((Per_Clase="Indirecto")*INDEX(Dot_O,0,MIN(10,EL$17)))*(EL$15+EL$16*P_PreInd)</f>
        <v>0</v>
      </c>
      <c r="EM79" s="50" t="n">
        <f aca="false">SUMPRODUCT((Per_Clase="Indirecto")*INDEX(Dot_O,0,MIN(10,EM$17)))*(EM$15+EM$16*P_PreInd)</f>
        <v>0</v>
      </c>
      <c r="EN79" s="50" t="n">
        <f aca="false">SUMPRODUCT((Per_Clase="Indirecto")*INDEX(Dot_O,0,MIN(10,EN$17)))*(EN$15+EN$16*P_PreInd)</f>
        <v>0</v>
      </c>
      <c r="EO79" s="50" t="n">
        <f aca="false">SUMPRODUCT((Per_Clase="Indirecto")*INDEX(Dot_O,0,MIN(10,EO$17)))*(EO$15+EO$16*P_PreInd)</f>
        <v>0</v>
      </c>
      <c r="EP79" s="50" t="n">
        <f aca="false">SUMPRODUCT((Per_Clase="Indirecto")*INDEX(Dot_O,0,MIN(10,EP$17)))*(EP$15+EP$16*P_PreInd)</f>
        <v>0</v>
      </c>
      <c r="EQ79" s="50" t="n">
        <f aca="false">SUMPRODUCT((Per_Clase="Indirecto")*INDEX(Dot_O,0,MIN(10,EQ$17)))*(EQ$15+EQ$16*P_PreInd)</f>
        <v>0</v>
      </c>
      <c r="ER79" s="50" t="n">
        <f aca="false">SUMPRODUCT((Per_Clase="Indirecto")*INDEX(Dot_O,0,MIN(10,ER$17)))*(ER$15+ER$16*P_PreInd)</f>
        <v>0</v>
      </c>
      <c r="ES79" s="50" t="n">
        <f aca="false">SUMPRODUCT((Per_Clase="Indirecto")*INDEX(Dot_O,0,MIN(10,ES$17)))*(ES$15+ES$16*P_PreInd)</f>
        <v>0</v>
      </c>
    </row>
    <row r="80" customFormat="false" ht="15" hidden="false" customHeight="false" outlineLevel="0" collapsed="false">
      <c r="A80" s="11" t="s">
        <v>1133</v>
      </c>
      <c r="B80" s="15" t="s">
        <v>1134</v>
      </c>
      <c r="C80" s="15" t="s">
        <v>508</v>
      </c>
      <c r="E80" s="54" t="n">
        <f aca="false">SUM(F80:ES80)</f>
        <v>2451899.38788164</v>
      </c>
      <c r="F80" s="48" t="n">
        <f aca="false">SUMPRODUCT((Per_Clase="Indirecto")*Sal_O*INDEX(Dot_O,0,MIN(10,F$17))*((Per_Mon="PYG")*F$19+(Per_Mon&lt;&gt;"PYG")))*(F$15+F$16*P_PreInd)*INDEX(IdxSal_O,1,MIN(10,F$17))*(1+P_Cargas)+F$79*P_Alim*F$19</f>
        <v>20432.4948990137</v>
      </c>
      <c r="G80" s="48" t="n">
        <f aca="false">SUMPRODUCT((Per_Clase="Indirecto")*Sal_O*INDEX(Dot_O,0,MIN(10,G$17))*((Per_Mon="PYG")*G$19+(Per_Mon&lt;&gt;"PYG")))*(G$15+G$16*P_PreInd)*INDEX(IdxSal_O,1,MIN(10,G$17))*(1+P_Cargas)+G$79*P_Alim*G$19</f>
        <v>20432.4948990137</v>
      </c>
      <c r="H80" s="48" t="n">
        <f aca="false">SUMPRODUCT((Per_Clase="Indirecto")*Sal_O*INDEX(Dot_O,0,MIN(10,H$17))*((Per_Mon="PYG")*H$19+(Per_Mon&lt;&gt;"PYG")))*(H$15+H$16*P_PreInd)*INDEX(IdxSal_O,1,MIN(10,H$17))*(1+P_Cargas)+H$79*P_Alim*H$19</f>
        <v>20432.4948990137</v>
      </c>
      <c r="I80" s="48" t="n">
        <f aca="false">SUMPRODUCT((Per_Clase="Indirecto")*Sal_O*INDEX(Dot_O,0,MIN(10,I$17))*((Per_Mon="PYG")*I$19+(Per_Mon&lt;&gt;"PYG")))*(I$15+I$16*P_PreInd)*INDEX(IdxSal_O,1,MIN(10,I$17))*(1+P_Cargas)+I$79*P_Alim*I$19</f>
        <v>20432.4948990137</v>
      </c>
      <c r="J80" s="48" t="n">
        <f aca="false">SUMPRODUCT((Per_Clase="Indirecto")*Sal_O*INDEX(Dot_O,0,MIN(10,J$17))*((Per_Mon="PYG")*J$19+(Per_Mon&lt;&gt;"PYG")))*(J$15+J$16*P_PreInd)*INDEX(IdxSal_O,1,MIN(10,J$17))*(1+P_Cargas)+J$79*P_Alim*J$19</f>
        <v>20432.4948990137</v>
      </c>
      <c r="K80" s="48" t="n">
        <f aca="false">SUMPRODUCT((Per_Clase="Indirecto")*Sal_O*INDEX(Dot_O,0,MIN(10,K$17))*((Per_Mon="PYG")*K$19+(Per_Mon&lt;&gt;"PYG")))*(K$15+K$16*P_PreInd)*INDEX(IdxSal_O,1,MIN(10,K$17))*(1+P_Cargas)+K$79*P_Alim*K$19</f>
        <v>20432.4948990137</v>
      </c>
      <c r="L80" s="48" t="n">
        <f aca="false">SUMPRODUCT((Per_Clase="Indirecto")*Sal_O*INDEX(Dot_O,0,MIN(10,L$17))*((Per_Mon="PYG")*L$19+(Per_Mon&lt;&gt;"PYG")))*(L$15+L$16*P_PreInd)*INDEX(IdxSal_O,1,MIN(10,L$17))*(1+P_Cargas)+L$79*P_Alim*L$19</f>
        <v>20432.4948990137</v>
      </c>
      <c r="M80" s="48" t="n">
        <f aca="false">SUMPRODUCT((Per_Clase="Indirecto")*Sal_O*INDEX(Dot_O,0,MIN(10,M$17))*((Per_Mon="PYG")*M$19+(Per_Mon&lt;&gt;"PYG")))*(M$15+M$16*P_PreInd)*INDEX(IdxSal_O,1,MIN(10,M$17))*(1+P_Cargas)+M$79*P_Alim*M$19</f>
        <v>20432.4948990137</v>
      </c>
      <c r="N80" s="48" t="n">
        <f aca="false">SUMPRODUCT((Per_Clase="Indirecto")*Sal_O*INDEX(Dot_O,0,MIN(10,N$17))*((Per_Mon="PYG")*N$19+(Per_Mon&lt;&gt;"PYG")))*(N$15+N$16*P_PreInd)*INDEX(IdxSal_O,1,MIN(10,N$17))*(1+P_Cargas)+N$79*P_Alim*N$19</f>
        <v>20432.4948990137</v>
      </c>
      <c r="O80" s="48" t="n">
        <f aca="false">SUMPRODUCT((Per_Clase="Indirecto")*Sal_O*INDEX(Dot_O,0,MIN(10,O$17))*((Per_Mon="PYG")*O$19+(Per_Mon&lt;&gt;"PYG")))*(O$15+O$16*P_PreInd)*INDEX(IdxSal_O,1,MIN(10,O$17))*(1+P_Cargas)+O$79*P_Alim*O$19</f>
        <v>20432.4948990137</v>
      </c>
      <c r="P80" s="48" t="n">
        <f aca="false">SUMPRODUCT((Per_Clase="Indirecto")*Sal_O*INDEX(Dot_O,0,MIN(10,P$17))*((Per_Mon="PYG")*P$19+(Per_Mon&lt;&gt;"PYG")))*(P$15+P$16*P_PreInd)*INDEX(IdxSal_O,1,MIN(10,P$17))*(1+P_Cargas)+P$79*P_Alim*P$19</f>
        <v>20432.4948990137</v>
      </c>
      <c r="Q80" s="48" t="n">
        <f aca="false">SUMPRODUCT((Per_Clase="Indirecto")*Sal_O*INDEX(Dot_O,0,MIN(10,Q$17))*((Per_Mon="PYG")*Q$19+(Per_Mon&lt;&gt;"PYG")))*(Q$15+Q$16*P_PreInd)*INDEX(IdxSal_O,1,MIN(10,Q$17))*(1+P_Cargas)+Q$79*P_Alim*Q$19</f>
        <v>20432.4948990137</v>
      </c>
      <c r="R80" s="48" t="n">
        <f aca="false">SUMPRODUCT((Per_Clase="Indirecto")*Sal_O*INDEX(Dot_O,0,MIN(10,R$17))*((Per_Mon="PYG")*R$19+(Per_Mon&lt;&gt;"PYG")))*(R$15+R$16*P_PreInd)*INDEX(IdxSal_O,1,MIN(10,R$17))*(1+P_Cargas)+R$79*P_Alim*R$19</f>
        <v>20432.4948990137</v>
      </c>
      <c r="S80" s="48" t="n">
        <f aca="false">SUMPRODUCT((Per_Clase="Indirecto")*Sal_O*INDEX(Dot_O,0,MIN(10,S$17))*((Per_Mon="PYG")*S$19+(Per_Mon&lt;&gt;"PYG")))*(S$15+S$16*P_PreInd)*INDEX(IdxSal_O,1,MIN(10,S$17))*(1+P_Cargas)+S$79*P_Alim*S$19</f>
        <v>20432.4948990137</v>
      </c>
      <c r="T80" s="48" t="n">
        <f aca="false">SUMPRODUCT((Per_Clase="Indirecto")*Sal_O*INDEX(Dot_O,0,MIN(10,T$17))*((Per_Mon="PYG")*T$19+(Per_Mon&lt;&gt;"PYG")))*(T$15+T$16*P_PreInd)*INDEX(IdxSal_O,1,MIN(10,T$17))*(1+P_Cargas)+T$79*P_Alim*T$19</f>
        <v>20432.4948990137</v>
      </c>
      <c r="U80" s="48" t="n">
        <f aca="false">SUMPRODUCT((Per_Clase="Indirecto")*Sal_O*INDEX(Dot_O,0,MIN(10,U$17))*((Per_Mon="PYG")*U$19+(Per_Mon&lt;&gt;"PYG")))*(U$15+U$16*P_PreInd)*INDEX(IdxSal_O,1,MIN(10,U$17))*(1+P_Cargas)+U$79*P_Alim*U$19</f>
        <v>20432.4948990137</v>
      </c>
      <c r="V80" s="48" t="n">
        <f aca="false">SUMPRODUCT((Per_Clase="Indirecto")*Sal_O*INDEX(Dot_O,0,MIN(10,V$17))*((Per_Mon="PYG")*V$19+(Per_Mon&lt;&gt;"PYG")))*(V$15+V$16*P_PreInd)*INDEX(IdxSal_O,1,MIN(10,V$17))*(1+P_Cargas)+V$79*P_Alim*V$19</f>
        <v>20432.4948990137</v>
      </c>
      <c r="W80" s="48" t="n">
        <f aca="false">SUMPRODUCT((Per_Clase="Indirecto")*Sal_O*INDEX(Dot_O,0,MIN(10,W$17))*((Per_Mon="PYG")*W$19+(Per_Mon&lt;&gt;"PYG")))*(W$15+W$16*P_PreInd)*INDEX(IdxSal_O,1,MIN(10,W$17))*(1+P_Cargas)+W$79*P_Alim*W$19</f>
        <v>20432.4948990137</v>
      </c>
      <c r="X80" s="48" t="n">
        <f aca="false">SUMPRODUCT((Per_Clase="Indirecto")*Sal_O*INDEX(Dot_O,0,MIN(10,X$17))*((Per_Mon="PYG")*X$19+(Per_Mon&lt;&gt;"PYG")))*(X$15+X$16*P_PreInd)*INDEX(IdxSal_O,1,MIN(10,X$17))*(1+P_Cargas)+X$79*P_Alim*X$19</f>
        <v>20432.4948990137</v>
      </c>
      <c r="Y80" s="48" t="n">
        <f aca="false">SUMPRODUCT((Per_Clase="Indirecto")*Sal_O*INDEX(Dot_O,0,MIN(10,Y$17))*((Per_Mon="PYG")*Y$19+(Per_Mon&lt;&gt;"PYG")))*(Y$15+Y$16*P_PreInd)*INDEX(IdxSal_O,1,MIN(10,Y$17))*(1+P_Cargas)+Y$79*P_Alim*Y$19</f>
        <v>20432.4948990137</v>
      </c>
      <c r="Z80" s="48" t="n">
        <f aca="false">SUMPRODUCT((Per_Clase="Indirecto")*Sal_O*INDEX(Dot_O,0,MIN(10,Z$17))*((Per_Mon="PYG")*Z$19+(Per_Mon&lt;&gt;"PYG")))*(Z$15+Z$16*P_PreInd)*INDEX(IdxSal_O,1,MIN(10,Z$17))*(1+P_Cargas)+Z$79*P_Alim*Z$19</f>
        <v>20432.4948990137</v>
      </c>
      <c r="AA80" s="48" t="n">
        <f aca="false">SUMPRODUCT((Per_Clase="Indirecto")*Sal_O*INDEX(Dot_O,0,MIN(10,AA$17))*((Per_Mon="PYG")*AA$19+(Per_Mon&lt;&gt;"PYG")))*(AA$15+AA$16*P_PreInd)*INDEX(IdxSal_O,1,MIN(10,AA$17))*(1+P_Cargas)+AA$79*P_Alim*AA$19</f>
        <v>20432.4948990137</v>
      </c>
      <c r="AB80" s="48" t="n">
        <f aca="false">SUMPRODUCT((Per_Clase="Indirecto")*Sal_O*INDEX(Dot_O,0,MIN(10,AB$17))*((Per_Mon="PYG")*AB$19+(Per_Mon&lt;&gt;"PYG")))*(AB$15+AB$16*P_PreInd)*INDEX(IdxSal_O,1,MIN(10,AB$17))*(1+P_Cargas)+AB$79*P_Alim*AB$19</f>
        <v>20432.4948990137</v>
      </c>
      <c r="AC80" s="48" t="n">
        <f aca="false">SUMPRODUCT((Per_Clase="Indirecto")*Sal_O*INDEX(Dot_O,0,MIN(10,AC$17))*((Per_Mon="PYG")*AC$19+(Per_Mon&lt;&gt;"PYG")))*(AC$15+AC$16*P_PreInd)*INDEX(IdxSal_O,1,MIN(10,AC$17))*(1+P_Cargas)+AC$79*P_Alim*AC$19</f>
        <v>20432.4948990137</v>
      </c>
      <c r="AD80" s="48" t="n">
        <f aca="false">SUMPRODUCT((Per_Clase="Indirecto")*Sal_O*INDEX(Dot_O,0,MIN(10,AD$17))*((Per_Mon="PYG")*AD$19+(Per_Mon&lt;&gt;"PYG")))*(AD$15+AD$16*P_PreInd)*INDEX(IdxSal_O,1,MIN(10,AD$17))*(1+P_Cargas)+AD$79*P_Alim*AD$19</f>
        <v>20432.4948990137</v>
      </c>
      <c r="AE80" s="48" t="n">
        <f aca="false">SUMPRODUCT((Per_Clase="Indirecto")*Sal_O*INDEX(Dot_O,0,MIN(10,AE$17))*((Per_Mon="PYG")*AE$19+(Per_Mon&lt;&gt;"PYG")))*(AE$15+AE$16*P_PreInd)*INDEX(IdxSal_O,1,MIN(10,AE$17))*(1+P_Cargas)+AE$79*P_Alim*AE$19</f>
        <v>20432.4948990137</v>
      </c>
      <c r="AF80" s="48" t="n">
        <f aca="false">SUMPRODUCT((Per_Clase="Indirecto")*Sal_O*INDEX(Dot_O,0,MIN(10,AF$17))*((Per_Mon="PYG")*AF$19+(Per_Mon&lt;&gt;"PYG")))*(AF$15+AF$16*P_PreInd)*INDEX(IdxSal_O,1,MIN(10,AF$17))*(1+P_Cargas)+AF$79*P_Alim*AF$19</f>
        <v>20432.4948990137</v>
      </c>
      <c r="AG80" s="48" t="n">
        <f aca="false">SUMPRODUCT((Per_Clase="Indirecto")*Sal_O*INDEX(Dot_O,0,MIN(10,AG$17))*((Per_Mon="PYG")*AG$19+(Per_Mon&lt;&gt;"PYG")))*(AG$15+AG$16*P_PreInd)*INDEX(IdxSal_O,1,MIN(10,AG$17))*(1+P_Cargas)+AG$79*P_Alim*AG$19</f>
        <v>20432.4948990137</v>
      </c>
      <c r="AH80" s="48" t="n">
        <f aca="false">SUMPRODUCT((Per_Clase="Indirecto")*Sal_O*INDEX(Dot_O,0,MIN(10,AH$17))*((Per_Mon="PYG")*AH$19+(Per_Mon&lt;&gt;"PYG")))*(AH$15+AH$16*P_PreInd)*INDEX(IdxSal_O,1,MIN(10,AH$17))*(1+P_Cargas)+AH$79*P_Alim*AH$19</f>
        <v>20432.4948990137</v>
      </c>
      <c r="AI80" s="48" t="n">
        <f aca="false">SUMPRODUCT((Per_Clase="Indirecto")*Sal_O*INDEX(Dot_O,0,MIN(10,AI$17))*((Per_Mon="PYG")*AI$19+(Per_Mon&lt;&gt;"PYG")))*(AI$15+AI$16*P_PreInd)*INDEX(IdxSal_O,1,MIN(10,AI$17))*(1+P_Cargas)+AI$79*P_Alim*AI$19</f>
        <v>20432.4948990137</v>
      </c>
      <c r="AJ80" s="48" t="n">
        <f aca="false">SUMPRODUCT((Per_Clase="Indirecto")*Sal_O*INDEX(Dot_O,0,MIN(10,AJ$17))*((Per_Mon="PYG")*AJ$19+(Per_Mon&lt;&gt;"PYG")))*(AJ$15+AJ$16*P_PreInd)*INDEX(IdxSal_O,1,MIN(10,AJ$17))*(1+P_Cargas)+AJ$79*P_Alim*AJ$19</f>
        <v>20432.4948990137</v>
      </c>
      <c r="AK80" s="48" t="n">
        <f aca="false">SUMPRODUCT((Per_Clase="Indirecto")*Sal_O*INDEX(Dot_O,0,MIN(10,AK$17))*((Per_Mon="PYG")*AK$19+(Per_Mon&lt;&gt;"PYG")))*(AK$15+AK$16*P_PreInd)*INDEX(IdxSal_O,1,MIN(10,AK$17))*(1+P_Cargas)+AK$79*P_Alim*AK$19</f>
        <v>20432.4948990137</v>
      </c>
      <c r="AL80" s="48" t="n">
        <f aca="false">SUMPRODUCT((Per_Clase="Indirecto")*Sal_O*INDEX(Dot_O,0,MIN(10,AL$17))*((Per_Mon="PYG")*AL$19+(Per_Mon&lt;&gt;"PYG")))*(AL$15+AL$16*P_PreInd)*INDEX(IdxSal_O,1,MIN(10,AL$17))*(1+P_Cargas)+AL$79*P_Alim*AL$19</f>
        <v>20432.4948990137</v>
      </c>
      <c r="AM80" s="48" t="n">
        <f aca="false">SUMPRODUCT((Per_Clase="Indirecto")*Sal_O*INDEX(Dot_O,0,MIN(10,AM$17))*((Per_Mon="PYG")*AM$19+(Per_Mon&lt;&gt;"PYG")))*(AM$15+AM$16*P_PreInd)*INDEX(IdxSal_O,1,MIN(10,AM$17))*(1+P_Cargas)+AM$79*P_Alim*AM$19</f>
        <v>20432.4948990137</v>
      </c>
      <c r="AN80" s="48" t="n">
        <f aca="false">SUMPRODUCT((Per_Clase="Indirecto")*Sal_O*INDEX(Dot_O,0,MIN(10,AN$17))*((Per_Mon="PYG")*AN$19+(Per_Mon&lt;&gt;"PYG")))*(AN$15+AN$16*P_PreInd)*INDEX(IdxSal_O,1,MIN(10,AN$17))*(1+P_Cargas)+AN$79*P_Alim*AN$19</f>
        <v>20432.4948990137</v>
      </c>
      <c r="AO80" s="48" t="n">
        <f aca="false">SUMPRODUCT((Per_Clase="Indirecto")*Sal_O*INDEX(Dot_O,0,MIN(10,AO$17))*((Per_Mon="PYG")*AO$19+(Per_Mon&lt;&gt;"PYG")))*(AO$15+AO$16*P_PreInd)*INDEX(IdxSal_O,1,MIN(10,AO$17))*(1+P_Cargas)+AO$79*P_Alim*AO$19</f>
        <v>20432.4948990137</v>
      </c>
      <c r="AP80" s="48" t="n">
        <f aca="false">SUMPRODUCT((Per_Clase="Indirecto")*Sal_O*INDEX(Dot_O,0,MIN(10,AP$17))*((Per_Mon="PYG")*AP$19+(Per_Mon&lt;&gt;"PYG")))*(AP$15+AP$16*P_PreInd)*INDEX(IdxSal_O,1,MIN(10,AP$17))*(1+P_Cargas)+AP$79*P_Alim*AP$19</f>
        <v>20432.4948990137</v>
      </c>
      <c r="AQ80" s="48" t="n">
        <f aca="false">SUMPRODUCT((Per_Clase="Indirecto")*Sal_O*INDEX(Dot_O,0,MIN(10,AQ$17))*((Per_Mon="PYG")*AQ$19+(Per_Mon&lt;&gt;"PYG")))*(AQ$15+AQ$16*P_PreInd)*INDEX(IdxSal_O,1,MIN(10,AQ$17))*(1+P_Cargas)+AQ$79*P_Alim*AQ$19</f>
        <v>20432.4948990137</v>
      </c>
      <c r="AR80" s="48" t="n">
        <f aca="false">SUMPRODUCT((Per_Clase="Indirecto")*Sal_O*INDEX(Dot_O,0,MIN(10,AR$17))*((Per_Mon="PYG")*AR$19+(Per_Mon&lt;&gt;"PYG")))*(AR$15+AR$16*P_PreInd)*INDEX(IdxSal_O,1,MIN(10,AR$17))*(1+P_Cargas)+AR$79*P_Alim*AR$19</f>
        <v>20432.4948990137</v>
      </c>
      <c r="AS80" s="48" t="n">
        <f aca="false">SUMPRODUCT((Per_Clase="Indirecto")*Sal_O*INDEX(Dot_O,0,MIN(10,AS$17))*((Per_Mon="PYG")*AS$19+(Per_Mon&lt;&gt;"PYG")))*(AS$15+AS$16*P_PreInd)*INDEX(IdxSal_O,1,MIN(10,AS$17))*(1+P_Cargas)+AS$79*P_Alim*AS$19</f>
        <v>20432.4948990137</v>
      </c>
      <c r="AT80" s="48" t="n">
        <f aca="false">SUMPRODUCT((Per_Clase="Indirecto")*Sal_O*INDEX(Dot_O,0,MIN(10,AT$17))*((Per_Mon="PYG")*AT$19+(Per_Mon&lt;&gt;"PYG")))*(AT$15+AT$16*P_PreInd)*INDEX(IdxSal_O,1,MIN(10,AT$17))*(1+P_Cargas)+AT$79*P_Alim*AT$19</f>
        <v>20432.4948990137</v>
      </c>
      <c r="AU80" s="48" t="n">
        <f aca="false">SUMPRODUCT((Per_Clase="Indirecto")*Sal_O*INDEX(Dot_O,0,MIN(10,AU$17))*((Per_Mon="PYG")*AU$19+(Per_Mon&lt;&gt;"PYG")))*(AU$15+AU$16*P_PreInd)*INDEX(IdxSal_O,1,MIN(10,AU$17))*(1+P_Cargas)+AU$79*P_Alim*AU$19</f>
        <v>20432.4948990137</v>
      </c>
      <c r="AV80" s="48" t="n">
        <f aca="false">SUMPRODUCT((Per_Clase="Indirecto")*Sal_O*INDEX(Dot_O,0,MIN(10,AV$17))*((Per_Mon="PYG")*AV$19+(Per_Mon&lt;&gt;"PYG")))*(AV$15+AV$16*P_PreInd)*INDEX(IdxSal_O,1,MIN(10,AV$17))*(1+P_Cargas)+AV$79*P_Alim*AV$19</f>
        <v>20432.4948990137</v>
      </c>
      <c r="AW80" s="48" t="n">
        <f aca="false">SUMPRODUCT((Per_Clase="Indirecto")*Sal_O*INDEX(Dot_O,0,MIN(10,AW$17))*((Per_Mon="PYG")*AW$19+(Per_Mon&lt;&gt;"PYG")))*(AW$15+AW$16*P_PreInd)*INDEX(IdxSal_O,1,MIN(10,AW$17))*(1+P_Cargas)+AW$79*P_Alim*AW$19</f>
        <v>20432.4948990137</v>
      </c>
      <c r="AX80" s="48" t="n">
        <f aca="false">SUMPRODUCT((Per_Clase="Indirecto")*Sal_O*INDEX(Dot_O,0,MIN(10,AX$17))*((Per_Mon="PYG")*AX$19+(Per_Mon&lt;&gt;"PYG")))*(AX$15+AX$16*P_PreInd)*INDEX(IdxSal_O,1,MIN(10,AX$17))*(1+P_Cargas)+AX$79*P_Alim*AX$19</f>
        <v>20432.4948990137</v>
      </c>
      <c r="AY80" s="48" t="n">
        <f aca="false">SUMPRODUCT((Per_Clase="Indirecto")*Sal_O*INDEX(Dot_O,0,MIN(10,AY$17))*((Per_Mon="PYG")*AY$19+(Per_Mon&lt;&gt;"PYG")))*(AY$15+AY$16*P_PreInd)*INDEX(IdxSal_O,1,MIN(10,AY$17))*(1+P_Cargas)+AY$79*P_Alim*AY$19</f>
        <v>20432.4948990137</v>
      </c>
      <c r="AZ80" s="48" t="n">
        <f aca="false">SUMPRODUCT((Per_Clase="Indirecto")*Sal_O*INDEX(Dot_O,0,MIN(10,AZ$17))*((Per_Mon="PYG")*AZ$19+(Per_Mon&lt;&gt;"PYG")))*(AZ$15+AZ$16*P_PreInd)*INDEX(IdxSal_O,1,MIN(10,AZ$17))*(1+P_Cargas)+AZ$79*P_Alim*AZ$19</f>
        <v>20432.4948990137</v>
      </c>
      <c r="BA80" s="48" t="n">
        <f aca="false">SUMPRODUCT((Per_Clase="Indirecto")*Sal_O*INDEX(Dot_O,0,MIN(10,BA$17))*((Per_Mon="PYG")*BA$19+(Per_Mon&lt;&gt;"PYG")))*(BA$15+BA$16*P_PreInd)*INDEX(IdxSal_O,1,MIN(10,BA$17))*(1+P_Cargas)+BA$79*P_Alim*BA$19</f>
        <v>20432.4948990137</v>
      </c>
      <c r="BB80" s="48" t="n">
        <f aca="false">SUMPRODUCT((Per_Clase="Indirecto")*Sal_O*INDEX(Dot_O,0,MIN(10,BB$17))*((Per_Mon="PYG")*BB$19+(Per_Mon&lt;&gt;"PYG")))*(BB$15+BB$16*P_PreInd)*INDEX(IdxSal_O,1,MIN(10,BB$17))*(1+P_Cargas)+BB$79*P_Alim*BB$19</f>
        <v>20432.4948990137</v>
      </c>
      <c r="BC80" s="48" t="n">
        <f aca="false">SUMPRODUCT((Per_Clase="Indirecto")*Sal_O*INDEX(Dot_O,0,MIN(10,BC$17))*((Per_Mon="PYG")*BC$19+(Per_Mon&lt;&gt;"PYG")))*(BC$15+BC$16*P_PreInd)*INDEX(IdxSal_O,1,MIN(10,BC$17))*(1+P_Cargas)+BC$79*P_Alim*BC$19</f>
        <v>20432.4948990137</v>
      </c>
      <c r="BD80" s="48" t="n">
        <f aca="false">SUMPRODUCT((Per_Clase="Indirecto")*Sal_O*INDEX(Dot_O,0,MIN(10,BD$17))*((Per_Mon="PYG")*BD$19+(Per_Mon&lt;&gt;"PYG")))*(BD$15+BD$16*P_PreInd)*INDEX(IdxSal_O,1,MIN(10,BD$17))*(1+P_Cargas)+BD$79*P_Alim*BD$19</f>
        <v>20432.4948990137</v>
      </c>
      <c r="BE80" s="48" t="n">
        <f aca="false">SUMPRODUCT((Per_Clase="Indirecto")*Sal_O*INDEX(Dot_O,0,MIN(10,BE$17))*((Per_Mon="PYG")*BE$19+(Per_Mon&lt;&gt;"PYG")))*(BE$15+BE$16*P_PreInd)*INDEX(IdxSal_O,1,MIN(10,BE$17))*(1+P_Cargas)+BE$79*P_Alim*BE$19</f>
        <v>20432.4948990137</v>
      </c>
      <c r="BF80" s="48" t="n">
        <f aca="false">SUMPRODUCT((Per_Clase="Indirecto")*Sal_O*INDEX(Dot_O,0,MIN(10,BF$17))*((Per_Mon="PYG")*BF$19+(Per_Mon&lt;&gt;"PYG")))*(BF$15+BF$16*P_PreInd)*INDEX(IdxSal_O,1,MIN(10,BF$17))*(1+P_Cargas)+BF$79*P_Alim*BF$19</f>
        <v>20432.4948990137</v>
      </c>
      <c r="BG80" s="48" t="n">
        <f aca="false">SUMPRODUCT((Per_Clase="Indirecto")*Sal_O*INDEX(Dot_O,0,MIN(10,BG$17))*((Per_Mon="PYG")*BG$19+(Per_Mon&lt;&gt;"PYG")))*(BG$15+BG$16*P_PreInd)*INDEX(IdxSal_O,1,MIN(10,BG$17))*(1+P_Cargas)+BG$79*P_Alim*BG$19</f>
        <v>20432.4948990137</v>
      </c>
      <c r="BH80" s="48" t="n">
        <f aca="false">SUMPRODUCT((Per_Clase="Indirecto")*Sal_O*INDEX(Dot_O,0,MIN(10,BH$17))*((Per_Mon="PYG")*BH$19+(Per_Mon&lt;&gt;"PYG")))*(BH$15+BH$16*P_PreInd)*INDEX(IdxSal_O,1,MIN(10,BH$17))*(1+P_Cargas)+BH$79*P_Alim*BH$19</f>
        <v>20432.4948990137</v>
      </c>
      <c r="BI80" s="48" t="n">
        <f aca="false">SUMPRODUCT((Per_Clase="Indirecto")*Sal_O*INDEX(Dot_O,0,MIN(10,BI$17))*((Per_Mon="PYG")*BI$19+(Per_Mon&lt;&gt;"PYG")))*(BI$15+BI$16*P_PreInd)*INDEX(IdxSal_O,1,MIN(10,BI$17))*(1+P_Cargas)+BI$79*P_Alim*BI$19</f>
        <v>20432.4948990137</v>
      </c>
      <c r="BJ80" s="48" t="n">
        <f aca="false">SUMPRODUCT((Per_Clase="Indirecto")*Sal_O*INDEX(Dot_O,0,MIN(10,BJ$17))*((Per_Mon="PYG")*BJ$19+(Per_Mon&lt;&gt;"PYG")))*(BJ$15+BJ$16*P_PreInd)*INDEX(IdxSal_O,1,MIN(10,BJ$17))*(1+P_Cargas)+BJ$79*P_Alim*BJ$19</f>
        <v>20432.4948990137</v>
      </c>
      <c r="BK80" s="48" t="n">
        <f aca="false">SUMPRODUCT((Per_Clase="Indirecto")*Sal_O*INDEX(Dot_O,0,MIN(10,BK$17))*((Per_Mon="PYG")*BK$19+(Per_Mon&lt;&gt;"PYG")))*(BK$15+BK$16*P_PreInd)*INDEX(IdxSal_O,1,MIN(10,BK$17))*(1+P_Cargas)+BK$79*P_Alim*BK$19</f>
        <v>20432.4948990137</v>
      </c>
      <c r="BL80" s="48" t="n">
        <f aca="false">SUMPRODUCT((Per_Clase="Indirecto")*Sal_O*INDEX(Dot_O,0,MIN(10,BL$17))*((Per_Mon="PYG")*BL$19+(Per_Mon&lt;&gt;"PYG")))*(BL$15+BL$16*P_PreInd)*INDEX(IdxSal_O,1,MIN(10,BL$17))*(1+P_Cargas)+BL$79*P_Alim*BL$19</f>
        <v>20432.4948990137</v>
      </c>
      <c r="BM80" s="48" t="n">
        <f aca="false">SUMPRODUCT((Per_Clase="Indirecto")*Sal_O*INDEX(Dot_O,0,MIN(10,BM$17))*((Per_Mon="PYG")*BM$19+(Per_Mon&lt;&gt;"PYG")))*(BM$15+BM$16*P_PreInd)*INDEX(IdxSal_O,1,MIN(10,BM$17))*(1+P_Cargas)+BM$79*P_Alim*BM$19</f>
        <v>20432.4948990137</v>
      </c>
      <c r="BN80" s="48" t="n">
        <f aca="false">SUMPRODUCT((Per_Clase="Indirecto")*Sal_O*INDEX(Dot_O,0,MIN(10,BN$17))*((Per_Mon="PYG")*BN$19+(Per_Mon&lt;&gt;"PYG")))*(BN$15+BN$16*P_PreInd)*INDEX(IdxSal_O,1,MIN(10,BN$17))*(1+P_Cargas)+BN$79*P_Alim*BN$19</f>
        <v>20432.4948990137</v>
      </c>
      <c r="BO80" s="48" t="n">
        <f aca="false">SUMPRODUCT((Per_Clase="Indirecto")*Sal_O*INDEX(Dot_O,0,MIN(10,BO$17))*((Per_Mon="PYG")*BO$19+(Per_Mon&lt;&gt;"PYG")))*(BO$15+BO$16*P_PreInd)*INDEX(IdxSal_O,1,MIN(10,BO$17))*(1+P_Cargas)+BO$79*P_Alim*BO$19</f>
        <v>20432.4948990137</v>
      </c>
      <c r="BP80" s="48" t="n">
        <f aca="false">SUMPRODUCT((Per_Clase="Indirecto")*Sal_O*INDEX(Dot_O,0,MIN(10,BP$17))*((Per_Mon="PYG")*BP$19+(Per_Mon&lt;&gt;"PYG")))*(BP$15+BP$16*P_PreInd)*INDEX(IdxSal_O,1,MIN(10,BP$17))*(1+P_Cargas)+BP$79*P_Alim*BP$19</f>
        <v>20432.4948990137</v>
      </c>
      <c r="BQ80" s="48" t="n">
        <f aca="false">SUMPRODUCT((Per_Clase="Indirecto")*Sal_O*INDEX(Dot_O,0,MIN(10,BQ$17))*((Per_Mon="PYG")*BQ$19+(Per_Mon&lt;&gt;"PYG")))*(BQ$15+BQ$16*P_PreInd)*INDEX(IdxSal_O,1,MIN(10,BQ$17))*(1+P_Cargas)+BQ$79*P_Alim*BQ$19</f>
        <v>20432.4948990137</v>
      </c>
      <c r="BR80" s="48" t="n">
        <f aca="false">SUMPRODUCT((Per_Clase="Indirecto")*Sal_O*INDEX(Dot_O,0,MIN(10,BR$17))*((Per_Mon="PYG")*BR$19+(Per_Mon&lt;&gt;"PYG")))*(BR$15+BR$16*P_PreInd)*INDEX(IdxSal_O,1,MIN(10,BR$17))*(1+P_Cargas)+BR$79*P_Alim*BR$19</f>
        <v>20432.4948990137</v>
      </c>
      <c r="BS80" s="48" t="n">
        <f aca="false">SUMPRODUCT((Per_Clase="Indirecto")*Sal_O*INDEX(Dot_O,0,MIN(10,BS$17))*((Per_Mon="PYG")*BS$19+(Per_Mon&lt;&gt;"PYG")))*(BS$15+BS$16*P_PreInd)*INDEX(IdxSal_O,1,MIN(10,BS$17))*(1+P_Cargas)+BS$79*P_Alim*BS$19</f>
        <v>20432.4948990137</v>
      </c>
      <c r="BT80" s="48" t="n">
        <f aca="false">SUMPRODUCT((Per_Clase="Indirecto")*Sal_O*INDEX(Dot_O,0,MIN(10,BT$17))*((Per_Mon="PYG")*BT$19+(Per_Mon&lt;&gt;"PYG")))*(BT$15+BT$16*P_PreInd)*INDEX(IdxSal_O,1,MIN(10,BT$17))*(1+P_Cargas)+BT$79*P_Alim*BT$19</f>
        <v>20432.4948990137</v>
      </c>
      <c r="BU80" s="48" t="n">
        <f aca="false">SUMPRODUCT((Per_Clase="Indirecto")*Sal_O*INDEX(Dot_O,0,MIN(10,BU$17))*((Per_Mon="PYG")*BU$19+(Per_Mon&lt;&gt;"PYG")))*(BU$15+BU$16*P_PreInd)*INDEX(IdxSal_O,1,MIN(10,BU$17))*(1+P_Cargas)+BU$79*P_Alim*BU$19</f>
        <v>20432.4948990137</v>
      </c>
      <c r="BV80" s="48" t="n">
        <f aca="false">SUMPRODUCT((Per_Clase="Indirecto")*Sal_O*INDEX(Dot_O,0,MIN(10,BV$17))*((Per_Mon="PYG")*BV$19+(Per_Mon&lt;&gt;"PYG")))*(BV$15+BV$16*P_PreInd)*INDEX(IdxSal_O,1,MIN(10,BV$17))*(1+P_Cargas)+BV$79*P_Alim*BV$19</f>
        <v>20432.4948990137</v>
      </c>
      <c r="BW80" s="48" t="n">
        <f aca="false">SUMPRODUCT((Per_Clase="Indirecto")*Sal_O*INDEX(Dot_O,0,MIN(10,BW$17))*((Per_Mon="PYG")*BW$19+(Per_Mon&lt;&gt;"PYG")))*(BW$15+BW$16*P_PreInd)*INDEX(IdxSal_O,1,MIN(10,BW$17))*(1+P_Cargas)+BW$79*P_Alim*BW$19</f>
        <v>20432.4948990137</v>
      </c>
      <c r="BX80" s="48" t="n">
        <f aca="false">SUMPRODUCT((Per_Clase="Indirecto")*Sal_O*INDEX(Dot_O,0,MIN(10,BX$17))*((Per_Mon="PYG")*BX$19+(Per_Mon&lt;&gt;"PYG")))*(BX$15+BX$16*P_PreInd)*INDEX(IdxSal_O,1,MIN(10,BX$17))*(1+P_Cargas)+BX$79*P_Alim*BX$19</f>
        <v>20432.4948990137</v>
      </c>
      <c r="BY80" s="48" t="n">
        <f aca="false">SUMPRODUCT((Per_Clase="Indirecto")*Sal_O*INDEX(Dot_O,0,MIN(10,BY$17))*((Per_Mon="PYG")*BY$19+(Per_Mon&lt;&gt;"PYG")))*(BY$15+BY$16*P_PreInd)*INDEX(IdxSal_O,1,MIN(10,BY$17))*(1+P_Cargas)+BY$79*P_Alim*BY$19</f>
        <v>20432.4948990137</v>
      </c>
      <c r="BZ80" s="48" t="n">
        <f aca="false">SUMPRODUCT((Per_Clase="Indirecto")*Sal_O*INDEX(Dot_O,0,MIN(10,BZ$17))*((Per_Mon="PYG")*BZ$19+(Per_Mon&lt;&gt;"PYG")))*(BZ$15+BZ$16*P_PreInd)*INDEX(IdxSal_O,1,MIN(10,BZ$17))*(1+P_Cargas)+BZ$79*P_Alim*BZ$19</f>
        <v>20432.4948990137</v>
      </c>
      <c r="CA80" s="48" t="n">
        <f aca="false">SUMPRODUCT((Per_Clase="Indirecto")*Sal_O*INDEX(Dot_O,0,MIN(10,CA$17))*((Per_Mon="PYG")*CA$19+(Per_Mon&lt;&gt;"PYG")))*(CA$15+CA$16*P_PreInd)*INDEX(IdxSal_O,1,MIN(10,CA$17))*(1+P_Cargas)+CA$79*P_Alim*CA$19</f>
        <v>20432.4948990137</v>
      </c>
      <c r="CB80" s="48" t="n">
        <f aca="false">SUMPRODUCT((Per_Clase="Indirecto")*Sal_O*INDEX(Dot_O,0,MIN(10,CB$17))*((Per_Mon="PYG")*CB$19+(Per_Mon&lt;&gt;"PYG")))*(CB$15+CB$16*P_PreInd)*INDEX(IdxSal_O,1,MIN(10,CB$17))*(1+P_Cargas)+CB$79*P_Alim*CB$19</f>
        <v>20432.4948990137</v>
      </c>
      <c r="CC80" s="48" t="n">
        <f aca="false">SUMPRODUCT((Per_Clase="Indirecto")*Sal_O*INDEX(Dot_O,0,MIN(10,CC$17))*((Per_Mon="PYG")*CC$19+(Per_Mon&lt;&gt;"PYG")))*(CC$15+CC$16*P_PreInd)*INDEX(IdxSal_O,1,MIN(10,CC$17))*(1+P_Cargas)+CC$79*P_Alim*CC$19</f>
        <v>20432.4948990137</v>
      </c>
      <c r="CD80" s="48" t="n">
        <f aca="false">SUMPRODUCT((Per_Clase="Indirecto")*Sal_O*INDEX(Dot_O,0,MIN(10,CD$17))*((Per_Mon="PYG")*CD$19+(Per_Mon&lt;&gt;"PYG")))*(CD$15+CD$16*P_PreInd)*INDEX(IdxSal_O,1,MIN(10,CD$17))*(1+P_Cargas)+CD$79*P_Alim*CD$19</f>
        <v>20432.4948990137</v>
      </c>
      <c r="CE80" s="48" t="n">
        <f aca="false">SUMPRODUCT((Per_Clase="Indirecto")*Sal_O*INDEX(Dot_O,0,MIN(10,CE$17))*((Per_Mon="PYG")*CE$19+(Per_Mon&lt;&gt;"PYG")))*(CE$15+CE$16*P_PreInd)*INDEX(IdxSal_O,1,MIN(10,CE$17))*(1+P_Cargas)+CE$79*P_Alim*CE$19</f>
        <v>20432.4948990137</v>
      </c>
      <c r="CF80" s="48" t="n">
        <f aca="false">SUMPRODUCT((Per_Clase="Indirecto")*Sal_O*INDEX(Dot_O,0,MIN(10,CF$17))*((Per_Mon="PYG")*CF$19+(Per_Mon&lt;&gt;"PYG")))*(CF$15+CF$16*P_PreInd)*INDEX(IdxSal_O,1,MIN(10,CF$17))*(1+P_Cargas)+CF$79*P_Alim*CF$19</f>
        <v>20432.4948990137</v>
      </c>
      <c r="CG80" s="48" t="n">
        <f aca="false">SUMPRODUCT((Per_Clase="Indirecto")*Sal_O*INDEX(Dot_O,0,MIN(10,CG$17))*((Per_Mon="PYG")*CG$19+(Per_Mon&lt;&gt;"PYG")))*(CG$15+CG$16*P_PreInd)*INDEX(IdxSal_O,1,MIN(10,CG$17))*(1+P_Cargas)+CG$79*P_Alim*CG$19</f>
        <v>20432.4948990137</v>
      </c>
      <c r="CH80" s="48" t="n">
        <f aca="false">SUMPRODUCT((Per_Clase="Indirecto")*Sal_O*INDEX(Dot_O,0,MIN(10,CH$17))*((Per_Mon="PYG")*CH$19+(Per_Mon&lt;&gt;"PYG")))*(CH$15+CH$16*P_PreInd)*INDEX(IdxSal_O,1,MIN(10,CH$17))*(1+P_Cargas)+CH$79*P_Alim*CH$19</f>
        <v>20432.4948990137</v>
      </c>
      <c r="CI80" s="48" t="n">
        <f aca="false">SUMPRODUCT((Per_Clase="Indirecto")*Sal_O*INDEX(Dot_O,0,MIN(10,CI$17))*((Per_Mon="PYG")*CI$19+(Per_Mon&lt;&gt;"PYG")))*(CI$15+CI$16*P_PreInd)*INDEX(IdxSal_O,1,MIN(10,CI$17))*(1+P_Cargas)+CI$79*P_Alim*CI$19</f>
        <v>20432.4948990137</v>
      </c>
      <c r="CJ80" s="48" t="n">
        <f aca="false">SUMPRODUCT((Per_Clase="Indirecto")*Sal_O*INDEX(Dot_O,0,MIN(10,CJ$17))*((Per_Mon="PYG")*CJ$19+(Per_Mon&lt;&gt;"PYG")))*(CJ$15+CJ$16*P_PreInd)*INDEX(IdxSal_O,1,MIN(10,CJ$17))*(1+P_Cargas)+CJ$79*P_Alim*CJ$19</f>
        <v>20432.4948990137</v>
      </c>
      <c r="CK80" s="48" t="n">
        <f aca="false">SUMPRODUCT((Per_Clase="Indirecto")*Sal_O*INDEX(Dot_O,0,MIN(10,CK$17))*((Per_Mon="PYG")*CK$19+(Per_Mon&lt;&gt;"PYG")))*(CK$15+CK$16*P_PreInd)*INDEX(IdxSal_O,1,MIN(10,CK$17))*(1+P_Cargas)+CK$79*P_Alim*CK$19</f>
        <v>20432.4948990137</v>
      </c>
      <c r="CL80" s="48" t="n">
        <f aca="false">SUMPRODUCT((Per_Clase="Indirecto")*Sal_O*INDEX(Dot_O,0,MIN(10,CL$17))*((Per_Mon="PYG")*CL$19+(Per_Mon&lt;&gt;"PYG")))*(CL$15+CL$16*P_PreInd)*INDEX(IdxSal_O,1,MIN(10,CL$17))*(1+P_Cargas)+CL$79*P_Alim*CL$19</f>
        <v>20432.4948990137</v>
      </c>
      <c r="CM80" s="48" t="n">
        <f aca="false">SUMPRODUCT((Per_Clase="Indirecto")*Sal_O*INDEX(Dot_O,0,MIN(10,CM$17))*((Per_Mon="PYG")*CM$19+(Per_Mon&lt;&gt;"PYG")))*(CM$15+CM$16*P_PreInd)*INDEX(IdxSal_O,1,MIN(10,CM$17))*(1+P_Cargas)+CM$79*P_Alim*CM$19</f>
        <v>20432.4948990137</v>
      </c>
      <c r="CN80" s="48" t="n">
        <f aca="false">SUMPRODUCT((Per_Clase="Indirecto")*Sal_O*INDEX(Dot_O,0,MIN(10,CN$17))*((Per_Mon="PYG")*CN$19+(Per_Mon&lt;&gt;"PYG")))*(CN$15+CN$16*P_PreInd)*INDEX(IdxSal_O,1,MIN(10,CN$17))*(1+P_Cargas)+CN$79*P_Alim*CN$19</f>
        <v>20432.4948990137</v>
      </c>
      <c r="CO80" s="48" t="n">
        <f aca="false">SUMPRODUCT((Per_Clase="Indirecto")*Sal_O*INDEX(Dot_O,0,MIN(10,CO$17))*((Per_Mon="PYG")*CO$19+(Per_Mon&lt;&gt;"PYG")))*(CO$15+CO$16*P_PreInd)*INDEX(IdxSal_O,1,MIN(10,CO$17))*(1+P_Cargas)+CO$79*P_Alim*CO$19</f>
        <v>20432.4948990137</v>
      </c>
      <c r="CP80" s="48" t="n">
        <f aca="false">SUMPRODUCT((Per_Clase="Indirecto")*Sal_O*INDEX(Dot_O,0,MIN(10,CP$17))*((Per_Mon="PYG")*CP$19+(Per_Mon&lt;&gt;"PYG")))*(CP$15+CP$16*P_PreInd)*INDEX(IdxSal_O,1,MIN(10,CP$17))*(1+P_Cargas)+CP$79*P_Alim*CP$19</f>
        <v>20432.4948990137</v>
      </c>
      <c r="CQ80" s="48" t="n">
        <f aca="false">SUMPRODUCT((Per_Clase="Indirecto")*Sal_O*INDEX(Dot_O,0,MIN(10,CQ$17))*((Per_Mon="PYG")*CQ$19+(Per_Mon&lt;&gt;"PYG")))*(CQ$15+CQ$16*P_PreInd)*INDEX(IdxSal_O,1,MIN(10,CQ$17))*(1+P_Cargas)+CQ$79*P_Alim*CQ$19</f>
        <v>20432.4948990137</v>
      </c>
      <c r="CR80" s="48" t="n">
        <f aca="false">SUMPRODUCT((Per_Clase="Indirecto")*Sal_O*INDEX(Dot_O,0,MIN(10,CR$17))*((Per_Mon="PYG")*CR$19+(Per_Mon&lt;&gt;"PYG")))*(CR$15+CR$16*P_PreInd)*INDEX(IdxSal_O,1,MIN(10,CR$17))*(1+P_Cargas)+CR$79*P_Alim*CR$19</f>
        <v>20432.4948990137</v>
      </c>
      <c r="CS80" s="48" t="n">
        <f aca="false">SUMPRODUCT((Per_Clase="Indirecto")*Sal_O*INDEX(Dot_O,0,MIN(10,CS$17))*((Per_Mon="PYG")*CS$19+(Per_Mon&lt;&gt;"PYG")))*(CS$15+CS$16*P_PreInd)*INDEX(IdxSal_O,1,MIN(10,CS$17))*(1+P_Cargas)+CS$79*P_Alim*CS$19</f>
        <v>20432.4948990137</v>
      </c>
      <c r="CT80" s="48" t="n">
        <f aca="false">SUMPRODUCT((Per_Clase="Indirecto")*Sal_O*INDEX(Dot_O,0,MIN(10,CT$17))*((Per_Mon="PYG")*CT$19+(Per_Mon&lt;&gt;"PYG")))*(CT$15+CT$16*P_PreInd)*INDEX(IdxSal_O,1,MIN(10,CT$17))*(1+P_Cargas)+CT$79*P_Alim*CT$19</f>
        <v>20432.4948990137</v>
      </c>
      <c r="CU80" s="48" t="n">
        <f aca="false">SUMPRODUCT((Per_Clase="Indirecto")*Sal_O*INDEX(Dot_O,0,MIN(10,CU$17))*((Per_Mon="PYG")*CU$19+(Per_Mon&lt;&gt;"PYG")))*(CU$15+CU$16*P_PreInd)*INDEX(IdxSal_O,1,MIN(10,CU$17))*(1+P_Cargas)+CU$79*P_Alim*CU$19</f>
        <v>20432.4948990137</v>
      </c>
      <c r="CV80" s="48" t="n">
        <f aca="false">SUMPRODUCT((Per_Clase="Indirecto")*Sal_O*INDEX(Dot_O,0,MIN(10,CV$17))*((Per_Mon="PYG")*CV$19+(Per_Mon&lt;&gt;"PYG")))*(CV$15+CV$16*P_PreInd)*INDEX(IdxSal_O,1,MIN(10,CV$17))*(1+P_Cargas)+CV$79*P_Alim*CV$19</f>
        <v>20432.4948990137</v>
      </c>
      <c r="CW80" s="48" t="n">
        <f aca="false">SUMPRODUCT((Per_Clase="Indirecto")*Sal_O*INDEX(Dot_O,0,MIN(10,CW$17))*((Per_Mon="PYG")*CW$19+(Per_Mon&lt;&gt;"PYG")))*(CW$15+CW$16*P_PreInd)*INDEX(IdxSal_O,1,MIN(10,CW$17))*(1+P_Cargas)+CW$79*P_Alim*CW$19</f>
        <v>20432.4948990137</v>
      </c>
      <c r="CX80" s="48" t="n">
        <f aca="false">SUMPRODUCT((Per_Clase="Indirecto")*Sal_O*INDEX(Dot_O,0,MIN(10,CX$17))*((Per_Mon="PYG")*CX$19+(Per_Mon&lt;&gt;"PYG")))*(CX$15+CX$16*P_PreInd)*INDEX(IdxSal_O,1,MIN(10,CX$17))*(1+P_Cargas)+CX$79*P_Alim*CX$19</f>
        <v>20432.4948990137</v>
      </c>
      <c r="CY80" s="48" t="n">
        <f aca="false">SUMPRODUCT((Per_Clase="Indirecto")*Sal_O*INDEX(Dot_O,0,MIN(10,CY$17))*((Per_Mon="PYG")*CY$19+(Per_Mon&lt;&gt;"PYG")))*(CY$15+CY$16*P_PreInd)*INDEX(IdxSal_O,1,MIN(10,CY$17))*(1+P_Cargas)+CY$79*P_Alim*CY$19</f>
        <v>20432.4948990137</v>
      </c>
      <c r="CZ80" s="48" t="n">
        <f aca="false">SUMPRODUCT((Per_Clase="Indirecto")*Sal_O*INDEX(Dot_O,0,MIN(10,CZ$17))*((Per_Mon="PYG")*CZ$19+(Per_Mon&lt;&gt;"PYG")))*(CZ$15+CZ$16*P_PreInd)*INDEX(IdxSal_O,1,MIN(10,CZ$17))*(1+P_Cargas)+CZ$79*P_Alim*CZ$19</f>
        <v>20432.4948990137</v>
      </c>
      <c r="DA80" s="48" t="n">
        <f aca="false">SUMPRODUCT((Per_Clase="Indirecto")*Sal_O*INDEX(Dot_O,0,MIN(10,DA$17))*((Per_Mon="PYG")*DA$19+(Per_Mon&lt;&gt;"PYG")))*(DA$15+DA$16*P_PreInd)*INDEX(IdxSal_O,1,MIN(10,DA$17))*(1+P_Cargas)+DA$79*P_Alim*DA$19</f>
        <v>20432.4948990137</v>
      </c>
      <c r="DB80" s="48" t="n">
        <f aca="false">SUMPRODUCT((Per_Clase="Indirecto")*Sal_O*INDEX(Dot_O,0,MIN(10,DB$17))*((Per_Mon="PYG")*DB$19+(Per_Mon&lt;&gt;"PYG")))*(DB$15+DB$16*P_PreInd)*INDEX(IdxSal_O,1,MIN(10,DB$17))*(1+P_Cargas)+DB$79*P_Alim*DB$19</f>
        <v>20432.4948990137</v>
      </c>
      <c r="DC80" s="48" t="n">
        <f aca="false">SUMPRODUCT((Per_Clase="Indirecto")*Sal_O*INDEX(Dot_O,0,MIN(10,DC$17))*((Per_Mon="PYG")*DC$19+(Per_Mon&lt;&gt;"PYG")))*(DC$15+DC$16*P_PreInd)*INDEX(IdxSal_O,1,MIN(10,DC$17))*(1+P_Cargas)+DC$79*P_Alim*DC$19</f>
        <v>20432.4948990137</v>
      </c>
      <c r="DD80" s="48" t="n">
        <f aca="false">SUMPRODUCT((Per_Clase="Indirecto")*Sal_O*INDEX(Dot_O,0,MIN(10,DD$17))*((Per_Mon="PYG")*DD$19+(Per_Mon&lt;&gt;"PYG")))*(DD$15+DD$16*P_PreInd)*INDEX(IdxSal_O,1,MIN(10,DD$17))*(1+P_Cargas)+DD$79*P_Alim*DD$19</f>
        <v>20432.4948990137</v>
      </c>
      <c r="DE80" s="48" t="n">
        <f aca="false">SUMPRODUCT((Per_Clase="Indirecto")*Sal_O*INDEX(Dot_O,0,MIN(10,DE$17))*((Per_Mon="PYG")*DE$19+(Per_Mon&lt;&gt;"PYG")))*(DE$15+DE$16*P_PreInd)*INDEX(IdxSal_O,1,MIN(10,DE$17))*(1+P_Cargas)+DE$79*P_Alim*DE$19</f>
        <v>20432.4948990137</v>
      </c>
      <c r="DF80" s="48" t="n">
        <f aca="false">SUMPRODUCT((Per_Clase="Indirecto")*Sal_O*INDEX(Dot_O,0,MIN(10,DF$17))*((Per_Mon="PYG")*DF$19+(Per_Mon&lt;&gt;"PYG")))*(DF$15+DF$16*P_PreInd)*INDEX(IdxSal_O,1,MIN(10,DF$17))*(1+P_Cargas)+DF$79*P_Alim*DF$19</f>
        <v>20432.4948990137</v>
      </c>
      <c r="DG80" s="48" t="n">
        <f aca="false">SUMPRODUCT((Per_Clase="Indirecto")*Sal_O*INDEX(Dot_O,0,MIN(10,DG$17))*((Per_Mon="PYG")*DG$19+(Per_Mon&lt;&gt;"PYG")))*(DG$15+DG$16*P_PreInd)*INDEX(IdxSal_O,1,MIN(10,DG$17))*(1+P_Cargas)+DG$79*P_Alim*DG$19</f>
        <v>20432.4948990137</v>
      </c>
      <c r="DH80" s="48" t="n">
        <f aca="false">SUMPRODUCT((Per_Clase="Indirecto")*Sal_O*INDEX(Dot_O,0,MIN(10,DH$17))*((Per_Mon="PYG")*DH$19+(Per_Mon&lt;&gt;"PYG")))*(DH$15+DH$16*P_PreInd)*INDEX(IdxSal_O,1,MIN(10,DH$17))*(1+P_Cargas)+DH$79*P_Alim*DH$19</f>
        <v>20432.4948990137</v>
      </c>
      <c r="DI80" s="48" t="n">
        <f aca="false">SUMPRODUCT((Per_Clase="Indirecto")*Sal_O*INDEX(Dot_O,0,MIN(10,DI$17))*((Per_Mon="PYG")*DI$19+(Per_Mon&lt;&gt;"PYG")))*(DI$15+DI$16*P_PreInd)*INDEX(IdxSal_O,1,MIN(10,DI$17))*(1+P_Cargas)+DI$79*P_Alim*DI$19</f>
        <v>20432.4948990137</v>
      </c>
      <c r="DJ80" s="48" t="n">
        <f aca="false">SUMPRODUCT((Per_Clase="Indirecto")*Sal_O*INDEX(Dot_O,0,MIN(10,DJ$17))*((Per_Mon="PYG")*DJ$19+(Per_Mon&lt;&gt;"PYG")))*(DJ$15+DJ$16*P_PreInd)*INDEX(IdxSal_O,1,MIN(10,DJ$17))*(1+P_Cargas)+DJ$79*P_Alim*DJ$19</f>
        <v>20432.4948990137</v>
      </c>
      <c r="DK80" s="48" t="n">
        <f aca="false">SUMPRODUCT((Per_Clase="Indirecto")*Sal_O*INDEX(Dot_O,0,MIN(10,DK$17))*((Per_Mon="PYG")*DK$19+(Per_Mon&lt;&gt;"PYG")))*(DK$15+DK$16*P_PreInd)*INDEX(IdxSal_O,1,MIN(10,DK$17))*(1+P_Cargas)+DK$79*P_Alim*DK$19</f>
        <v>20432.4948990137</v>
      </c>
      <c r="DL80" s="48" t="n">
        <f aca="false">SUMPRODUCT((Per_Clase="Indirecto")*Sal_O*INDEX(Dot_O,0,MIN(10,DL$17))*((Per_Mon="PYG")*DL$19+(Per_Mon&lt;&gt;"PYG")))*(DL$15+DL$16*P_PreInd)*INDEX(IdxSal_O,1,MIN(10,DL$17))*(1+P_Cargas)+DL$79*P_Alim*DL$19</f>
        <v>20432.4948990137</v>
      </c>
      <c r="DM80" s="48" t="n">
        <f aca="false">SUMPRODUCT((Per_Clase="Indirecto")*Sal_O*INDEX(Dot_O,0,MIN(10,DM$17))*((Per_Mon="PYG")*DM$19+(Per_Mon&lt;&gt;"PYG")))*(DM$15+DM$16*P_PreInd)*INDEX(IdxSal_O,1,MIN(10,DM$17))*(1+P_Cargas)+DM$79*P_Alim*DM$19</f>
        <v>20432.4948990137</v>
      </c>
      <c r="DN80" s="48" t="n">
        <f aca="false">SUMPRODUCT((Per_Clase="Indirecto")*Sal_O*INDEX(Dot_O,0,MIN(10,DN$17))*((Per_Mon="PYG")*DN$19+(Per_Mon&lt;&gt;"PYG")))*(DN$15+DN$16*P_PreInd)*INDEX(IdxSal_O,1,MIN(10,DN$17))*(1+P_Cargas)+DN$79*P_Alim*DN$19</f>
        <v>20432.4948990137</v>
      </c>
      <c r="DO80" s="48" t="n">
        <f aca="false">SUMPRODUCT((Per_Clase="Indirecto")*Sal_O*INDEX(Dot_O,0,MIN(10,DO$17))*((Per_Mon="PYG")*DO$19+(Per_Mon&lt;&gt;"PYG")))*(DO$15+DO$16*P_PreInd)*INDEX(IdxSal_O,1,MIN(10,DO$17))*(1+P_Cargas)+DO$79*P_Alim*DO$19</f>
        <v>20432.4948990137</v>
      </c>
      <c r="DP80" s="48" t="n">
        <f aca="false">SUMPRODUCT((Per_Clase="Indirecto")*Sal_O*INDEX(Dot_O,0,MIN(10,DP$17))*((Per_Mon="PYG")*DP$19+(Per_Mon&lt;&gt;"PYG")))*(DP$15+DP$16*P_PreInd)*INDEX(IdxSal_O,1,MIN(10,DP$17))*(1+P_Cargas)+DP$79*P_Alim*DP$19</f>
        <v>20432.4948990137</v>
      </c>
      <c r="DQ80" s="48" t="n">
        <f aca="false">SUMPRODUCT((Per_Clase="Indirecto")*Sal_O*INDEX(Dot_O,0,MIN(10,DQ$17))*((Per_Mon="PYG")*DQ$19+(Per_Mon&lt;&gt;"PYG")))*(DQ$15+DQ$16*P_PreInd)*INDEX(IdxSal_O,1,MIN(10,DQ$17))*(1+P_Cargas)+DQ$79*P_Alim*DQ$19</f>
        <v>20432.4948990137</v>
      </c>
      <c r="DR80" s="48" t="n">
        <f aca="false">SUMPRODUCT((Per_Clase="Indirecto")*Sal_O*INDEX(Dot_O,0,MIN(10,DR$17))*((Per_Mon="PYG")*DR$19+(Per_Mon&lt;&gt;"PYG")))*(DR$15+DR$16*P_PreInd)*INDEX(IdxSal_O,1,MIN(10,DR$17))*(1+P_Cargas)+DR$79*P_Alim*DR$19</f>
        <v>20432.4948990137</v>
      </c>
      <c r="DS80" s="48" t="n">
        <f aca="false">SUMPRODUCT((Per_Clase="Indirecto")*Sal_O*INDEX(Dot_O,0,MIN(10,DS$17))*((Per_Mon="PYG")*DS$19+(Per_Mon&lt;&gt;"PYG")))*(DS$15+DS$16*P_PreInd)*INDEX(IdxSal_O,1,MIN(10,DS$17))*(1+P_Cargas)+DS$79*P_Alim*DS$19</f>
        <v>20432.4948990137</v>
      </c>
      <c r="DT80" s="48" t="n">
        <f aca="false">SUMPRODUCT((Per_Clase="Indirecto")*Sal_O*INDEX(Dot_O,0,MIN(10,DT$17))*((Per_Mon="PYG")*DT$19+(Per_Mon&lt;&gt;"PYG")))*(DT$15+DT$16*P_PreInd)*INDEX(IdxSal_O,1,MIN(10,DT$17))*(1+P_Cargas)+DT$79*P_Alim*DT$19</f>
        <v>20432.4948990137</v>
      </c>
      <c r="DU80" s="48" t="n">
        <f aca="false">SUMPRODUCT((Per_Clase="Indirecto")*Sal_O*INDEX(Dot_O,0,MIN(10,DU$17))*((Per_Mon="PYG")*DU$19+(Per_Mon&lt;&gt;"PYG")))*(DU$15+DU$16*P_PreInd)*INDEX(IdxSal_O,1,MIN(10,DU$17))*(1+P_Cargas)+DU$79*P_Alim*DU$19</f>
        <v>20432.4948990137</v>
      </c>
      <c r="DV80" s="48" t="n">
        <f aca="false">SUMPRODUCT((Per_Clase="Indirecto")*Sal_O*INDEX(Dot_O,0,MIN(10,DV$17))*((Per_Mon="PYG")*DV$19+(Per_Mon&lt;&gt;"PYG")))*(DV$15+DV$16*P_PreInd)*INDEX(IdxSal_O,1,MIN(10,DV$17))*(1+P_Cargas)+DV$79*P_Alim*DV$19</f>
        <v>0</v>
      </c>
      <c r="DW80" s="48" t="n">
        <f aca="false">SUMPRODUCT((Per_Clase="Indirecto")*Sal_O*INDEX(Dot_O,0,MIN(10,DW$17))*((Per_Mon="PYG")*DW$19+(Per_Mon&lt;&gt;"PYG")))*(DW$15+DW$16*P_PreInd)*INDEX(IdxSal_O,1,MIN(10,DW$17))*(1+P_Cargas)+DW$79*P_Alim*DW$19</f>
        <v>0</v>
      </c>
      <c r="DX80" s="48" t="n">
        <f aca="false">SUMPRODUCT((Per_Clase="Indirecto")*Sal_O*INDEX(Dot_O,0,MIN(10,DX$17))*((Per_Mon="PYG")*DX$19+(Per_Mon&lt;&gt;"PYG")))*(DX$15+DX$16*P_PreInd)*INDEX(IdxSal_O,1,MIN(10,DX$17))*(1+P_Cargas)+DX$79*P_Alim*DX$19</f>
        <v>0</v>
      </c>
      <c r="DY80" s="48" t="n">
        <f aca="false">SUMPRODUCT((Per_Clase="Indirecto")*Sal_O*INDEX(Dot_O,0,MIN(10,DY$17))*((Per_Mon="PYG")*DY$19+(Per_Mon&lt;&gt;"PYG")))*(DY$15+DY$16*P_PreInd)*INDEX(IdxSal_O,1,MIN(10,DY$17))*(1+P_Cargas)+DY$79*P_Alim*DY$19</f>
        <v>0</v>
      </c>
      <c r="DZ80" s="48" t="n">
        <f aca="false">SUMPRODUCT((Per_Clase="Indirecto")*Sal_O*INDEX(Dot_O,0,MIN(10,DZ$17))*((Per_Mon="PYG")*DZ$19+(Per_Mon&lt;&gt;"PYG")))*(DZ$15+DZ$16*P_PreInd)*INDEX(IdxSal_O,1,MIN(10,DZ$17))*(1+P_Cargas)+DZ$79*P_Alim*DZ$19</f>
        <v>0</v>
      </c>
      <c r="EA80" s="48" t="n">
        <f aca="false">SUMPRODUCT((Per_Clase="Indirecto")*Sal_O*INDEX(Dot_O,0,MIN(10,EA$17))*((Per_Mon="PYG")*EA$19+(Per_Mon&lt;&gt;"PYG")))*(EA$15+EA$16*P_PreInd)*INDEX(IdxSal_O,1,MIN(10,EA$17))*(1+P_Cargas)+EA$79*P_Alim*EA$19</f>
        <v>0</v>
      </c>
      <c r="EB80" s="48" t="n">
        <f aca="false">SUMPRODUCT((Per_Clase="Indirecto")*Sal_O*INDEX(Dot_O,0,MIN(10,EB$17))*((Per_Mon="PYG")*EB$19+(Per_Mon&lt;&gt;"PYG")))*(EB$15+EB$16*P_PreInd)*INDEX(IdxSal_O,1,MIN(10,EB$17))*(1+P_Cargas)+EB$79*P_Alim*EB$19</f>
        <v>0</v>
      </c>
      <c r="EC80" s="48" t="n">
        <f aca="false">SUMPRODUCT((Per_Clase="Indirecto")*Sal_O*INDEX(Dot_O,0,MIN(10,EC$17))*((Per_Mon="PYG")*EC$19+(Per_Mon&lt;&gt;"PYG")))*(EC$15+EC$16*P_PreInd)*INDEX(IdxSal_O,1,MIN(10,EC$17))*(1+P_Cargas)+EC$79*P_Alim*EC$19</f>
        <v>0</v>
      </c>
      <c r="ED80" s="48" t="n">
        <f aca="false">SUMPRODUCT((Per_Clase="Indirecto")*Sal_O*INDEX(Dot_O,0,MIN(10,ED$17))*((Per_Mon="PYG")*ED$19+(Per_Mon&lt;&gt;"PYG")))*(ED$15+ED$16*P_PreInd)*INDEX(IdxSal_O,1,MIN(10,ED$17))*(1+P_Cargas)+ED$79*P_Alim*ED$19</f>
        <v>0</v>
      </c>
      <c r="EE80" s="48" t="n">
        <f aca="false">SUMPRODUCT((Per_Clase="Indirecto")*Sal_O*INDEX(Dot_O,0,MIN(10,EE$17))*((Per_Mon="PYG")*EE$19+(Per_Mon&lt;&gt;"PYG")))*(EE$15+EE$16*P_PreInd)*INDEX(IdxSal_O,1,MIN(10,EE$17))*(1+P_Cargas)+EE$79*P_Alim*EE$19</f>
        <v>0</v>
      </c>
      <c r="EF80" s="48" t="n">
        <f aca="false">SUMPRODUCT((Per_Clase="Indirecto")*Sal_O*INDEX(Dot_O,0,MIN(10,EF$17))*((Per_Mon="PYG")*EF$19+(Per_Mon&lt;&gt;"PYG")))*(EF$15+EF$16*P_PreInd)*INDEX(IdxSal_O,1,MIN(10,EF$17))*(1+P_Cargas)+EF$79*P_Alim*EF$19</f>
        <v>0</v>
      </c>
      <c r="EG80" s="48" t="n">
        <f aca="false">SUMPRODUCT((Per_Clase="Indirecto")*Sal_O*INDEX(Dot_O,0,MIN(10,EG$17))*((Per_Mon="PYG")*EG$19+(Per_Mon&lt;&gt;"PYG")))*(EG$15+EG$16*P_PreInd)*INDEX(IdxSal_O,1,MIN(10,EG$17))*(1+P_Cargas)+EG$79*P_Alim*EG$19</f>
        <v>0</v>
      </c>
      <c r="EH80" s="48" t="n">
        <f aca="false">SUMPRODUCT((Per_Clase="Indirecto")*Sal_O*INDEX(Dot_O,0,MIN(10,EH$17))*((Per_Mon="PYG")*EH$19+(Per_Mon&lt;&gt;"PYG")))*(EH$15+EH$16*P_PreInd)*INDEX(IdxSal_O,1,MIN(10,EH$17))*(1+P_Cargas)+EH$79*P_Alim*EH$19</f>
        <v>0</v>
      </c>
      <c r="EI80" s="48" t="n">
        <f aca="false">SUMPRODUCT((Per_Clase="Indirecto")*Sal_O*INDEX(Dot_O,0,MIN(10,EI$17))*((Per_Mon="PYG")*EI$19+(Per_Mon&lt;&gt;"PYG")))*(EI$15+EI$16*P_PreInd)*INDEX(IdxSal_O,1,MIN(10,EI$17))*(1+P_Cargas)+EI$79*P_Alim*EI$19</f>
        <v>0</v>
      </c>
      <c r="EJ80" s="48" t="n">
        <f aca="false">SUMPRODUCT((Per_Clase="Indirecto")*Sal_O*INDEX(Dot_O,0,MIN(10,EJ$17))*((Per_Mon="PYG")*EJ$19+(Per_Mon&lt;&gt;"PYG")))*(EJ$15+EJ$16*P_PreInd)*INDEX(IdxSal_O,1,MIN(10,EJ$17))*(1+P_Cargas)+EJ$79*P_Alim*EJ$19</f>
        <v>0</v>
      </c>
      <c r="EK80" s="48" t="n">
        <f aca="false">SUMPRODUCT((Per_Clase="Indirecto")*Sal_O*INDEX(Dot_O,0,MIN(10,EK$17))*((Per_Mon="PYG")*EK$19+(Per_Mon&lt;&gt;"PYG")))*(EK$15+EK$16*P_PreInd)*INDEX(IdxSal_O,1,MIN(10,EK$17))*(1+P_Cargas)+EK$79*P_Alim*EK$19</f>
        <v>0</v>
      </c>
      <c r="EL80" s="48" t="n">
        <f aca="false">SUMPRODUCT((Per_Clase="Indirecto")*Sal_O*INDEX(Dot_O,0,MIN(10,EL$17))*((Per_Mon="PYG")*EL$19+(Per_Mon&lt;&gt;"PYG")))*(EL$15+EL$16*P_PreInd)*INDEX(IdxSal_O,1,MIN(10,EL$17))*(1+P_Cargas)+EL$79*P_Alim*EL$19</f>
        <v>0</v>
      </c>
      <c r="EM80" s="48" t="n">
        <f aca="false">SUMPRODUCT((Per_Clase="Indirecto")*Sal_O*INDEX(Dot_O,0,MIN(10,EM$17))*((Per_Mon="PYG")*EM$19+(Per_Mon&lt;&gt;"PYG")))*(EM$15+EM$16*P_PreInd)*INDEX(IdxSal_O,1,MIN(10,EM$17))*(1+P_Cargas)+EM$79*P_Alim*EM$19</f>
        <v>0</v>
      </c>
      <c r="EN80" s="48" t="n">
        <f aca="false">SUMPRODUCT((Per_Clase="Indirecto")*Sal_O*INDEX(Dot_O,0,MIN(10,EN$17))*((Per_Mon="PYG")*EN$19+(Per_Mon&lt;&gt;"PYG")))*(EN$15+EN$16*P_PreInd)*INDEX(IdxSal_O,1,MIN(10,EN$17))*(1+P_Cargas)+EN$79*P_Alim*EN$19</f>
        <v>0</v>
      </c>
      <c r="EO80" s="48" t="n">
        <f aca="false">SUMPRODUCT((Per_Clase="Indirecto")*Sal_O*INDEX(Dot_O,0,MIN(10,EO$17))*((Per_Mon="PYG")*EO$19+(Per_Mon&lt;&gt;"PYG")))*(EO$15+EO$16*P_PreInd)*INDEX(IdxSal_O,1,MIN(10,EO$17))*(1+P_Cargas)+EO$79*P_Alim*EO$19</f>
        <v>0</v>
      </c>
      <c r="EP80" s="48" t="n">
        <f aca="false">SUMPRODUCT((Per_Clase="Indirecto")*Sal_O*INDEX(Dot_O,0,MIN(10,EP$17))*((Per_Mon="PYG")*EP$19+(Per_Mon&lt;&gt;"PYG")))*(EP$15+EP$16*P_PreInd)*INDEX(IdxSal_O,1,MIN(10,EP$17))*(1+P_Cargas)+EP$79*P_Alim*EP$19</f>
        <v>0</v>
      </c>
      <c r="EQ80" s="48" t="n">
        <f aca="false">SUMPRODUCT((Per_Clase="Indirecto")*Sal_O*INDEX(Dot_O,0,MIN(10,EQ$17))*((Per_Mon="PYG")*EQ$19+(Per_Mon&lt;&gt;"PYG")))*(EQ$15+EQ$16*P_PreInd)*INDEX(IdxSal_O,1,MIN(10,EQ$17))*(1+P_Cargas)+EQ$79*P_Alim*EQ$19</f>
        <v>0</v>
      </c>
      <c r="ER80" s="48" t="n">
        <f aca="false">SUMPRODUCT((Per_Clase="Indirecto")*Sal_O*INDEX(Dot_O,0,MIN(10,ER$17))*((Per_Mon="PYG")*ER$19+(Per_Mon&lt;&gt;"PYG")))*(ER$15+ER$16*P_PreInd)*INDEX(IdxSal_O,1,MIN(10,ER$17))*(1+P_Cargas)+ER$79*P_Alim*ER$19</f>
        <v>0</v>
      </c>
      <c r="ES80" s="48" t="n">
        <f aca="false">SUMPRODUCT((Per_Clase="Indirecto")*Sal_O*INDEX(Dot_O,0,MIN(10,ES$17))*((Per_Mon="PYG")*ES$19+(Per_Mon&lt;&gt;"PYG")))*(ES$15+ES$16*P_PreInd)*INDEX(IdxSal_O,1,MIN(10,ES$17))*(1+P_Cargas)+ES$79*P_Alim*ES$19</f>
        <v>0</v>
      </c>
    </row>
    <row r="81" customFormat="false" ht="15" hidden="false" customHeight="false" outlineLevel="0" collapsed="false">
      <c r="A81" s="11" t="s">
        <v>1135</v>
      </c>
      <c r="B81" s="15" t="s">
        <v>1136</v>
      </c>
      <c r="C81" s="15" t="s">
        <v>853</v>
      </c>
      <c r="F81" s="50" t="n">
        <f aca="false">SUMPRODUCT((Per_Clase="Administración")*INDEX(Dot_O,0,MIN(10,F$17)))*(F$15+F$16*P_PreInd)</f>
        <v>5</v>
      </c>
      <c r="G81" s="50" t="n">
        <f aca="false">SUMPRODUCT((Per_Clase="Administración")*INDEX(Dot_O,0,MIN(10,G$17)))*(G$15+G$16*P_PreInd)</f>
        <v>5</v>
      </c>
      <c r="H81" s="50" t="n">
        <f aca="false">SUMPRODUCT((Per_Clase="Administración")*INDEX(Dot_O,0,MIN(10,H$17)))*(H$15+H$16*P_PreInd)</f>
        <v>5</v>
      </c>
      <c r="I81" s="50" t="n">
        <f aca="false">SUMPRODUCT((Per_Clase="Administración")*INDEX(Dot_O,0,MIN(10,I$17)))*(I$15+I$16*P_PreInd)</f>
        <v>5</v>
      </c>
      <c r="J81" s="50" t="n">
        <f aca="false">SUMPRODUCT((Per_Clase="Administración")*INDEX(Dot_O,0,MIN(10,J$17)))*(J$15+J$16*P_PreInd)</f>
        <v>5</v>
      </c>
      <c r="K81" s="50" t="n">
        <f aca="false">SUMPRODUCT((Per_Clase="Administración")*INDEX(Dot_O,0,MIN(10,K$17)))*(K$15+K$16*P_PreInd)</f>
        <v>5</v>
      </c>
      <c r="L81" s="50" t="n">
        <f aca="false">SUMPRODUCT((Per_Clase="Administración")*INDEX(Dot_O,0,MIN(10,L$17)))*(L$15+L$16*P_PreInd)</f>
        <v>5</v>
      </c>
      <c r="M81" s="50" t="n">
        <f aca="false">SUMPRODUCT((Per_Clase="Administración")*INDEX(Dot_O,0,MIN(10,M$17)))*(M$15+M$16*P_PreInd)</f>
        <v>5</v>
      </c>
      <c r="N81" s="50" t="n">
        <f aca="false">SUMPRODUCT((Per_Clase="Administración")*INDEX(Dot_O,0,MIN(10,N$17)))*(N$15+N$16*P_PreInd)</f>
        <v>5</v>
      </c>
      <c r="O81" s="50" t="n">
        <f aca="false">SUMPRODUCT((Per_Clase="Administración")*INDEX(Dot_O,0,MIN(10,O$17)))*(O$15+O$16*P_PreInd)</f>
        <v>5</v>
      </c>
      <c r="P81" s="50" t="n">
        <f aca="false">SUMPRODUCT((Per_Clase="Administración")*INDEX(Dot_O,0,MIN(10,P$17)))*(P$15+P$16*P_PreInd)</f>
        <v>5</v>
      </c>
      <c r="Q81" s="50" t="n">
        <f aca="false">SUMPRODUCT((Per_Clase="Administración")*INDEX(Dot_O,0,MIN(10,Q$17)))*(Q$15+Q$16*P_PreInd)</f>
        <v>5</v>
      </c>
      <c r="R81" s="50" t="n">
        <f aca="false">SUMPRODUCT((Per_Clase="Administración")*INDEX(Dot_O,0,MIN(10,R$17)))*(R$15+R$16*P_PreInd)</f>
        <v>5</v>
      </c>
      <c r="S81" s="50" t="n">
        <f aca="false">SUMPRODUCT((Per_Clase="Administración")*INDEX(Dot_O,0,MIN(10,S$17)))*(S$15+S$16*P_PreInd)</f>
        <v>5</v>
      </c>
      <c r="T81" s="50" t="n">
        <f aca="false">SUMPRODUCT((Per_Clase="Administración")*INDEX(Dot_O,0,MIN(10,T$17)))*(T$15+T$16*P_PreInd)</f>
        <v>5</v>
      </c>
      <c r="U81" s="50" t="n">
        <f aca="false">SUMPRODUCT((Per_Clase="Administración")*INDEX(Dot_O,0,MIN(10,U$17)))*(U$15+U$16*P_PreInd)</f>
        <v>5</v>
      </c>
      <c r="V81" s="50" t="n">
        <f aca="false">SUMPRODUCT((Per_Clase="Administración")*INDEX(Dot_O,0,MIN(10,V$17)))*(V$15+V$16*P_PreInd)</f>
        <v>5</v>
      </c>
      <c r="W81" s="50" t="n">
        <f aca="false">SUMPRODUCT((Per_Clase="Administración")*INDEX(Dot_O,0,MIN(10,W$17)))*(W$15+W$16*P_PreInd)</f>
        <v>5</v>
      </c>
      <c r="X81" s="50" t="n">
        <f aca="false">SUMPRODUCT((Per_Clase="Administración")*INDEX(Dot_O,0,MIN(10,X$17)))*(X$15+X$16*P_PreInd)</f>
        <v>5</v>
      </c>
      <c r="Y81" s="50" t="n">
        <f aca="false">SUMPRODUCT((Per_Clase="Administración")*INDEX(Dot_O,0,MIN(10,Y$17)))*(Y$15+Y$16*P_PreInd)</f>
        <v>5</v>
      </c>
      <c r="Z81" s="50" t="n">
        <f aca="false">SUMPRODUCT((Per_Clase="Administración")*INDEX(Dot_O,0,MIN(10,Z$17)))*(Z$15+Z$16*P_PreInd)</f>
        <v>5</v>
      </c>
      <c r="AA81" s="50" t="n">
        <f aca="false">SUMPRODUCT((Per_Clase="Administración")*INDEX(Dot_O,0,MIN(10,AA$17)))*(AA$15+AA$16*P_PreInd)</f>
        <v>5</v>
      </c>
      <c r="AB81" s="50" t="n">
        <f aca="false">SUMPRODUCT((Per_Clase="Administración")*INDEX(Dot_O,0,MIN(10,AB$17)))*(AB$15+AB$16*P_PreInd)</f>
        <v>5</v>
      </c>
      <c r="AC81" s="50" t="n">
        <f aca="false">SUMPRODUCT((Per_Clase="Administración")*INDEX(Dot_O,0,MIN(10,AC$17)))*(AC$15+AC$16*P_PreInd)</f>
        <v>5</v>
      </c>
      <c r="AD81" s="50" t="n">
        <f aca="false">SUMPRODUCT((Per_Clase="Administración")*INDEX(Dot_O,0,MIN(10,AD$17)))*(AD$15+AD$16*P_PreInd)</f>
        <v>5</v>
      </c>
      <c r="AE81" s="50" t="n">
        <f aca="false">SUMPRODUCT((Per_Clase="Administración")*INDEX(Dot_O,0,MIN(10,AE$17)))*(AE$15+AE$16*P_PreInd)</f>
        <v>5</v>
      </c>
      <c r="AF81" s="50" t="n">
        <f aca="false">SUMPRODUCT((Per_Clase="Administración")*INDEX(Dot_O,0,MIN(10,AF$17)))*(AF$15+AF$16*P_PreInd)</f>
        <v>5</v>
      </c>
      <c r="AG81" s="50" t="n">
        <f aca="false">SUMPRODUCT((Per_Clase="Administración")*INDEX(Dot_O,0,MIN(10,AG$17)))*(AG$15+AG$16*P_PreInd)</f>
        <v>5</v>
      </c>
      <c r="AH81" s="50" t="n">
        <f aca="false">SUMPRODUCT((Per_Clase="Administración")*INDEX(Dot_O,0,MIN(10,AH$17)))*(AH$15+AH$16*P_PreInd)</f>
        <v>5</v>
      </c>
      <c r="AI81" s="50" t="n">
        <f aca="false">SUMPRODUCT((Per_Clase="Administración")*INDEX(Dot_O,0,MIN(10,AI$17)))*(AI$15+AI$16*P_PreInd)</f>
        <v>5</v>
      </c>
      <c r="AJ81" s="50" t="n">
        <f aca="false">SUMPRODUCT((Per_Clase="Administración")*INDEX(Dot_O,0,MIN(10,AJ$17)))*(AJ$15+AJ$16*P_PreInd)</f>
        <v>5</v>
      </c>
      <c r="AK81" s="50" t="n">
        <f aca="false">SUMPRODUCT((Per_Clase="Administración")*INDEX(Dot_O,0,MIN(10,AK$17)))*(AK$15+AK$16*P_PreInd)</f>
        <v>5</v>
      </c>
      <c r="AL81" s="50" t="n">
        <f aca="false">SUMPRODUCT((Per_Clase="Administración")*INDEX(Dot_O,0,MIN(10,AL$17)))*(AL$15+AL$16*P_PreInd)</f>
        <v>5</v>
      </c>
      <c r="AM81" s="50" t="n">
        <f aca="false">SUMPRODUCT((Per_Clase="Administración")*INDEX(Dot_O,0,MIN(10,AM$17)))*(AM$15+AM$16*P_PreInd)</f>
        <v>5</v>
      </c>
      <c r="AN81" s="50" t="n">
        <f aca="false">SUMPRODUCT((Per_Clase="Administración")*INDEX(Dot_O,0,MIN(10,AN$17)))*(AN$15+AN$16*P_PreInd)</f>
        <v>5</v>
      </c>
      <c r="AO81" s="50" t="n">
        <f aca="false">SUMPRODUCT((Per_Clase="Administración")*INDEX(Dot_O,0,MIN(10,AO$17)))*(AO$15+AO$16*P_PreInd)</f>
        <v>5</v>
      </c>
      <c r="AP81" s="50" t="n">
        <f aca="false">SUMPRODUCT((Per_Clase="Administración")*INDEX(Dot_O,0,MIN(10,AP$17)))*(AP$15+AP$16*P_PreInd)</f>
        <v>5</v>
      </c>
      <c r="AQ81" s="50" t="n">
        <f aca="false">SUMPRODUCT((Per_Clase="Administración")*INDEX(Dot_O,0,MIN(10,AQ$17)))*(AQ$15+AQ$16*P_PreInd)</f>
        <v>5</v>
      </c>
      <c r="AR81" s="50" t="n">
        <f aca="false">SUMPRODUCT((Per_Clase="Administración")*INDEX(Dot_O,0,MIN(10,AR$17)))*(AR$15+AR$16*P_PreInd)</f>
        <v>5</v>
      </c>
      <c r="AS81" s="50" t="n">
        <f aca="false">SUMPRODUCT((Per_Clase="Administración")*INDEX(Dot_O,0,MIN(10,AS$17)))*(AS$15+AS$16*P_PreInd)</f>
        <v>5</v>
      </c>
      <c r="AT81" s="50" t="n">
        <f aca="false">SUMPRODUCT((Per_Clase="Administración")*INDEX(Dot_O,0,MIN(10,AT$17)))*(AT$15+AT$16*P_PreInd)</f>
        <v>5</v>
      </c>
      <c r="AU81" s="50" t="n">
        <f aca="false">SUMPRODUCT((Per_Clase="Administración")*INDEX(Dot_O,0,MIN(10,AU$17)))*(AU$15+AU$16*P_PreInd)</f>
        <v>5</v>
      </c>
      <c r="AV81" s="50" t="n">
        <f aca="false">SUMPRODUCT((Per_Clase="Administración")*INDEX(Dot_O,0,MIN(10,AV$17)))*(AV$15+AV$16*P_PreInd)</f>
        <v>5</v>
      </c>
      <c r="AW81" s="50" t="n">
        <f aca="false">SUMPRODUCT((Per_Clase="Administración")*INDEX(Dot_O,0,MIN(10,AW$17)))*(AW$15+AW$16*P_PreInd)</f>
        <v>5</v>
      </c>
      <c r="AX81" s="50" t="n">
        <f aca="false">SUMPRODUCT((Per_Clase="Administración")*INDEX(Dot_O,0,MIN(10,AX$17)))*(AX$15+AX$16*P_PreInd)</f>
        <v>5</v>
      </c>
      <c r="AY81" s="50" t="n">
        <f aca="false">SUMPRODUCT((Per_Clase="Administración")*INDEX(Dot_O,0,MIN(10,AY$17)))*(AY$15+AY$16*P_PreInd)</f>
        <v>5</v>
      </c>
      <c r="AZ81" s="50" t="n">
        <f aca="false">SUMPRODUCT((Per_Clase="Administración")*INDEX(Dot_O,0,MIN(10,AZ$17)))*(AZ$15+AZ$16*P_PreInd)</f>
        <v>5</v>
      </c>
      <c r="BA81" s="50" t="n">
        <f aca="false">SUMPRODUCT((Per_Clase="Administración")*INDEX(Dot_O,0,MIN(10,BA$17)))*(BA$15+BA$16*P_PreInd)</f>
        <v>5</v>
      </c>
      <c r="BB81" s="50" t="n">
        <f aca="false">SUMPRODUCT((Per_Clase="Administración")*INDEX(Dot_O,0,MIN(10,BB$17)))*(BB$15+BB$16*P_PreInd)</f>
        <v>5</v>
      </c>
      <c r="BC81" s="50" t="n">
        <f aca="false">SUMPRODUCT((Per_Clase="Administración")*INDEX(Dot_O,0,MIN(10,BC$17)))*(BC$15+BC$16*P_PreInd)</f>
        <v>5</v>
      </c>
      <c r="BD81" s="50" t="n">
        <f aca="false">SUMPRODUCT((Per_Clase="Administración")*INDEX(Dot_O,0,MIN(10,BD$17)))*(BD$15+BD$16*P_PreInd)</f>
        <v>5</v>
      </c>
      <c r="BE81" s="50" t="n">
        <f aca="false">SUMPRODUCT((Per_Clase="Administración")*INDEX(Dot_O,0,MIN(10,BE$17)))*(BE$15+BE$16*P_PreInd)</f>
        <v>5</v>
      </c>
      <c r="BF81" s="50" t="n">
        <f aca="false">SUMPRODUCT((Per_Clase="Administración")*INDEX(Dot_O,0,MIN(10,BF$17)))*(BF$15+BF$16*P_PreInd)</f>
        <v>5</v>
      </c>
      <c r="BG81" s="50" t="n">
        <f aca="false">SUMPRODUCT((Per_Clase="Administración")*INDEX(Dot_O,0,MIN(10,BG$17)))*(BG$15+BG$16*P_PreInd)</f>
        <v>5</v>
      </c>
      <c r="BH81" s="50" t="n">
        <f aca="false">SUMPRODUCT((Per_Clase="Administración")*INDEX(Dot_O,0,MIN(10,BH$17)))*(BH$15+BH$16*P_PreInd)</f>
        <v>5</v>
      </c>
      <c r="BI81" s="50" t="n">
        <f aca="false">SUMPRODUCT((Per_Clase="Administración")*INDEX(Dot_O,0,MIN(10,BI$17)))*(BI$15+BI$16*P_PreInd)</f>
        <v>5</v>
      </c>
      <c r="BJ81" s="50" t="n">
        <f aca="false">SUMPRODUCT((Per_Clase="Administración")*INDEX(Dot_O,0,MIN(10,BJ$17)))*(BJ$15+BJ$16*P_PreInd)</f>
        <v>5</v>
      </c>
      <c r="BK81" s="50" t="n">
        <f aca="false">SUMPRODUCT((Per_Clase="Administración")*INDEX(Dot_O,0,MIN(10,BK$17)))*(BK$15+BK$16*P_PreInd)</f>
        <v>5</v>
      </c>
      <c r="BL81" s="50" t="n">
        <f aca="false">SUMPRODUCT((Per_Clase="Administración")*INDEX(Dot_O,0,MIN(10,BL$17)))*(BL$15+BL$16*P_PreInd)</f>
        <v>5</v>
      </c>
      <c r="BM81" s="50" t="n">
        <f aca="false">SUMPRODUCT((Per_Clase="Administración")*INDEX(Dot_O,0,MIN(10,BM$17)))*(BM$15+BM$16*P_PreInd)</f>
        <v>5</v>
      </c>
      <c r="BN81" s="50" t="n">
        <f aca="false">SUMPRODUCT((Per_Clase="Administración")*INDEX(Dot_O,0,MIN(10,BN$17)))*(BN$15+BN$16*P_PreInd)</f>
        <v>5</v>
      </c>
      <c r="BO81" s="50" t="n">
        <f aca="false">SUMPRODUCT((Per_Clase="Administración")*INDEX(Dot_O,0,MIN(10,BO$17)))*(BO$15+BO$16*P_PreInd)</f>
        <v>5</v>
      </c>
      <c r="BP81" s="50" t="n">
        <f aca="false">SUMPRODUCT((Per_Clase="Administración")*INDEX(Dot_O,0,MIN(10,BP$17)))*(BP$15+BP$16*P_PreInd)</f>
        <v>5</v>
      </c>
      <c r="BQ81" s="50" t="n">
        <f aca="false">SUMPRODUCT((Per_Clase="Administración")*INDEX(Dot_O,0,MIN(10,BQ$17)))*(BQ$15+BQ$16*P_PreInd)</f>
        <v>5</v>
      </c>
      <c r="BR81" s="50" t="n">
        <f aca="false">SUMPRODUCT((Per_Clase="Administración")*INDEX(Dot_O,0,MIN(10,BR$17)))*(BR$15+BR$16*P_PreInd)</f>
        <v>5</v>
      </c>
      <c r="BS81" s="50" t="n">
        <f aca="false">SUMPRODUCT((Per_Clase="Administración")*INDEX(Dot_O,0,MIN(10,BS$17)))*(BS$15+BS$16*P_PreInd)</f>
        <v>5</v>
      </c>
      <c r="BT81" s="50" t="n">
        <f aca="false">SUMPRODUCT((Per_Clase="Administración")*INDEX(Dot_O,0,MIN(10,BT$17)))*(BT$15+BT$16*P_PreInd)</f>
        <v>5</v>
      </c>
      <c r="BU81" s="50" t="n">
        <f aca="false">SUMPRODUCT((Per_Clase="Administración")*INDEX(Dot_O,0,MIN(10,BU$17)))*(BU$15+BU$16*P_PreInd)</f>
        <v>5</v>
      </c>
      <c r="BV81" s="50" t="n">
        <f aca="false">SUMPRODUCT((Per_Clase="Administración")*INDEX(Dot_O,0,MIN(10,BV$17)))*(BV$15+BV$16*P_PreInd)</f>
        <v>5</v>
      </c>
      <c r="BW81" s="50" t="n">
        <f aca="false">SUMPRODUCT((Per_Clase="Administración")*INDEX(Dot_O,0,MIN(10,BW$17)))*(BW$15+BW$16*P_PreInd)</f>
        <v>5</v>
      </c>
      <c r="BX81" s="50" t="n">
        <f aca="false">SUMPRODUCT((Per_Clase="Administración")*INDEX(Dot_O,0,MIN(10,BX$17)))*(BX$15+BX$16*P_PreInd)</f>
        <v>5</v>
      </c>
      <c r="BY81" s="50" t="n">
        <f aca="false">SUMPRODUCT((Per_Clase="Administración")*INDEX(Dot_O,0,MIN(10,BY$17)))*(BY$15+BY$16*P_PreInd)</f>
        <v>5</v>
      </c>
      <c r="BZ81" s="50" t="n">
        <f aca="false">SUMPRODUCT((Per_Clase="Administración")*INDEX(Dot_O,0,MIN(10,BZ$17)))*(BZ$15+BZ$16*P_PreInd)</f>
        <v>5</v>
      </c>
      <c r="CA81" s="50" t="n">
        <f aca="false">SUMPRODUCT((Per_Clase="Administración")*INDEX(Dot_O,0,MIN(10,CA$17)))*(CA$15+CA$16*P_PreInd)</f>
        <v>5</v>
      </c>
      <c r="CB81" s="50" t="n">
        <f aca="false">SUMPRODUCT((Per_Clase="Administración")*INDEX(Dot_O,0,MIN(10,CB$17)))*(CB$15+CB$16*P_PreInd)</f>
        <v>5</v>
      </c>
      <c r="CC81" s="50" t="n">
        <f aca="false">SUMPRODUCT((Per_Clase="Administración")*INDEX(Dot_O,0,MIN(10,CC$17)))*(CC$15+CC$16*P_PreInd)</f>
        <v>5</v>
      </c>
      <c r="CD81" s="50" t="n">
        <f aca="false">SUMPRODUCT((Per_Clase="Administración")*INDEX(Dot_O,0,MIN(10,CD$17)))*(CD$15+CD$16*P_PreInd)</f>
        <v>5</v>
      </c>
      <c r="CE81" s="50" t="n">
        <f aca="false">SUMPRODUCT((Per_Clase="Administración")*INDEX(Dot_O,0,MIN(10,CE$17)))*(CE$15+CE$16*P_PreInd)</f>
        <v>5</v>
      </c>
      <c r="CF81" s="50" t="n">
        <f aca="false">SUMPRODUCT((Per_Clase="Administración")*INDEX(Dot_O,0,MIN(10,CF$17)))*(CF$15+CF$16*P_PreInd)</f>
        <v>5</v>
      </c>
      <c r="CG81" s="50" t="n">
        <f aca="false">SUMPRODUCT((Per_Clase="Administración")*INDEX(Dot_O,0,MIN(10,CG$17)))*(CG$15+CG$16*P_PreInd)</f>
        <v>5</v>
      </c>
      <c r="CH81" s="50" t="n">
        <f aca="false">SUMPRODUCT((Per_Clase="Administración")*INDEX(Dot_O,0,MIN(10,CH$17)))*(CH$15+CH$16*P_PreInd)</f>
        <v>5</v>
      </c>
      <c r="CI81" s="50" t="n">
        <f aca="false">SUMPRODUCT((Per_Clase="Administración")*INDEX(Dot_O,0,MIN(10,CI$17)))*(CI$15+CI$16*P_PreInd)</f>
        <v>5</v>
      </c>
      <c r="CJ81" s="50" t="n">
        <f aca="false">SUMPRODUCT((Per_Clase="Administración")*INDEX(Dot_O,0,MIN(10,CJ$17)))*(CJ$15+CJ$16*P_PreInd)</f>
        <v>5</v>
      </c>
      <c r="CK81" s="50" t="n">
        <f aca="false">SUMPRODUCT((Per_Clase="Administración")*INDEX(Dot_O,0,MIN(10,CK$17)))*(CK$15+CK$16*P_PreInd)</f>
        <v>5</v>
      </c>
      <c r="CL81" s="50" t="n">
        <f aca="false">SUMPRODUCT((Per_Clase="Administración")*INDEX(Dot_O,0,MIN(10,CL$17)))*(CL$15+CL$16*P_PreInd)</f>
        <v>5</v>
      </c>
      <c r="CM81" s="50" t="n">
        <f aca="false">SUMPRODUCT((Per_Clase="Administración")*INDEX(Dot_O,0,MIN(10,CM$17)))*(CM$15+CM$16*P_PreInd)</f>
        <v>5</v>
      </c>
      <c r="CN81" s="50" t="n">
        <f aca="false">SUMPRODUCT((Per_Clase="Administración")*INDEX(Dot_O,0,MIN(10,CN$17)))*(CN$15+CN$16*P_PreInd)</f>
        <v>5</v>
      </c>
      <c r="CO81" s="50" t="n">
        <f aca="false">SUMPRODUCT((Per_Clase="Administración")*INDEX(Dot_O,0,MIN(10,CO$17)))*(CO$15+CO$16*P_PreInd)</f>
        <v>5</v>
      </c>
      <c r="CP81" s="50" t="n">
        <f aca="false">SUMPRODUCT((Per_Clase="Administración")*INDEX(Dot_O,0,MIN(10,CP$17)))*(CP$15+CP$16*P_PreInd)</f>
        <v>5</v>
      </c>
      <c r="CQ81" s="50" t="n">
        <f aca="false">SUMPRODUCT((Per_Clase="Administración")*INDEX(Dot_O,0,MIN(10,CQ$17)))*(CQ$15+CQ$16*P_PreInd)</f>
        <v>5</v>
      </c>
      <c r="CR81" s="50" t="n">
        <f aca="false">SUMPRODUCT((Per_Clase="Administración")*INDEX(Dot_O,0,MIN(10,CR$17)))*(CR$15+CR$16*P_PreInd)</f>
        <v>5</v>
      </c>
      <c r="CS81" s="50" t="n">
        <f aca="false">SUMPRODUCT((Per_Clase="Administración")*INDEX(Dot_O,0,MIN(10,CS$17)))*(CS$15+CS$16*P_PreInd)</f>
        <v>5</v>
      </c>
      <c r="CT81" s="50" t="n">
        <f aca="false">SUMPRODUCT((Per_Clase="Administración")*INDEX(Dot_O,0,MIN(10,CT$17)))*(CT$15+CT$16*P_PreInd)</f>
        <v>5</v>
      </c>
      <c r="CU81" s="50" t="n">
        <f aca="false">SUMPRODUCT((Per_Clase="Administración")*INDEX(Dot_O,0,MIN(10,CU$17)))*(CU$15+CU$16*P_PreInd)</f>
        <v>5</v>
      </c>
      <c r="CV81" s="50" t="n">
        <f aca="false">SUMPRODUCT((Per_Clase="Administración")*INDEX(Dot_O,0,MIN(10,CV$17)))*(CV$15+CV$16*P_PreInd)</f>
        <v>5</v>
      </c>
      <c r="CW81" s="50" t="n">
        <f aca="false">SUMPRODUCT((Per_Clase="Administración")*INDEX(Dot_O,0,MIN(10,CW$17)))*(CW$15+CW$16*P_PreInd)</f>
        <v>5</v>
      </c>
      <c r="CX81" s="50" t="n">
        <f aca="false">SUMPRODUCT((Per_Clase="Administración")*INDEX(Dot_O,0,MIN(10,CX$17)))*(CX$15+CX$16*P_PreInd)</f>
        <v>5</v>
      </c>
      <c r="CY81" s="50" t="n">
        <f aca="false">SUMPRODUCT((Per_Clase="Administración")*INDEX(Dot_O,0,MIN(10,CY$17)))*(CY$15+CY$16*P_PreInd)</f>
        <v>5</v>
      </c>
      <c r="CZ81" s="50" t="n">
        <f aca="false">SUMPRODUCT((Per_Clase="Administración")*INDEX(Dot_O,0,MIN(10,CZ$17)))*(CZ$15+CZ$16*P_PreInd)</f>
        <v>5</v>
      </c>
      <c r="DA81" s="50" t="n">
        <f aca="false">SUMPRODUCT((Per_Clase="Administración")*INDEX(Dot_O,0,MIN(10,DA$17)))*(DA$15+DA$16*P_PreInd)</f>
        <v>5</v>
      </c>
      <c r="DB81" s="50" t="n">
        <f aca="false">SUMPRODUCT((Per_Clase="Administración")*INDEX(Dot_O,0,MIN(10,DB$17)))*(DB$15+DB$16*P_PreInd)</f>
        <v>5</v>
      </c>
      <c r="DC81" s="50" t="n">
        <f aca="false">SUMPRODUCT((Per_Clase="Administración")*INDEX(Dot_O,0,MIN(10,DC$17)))*(DC$15+DC$16*P_PreInd)</f>
        <v>5</v>
      </c>
      <c r="DD81" s="50" t="n">
        <f aca="false">SUMPRODUCT((Per_Clase="Administración")*INDEX(Dot_O,0,MIN(10,DD$17)))*(DD$15+DD$16*P_PreInd)</f>
        <v>5</v>
      </c>
      <c r="DE81" s="50" t="n">
        <f aca="false">SUMPRODUCT((Per_Clase="Administración")*INDEX(Dot_O,0,MIN(10,DE$17)))*(DE$15+DE$16*P_PreInd)</f>
        <v>5</v>
      </c>
      <c r="DF81" s="50" t="n">
        <f aca="false">SUMPRODUCT((Per_Clase="Administración")*INDEX(Dot_O,0,MIN(10,DF$17)))*(DF$15+DF$16*P_PreInd)</f>
        <v>5</v>
      </c>
      <c r="DG81" s="50" t="n">
        <f aca="false">SUMPRODUCT((Per_Clase="Administración")*INDEX(Dot_O,0,MIN(10,DG$17)))*(DG$15+DG$16*P_PreInd)</f>
        <v>5</v>
      </c>
      <c r="DH81" s="50" t="n">
        <f aca="false">SUMPRODUCT((Per_Clase="Administración")*INDEX(Dot_O,0,MIN(10,DH$17)))*(DH$15+DH$16*P_PreInd)</f>
        <v>5</v>
      </c>
      <c r="DI81" s="50" t="n">
        <f aca="false">SUMPRODUCT((Per_Clase="Administración")*INDEX(Dot_O,0,MIN(10,DI$17)))*(DI$15+DI$16*P_PreInd)</f>
        <v>5</v>
      </c>
      <c r="DJ81" s="50" t="n">
        <f aca="false">SUMPRODUCT((Per_Clase="Administración")*INDEX(Dot_O,0,MIN(10,DJ$17)))*(DJ$15+DJ$16*P_PreInd)</f>
        <v>5</v>
      </c>
      <c r="DK81" s="50" t="n">
        <f aca="false">SUMPRODUCT((Per_Clase="Administración")*INDEX(Dot_O,0,MIN(10,DK$17)))*(DK$15+DK$16*P_PreInd)</f>
        <v>5</v>
      </c>
      <c r="DL81" s="50" t="n">
        <f aca="false">SUMPRODUCT((Per_Clase="Administración")*INDEX(Dot_O,0,MIN(10,DL$17)))*(DL$15+DL$16*P_PreInd)</f>
        <v>5</v>
      </c>
      <c r="DM81" s="50" t="n">
        <f aca="false">SUMPRODUCT((Per_Clase="Administración")*INDEX(Dot_O,0,MIN(10,DM$17)))*(DM$15+DM$16*P_PreInd)</f>
        <v>5</v>
      </c>
      <c r="DN81" s="50" t="n">
        <f aca="false">SUMPRODUCT((Per_Clase="Administración")*INDEX(Dot_O,0,MIN(10,DN$17)))*(DN$15+DN$16*P_PreInd)</f>
        <v>5</v>
      </c>
      <c r="DO81" s="50" t="n">
        <f aca="false">SUMPRODUCT((Per_Clase="Administración")*INDEX(Dot_O,0,MIN(10,DO$17)))*(DO$15+DO$16*P_PreInd)</f>
        <v>5</v>
      </c>
      <c r="DP81" s="50" t="n">
        <f aca="false">SUMPRODUCT((Per_Clase="Administración")*INDEX(Dot_O,0,MIN(10,DP$17)))*(DP$15+DP$16*P_PreInd)</f>
        <v>5</v>
      </c>
      <c r="DQ81" s="50" t="n">
        <f aca="false">SUMPRODUCT((Per_Clase="Administración")*INDEX(Dot_O,0,MIN(10,DQ$17)))*(DQ$15+DQ$16*P_PreInd)</f>
        <v>5</v>
      </c>
      <c r="DR81" s="50" t="n">
        <f aca="false">SUMPRODUCT((Per_Clase="Administración")*INDEX(Dot_O,0,MIN(10,DR$17)))*(DR$15+DR$16*P_PreInd)</f>
        <v>5</v>
      </c>
      <c r="DS81" s="50" t="n">
        <f aca="false">SUMPRODUCT((Per_Clase="Administración")*INDEX(Dot_O,0,MIN(10,DS$17)))*(DS$15+DS$16*P_PreInd)</f>
        <v>5</v>
      </c>
      <c r="DT81" s="50" t="n">
        <f aca="false">SUMPRODUCT((Per_Clase="Administración")*INDEX(Dot_O,0,MIN(10,DT$17)))*(DT$15+DT$16*P_PreInd)</f>
        <v>5</v>
      </c>
      <c r="DU81" s="50" t="n">
        <f aca="false">SUMPRODUCT((Per_Clase="Administración")*INDEX(Dot_O,0,MIN(10,DU$17)))*(DU$15+DU$16*P_PreInd)</f>
        <v>5</v>
      </c>
      <c r="DV81" s="50" t="n">
        <f aca="false">SUMPRODUCT((Per_Clase="Administración")*INDEX(Dot_O,0,MIN(10,DV$17)))*(DV$15+DV$16*P_PreInd)</f>
        <v>0</v>
      </c>
      <c r="DW81" s="50" t="n">
        <f aca="false">SUMPRODUCT((Per_Clase="Administración")*INDEX(Dot_O,0,MIN(10,DW$17)))*(DW$15+DW$16*P_PreInd)</f>
        <v>0</v>
      </c>
      <c r="DX81" s="50" t="n">
        <f aca="false">SUMPRODUCT((Per_Clase="Administración")*INDEX(Dot_O,0,MIN(10,DX$17)))*(DX$15+DX$16*P_PreInd)</f>
        <v>0</v>
      </c>
      <c r="DY81" s="50" t="n">
        <f aca="false">SUMPRODUCT((Per_Clase="Administración")*INDEX(Dot_O,0,MIN(10,DY$17)))*(DY$15+DY$16*P_PreInd)</f>
        <v>0</v>
      </c>
      <c r="DZ81" s="50" t="n">
        <f aca="false">SUMPRODUCT((Per_Clase="Administración")*INDEX(Dot_O,0,MIN(10,DZ$17)))*(DZ$15+DZ$16*P_PreInd)</f>
        <v>0</v>
      </c>
      <c r="EA81" s="50" t="n">
        <f aca="false">SUMPRODUCT((Per_Clase="Administración")*INDEX(Dot_O,0,MIN(10,EA$17)))*(EA$15+EA$16*P_PreInd)</f>
        <v>0</v>
      </c>
      <c r="EB81" s="50" t="n">
        <f aca="false">SUMPRODUCT((Per_Clase="Administración")*INDEX(Dot_O,0,MIN(10,EB$17)))*(EB$15+EB$16*P_PreInd)</f>
        <v>0</v>
      </c>
      <c r="EC81" s="50" t="n">
        <f aca="false">SUMPRODUCT((Per_Clase="Administración")*INDEX(Dot_O,0,MIN(10,EC$17)))*(EC$15+EC$16*P_PreInd)</f>
        <v>0</v>
      </c>
      <c r="ED81" s="50" t="n">
        <f aca="false">SUMPRODUCT((Per_Clase="Administración")*INDEX(Dot_O,0,MIN(10,ED$17)))*(ED$15+ED$16*P_PreInd)</f>
        <v>0</v>
      </c>
      <c r="EE81" s="50" t="n">
        <f aca="false">SUMPRODUCT((Per_Clase="Administración")*INDEX(Dot_O,0,MIN(10,EE$17)))*(EE$15+EE$16*P_PreInd)</f>
        <v>0</v>
      </c>
      <c r="EF81" s="50" t="n">
        <f aca="false">SUMPRODUCT((Per_Clase="Administración")*INDEX(Dot_O,0,MIN(10,EF$17)))*(EF$15+EF$16*P_PreInd)</f>
        <v>0</v>
      </c>
      <c r="EG81" s="50" t="n">
        <f aca="false">SUMPRODUCT((Per_Clase="Administración")*INDEX(Dot_O,0,MIN(10,EG$17)))*(EG$15+EG$16*P_PreInd)</f>
        <v>0</v>
      </c>
      <c r="EH81" s="50" t="n">
        <f aca="false">SUMPRODUCT((Per_Clase="Administración")*INDEX(Dot_O,0,MIN(10,EH$17)))*(EH$15+EH$16*P_PreInd)</f>
        <v>0</v>
      </c>
      <c r="EI81" s="50" t="n">
        <f aca="false">SUMPRODUCT((Per_Clase="Administración")*INDEX(Dot_O,0,MIN(10,EI$17)))*(EI$15+EI$16*P_PreInd)</f>
        <v>0</v>
      </c>
      <c r="EJ81" s="50" t="n">
        <f aca="false">SUMPRODUCT((Per_Clase="Administración")*INDEX(Dot_O,0,MIN(10,EJ$17)))*(EJ$15+EJ$16*P_PreInd)</f>
        <v>0</v>
      </c>
      <c r="EK81" s="50" t="n">
        <f aca="false">SUMPRODUCT((Per_Clase="Administración")*INDEX(Dot_O,0,MIN(10,EK$17)))*(EK$15+EK$16*P_PreInd)</f>
        <v>0</v>
      </c>
      <c r="EL81" s="50" t="n">
        <f aca="false">SUMPRODUCT((Per_Clase="Administración")*INDEX(Dot_O,0,MIN(10,EL$17)))*(EL$15+EL$16*P_PreInd)</f>
        <v>0</v>
      </c>
      <c r="EM81" s="50" t="n">
        <f aca="false">SUMPRODUCT((Per_Clase="Administración")*INDEX(Dot_O,0,MIN(10,EM$17)))*(EM$15+EM$16*P_PreInd)</f>
        <v>0</v>
      </c>
      <c r="EN81" s="50" t="n">
        <f aca="false">SUMPRODUCT((Per_Clase="Administración")*INDEX(Dot_O,0,MIN(10,EN$17)))*(EN$15+EN$16*P_PreInd)</f>
        <v>0</v>
      </c>
      <c r="EO81" s="50" t="n">
        <f aca="false">SUMPRODUCT((Per_Clase="Administración")*INDEX(Dot_O,0,MIN(10,EO$17)))*(EO$15+EO$16*P_PreInd)</f>
        <v>0</v>
      </c>
      <c r="EP81" s="50" t="n">
        <f aca="false">SUMPRODUCT((Per_Clase="Administración")*INDEX(Dot_O,0,MIN(10,EP$17)))*(EP$15+EP$16*P_PreInd)</f>
        <v>0</v>
      </c>
      <c r="EQ81" s="50" t="n">
        <f aca="false">SUMPRODUCT((Per_Clase="Administración")*INDEX(Dot_O,0,MIN(10,EQ$17)))*(EQ$15+EQ$16*P_PreInd)</f>
        <v>0</v>
      </c>
      <c r="ER81" s="50" t="n">
        <f aca="false">SUMPRODUCT((Per_Clase="Administración")*INDEX(Dot_O,0,MIN(10,ER$17)))*(ER$15+ER$16*P_PreInd)</f>
        <v>0</v>
      </c>
      <c r="ES81" s="50" t="n">
        <f aca="false">SUMPRODUCT((Per_Clase="Administración")*INDEX(Dot_O,0,MIN(10,ES$17)))*(ES$15+ES$16*P_PreInd)</f>
        <v>0</v>
      </c>
    </row>
    <row r="82" customFormat="false" ht="15" hidden="false" customHeight="false" outlineLevel="0" collapsed="false">
      <c r="A82" s="11" t="s">
        <v>1137</v>
      </c>
      <c r="B82" s="15" t="s">
        <v>1138</v>
      </c>
      <c r="C82" s="15" t="s">
        <v>508</v>
      </c>
      <c r="E82" s="54" t="n">
        <f aca="false">SUM(F82:ES82)</f>
        <v>1075198.52627014</v>
      </c>
      <c r="F82" s="48" t="n">
        <f aca="false">SUMPRODUCT((Per_Clase="Administración")*Sal_O*INDEX(Dot_O,0,MIN(10,F$17))*((Per_Mon="PYG")*F$19+(Per_Mon&lt;&gt;"PYG")))*(F$15+F$16*P_PreInd)*INDEX(IdxSal_O,1,MIN(10,F$17))*(1+P_Cargas)+F$81*P_Alim*F$19</f>
        <v>8959.98771891781</v>
      </c>
      <c r="G82" s="48" t="n">
        <f aca="false">SUMPRODUCT((Per_Clase="Administración")*Sal_O*INDEX(Dot_O,0,MIN(10,G$17))*((Per_Mon="PYG")*G$19+(Per_Mon&lt;&gt;"PYG")))*(G$15+G$16*P_PreInd)*INDEX(IdxSal_O,1,MIN(10,G$17))*(1+P_Cargas)+G$81*P_Alim*G$19</f>
        <v>8959.98771891781</v>
      </c>
      <c r="H82" s="48" t="n">
        <f aca="false">SUMPRODUCT((Per_Clase="Administración")*Sal_O*INDEX(Dot_O,0,MIN(10,H$17))*((Per_Mon="PYG")*H$19+(Per_Mon&lt;&gt;"PYG")))*(H$15+H$16*P_PreInd)*INDEX(IdxSal_O,1,MIN(10,H$17))*(1+P_Cargas)+H$81*P_Alim*H$19</f>
        <v>8959.98771891781</v>
      </c>
      <c r="I82" s="48" t="n">
        <f aca="false">SUMPRODUCT((Per_Clase="Administración")*Sal_O*INDEX(Dot_O,0,MIN(10,I$17))*((Per_Mon="PYG")*I$19+(Per_Mon&lt;&gt;"PYG")))*(I$15+I$16*P_PreInd)*INDEX(IdxSal_O,1,MIN(10,I$17))*(1+P_Cargas)+I$81*P_Alim*I$19</f>
        <v>8959.98771891781</v>
      </c>
      <c r="J82" s="48" t="n">
        <f aca="false">SUMPRODUCT((Per_Clase="Administración")*Sal_O*INDEX(Dot_O,0,MIN(10,J$17))*((Per_Mon="PYG")*J$19+(Per_Mon&lt;&gt;"PYG")))*(J$15+J$16*P_PreInd)*INDEX(IdxSal_O,1,MIN(10,J$17))*(1+P_Cargas)+J$81*P_Alim*J$19</f>
        <v>8959.98771891781</v>
      </c>
      <c r="K82" s="48" t="n">
        <f aca="false">SUMPRODUCT((Per_Clase="Administración")*Sal_O*INDEX(Dot_O,0,MIN(10,K$17))*((Per_Mon="PYG")*K$19+(Per_Mon&lt;&gt;"PYG")))*(K$15+K$16*P_PreInd)*INDEX(IdxSal_O,1,MIN(10,K$17))*(1+P_Cargas)+K$81*P_Alim*K$19</f>
        <v>8959.98771891781</v>
      </c>
      <c r="L82" s="48" t="n">
        <f aca="false">SUMPRODUCT((Per_Clase="Administración")*Sal_O*INDEX(Dot_O,0,MIN(10,L$17))*((Per_Mon="PYG")*L$19+(Per_Mon&lt;&gt;"PYG")))*(L$15+L$16*P_PreInd)*INDEX(IdxSal_O,1,MIN(10,L$17))*(1+P_Cargas)+L$81*P_Alim*L$19</f>
        <v>8959.98771891781</v>
      </c>
      <c r="M82" s="48" t="n">
        <f aca="false">SUMPRODUCT((Per_Clase="Administración")*Sal_O*INDEX(Dot_O,0,MIN(10,M$17))*((Per_Mon="PYG")*M$19+(Per_Mon&lt;&gt;"PYG")))*(M$15+M$16*P_PreInd)*INDEX(IdxSal_O,1,MIN(10,M$17))*(1+P_Cargas)+M$81*P_Alim*M$19</f>
        <v>8959.98771891781</v>
      </c>
      <c r="N82" s="48" t="n">
        <f aca="false">SUMPRODUCT((Per_Clase="Administración")*Sal_O*INDEX(Dot_O,0,MIN(10,N$17))*((Per_Mon="PYG")*N$19+(Per_Mon&lt;&gt;"PYG")))*(N$15+N$16*P_PreInd)*INDEX(IdxSal_O,1,MIN(10,N$17))*(1+P_Cargas)+N$81*P_Alim*N$19</f>
        <v>8959.98771891781</v>
      </c>
      <c r="O82" s="48" t="n">
        <f aca="false">SUMPRODUCT((Per_Clase="Administración")*Sal_O*INDEX(Dot_O,0,MIN(10,O$17))*((Per_Mon="PYG")*O$19+(Per_Mon&lt;&gt;"PYG")))*(O$15+O$16*P_PreInd)*INDEX(IdxSal_O,1,MIN(10,O$17))*(1+P_Cargas)+O$81*P_Alim*O$19</f>
        <v>8959.98771891781</v>
      </c>
      <c r="P82" s="48" t="n">
        <f aca="false">SUMPRODUCT((Per_Clase="Administración")*Sal_O*INDEX(Dot_O,0,MIN(10,P$17))*((Per_Mon="PYG")*P$19+(Per_Mon&lt;&gt;"PYG")))*(P$15+P$16*P_PreInd)*INDEX(IdxSal_O,1,MIN(10,P$17))*(1+P_Cargas)+P$81*P_Alim*P$19</f>
        <v>8959.98771891781</v>
      </c>
      <c r="Q82" s="48" t="n">
        <f aca="false">SUMPRODUCT((Per_Clase="Administración")*Sal_O*INDEX(Dot_O,0,MIN(10,Q$17))*((Per_Mon="PYG")*Q$19+(Per_Mon&lt;&gt;"PYG")))*(Q$15+Q$16*P_PreInd)*INDEX(IdxSal_O,1,MIN(10,Q$17))*(1+P_Cargas)+Q$81*P_Alim*Q$19</f>
        <v>8959.98771891781</v>
      </c>
      <c r="R82" s="48" t="n">
        <f aca="false">SUMPRODUCT((Per_Clase="Administración")*Sal_O*INDEX(Dot_O,0,MIN(10,R$17))*((Per_Mon="PYG")*R$19+(Per_Mon&lt;&gt;"PYG")))*(R$15+R$16*P_PreInd)*INDEX(IdxSal_O,1,MIN(10,R$17))*(1+P_Cargas)+R$81*P_Alim*R$19</f>
        <v>8959.98771891781</v>
      </c>
      <c r="S82" s="48" t="n">
        <f aca="false">SUMPRODUCT((Per_Clase="Administración")*Sal_O*INDEX(Dot_O,0,MIN(10,S$17))*((Per_Mon="PYG")*S$19+(Per_Mon&lt;&gt;"PYG")))*(S$15+S$16*P_PreInd)*INDEX(IdxSal_O,1,MIN(10,S$17))*(1+P_Cargas)+S$81*P_Alim*S$19</f>
        <v>8959.98771891781</v>
      </c>
      <c r="T82" s="48" t="n">
        <f aca="false">SUMPRODUCT((Per_Clase="Administración")*Sal_O*INDEX(Dot_O,0,MIN(10,T$17))*((Per_Mon="PYG")*T$19+(Per_Mon&lt;&gt;"PYG")))*(T$15+T$16*P_PreInd)*INDEX(IdxSal_O,1,MIN(10,T$17))*(1+P_Cargas)+T$81*P_Alim*T$19</f>
        <v>8959.98771891781</v>
      </c>
      <c r="U82" s="48" t="n">
        <f aca="false">SUMPRODUCT((Per_Clase="Administración")*Sal_O*INDEX(Dot_O,0,MIN(10,U$17))*((Per_Mon="PYG")*U$19+(Per_Mon&lt;&gt;"PYG")))*(U$15+U$16*P_PreInd)*INDEX(IdxSal_O,1,MIN(10,U$17))*(1+P_Cargas)+U$81*P_Alim*U$19</f>
        <v>8959.98771891781</v>
      </c>
      <c r="V82" s="48" t="n">
        <f aca="false">SUMPRODUCT((Per_Clase="Administración")*Sal_O*INDEX(Dot_O,0,MIN(10,V$17))*((Per_Mon="PYG")*V$19+(Per_Mon&lt;&gt;"PYG")))*(V$15+V$16*P_PreInd)*INDEX(IdxSal_O,1,MIN(10,V$17))*(1+P_Cargas)+V$81*P_Alim*V$19</f>
        <v>8959.98771891781</v>
      </c>
      <c r="W82" s="48" t="n">
        <f aca="false">SUMPRODUCT((Per_Clase="Administración")*Sal_O*INDEX(Dot_O,0,MIN(10,W$17))*((Per_Mon="PYG")*W$19+(Per_Mon&lt;&gt;"PYG")))*(W$15+W$16*P_PreInd)*INDEX(IdxSal_O,1,MIN(10,W$17))*(1+P_Cargas)+W$81*P_Alim*W$19</f>
        <v>8959.98771891781</v>
      </c>
      <c r="X82" s="48" t="n">
        <f aca="false">SUMPRODUCT((Per_Clase="Administración")*Sal_O*INDEX(Dot_O,0,MIN(10,X$17))*((Per_Mon="PYG")*X$19+(Per_Mon&lt;&gt;"PYG")))*(X$15+X$16*P_PreInd)*INDEX(IdxSal_O,1,MIN(10,X$17))*(1+P_Cargas)+X$81*P_Alim*X$19</f>
        <v>8959.98771891781</v>
      </c>
      <c r="Y82" s="48" t="n">
        <f aca="false">SUMPRODUCT((Per_Clase="Administración")*Sal_O*INDEX(Dot_O,0,MIN(10,Y$17))*((Per_Mon="PYG")*Y$19+(Per_Mon&lt;&gt;"PYG")))*(Y$15+Y$16*P_PreInd)*INDEX(IdxSal_O,1,MIN(10,Y$17))*(1+P_Cargas)+Y$81*P_Alim*Y$19</f>
        <v>8959.98771891781</v>
      </c>
      <c r="Z82" s="48" t="n">
        <f aca="false">SUMPRODUCT((Per_Clase="Administración")*Sal_O*INDEX(Dot_O,0,MIN(10,Z$17))*((Per_Mon="PYG")*Z$19+(Per_Mon&lt;&gt;"PYG")))*(Z$15+Z$16*P_PreInd)*INDEX(IdxSal_O,1,MIN(10,Z$17))*(1+P_Cargas)+Z$81*P_Alim*Z$19</f>
        <v>8959.98771891781</v>
      </c>
      <c r="AA82" s="48" t="n">
        <f aca="false">SUMPRODUCT((Per_Clase="Administración")*Sal_O*INDEX(Dot_O,0,MIN(10,AA$17))*((Per_Mon="PYG")*AA$19+(Per_Mon&lt;&gt;"PYG")))*(AA$15+AA$16*P_PreInd)*INDEX(IdxSal_O,1,MIN(10,AA$17))*(1+P_Cargas)+AA$81*P_Alim*AA$19</f>
        <v>8959.98771891781</v>
      </c>
      <c r="AB82" s="48" t="n">
        <f aca="false">SUMPRODUCT((Per_Clase="Administración")*Sal_O*INDEX(Dot_O,0,MIN(10,AB$17))*((Per_Mon="PYG")*AB$19+(Per_Mon&lt;&gt;"PYG")))*(AB$15+AB$16*P_PreInd)*INDEX(IdxSal_O,1,MIN(10,AB$17))*(1+P_Cargas)+AB$81*P_Alim*AB$19</f>
        <v>8959.98771891781</v>
      </c>
      <c r="AC82" s="48" t="n">
        <f aca="false">SUMPRODUCT((Per_Clase="Administración")*Sal_O*INDEX(Dot_O,0,MIN(10,AC$17))*((Per_Mon="PYG")*AC$19+(Per_Mon&lt;&gt;"PYG")))*(AC$15+AC$16*P_PreInd)*INDEX(IdxSal_O,1,MIN(10,AC$17))*(1+P_Cargas)+AC$81*P_Alim*AC$19</f>
        <v>8959.98771891781</v>
      </c>
      <c r="AD82" s="48" t="n">
        <f aca="false">SUMPRODUCT((Per_Clase="Administración")*Sal_O*INDEX(Dot_O,0,MIN(10,AD$17))*((Per_Mon="PYG")*AD$19+(Per_Mon&lt;&gt;"PYG")))*(AD$15+AD$16*P_PreInd)*INDEX(IdxSal_O,1,MIN(10,AD$17))*(1+P_Cargas)+AD$81*P_Alim*AD$19</f>
        <v>8959.98771891781</v>
      </c>
      <c r="AE82" s="48" t="n">
        <f aca="false">SUMPRODUCT((Per_Clase="Administración")*Sal_O*INDEX(Dot_O,0,MIN(10,AE$17))*((Per_Mon="PYG")*AE$19+(Per_Mon&lt;&gt;"PYG")))*(AE$15+AE$16*P_PreInd)*INDEX(IdxSal_O,1,MIN(10,AE$17))*(1+P_Cargas)+AE$81*P_Alim*AE$19</f>
        <v>8959.98771891781</v>
      </c>
      <c r="AF82" s="48" t="n">
        <f aca="false">SUMPRODUCT((Per_Clase="Administración")*Sal_O*INDEX(Dot_O,0,MIN(10,AF$17))*((Per_Mon="PYG")*AF$19+(Per_Mon&lt;&gt;"PYG")))*(AF$15+AF$16*P_PreInd)*INDEX(IdxSal_O,1,MIN(10,AF$17))*(1+P_Cargas)+AF$81*P_Alim*AF$19</f>
        <v>8959.98771891781</v>
      </c>
      <c r="AG82" s="48" t="n">
        <f aca="false">SUMPRODUCT((Per_Clase="Administración")*Sal_O*INDEX(Dot_O,0,MIN(10,AG$17))*((Per_Mon="PYG")*AG$19+(Per_Mon&lt;&gt;"PYG")))*(AG$15+AG$16*P_PreInd)*INDEX(IdxSal_O,1,MIN(10,AG$17))*(1+P_Cargas)+AG$81*P_Alim*AG$19</f>
        <v>8959.98771891781</v>
      </c>
      <c r="AH82" s="48" t="n">
        <f aca="false">SUMPRODUCT((Per_Clase="Administración")*Sal_O*INDEX(Dot_O,0,MIN(10,AH$17))*((Per_Mon="PYG")*AH$19+(Per_Mon&lt;&gt;"PYG")))*(AH$15+AH$16*P_PreInd)*INDEX(IdxSal_O,1,MIN(10,AH$17))*(1+P_Cargas)+AH$81*P_Alim*AH$19</f>
        <v>8959.98771891781</v>
      </c>
      <c r="AI82" s="48" t="n">
        <f aca="false">SUMPRODUCT((Per_Clase="Administración")*Sal_O*INDEX(Dot_O,0,MIN(10,AI$17))*((Per_Mon="PYG")*AI$19+(Per_Mon&lt;&gt;"PYG")))*(AI$15+AI$16*P_PreInd)*INDEX(IdxSal_O,1,MIN(10,AI$17))*(1+P_Cargas)+AI$81*P_Alim*AI$19</f>
        <v>8959.98771891781</v>
      </c>
      <c r="AJ82" s="48" t="n">
        <f aca="false">SUMPRODUCT((Per_Clase="Administración")*Sal_O*INDEX(Dot_O,0,MIN(10,AJ$17))*((Per_Mon="PYG")*AJ$19+(Per_Mon&lt;&gt;"PYG")))*(AJ$15+AJ$16*P_PreInd)*INDEX(IdxSal_O,1,MIN(10,AJ$17))*(1+P_Cargas)+AJ$81*P_Alim*AJ$19</f>
        <v>8959.98771891781</v>
      </c>
      <c r="AK82" s="48" t="n">
        <f aca="false">SUMPRODUCT((Per_Clase="Administración")*Sal_O*INDEX(Dot_O,0,MIN(10,AK$17))*((Per_Mon="PYG")*AK$19+(Per_Mon&lt;&gt;"PYG")))*(AK$15+AK$16*P_PreInd)*INDEX(IdxSal_O,1,MIN(10,AK$17))*(1+P_Cargas)+AK$81*P_Alim*AK$19</f>
        <v>8959.98771891781</v>
      </c>
      <c r="AL82" s="48" t="n">
        <f aca="false">SUMPRODUCT((Per_Clase="Administración")*Sal_O*INDEX(Dot_O,0,MIN(10,AL$17))*((Per_Mon="PYG")*AL$19+(Per_Mon&lt;&gt;"PYG")))*(AL$15+AL$16*P_PreInd)*INDEX(IdxSal_O,1,MIN(10,AL$17))*(1+P_Cargas)+AL$81*P_Alim*AL$19</f>
        <v>8959.98771891781</v>
      </c>
      <c r="AM82" s="48" t="n">
        <f aca="false">SUMPRODUCT((Per_Clase="Administración")*Sal_O*INDEX(Dot_O,0,MIN(10,AM$17))*((Per_Mon="PYG")*AM$19+(Per_Mon&lt;&gt;"PYG")))*(AM$15+AM$16*P_PreInd)*INDEX(IdxSal_O,1,MIN(10,AM$17))*(1+P_Cargas)+AM$81*P_Alim*AM$19</f>
        <v>8959.98771891781</v>
      </c>
      <c r="AN82" s="48" t="n">
        <f aca="false">SUMPRODUCT((Per_Clase="Administración")*Sal_O*INDEX(Dot_O,0,MIN(10,AN$17))*((Per_Mon="PYG")*AN$19+(Per_Mon&lt;&gt;"PYG")))*(AN$15+AN$16*P_PreInd)*INDEX(IdxSal_O,1,MIN(10,AN$17))*(1+P_Cargas)+AN$81*P_Alim*AN$19</f>
        <v>8959.98771891781</v>
      </c>
      <c r="AO82" s="48" t="n">
        <f aca="false">SUMPRODUCT((Per_Clase="Administración")*Sal_O*INDEX(Dot_O,0,MIN(10,AO$17))*((Per_Mon="PYG")*AO$19+(Per_Mon&lt;&gt;"PYG")))*(AO$15+AO$16*P_PreInd)*INDEX(IdxSal_O,1,MIN(10,AO$17))*(1+P_Cargas)+AO$81*P_Alim*AO$19</f>
        <v>8959.98771891781</v>
      </c>
      <c r="AP82" s="48" t="n">
        <f aca="false">SUMPRODUCT((Per_Clase="Administración")*Sal_O*INDEX(Dot_O,0,MIN(10,AP$17))*((Per_Mon="PYG")*AP$19+(Per_Mon&lt;&gt;"PYG")))*(AP$15+AP$16*P_PreInd)*INDEX(IdxSal_O,1,MIN(10,AP$17))*(1+P_Cargas)+AP$81*P_Alim*AP$19</f>
        <v>8959.98771891781</v>
      </c>
      <c r="AQ82" s="48" t="n">
        <f aca="false">SUMPRODUCT((Per_Clase="Administración")*Sal_O*INDEX(Dot_O,0,MIN(10,AQ$17))*((Per_Mon="PYG")*AQ$19+(Per_Mon&lt;&gt;"PYG")))*(AQ$15+AQ$16*P_PreInd)*INDEX(IdxSal_O,1,MIN(10,AQ$17))*(1+P_Cargas)+AQ$81*P_Alim*AQ$19</f>
        <v>8959.98771891781</v>
      </c>
      <c r="AR82" s="48" t="n">
        <f aca="false">SUMPRODUCT((Per_Clase="Administración")*Sal_O*INDEX(Dot_O,0,MIN(10,AR$17))*((Per_Mon="PYG")*AR$19+(Per_Mon&lt;&gt;"PYG")))*(AR$15+AR$16*P_PreInd)*INDEX(IdxSal_O,1,MIN(10,AR$17))*(1+P_Cargas)+AR$81*P_Alim*AR$19</f>
        <v>8959.98771891781</v>
      </c>
      <c r="AS82" s="48" t="n">
        <f aca="false">SUMPRODUCT((Per_Clase="Administración")*Sal_O*INDEX(Dot_O,0,MIN(10,AS$17))*((Per_Mon="PYG")*AS$19+(Per_Mon&lt;&gt;"PYG")))*(AS$15+AS$16*P_PreInd)*INDEX(IdxSal_O,1,MIN(10,AS$17))*(1+P_Cargas)+AS$81*P_Alim*AS$19</f>
        <v>8959.98771891781</v>
      </c>
      <c r="AT82" s="48" t="n">
        <f aca="false">SUMPRODUCT((Per_Clase="Administración")*Sal_O*INDEX(Dot_O,0,MIN(10,AT$17))*((Per_Mon="PYG")*AT$19+(Per_Mon&lt;&gt;"PYG")))*(AT$15+AT$16*P_PreInd)*INDEX(IdxSal_O,1,MIN(10,AT$17))*(1+P_Cargas)+AT$81*P_Alim*AT$19</f>
        <v>8959.98771891781</v>
      </c>
      <c r="AU82" s="48" t="n">
        <f aca="false">SUMPRODUCT((Per_Clase="Administración")*Sal_O*INDEX(Dot_O,0,MIN(10,AU$17))*((Per_Mon="PYG")*AU$19+(Per_Mon&lt;&gt;"PYG")))*(AU$15+AU$16*P_PreInd)*INDEX(IdxSal_O,1,MIN(10,AU$17))*(1+P_Cargas)+AU$81*P_Alim*AU$19</f>
        <v>8959.98771891781</v>
      </c>
      <c r="AV82" s="48" t="n">
        <f aca="false">SUMPRODUCT((Per_Clase="Administración")*Sal_O*INDEX(Dot_O,0,MIN(10,AV$17))*((Per_Mon="PYG")*AV$19+(Per_Mon&lt;&gt;"PYG")))*(AV$15+AV$16*P_PreInd)*INDEX(IdxSal_O,1,MIN(10,AV$17))*(1+P_Cargas)+AV$81*P_Alim*AV$19</f>
        <v>8959.98771891781</v>
      </c>
      <c r="AW82" s="48" t="n">
        <f aca="false">SUMPRODUCT((Per_Clase="Administración")*Sal_O*INDEX(Dot_O,0,MIN(10,AW$17))*((Per_Mon="PYG")*AW$19+(Per_Mon&lt;&gt;"PYG")))*(AW$15+AW$16*P_PreInd)*INDEX(IdxSal_O,1,MIN(10,AW$17))*(1+P_Cargas)+AW$81*P_Alim*AW$19</f>
        <v>8959.98771891781</v>
      </c>
      <c r="AX82" s="48" t="n">
        <f aca="false">SUMPRODUCT((Per_Clase="Administración")*Sal_O*INDEX(Dot_O,0,MIN(10,AX$17))*((Per_Mon="PYG")*AX$19+(Per_Mon&lt;&gt;"PYG")))*(AX$15+AX$16*P_PreInd)*INDEX(IdxSal_O,1,MIN(10,AX$17))*(1+P_Cargas)+AX$81*P_Alim*AX$19</f>
        <v>8959.98771891781</v>
      </c>
      <c r="AY82" s="48" t="n">
        <f aca="false">SUMPRODUCT((Per_Clase="Administración")*Sal_O*INDEX(Dot_O,0,MIN(10,AY$17))*((Per_Mon="PYG")*AY$19+(Per_Mon&lt;&gt;"PYG")))*(AY$15+AY$16*P_PreInd)*INDEX(IdxSal_O,1,MIN(10,AY$17))*(1+P_Cargas)+AY$81*P_Alim*AY$19</f>
        <v>8959.98771891781</v>
      </c>
      <c r="AZ82" s="48" t="n">
        <f aca="false">SUMPRODUCT((Per_Clase="Administración")*Sal_O*INDEX(Dot_O,0,MIN(10,AZ$17))*((Per_Mon="PYG")*AZ$19+(Per_Mon&lt;&gt;"PYG")))*(AZ$15+AZ$16*P_PreInd)*INDEX(IdxSal_O,1,MIN(10,AZ$17))*(1+P_Cargas)+AZ$81*P_Alim*AZ$19</f>
        <v>8959.98771891781</v>
      </c>
      <c r="BA82" s="48" t="n">
        <f aca="false">SUMPRODUCT((Per_Clase="Administración")*Sal_O*INDEX(Dot_O,0,MIN(10,BA$17))*((Per_Mon="PYG")*BA$19+(Per_Mon&lt;&gt;"PYG")))*(BA$15+BA$16*P_PreInd)*INDEX(IdxSal_O,1,MIN(10,BA$17))*(1+P_Cargas)+BA$81*P_Alim*BA$19</f>
        <v>8959.98771891781</v>
      </c>
      <c r="BB82" s="48" t="n">
        <f aca="false">SUMPRODUCT((Per_Clase="Administración")*Sal_O*INDEX(Dot_O,0,MIN(10,BB$17))*((Per_Mon="PYG")*BB$19+(Per_Mon&lt;&gt;"PYG")))*(BB$15+BB$16*P_PreInd)*INDEX(IdxSal_O,1,MIN(10,BB$17))*(1+P_Cargas)+BB$81*P_Alim*BB$19</f>
        <v>8959.98771891781</v>
      </c>
      <c r="BC82" s="48" t="n">
        <f aca="false">SUMPRODUCT((Per_Clase="Administración")*Sal_O*INDEX(Dot_O,0,MIN(10,BC$17))*((Per_Mon="PYG")*BC$19+(Per_Mon&lt;&gt;"PYG")))*(BC$15+BC$16*P_PreInd)*INDEX(IdxSal_O,1,MIN(10,BC$17))*(1+P_Cargas)+BC$81*P_Alim*BC$19</f>
        <v>8959.98771891781</v>
      </c>
      <c r="BD82" s="48" t="n">
        <f aca="false">SUMPRODUCT((Per_Clase="Administración")*Sal_O*INDEX(Dot_O,0,MIN(10,BD$17))*((Per_Mon="PYG")*BD$19+(Per_Mon&lt;&gt;"PYG")))*(BD$15+BD$16*P_PreInd)*INDEX(IdxSal_O,1,MIN(10,BD$17))*(1+P_Cargas)+BD$81*P_Alim*BD$19</f>
        <v>8959.98771891781</v>
      </c>
      <c r="BE82" s="48" t="n">
        <f aca="false">SUMPRODUCT((Per_Clase="Administración")*Sal_O*INDEX(Dot_O,0,MIN(10,BE$17))*((Per_Mon="PYG")*BE$19+(Per_Mon&lt;&gt;"PYG")))*(BE$15+BE$16*P_PreInd)*INDEX(IdxSal_O,1,MIN(10,BE$17))*(1+P_Cargas)+BE$81*P_Alim*BE$19</f>
        <v>8959.98771891781</v>
      </c>
      <c r="BF82" s="48" t="n">
        <f aca="false">SUMPRODUCT((Per_Clase="Administración")*Sal_O*INDEX(Dot_O,0,MIN(10,BF$17))*((Per_Mon="PYG")*BF$19+(Per_Mon&lt;&gt;"PYG")))*(BF$15+BF$16*P_PreInd)*INDEX(IdxSal_O,1,MIN(10,BF$17))*(1+P_Cargas)+BF$81*P_Alim*BF$19</f>
        <v>8959.98771891781</v>
      </c>
      <c r="BG82" s="48" t="n">
        <f aca="false">SUMPRODUCT((Per_Clase="Administración")*Sal_O*INDEX(Dot_O,0,MIN(10,BG$17))*((Per_Mon="PYG")*BG$19+(Per_Mon&lt;&gt;"PYG")))*(BG$15+BG$16*P_PreInd)*INDEX(IdxSal_O,1,MIN(10,BG$17))*(1+P_Cargas)+BG$81*P_Alim*BG$19</f>
        <v>8959.98771891781</v>
      </c>
      <c r="BH82" s="48" t="n">
        <f aca="false">SUMPRODUCT((Per_Clase="Administración")*Sal_O*INDEX(Dot_O,0,MIN(10,BH$17))*((Per_Mon="PYG")*BH$19+(Per_Mon&lt;&gt;"PYG")))*(BH$15+BH$16*P_PreInd)*INDEX(IdxSal_O,1,MIN(10,BH$17))*(1+P_Cargas)+BH$81*P_Alim*BH$19</f>
        <v>8959.98771891781</v>
      </c>
      <c r="BI82" s="48" t="n">
        <f aca="false">SUMPRODUCT((Per_Clase="Administración")*Sal_O*INDEX(Dot_O,0,MIN(10,BI$17))*((Per_Mon="PYG")*BI$19+(Per_Mon&lt;&gt;"PYG")))*(BI$15+BI$16*P_PreInd)*INDEX(IdxSal_O,1,MIN(10,BI$17))*(1+P_Cargas)+BI$81*P_Alim*BI$19</f>
        <v>8959.98771891781</v>
      </c>
      <c r="BJ82" s="48" t="n">
        <f aca="false">SUMPRODUCT((Per_Clase="Administración")*Sal_O*INDEX(Dot_O,0,MIN(10,BJ$17))*((Per_Mon="PYG")*BJ$19+(Per_Mon&lt;&gt;"PYG")))*(BJ$15+BJ$16*P_PreInd)*INDEX(IdxSal_O,1,MIN(10,BJ$17))*(1+P_Cargas)+BJ$81*P_Alim*BJ$19</f>
        <v>8959.98771891781</v>
      </c>
      <c r="BK82" s="48" t="n">
        <f aca="false">SUMPRODUCT((Per_Clase="Administración")*Sal_O*INDEX(Dot_O,0,MIN(10,BK$17))*((Per_Mon="PYG")*BK$19+(Per_Mon&lt;&gt;"PYG")))*(BK$15+BK$16*P_PreInd)*INDEX(IdxSal_O,1,MIN(10,BK$17))*(1+P_Cargas)+BK$81*P_Alim*BK$19</f>
        <v>8959.98771891781</v>
      </c>
      <c r="BL82" s="48" t="n">
        <f aca="false">SUMPRODUCT((Per_Clase="Administración")*Sal_O*INDEX(Dot_O,0,MIN(10,BL$17))*((Per_Mon="PYG")*BL$19+(Per_Mon&lt;&gt;"PYG")))*(BL$15+BL$16*P_PreInd)*INDEX(IdxSal_O,1,MIN(10,BL$17))*(1+P_Cargas)+BL$81*P_Alim*BL$19</f>
        <v>8959.98771891781</v>
      </c>
      <c r="BM82" s="48" t="n">
        <f aca="false">SUMPRODUCT((Per_Clase="Administración")*Sal_O*INDEX(Dot_O,0,MIN(10,BM$17))*((Per_Mon="PYG")*BM$19+(Per_Mon&lt;&gt;"PYG")))*(BM$15+BM$16*P_PreInd)*INDEX(IdxSal_O,1,MIN(10,BM$17))*(1+P_Cargas)+BM$81*P_Alim*BM$19</f>
        <v>8959.98771891781</v>
      </c>
      <c r="BN82" s="48" t="n">
        <f aca="false">SUMPRODUCT((Per_Clase="Administración")*Sal_O*INDEX(Dot_O,0,MIN(10,BN$17))*((Per_Mon="PYG")*BN$19+(Per_Mon&lt;&gt;"PYG")))*(BN$15+BN$16*P_PreInd)*INDEX(IdxSal_O,1,MIN(10,BN$17))*(1+P_Cargas)+BN$81*P_Alim*BN$19</f>
        <v>8959.98771891781</v>
      </c>
      <c r="BO82" s="48" t="n">
        <f aca="false">SUMPRODUCT((Per_Clase="Administración")*Sal_O*INDEX(Dot_O,0,MIN(10,BO$17))*((Per_Mon="PYG")*BO$19+(Per_Mon&lt;&gt;"PYG")))*(BO$15+BO$16*P_PreInd)*INDEX(IdxSal_O,1,MIN(10,BO$17))*(1+P_Cargas)+BO$81*P_Alim*BO$19</f>
        <v>8959.98771891781</v>
      </c>
      <c r="BP82" s="48" t="n">
        <f aca="false">SUMPRODUCT((Per_Clase="Administración")*Sal_O*INDEX(Dot_O,0,MIN(10,BP$17))*((Per_Mon="PYG")*BP$19+(Per_Mon&lt;&gt;"PYG")))*(BP$15+BP$16*P_PreInd)*INDEX(IdxSal_O,1,MIN(10,BP$17))*(1+P_Cargas)+BP$81*P_Alim*BP$19</f>
        <v>8959.98771891781</v>
      </c>
      <c r="BQ82" s="48" t="n">
        <f aca="false">SUMPRODUCT((Per_Clase="Administración")*Sal_O*INDEX(Dot_O,0,MIN(10,BQ$17))*((Per_Mon="PYG")*BQ$19+(Per_Mon&lt;&gt;"PYG")))*(BQ$15+BQ$16*P_PreInd)*INDEX(IdxSal_O,1,MIN(10,BQ$17))*(1+P_Cargas)+BQ$81*P_Alim*BQ$19</f>
        <v>8959.98771891781</v>
      </c>
      <c r="BR82" s="48" t="n">
        <f aca="false">SUMPRODUCT((Per_Clase="Administración")*Sal_O*INDEX(Dot_O,0,MIN(10,BR$17))*((Per_Mon="PYG")*BR$19+(Per_Mon&lt;&gt;"PYG")))*(BR$15+BR$16*P_PreInd)*INDEX(IdxSal_O,1,MIN(10,BR$17))*(1+P_Cargas)+BR$81*P_Alim*BR$19</f>
        <v>8959.98771891781</v>
      </c>
      <c r="BS82" s="48" t="n">
        <f aca="false">SUMPRODUCT((Per_Clase="Administración")*Sal_O*INDEX(Dot_O,0,MIN(10,BS$17))*((Per_Mon="PYG")*BS$19+(Per_Mon&lt;&gt;"PYG")))*(BS$15+BS$16*P_PreInd)*INDEX(IdxSal_O,1,MIN(10,BS$17))*(1+P_Cargas)+BS$81*P_Alim*BS$19</f>
        <v>8959.98771891781</v>
      </c>
      <c r="BT82" s="48" t="n">
        <f aca="false">SUMPRODUCT((Per_Clase="Administración")*Sal_O*INDEX(Dot_O,0,MIN(10,BT$17))*((Per_Mon="PYG")*BT$19+(Per_Mon&lt;&gt;"PYG")))*(BT$15+BT$16*P_PreInd)*INDEX(IdxSal_O,1,MIN(10,BT$17))*(1+P_Cargas)+BT$81*P_Alim*BT$19</f>
        <v>8959.98771891781</v>
      </c>
      <c r="BU82" s="48" t="n">
        <f aca="false">SUMPRODUCT((Per_Clase="Administración")*Sal_O*INDEX(Dot_O,0,MIN(10,BU$17))*((Per_Mon="PYG")*BU$19+(Per_Mon&lt;&gt;"PYG")))*(BU$15+BU$16*P_PreInd)*INDEX(IdxSal_O,1,MIN(10,BU$17))*(1+P_Cargas)+BU$81*P_Alim*BU$19</f>
        <v>8959.98771891781</v>
      </c>
      <c r="BV82" s="48" t="n">
        <f aca="false">SUMPRODUCT((Per_Clase="Administración")*Sal_O*INDEX(Dot_O,0,MIN(10,BV$17))*((Per_Mon="PYG")*BV$19+(Per_Mon&lt;&gt;"PYG")))*(BV$15+BV$16*P_PreInd)*INDEX(IdxSal_O,1,MIN(10,BV$17))*(1+P_Cargas)+BV$81*P_Alim*BV$19</f>
        <v>8959.98771891781</v>
      </c>
      <c r="BW82" s="48" t="n">
        <f aca="false">SUMPRODUCT((Per_Clase="Administración")*Sal_O*INDEX(Dot_O,0,MIN(10,BW$17))*((Per_Mon="PYG")*BW$19+(Per_Mon&lt;&gt;"PYG")))*(BW$15+BW$16*P_PreInd)*INDEX(IdxSal_O,1,MIN(10,BW$17))*(1+P_Cargas)+BW$81*P_Alim*BW$19</f>
        <v>8959.98771891781</v>
      </c>
      <c r="BX82" s="48" t="n">
        <f aca="false">SUMPRODUCT((Per_Clase="Administración")*Sal_O*INDEX(Dot_O,0,MIN(10,BX$17))*((Per_Mon="PYG")*BX$19+(Per_Mon&lt;&gt;"PYG")))*(BX$15+BX$16*P_PreInd)*INDEX(IdxSal_O,1,MIN(10,BX$17))*(1+P_Cargas)+BX$81*P_Alim*BX$19</f>
        <v>8959.98771891781</v>
      </c>
      <c r="BY82" s="48" t="n">
        <f aca="false">SUMPRODUCT((Per_Clase="Administración")*Sal_O*INDEX(Dot_O,0,MIN(10,BY$17))*((Per_Mon="PYG")*BY$19+(Per_Mon&lt;&gt;"PYG")))*(BY$15+BY$16*P_PreInd)*INDEX(IdxSal_O,1,MIN(10,BY$17))*(1+P_Cargas)+BY$81*P_Alim*BY$19</f>
        <v>8959.98771891781</v>
      </c>
      <c r="BZ82" s="48" t="n">
        <f aca="false">SUMPRODUCT((Per_Clase="Administración")*Sal_O*INDEX(Dot_O,0,MIN(10,BZ$17))*((Per_Mon="PYG")*BZ$19+(Per_Mon&lt;&gt;"PYG")))*(BZ$15+BZ$16*P_PreInd)*INDEX(IdxSal_O,1,MIN(10,BZ$17))*(1+P_Cargas)+BZ$81*P_Alim*BZ$19</f>
        <v>8959.98771891781</v>
      </c>
      <c r="CA82" s="48" t="n">
        <f aca="false">SUMPRODUCT((Per_Clase="Administración")*Sal_O*INDEX(Dot_O,0,MIN(10,CA$17))*((Per_Mon="PYG")*CA$19+(Per_Mon&lt;&gt;"PYG")))*(CA$15+CA$16*P_PreInd)*INDEX(IdxSal_O,1,MIN(10,CA$17))*(1+P_Cargas)+CA$81*P_Alim*CA$19</f>
        <v>8959.98771891781</v>
      </c>
      <c r="CB82" s="48" t="n">
        <f aca="false">SUMPRODUCT((Per_Clase="Administración")*Sal_O*INDEX(Dot_O,0,MIN(10,CB$17))*((Per_Mon="PYG")*CB$19+(Per_Mon&lt;&gt;"PYG")))*(CB$15+CB$16*P_PreInd)*INDEX(IdxSal_O,1,MIN(10,CB$17))*(1+P_Cargas)+CB$81*P_Alim*CB$19</f>
        <v>8959.98771891781</v>
      </c>
      <c r="CC82" s="48" t="n">
        <f aca="false">SUMPRODUCT((Per_Clase="Administración")*Sal_O*INDEX(Dot_O,0,MIN(10,CC$17))*((Per_Mon="PYG")*CC$19+(Per_Mon&lt;&gt;"PYG")))*(CC$15+CC$16*P_PreInd)*INDEX(IdxSal_O,1,MIN(10,CC$17))*(1+P_Cargas)+CC$81*P_Alim*CC$19</f>
        <v>8959.98771891781</v>
      </c>
      <c r="CD82" s="48" t="n">
        <f aca="false">SUMPRODUCT((Per_Clase="Administración")*Sal_O*INDEX(Dot_O,0,MIN(10,CD$17))*((Per_Mon="PYG")*CD$19+(Per_Mon&lt;&gt;"PYG")))*(CD$15+CD$16*P_PreInd)*INDEX(IdxSal_O,1,MIN(10,CD$17))*(1+P_Cargas)+CD$81*P_Alim*CD$19</f>
        <v>8959.98771891781</v>
      </c>
      <c r="CE82" s="48" t="n">
        <f aca="false">SUMPRODUCT((Per_Clase="Administración")*Sal_O*INDEX(Dot_O,0,MIN(10,CE$17))*((Per_Mon="PYG")*CE$19+(Per_Mon&lt;&gt;"PYG")))*(CE$15+CE$16*P_PreInd)*INDEX(IdxSal_O,1,MIN(10,CE$17))*(1+P_Cargas)+CE$81*P_Alim*CE$19</f>
        <v>8959.98771891781</v>
      </c>
      <c r="CF82" s="48" t="n">
        <f aca="false">SUMPRODUCT((Per_Clase="Administración")*Sal_O*INDEX(Dot_O,0,MIN(10,CF$17))*((Per_Mon="PYG")*CF$19+(Per_Mon&lt;&gt;"PYG")))*(CF$15+CF$16*P_PreInd)*INDEX(IdxSal_O,1,MIN(10,CF$17))*(1+P_Cargas)+CF$81*P_Alim*CF$19</f>
        <v>8959.98771891781</v>
      </c>
      <c r="CG82" s="48" t="n">
        <f aca="false">SUMPRODUCT((Per_Clase="Administración")*Sal_O*INDEX(Dot_O,0,MIN(10,CG$17))*((Per_Mon="PYG")*CG$19+(Per_Mon&lt;&gt;"PYG")))*(CG$15+CG$16*P_PreInd)*INDEX(IdxSal_O,1,MIN(10,CG$17))*(1+P_Cargas)+CG$81*P_Alim*CG$19</f>
        <v>8959.98771891781</v>
      </c>
      <c r="CH82" s="48" t="n">
        <f aca="false">SUMPRODUCT((Per_Clase="Administración")*Sal_O*INDEX(Dot_O,0,MIN(10,CH$17))*((Per_Mon="PYG")*CH$19+(Per_Mon&lt;&gt;"PYG")))*(CH$15+CH$16*P_PreInd)*INDEX(IdxSal_O,1,MIN(10,CH$17))*(1+P_Cargas)+CH$81*P_Alim*CH$19</f>
        <v>8959.98771891781</v>
      </c>
      <c r="CI82" s="48" t="n">
        <f aca="false">SUMPRODUCT((Per_Clase="Administración")*Sal_O*INDEX(Dot_O,0,MIN(10,CI$17))*((Per_Mon="PYG")*CI$19+(Per_Mon&lt;&gt;"PYG")))*(CI$15+CI$16*P_PreInd)*INDEX(IdxSal_O,1,MIN(10,CI$17))*(1+P_Cargas)+CI$81*P_Alim*CI$19</f>
        <v>8959.98771891781</v>
      </c>
      <c r="CJ82" s="48" t="n">
        <f aca="false">SUMPRODUCT((Per_Clase="Administración")*Sal_O*INDEX(Dot_O,0,MIN(10,CJ$17))*((Per_Mon="PYG")*CJ$19+(Per_Mon&lt;&gt;"PYG")))*(CJ$15+CJ$16*P_PreInd)*INDEX(IdxSal_O,1,MIN(10,CJ$17))*(1+P_Cargas)+CJ$81*P_Alim*CJ$19</f>
        <v>8959.98771891781</v>
      </c>
      <c r="CK82" s="48" t="n">
        <f aca="false">SUMPRODUCT((Per_Clase="Administración")*Sal_O*INDEX(Dot_O,0,MIN(10,CK$17))*((Per_Mon="PYG")*CK$19+(Per_Mon&lt;&gt;"PYG")))*(CK$15+CK$16*P_PreInd)*INDEX(IdxSal_O,1,MIN(10,CK$17))*(1+P_Cargas)+CK$81*P_Alim*CK$19</f>
        <v>8959.98771891781</v>
      </c>
      <c r="CL82" s="48" t="n">
        <f aca="false">SUMPRODUCT((Per_Clase="Administración")*Sal_O*INDEX(Dot_O,0,MIN(10,CL$17))*((Per_Mon="PYG")*CL$19+(Per_Mon&lt;&gt;"PYG")))*(CL$15+CL$16*P_PreInd)*INDEX(IdxSal_O,1,MIN(10,CL$17))*(1+P_Cargas)+CL$81*P_Alim*CL$19</f>
        <v>8959.98771891781</v>
      </c>
      <c r="CM82" s="48" t="n">
        <f aca="false">SUMPRODUCT((Per_Clase="Administración")*Sal_O*INDEX(Dot_O,0,MIN(10,CM$17))*((Per_Mon="PYG")*CM$19+(Per_Mon&lt;&gt;"PYG")))*(CM$15+CM$16*P_PreInd)*INDEX(IdxSal_O,1,MIN(10,CM$17))*(1+P_Cargas)+CM$81*P_Alim*CM$19</f>
        <v>8959.98771891781</v>
      </c>
      <c r="CN82" s="48" t="n">
        <f aca="false">SUMPRODUCT((Per_Clase="Administración")*Sal_O*INDEX(Dot_O,0,MIN(10,CN$17))*((Per_Mon="PYG")*CN$19+(Per_Mon&lt;&gt;"PYG")))*(CN$15+CN$16*P_PreInd)*INDEX(IdxSal_O,1,MIN(10,CN$17))*(1+P_Cargas)+CN$81*P_Alim*CN$19</f>
        <v>8959.98771891781</v>
      </c>
      <c r="CO82" s="48" t="n">
        <f aca="false">SUMPRODUCT((Per_Clase="Administración")*Sal_O*INDEX(Dot_O,0,MIN(10,CO$17))*((Per_Mon="PYG")*CO$19+(Per_Mon&lt;&gt;"PYG")))*(CO$15+CO$16*P_PreInd)*INDEX(IdxSal_O,1,MIN(10,CO$17))*(1+P_Cargas)+CO$81*P_Alim*CO$19</f>
        <v>8959.98771891781</v>
      </c>
      <c r="CP82" s="48" t="n">
        <f aca="false">SUMPRODUCT((Per_Clase="Administración")*Sal_O*INDEX(Dot_O,0,MIN(10,CP$17))*((Per_Mon="PYG")*CP$19+(Per_Mon&lt;&gt;"PYG")))*(CP$15+CP$16*P_PreInd)*INDEX(IdxSal_O,1,MIN(10,CP$17))*(1+P_Cargas)+CP$81*P_Alim*CP$19</f>
        <v>8959.98771891781</v>
      </c>
      <c r="CQ82" s="48" t="n">
        <f aca="false">SUMPRODUCT((Per_Clase="Administración")*Sal_O*INDEX(Dot_O,0,MIN(10,CQ$17))*((Per_Mon="PYG")*CQ$19+(Per_Mon&lt;&gt;"PYG")))*(CQ$15+CQ$16*P_PreInd)*INDEX(IdxSal_O,1,MIN(10,CQ$17))*(1+P_Cargas)+CQ$81*P_Alim*CQ$19</f>
        <v>8959.98771891781</v>
      </c>
      <c r="CR82" s="48" t="n">
        <f aca="false">SUMPRODUCT((Per_Clase="Administración")*Sal_O*INDEX(Dot_O,0,MIN(10,CR$17))*((Per_Mon="PYG")*CR$19+(Per_Mon&lt;&gt;"PYG")))*(CR$15+CR$16*P_PreInd)*INDEX(IdxSal_O,1,MIN(10,CR$17))*(1+P_Cargas)+CR$81*P_Alim*CR$19</f>
        <v>8959.98771891781</v>
      </c>
      <c r="CS82" s="48" t="n">
        <f aca="false">SUMPRODUCT((Per_Clase="Administración")*Sal_O*INDEX(Dot_O,0,MIN(10,CS$17))*((Per_Mon="PYG")*CS$19+(Per_Mon&lt;&gt;"PYG")))*(CS$15+CS$16*P_PreInd)*INDEX(IdxSal_O,1,MIN(10,CS$17))*(1+P_Cargas)+CS$81*P_Alim*CS$19</f>
        <v>8959.98771891781</v>
      </c>
      <c r="CT82" s="48" t="n">
        <f aca="false">SUMPRODUCT((Per_Clase="Administración")*Sal_O*INDEX(Dot_O,0,MIN(10,CT$17))*((Per_Mon="PYG")*CT$19+(Per_Mon&lt;&gt;"PYG")))*(CT$15+CT$16*P_PreInd)*INDEX(IdxSal_O,1,MIN(10,CT$17))*(1+P_Cargas)+CT$81*P_Alim*CT$19</f>
        <v>8959.98771891781</v>
      </c>
      <c r="CU82" s="48" t="n">
        <f aca="false">SUMPRODUCT((Per_Clase="Administración")*Sal_O*INDEX(Dot_O,0,MIN(10,CU$17))*((Per_Mon="PYG")*CU$19+(Per_Mon&lt;&gt;"PYG")))*(CU$15+CU$16*P_PreInd)*INDEX(IdxSal_O,1,MIN(10,CU$17))*(1+P_Cargas)+CU$81*P_Alim*CU$19</f>
        <v>8959.98771891781</v>
      </c>
      <c r="CV82" s="48" t="n">
        <f aca="false">SUMPRODUCT((Per_Clase="Administración")*Sal_O*INDEX(Dot_O,0,MIN(10,CV$17))*((Per_Mon="PYG")*CV$19+(Per_Mon&lt;&gt;"PYG")))*(CV$15+CV$16*P_PreInd)*INDEX(IdxSal_O,1,MIN(10,CV$17))*(1+P_Cargas)+CV$81*P_Alim*CV$19</f>
        <v>8959.98771891781</v>
      </c>
      <c r="CW82" s="48" t="n">
        <f aca="false">SUMPRODUCT((Per_Clase="Administración")*Sal_O*INDEX(Dot_O,0,MIN(10,CW$17))*((Per_Mon="PYG")*CW$19+(Per_Mon&lt;&gt;"PYG")))*(CW$15+CW$16*P_PreInd)*INDEX(IdxSal_O,1,MIN(10,CW$17))*(1+P_Cargas)+CW$81*P_Alim*CW$19</f>
        <v>8959.98771891781</v>
      </c>
      <c r="CX82" s="48" t="n">
        <f aca="false">SUMPRODUCT((Per_Clase="Administración")*Sal_O*INDEX(Dot_O,0,MIN(10,CX$17))*((Per_Mon="PYG")*CX$19+(Per_Mon&lt;&gt;"PYG")))*(CX$15+CX$16*P_PreInd)*INDEX(IdxSal_O,1,MIN(10,CX$17))*(1+P_Cargas)+CX$81*P_Alim*CX$19</f>
        <v>8959.98771891781</v>
      </c>
      <c r="CY82" s="48" t="n">
        <f aca="false">SUMPRODUCT((Per_Clase="Administración")*Sal_O*INDEX(Dot_O,0,MIN(10,CY$17))*((Per_Mon="PYG")*CY$19+(Per_Mon&lt;&gt;"PYG")))*(CY$15+CY$16*P_PreInd)*INDEX(IdxSal_O,1,MIN(10,CY$17))*(1+P_Cargas)+CY$81*P_Alim*CY$19</f>
        <v>8959.98771891781</v>
      </c>
      <c r="CZ82" s="48" t="n">
        <f aca="false">SUMPRODUCT((Per_Clase="Administración")*Sal_O*INDEX(Dot_O,0,MIN(10,CZ$17))*((Per_Mon="PYG")*CZ$19+(Per_Mon&lt;&gt;"PYG")))*(CZ$15+CZ$16*P_PreInd)*INDEX(IdxSal_O,1,MIN(10,CZ$17))*(1+P_Cargas)+CZ$81*P_Alim*CZ$19</f>
        <v>8959.98771891781</v>
      </c>
      <c r="DA82" s="48" t="n">
        <f aca="false">SUMPRODUCT((Per_Clase="Administración")*Sal_O*INDEX(Dot_O,0,MIN(10,DA$17))*((Per_Mon="PYG")*DA$19+(Per_Mon&lt;&gt;"PYG")))*(DA$15+DA$16*P_PreInd)*INDEX(IdxSal_O,1,MIN(10,DA$17))*(1+P_Cargas)+DA$81*P_Alim*DA$19</f>
        <v>8959.98771891781</v>
      </c>
      <c r="DB82" s="48" t="n">
        <f aca="false">SUMPRODUCT((Per_Clase="Administración")*Sal_O*INDEX(Dot_O,0,MIN(10,DB$17))*((Per_Mon="PYG")*DB$19+(Per_Mon&lt;&gt;"PYG")))*(DB$15+DB$16*P_PreInd)*INDEX(IdxSal_O,1,MIN(10,DB$17))*(1+P_Cargas)+DB$81*P_Alim*DB$19</f>
        <v>8959.98771891781</v>
      </c>
      <c r="DC82" s="48" t="n">
        <f aca="false">SUMPRODUCT((Per_Clase="Administración")*Sal_O*INDEX(Dot_O,0,MIN(10,DC$17))*((Per_Mon="PYG")*DC$19+(Per_Mon&lt;&gt;"PYG")))*(DC$15+DC$16*P_PreInd)*INDEX(IdxSal_O,1,MIN(10,DC$17))*(1+P_Cargas)+DC$81*P_Alim*DC$19</f>
        <v>8959.98771891781</v>
      </c>
      <c r="DD82" s="48" t="n">
        <f aca="false">SUMPRODUCT((Per_Clase="Administración")*Sal_O*INDEX(Dot_O,0,MIN(10,DD$17))*((Per_Mon="PYG")*DD$19+(Per_Mon&lt;&gt;"PYG")))*(DD$15+DD$16*P_PreInd)*INDEX(IdxSal_O,1,MIN(10,DD$17))*(1+P_Cargas)+DD$81*P_Alim*DD$19</f>
        <v>8959.98771891781</v>
      </c>
      <c r="DE82" s="48" t="n">
        <f aca="false">SUMPRODUCT((Per_Clase="Administración")*Sal_O*INDEX(Dot_O,0,MIN(10,DE$17))*((Per_Mon="PYG")*DE$19+(Per_Mon&lt;&gt;"PYG")))*(DE$15+DE$16*P_PreInd)*INDEX(IdxSal_O,1,MIN(10,DE$17))*(1+P_Cargas)+DE$81*P_Alim*DE$19</f>
        <v>8959.98771891781</v>
      </c>
      <c r="DF82" s="48" t="n">
        <f aca="false">SUMPRODUCT((Per_Clase="Administración")*Sal_O*INDEX(Dot_O,0,MIN(10,DF$17))*((Per_Mon="PYG")*DF$19+(Per_Mon&lt;&gt;"PYG")))*(DF$15+DF$16*P_PreInd)*INDEX(IdxSal_O,1,MIN(10,DF$17))*(1+P_Cargas)+DF$81*P_Alim*DF$19</f>
        <v>8959.98771891781</v>
      </c>
      <c r="DG82" s="48" t="n">
        <f aca="false">SUMPRODUCT((Per_Clase="Administración")*Sal_O*INDEX(Dot_O,0,MIN(10,DG$17))*((Per_Mon="PYG")*DG$19+(Per_Mon&lt;&gt;"PYG")))*(DG$15+DG$16*P_PreInd)*INDEX(IdxSal_O,1,MIN(10,DG$17))*(1+P_Cargas)+DG$81*P_Alim*DG$19</f>
        <v>8959.98771891781</v>
      </c>
      <c r="DH82" s="48" t="n">
        <f aca="false">SUMPRODUCT((Per_Clase="Administración")*Sal_O*INDEX(Dot_O,0,MIN(10,DH$17))*((Per_Mon="PYG")*DH$19+(Per_Mon&lt;&gt;"PYG")))*(DH$15+DH$16*P_PreInd)*INDEX(IdxSal_O,1,MIN(10,DH$17))*(1+P_Cargas)+DH$81*P_Alim*DH$19</f>
        <v>8959.98771891781</v>
      </c>
      <c r="DI82" s="48" t="n">
        <f aca="false">SUMPRODUCT((Per_Clase="Administración")*Sal_O*INDEX(Dot_O,0,MIN(10,DI$17))*((Per_Mon="PYG")*DI$19+(Per_Mon&lt;&gt;"PYG")))*(DI$15+DI$16*P_PreInd)*INDEX(IdxSal_O,1,MIN(10,DI$17))*(1+P_Cargas)+DI$81*P_Alim*DI$19</f>
        <v>8959.98771891781</v>
      </c>
      <c r="DJ82" s="48" t="n">
        <f aca="false">SUMPRODUCT((Per_Clase="Administración")*Sal_O*INDEX(Dot_O,0,MIN(10,DJ$17))*((Per_Mon="PYG")*DJ$19+(Per_Mon&lt;&gt;"PYG")))*(DJ$15+DJ$16*P_PreInd)*INDEX(IdxSal_O,1,MIN(10,DJ$17))*(1+P_Cargas)+DJ$81*P_Alim*DJ$19</f>
        <v>8959.98771891781</v>
      </c>
      <c r="DK82" s="48" t="n">
        <f aca="false">SUMPRODUCT((Per_Clase="Administración")*Sal_O*INDEX(Dot_O,0,MIN(10,DK$17))*((Per_Mon="PYG")*DK$19+(Per_Mon&lt;&gt;"PYG")))*(DK$15+DK$16*P_PreInd)*INDEX(IdxSal_O,1,MIN(10,DK$17))*(1+P_Cargas)+DK$81*P_Alim*DK$19</f>
        <v>8959.98771891781</v>
      </c>
      <c r="DL82" s="48" t="n">
        <f aca="false">SUMPRODUCT((Per_Clase="Administración")*Sal_O*INDEX(Dot_O,0,MIN(10,DL$17))*((Per_Mon="PYG")*DL$19+(Per_Mon&lt;&gt;"PYG")))*(DL$15+DL$16*P_PreInd)*INDEX(IdxSal_O,1,MIN(10,DL$17))*(1+P_Cargas)+DL$81*P_Alim*DL$19</f>
        <v>8959.98771891781</v>
      </c>
      <c r="DM82" s="48" t="n">
        <f aca="false">SUMPRODUCT((Per_Clase="Administración")*Sal_O*INDEX(Dot_O,0,MIN(10,DM$17))*((Per_Mon="PYG")*DM$19+(Per_Mon&lt;&gt;"PYG")))*(DM$15+DM$16*P_PreInd)*INDEX(IdxSal_O,1,MIN(10,DM$17))*(1+P_Cargas)+DM$81*P_Alim*DM$19</f>
        <v>8959.98771891781</v>
      </c>
      <c r="DN82" s="48" t="n">
        <f aca="false">SUMPRODUCT((Per_Clase="Administración")*Sal_O*INDEX(Dot_O,0,MIN(10,DN$17))*((Per_Mon="PYG")*DN$19+(Per_Mon&lt;&gt;"PYG")))*(DN$15+DN$16*P_PreInd)*INDEX(IdxSal_O,1,MIN(10,DN$17))*(1+P_Cargas)+DN$81*P_Alim*DN$19</f>
        <v>8959.98771891781</v>
      </c>
      <c r="DO82" s="48" t="n">
        <f aca="false">SUMPRODUCT((Per_Clase="Administración")*Sal_O*INDEX(Dot_O,0,MIN(10,DO$17))*((Per_Mon="PYG")*DO$19+(Per_Mon&lt;&gt;"PYG")))*(DO$15+DO$16*P_PreInd)*INDEX(IdxSal_O,1,MIN(10,DO$17))*(1+P_Cargas)+DO$81*P_Alim*DO$19</f>
        <v>8959.98771891781</v>
      </c>
      <c r="DP82" s="48" t="n">
        <f aca="false">SUMPRODUCT((Per_Clase="Administración")*Sal_O*INDEX(Dot_O,0,MIN(10,DP$17))*((Per_Mon="PYG")*DP$19+(Per_Mon&lt;&gt;"PYG")))*(DP$15+DP$16*P_PreInd)*INDEX(IdxSal_O,1,MIN(10,DP$17))*(1+P_Cargas)+DP$81*P_Alim*DP$19</f>
        <v>8959.98771891781</v>
      </c>
      <c r="DQ82" s="48" t="n">
        <f aca="false">SUMPRODUCT((Per_Clase="Administración")*Sal_O*INDEX(Dot_O,0,MIN(10,DQ$17))*((Per_Mon="PYG")*DQ$19+(Per_Mon&lt;&gt;"PYG")))*(DQ$15+DQ$16*P_PreInd)*INDEX(IdxSal_O,1,MIN(10,DQ$17))*(1+P_Cargas)+DQ$81*P_Alim*DQ$19</f>
        <v>8959.98771891781</v>
      </c>
      <c r="DR82" s="48" t="n">
        <f aca="false">SUMPRODUCT((Per_Clase="Administración")*Sal_O*INDEX(Dot_O,0,MIN(10,DR$17))*((Per_Mon="PYG")*DR$19+(Per_Mon&lt;&gt;"PYG")))*(DR$15+DR$16*P_PreInd)*INDEX(IdxSal_O,1,MIN(10,DR$17))*(1+P_Cargas)+DR$81*P_Alim*DR$19</f>
        <v>8959.98771891781</v>
      </c>
      <c r="DS82" s="48" t="n">
        <f aca="false">SUMPRODUCT((Per_Clase="Administración")*Sal_O*INDEX(Dot_O,0,MIN(10,DS$17))*((Per_Mon="PYG")*DS$19+(Per_Mon&lt;&gt;"PYG")))*(DS$15+DS$16*P_PreInd)*INDEX(IdxSal_O,1,MIN(10,DS$17))*(1+P_Cargas)+DS$81*P_Alim*DS$19</f>
        <v>8959.98771891781</v>
      </c>
      <c r="DT82" s="48" t="n">
        <f aca="false">SUMPRODUCT((Per_Clase="Administración")*Sal_O*INDEX(Dot_O,0,MIN(10,DT$17))*((Per_Mon="PYG")*DT$19+(Per_Mon&lt;&gt;"PYG")))*(DT$15+DT$16*P_PreInd)*INDEX(IdxSal_O,1,MIN(10,DT$17))*(1+P_Cargas)+DT$81*P_Alim*DT$19</f>
        <v>8959.98771891781</v>
      </c>
      <c r="DU82" s="48" t="n">
        <f aca="false">SUMPRODUCT((Per_Clase="Administración")*Sal_O*INDEX(Dot_O,0,MIN(10,DU$17))*((Per_Mon="PYG")*DU$19+(Per_Mon&lt;&gt;"PYG")))*(DU$15+DU$16*P_PreInd)*INDEX(IdxSal_O,1,MIN(10,DU$17))*(1+P_Cargas)+DU$81*P_Alim*DU$19</f>
        <v>8959.98771891781</v>
      </c>
      <c r="DV82" s="48" t="n">
        <f aca="false">SUMPRODUCT((Per_Clase="Administración")*Sal_O*INDEX(Dot_O,0,MIN(10,DV$17))*((Per_Mon="PYG")*DV$19+(Per_Mon&lt;&gt;"PYG")))*(DV$15+DV$16*P_PreInd)*INDEX(IdxSal_O,1,MIN(10,DV$17))*(1+P_Cargas)+DV$81*P_Alim*DV$19</f>
        <v>0</v>
      </c>
      <c r="DW82" s="48" t="n">
        <f aca="false">SUMPRODUCT((Per_Clase="Administración")*Sal_O*INDEX(Dot_O,0,MIN(10,DW$17))*((Per_Mon="PYG")*DW$19+(Per_Mon&lt;&gt;"PYG")))*(DW$15+DW$16*P_PreInd)*INDEX(IdxSal_O,1,MIN(10,DW$17))*(1+P_Cargas)+DW$81*P_Alim*DW$19</f>
        <v>0</v>
      </c>
      <c r="DX82" s="48" t="n">
        <f aca="false">SUMPRODUCT((Per_Clase="Administración")*Sal_O*INDEX(Dot_O,0,MIN(10,DX$17))*((Per_Mon="PYG")*DX$19+(Per_Mon&lt;&gt;"PYG")))*(DX$15+DX$16*P_PreInd)*INDEX(IdxSal_O,1,MIN(10,DX$17))*(1+P_Cargas)+DX$81*P_Alim*DX$19</f>
        <v>0</v>
      </c>
      <c r="DY82" s="48" t="n">
        <f aca="false">SUMPRODUCT((Per_Clase="Administración")*Sal_O*INDEX(Dot_O,0,MIN(10,DY$17))*((Per_Mon="PYG")*DY$19+(Per_Mon&lt;&gt;"PYG")))*(DY$15+DY$16*P_PreInd)*INDEX(IdxSal_O,1,MIN(10,DY$17))*(1+P_Cargas)+DY$81*P_Alim*DY$19</f>
        <v>0</v>
      </c>
      <c r="DZ82" s="48" t="n">
        <f aca="false">SUMPRODUCT((Per_Clase="Administración")*Sal_O*INDEX(Dot_O,0,MIN(10,DZ$17))*((Per_Mon="PYG")*DZ$19+(Per_Mon&lt;&gt;"PYG")))*(DZ$15+DZ$16*P_PreInd)*INDEX(IdxSal_O,1,MIN(10,DZ$17))*(1+P_Cargas)+DZ$81*P_Alim*DZ$19</f>
        <v>0</v>
      </c>
      <c r="EA82" s="48" t="n">
        <f aca="false">SUMPRODUCT((Per_Clase="Administración")*Sal_O*INDEX(Dot_O,0,MIN(10,EA$17))*((Per_Mon="PYG")*EA$19+(Per_Mon&lt;&gt;"PYG")))*(EA$15+EA$16*P_PreInd)*INDEX(IdxSal_O,1,MIN(10,EA$17))*(1+P_Cargas)+EA$81*P_Alim*EA$19</f>
        <v>0</v>
      </c>
      <c r="EB82" s="48" t="n">
        <f aca="false">SUMPRODUCT((Per_Clase="Administración")*Sal_O*INDEX(Dot_O,0,MIN(10,EB$17))*((Per_Mon="PYG")*EB$19+(Per_Mon&lt;&gt;"PYG")))*(EB$15+EB$16*P_PreInd)*INDEX(IdxSal_O,1,MIN(10,EB$17))*(1+P_Cargas)+EB$81*P_Alim*EB$19</f>
        <v>0</v>
      </c>
      <c r="EC82" s="48" t="n">
        <f aca="false">SUMPRODUCT((Per_Clase="Administración")*Sal_O*INDEX(Dot_O,0,MIN(10,EC$17))*((Per_Mon="PYG")*EC$19+(Per_Mon&lt;&gt;"PYG")))*(EC$15+EC$16*P_PreInd)*INDEX(IdxSal_O,1,MIN(10,EC$17))*(1+P_Cargas)+EC$81*P_Alim*EC$19</f>
        <v>0</v>
      </c>
      <c r="ED82" s="48" t="n">
        <f aca="false">SUMPRODUCT((Per_Clase="Administración")*Sal_O*INDEX(Dot_O,0,MIN(10,ED$17))*((Per_Mon="PYG")*ED$19+(Per_Mon&lt;&gt;"PYG")))*(ED$15+ED$16*P_PreInd)*INDEX(IdxSal_O,1,MIN(10,ED$17))*(1+P_Cargas)+ED$81*P_Alim*ED$19</f>
        <v>0</v>
      </c>
      <c r="EE82" s="48" t="n">
        <f aca="false">SUMPRODUCT((Per_Clase="Administración")*Sal_O*INDEX(Dot_O,0,MIN(10,EE$17))*((Per_Mon="PYG")*EE$19+(Per_Mon&lt;&gt;"PYG")))*(EE$15+EE$16*P_PreInd)*INDEX(IdxSal_O,1,MIN(10,EE$17))*(1+P_Cargas)+EE$81*P_Alim*EE$19</f>
        <v>0</v>
      </c>
      <c r="EF82" s="48" t="n">
        <f aca="false">SUMPRODUCT((Per_Clase="Administración")*Sal_O*INDEX(Dot_O,0,MIN(10,EF$17))*((Per_Mon="PYG")*EF$19+(Per_Mon&lt;&gt;"PYG")))*(EF$15+EF$16*P_PreInd)*INDEX(IdxSal_O,1,MIN(10,EF$17))*(1+P_Cargas)+EF$81*P_Alim*EF$19</f>
        <v>0</v>
      </c>
      <c r="EG82" s="48" t="n">
        <f aca="false">SUMPRODUCT((Per_Clase="Administración")*Sal_O*INDEX(Dot_O,0,MIN(10,EG$17))*((Per_Mon="PYG")*EG$19+(Per_Mon&lt;&gt;"PYG")))*(EG$15+EG$16*P_PreInd)*INDEX(IdxSal_O,1,MIN(10,EG$17))*(1+P_Cargas)+EG$81*P_Alim*EG$19</f>
        <v>0</v>
      </c>
      <c r="EH82" s="48" t="n">
        <f aca="false">SUMPRODUCT((Per_Clase="Administración")*Sal_O*INDEX(Dot_O,0,MIN(10,EH$17))*((Per_Mon="PYG")*EH$19+(Per_Mon&lt;&gt;"PYG")))*(EH$15+EH$16*P_PreInd)*INDEX(IdxSal_O,1,MIN(10,EH$17))*(1+P_Cargas)+EH$81*P_Alim*EH$19</f>
        <v>0</v>
      </c>
      <c r="EI82" s="48" t="n">
        <f aca="false">SUMPRODUCT((Per_Clase="Administración")*Sal_O*INDEX(Dot_O,0,MIN(10,EI$17))*((Per_Mon="PYG")*EI$19+(Per_Mon&lt;&gt;"PYG")))*(EI$15+EI$16*P_PreInd)*INDEX(IdxSal_O,1,MIN(10,EI$17))*(1+P_Cargas)+EI$81*P_Alim*EI$19</f>
        <v>0</v>
      </c>
      <c r="EJ82" s="48" t="n">
        <f aca="false">SUMPRODUCT((Per_Clase="Administración")*Sal_O*INDEX(Dot_O,0,MIN(10,EJ$17))*((Per_Mon="PYG")*EJ$19+(Per_Mon&lt;&gt;"PYG")))*(EJ$15+EJ$16*P_PreInd)*INDEX(IdxSal_O,1,MIN(10,EJ$17))*(1+P_Cargas)+EJ$81*P_Alim*EJ$19</f>
        <v>0</v>
      </c>
      <c r="EK82" s="48" t="n">
        <f aca="false">SUMPRODUCT((Per_Clase="Administración")*Sal_O*INDEX(Dot_O,0,MIN(10,EK$17))*((Per_Mon="PYG")*EK$19+(Per_Mon&lt;&gt;"PYG")))*(EK$15+EK$16*P_PreInd)*INDEX(IdxSal_O,1,MIN(10,EK$17))*(1+P_Cargas)+EK$81*P_Alim*EK$19</f>
        <v>0</v>
      </c>
      <c r="EL82" s="48" t="n">
        <f aca="false">SUMPRODUCT((Per_Clase="Administración")*Sal_O*INDEX(Dot_O,0,MIN(10,EL$17))*((Per_Mon="PYG")*EL$19+(Per_Mon&lt;&gt;"PYG")))*(EL$15+EL$16*P_PreInd)*INDEX(IdxSal_O,1,MIN(10,EL$17))*(1+P_Cargas)+EL$81*P_Alim*EL$19</f>
        <v>0</v>
      </c>
      <c r="EM82" s="48" t="n">
        <f aca="false">SUMPRODUCT((Per_Clase="Administración")*Sal_O*INDEX(Dot_O,0,MIN(10,EM$17))*((Per_Mon="PYG")*EM$19+(Per_Mon&lt;&gt;"PYG")))*(EM$15+EM$16*P_PreInd)*INDEX(IdxSal_O,1,MIN(10,EM$17))*(1+P_Cargas)+EM$81*P_Alim*EM$19</f>
        <v>0</v>
      </c>
      <c r="EN82" s="48" t="n">
        <f aca="false">SUMPRODUCT((Per_Clase="Administración")*Sal_O*INDEX(Dot_O,0,MIN(10,EN$17))*((Per_Mon="PYG")*EN$19+(Per_Mon&lt;&gt;"PYG")))*(EN$15+EN$16*P_PreInd)*INDEX(IdxSal_O,1,MIN(10,EN$17))*(1+P_Cargas)+EN$81*P_Alim*EN$19</f>
        <v>0</v>
      </c>
      <c r="EO82" s="48" t="n">
        <f aca="false">SUMPRODUCT((Per_Clase="Administración")*Sal_O*INDEX(Dot_O,0,MIN(10,EO$17))*((Per_Mon="PYG")*EO$19+(Per_Mon&lt;&gt;"PYG")))*(EO$15+EO$16*P_PreInd)*INDEX(IdxSal_O,1,MIN(10,EO$17))*(1+P_Cargas)+EO$81*P_Alim*EO$19</f>
        <v>0</v>
      </c>
      <c r="EP82" s="48" t="n">
        <f aca="false">SUMPRODUCT((Per_Clase="Administración")*Sal_O*INDEX(Dot_O,0,MIN(10,EP$17))*((Per_Mon="PYG")*EP$19+(Per_Mon&lt;&gt;"PYG")))*(EP$15+EP$16*P_PreInd)*INDEX(IdxSal_O,1,MIN(10,EP$17))*(1+P_Cargas)+EP$81*P_Alim*EP$19</f>
        <v>0</v>
      </c>
      <c r="EQ82" s="48" t="n">
        <f aca="false">SUMPRODUCT((Per_Clase="Administración")*Sal_O*INDEX(Dot_O,0,MIN(10,EQ$17))*((Per_Mon="PYG")*EQ$19+(Per_Mon&lt;&gt;"PYG")))*(EQ$15+EQ$16*P_PreInd)*INDEX(IdxSal_O,1,MIN(10,EQ$17))*(1+P_Cargas)+EQ$81*P_Alim*EQ$19</f>
        <v>0</v>
      </c>
      <c r="ER82" s="48" t="n">
        <f aca="false">SUMPRODUCT((Per_Clase="Administración")*Sal_O*INDEX(Dot_O,0,MIN(10,ER$17))*((Per_Mon="PYG")*ER$19+(Per_Mon&lt;&gt;"PYG")))*(ER$15+ER$16*P_PreInd)*INDEX(IdxSal_O,1,MIN(10,ER$17))*(1+P_Cargas)+ER$81*P_Alim*ER$19</f>
        <v>0</v>
      </c>
      <c r="ES82" s="48" t="n">
        <f aca="false">SUMPRODUCT((Per_Clase="Administración")*Sal_O*INDEX(Dot_O,0,MIN(10,ES$17))*((Per_Mon="PYG")*ES$19+(Per_Mon&lt;&gt;"PYG")))*(ES$15+ES$16*P_PreInd)*INDEX(IdxSal_O,1,MIN(10,ES$17))*(1+P_Cargas)+ES$81*P_Alim*ES$19</f>
        <v>0</v>
      </c>
    </row>
    <row r="83" customFormat="false" ht="15" hidden="false" customHeight="false" outlineLevel="0" collapsed="false">
      <c r="A83" s="11" t="s">
        <v>1139</v>
      </c>
      <c r="B83" s="15" t="s">
        <v>1140</v>
      </c>
      <c r="C83" s="15" t="s">
        <v>508</v>
      </c>
      <c r="E83" s="54" t="n">
        <f aca="false">SUM(F83:ES83)</f>
        <v>522395.342346116</v>
      </c>
      <c r="F83" s="48" t="n">
        <f aca="false">P_Pkg*(F$73+F$74+F$75+F$78)</f>
        <v>2756.29058797123</v>
      </c>
      <c r="G83" s="48" t="n">
        <f aca="false">P_Pkg*(G$73+G$74+G$75+G$78)</f>
        <v>2756.29058797123</v>
      </c>
      <c r="H83" s="48" t="n">
        <f aca="false">P_Pkg*(H$73+H$74+H$75+H$78)</f>
        <v>2756.29058797123</v>
      </c>
      <c r="I83" s="48" t="n">
        <f aca="false">P_Pkg*(I$73+I$74+I$75+I$78)</f>
        <v>2756.29058797123</v>
      </c>
      <c r="J83" s="48" t="n">
        <f aca="false">P_Pkg*(J$73+J$74+J$75+J$78)</f>
        <v>2756.29058797123</v>
      </c>
      <c r="K83" s="48" t="n">
        <f aca="false">P_Pkg*(K$73+K$74+K$75+K$78)</f>
        <v>2756.29058797123</v>
      </c>
      <c r="L83" s="48" t="n">
        <f aca="false">P_Pkg*(L$73+L$74+L$75+L$78)</f>
        <v>2756.29058797123</v>
      </c>
      <c r="M83" s="48" t="n">
        <f aca="false">P_Pkg*(M$73+M$74+M$75+M$78)</f>
        <v>2756.29058797123</v>
      </c>
      <c r="N83" s="48" t="n">
        <f aca="false">P_Pkg*(N$73+N$74+N$75+N$78)</f>
        <v>2756.29058797123</v>
      </c>
      <c r="O83" s="48" t="n">
        <f aca="false">P_Pkg*(O$73+O$74+O$75+O$78)</f>
        <v>2756.29058797123</v>
      </c>
      <c r="P83" s="48" t="n">
        <f aca="false">P_Pkg*(P$73+P$74+P$75+P$78)</f>
        <v>2756.29058797123</v>
      </c>
      <c r="Q83" s="48" t="n">
        <f aca="false">P_Pkg*(Q$73+Q$74+Q$75+Q$78)</f>
        <v>2756.29058797123</v>
      </c>
      <c r="R83" s="48" t="n">
        <f aca="false">P_Pkg*(R$73+R$74+R$75+R$78)</f>
        <v>3410.92767047123</v>
      </c>
      <c r="S83" s="48" t="n">
        <f aca="false">P_Pkg*(S$73+S$74+S$75+S$78)</f>
        <v>3410.92767047123</v>
      </c>
      <c r="T83" s="48" t="n">
        <f aca="false">P_Pkg*(T$73+T$74+T$75+T$78)</f>
        <v>3410.92767047123</v>
      </c>
      <c r="U83" s="48" t="n">
        <f aca="false">P_Pkg*(U$73+U$74+U$75+U$78)</f>
        <v>3410.92767047123</v>
      </c>
      <c r="V83" s="48" t="n">
        <f aca="false">P_Pkg*(V$73+V$74+V$75+V$78)</f>
        <v>3410.92767047123</v>
      </c>
      <c r="W83" s="48" t="n">
        <f aca="false">P_Pkg*(W$73+W$74+W$75+W$78)</f>
        <v>3410.92767047123</v>
      </c>
      <c r="X83" s="48" t="n">
        <f aca="false">P_Pkg*(X$73+X$74+X$75+X$78)</f>
        <v>3410.92767047123</v>
      </c>
      <c r="Y83" s="48" t="n">
        <f aca="false">P_Pkg*(Y$73+Y$74+Y$75+Y$78)</f>
        <v>3410.92767047123</v>
      </c>
      <c r="Z83" s="48" t="n">
        <f aca="false">P_Pkg*(Z$73+Z$74+Z$75+Z$78)</f>
        <v>3410.92767047123</v>
      </c>
      <c r="AA83" s="48" t="n">
        <f aca="false">P_Pkg*(AA$73+AA$74+AA$75+AA$78)</f>
        <v>3410.92767047123</v>
      </c>
      <c r="AB83" s="48" t="n">
        <f aca="false">P_Pkg*(AB$73+AB$74+AB$75+AB$78)</f>
        <v>3410.92767047123</v>
      </c>
      <c r="AC83" s="48" t="n">
        <f aca="false">P_Pkg*(AC$73+AC$74+AC$75+AC$78)</f>
        <v>3410.92767047123</v>
      </c>
      <c r="AD83" s="48" t="n">
        <f aca="false">P_Pkg*(AD$73+AD$74+AD$75+AD$78)</f>
        <v>4098.81333140891</v>
      </c>
      <c r="AE83" s="48" t="n">
        <f aca="false">P_Pkg*(AE$73+AE$74+AE$75+AE$78)</f>
        <v>4098.81333140891</v>
      </c>
      <c r="AF83" s="48" t="n">
        <f aca="false">P_Pkg*(AF$73+AF$74+AF$75+AF$78)</f>
        <v>4098.81333140891</v>
      </c>
      <c r="AG83" s="48" t="n">
        <f aca="false">P_Pkg*(AG$73+AG$74+AG$75+AG$78)</f>
        <v>4098.81333140891</v>
      </c>
      <c r="AH83" s="48" t="n">
        <f aca="false">P_Pkg*(AH$73+AH$74+AH$75+AH$78)</f>
        <v>4098.81333140891</v>
      </c>
      <c r="AI83" s="48" t="n">
        <f aca="false">P_Pkg*(AI$73+AI$74+AI$75+AI$78)</f>
        <v>4098.81333140891</v>
      </c>
      <c r="AJ83" s="48" t="n">
        <f aca="false">P_Pkg*(AJ$73+AJ$74+AJ$75+AJ$78)</f>
        <v>4098.81333140891</v>
      </c>
      <c r="AK83" s="48" t="n">
        <f aca="false">P_Pkg*(AK$73+AK$74+AK$75+AK$78)</f>
        <v>4098.81333140891</v>
      </c>
      <c r="AL83" s="48" t="n">
        <f aca="false">P_Pkg*(AL$73+AL$74+AL$75+AL$78)</f>
        <v>4098.81333140891</v>
      </c>
      <c r="AM83" s="48" t="n">
        <f aca="false">P_Pkg*(AM$73+AM$74+AM$75+AM$78)</f>
        <v>4098.81333140891</v>
      </c>
      <c r="AN83" s="48" t="n">
        <f aca="false">P_Pkg*(AN$73+AN$74+AN$75+AN$78)</f>
        <v>4098.81333140891</v>
      </c>
      <c r="AO83" s="48" t="n">
        <f aca="false">P_Pkg*(AO$73+AO$74+AO$75+AO$78)</f>
        <v>4098.81333140891</v>
      </c>
      <c r="AP83" s="48" t="n">
        <f aca="false">P_Pkg*(AP$73+AP$74+AP$75+AP$78)</f>
        <v>4661.52810532788</v>
      </c>
      <c r="AQ83" s="48" t="n">
        <f aca="false">P_Pkg*(AQ$73+AQ$74+AQ$75+AQ$78)</f>
        <v>4661.52810532788</v>
      </c>
      <c r="AR83" s="48" t="n">
        <f aca="false">P_Pkg*(AR$73+AR$74+AR$75+AR$78)</f>
        <v>4661.52810532788</v>
      </c>
      <c r="AS83" s="48" t="n">
        <f aca="false">P_Pkg*(AS$73+AS$74+AS$75+AS$78)</f>
        <v>4661.52810532788</v>
      </c>
      <c r="AT83" s="48" t="n">
        <f aca="false">P_Pkg*(AT$73+AT$74+AT$75+AT$78)</f>
        <v>4661.52810532788</v>
      </c>
      <c r="AU83" s="48" t="n">
        <f aca="false">P_Pkg*(AU$73+AU$74+AU$75+AU$78)</f>
        <v>4661.52810532788</v>
      </c>
      <c r="AV83" s="48" t="n">
        <f aca="false">P_Pkg*(AV$73+AV$74+AV$75+AV$78)</f>
        <v>4661.52810532788</v>
      </c>
      <c r="AW83" s="48" t="n">
        <f aca="false">P_Pkg*(AW$73+AW$74+AW$75+AW$78)</f>
        <v>4661.52810532788</v>
      </c>
      <c r="AX83" s="48" t="n">
        <f aca="false">P_Pkg*(AX$73+AX$74+AX$75+AX$78)</f>
        <v>4661.52810532788</v>
      </c>
      <c r="AY83" s="48" t="n">
        <f aca="false">P_Pkg*(AY$73+AY$74+AY$75+AY$78)</f>
        <v>4661.52810532788</v>
      </c>
      <c r="AZ83" s="48" t="n">
        <f aca="false">P_Pkg*(AZ$73+AZ$74+AZ$75+AZ$78)</f>
        <v>4661.52810532788</v>
      </c>
      <c r="BA83" s="48" t="n">
        <f aca="false">P_Pkg*(BA$73+BA$74+BA$75+BA$78)</f>
        <v>4661.52810532788</v>
      </c>
      <c r="BB83" s="48" t="n">
        <f aca="false">P_Pkg*(BB$73+BB$74+BB$75+BB$78)</f>
        <v>4709.89502646909</v>
      </c>
      <c r="BC83" s="48" t="n">
        <f aca="false">P_Pkg*(BC$73+BC$74+BC$75+BC$78)</f>
        <v>4709.89502646909</v>
      </c>
      <c r="BD83" s="48" t="n">
        <f aca="false">P_Pkg*(BD$73+BD$74+BD$75+BD$78)</f>
        <v>4709.89502646909</v>
      </c>
      <c r="BE83" s="48" t="n">
        <f aca="false">P_Pkg*(BE$73+BE$74+BE$75+BE$78)</f>
        <v>4709.89502646909</v>
      </c>
      <c r="BF83" s="48" t="n">
        <f aca="false">P_Pkg*(BF$73+BF$74+BF$75+BF$78)</f>
        <v>4709.89502646909</v>
      </c>
      <c r="BG83" s="48" t="n">
        <f aca="false">P_Pkg*(BG$73+BG$74+BG$75+BG$78)</f>
        <v>4709.89502646909</v>
      </c>
      <c r="BH83" s="48" t="n">
        <f aca="false">P_Pkg*(BH$73+BH$74+BH$75+BH$78)</f>
        <v>4709.89502646909</v>
      </c>
      <c r="BI83" s="48" t="n">
        <f aca="false">P_Pkg*(BI$73+BI$74+BI$75+BI$78)</f>
        <v>4709.89502646909</v>
      </c>
      <c r="BJ83" s="48" t="n">
        <f aca="false">P_Pkg*(BJ$73+BJ$74+BJ$75+BJ$78)</f>
        <v>4709.89502646909</v>
      </c>
      <c r="BK83" s="48" t="n">
        <f aca="false">P_Pkg*(BK$73+BK$74+BK$75+BK$78)</f>
        <v>4709.89502646909</v>
      </c>
      <c r="BL83" s="48" t="n">
        <f aca="false">P_Pkg*(BL$73+BL$74+BL$75+BL$78)</f>
        <v>4709.89502646909</v>
      </c>
      <c r="BM83" s="48" t="n">
        <f aca="false">P_Pkg*(BM$73+BM$74+BM$75+BM$78)</f>
        <v>4709.89502646909</v>
      </c>
      <c r="BN83" s="48" t="n">
        <f aca="false">P_Pkg*(BN$73+BN$74+BN$75+BN$78)</f>
        <v>4732.65693843283</v>
      </c>
      <c r="BO83" s="48" t="n">
        <f aca="false">P_Pkg*(BO$73+BO$74+BO$75+BO$78)</f>
        <v>4732.65693843283</v>
      </c>
      <c r="BP83" s="48" t="n">
        <f aca="false">P_Pkg*(BP$73+BP$74+BP$75+BP$78)</f>
        <v>4732.65693843283</v>
      </c>
      <c r="BQ83" s="48" t="n">
        <f aca="false">P_Pkg*(BQ$73+BQ$74+BQ$75+BQ$78)</f>
        <v>4732.65693843283</v>
      </c>
      <c r="BR83" s="48" t="n">
        <f aca="false">P_Pkg*(BR$73+BR$74+BR$75+BR$78)</f>
        <v>4732.65693843283</v>
      </c>
      <c r="BS83" s="48" t="n">
        <f aca="false">P_Pkg*(BS$73+BS$74+BS$75+BS$78)</f>
        <v>4732.65693843283</v>
      </c>
      <c r="BT83" s="48" t="n">
        <f aca="false">P_Pkg*(BT$73+BT$74+BT$75+BT$78)</f>
        <v>4732.65693843283</v>
      </c>
      <c r="BU83" s="48" t="n">
        <f aca="false">P_Pkg*(BU$73+BU$74+BU$75+BU$78)</f>
        <v>4732.65693843283</v>
      </c>
      <c r="BV83" s="48" t="n">
        <f aca="false">P_Pkg*(BV$73+BV$74+BV$75+BV$78)</f>
        <v>4732.65693843283</v>
      </c>
      <c r="BW83" s="48" t="n">
        <f aca="false">P_Pkg*(BW$73+BW$74+BW$75+BW$78)</f>
        <v>4732.65693843283</v>
      </c>
      <c r="BX83" s="48" t="n">
        <f aca="false">P_Pkg*(BX$73+BX$74+BX$75+BX$78)</f>
        <v>4732.65693843283</v>
      </c>
      <c r="BY83" s="48" t="n">
        <f aca="false">P_Pkg*(BY$73+BY$74+BY$75+BY$78)</f>
        <v>4732.65693843283</v>
      </c>
      <c r="BZ83" s="48" t="n">
        <f aca="false">P_Pkg*(BZ$73+BZ$74+BZ$75+BZ$78)</f>
        <v>4755.64646951621</v>
      </c>
      <c r="CA83" s="48" t="n">
        <f aca="false">P_Pkg*(CA$73+CA$74+CA$75+CA$78)</f>
        <v>4755.64646951621</v>
      </c>
      <c r="CB83" s="48" t="n">
        <f aca="false">P_Pkg*(CB$73+CB$74+CB$75+CB$78)</f>
        <v>4755.64646951621</v>
      </c>
      <c r="CC83" s="48" t="n">
        <f aca="false">P_Pkg*(CC$73+CC$74+CC$75+CC$78)</f>
        <v>4755.64646951621</v>
      </c>
      <c r="CD83" s="48" t="n">
        <f aca="false">P_Pkg*(CD$73+CD$74+CD$75+CD$78)</f>
        <v>4755.64646951621</v>
      </c>
      <c r="CE83" s="48" t="n">
        <f aca="false">P_Pkg*(CE$73+CE$74+CE$75+CE$78)</f>
        <v>4755.64646951621</v>
      </c>
      <c r="CF83" s="48" t="n">
        <f aca="false">P_Pkg*(CF$73+CF$74+CF$75+CF$78)</f>
        <v>4755.64646951621</v>
      </c>
      <c r="CG83" s="48" t="n">
        <f aca="false">P_Pkg*(CG$73+CG$74+CG$75+CG$78)</f>
        <v>4755.64646951621</v>
      </c>
      <c r="CH83" s="48" t="n">
        <f aca="false">P_Pkg*(CH$73+CH$74+CH$75+CH$78)</f>
        <v>4755.64646951621</v>
      </c>
      <c r="CI83" s="48" t="n">
        <f aca="false">P_Pkg*(CI$73+CI$74+CI$75+CI$78)</f>
        <v>4755.64646951621</v>
      </c>
      <c r="CJ83" s="48" t="n">
        <f aca="false">P_Pkg*(CJ$73+CJ$74+CJ$75+CJ$78)</f>
        <v>4755.64646951621</v>
      </c>
      <c r="CK83" s="48" t="n">
        <f aca="false">P_Pkg*(CK$73+CK$74+CK$75+CK$78)</f>
        <v>4755.64646951621</v>
      </c>
      <c r="CL83" s="48" t="n">
        <f aca="false">P_Pkg*(CL$73+CL$74+CL$75+CL$78)</f>
        <v>4778.86589591041</v>
      </c>
      <c r="CM83" s="48" t="n">
        <f aca="false">P_Pkg*(CM$73+CM$74+CM$75+CM$78)</f>
        <v>4778.86589591041</v>
      </c>
      <c r="CN83" s="48" t="n">
        <f aca="false">P_Pkg*(CN$73+CN$74+CN$75+CN$78)</f>
        <v>4778.86589591041</v>
      </c>
      <c r="CO83" s="48" t="n">
        <f aca="false">P_Pkg*(CO$73+CO$74+CO$75+CO$78)</f>
        <v>4778.86589591041</v>
      </c>
      <c r="CP83" s="48" t="n">
        <f aca="false">P_Pkg*(CP$73+CP$74+CP$75+CP$78)</f>
        <v>4778.86589591041</v>
      </c>
      <c r="CQ83" s="48" t="n">
        <f aca="false">P_Pkg*(CQ$73+CQ$74+CQ$75+CQ$78)</f>
        <v>4778.86589591041</v>
      </c>
      <c r="CR83" s="48" t="n">
        <f aca="false">P_Pkg*(CR$73+CR$74+CR$75+CR$78)</f>
        <v>4778.86589591041</v>
      </c>
      <c r="CS83" s="48" t="n">
        <f aca="false">P_Pkg*(CS$73+CS$74+CS$75+CS$78)</f>
        <v>4778.86589591041</v>
      </c>
      <c r="CT83" s="48" t="n">
        <f aca="false">P_Pkg*(CT$73+CT$74+CT$75+CT$78)</f>
        <v>4778.86589591041</v>
      </c>
      <c r="CU83" s="48" t="n">
        <f aca="false">P_Pkg*(CU$73+CU$74+CU$75+CU$78)</f>
        <v>4778.86589591041</v>
      </c>
      <c r="CV83" s="48" t="n">
        <f aca="false">P_Pkg*(CV$73+CV$74+CV$75+CV$78)</f>
        <v>4778.86589591041</v>
      </c>
      <c r="CW83" s="48" t="n">
        <f aca="false">P_Pkg*(CW$73+CW$74+CW$75+CW$78)</f>
        <v>4778.86589591041</v>
      </c>
      <c r="CX83" s="48" t="n">
        <f aca="false">P_Pkg*(CX$73+CX$74+CX$75+CX$78)</f>
        <v>4802.31751656856</v>
      </c>
      <c r="CY83" s="48" t="n">
        <f aca="false">P_Pkg*(CY$73+CY$74+CY$75+CY$78)</f>
        <v>4802.31751656856</v>
      </c>
      <c r="CZ83" s="48" t="n">
        <f aca="false">P_Pkg*(CZ$73+CZ$74+CZ$75+CZ$78)</f>
        <v>4802.31751656856</v>
      </c>
      <c r="DA83" s="48" t="n">
        <f aca="false">P_Pkg*(DA$73+DA$74+DA$75+DA$78)</f>
        <v>4802.31751656856</v>
      </c>
      <c r="DB83" s="48" t="n">
        <f aca="false">P_Pkg*(DB$73+DB$74+DB$75+DB$78)</f>
        <v>4802.31751656856</v>
      </c>
      <c r="DC83" s="48" t="n">
        <f aca="false">P_Pkg*(DC$73+DC$74+DC$75+DC$78)</f>
        <v>4802.31751656856</v>
      </c>
      <c r="DD83" s="48" t="n">
        <f aca="false">P_Pkg*(DD$73+DD$74+DD$75+DD$78)</f>
        <v>4802.31751656856</v>
      </c>
      <c r="DE83" s="48" t="n">
        <f aca="false">P_Pkg*(DE$73+DE$74+DE$75+DE$78)</f>
        <v>4802.31751656856</v>
      </c>
      <c r="DF83" s="48" t="n">
        <f aca="false">P_Pkg*(DF$73+DF$74+DF$75+DF$78)</f>
        <v>4802.31751656856</v>
      </c>
      <c r="DG83" s="48" t="n">
        <f aca="false">P_Pkg*(DG$73+DG$74+DG$75+DG$78)</f>
        <v>4802.31751656856</v>
      </c>
      <c r="DH83" s="48" t="n">
        <f aca="false">P_Pkg*(DH$73+DH$74+DH$75+DH$78)</f>
        <v>4802.31751656856</v>
      </c>
      <c r="DI83" s="48" t="n">
        <f aca="false">P_Pkg*(DI$73+DI$74+DI$75+DI$78)</f>
        <v>4802.31751656856</v>
      </c>
      <c r="DJ83" s="48" t="n">
        <f aca="false">P_Pkg*(DJ$73+DJ$74+DJ$75+DJ$78)</f>
        <v>4826.0036534333</v>
      </c>
      <c r="DK83" s="48" t="n">
        <f aca="false">P_Pkg*(DK$73+DK$74+DK$75+DK$78)</f>
        <v>4826.0036534333</v>
      </c>
      <c r="DL83" s="48" t="n">
        <f aca="false">P_Pkg*(DL$73+DL$74+DL$75+DL$78)</f>
        <v>4826.0036534333</v>
      </c>
      <c r="DM83" s="48" t="n">
        <f aca="false">P_Pkg*(DM$73+DM$74+DM$75+DM$78)</f>
        <v>4826.0036534333</v>
      </c>
      <c r="DN83" s="48" t="n">
        <f aca="false">P_Pkg*(DN$73+DN$74+DN$75+DN$78)</f>
        <v>4826.0036534333</v>
      </c>
      <c r="DO83" s="48" t="n">
        <f aca="false">P_Pkg*(DO$73+DO$74+DO$75+DO$78)</f>
        <v>4826.0036534333</v>
      </c>
      <c r="DP83" s="48" t="n">
        <f aca="false">P_Pkg*(DP$73+DP$74+DP$75+DP$78)</f>
        <v>4826.0036534333</v>
      </c>
      <c r="DQ83" s="48" t="n">
        <f aca="false">P_Pkg*(DQ$73+DQ$74+DQ$75+DQ$78)</f>
        <v>4826.0036534333</v>
      </c>
      <c r="DR83" s="48" t="n">
        <f aca="false">P_Pkg*(DR$73+DR$74+DR$75+DR$78)</f>
        <v>4826.0036534333</v>
      </c>
      <c r="DS83" s="48" t="n">
        <f aca="false">P_Pkg*(DS$73+DS$74+DS$75+DS$78)</f>
        <v>4826.0036534333</v>
      </c>
      <c r="DT83" s="48" t="n">
        <f aca="false">P_Pkg*(DT$73+DT$74+DT$75+DT$78)</f>
        <v>4826.0036534333</v>
      </c>
      <c r="DU83" s="48" t="n">
        <f aca="false">P_Pkg*(DU$73+DU$74+DU$75+DU$78)</f>
        <v>4826.0036534333</v>
      </c>
      <c r="DV83" s="48" t="n">
        <f aca="false">P_Pkg*(DV$73+DV$74+DV$75+DV$78)</f>
        <v>0</v>
      </c>
      <c r="DW83" s="48" t="n">
        <f aca="false">P_Pkg*(DW$73+DW$74+DW$75+DW$78)</f>
        <v>0</v>
      </c>
      <c r="DX83" s="48" t="n">
        <f aca="false">P_Pkg*(DX$73+DX$74+DX$75+DX$78)</f>
        <v>0</v>
      </c>
      <c r="DY83" s="48" t="n">
        <f aca="false">P_Pkg*(DY$73+DY$74+DY$75+DY$78)</f>
        <v>0</v>
      </c>
      <c r="DZ83" s="48" t="n">
        <f aca="false">P_Pkg*(DZ$73+DZ$74+DZ$75+DZ$78)</f>
        <v>0</v>
      </c>
      <c r="EA83" s="48" t="n">
        <f aca="false">P_Pkg*(EA$73+EA$74+EA$75+EA$78)</f>
        <v>0</v>
      </c>
      <c r="EB83" s="48" t="n">
        <f aca="false">P_Pkg*(EB$73+EB$74+EB$75+EB$78)</f>
        <v>0</v>
      </c>
      <c r="EC83" s="48" t="n">
        <f aca="false">P_Pkg*(EC$73+EC$74+EC$75+EC$78)</f>
        <v>0</v>
      </c>
      <c r="ED83" s="48" t="n">
        <f aca="false">P_Pkg*(ED$73+ED$74+ED$75+ED$78)</f>
        <v>0</v>
      </c>
      <c r="EE83" s="48" t="n">
        <f aca="false">P_Pkg*(EE$73+EE$74+EE$75+EE$78)</f>
        <v>0</v>
      </c>
      <c r="EF83" s="48" t="n">
        <f aca="false">P_Pkg*(EF$73+EF$74+EF$75+EF$78)</f>
        <v>0</v>
      </c>
      <c r="EG83" s="48" t="n">
        <f aca="false">P_Pkg*(EG$73+EG$74+EG$75+EG$78)</f>
        <v>0</v>
      </c>
      <c r="EH83" s="48" t="n">
        <f aca="false">P_Pkg*(EH$73+EH$74+EH$75+EH$78)</f>
        <v>0</v>
      </c>
      <c r="EI83" s="48" t="n">
        <f aca="false">P_Pkg*(EI$73+EI$74+EI$75+EI$78)</f>
        <v>0</v>
      </c>
      <c r="EJ83" s="48" t="n">
        <f aca="false">P_Pkg*(EJ$73+EJ$74+EJ$75+EJ$78)</f>
        <v>0</v>
      </c>
      <c r="EK83" s="48" t="n">
        <f aca="false">P_Pkg*(EK$73+EK$74+EK$75+EK$78)</f>
        <v>0</v>
      </c>
      <c r="EL83" s="48" t="n">
        <f aca="false">P_Pkg*(EL$73+EL$74+EL$75+EL$78)</f>
        <v>0</v>
      </c>
      <c r="EM83" s="48" t="n">
        <f aca="false">P_Pkg*(EM$73+EM$74+EM$75+EM$78)</f>
        <v>0</v>
      </c>
      <c r="EN83" s="48" t="n">
        <f aca="false">P_Pkg*(EN$73+EN$74+EN$75+EN$78)</f>
        <v>0</v>
      </c>
      <c r="EO83" s="48" t="n">
        <f aca="false">P_Pkg*(EO$73+EO$74+EO$75+EO$78)</f>
        <v>0</v>
      </c>
      <c r="EP83" s="48" t="n">
        <f aca="false">P_Pkg*(EP$73+EP$74+EP$75+EP$78)</f>
        <v>0</v>
      </c>
      <c r="EQ83" s="48" t="n">
        <f aca="false">P_Pkg*(EQ$73+EQ$74+EQ$75+EQ$78)</f>
        <v>0</v>
      </c>
      <c r="ER83" s="48" t="n">
        <f aca="false">P_Pkg*(ER$73+ER$74+ER$75+ER$78)</f>
        <v>0</v>
      </c>
      <c r="ES83" s="48" t="n">
        <f aca="false">P_Pkg*(ES$73+ES$74+ES$75+ES$78)</f>
        <v>0</v>
      </c>
    </row>
    <row r="84" customFormat="false" ht="15" hidden="false" customHeight="false" outlineLevel="0" collapsed="false">
      <c r="A84" s="11" t="s">
        <v>1141</v>
      </c>
      <c r="B84" s="15" t="s">
        <v>1142</v>
      </c>
      <c r="C84" s="15" t="s">
        <v>508</v>
      </c>
      <c r="E84" s="54" t="n">
        <f aca="false">SUM(F84:ES84)</f>
        <v>81222.4477216454</v>
      </c>
      <c r="F84" s="48" t="n">
        <f aca="false">(P_SegV+P_ComV)*F$71</f>
        <v>404.166666666667</v>
      </c>
      <c r="G84" s="48" t="n">
        <f aca="false">(P_SegV+P_ComV)*G$71</f>
        <v>404.166666666667</v>
      </c>
      <c r="H84" s="48" t="n">
        <f aca="false">(P_SegV+P_ComV)*H$71</f>
        <v>404.166666666667</v>
      </c>
      <c r="I84" s="48" t="n">
        <f aca="false">(P_SegV+P_ComV)*I$71</f>
        <v>404.166666666667</v>
      </c>
      <c r="J84" s="48" t="n">
        <f aca="false">(P_SegV+P_ComV)*J$71</f>
        <v>404.166666666667</v>
      </c>
      <c r="K84" s="48" t="n">
        <f aca="false">(P_SegV+P_ComV)*K$71</f>
        <v>404.166666666667</v>
      </c>
      <c r="L84" s="48" t="n">
        <f aca="false">(P_SegV+P_ComV)*L$71</f>
        <v>404.166666666667</v>
      </c>
      <c r="M84" s="48" t="n">
        <f aca="false">(P_SegV+P_ComV)*M$71</f>
        <v>404.166666666667</v>
      </c>
      <c r="N84" s="48" t="n">
        <f aca="false">(P_SegV+P_ComV)*N$71</f>
        <v>404.166666666667</v>
      </c>
      <c r="O84" s="48" t="n">
        <f aca="false">(P_SegV+P_ComV)*O$71</f>
        <v>404.166666666667</v>
      </c>
      <c r="P84" s="48" t="n">
        <f aca="false">(P_SegV+P_ComV)*P$71</f>
        <v>404.166666666667</v>
      </c>
      <c r="Q84" s="48" t="n">
        <f aca="false">(P_SegV+P_ComV)*Q$71</f>
        <v>404.166666666667</v>
      </c>
      <c r="R84" s="48" t="n">
        <f aca="false">(P_SegV+P_ComV)*R$71</f>
        <v>515.1</v>
      </c>
      <c r="S84" s="48" t="n">
        <f aca="false">(P_SegV+P_ComV)*S$71</f>
        <v>515.1</v>
      </c>
      <c r="T84" s="48" t="n">
        <f aca="false">(P_SegV+P_ComV)*T$71</f>
        <v>515.1</v>
      </c>
      <c r="U84" s="48" t="n">
        <f aca="false">(P_SegV+P_ComV)*U$71</f>
        <v>515.1</v>
      </c>
      <c r="V84" s="48" t="n">
        <f aca="false">(P_SegV+P_ComV)*V$71</f>
        <v>515.1</v>
      </c>
      <c r="W84" s="48" t="n">
        <f aca="false">(P_SegV+P_ComV)*W$71</f>
        <v>515.1</v>
      </c>
      <c r="X84" s="48" t="n">
        <f aca="false">(P_SegV+P_ComV)*X$71</f>
        <v>515.1</v>
      </c>
      <c r="Y84" s="48" t="n">
        <f aca="false">(P_SegV+P_ComV)*Y$71</f>
        <v>515.1</v>
      </c>
      <c r="Z84" s="48" t="n">
        <f aca="false">(P_SegV+P_ComV)*Z$71</f>
        <v>515.1</v>
      </c>
      <c r="AA84" s="48" t="n">
        <f aca="false">(P_SegV+P_ComV)*AA$71</f>
        <v>515.1</v>
      </c>
      <c r="AB84" s="48" t="n">
        <f aca="false">(P_SegV+P_ComV)*AB$71</f>
        <v>515.1</v>
      </c>
      <c r="AC84" s="48" t="n">
        <f aca="false">(P_SegV+P_ComV)*AC$71</f>
        <v>515.1</v>
      </c>
      <c r="AD84" s="48" t="n">
        <f aca="false">(P_SegV+P_ComV)*AD$71</f>
        <v>628.211583333333</v>
      </c>
      <c r="AE84" s="48" t="n">
        <f aca="false">(P_SegV+P_ComV)*AE$71</f>
        <v>628.211583333333</v>
      </c>
      <c r="AF84" s="48" t="n">
        <f aca="false">(P_SegV+P_ComV)*AF$71</f>
        <v>628.211583333333</v>
      </c>
      <c r="AG84" s="48" t="n">
        <f aca="false">(P_SegV+P_ComV)*AG$71</f>
        <v>628.211583333333</v>
      </c>
      <c r="AH84" s="48" t="n">
        <f aca="false">(P_SegV+P_ComV)*AH$71</f>
        <v>628.211583333333</v>
      </c>
      <c r="AI84" s="48" t="n">
        <f aca="false">(P_SegV+P_ComV)*AI$71</f>
        <v>628.211583333333</v>
      </c>
      <c r="AJ84" s="48" t="n">
        <f aca="false">(P_SegV+P_ComV)*AJ$71</f>
        <v>628.211583333333</v>
      </c>
      <c r="AK84" s="48" t="n">
        <f aca="false">(P_SegV+P_ComV)*AK$71</f>
        <v>628.211583333333</v>
      </c>
      <c r="AL84" s="48" t="n">
        <f aca="false">(P_SegV+P_ComV)*AL$71</f>
        <v>628.211583333333</v>
      </c>
      <c r="AM84" s="48" t="n">
        <f aca="false">(P_SegV+P_ComV)*AM$71</f>
        <v>628.211583333333</v>
      </c>
      <c r="AN84" s="48" t="n">
        <f aca="false">(P_SegV+P_ComV)*AN$71</f>
        <v>628.211583333333</v>
      </c>
      <c r="AO84" s="48" t="n">
        <f aca="false">(P_SegV+P_ComV)*AO$71</f>
        <v>628.211583333333</v>
      </c>
      <c r="AP84" s="48" t="n">
        <f aca="false">(P_SegV+P_ComV)*AP$71</f>
        <v>723.7864525</v>
      </c>
      <c r="AQ84" s="48" t="n">
        <f aca="false">(P_SegV+P_ComV)*AQ$71</f>
        <v>723.7864525</v>
      </c>
      <c r="AR84" s="48" t="n">
        <f aca="false">(P_SegV+P_ComV)*AR$71</f>
        <v>723.7864525</v>
      </c>
      <c r="AS84" s="48" t="n">
        <f aca="false">(P_SegV+P_ComV)*AS$71</f>
        <v>723.7864525</v>
      </c>
      <c r="AT84" s="48" t="n">
        <f aca="false">(P_SegV+P_ComV)*AT$71</f>
        <v>723.7864525</v>
      </c>
      <c r="AU84" s="48" t="n">
        <f aca="false">(P_SegV+P_ComV)*AU$71</f>
        <v>723.7864525</v>
      </c>
      <c r="AV84" s="48" t="n">
        <f aca="false">(P_SegV+P_ComV)*AV$71</f>
        <v>723.7864525</v>
      </c>
      <c r="AW84" s="48" t="n">
        <f aca="false">(P_SegV+P_ComV)*AW$71</f>
        <v>723.7864525</v>
      </c>
      <c r="AX84" s="48" t="n">
        <f aca="false">(P_SegV+P_ComV)*AX$71</f>
        <v>723.7864525</v>
      </c>
      <c r="AY84" s="48" t="n">
        <f aca="false">(P_SegV+P_ComV)*AY$71</f>
        <v>723.7864525</v>
      </c>
      <c r="AZ84" s="48" t="n">
        <f aca="false">(P_SegV+P_ComV)*AZ$71</f>
        <v>723.7864525</v>
      </c>
      <c r="BA84" s="48" t="n">
        <f aca="false">(P_SegV+P_ComV)*BA$71</f>
        <v>723.7864525</v>
      </c>
      <c r="BB84" s="48" t="n">
        <f aca="false">(P_SegV+P_ComV)*BB$71</f>
        <v>731.024317025</v>
      </c>
      <c r="BC84" s="48" t="n">
        <f aca="false">(P_SegV+P_ComV)*BC$71</f>
        <v>731.024317025</v>
      </c>
      <c r="BD84" s="48" t="n">
        <f aca="false">(P_SegV+P_ComV)*BD$71</f>
        <v>731.024317025</v>
      </c>
      <c r="BE84" s="48" t="n">
        <f aca="false">(P_SegV+P_ComV)*BE$71</f>
        <v>731.024317025</v>
      </c>
      <c r="BF84" s="48" t="n">
        <f aca="false">(P_SegV+P_ComV)*BF$71</f>
        <v>731.024317025</v>
      </c>
      <c r="BG84" s="48" t="n">
        <f aca="false">(P_SegV+P_ComV)*BG$71</f>
        <v>731.024317025</v>
      </c>
      <c r="BH84" s="48" t="n">
        <f aca="false">(P_SegV+P_ComV)*BH$71</f>
        <v>731.024317025</v>
      </c>
      <c r="BI84" s="48" t="n">
        <f aca="false">(P_SegV+P_ComV)*BI$71</f>
        <v>731.024317025</v>
      </c>
      <c r="BJ84" s="48" t="n">
        <f aca="false">(P_SegV+P_ComV)*BJ$71</f>
        <v>731.024317025</v>
      </c>
      <c r="BK84" s="48" t="n">
        <f aca="false">(P_SegV+P_ComV)*BK$71</f>
        <v>731.024317025</v>
      </c>
      <c r="BL84" s="48" t="n">
        <f aca="false">(P_SegV+P_ComV)*BL$71</f>
        <v>731.024317025</v>
      </c>
      <c r="BM84" s="48" t="n">
        <f aca="false">(P_SegV+P_ComV)*BM$71</f>
        <v>731.024317025</v>
      </c>
      <c r="BN84" s="48" t="n">
        <f aca="false">(P_SegV+P_ComV)*BN$71</f>
        <v>738.33456019525</v>
      </c>
      <c r="BO84" s="48" t="n">
        <f aca="false">(P_SegV+P_ComV)*BO$71</f>
        <v>738.33456019525</v>
      </c>
      <c r="BP84" s="48" t="n">
        <f aca="false">(P_SegV+P_ComV)*BP$71</f>
        <v>738.33456019525</v>
      </c>
      <c r="BQ84" s="48" t="n">
        <f aca="false">(P_SegV+P_ComV)*BQ$71</f>
        <v>738.33456019525</v>
      </c>
      <c r="BR84" s="48" t="n">
        <f aca="false">(P_SegV+P_ComV)*BR$71</f>
        <v>738.33456019525</v>
      </c>
      <c r="BS84" s="48" t="n">
        <f aca="false">(P_SegV+P_ComV)*BS$71</f>
        <v>738.33456019525</v>
      </c>
      <c r="BT84" s="48" t="n">
        <f aca="false">(P_SegV+P_ComV)*BT$71</f>
        <v>738.33456019525</v>
      </c>
      <c r="BU84" s="48" t="n">
        <f aca="false">(P_SegV+P_ComV)*BU$71</f>
        <v>738.33456019525</v>
      </c>
      <c r="BV84" s="48" t="n">
        <f aca="false">(P_SegV+P_ComV)*BV$71</f>
        <v>738.33456019525</v>
      </c>
      <c r="BW84" s="48" t="n">
        <f aca="false">(P_SegV+P_ComV)*BW$71</f>
        <v>738.33456019525</v>
      </c>
      <c r="BX84" s="48" t="n">
        <f aca="false">(P_SegV+P_ComV)*BX$71</f>
        <v>738.33456019525</v>
      </c>
      <c r="BY84" s="48" t="n">
        <f aca="false">(P_SegV+P_ComV)*BY$71</f>
        <v>738.33456019525</v>
      </c>
      <c r="BZ84" s="48" t="n">
        <f aca="false">(P_SegV+P_ComV)*BZ$71</f>
        <v>745.717905797202</v>
      </c>
      <c r="CA84" s="48" t="n">
        <f aca="false">(P_SegV+P_ComV)*CA$71</f>
        <v>745.717905797202</v>
      </c>
      <c r="CB84" s="48" t="n">
        <f aca="false">(P_SegV+P_ComV)*CB$71</f>
        <v>745.717905797202</v>
      </c>
      <c r="CC84" s="48" t="n">
        <f aca="false">(P_SegV+P_ComV)*CC$71</f>
        <v>745.717905797202</v>
      </c>
      <c r="CD84" s="48" t="n">
        <f aca="false">(P_SegV+P_ComV)*CD$71</f>
        <v>745.717905797202</v>
      </c>
      <c r="CE84" s="48" t="n">
        <f aca="false">(P_SegV+P_ComV)*CE$71</f>
        <v>745.717905797202</v>
      </c>
      <c r="CF84" s="48" t="n">
        <f aca="false">(P_SegV+P_ComV)*CF$71</f>
        <v>745.717905797202</v>
      </c>
      <c r="CG84" s="48" t="n">
        <f aca="false">(P_SegV+P_ComV)*CG$71</f>
        <v>745.717905797202</v>
      </c>
      <c r="CH84" s="48" t="n">
        <f aca="false">(P_SegV+P_ComV)*CH$71</f>
        <v>745.717905797202</v>
      </c>
      <c r="CI84" s="48" t="n">
        <f aca="false">(P_SegV+P_ComV)*CI$71</f>
        <v>745.717905797202</v>
      </c>
      <c r="CJ84" s="48" t="n">
        <f aca="false">(P_SegV+P_ComV)*CJ$71</f>
        <v>745.717905797202</v>
      </c>
      <c r="CK84" s="48" t="n">
        <f aca="false">(P_SegV+P_ComV)*CK$71</f>
        <v>745.717905797202</v>
      </c>
      <c r="CL84" s="48" t="n">
        <f aca="false">(P_SegV+P_ComV)*CL$71</f>
        <v>753.175084855174</v>
      </c>
      <c r="CM84" s="48" t="n">
        <f aca="false">(P_SegV+P_ComV)*CM$71</f>
        <v>753.175084855174</v>
      </c>
      <c r="CN84" s="48" t="n">
        <f aca="false">(P_SegV+P_ComV)*CN$71</f>
        <v>753.175084855174</v>
      </c>
      <c r="CO84" s="48" t="n">
        <f aca="false">(P_SegV+P_ComV)*CO$71</f>
        <v>753.175084855174</v>
      </c>
      <c r="CP84" s="48" t="n">
        <f aca="false">(P_SegV+P_ComV)*CP$71</f>
        <v>753.175084855174</v>
      </c>
      <c r="CQ84" s="48" t="n">
        <f aca="false">(P_SegV+P_ComV)*CQ$71</f>
        <v>753.175084855174</v>
      </c>
      <c r="CR84" s="48" t="n">
        <f aca="false">(P_SegV+P_ComV)*CR$71</f>
        <v>753.175084855174</v>
      </c>
      <c r="CS84" s="48" t="n">
        <f aca="false">(P_SegV+P_ComV)*CS$71</f>
        <v>753.175084855174</v>
      </c>
      <c r="CT84" s="48" t="n">
        <f aca="false">(P_SegV+P_ComV)*CT$71</f>
        <v>753.175084855174</v>
      </c>
      <c r="CU84" s="48" t="n">
        <f aca="false">(P_SegV+P_ComV)*CU$71</f>
        <v>753.175084855174</v>
      </c>
      <c r="CV84" s="48" t="n">
        <f aca="false">(P_SegV+P_ComV)*CV$71</f>
        <v>753.175084855174</v>
      </c>
      <c r="CW84" s="48" t="n">
        <f aca="false">(P_SegV+P_ComV)*CW$71</f>
        <v>753.175084855174</v>
      </c>
      <c r="CX84" s="48" t="n">
        <f aca="false">(P_SegV+P_ComV)*CX$71</f>
        <v>760.706835703726</v>
      </c>
      <c r="CY84" s="48" t="n">
        <f aca="false">(P_SegV+P_ComV)*CY$71</f>
        <v>760.706835703726</v>
      </c>
      <c r="CZ84" s="48" t="n">
        <f aca="false">(P_SegV+P_ComV)*CZ$71</f>
        <v>760.706835703726</v>
      </c>
      <c r="DA84" s="48" t="n">
        <f aca="false">(P_SegV+P_ComV)*DA$71</f>
        <v>760.706835703726</v>
      </c>
      <c r="DB84" s="48" t="n">
        <f aca="false">(P_SegV+P_ComV)*DB$71</f>
        <v>760.706835703726</v>
      </c>
      <c r="DC84" s="48" t="n">
        <f aca="false">(P_SegV+P_ComV)*DC$71</f>
        <v>760.706835703726</v>
      </c>
      <c r="DD84" s="48" t="n">
        <f aca="false">(P_SegV+P_ComV)*DD$71</f>
        <v>760.706835703726</v>
      </c>
      <c r="DE84" s="48" t="n">
        <f aca="false">(P_SegV+P_ComV)*DE$71</f>
        <v>760.706835703726</v>
      </c>
      <c r="DF84" s="48" t="n">
        <f aca="false">(P_SegV+P_ComV)*DF$71</f>
        <v>760.706835703726</v>
      </c>
      <c r="DG84" s="48" t="n">
        <f aca="false">(P_SegV+P_ComV)*DG$71</f>
        <v>760.706835703726</v>
      </c>
      <c r="DH84" s="48" t="n">
        <f aca="false">(P_SegV+P_ComV)*DH$71</f>
        <v>760.706835703726</v>
      </c>
      <c r="DI84" s="48" t="n">
        <f aca="false">(P_SegV+P_ComV)*DI$71</f>
        <v>760.706835703726</v>
      </c>
      <c r="DJ84" s="48" t="n">
        <f aca="false">(P_SegV+P_ComV)*DJ$71</f>
        <v>768.313904060764</v>
      </c>
      <c r="DK84" s="48" t="n">
        <f aca="false">(P_SegV+P_ComV)*DK$71</f>
        <v>768.313904060764</v>
      </c>
      <c r="DL84" s="48" t="n">
        <f aca="false">(P_SegV+P_ComV)*DL$71</f>
        <v>768.313904060764</v>
      </c>
      <c r="DM84" s="48" t="n">
        <f aca="false">(P_SegV+P_ComV)*DM$71</f>
        <v>768.313904060764</v>
      </c>
      <c r="DN84" s="48" t="n">
        <f aca="false">(P_SegV+P_ComV)*DN$71</f>
        <v>768.313904060764</v>
      </c>
      <c r="DO84" s="48" t="n">
        <f aca="false">(P_SegV+P_ComV)*DO$71</f>
        <v>768.313904060764</v>
      </c>
      <c r="DP84" s="48" t="n">
        <f aca="false">(P_SegV+P_ComV)*DP$71</f>
        <v>768.313904060764</v>
      </c>
      <c r="DQ84" s="48" t="n">
        <f aca="false">(P_SegV+P_ComV)*DQ$71</f>
        <v>768.313904060764</v>
      </c>
      <c r="DR84" s="48" t="n">
        <f aca="false">(P_SegV+P_ComV)*DR$71</f>
        <v>768.313904060764</v>
      </c>
      <c r="DS84" s="48" t="n">
        <f aca="false">(P_SegV+P_ComV)*DS$71</f>
        <v>768.313904060764</v>
      </c>
      <c r="DT84" s="48" t="n">
        <f aca="false">(P_SegV+P_ComV)*DT$71</f>
        <v>768.313904060764</v>
      </c>
      <c r="DU84" s="48" t="n">
        <f aca="false">(P_SegV+P_ComV)*DU$71</f>
        <v>768.313904060764</v>
      </c>
      <c r="DV84" s="48" t="n">
        <f aca="false">(P_SegV+P_ComV)*DV$71</f>
        <v>0</v>
      </c>
      <c r="DW84" s="48" t="n">
        <f aca="false">(P_SegV+P_ComV)*DW$71</f>
        <v>0</v>
      </c>
      <c r="DX84" s="48" t="n">
        <f aca="false">(P_SegV+P_ComV)*DX$71</f>
        <v>0</v>
      </c>
      <c r="DY84" s="48" t="n">
        <f aca="false">(P_SegV+P_ComV)*DY$71</f>
        <v>0</v>
      </c>
      <c r="DZ84" s="48" t="n">
        <f aca="false">(P_SegV+P_ComV)*DZ$71</f>
        <v>0</v>
      </c>
      <c r="EA84" s="48" t="n">
        <f aca="false">(P_SegV+P_ComV)*EA$71</f>
        <v>0</v>
      </c>
      <c r="EB84" s="48" t="n">
        <f aca="false">(P_SegV+P_ComV)*EB$71</f>
        <v>0</v>
      </c>
      <c r="EC84" s="48" t="n">
        <f aca="false">(P_SegV+P_ComV)*EC$71</f>
        <v>0</v>
      </c>
      <c r="ED84" s="48" t="n">
        <f aca="false">(P_SegV+P_ComV)*ED$71</f>
        <v>0</v>
      </c>
      <c r="EE84" s="48" t="n">
        <f aca="false">(P_SegV+P_ComV)*EE$71</f>
        <v>0</v>
      </c>
      <c r="EF84" s="48" t="n">
        <f aca="false">(P_SegV+P_ComV)*EF$71</f>
        <v>0</v>
      </c>
      <c r="EG84" s="48" t="n">
        <f aca="false">(P_SegV+P_ComV)*EG$71</f>
        <v>0</v>
      </c>
      <c r="EH84" s="48" t="n">
        <f aca="false">(P_SegV+P_ComV)*EH$71</f>
        <v>0</v>
      </c>
      <c r="EI84" s="48" t="n">
        <f aca="false">(P_SegV+P_ComV)*EI$71</f>
        <v>0</v>
      </c>
      <c r="EJ84" s="48" t="n">
        <f aca="false">(P_SegV+P_ComV)*EJ$71</f>
        <v>0</v>
      </c>
      <c r="EK84" s="48" t="n">
        <f aca="false">(P_SegV+P_ComV)*EK$71</f>
        <v>0</v>
      </c>
      <c r="EL84" s="48" t="n">
        <f aca="false">(P_SegV+P_ComV)*EL$71</f>
        <v>0</v>
      </c>
      <c r="EM84" s="48" t="n">
        <f aca="false">(P_SegV+P_ComV)*EM$71</f>
        <v>0</v>
      </c>
      <c r="EN84" s="48" t="n">
        <f aca="false">(P_SegV+P_ComV)*EN$71</f>
        <v>0</v>
      </c>
      <c r="EO84" s="48" t="n">
        <f aca="false">(P_SegV+P_ComV)*EO$71</f>
        <v>0</v>
      </c>
      <c r="EP84" s="48" t="n">
        <f aca="false">(P_SegV+P_ComV)*EP$71</f>
        <v>0</v>
      </c>
      <c r="EQ84" s="48" t="n">
        <f aca="false">(P_SegV+P_ComV)*EQ$71</f>
        <v>0</v>
      </c>
      <c r="ER84" s="48" t="n">
        <f aca="false">(P_SegV+P_ComV)*ER$71</f>
        <v>0</v>
      </c>
      <c r="ES84" s="48" t="n">
        <f aca="false">(P_SegV+P_ComV)*ES$71</f>
        <v>0</v>
      </c>
    </row>
    <row r="85" customFormat="false" ht="15" hidden="false" customHeight="false" outlineLevel="0" collapsed="false">
      <c r="A85" s="11" t="s">
        <v>1143</v>
      </c>
      <c r="B85" s="15" t="s">
        <v>1011</v>
      </c>
      <c r="C85" s="15" t="s">
        <v>508</v>
      </c>
      <c r="E85" s="54" t="n">
        <f aca="false">SUM(F85:ES85)</f>
        <v>812224.477216454</v>
      </c>
      <c r="F85" s="48" t="n">
        <f aca="false">P_Trib*F$71</f>
        <v>4041.66666666667</v>
      </c>
      <c r="G85" s="48" t="n">
        <f aca="false">P_Trib*G$71</f>
        <v>4041.66666666667</v>
      </c>
      <c r="H85" s="48" t="n">
        <f aca="false">P_Trib*H$71</f>
        <v>4041.66666666667</v>
      </c>
      <c r="I85" s="48" t="n">
        <f aca="false">P_Trib*I$71</f>
        <v>4041.66666666667</v>
      </c>
      <c r="J85" s="48" t="n">
        <f aca="false">P_Trib*J$71</f>
        <v>4041.66666666667</v>
      </c>
      <c r="K85" s="48" t="n">
        <f aca="false">P_Trib*K$71</f>
        <v>4041.66666666667</v>
      </c>
      <c r="L85" s="48" t="n">
        <f aca="false">P_Trib*L$71</f>
        <v>4041.66666666667</v>
      </c>
      <c r="M85" s="48" t="n">
        <f aca="false">P_Trib*M$71</f>
        <v>4041.66666666667</v>
      </c>
      <c r="N85" s="48" t="n">
        <f aca="false">P_Trib*N$71</f>
        <v>4041.66666666667</v>
      </c>
      <c r="O85" s="48" t="n">
        <f aca="false">P_Trib*O$71</f>
        <v>4041.66666666667</v>
      </c>
      <c r="P85" s="48" t="n">
        <f aca="false">P_Trib*P$71</f>
        <v>4041.66666666667</v>
      </c>
      <c r="Q85" s="48" t="n">
        <f aca="false">P_Trib*Q$71</f>
        <v>4041.66666666667</v>
      </c>
      <c r="R85" s="48" t="n">
        <f aca="false">P_Trib*R$71</f>
        <v>5151</v>
      </c>
      <c r="S85" s="48" t="n">
        <f aca="false">P_Trib*S$71</f>
        <v>5151</v>
      </c>
      <c r="T85" s="48" t="n">
        <f aca="false">P_Trib*T$71</f>
        <v>5151</v>
      </c>
      <c r="U85" s="48" t="n">
        <f aca="false">P_Trib*U$71</f>
        <v>5151</v>
      </c>
      <c r="V85" s="48" t="n">
        <f aca="false">P_Trib*V$71</f>
        <v>5151</v>
      </c>
      <c r="W85" s="48" t="n">
        <f aca="false">P_Trib*W$71</f>
        <v>5151</v>
      </c>
      <c r="X85" s="48" t="n">
        <f aca="false">P_Trib*X$71</f>
        <v>5151</v>
      </c>
      <c r="Y85" s="48" t="n">
        <f aca="false">P_Trib*Y$71</f>
        <v>5151</v>
      </c>
      <c r="Z85" s="48" t="n">
        <f aca="false">P_Trib*Z$71</f>
        <v>5151</v>
      </c>
      <c r="AA85" s="48" t="n">
        <f aca="false">P_Trib*AA$71</f>
        <v>5151</v>
      </c>
      <c r="AB85" s="48" t="n">
        <f aca="false">P_Trib*AB$71</f>
        <v>5151</v>
      </c>
      <c r="AC85" s="48" t="n">
        <f aca="false">P_Trib*AC$71</f>
        <v>5151</v>
      </c>
      <c r="AD85" s="48" t="n">
        <f aca="false">P_Trib*AD$71</f>
        <v>6282.11583333333</v>
      </c>
      <c r="AE85" s="48" t="n">
        <f aca="false">P_Trib*AE$71</f>
        <v>6282.11583333333</v>
      </c>
      <c r="AF85" s="48" t="n">
        <f aca="false">P_Trib*AF$71</f>
        <v>6282.11583333333</v>
      </c>
      <c r="AG85" s="48" t="n">
        <f aca="false">P_Trib*AG$71</f>
        <v>6282.11583333333</v>
      </c>
      <c r="AH85" s="48" t="n">
        <f aca="false">P_Trib*AH$71</f>
        <v>6282.11583333333</v>
      </c>
      <c r="AI85" s="48" t="n">
        <f aca="false">P_Trib*AI$71</f>
        <v>6282.11583333333</v>
      </c>
      <c r="AJ85" s="48" t="n">
        <f aca="false">P_Trib*AJ$71</f>
        <v>6282.11583333333</v>
      </c>
      <c r="AK85" s="48" t="n">
        <f aca="false">P_Trib*AK$71</f>
        <v>6282.11583333333</v>
      </c>
      <c r="AL85" s="48" t="n">
        <f aca="false">P_Trib*AL$71</f>
        <v>6282.11583333333</v>
      </c>
      <c r="AM85" s="48" t="n">
        <f aca="false">P_Trib*AM$71</f>
        <v>6282.11583333333</v>
      </c>
      <c r="AN85" s="48" t="n">
        <f aca="false">P_Trib*AN$71</f>
        <v>6282.11583333333</v>
      </c>
      <c r="AO85" s="48" t="n">
        <f aca="false">P_Trib*AO$71</f>
        <v>6282.11583333333</v>
      </c>
      <c r="AP85" s="48" t="n">
        <f aca="false">P_Trib*AP$71</f>
        <v>7237.864525</v>
      </c>
      <c r="AQ85" s="48" t="n">
        <f aca="false">P_Trib*AQ$71</f>
        <v>7237.864525</v>
      </c>
      <c r="AR85" s="48" t="n">
        <f aca="false">P_Trib*AR$71</f>
        <v>7237.864525</v>
      </c>
      <c r="AS85" s="48" t="n">
        <f aca="false">P_Trib*AS$71</f>
        <v>7237.864525</v>
      </c>
      <c r="AT85" s="48" t="n">
        <f aca="false">P_Trib*AT$71</f>
        <v>7237.864525</v>
      </c>
      <c r="AU85" s="48" t="n">
        <f aca="false">P_Trib*AU$71</f>
        <v>7237.864525</v>
      </c>
      <c r="AV85" s="48" t="n">
        <f aca="false">P_Trib*AV$71</f>
        <v>7237.864525</v>
      </c>
      <c r="AW85" s="48" t="n">
        <f aca="false">P_Trib*AW$71</f>
        <v>7237.864525</v>
      </c>
      <c r="AX85" s="48" t="n">
        <f aca="false">P_Trib*AX$71</f>
        <v>7237.864525</v>
      </c>
      <c r="AY85" s="48" t="n">
        <f aca="false">P_Trib*AY$71</f>
        <v>7237.864525</v>
      </c>
      <c r="AZ85" s="48" t="n">
        <f aca="false">P_Trib*AZ$71</f>
        <v>7237.864525</v>
      </c>
      <c r="BA85" s="48" t="n">
        <f aca="false">P_Trib*BA$71</f>
        <v>7237.864525</v>
      </c>
      <c r="BB85" s="48" t="n">
        <f aca="false">P_Trib*BB$71</f>
        <v>7310.24317025</v>
      </c>
      <c r="BC85" s="48" t="n">
        <f aca="false">P_Trib*BC$71</f>
        <v>7310.24317025</v>
      </c>
      <c r="BD85" s="48" t="n">
        <f aca="false">P_Trib*BD$71</f>
        <v>7310.24317025</v>
      </c>
      <c r="BE85" s="48" t="n">
        <f aca="false">P_Trib*BE$71</f>
        <v>7310.24317025</v>
      </c>
      <c r="BF85" s="48" t="n">
        <f aca="false">P_Trib*BF$71</f>
        <v>7310.24317025</v>
      </c>
      <c r="BG85" s="48" t="n">
        <f aca="false">P_Trib*BG$71</f>
        <v>7310.24317025</v>
      </c>
      <c r="BH85" s="48" t="n">
        <f aca="false">P_Trib*BH$71</f>
        <v>7310.24317025</v>
      </c>
      <c r="BI85" s="48" t="n">
        <f aca="false">P_Trib*BI$71</f>
        <v>7310.24317025</v>
      </c>
      <c r="BJ85" s="48" t="n">
        <f aca="false">P_Trib*BJ$71</f>
        <v>7310.24317025</v>
      </c>
      <c r="BK85" s="48" t="n">
        <f aca="false">P_Trib*BK$71</f>
        <v>7310.24317025</v>
      </c>
      <c r="BL85" s="48" t="n">
        <f aca="false">P_Trib*BL$71</f>
        <v>7310.24317025</v>
      </c>
      <c r="BM85" s="48" t="n">
        <f aca="false">P_Trib*BM$71</f>
        <v>7310.24317025</v>
      </c>
      <c r="BN85" s="48" t="n">
        <f aca="false">P_Trib*BN$71</f>
        <v>7383.3456019525</v>
      </c>
      <c r="BO85" s="48" t="n">
        <f aca="false">P_Trib*BO$71</f>
        <v>7383.3456019525</v>
      </c>
      <c r="BP85" s="48" t="n">
        <f aca="false">P_Trib*BP$71</f>
        <v>7383.3456019525</v>
      </c>
      <c r="BQ85" s="48" t="n">
        <f aca="false">P_Trib*BQ$71</f>
        <v>7383.3456019525</v>
      </c>
      <c r="BR85" s="48" t="n">
        <f aca="false">P_Trib*BR$71</f>
        <v>7383.3456019525</v>
      </c>
      <c r="BS85" s="48" t="n">
        <f aca="false">P_Trib*BS$71</f>
        <v>7383.3456019525</v>
      </c>
      <c r="BT85" s="48" t="n">
        <f aca="false">P_Trib*BT$71</f>
        <v>7383.3456019525</v>
      </c>
      <c r="BU85" s="48" t="n">
        <f aca="false">P_Trib*BU$71</f>
        <v>7383.3456019525</v>
      </c>
      <c r="BV85" s="48" t="n">
        <f aca="false">P_Trib*BV$71</f>
        <v>7383.3456019525</v>
      </c>
      <c r="BW85" s="48" t="n">
        <f aca="false">P_Trib*BW$71</f>
        <v>7383.3456019525</v>
      </c>
      <c r="BX85" s="48" t="n">
        <f aca="false">P_Trib*BX$71</f>
        <v>7383.3456019525</v>
      </c>
      <c r="BY85" s="48" t="n">
        <f aca="false">P_Trib*BY$71</f>
        <v>7383.3456019525</v>
      </c>
      <c r="BZ85" s="48" t="n">
        <f aca="false">P_Trib*BZ$71</f>
        <v>7457.17905797202</v>
      </c>
      <c r="CA85" s="48" t="n">
        <f aca="false">P_Trib*CA$71</f>
        <v>7457.17905797202</v>
      </c>
      <c r="CB85" s="48" t="n">
        <f aca="false">P_Trib*CB$71</f>
        <v>7457.17905797202</v>
      </c>
      <c r="CC85" s="48" t="n">
        <f aca="false">P_Trib*CC$71</f>
        <v>7457.17905797202</v>
      </c>
      <c r="CD85" s="48" t="n">
        <f aca="false">P_Trib*CD$71</f>
        <v>7457.17905797202</v>
      </c>
      <c r="CE85" s="48" t="n">
        <f aca="false">P_Trib*CE$71</f>
        <v>7457.17905797202</v>
      </c>
      <c r="CF85" s="48" t="n">
        <f aca="false">P_Trib*CF$71</f>
        <v>7457.17905797202</v>
      </c>
      <c r="CG85" s="48" t="n">
        <f aca="false">P_Trib*CG$71</f>
        <v>7457.17905797202</v>
      </c>
      <c r="CH85" s="48" t="n">
        <f aca="false">P_Trib*CH$71</f>
        <v>7457.17905797202</v>
      </c>
      <c r="CI85" s="48" t="n">
        <f aca="false">P_Trib*CI$71</f>
        <v>7457.17905797202</v>
      </c>
      <c r="CJ85" s="48" t="n">
        <f aca="false">P_Trib*CJ$71</f>
        <v>7457.17905797202</v>
      </c>
      <c r="CK85" s="48" t="n">
        <f aca="false">P_Trib*CK$71</f>
        <v>7457.17905797202</v>
      </c>
      <c r="CL85" s="48" t="n">
        <f aca="false">P_Trib*CL$71</f>
        <v>7531.75084855175</v>
      </c>
      <c r="CM85" s="48" t="n">
        <f aca="false">P_Trib*CM$71</f>
        <v>7531.75084855175</v>
      </c>
      <c r="CN85" s="48" t="n">
        <f aca="false">P_Trib*CN$71</f>
        <v>7531.75084855175</v>
      </c>
      <c r="CO85" s="48" t="n">
        <f aca="false">P_Trib*CO$71</f>
        <v>7531.75084855175</v>
      </c>
      <c r="CP85" s="48" t="n">
        <f aca="false">P_Trib*CP$71</f>
        <v>7531.75084855175</v>
      </c>
      <c r="CQ85" s="48" t="n">
        <f aca="false">P_Trib*CQ$71</f>
        <v>7531.75084855175</v>
      </c>
      <c r="CR85" s="48" t="n">
        <f aca="false">P_Trib*CR$71</f>
        <v>7531.75084855175</v>
      </c>
      <c r="CS85" s="48" t="n">
        <f aca="false">P_Trib*CS$71</f>
        <v>7531.75084855175</v>
      </c>
      <c r="CT85" s="48" t="n">
        <f aca="false">P_Trib*CT$71</f>
        <v>7531.75084855175</v>
      </c>
      <c r="CU85" s="48" t="n">
        <f aca="false">P_Trib*CU$71</f>
        <v>7531.75084855175</v>
      </c>
      <c r="CV85" s="48" t="n">
        <f aca="false">P_Trib*CV$71</f>
        <v>7531.75084855175</v>
      </c>
      <c r="CW85" s="48" t="n">
        <f aca="false">P_Trib*CW$71</f>
        <v>7531.75084855175</v>
      </c>
      <c r="CX85" s="48" t="n">
        <f aca="false">P_Trib*CX$71</f>
        <v>7607.06835703726</v>
      </c>
      <c r="CY85" s="48" t="n">
        <f aca="false">P_Trib*CY$71</f>
        <v>7607.06835703726</v>
      </c>
      <c r="CZ85" s="48" t="n">
        <f aca="false">P_Trib*CZ$71</f>
        <v>7607.06835703726</v>
      </c>
      <c r="DA85" s="48" t="n">
        <f aca="false">P_Trib*DA$71</f>
        <v>7607.06835703726</v>
      </c>
      <c r="DB85" s="48" t="n">
        <f aca="false">P_Trib*DB$71</f>
        <v>7607.06835703726</v>
      </c>
      <c r="DC85" s="48" t="n">
        <f aca="false">P_Trib*DC$71</f>
        <v>7607.06835703726</v>
      </c>
      <c r="DD85" s="48" t="n">
        <f aca="false">P_Trib*DD$71</f>
        <v>7607.06835703726</v>
      </c>
      <c r="DE85" s="48" t="n">
        <f aca="false">P_Trib*DE$71</f>
        <v>7607.06835703726</v>
      </c>
      <c r="DF85" s="48" t="n">
        <f aca="false">P_Trib*DF$71</f>
        <v>7607.06835703726</v>
      </c>
      <c r="DG85" s="48" t="n">
        <f aca="false">P_Trib*DG$71</f>
        <v>7607.06835703726</v>
      </c>
      <c r="DH85" s="48" t="n">
        <f aca="false">P_Trib*DH$71</f>
        <v>7607.06835703726</v>
      </c>
      <c r="DI85" s="48" t="n">
        <f aca="false">P_Trib*DI$71</f>
        <v>7607.06835703726</v>
      </c>
      <c r="DJ85" s="48" t="n">
        <f aca="false">P_Trib*DJ$71</f>
        <v>7683.13904060764</v>
      </c>
      <c r="DK85" s="48" t="n">
        <f aca="false">P_Trib*DK$71</f>
        <v>7683.13904060764</v>
      </c>
      <c r="DL85" s="48" t="n">
        <f aca="false">P_Trib*DL$71</f>
        <v>7683.13904060764</v>
      </c>
      <c r="DM85" s="48" t="n">
        <f aca="false">P_Trib*DM$71</f>
        <v>7683.13904060764</v>
      </c>
      <c r="DN85" s="48" t="n">
        <f aca="false">P_Trib*DN$71</f>
        <v>7683.13904060764</v>
      </c>
      <c r="DO85" s="48" t="n">
        <f aca="false">P_Trib*DO$71</f>
        <v>7683.13904060764</v>
      </c>
      <c r="DP85" s="48" t="n">
        <f aca="false">P_Trib*DP$71</f>
        <v>7683.13904060764</v>
      </c>
      <c r="DQ85" s="48" t="n">
        <f aca="false">P_Trib*DQ$71</f>
        <v>7683.13904060764</v>
      </c>
      <c r="DR85" s="48" t="n">
        <f aca="false">P_Trib*DR$71</f>
        <v>7683.13904060764</v>
      </c>
      <c r="DS85" s="48" t="n">
        <f aca="false">P_Trib*DS$71</f>
        <v>7683.13904060764</v>
      </c>
      <c r="DT85" s="48" t="n">
        <f aca="false">P_Trib*DT$71</f>
        <v>7683.13904060764</v>
      </c>
      <c r="DU85" s="48" t="n">
        <f aca="false">P_Trib*DU$71</f>
        <v>7683.13904060764</v>
      </c>
      <c r="DV85" s="48" t="n">
        <f aca="false">P_Trib*DV$71</f>
        <v>0</v>
      </c>
      <c r="DW85" s="48" t="n">
        <f aca="false">P_Trib*DW$71</f>
        <v>0</v>
      </c>
      <c r="DX85" s="48" t="n">
        <f aca="false">P_Trib*DX$71</f>
        <v>0</v>
      </c>
      <c r="DY85" s="48" t="n">
        <f aca="false">P_Trib*DY$71</f>
        <v>0</v>
      </c>
      <c r="DZ85" s="48" t="n">
        <f aca="false">P_Trib*DZ$71</f>
        <v>0</v>
      </c>
      <c r="EA85" s="48" t="n">
        <f aca="false">P_Trib*EA$71</f>
        <v>0</v>
      </c>
      <c r="EB85" s="48" t="n">
        <f aca="false">P_Trib*EB$71</f>
        <v>0</v>
      </c>
      <c r="EC85" s="48" t="n">
        <f aca="false">P_Trib*EC$71</f>
        <v>0</v>
      </c>
      <c r="ED85" s="48" t="n">
        <f aca="false">P_Trib*ED$71</f>
        <v>0</v>
      </c>
      <c r="EE85" s="48" t="n">
        <f aca="false">P_Trib*EE$71</f>
        <v>0</v>
      </c>
      <c r="EF85" s="48" t="n">
        <f aca="false">P_Trib*EF$71</f>
        <v>0</v>
      </c>
      <c r="EG85" s="48" t="n">
        <f aca="false">P_Trib*EG$71</f>
        <v>0</v>
      </c>
      <c r="EH85" s="48" t="n">
        <f aca="false">P_Trib*EH$71</f>
        <v>0</v>
      </c>
      <c r="EI85" s="48" t="n">
        <f aca="false">P_Trib*EI$71</f>
        <v>0</v>
      </c>
      <c r="EJ85" s="48" t="n">
        <f aca="false">P_Trib*EJ$71</f>
        <v>0</v>
      </c>
      <c r="EK85" s="48" t="n">
        <f aca="false">P_Trib*EK$71</f>
        <v>0</v>
      </c>
      <c r="EL85" s="48" t="n">
        <f aca="false">P_Trib*EL$71</f>
        <v>0</v>
      </c>
      <c r="EM85" s="48" t="n">
        <f aca="false">P_Trib*EM$71</f>
        <v>0</v>
      </c>
      <c r="EN85" s="48" t="n">
        <f aca="false">P_Trib*EN$71</f>
        <v>0</v>
      </c>
      <c r="EO85" s="48" t="n">
        <f aca="false">P_Trib*EO$71</f>
        <v>0</v>
      </c>
      <c r="EP85" s="48" t="n">
        <f aca="false">P_Trib*EP$71</f>
        <v>0</v>
      </c>
      <c r="EQ85" s="48" t="n">
        <f aca="false">P_Trib*EQ$71</f>
        <v>0</v>
      </c>
      <c r="ER85" s="48" t="n">
        <f aca="false">P_Trib*ER$71</f>
        <v>0</v>
      </c>
      <c r="ES85" s="48" t="n">
        <f aca="false">P_Trib*ES$71</f>
        <v>0</v>
      </c>
    </row>
    <row r="86" customFormat="false" ht="15" hidden="false" customHeight="false" outlineLevel="0" collapsed="false">
      <c r="A86" s="11" t="s">
        <v>1144</v>
      </c>
      <c r="B86" s="15" t="s">
        <v>1145</v>
      </c>
      <c r="C86" s="15" t="s">
        <v>508</v>
      </c>
      <c r="E86" s="54" t="n">
        <f aca="false">SUM(F86:ES86)</f>
        <v>555431.735750422</v>
      </c>
      <c r="F86" s="48" t="n">
        <f aca="false">SUMPRODUCT((FC_Clase="Producción")*FC_O*((FC_Mon="PYG")*F$19+(FC_Mon&lt;&gt;"PYG"))*(1+FC_g)^(F$17-1)*((FC_Desde=0)*(F$16+F$15)+(FC_Desde&gt;=1)*(F$14&gt;=FC_Desde)*F$15))</f>
        <v>4393.47821917808</v>
      </c>
      <c r="G86" s="48" t="n">
        <f aca="false">SUMPRODUCT((FC_Clase="Producción")*FC_O*((FC_Mon="PYG")*G$19+(FC_Mon&lt;&gt;"PYG"))*(1+FC_g)^(G$17-1)*((FC_Desde=0)*(G$16+G$15)+(FC_Desde&gt;=1)*(G$14&gt;=FC_Desde)*G$15))</f>
        <v>4393.47821917808</v>
      </c>
      <c r="H86" s="48" t="n">
        <f aca="false">SUMPRODUCT((FC_Clase="Producción")*FC_O*((FC_Mon="PYG")*H$19+(FC_Mon&lt;&gt;"PYG"))*(1+FC_g)^(H$17-1)*((FC_Desde=0)*(H$16+H$15)+(FC_Desde&gt;=1)*(H$14&gt;=FC_Desde)*H$15))</f>
        <v>4393.47821917808</v>
      </c>
      <c r="I86" s="48" t="n">
        <f aca="false">SUMPRODUCT((FC_Clase="Producción")*FC_O*((FC_Mon="PYG")*I$19+(FC_Mon&lt;&gt;"PYG"))*(1+FC_g)^(I$17-1)*((FC_Desde=0)*(I$16+I$15)+(FC_Desde&gt;=1)*(I$14&gt;=FC_Desde)*I$15))</f>
        <v>4393.47821917808</v>
      </c>
      <c r="J86" s="48" t="n">
        <f aca="false">SUMPRODUCT((FC_Clase="Producción")*FC_O*((FC_Mon="PYG")*J$19+(FC_Mon&lt;&gt;"PYG"))*(1+FC_g)^(J$17-1)*((FC_Desde=0)*(J$16+J$15)+(FC_Desde&gt;=1)*(J$14&gt;=FC_Desde)*J$15))</f>
        <v>4393.47821917808</v>
      </c>
      <c r="K86" s="48" t="n">
        <f aca="false">SUMPRODUCT((FC_Clase="Producción")*FC_O*((FC_Mon="PYG")*K$19+(FC_Mon&lt;&gt;"PYG"))*(1+FC_g)^(K$17-1)*((FC_Desde=0)*(K$16+K$15)+(FC_Desde&gt;=1)*(K$14&gt;=FC_Desde)*K$15))</f>
        <v>4393.47821917808</v>
      </c>
      <c r="L86" s="48" t="n">
        <f aca="false">SUMPRODUCT((FC_Clase="Producción")*FC_O*((FC_Mon="PYG")*L$19+(FC_Mon&lt;&gt;"PYG"))*(1+FC_g)^(L$17-1)*((FC_Desde=0)*(L$16+L$15)+(FC_Desde&gt;=1)*(L$14&gt;=FC_Desde)*L$15))</f>
        <v>4393.47821917808</v>
      </c>
      <c r="M86" s="48" t="n">
        <f aca="false">SUMPRODUCT((FC_Clase="Producción")*FC_O*((FC_Mon="PYG")*M$19+(FC_Mon&lt;&gt;"PYG"))*(1+FC_g)^(M$17-1)*((FC_Desde=0)*(M$16+M$15)+(FC_Desde&gt;=1)*(M$14&gt;=FC_Desde)*M$15))</f>
        <v>4393.47821917808</v>
      </c>
      <c r="N86" s="48" t="n">
        <f aca="false">SUMPRODUCT((FC_Clase="Producción")*FC_O*((FC_Mon="PYG")*N$19+(FC_Mon&lt;&gt;"PYG"))*(1+FC_g)^(N$17-1)*((FC_Desde=0)*(N$16+N$15)+(FC_Desde&gt;=1)*(N$14&gt;=FC_Desde)*N$15))</f>
        <v>4393.47821917808</v>
      </c>
      <c r="O86" s="48" t="n">
        <f aca="false">SUMPRODUCT((FC_Clase="Producción")*FC_O*((FC_Mon="PYG")*O$19+(FC_Mon&lt;&gt;"PYG"))*(1+FC_g)^(O$17-1)*((FC_Desde=0)*(O$16+O$15)+(FC_Desde&gt;=1)*(O$14&gt;=FC_Desde)*O$15))</f>
        <v>4393.47821917808</v>
      </c>
      <c r="P86" s="48" t="n">
        <f aca="false">SUMPRODUCT((FC_Clase="Producción")*FC_O*((FC_Mon="PYG")*P$19+(FC_Mon&lt;&gt;"PYG"))*(1+FC_g)^(P$17-1)*((FC_Desde=0)*(P$16+P$15)+(FC_Desde&gt;=1)*(P$14&gt;=FC_Desde)*P$15))</f>
        <v>4393.47821917808</v>
      </c>
      <c r="Q86" s="48" t="n">
        <f aca="false">SUMPRODUCT((FC_Clase="Producción")*FC_O*((FC_Mon="PYG")*Q$19+(FC_Mon&lt;&gt;"PYG"))*(1+FC_g)^(Q$17-1)*((FC_Desde=0)*(Q$16+Q$15)+(FC_Desde&gt;=1)*(Q$14&gt;=FC_Desde)*Q$15))</f>
        <v>4393.47821917808</v>
      </c>
      <c r="R86" s="48" t="n">
        <f aca="false">SUMPRODUCT((FC_Clase="Producción")*FC_O*((FC_Mon="PYG")*R$19+(FC_Mon&lt;&gt;"PYG"))*(1+FC_g)^(R$17-1)*((FC_Desde=0)*(R$16+R$15)+(FC_Desde&gt;=1)*(R$14&gt;=FC_Desde)*R$15))</f>
        <v>4442.99161917808</v>
      </c>
      <c r="S86" s="48" t="n">
        <f aca="false">SUMPRODUCT((FC_Clase="Producción")*FC_O*((FC_Mon="PYG")*S$19+(FC_Mon&lt;&gt;"PYG"))*(1+FC_g)^(S$17-1)*((FC_Desde=0)*(S$16+S$15)+(FC_Desde&gt;=1)*(S$14&gt;=FC_Desde)*S$15))</f>
        <v>4442.99161917808</v>
      </c>
      <c r="T86" s="48" t="n">
        <f aca="false">SUMPRODUCT((FC_Clase="Producción")*FC_O*((FC_Mon="PYG")*T$19+(FC_Mon&lt;&gt;"PYG"))*(1+FC_g)^(T$17-1)*((FC_Desde=0)*(T$16+T$15)+(FC_Desde&gt;=1)*(T$14&gt;=FC_Desde)*T$15))</f>
        <v>4442.99161917808</v>
      </c>
      <c r="U86" s="48" t="n">
        <f aca="false">SUMPRODUCT((FC_Clase="Producción")*FC_O*((FC_Mon="PYG")*U$19+(FC_Mon&lt;&gt;"PYG"))*(1+FC_g)^(U$17-1)*((FC_Desde=0)*(U$16+U$15)+(FC_Desde&gt;=1)*(U$14&gt;=FC_Desde)*U$15))</f>
        <v>4442.99161917808</v>
      </c>
      <c r="V86" s="48" t="n">
        <f aca="false">SUMPRODUCT((FC_Clase="Producción")*FC_O*((FC_Mon="PYG")*V$19+(FC_Mon&lt;&gt;"PYG"))*(1+FC_g)^(V$17-1)*((FC_Desde=0)*(V$16+V$15)+(FC_Desde&gt;=1)*(V$14&gt;=FC_Desde)*V$15))</f>
        <v>4442.99161917808</v>
      </c>
      <c r="W86" s="48" t="n">
        <f aca="false">SUMPRODUCT((FC_Clase="Producción")*FC_O*((FC_Mon="PYG")*W$19+(FC_Mon&lt;&gt;"PYG"))*(1+FC_g)^(W$17-1)*((FC_Desde=0)*(W$16+W$15)+(FC_Desde&gt;=1)*(W$14&gt;=FC_Desde)*W$15))</f>
        <v>4442.99161917808</v>
      </c>
      <c r="X86" s="48" t="n">
        <f aca="false">SUMPRODUCT((FC_Clase="Producción")*FC_O*((FC_Mon="PYG")*X$19+(FC_Mon&lt;&gt;"PYG"))*(1+FC_g)^(X$17-1)*((FC_Desde=0)*(X$16+X$15)+(FC_Desde&gt;=1)*(X$14&gt;=FC_Desde)*X$15))</f>
        <v>4442.99161917808</v>
      </c>
      <c r="Y86" s="48" t="n">
        <f aca="false">SUMPRODUCT((FC_Clase="Producción")*FC_O*((FC_Mon="PYG")*Y$19+(FC_Mon&lt;&gt;"PYG"))*(1+FC_g)^(Y$17-1)*((FC_Desde=0)*(Y$16+Y$15)+(FC_Desde&gt;=1)*(Y$14&gt;=FC_Desde)*Y$15))</f>
        <v>4442.99161917808</v>
      </c>
      <c r="Z86" s="48" t="n">
        <f aca="false">SUMPRODUCT((FC_Clase="Producción")*FC_O*((FC_Mon="PYG")*Z$19+(FC_Mon&lt;&gt;"PYG"))*(1+FC_g)^(Z$17-1)*((FC_Desde=0)*(Z$16+Z$15)+(FC_Desde&gt;=1)*(Z$14&gt;=FC_Desde)*Z$15))</f>
        <v>4442.99161917808</v>
      </c>
      <c r="AA86" s="48" t="n">
        <f aca="false">SUMPRODUCT((FC_Clase="Producción")*FC_O*((FC_Mon="PYG")*AA$19+(FC_Mon&lt;&gt;"PYG"))*(1+FC_g)^(AA$17-1)*((FC_Desde=0)*(AA$16+AA$15)+(FC_Desde&gt;=1)*(AA$14&gt;=FC_Desde)*AA$15))</f>
        <v>4442.99161917808</v>
      </c>
      <c r="AB86" s="48" t="n">
        <f aca="false">SUMPRODUCT((FC_Clase="Producción")*FC_O*((FC_Mon="PYG")*AB$19+(FC_Mon&lt;&gt;"PYG"))*(1+FC_g)^(AB$17-1)*((FC_Desde=0)*(AB$16+AB$15)+(FC_Desde&gt;=1)*(AB$14&gt;=FC_Desde)*AB$15))</f>
        <v>4442.99161917808</v>
      </c>
      <c r="AC86" s="48" t="n">
        <f aca="false">SUMPRODUCT((FC_Clase="Producción")*FC_O*((FC_Mon="PYG")*AC$19+(FC_Mon&lt;&gt;"PYG"))*(1+FC_g)^(AC$17-1)*((FC_Desde=0)*(AC$16+AC$15)+(FC_Desde&gt;=1)*(AC$14&gt;=FC_Desde)*AC$15))</f>
        <v>4442.99161917808</v>
      </c>
      <c r="AD86" s="48" t="n">
        <f aca="false">SUMPRODUCT((FC_Clase="Producción")*FC_O*((FC_Mon="PYG")*AD$19+(FC_Mon&lt;&gt;"PYG"))*(1+FC_g)^(AD$17-1)*((FC_Desde=0)*(AD$16+AD$15)+(FC_Desde&gt;=1)*(AD$14&gt;=FC_Desde)*AD$15))</f>
        <v>4493.49528717808</v>
      </c>
      <c r="AE86" s="48" t="n">
        <f aca="false">SUMPRODUCT((FC_Clase="Producción")*FC_O*((FC_Mon="PYG")*AE$19+(FC_Mon&lt;&gt;"PYG"))*(1+FC_g)^(AE$17-1)*((FC_Desde=0)*(AE$16+AE$15)+(FC_Desde&gt;=1)*(AE$14&gt;=FC_Desde)*AE$15))</f>
        <v>4493.49528717808</v>
      </c>
      <c r="AF86" s="48" t="n">
        <f aca="false">SUMPRODUCT((FC_Clase="Producción")*FC_O*((FC_Mon="PYG")*AF$19+(FC_Mon&lt;&gt;"PYG"))*(1+FC_g)^(AF$17-1)*((FC_Desde=0)*(AF$16+AF$15)+(FC_Desde&gt;=1)*(AF$14&gt;=FC_Desde)*AF$15))</f>
        <v>4493.49528717808</v>
      </c>
      <c r="AG86" s="48" t="n">
        <f aca="false">SUMPRODUCT((FC_Clase="Producción")*FC_O*((FC_Mon="PYG")*AG$19+(FC_Mon&lt;&gt;"PYG"))*(1+FC_g)^(AG$17-1)*((FC_Desde=0)*(AG$16+AG$15)+(FC_Desde&gt;=1)*(AG$14&gt;=FC_Desde)*AG$15))</f>
        <v>4493.49528717808</v>
      </c>
      <c r="AH86" s="48" t="n">
        <f aca="false">SUMPRODUCT((FC_Clase="Producción")*FC_O*((FC_Mon="PYG")*AH$19+(FC_Mon&lt;&gt;"PYG"))*(1+FC_g)^(AH$17-1)*((FC_Desde=0)*(AH$16+AH$15)+(FC_Desde&gt;=1)*(AH$14&gt;=FC_Desde)*AH$15))</f>
        <v>4493.49528717808</v>
      </c>
      <c r="AI86" s="48" t="n">
        <f aca="false">SUMPRODUCT((FC_Clase="Producción")*FC_O*((FC_Mon="PYG")*AI$19+(FC_Mon&lt;&gt;"PYG"))*(1+FC_g)^(AI$17-1)*((FC_Desde=0)*(AI$16+AI$15)+(FC_Desde&gt;=1)*(AI$14&gt;=FC_Desde)*AI$15))</f>
        <v>4493.49528717808</v>
      </c>
      <c r="AJ86" s="48" t="n">
        <f aca="false">SUMPRODUCT((FC_Clase="Producción")*FC_O*((FC_Mon="PYG")*AJ$19+(FC_Mon&lt;&gt;"PYG"))*(1+FC_g)^(AJ$17-1)*((FC_Desde=0)*(AJ$16+AJ$15)+(FC_Desde&gt;=1)*(AJ$14&gt;=FC_Desde)*AJ$15))</f>
        <v>4493.49528717808</v>
      </c>
      <c r="AK86" s="48" t="n">
        <f aca="false">SUMPRODUCT((FC_Clase="Producción")*FC_O*((FC_Mon="PYG")*AK$19+(FC_Mon&lt;&gt;"PYG"))*(1+FC_g)^(AK$17-1)*((FC_Desde=0)*(AK$16+AK$15)+(FC_Desde&gt;=1)*(AK$14&gt;=FC_Desde)*AK$15))</f>
        <v>4493.49528717808</v>
      </c>
      <c r="AL86" s="48" t="n">
        <f aca="false">SUMPRODUCT((FC_Clase="Producción")*FC_O*((FC_Mon="PYG")*AL$19+(FC_Mon&lt;&gt;"PYG"))*(1+FC_g)^(AL$17-1)*((FC_Desde=0)*(AL$16+AL$15)+(FC_Desde&gt;=1)*(AL$14&gt;=FC_Desde)*AL$15))</f>
        <v>4493.49528717808</v>
      </c>
      <c r="AM86" s="48" t="n">
        <f aca="false">SUMPRODUCT((FC_Clase="Producción")*FC_O*((FC_Mon="PYG")*AM$19+(FC_Mon&lt;&gt;"PYG"))*(1+FC_g)^(AM$17-1)*((FC_Desde=0)*(AM$16+AM$15)+(FC_Desde&gt;=1)*(AM$14&gt;=FC_Desde)*AM$15))</f>
        <v>4493.49528717808</v>
      </c>
      <c r="AN86" s="48" t="n">
        <f aca="false">SUMPRODUCT((FC_Clase="Producción")*FC_O*((FC_Mon="PYG")*AN$19+(FC_Mon&lt;&gt;"PYG"))*(1+FC_g)^(AN$17-1)*((FC_Desde=0)*(AN$16+AN$15)+(FC_Desde&gt;=1)*(AN$14&gt;=FC_Desde)*AN$15))</f>
        <v>4493.49528717808</v>
      </c>
      <c r="AO86" s="48" t="n">
        <f aca="false">SUMPRODUCT((FC_Clase="Producción")*FC_O*((FC_Mon="PYG")*AO$19+(FC_Mon&lt;&gt;"PYG"))*(1+FC_g)^(AO$17-1)*((FC_Desde=0)*(AO$16+AO$15)+(FC_Desde&gt;=1)*(AO$14&gt;=FC_Desde)*AO$15))</f>
        <v>4493.49528717808</v>
      </c>
      <c r="AP86" s="48" t="n">
        <f aca="false">SUMPRODUCT((FC_Clase="Producción")*FC_O*((FC_Mon="PYG")*AP$19+(FC_Mon&lt;&gt;"PYG"))*(1+FC_g)^(AP$17-1)*((FC_Desde=0)*(AP$16+AP$15)+(FC_Desde&gt;=1)*(AP$14&gt;=FC_Desde)*AP$15))</f>
        <v>4545.00902853808</v>
      </c>
      <c r="AQ86" s="48" t="n">
        <f aca="false">SUMPRODUCT((FC_Clase="Producción")*FC_O*((FC_Mon="PYG")*AQ$19+(FC_Mon&lt;&gt;"PYG"))*(1+FC_g)^(AQ$17-1)*((FC_Desde=0)*(AQ$16+AQ$15)+(FC_Desde&gt;=1)*(AQ$14&gt;=FC_Desde)*AQ$15))</f>
        <v>4545.00902853808</v>
      </c>
      <c r="AR86" s="48" t="n">
        <f aca="false">SUMPRODUCT((FC_Clase="Producción")*FC_O*((FC_Mon="PYG")*AR$19+(FC_Mon&lt;&gt;"PYG"))*(1+FC_g)^(AR$17-1)*((FC_Desde=0)*(AR$16+AR$15)+(FC_Desde&gt;=1)*(AR$14&gt;=FC_Desde)*AR$15))</f>
        <v>4545.00902853808</v>
      </c>
      <c r="AS86" s="48" t="n">
        <f aca="false">SUMPRODUCT((FC_Clase="Producción")*FC_O*((FC_Mon="PYG")*AS$19+(FC_Mon&lt;&gt;"PYG"))*(1+FC_g)^(AS$17-1)*((FC_Desde=0)*(AS$16+AS$15)+(FC_Desde&gt;=1)*(AS$14&gt;=FC_Desde)*AS$15))</f>
        <v>4545.00902853808</v>
      </c>
      <c r="AT86" s="48" t="n">
        <f aca="false">SUMPRODUCT((FC_Clase="Producción")*FC_O*((FC_Mon="PYG")*AT$19+(FC_Mon&lt;&gt;"PYG"))*(1+FC_g)^(AT$17-1)*((FC_Desde=0)*(AT$16+AT$15)+(FC_Desde&gt;=1)*(AT$14&gt;=FC_Desde)*AT$15))</f>
        <v>4545.00902853808</v>
      </c>
      <c r="AU86" s="48" t="n">
        <f aca="false">SUMPRODUCT((FC_Clase="Producción")*FC_O*((FC_Mon="PYG")*AU$19+(FC_Mon&lt;&gt;"PYG"))*(1+FC_g)^(AU$17-1)*((FC_Desde=0)*(AU$16+AU$15)+(FC_Desde&gt;=1)*(AU$14&gt;=FC_Desde)*AU$15))</f>
        <v>4545.00902853808</v>
      </c>
      <c r="AV86" s="48" t="n">
        <f aca="false">SUMPRODUCT((FC_Clase="Producción")*FC_O*((FC_Mon="PYG")*AV$19+(FC_Mon&lt;&gt;"PYG"))*(1+FC_g)^(AV$17-1)*((FC_Desde=0)*(AV$16+AV$15)+(FC_Desde&gt;=1)*(AV$14&gt;=FC_Desde)*AV$15))</f>
        <v>4545.00902853808</v>
      </c>
      <c r="AW86" s="48" t="n">
        <f aca="false">SUMPRODUCT((FC_Clase="Producción")*FC_O*((FC_Mon="PYG")*AW$19+(FC_Mon&lt;&gt;"PYG"))*(1+FC_g)^(AW$17-1)*((FC_Desde=0)*(AW$16+AW$15)+(FC_Desde&gt;=1)*(AW$14&gt;=FC_Desde)*AW$15))</f>
        <v>4545.00902853808</v>
      </c>
      <c r="AX86" s="48" t="n">
        <f aca="false">SUMPRODUCT((FC_Clase="Producción")*FC_O*((FC_Mon="PYG")*AX$19+(FC_Mon&lt;&gt;"PYG"))*(1+FC_g)^(AX$17-1)*((FC_Desde=0)*(AX$16+AX$15)+(FC_Desde&gt;=1)*(AX$14&gt;=FC_Desde)*AX$15))</f>
        <v>4545.00902853808</v>
      </c>
      <c r="AY86" s="48" t="n">
        <f aca="false">SUMPRODUCT((FC_Clase="Producción")*FC_O*((FC_Mon="PYG")*AY$19+(FC_Mon&lt;&gt;"PYG"))*(1+FC_g)^(AY$17-1)*((FC_Desde=0)*(AY$16+AY$15)+(FC_Desde&gt;=1)*(AY$14&gt;=FC_Desde)*AY$15))</f>
        <v>4545.00902853808</v>
      </c>
      <c r="AZ86" s="48" t="n">
        <f aca="false">SUMPRODUCT((FC_Clase="Producción")*FC_O*((FC_Mon="PYG")*AZ$19+(FC_Mon&lt;&gt;"PYG"))*(1+FC_g)^(AZ$17-1)*((FC_Desde=0)*(AZ$16+AZ$15)+(FC_Desde&gt;=1)*(AZ$14&gt;=FC_Desde)*AZ$15))</f>
        <v>4545.00902853808</v>
      </c>
      <c r="BA86" s="48" t="n">
        <f aca="false">SUMPRODUCT((FC_Clase="Producción")*FC_O*((FC_Mon="PYG")*BA$19+(FC_Mon&lt;&gt;"PYG"))*(1+FC_g)^(BA$17-1)*((FC_Desde=0)*(BA$16+BA$15)+(FC_Desde&gt;=1)*(BA$14&gt;=FC_Desde)*BA$15))</f>
        <v>4545.00902853808</v>
      </c>
      <c r="BB86" s="48" t="n">
        <f aca="false">SUMPRODUCT((FC_Clase="Producción")*FC_O*((FC_Mon="PYG")*BB$19+(FC_Mon&lt;&gt;"PYG"))*(1+FC_g)^(BB$17-1)*((FC_Desde=0)*(BB$16+BB$15)+(FC_Desde&gt;=1)*(BB$14&gt;=FC_Desde)*BB$15))</f>
        <v>4597.55304472528</v>
      </c>
      <c r="BC86" s="48" t="n">
        <f aca="false">SUMPRODUCT((FC_Clase="Producción")*FC_O*((FC_Mon="PYG")*BC$19+(FC_Mon&lt;&gt;"PYG"))*(1+FC_g)^(BC$17-1)*((FC_Desde=0)*(BC$16+BC$15)+(FC_Desde&gt;=1)*(BC$14&gt;=FC_Desde)*BC$15))</f>
        <v>4597.55304472528</v>
      </c>
      <c r="BD86" s="48" t="n">
        <f aca="false">SUMPRODUCT((FC_Clase="Producción")*FC_O*((FC_Mon="PYG")*BD$19+(FC_Mon&lt;&gt;"PYG"))*(1+FC_g)^(BD$17-1)*((FC_Desde=0)*(BD$16+BD$15)+(FC_Desde&gt;=1)*(BD$14&gt;=FC_Desde)*BD$15))</f>
        <v>4597.55304472528</v>
      </c>
      <c r="BE86" s="48" t="n">
        <f aca="false">SUMPRODUCT((FC_Clase="Producción")*FC_O*((FC_Mon="PYG")*BE$19+(FC_Mon&lt;&gt;"PYG"))*(1+FC_g)^(BE$17-1)*((FC_Desde=0)*(BE$16+BE$15)+(FC_Desde&gt;=1)*(BE$14&gt;=FC_Desde)*BE$15))</f>
        <v>4597.55304472528</v>
      </c>
      <c r="BF86" s="48" t="n">
        <f aca="false">SUMPRODUCT((FC_Clase="Producción")*FC_O*((FC_Mon="PYG")*BF$19+(FC_Mon&lt;&gt;"PYG"))*(1+FC_g)^(BF$17-1)*((FC_Desde=0)*(BF$16+BF$15)+(FC_Desde&gt;=1)*(BF$14&gt;=FC_Desde)*BF$15))</f>
        <v>4597.55304472528</v>
      </c>
      <c r="BG86" s="48" t="n">
        <f aca="false">SUMPRODUCT((FC_Clase="Producción")*FC_O*((FC_Mon="PYG")*BG$19+(FC_Mon&lt;&gt;"PYG"))*(1+FC_g)^(BG$17-1)*((FC_Desde=0)*(BG$16+BG$15)+(FC_Desde&gt;=1)*(BG$14&gt;=FC_Desde)*BG$15))</f>
        <v>4597.55304472528</v>
      </c>
      <c r="BH86" s="48" t="n">
        <f aca="false">SUMPRODUCT((FC_Clase="Producción")*FC_O*((FC_Mon="PYG")*BH$19+(FC_Mon&lt;&gt;"PYG"))*(1+FC_g)^(BH$17-1)*((FC_Desde=0)*(BH$16+BH$15)+(FC_Desde&gt;=1)*(BH$14&gt;=FC_Desde)*BH$15))</f>
        <v>4597.55304472528</v>
      </c>
      <c r="BI86" s="48" t="n">
        <f aca="false">SUMPRODUCT((FC_Clase="Producción")*FC_O*((FC_Mon="PYG")*BI$19+(FC_Mon&lt;&gt;"PYG"))*(1+FC_g)^(BI$17-1)*((FC_Desde=0)*(BI$16+BI$15)+(FC_Desde&gt;=1)*(BI$14&gt;=FC_Desde)*BI$15))</f>
        <v>4597.55304472528</v>
      </c>
      <c r="BJ86" s="48" t="n">
        <f aca="false">SUMPRODUCT((FC_Clase="Producción")*FC_O*((FC_Mon="PYG")*BJ$19+(FC_Mon&lt;&gt;"PYG"))*(1+FC_g)^(BJ$17-1)*((FC_Desde=0)*(BJ$16+BJ$15)+(FC_Desde&gt;=1)*(BJ$14&gt;=FC_Desde)*BJ$15))</f>
        <v>4597.55304472528</v>
      </c>
      <c r="BK86" s="48" t="n">
        <f aca="false">SUMPRODUCT((FC_Clase="Producción")*FC_O*((FC_Mon="PYG")*BK$19+(FC_Mon&lt;&gt;"PYG"))*(1+FC_g)^(BK$17-1)*((FC_Desde=0)*(BK$16+BK$15)+(FC_Desde&gt;=1)*(BK$14&gt;=FC_Desde)*BK$15))</f>
        <v>4597.55304472528</v>
      </c>
      <c r="BL86" s="48" t="n">
        <f aca="false">SUMPRODUCT((FC_Clase="Producción")*FC_O*((FC_Mon="PYG")*BL$19+(FC_Mon&lt;&gt;"PYG"))*(1+FC_g)^(BL$17-1)*((FC_Desde=0)*(BL$16+BL$15)+(FC_Desde&gt;=1)*(BL$14&gt;=FC_Desde)*BL$15))</f>
        <v>4597.55304472528</v>
      </c>
      <c r="BM86" s="48" t="n">
        <f aca="false">SUMPRODUCT((FC_Clase="Producción")*FC_O*((FC_Mon="PYG")*BM$19+(FC_Mon&lt;&gt;"PYG"))*(1+FC_g)^(BM$17-1)*((FC_Desde=0)*(BM$16+BM$15)+(FC_Desde&gt;=1)*(BM$14&gt;=FC_Desde)*BM$15))</f>
        <v>4597.55304472528</v>
      </c>
      <c r="BN86" s="48" t="n">
        <f aca="false">SUMPRODUCT((FC_Clase="Producción")*FC_O*((FC_Mon="PYG")*BN$19+(FC_Mon&lt;&gt;"PYG"))*(1+FC_g)^(BN$17-1)*((FC_Desde=0)*(BN$16+BN$15)+(FC_Desde&gt;=1)*(BN$14&gt;=FC_Desde)*BN$15))</f>
        <v>4651.14794123623</v>
      </c>
      <c r="BO86" s="48" t="n">
        <f aca="false">SUMPRODUCT((FC_Clase="Producción")*FC_O*((FC_Mon="PYG")*BO$19+(FC_Mon&lt;&gt;"PYG"))*(1+FC_g)^(BO$17-1)*((FC_Desde=0)*(BO$16+BO$15)+(FC_Desde&gt;=1)*(BO$14&gt;=FC_Desde)*BO$15))</f>
        <v>4651.14794123623</v>
      </c>
      <c r="BP86" s="48" t="n">
        <f aca="false">SUMPRODUCT((FC_Clase="Producción")*FC_O*((FC_Mon="PYG")*BP$19+(FC_Mon&lt;&gt;"PYG"))*(1+FC_g)^(BP$17-1)*((FC_Desde=0)*(BP$16+BP$15)+(FC_Desde&gt;=1)*(BP$14&gt;=FC_Desde)*BP$15))</f>
        <v>4651.14794123623</v>
      </c>
      <c r="BQ86" s="48" t="n">
        <f aca="false">SUMPRODUCT((FC_Clase="Producción")*FC_O*((FC_Mon="PYG")*BQ$19+(FC_Mon&lt;&gt;"PYG"))*(1+FC_g)^(BQ$17-1)*((FC_Desde=0)*(BQ$16+BQ$15)+(FC_Desde&gt;=1)*(BQ$14&gt;=FC_Desde)*BQ$15))</f>
        <v>4651.14794123623</v>
      </c>
      <c r="BR86" s="48" t="n">
        <f aca="false">SUMPRODUCT((FC_Clase="Producción")*FC_O*((FC_Mon="PYG")*BR$19+(FC_Mon&lt;&gt;"PYG"))*(1+FC_g)^(BR$17-1)*((FC_Desde=0)*(BR$16+BR$15)+(FC_Desde&gt;=1)*(BR$14&gt;=FC_Desde)*BR$15))</f>
        <v>4651.14794123623</v>
      </c>
      <c r="BS86" s="48" t="n">
        <f aca="false">SUMPRODUCT((FC_Clase="Producción")*FC_O*((FC_Mon="PYG")*BS$19+(FC_Mon&lt;&gt;"PYG"))*(1+FC_g)^(BS$17-1)*((FC_Desde=0)*(BS$16+BS$15)+(FC_Desde&gt;=1)*(BS$14&gt;=FC_Desde)*BS$15))</f>
        <v>4651.14794123623</v>
      </c>
      <c r="BT86" s="48" t="n">
        <f aca="false">SUMPRODUCT((FC_Clase="Producción")*FC_O*((FC_Mon="PYG")*BT$19+(FC_Mon&lt;&gt;"PYG"))*(1+FC_g)^(BT$17-1)*((FC_Desde=0)*(BT$16+BT$15)+(FC_Desde&gt;=1)*(BT$14&gt;=FC_Desde)*BT$15))</f>
        <v>4651.14794123623</v>
      </c>
      <c r="BU86" s="48" t="n">
        <f aca="false">SUMPRODUCT((FC_Clase="Producción")*FC_O*((FC_Mon="PYG")*BU$19+(FC_Mon&lt;&gt;"PYG"))*(1+FC_g)^(BU$17-1)*((FC_Desde=0)*(BU$16+BU$15)+(FC_Desde&gt;=1)*(BU$14&gt;=FC_Desde)*BU$15))</f>
        <v>4651.14794123623</v>
      </c>
      <c r="BV86" s="48" t="n">
        <f aca="false">SUMPRODUCT((FC_Clase="Producción")*FC_O*((FC_Mon="PYG")*BV$19+(FC_Mon&lt;&gt;"PYG"))*(1+FC_g)^(BV$17-1)*((FC_Desde=0)*(BV$16+BV$15)+(FC_Desde&gt;=1)*(BV$14&gt;=FC_Desde)*BV$15))</f>
        <v>4651.14794123623</v>
      </c>
      <c r="BW86" s="48" t="n">
        <f aca="false">SUMPRODUCT((FC_Clase="Producción")*FC_O*((FC_Mon="PYG")*BW$19+(FC_Mon&lt;&gt;"PYG"))*(1+FC_g)^(BW$17-1)*((FC_Desde=0)*(BW$16+BW$15)+(FC_Desde&gt;=1)*(BW$14&gt;=FC_Desde)*BW$15))</f>
        <v>4651.14794123623</v>
      </c>
      <c r="BX86" s="48" t="n">
        <f aca="false">SUMPRODUCT((FC_Clase="Producción")*FC_O*((FC_Mon="PYG")*BX$19+(FC_Mon&lt;&gt;"PYG"))*(1+FC_g)^(BX$17-1)*((FC_Desde=0)*(BX$16+BX$15)+(FC_Desde&gt;=1)*(BX$14&gt;=FC_Desde)*BX$15))</f>
        <v>4651.14794123623</v>
      </c>
      <c r="BY86" s="48" t="n">
        <f aca="false">SUMPRODUCT((FC_Clase="Producción")*FC_O*((FC_Mon="PYG")*BY$19+(FC_Mon&lt;&gt;"PYG"))*(1+FC_g)^(BY$17-1)*((FC_Desde=0)*(BY$16+BY$15)+(FC_Desde&gt;=1)*(BY$14&gt;=FC_Desde)*BY$15))</f>
        <v>4651.14794123623</v>
      </c>
      <c r="BZ86" s="48" t="n">
        <f aca="false">SUMPRODUCT((FC_Clase="Producción")*FC_O*((FC_Mon="PYG")*BZ$19+(FC_Mon&lt;&gt;"PYG"))*(1+FC_g)^(BZ$17-1)*((FC_Desde=0)*(BZ$16+BZ$15)+(FC_Desde&gt;=1)*(BZ$14&gt;=FC_Desde)*BZ$15))</f>
        <v>4705.81473567739</v>
      </c>
      <c r="CA86" s="48" t="n">
        <f aca="false">SUMPRODUCT((FC_Clase="Producción")*FC_O*((FC_Mon="PYG")*CA$19+(FC_Mon&lt;&gt;"PYG"))*(1+FC_g)^(CA$17-1)*((FC_Desde=0)*(CA$16+CA$15)+(FC_Desde&gt;=1)*(CA$14&gt;=FC_Desde)*CA$15))</f>
        <v>4705.81473567739</v>
      </c>
      <c r="CB86" s="48" t="n">
        <f aca="false">SUMPRODUCT((FC_Clase="Producción")*FC_O*((FC_Mon="PYG")*CB$19+(FC_Mon&lt;&gt;"PYG"))*(1+FC_g)^(CB$17-1)*((FC_Desde=0)*(CB$16+CB$15)+(FC_Desde&gt;=1)*(CB$14&gt;=FC_Desde)*CB$15))</f>
        <v>4705.81473567739</v>
      </c>
      <c r="CC86" s="48" t="n">
        <f aca="false">SUMPRODUCT((FC_Clase="Producción")*FC_O*((FC_Mon="PYG")*CC$19+(FC_Mon&lt;&gt;"PYG"))*(1+FC_g)^(CC$17-1)*((FC_Desde=0)*(CC$16+CC$15)+(FC_Desde&gt;=1)*(CC$14&gt;=FC_Desde)*CC$15))</f>
        <v>4705.81473567739</v>
      </c>
      <c r="CD86" s="48" t="n">
        <f aca="false">SUMPRODUCT((FC_Clase="Producción")*FC_O*((FC_Mon="PYG")*CD$19+(FC_Mon&lt;&gt;"PYG"))*(1+FC_g)^(CD$17-1)*((FC_Desde=0)*(CD$16+CD$15)+(FC_Desde&gt;=1)*(CD$14&gt;=FC_Desde)*CD$15))</f>
        <v>4705.81473567739</v>
      </c>
      <c r="CE86" s="48" t="n">
        <f aca="false">SUMPRODUCT((FC_Clase="Producción")*FC_O*((FC_Mon="PYG")*CE$19+(FC_Mon&lt;&gt;"PYG"))*(1+FC_g)^(CE$17-1)*((FC_Desde=0)*(CE$16+CE$15)+(FC_Desde&gt;=1)*(CE$14&gt;=FC_Desde)*CE$15))</f>
        <v>4705.81473567739</v>
      </c>
      <c r="CF86" s="48" t="n">
        <f aca="false">SUMPRODUCT((FC_Clase="Producción")*FC_O*((FC_Mon="PYG")*CF$19+(FC_Mon&lt;&gt;"PYG"))*(1+FC_g)^(CF$17-1)*((FC_Desde=0)*(CF$16+CF$15)+(FC_Desde&gt;=1)*(CF$14&gt;=FC_Desde)*CF$15))</f>
        <v>4705.81473567739</v>
      </c>
      <c r="CG86" s="48" t="n">
        <f aca="false">SUMPRODUCT((FC_Clase="Producción")*FC_O*((FC_Mon="PYG")*CG$19+(FC_Mon&lt;&gt;"PYG"))*(1+FC_g)^(CG$17-1)*((FC_Desde=0)*(CG$16+CG$15)+(FC_Desde&gt;=1)*(CG$14&gt;=FC_Desde)*CG$15))</f>
        <v>4705.81473567739</v>
      </c>
      <c r="CH86" s="48" t="n">
        <f aca="false">SUMPRODUCT((FC_Clase="Producción")*FC_O*((FC_Mon="PYG")*CH$19+(FC_Mon&lt;&gt;"PYG"))*(1+FC_g)^(CH$17-1)*((FC_Desde=0)*(CH$16+CH$15)+(FC_Desde&gt;=1)*(CH$14&gt;=FC_Desde)*CH$15))</f>
        <v>4705.81473567739</v>
      </c>
      <c r="CI86" s="48" t="n">
        <f aca="false">SUMPRODUCT((FC_Clase="Producción")*FC_O*((FC_Mon="PYG")*CI$19+(FC_Mon&lt;&gt;"PYG"))*(1+FC_g)^(CI$17-1)*((FC_Desde=0)*(CI$16+CI$15)+(FC_Desde&gt;=1)*(CI$14&gt;=FC_Desde)*CI$15))</f>
        <v>4705.81473567739</v>
      </c>
      <c r="CJ86" s="48" t="n">
        <f aca="false">SUMPRODUCT((FC_Clase="Producción")*FC_O*((FC_Mon="PYG")*CJ$19+(FC_Mon&lt;&gt;"PYG"))*(1+FC_g)^(CJ$17-1)*((FC_Desde=0)*(CJ$16+CJ$15)+(FC_Desde&gt;=1)*(CJ$14&gt;=FC_Desde)*CJ$15))</f>
        <v>4705.81473567739</v>
      </c>
      <c r="CK86" s="48" t="n">
        <f aca="false">SUMPRODUCT((FC_Clase="Producción")*FC_O*((FC_Mon="PYG")*CK$19+(FC_Mon&lt;&gt;"PYG"))*(1+FC_g)^(CK$17-1)*((FC_Desde=0)*(CK$16+CK$15)+(FC_Desde&gt;=1)*(CK$14&gt;=FC_Desde)*CK$15))</f>
        <v>4705.81473567739</v>
      </c>
      <c r="CL86" s="48" t="n">
        <f aca="false">SUMPRODUCT((FC_Clase="Producción")*FC_O*((FC_Mon="PYG")*CL$19+(FC_Mon&lt;&gt;"PYG"))*(1+FC_g)^(CL$17-1)*((FC_Desde=0)*(CL$16+CL$15)+(FC_Desde&gt;=1)*(CL$14&gt;=FC_Desde)*CL$15))</f>
        <v>4761.57486600738</v>
      </c>
      <c r="CM86" s="48" t="n">
        <f aca="false">SUMPRODUCT((FC_Clase="Producción")*FC_O*((FC_Mon="PYG")*CM$19+(FC_Mon&lt;&gt;"PYG"))*(1+FC_g)^(CM$17-1)*((FC_Desde=0)*(CM$16+CM$15)+(FC_Desde&gt;=1)*(CM$14&gt;=FC_Desde)*CM$15))</f>
        <v>4761.57486600738</v>
      </c>
      <c r="CN86" s="48" t="n">
        <f aca="false">SUMPRODUCT((FC_Clase="Producción")*FC_O*((FC_Mon="PYG")*CN$19+(FC_Mon&lt;&gt;"PYG"))*(1+FC_g)^(CN$17-1)*((FC_Desde=0)*(CN$16+CN$15)+(FC_Desde&gt;=1)*(CN$14&gt;=FC_Desde)*CN$15))</f>
        <v>4761.57486600738</v>
      </c>
      <c r="CO86" s="48" t="n">
        <f aca="false">SUMPRODUCT((FC_Clase="Producción")*FC_O*((FC_Mon="PYG")*CO$19+(FC_Mon&lt;&gt;"PYG"))*(1+FC_g)^(CO$17-1)*((FC_Desde=0)*(CO$16+CO$15)+(FC_Desde&gt;=1)*(CO$14&gt;=FC_Desde)*CO$15))</f>
        <v>4761.57486600738</v>
      </c>
      <c r="CP86" s="48" t="n">
        <f aca="false">SUMPRODUCT((FC_Clase="Producción")*FC_O*((FC_Mon="PYG")*CP$19+(FC_Mon&lt;&gt;"PYG"))*(1+FC_g)^(CP$17-1)*((FC_Desde=0)*(CP$16+CP$15)+(FC_Desde&gt;=1)*(CP$14&gt;=FC_Desde)*CP$15))</f>
        <v>4761.57486600738</v>
      </c>
      <c r="CQ86" s="48" t="n">
        <f aca="false">SUMPRODUCT((FC_Clase="Producción")*FC_O*((FC_Mon="PYG")*CQ$19+(FC_Mon&lt;&gt;"PYG"))*(1+FC_g)^(CQ$17-1)*((FC_Desde=0)*(CQ$16+CQ$15)+(FC_Desde&gt;=1)*(CQ$14&gt;=FC_Desde)*CQ$15))</f>
        <v>4761.57486600738</v>
      </c>
      <c r="CR86" s="48" t="n">
        <f aca="false">SUMPRODUCT((FC_Clase="Producción")*FC_O*((FC_Mon="PYG")*CR$19+(FC_Mon&lt;&gt;"PYG"))*(1+FC_g)^(CR$17-1)*((FC_Desde=0)*(CR$16+CR$15)+(FC_Desde&gt;=1)*(CR$14&gt;=FC_Desde)*CR$15))</f>
        <v>4761.57486600738</v>
      </c>
      <c r="CS86" s="48" t="n">
        <f aca="false">SUMPRODUCT((FC_Clase="Producción")*FC_O*((FC_Mon="PYG")*CS$19+(FC_Mon&lt;&gt;"PYG"))*(1+FC_g)^(CS$17-1)*((FC_Desde=0)*(CS$16+CS$15)+(FC_Desde&gt;=1)*(CS$14&gt;=FC_Desde)*CS$15))</f>
        <v>4761.57486600738</v>
      </c>
      <c r="CT86" s="48" t="n">
        <f aca="false">SUMPRODUCT((FC_Clase="Producción")*FC_O*((FC_Mon="PYG")*CT$19+(FC_Mon&lt;&gt;"PYG"))*(1+FC_g)^(CT$17-1)*((FC_Desde=0)*(CT$16+CT$15)+(FC_Desde&gt;=1)*(CT$14&gt;=FC_Desde)*CT$15))</f>
        <v>4761.57486600738</v>
      </c>
      <c r="CU86" s="48" t="n">
        <f aca="false">SUMPRODUCT((FC_Clase="Producción")*FC_O*((FC_Mon="PYG")*CU$19+(FC_Mon&lt;&gt;"PYG"))*(1+FC_g)^(CU$17-1)*((FC_Desde=0)*(CU$16+CU$15)+(FC_Desde&gt;=1)*(CU$14&gt;=FC_Desde)*CU$15))</f>
        <v>4761.57486600738</v>
      </c>
      <c r="CV86" s="48" t="n">
        <f aca="false">SUMPRODUCT((FC_Clase="Producción")*FC_O*((FC_Mon="PYG")*CV$19+(FC_Mon&lt;&gt;"PYG"))*(1+FC_g)^(CV$17-1)*((FC_Desde=0)*(CV$16+CV$15)+(FC_Desde&gt;=1)*(CV$14&gt;=FC_Desde)*CV$15))</f>
        <v>4761.57486600738</v>
      </c>
      <c r="CW86" s="48" t="n">
        <f aca="false">SUMPRODUCT((FC_Clase="Producción")*FC_O*((FC_Mon="PYG")*CW$19+(FC_Mon&lt;&gt;"PYG"))*(1+FC_g)^(CW$17-1)*((FC_Desde=0)*(CW$16+CW$15)+(FC_Desde&gt;=1)*(CW$14&gt;=FC_Desde)*CW$15))</f>
        <v>4761.57486600738</v>
      </c>
      <c r="CX86" s="48" t="n">
        <f aca="false">SUMPRODUCT((FC_Clase="Producción")*FC_O*((FC_Mon="PYG")*CX$19+(FC_Mon&lt;&gt;"PYG"))*(1+FC_g)^(CX$17-1)*((FC_Desde=0)*(CX$16+CX$15)+(FC_Desde&gt;=1)*(CX$14&gt;=FC_Desde)*CX$15))</f>
        <v>4818.45019894396</v>
      </c>
      <c r="CY86" s="48" t="n">
        <f aca="false">SUMPRODUCT((FC_Clase="Producción")*FC_O*((FC_Mon="PYG")*CY$19+(FC_Mon&lt;&gt;"PYG"))*(1+FC_g)^(CY$17-1)*((FC_Desde=0)*(CY$16+CY$15)+(FC_Desde&gt;=1)*(CY$14&gt;=FC_Desde)*CY$15))</f>
        <v>4818.45019894396</v>
      </c>
      <c r="CZ86" s="48" t="n">
        <f aca="false">SUMPRODUCT((FC_Clase="Producción")*FC_O*((FC_Mon="PYG")*CZ$19+(FC_Mon&lt;&gt;"PYG"))*(1+FC_g)^(CZ$17-1)*((FC_Desde=0)*(CZ$16+CZ$15)+(FC_Desde&gt;=1)*(CZ$14&gt;=FC_Desde)*CZ$15))</f>
        <v>4818.45019894396</v>
      </c>
      <c r="DA86" s="48" t="n">
        <f aca="false">SUMPRODUCT((FC_Clase="Producción")*FC_O*((FC_Mon="PYG")*DA$19+(FC_Mon&lt;&gt;"PYG"))*(1+FC_g)^(DA$17-1)*((FC_Desde=0)*(DA$16+DA$15)+(FC_Desde&gt;=1)*(DA$14&gt;=FC_Desde)*DA$15))</f>
        <v>4818.45019894396</v>
      </c>
      <c r="DB86" s="48" t="n">
        <f aca="false">SUMPRODUCT((FC_Clase="Producción")*FC_O*((FC_Mon="PYG")*DB$19+(FC_Mon&lt;&gt;"PYG"))*(1+FC_g)^(DB$17-1)*((FC_Desde=0)*(DB$16+DB$15)+(FC_Desde&gt;=1)*(DB$14&gt;=FC_Desde)*DB$15))</f>
        <v>4818.45019894396</v>
      </c>
      <c r="DC86" s="48" t="n">
        <f aca="false">SUMPRODUCT((FC_Clase="Producción")*FC_O*((FC_Mon="PYG")*DC$19+(FC_Mon&lt;&gt;"PYG"))*(1+FC_g)^(DC$17-1)*((FC_Desde=0)*(DC$16+DC$15)+(FC_Desde&gt;=1)*(DC$14&gt;=FC_Desde)*DC$15))</f>
        <v>4818.45019894396</v>
      </c>
      <c r="DD86" s="48" t="n">
        <f aca="false">SUMPRODUCT((FC_Clase="Producción")*FC_O*((FC_Mon="PYG")*DD$19+(FC_Mon&lt;&gt;"PYG"))*(1+FC_g)^(DD$17-1)*((FC_Desde=0)*(DD$16+DD$15)+(FC_Desde&gt;=1)*(DD$14&gt;=FC_Desde)*DD$15))</f>
        <v>4818.45019894396</v>
      </c>
      <c r="DE86" s="48" t="n">
        <f aca="false">SUMPRODUCT((FC_Clase="Producción")*FC_O*((FC_Mon="PYG")*DE$19+(FC_Mon&lt;&gt;"PYG"))*(1+FC_g)^(DE$17-1)*((FC_Desde=0)*(DE$16+DE$15)+(FC_Desde&gt;=1)*(DE$14&gt;=FC_Desde)*DE$15))</f>
        <v>4818.45019894396</v>
      </c>
      <c r="DF86" s="48" t="n">
        <f aca="false">SUMPRODUCT((FC_Clase="Producción")*FC_O*((FC_Mon="PYG")*DF$19+(FC_Mon&lt;&gt;"PYG"))*(1+FC_g)^(DF$17-1)*((FC_Desde=0)*(DF$16+DF$15)+(FC_Desde&gt;=1)*(DF$14&gt;=FC_Desde)*DF$15))</f>
        <v>4818.45019894396</v>
      </c>
      <c r="DG86" s="48" t="n">
        <f aca="false">SUMPRODUCT((FC_Clase="Producción")*FC_O*((FC_Mon="PYG")*DG$19+(FC_Mon&lt;&gt;"PYG"))*(1+FC_g)^(DG$17-1)*((FC_Desde=0)*(DG$16+DG$15)+(FC_Desde&gt;=1)*(DG$14&gt;=FC_Desde)*DG$15))</f>
        <v>4818.45019894396</v>
      </c>
      <c r="DH86" s="48" t="n">
        <f aca="false">SUMPRODUCT((FC_Clase="Producción")*FC_O*((FC_Mon="PYG")*DH$19+(FC_Mon&lt;&gt;"PYG"))*(1+FC_g)^(DH$17-1)*((FC_Desde=0)*(DH$16+DH$15)+(FC_Desde&gt;=1)*(DH$14&gt;=FC_Desde)*DH$15))</f>
        <v>4818.45019894396</v>
      </c>
      <c r="DI86" s="48" t="n">
        <f aca="false">SUMPRODUCT((FC_Clase="Producción")*FC_O*((FC_Mon="PYG")*DI$19+(FC_Mon&lt;&gt;"PYG"))*(1+FC_g)^(DI$17-1)*((FC_Desde=0)*(DI$16+DI$15)+(FC_Desde&gt;=1)*(DI$14&gt;=FC_Desde)*DI$15))</f>
        <v>4818.45019894396</v>
      </c>
      <c r="DJ86" s="48" t="n">
        <f aca="false">SUMPRODUCT((FC_Clase="Producción")*FC_O*((FC_Mon="PYG")*DJ$19+(FC_Mon&lt;&gt;"PYG"))*(1+FC_g)^(DJ$17-1)*((FC_Desde=0)*(DJ$16+DJ$15)+(FC_Desde&gt;=1)*(DJ$14&gt;=FC_Desde)*DJ$15))</f>
        <v>4876.46303853928</v>
      </c>
      <c r="DK86" s="48" t="n">
        <f aca="false">SUMPRODUCT((FC_Clase="Producción")*FC_O*((FC_Mon="PYG")*DK$19+(FC_Mon&lt;&gt;"PYG"))*(1+FC_g)^(DK$17-1)*((FC_Desde=0)*(DK$16+DK$15)+(FC_Desde&gt;=1)*(DK$14&gt;=FC_Desde)*DK$15))</f>
        <v>4876.46303853928</v>
      </c>
      <c r="DL86" s="48" t="n">
        <f aca="false">SUMPRODUCT((FC_Clase="Producción")*FC_O*((FC_Mon="PYG")*DL$19+(FC_Mon&lt;&gt;"PYG"))*(1+FC_g)^(DL$17-1)*((FC_Desde=0)*(DL$16+DL$15)+(FC_Desde&gt;=1)*(DL$14&gt;=FC_Desde)*DL$15))</f>
        <v>4876.46303853928</v>
      </c>
      <c r="DM86" s="48" t="n">
        <f aca="false">SUMPRODUCT((FC_Clase="Producción")*FC_O*((FC_Mon="PYG")*DM$19+(FC_Mon&lt;&gt;"PYG"))*(1+FC_g)^(DM$17-1)*((FC_Desde=0)*(DM$16+DM$15)+(FC_Desde&gt;=1)*(DM$14&gt;=FC_Desde)*DM$15))</f>
        <v>4876.46303853928</v>
      </c>
      <c r="DN86" s="48" t="n">
        <f aca="false">SUMPRODUCT((FC_Clase="Producción")*FC_O*((FC_Mon="PYG")*DN$19+(FC_Mon&lt;&gt;"PYG"))*(1+FC_g)^(DN$17-1)*((FC_Desde=0)*(DN$16+DN$15)+(FC_Desde&gt;=1)*(DN$14&gt;=FC_Desde)*DN$15))</f>
        <v>4876.46303853928</v>
      </c>
      <c r="DO86" s="48" t="n">
        <f aca="false">SUMPRODUCT((FC_Clase="Producción")*FC_O*((FC_Mon="PYG")*DO$19+(FC_Mon&lt;&gt;"PYG"))*(1+FC_g)^(DO$17-1)*((FC_Desde=0)*(DO$16+DO$15)+(FC_Desde&gt;=1)*(DO$14&gt;=FC_Desde)*DO$15))</f>
        <v>4876.46303853928</v>
      </c>
      <c r="DP86" s="48" t="n">
        <f aca="false">SUMPRODUCT((FC_Clase="Producción")*FC_O*((FC_Mon="PYG")*DP$19+(FC_Mon&lt;&gt;"PYG"))*(1+FC_g)^(DP$17-1)*((FC_Desde=0)*(DP$16+DP$15)+(FC_Desde&gt;=1)*(DP$14&gt;=FC_Desde)*DP$15))</f>
        <v>4876.46303853928</v>
      </c>
      <c r="DQ86" s="48" t="n">
        <f aca="false">SUMPRODUCT((FC_Clase="Producción")*FC_O*((FC_Mon="PYG")*DQ$19+(FC_Mon&lt;&gt;"PYG"))*(1+FC_g)^(DQ$17-1)*((FC_Desde=0)*(DQ$16+DQ$15)+(FC_Desde&gt;=1)*(DQ$14&gt;=FC_Desde)*DQ$15))</f>
        <v>4876.46303853928</v>
      </c>
      <c r="DR86" s="48" t="n">
        <f aca="false">SUMPRODUCT((FC_Clase="Producción")*FC_O*((FC_Mon="PYG")*DR$19+(FC_Mon&lt;&gt;"PYG"))*(1+FC_g)^(DR$17-1)*((FC_Desde=0)*(DR$16+DR$15)+(FC_Desde&gt;=1)*(DR$14&gt;=FC_Desde)*DR$15))</f>
        <v>4876.46303853928</v>
      </c>
      <c r="DS86" s="48" t="n">
        <f aca="false">SUMPRODUCT((FC_Clase="Producción")*FC_O*((FC_Mon="PYG")*DS$19+(FC_Mon&lt;&gt;"PYG"))*(1+FC_g)^(DS$17-1)*((FC_Desde=0)*(DS$16+DS$15)+(FC_Desde&gt;=1)*(DS$14&gt;=FC_Desde)*DS$15))</f>
        <v>4876.46303853928</v>
      </c>
      <c r="DT86" s="48" t="n">
        <f aca="false">SUMPRODUCT((FC_Clase="Producción")*FC_O*((FC_Mon="PYG")*DT$19+(FC_Mon&lt;&gt;"PYG"))*(1+FC_g)^(DT$17-1)*((FC_Desde=0)*(DT$16+DT$15)+(FC_Desde&gt;=1)*(DT$14&gt;=FC_Desde)*DT$15))</f>
        <v>4876.46303853928</v>
      </c>
      <c r="DU86" s="48" t="n">
        <f aca="false">SUMPRODUCT((FC_Clase="Producción")*FC_O*((FC_Mon="PYG")*DU$19+(FC_Mon&lt;&gt;"PYG"))*(1+FC_g)^(DU$17-1)*((FC_Desde=0)*(DU$16+DU$15)+(FC_Desde&gt;=1)*(DU$14&gt;=FC_Desde)*DU$15))</f>
        <v>4876.46303853928</v>
      </c>
      <c r="DV86" s="48" t="n">
        <f aca="false">SUMPRODUCT((FC_Clase="Producción")*FC_O*((FC_Mon="PYG")*DV$19+(FC_Mon&lt;&gt;"PYG"))*(1+FC_g)^(DV$17-1)*((FC_Desde=0)*(DV$16+DV$15)+(FC_Desde&gt;=1)*(DV$14&gt;=FC_Desde)*DV$15))</f>
        <v>0</v>
      </c>
      <c r="DW86" s="48" t="n">
        <f aca="false">SUMPRODUCT((FC_Clase="Producción")*FC_O*((FC_Mon="PYG")*DW$19+(FC_Mon&lt;&gt;"PYG"))*(1+FC_g)^(DW$17-1)*((FC_Desde=0)*(DW$16+DW$15)+(FC_Desde&gt;=1)*(DW$14&gt;=FC_Desde)*DW$15))</f>
        <v>0</v>
      </c>
      <c r="DX86" s="48" t="n">
        <f aca="false">SUMPRODUCT((FC_Clase="Producción")*FC_O*((FC_Mon="PYG")*DX$19+(FC_Mon&lt;&gt;"PYG"))*(1+FC_g)^(DX$17-1)*((FC_Desde=0)*(DX$16+DX$15)+(FC_Desde&gt;=1)*(DX$14&gt;=FC_Desde)*DX$15))</f>
        <v>0</v>
      </c>
      <c r="DY86" s="48" t="n">
        <f aca="false">SUMPRODUCT((FC_Clase="Producción")*FC_O*((FC_Mon="PYG")*DY$19+(FC_Mon&lt;&gt;"PYG"))*(1+FC_g)^(DY$17-1)*((FC_Desde=0)*(DY$16+DY$15)+(FC_Desde&gt;=1)*(DY$14&gt;=FC_Desde)*DY$15))</f>
        <v>0</v>
      </c>
      <c r="DZ86" s="48" t="n">
        <f aca="false">SUMPRODUCT((FC_Clase="Producción")*FC_O*((FC_Mon="PYG")*DZ$19+(FC_Mon&lt;&gt;"PYG"))*(1+FC_g)^(DZ$17-1)*((FC_Desde=0)*(DZ$16+DZ$15)+(FC_Desde&gt;=1)*(DZ$14&gt;=FC_Desde)*DZ$15))</f>
        <v>0</v>
      </c>
      <c r="EA86" s="48" t="n">
        <f aca="false">SUMPRODUCT((FC_Clase="Producción")*FC_O*((FC_Mon="PYG")*EA$19+(FC_Mon&lt;&gt;"PYG"))*(1+FC_g)^(EA$17-1)*((FC_Desde=0)*(EA$16+EA$15)+(FC_Desde&gt;=1)*(EA$14&gt;=FC_Desde)*EA$15))</f>
        <v>0</v>
      </c>
      <c r="EB86" s="48" t="n">
        <f aca="false">SUMPRODUCT((FC_Clase="Producción")*FC_O*((FC_Mon="PYG")*EB$19+(FC_Mon&lt;&gt;"PYG"))*(1+FC_g)^(EB$17-1)*((FC_Desde=0)*(EB$16+EB$15)+(FC_Desde&gt;=1)*(EB$14&gt;=FC_Desde)*EB$15))</f>
        <v>0</v>
      </c>
      <c r="EC86" s="48" t="n">
        <f aca="false">SUMPRODUCT((FC_Clase="Producción")*FC_O*((FC_Mon="PYG")*EC$19+(FC_Mon&lt;&gt;"PYG"))*(1+FC_g)^(EC$17-1)*((FC_Desde=0)*(EC$16+EC$15)+(FC_Desde&gt;=1)*(EC$14&gt;=FC_Desde)*EC$15))</f>
        <v>0</v>
      </c>
      <c r="ED86" s="48" t="n">
        <f aca="false">SUMPRODUCT((FC_Clase="Producción")*FC_O*((FC_Mon="PYG")*ED$19+(FC_Mon&lt;&gt;"PYG"))*(1+FC_g)^(ED$17-1)*((FC_Desde=0)*(ED$16+ED$15)+(FC_Desde&gt;=1)*(ED$14&gt;=FC_Desde)*ED$15))</f>
        <v>0</v>
      </c>
      <c r="EE86" s="48" t="n">
        <f aca="false">SUMPRODUCT((FC_Clase="Producción")*FC_O*((FC_Mon="PYG")*EE$19+(FC_Mon&lt;&gt;"PYG"))*(1+FC_g)^(EE$17-1)*((FC_Desde=0)*(EE$16+EE$15)+(FC_Desde&gt;=1)*(EE$14&gt;=FC_Desde)*EE$15))</f>
        <v>0</v>
      </c>
      <c r="EF86" s="48" t="n">
        <f aca="false">SUMPRODUCT((FC_Clase="Producción")*FC_O*((FC_Mon="PYG")*EF$19+(FC_Mon&lt;&gt;"PYG"))*(1+FC_g)^(EF$17-1)*((FC_Desde=0)*(EF$16+EF$15)+(FC_Desde&gt;=1)*(EF$14&gt;=FC_Desde)*EF$15))</f>
        <v>0</v>
      </c>
      <c r="EG86" s="48" t="n">
        <f aca="false">SUMPRODUCT((FC_Clase="Producción")*FC_O*((FC_Mon="PYG")*EG$19+(FC_Mon&lt;&gt;"PYG"))*(1+FC_g)^(EG$17-1)*((FC_Desde=0)*(EG$16+EG$15)+(FC_Desde&gt;=1)*(EG$14&gt;=FC_Desde)*EG$15))</f>
        <v>0</v>
      </c>
      <c r="EH86" s="48" t="n">
        <f aca="false">SUMPRODUCT((FC_Clase="Producción")*FC_O*((FC_Mon="PYG")*EH$19+(FC_Mon&lt;&gt;"PYG"))*(1+FC_g)^(EH$17-1)*((FC_Desde=0)*(EH$16+EH$15)+(FC_Desde&gt;=1)*(EH$14&gt;=FC_Desde)*EH$15))</f>
        <v>0</v>
      </c>
      <c r="EI86" s="48" t="n">
        <f aca="false">SUMPRODUCT((FC_Clase="Producción")*FC_O*((FC_Mon="PYG")*EI$19+(FC_Mon&lt;&gt;"PYG"))*(1+FC_g)^(EI$17-1)*((FC_Desde=0)*(EI$16+EI$15)+(FC_Desde&gt;=1)*(EI$14&gt;=FC_Desde)*EI$15))</f>
        <v>0</v>
      </c>
      <c r="EJ86" s="48" t="n">
        <f aca="false">SUMPRODUCT((FC_Clase="Producción")*FC_O*((FC_Mon="PYG")*EJ$19+(FC_Mon&lt;&gt;"PYG"))*(1+FC_g)^(EJ$17-1)*((FC_Desde=0)*(EJ$16+EJ$15)+(FC_Desde&gt;=1)*(EJ$14&gt;=FC_Desde)*EJ$15))</f>
        <v>0</v>
      </c>
      <c r="EK86" s="48" t="n">
        <f aca="false">SUMPRODUCT((FC_Clase="Producción")*FC_O*((FC_Mon="PYG")*EK$19+(FC_Mon&lt;&gt;"PYG"))*(1+FC_g)^(EK$17-1)*((FC_Desde=0)*(EK$16+EK$15)+(FC_Desde&gt;=1)*(EK$14&gt;=FC_Desde)*EK$15))</f>
        <v>0</v>
      </c>
      <c r="EL86" s="48" t="n">
        <f aca="false">SUMPRODUCT((FC_Clase="Producción")*FC_O*((FC_Mon="PYG")*EL$19+(FC_Mon&lt;&gt;"PYG"))*(1+FC_g)^(EL$17-1)*((FC_Desde=0)*(EL$16+EL$15)+(FC_Desde&gt;=1)*(EL$14&gt;=FC_Desde)*EL$15))</f>
        <v>0</v>
      </c>
      <c r="EM86" s="48" t="n">
        <f aca="false">SUMPRODUCT((FC_Clase="Producción")*FC_O*((FC_Mon="PYG")*EM$19+(FC_Mon&lt;&gt;"PYG"))*(1+FC_g)^(EM$17-1)*((FC_Desde=0)*(EM$16+EM$15)+(FC_Desde&gt;=1)*(EM$14&gt;=FC_Desde)*EM$15))</f>
        <v>0</v>
      </c>
      <c r="EN86" s="48" t="n">
        <f aca="false">SUMPRODUCT((FC_Clase="Producción")*FC_O*((FC_Mon="PYG")*EN$19+(FC_Mon&lt;&gt;"PYG"))*(1+FC_g)^(EN$17-1)*((FC_Desde=0)*(EN$16+EN$15)+(FC_Desde&gt;=1)*(EN$14&gt;=FC_Desde)*EN$15))</f>
        <v>0</v>
      </c>
      <c r="EO86" s="48" t="n">
        <f aca="false">SUMPRODUCT((FC_Clase="Producción")*FC_O*((FC_Mon="PYG")*EO$19+(FC_Mon&lt;&gt;"PYG"))*(1+FC_g)^(EO$17-1)*((FC_Desde=0)*(EO$16+EO$15)+(FC_Desde&gt;=1)*(EO$14&gt;=FC_Desde)*EO$15))</f>
        <v>0</v>
      </c>
      <c r="EP86" s="48" t="n">
        <f aca="false">SUMPRODUCT((FC_Clase="Producción")*FC_O*((FC_Mon="PYG")*EP$19+(FC_Mon&lt;&gt;"PYG"))*(1+FC_g)^(EP$17-1)*((FC_Desde=0)*(EP$16+EP$15)+(FC_Desde&gt;=1)*(EP$14&gt;=FC_Desde)*EP$15))</f>
        <v>0</v>
      </c>
      <c r="EQ86" s="48" t="n">
        <f aca="false">SUMPRODUCT((FC_Clase="Producción")*FC_O*((FC_Mon="PYG")*EQ$19+(FC_Mon&lt;&gt;"PYG"))*(1+FC_g)^(EQ$17-1)*((FC_Desde=0)*(EQ$16+EQ$15)+(FC_Desde&gt;=1)*(EQ$14&gt;=FC_Desde)*EQ$15))</f>
        <v>0</v>
      </c>
      <c r="ER86" s="48" t="n">
        <f aca="false">SUMPRODUCT((FC_Clase="Producción")*FC_O*((FC_Mon="PYG")*ER$19+(FC_Mon&lt;&gt;"PYG"))*(1+FC_g)^(ER$17-1)*((FC_Desde=0)*(ER$16+ER$15)+(FC_Desde&gt;=1)*(ER$14&gt;=FC_Desde)*ER$15))</f>
        <v>0</v>
      </c>
      <c r="ES86" s="48" t="n">
        <f aca="false">SUMPRODUCT((FC_Clase="Producción")*FC_O*((FC_Mon="PYG")*ES$19+(FC_Mon&lt;&gt;"PYG"))*(1+FC_g)^(ES$17-1)*((FC_Desde=0)*(ES$16+ES$15)+(FC_Desde&gt;=1)*(ES$14&gt;=FC_Desde)*ES$15))</f>
        <v>0</v>
      </c>
    </row>
    <row r="87" customFormat="false" ht="15" hidden="false" customHeight="false" outlineLevel="0" collapsed="false">
      <c r="A87" s="11" t="s">
        <v>1146</v>
      </c>
      <c r="B87" s="15" t="s">
        <v>1147</v>
      </c>
      <c r="C87" s="15" t="s">
        <v>508</v>
      </c>
      <c r="E87" s="54" t="n">
        <f aca="false">SUM(F87:ES87)</f>
        <v>3059546.01375462</v>
      </c>
      <c r="F87" s="48" t="n">
        <f aca="false">SUMPRODUCT((FC_Clase="Administración")*FC_O*((FC_Mon="PYG")*F$19+(FC_Mon&lt;&gt;"PYG"))*(1+FC_g)^(F$17-1)*((FC_Desde=0)*(F$16+F$15)+(FC_Desde&gt;=1)*(F$14&gt;=FC_Desde)*F$15))</f>
        <v>22893.5857534247</v>
      </c>
      <c r="G87" s="48" t="n">
        <f aca="false">SUMPRODUCT((FC_Clase="Administración")*FC_O*((FC_Mon="PYG")*G$19+(FC_Mon&lt;&gt;"PYG"))*(1+FC_g)^(G$17-1)*((FC_Desde=0)*(G$16+G$15)+(FC_Desde&gt;=1)*(G$14&gt;=FC_Desde)*G$15))</f>
        <v>22893.5857534247</v>
      </c>
      <c r="H87" s="48" t="n">
        <f aca="false">SUMPRODUCT((FC_Clase="Administración")*FC_O*((FC_Mon="PYG")*H$19+(FC_Mon&lt;&gt;"PYG"))*(1+FC_g)^(H$17-1)*((FC_Desde=0)*(H$16+H$15)+(FC_Desde&gt;=1)*(H$14&gt;=FC_Desde)*H$15))</f>
        <v>22893.5857534247</v>
      </c>
      <c r="I87" s="48" t="n">
        <f aca="false">SUMPRODUCT((FC_Clase="Administración")*FC_O*((FC_Mon="PYG")*I$19+(FC_Mon&lt;&gt;"PYG"))*(1+FC_g)^(I$17-1)*((FC_Desde=0)*(I$16+I$15)+(FC_Desde&gt;=1)*(I$14&gt;=FC_Desde)*I$15))</f>
        <v>22893.5857534247</v>
      </c>
      <c r="J87" s="48" t="n">
        <f aca="false">SUMPRODUCT((FC_Clase="Administración")*FC_O*((FC_Mon="PYG")*J$19+(FC_Mon&lt;&gt;"PYG"))*(1+FC_g)^(J$17-1)*((FC_Desde=0)*(J$16+J$15)+(FC_Desde&gt;=1)*(J$14&gt;=FC_Desde)*J$15))</f>
        <v>22893.5857534247</v>
      </c>
      <c r="K87" s="48" t="n">
        <f aca="false">SUMPRODUCT((FC_Clase="Administración")*FC_O*((FC_Mon="PYG")*K$19+(FC_Mon&lt;&gt;"PYG"))*(1+FC_g)^(K$17-1)*((FC_Desde=0)*(K$16+K$15)+(FC_Desde&gt;=1)*(K$14&gt;=FC_Desde)*K$15))</f>
        <v>22893.5857534247</v>
      </c>
      <c r="L87" s="48" t="n">
        <f aca="false">SUMPRODUCT((FC_Clase="Administración")*FC_O*((FC_Mon="PYG")*L$19+(FC_Mon&lt;&gt;"PYG"))*(1+FC_g)^(L$17-1)*((FC_Desde=0)*(L$16+L$15)+(FC_Desde&gt;=1)*(L$14&gt;=FC_Desde)*L$15))</f>
        <v>22893.5857534247</v>
      </c>
      <c r="M87" s="48" t="n">
        <f aca="false">SUMPRODUCT((FC_Clase="Administración")*FC_O*((FC_Mon="PYG")*M$19+(FC_Mon&lt;&gt;"PYG"))*(1+FC_g)^(M$17-1)*((FC_Desde=0)*(M$16+M$15)+(FC_Desde&gt;=1)*(M$14&gt;=FC_Desde)*M$15))</f>
        <v>22893.5857534247</v>
      </c>
      <c r="N87" s="48" t="n">
        <f aca="false">SUMPRODUCT((FC_Clase="Administración")*FC_O*((FC_Mon="PYG")*N$19+(FC_Mon&lt;&gt;"PYG"))*(1+FC_g)^(N$17-1)*((FC_Desde=0)*(N$16+N$15)+(FC_Desde&gt;=1)*(N$14&gt;=FC_Desde)*N$15))</f>
        <v>22893.5857534247</v>
      </c>
      <c r="O87" s="48" t="n">
        <f aca="false">SUMPRODUCT((FC_Clase="Administración")*FC_O*((FC_Mon="PYG")*O$19+(FC_Mon&lt;&gt;"PYG"))*(1+FC_g)^(O$17-1)*((FC_Desde=0)*(O$16+O$15)+(FC_Desde&gt;=1)*(O$14&gt;=FC_Desde)*O$15))</f>
        <v>22893.5857534247</v>
      </c>
      <c r="P87" s="48" t="n">
        <f aca="false">SUMPRODUCT((FC_Clase="Administración")*FC_O*((FC_Mon="PYG")*P$19+(FC_Mon&lt;&gt;"PYG"))*(1+FC_g)^(P$17-1)*((FC_Desde=0)*(P$16+P$15)+(FC_Desde&gt;=1)*(P$14&gt;=FC_Desde)*P$15))</f>
        <v>22893.5857534247</v>
      </c>
      <c r="Q87" s="48" t="n">
        <f aca="false">SUMPRODUCT((FC_Clase="Administración")*FC_O*((FC_Mon="PYG")*Q$19+(FC_Mon&lt;&gt;"PYG"))*(1+FC_g)^(Q$17-1)*((FC_Desde=0)*(Q$16+Q$15)+(FC_Desde&gt;=1)*(Q$14&gt;=FC_Desde)*Q$15))</f>
        <v>22893.5857534247</v>
      </c>
      <c r="R87" s="48" t="n">
        <f aca="false">SUMPRODUCT((FC_Clase="Administración")*FC_O*((FC_Mon="PYG")*R$19+(FC_Mon&lt;&gt;"PYG"))*(1+FC_g)^(R$17-1)*((FC_Desde=0)*(R$16+R$15)+(FC_Desde&gt;=1)*(R$14&gt;=FC_Desde)*R$15))</f>
        <v>23426.9557534247</v>
      </c>
      <c r="S87" s="48" t="n">
        <f aca="false">SUMPRODUCT((FC_Clase="Administración")*FC_O*((FC_Mon="PYG")*S$19+(FC_Mon&lt;&gt;"PYG"))*(1+FC_g)^(S$17-1)*((FC_Desde=0)*(S$16+S$15)+(FC_Desde&gt;=1)*(S$14&gt;=FC_Desde)*S$15))</f>
        <v>23426.9557534247</v>
      </c>
      <c r="T87" s="48" t="n">
        <f aca="false">SUMPRODUCT((FC_Clase="Administración")*FC_O*((FC_Mon="PYG")*T$19+(FC_Mon&lt;&gt;"PYG"))*(1+FC_g)^(T$17-1)*((FC_Desde=0)*(T$16+T$15)+(FC_Desde&gt;=1)*(T$14&gt;=FC_Desde)*T$15))</f>
        <v>23426.9557534247</v>
      </c>
      <c r="U87" s="48" t="n">
        <f aca="false">SUMPRODUCT((FC_Clase="Administración")*FC_O*((FC_Mon="PYG")*U$19+(FC_Mon&lt;&gt;"PYG"))*(1+FC_g)^(U$17-1)*((FC_Desde=0)*(U$16+U$15)+(FC_Desde&gt;=1)*(U$14&gt;=FC_Desde)*U$15))</f>
        <v>23426.9557534247</v>
      </c>
      <c r="V87" s="48" t="n">
        <f aca="false">SUMPRODUCT((FC_Clase="Administración")*FC_O*((FC_Mon="PYG")*V$19+(FC_Mon&lt;&gt;"PYG"))*(1+FC_g)^(V$17-1)*((FC_Desde=0)*(V$16+V$15)+(FC_Desde&gt;=1)*(V$14&gt;=FC_Desde)*V$15))</f>
        <v>23426.9557534247</v>
      </c>
      <c r="W87" s="48" t="n">
        <f aca="false">SUMPRODUCT((FC_Clase="Administración")*FC_O*((FC_Mon="PYG")*W$19+(FC_Mon&lt;&gt;"PYG"))*(1+FC_g)^(W$17-1)*((FC_Desde=0)*(W$16+W$15)+(FC_Desde&gt;=1)*(W$14&gt;=FC_Desde)*W$15))</f>
        <v>23426.9557534247</v>
      </c>
      <c r="X87" s="48" t="n">
        <f aca="false">SUMPRODUCT((FC_Clase="Administración")*FC_O*((FC_Mon="PYG")*X$19+(FC_Mon&lt;&gt;"PYG"))*(1+FC_g)^(X$17-1)*((FC_Desde=0)*(X$16+X$15)+(FC_Desde&gt;=1)*(X$14&gt;=FC_Desde)*X$15))</f>
        <v>23426.9557534247</v>
      </c>
      <c r="Y87" s="48" t="n">
        <f aca="false">SUMPRODUCT((FC_Clase="Administración")*FC_O*((FC_Mon="PYG")*Y$19+(FC_Mon&lt;&gt;"PYG"))*(1+FC_g)^(Y$17-1)*((FC_Desde=0)*(Y$16+Y$15)+(FC_Desde&gt;=1)*(Y$14&gt;=FC_Desde)*Y$15))</f>
        <v>23426.9557534247</v>
      </c>
      <c r="Z87" s="48" t="n">
        <f aca="false">SUMPRODUCT((FC_Clase="Administración")*FC_O*((FC_Mon="PYG")*Z$19+(FC_Mon&lt;&gt;"PYG"))*(1+FC_g)^(Z$17-1)*((FC_Desde=0)*(Z$16+Z$15)+(FC_Desde&gt;=1)*(Z$14&gt;=FC_Desde)*Z$15))</f>
        <v>23426.9557534247</v>
      </c>
      <c r="AA87" s="48" t="n">
        <f aca="false">SUMPRODUCT((FC_Clase="Administración")*FC_O*((FC_Mon="PYG")*AA$19+(FC_Mon&lt;&gt;"PYG"))*(1+FC_g)^(AA$17-1)*((FC_Desde=0)*(AA$16+AA$15)+(FC_Desde&gt;=1)*(AA$14&gt;=FC_Desde)*AA$15))</f>
        <v>23426.9557534247</v>
      </c>
      <c r="AB87" s="48" t="n">
        <f aca="false">SUMPRODUCT((FC_Clase="Administración")*FC_O*((FC_Mon="PYG")*AB$19+(FC_Mon&lt;&gt;"PYG"))*(1+FC_g)^(AB$17-1)*((FC_Desde=0)*(AB$16+AB$15)+(FC_Desde&gt;=1)*(AB$14&gt;=FC_Desde)*AB$15))</f>
        <v>23426.9557534247</v>
      </c>
      <c r="AC87" s="48" t="n">
        <f aca="false">SUMPRODUCT((FC_Clase="Administración")*FC_O*((FC_Mon="PYG")*AC$19+(FC_Mon&lt;&gt;"PYG"))*(1+FC_g)^(AC$17-1)*((FC_Desde=0)*(AC$16+AC$15)+(FC_Desde&gt;=1)*(AC$14&gt;=FC_Desde)*AC$15))</f>
        <v>23426.9557534247</v>
      </c>
      <c r="AD87" s="48" t="n">
        <f aca="false">SUMPRODUCT((FC_Clase="Administración")*FC_O*((FC_Mon="PYG")*AD$19+(FC_Mon&lt;&gt;"PYG"))*(1+FC_g)^(AD$17-1)*((FC_Desde=0)*(AD$16+AD$15)+(FC_Desde&gt;=1)*(AD$14&gt;=FC_Desde)*AD$15))</f>
        <v>23976.3268534247</v>
      </c>
      <c r="AE87" s="48" t="n">
        <f aca="false">SUMPRODUCT((FC_Clase="Administración")*FC_O*((FC_Mon="PYG")*AE$19+(FC_Mon&lt;&gt;"PYG"))*(1+FC_g)^(AE$17-1)*((FC_Desde=0)*(AE$16+AE$15)+(FC_Desde&gt;=1)*(AE$14&gt;=FC_Desde)*AE$15))</f>
        <v>23976.3268534247</v>
      </c>
      <c r="AF87" s="48" t="n">
        <f aca="false">SUMPRODUCT((FC_Clase="Administración")*FC_O*((FC_Mon="PYG")*AF$19+(FC_Mon&lt;&gt;"PYG"))*(1+FC_g)^(AF$17-1)*((FC_Desde=0)*(AF$16+AF$15)+(FC_Desde&gt;=1)*(AF$14&gt;=FC_Desde)*AF$15))</f>
        <v>23976.3268534247</v>
      </c>
      <c r="AG87" s="48" t="n">
        <f aca="false">SUMPRODUCT((FC_Clase="Administración")*FC_O*((FC_Mon="PYG")*AG$19+(FC_Mon&lt;&gt;"PYG"))*(1+FC_g)^(AG$17-1)*((FC_Desde=0)*(AG$16+AG$15)+(FC_Desde&gt;=1)*(AG$14&gt;=FC_Desde)*AG$15))</f>
        <v>23976.3268534247</v>
      </c>
      <c r="AH87" s="48" t="n">
        <f aca="false">SUMPRODUCT((FC_Clase="Administración")*FC_O*((FC_Mon="PYG")*AH$19+(FC_Mon&lt;&gt;"PYG"))*(1+FC_g)^(AH$17-1)*((FC_Desde=0)*(AH$16+AH$15)+(FC_Desde&gt;=1)*(AH$14&gt;=FC_Desde)*AH$15))</f>
        <v>23976.3268534247</v>
      </c>
      <c r="AI87" s="48" t="n">
        <f aca="false">SUMPRODUCT((FC_Clase="Administración")*FC_O*((FC_Mon="PYG")*AI$19+(FC_Mon&lt;&gt;"PYG"))*(1+FC_g)^(AI$17-1)*((FC_Desde=0)*(AI$16+AI$15)+(FC_Desde&gt;=1)*(AI$14&gt;=FC_Desde)*AI$15))</f>
        <v>23976.3268534247</v>
      </c>
      <c r="AJ87" s="48" t="n">
        <f aca="false">SUMPRODUCT((FC_Clase="Administración")*FC_O*((FC_Mon="PYG")*AJ$19+(FC_Mon&lt;&gt;"PYG"))*(1+FC_g)^(AJ$17-1)*((FC_Desde=0)*(AJ$16+AJ$15)+(FC_Desde&gt;=1)*(AJ$14&gt;=FC_Desde)*AJ$15))</f>
        <v>23976.3268534247</v>
      </c>
      <c r="AK87" s="48" t="n">
        <f aca="false">SUMPRODUCT((FC_Clase="Administración")*FC_O*((FC_Mon="PYG")*AK$19+(FC_Mon&lt;&gt;"PYG"))*(1+FC_g)^(AK$17-1)*((FC_Desde=0)*(AK$16+AK$15)+(FC_Desde&gt;=1)*(AK$14&gt;=FC_Desde)*AK$15))</f>
        <v>23976.3268534247</v>
      </c>
      <c r="AL87" s="48" t="n">
        <f aca="false">SUMPRODUCT((FC_Clase="Administración")*FC_O*((FC_Mon="PYG")*AL$19+(FC_Mon&lt;&gt;"PYG"))*(1+FC_g)^(AL$17-1)*((FC_Desde=0)*(AL$16+AL$15)+(FC_Desde&gt;=1)*(AL$14&gt;=FC_Desde)*AL$15))</f>
        <v>23976.3268534247</v>
      </c>
      <c r="AM87" s="48" t="n">
        <f aca="false">SUMPRODUCT((FC_Clase="Administración")*FC_O*((FC_Mon="PYG")*AM$19+(FC_Mon&lt;&gt;"PYG"))*(1+FC_g)^(AM$17-1)*((FC_Desde=0)*(AM$16+AM$15)+(FC_Desde&gt;=1)*(AM$14&gt;=FC_Desde)*AM$15))</f>
        <v>23976.3268534247</v>
      </c>
      <c r="AN87" s="48" t="n">
        <f aca="false">SUMPRODUCT((FC_Clase="Administración")*FC_O*((FC_Mon="PYG")*AN$19+(FC_Mon&lt;&gt;"PYG"))*(1+FC_g)^(AN$17-1)*((FC_Desde=0)*(AN$16+AN$15)+(FC_Desde&gt;=1)*(AN$14&gt;=FC_Desde)*AN$15))</f>
        <v>23976.3268534247</v>
      </c>
      <c r="AO87" s="48" t="n">
        <f aca="false">SUMPRODUCT((FC_Clase="Administración")*FC_O*((FC_Mon="PYG")*AO$19+(FC_Mon&lt;&gt;"PYG"))*(1+FC_g)^(AO$17-1)*((FC_Desde=0)*(AO$16+AO$15)+(FC_Desde&gt;=1)*(AO$14&gt;=FC_Desde)*AO$15))</f>
        <v>23976.3268534247</v>
      </c>
      <c r="AP87" s="48" t="n">
        <f aca="false">SUMPRODUCT((FC_Clase="Administración")*FC_O*((FC_Mon="PYG")*AP$19+(FC_Mon&lt;&gt;"PYG"))*(1+FC_g)^(AP$17-1)*((FC_Desde=0)*(AP$16+AP$15)+(FC_Desde&gt;=1)*(AP$14&gt;=FC_Desde)*AP$15))</f>
        <v>24542.1790864247</v>
      </c>
      <c r="AQ87" s="48" t="n">
        <f aca="false">SUMPRODUCT((FC_Clase="Administración")*FC_O*((FC_Mon="PYG")*AQ$19+(FC_Mon&lt;&gt;"PYG"))*(1+FC_g)^(AQ$17-1)*((FC_Desde=0)*(AQ$16+AQ$15)+(FC_Desde&gt;=1)*(AQ$14&gt;=FC_Desde)*AQ$15))</f>
        <v>24542.1790864247</v>
      </c>
      <c r="AR87" s="48" t="n">
        <f aca="false">SUMPRODUCT((FC_Clase="Administración")*FC_O*((FC_Mon="PYG")*AR$19+(FC_Mon&lt;&gt;"PYG"))*(1+FC_g)^(AR$17-1)*((FC_Desde=0)*(AR$16+AR$15)+(FC_Desde&gt;=1)*(AR$14&gt;=FC_Desde)*AR$15))</f>
        <v>24542.1790864247</v>
      </c>
      <c r="AS87" s="48" t="n">
        <f aca="false">SUMPRODUCT((FC_Clase="Administración")*FC_O*((FC_Mon="PYG")*AS$19+(FC_Mon&lt;&gt;"PYG"))*(1+FC_g)^(AS$17-1)*((FC_Desde=0)*(AS$16+AS$15)+(FC_Desde&gt;=1)*(AS$14&gt;=FC_Desde)*AS$15))</f>
        <v>24542.1790864247</v>
      </c>
      <c r="AT87" s="48" t="n">
        <f aca="false">SUMPRODUCT((FC_Clase="Administración")*FC_O*((FC_Mon="PYG")*AT$19+(FC_Mon&lt;&gt;"PYG"))*(1+FC_g)^(AT$17-1)*((FC_Desde=0)*(AT$16+AT$15)+(FC_Desde&gt;=1)*(AT$14&gt;=FC_Desde)*AT$15))</f>
        <v>24542.1790864247</v>
      </c>
      <c r="AU87" s="48" t="n">
        <f aca="false">SUMPRODUCT((FC_Clase="Administración")*FC_O*((FC_Mon="PYG")*AU$19+(FC_Mon&lt;&gt;"PYG"))*(1+FC_g)^(AU$17-1)*((FC_Desde=0)*(AU$16+AU$15)+(FC_Desde&gt;=1)*(AU$14&gt;=FC_Desde)*AU$15))</f>
        <v>24542.1790864247</v>
      </c>
      <c r="AV87" s="48" t="n">
        <f aca="false">SUMPRODUCT((FC_Clase="Administración")*FC_O*((FC_Mon="PYG")*AV$19+(FC_Mon&lt;&gt;"PYG"))*(1+FC_g)^(AV$17-1)*((FC_Desde=0)*(AV$16+AV$15)+(FC_Desde&gt;=1)*(AV$14&gt;=FC_Desde)*AV$15))</f>
        <v>24542.1790864247</v>
      </c>
      <c r="AW87" s="48" t="n">
        <f aca="false">SUMPRODUCT((FC_Clase="Administración")*FC_O*((FC_Mon="PYG")*AW$19+(FC_Mon&lt;&gt;"PYG"))*(1+FC_g)^(AW$17-1)*((FC_Desde=0)*(AW$16+AW$15)+(FC_Desde&gt;=1)*(AW$14&gt;=FC_Desde)*AW$15))</f>
        <v>24542.1790864247</v>
      </c>
      <c r="AX87" s="48" t="n">
        <f aca="false">SUMPRODUCT((FC_Clase="Administración")*FC_O*((FC_Mon="PYG")*AX$19+(FC_Mon&lt;&gt;"PYG"))*(1+FC_g)^(AX$17-1)*((FC_Desde=0)*(AX$16+AX$15)+(FC_Desde&gt;=1)*(AX$14&gt;=FC_Desde)*AX$15))</f>
        <v>24542.1790864247</v>
      </c>
      <c r="AY87" s="48" t="n">
        <f aca="false">SUMPRODUCT((FC_Clase="Administración")*FC_O*((FC_Mon="PYG")*AY$19+(FC_Mon&lt;&gt;"PYG"))*(1+FC_g)^(AY$17-1)*((FC_Desde=0)*(AY$16+AY$15)+(FC_Desde&gt;=1)*(AY$14&gt;=FC_Desde)*AY$15))</f>
        <v>24542.1790864247</v>
      </c>
      <c r="AZ87" s="48" t="n">
        <f aca="false">SUMPRODUCT((FC_Clase="Administración")*FC_O*((FC_Mon="PYG")*AZ$19+(FC_Mon&lt;&gt;"PYG"))*(1+FC_g)^(AZ$17-1)*((FC_Desde=0)*(AZ$16+AZ$15)+(FC_Desde&gt;=1)*(AZ$14&gt;=FC_Desde)*AZ$15))</f>
        <v>24542.1790864247</v>
      </c>
      <c r="BA87" s="48" t="n">
        <f aca="false">SUMPRODUCT((FC_Clase="Administración")*FC_O*((FC_Mon="PYG")*BA$19+(FC_Mon&lt;&gt;"PYG"))*(1+FC_g)^(BA$17-1)*((FC_Desde=0)*(BA$16+BA$15)+(FC_Desde&gt;=1)*(BA$14&gt;=FC_Desde)*BA$15))</f>
        <v>24542.1790864247</v>
      </c>
      <c r="BB87" s="48" t="n">
        <f aca="false">SUMPRODUCT((FC_Clase="Administración")*FC_O*((FC_Mon="PYG")*BB$19+(FC_Mon&lt;&gt;"PYG"))*(1+FC_g)^(BB$17-1)*((FC_Desde=0)*(BB$16+BB$15)+(FC_Desde&gt;=1)*(BB$14&gt;=FC_Desde)*BB$15))</f>
        <v>25125.0068864147</v>
      </c>
      <c r="BC87" s="48" t="n">
        <f aca="false">SUMPRODUCT((FC_Clase="Administración")*FC_O*((FC_Mon="PYG")*BC$19+(FC_Mon&lt;&gt;"PYG"))*(1+FC_g)^(BC$17-1)*((FC_Desde=0)*(BC$16+BC$15)+(FC_Desde&gt;=1)*(BC$14&gt;=FC_Desde)*BC$15))</f>
        <v>25125.0068864147</v>
      </c>
      <c r="BD87" s="48" t="n">
        <f aca="false">SUMPRODUCT((FC_Clase="Administración")*FC_O*((FC_Mon="PYG")*BD$19+(FC_Mon&lt;&gt;"PYG"))*(1+FC_g)^(BD$17-1)*((FC_Desde=0)*(BD$16+BD$15)+(FC_Desde&gt;=1)*(BD$14&gt;=FC_Desde)*BD$15))</f>
        <v>25125.0068864147</v>
      </c>
      <c r="BE87" s="48" t="n">
        <f aca="false">SUMPRODUCT((FC_Clase="Administración")*FC_O*((FC_Mon="PYG")*BE$19+(FC_Mon&lt;&gt;"PYG"))*(1+FC_g)^(BE$17-1)*((FC_Desde=0)*(BE$16+BE$15)+(FC_Desde&gt;=1)*(BE$14&gt;=FC_Desde)*BE$15))</f>
        <v>25125.0068864147</v>
      </c>
      <c r="BF87" s="48" t="n">
        <f aca="false">SUMPRODUCT((FC_Clase="Administración")*FC_O*((FC_Mon="PYG")*BF$19+(FC_Mon&lt;&gt;"PYG"))*(1+FC_g)^(BF$17-1)*((FC_Desde=0)*(BF$16+BF$15)+(FC_Desde&gt;=1)*(BF$14&gt;=FC_Desde)*BF$15))</f>
        <v>25125.0068864147</v>
      </c>
      <c r="BG87" s="48" t="n">
        <f aca="false">SUMPRODUCT((FC_Clase="Administración")*FC_O*((FC_Mon="PYG")*BG$19+(FC_Mon&lt;&gt;"PYG"))*(1+FC_g)^(BG$17-1)*((FC_Desde=0)*(BG$16+BG$15)+(FC_Desde&gt;=1)*(BG$14&gt;=FC_Desde)*BG$15))</f>
        <v>25125.0068864147</v>
      </c>
      <c r="BH87" s="48" t="n">
        <f aca="false">SUMPRODUCT((FC_Clase="Administración")*FC_O*((FC_Mon="PYG")*BH$19+(FC_Mon&lt;&gt;"PYG"))*(1+FC_g)^(BH$17-1)*((FC_Desde=0)*(BH$16+BH$15)+(FC_Desde&gt;=1)*(BH$14&gt;=FC_Desde)*BH$15))</f>
        <v>25125.0068864147</v>
      </c>
      <c r="BI87" s="48" t="n">
        <f aca="false">SUMPRODUCT((FC_Clase="Administración")*FC_O*((FC_Mon="PYG")*BI$19+(FC_Mon&lt;&gt;"PYG"))*(1+FC_g)^(BI$17-1)*((FC_Desde=0)*(BI$16+BI$15)+(FC_Desde&gt;=1)*(BI$14&gt;=FC_Desde)*BI$15))</f>
        <v>25125.0068864147</v>
      </c>
      <c r="BJ87" s="48" t="n">
        <f aca="false">SUMPRODUCT((FC_Clase="Administración")*FC_O*((FC_Mon="PYG")*BJ$19+(FC_Mon&lt;&gt;"PYG"))*(1+FC_g)^(BJ$17-1)*((FC_Desde=0)*(BJ$16+BJ$15)+(FC_Desde&gt;=1)*(BJ$14&gt;=FC_Desde)*BJ$15))</f>
        <v>25125.0068864147</v>
      </c>
      <c r="BK87" s="48" t="n">
        <f aca="false">SUMPRODUCT((FC_Clase="Administración")*FC_O*((FC_Mon="PYG")*BK$19+(FC_Mon&lt;&gt;"PYG"))*(1+FC_g)^(BK$17-1)*((FC_Desde=0)*(BK$16+BK$15)+(FC_Desde&gt;=1)*(BK$14&gt;=FC_Desde)*BK$15))</f>
        <v>25125.0068864147</v>
      </c>
      <c r="BL87" s="48" t="n">
        <f aca="false">SUMPRODUCT((FC_Clase="Administración")*FC_O*((FC_Mon="PYG")*BL$19+(FC_Mon&lt;&gt;"PYG"))*(1+FC_g)^(BL$17-1)*((FC_Desde=0)*(BL$16+BL$15)+(FC_Desde&gt;=1)*(BL$14&gt;=FC_Desde)*BL$15))</f>
        <v>25125.0068864147</v>
      </c>
      <c r="BM87" s="48" t="n">
        <f aca="false">SUMPRODUCT((FC_Clase="Administración")*FC_O*((FC_Mon="PYG")*BM$19+(FC_Mon&lt;&gt;"PYG"))*(1+FC_g)^(BM$17-1)*((FC_Desde=0)*(BM$16+BM$15)+(FC_Desde&gt;=1)*(BM$14&gt;=FC_Desde)*BM$15))</f>
        <v>25125.0068864147</v>
      </c>
      <c r="BN87" s="48" t="n">
        <f aca="false">SUMPRODUCT((FC_Clase="Administración")*FC_O*((FC_Mon="PYG")*BN$19+(FC_Mon&lt;&gt;"PYG"))*(1+FC_g)^(BN$17-1)*((FC_Desde=0)*(BN$16+BN$15)+(FC_Desde&gt;=1)*(BN$14&gt;=FC_Desde)*BN$15))</f>
        <v>25725.3195204044</v>
      </c>
      <c r="BO87" s="48" t="n">
        <f aca="false">SUMPRODUCT((FC_Clase="Administración")*FC_O*((FC_Mon="PYG")*BO$19+(FC_Mon&lt;&gt;"PYG"))*(1+FC_g)^(BO$17-1)*((FC_Desde=0)*(BO$16+BO$15)+(FC_Desde&gt;=1)*(BO$14&gt;=FC_Desde)*BO$15))</f>
        <v>25725.3195204044</v>
      </c>
      <c r="BP87" s="48" t="n">
        <f aca="false">SUMPRODUCT((FC_Clase="Administración")*FC_O*((FC_Mon="PYG")*BP$19+(FC_Mon&lt;&gt;"PYG"))*(1+FC_g)^(BP$17-1)*((FC_Desde=0)*(BP$16+BP$15)+(FC_Desde&gt;=1)*(BP$14&gt;=FC_Desde)*BP$15))</f>
        <v>25725.3195204044</v>
      </c>
      <c r="BQ87" s="48" t="n">
        <f aca="false">SUMPRODUCT((FC_Clase="Administración")*FC_O*((FC_Mon="PYG")*BQ$19+(FC_Mon&lt;&gt;"PYG"))*(1+FC_g)^(BQ$17-1)*((FC_Desde=0)*(BQ$16+BQ$15)+(FC_Desde&gt;=1)*(BQ$14&gt;=FC_Desde)*BQ$15))</f>
        <v>25725.3195204044</v>
      </c>
      <c r="BR87" s="48" t="n">
        <f aca="false">SUMPRODUCT((FC_Clase="Administración")*FC_O*((FC_Mon="PYG")*BR$19+(FC_Mon&lt;&gt;"PYG"))*(1+FC_g)^(BR$17-1)*((FC_Desde=0)*(BR$16+BR$15)+(FC_Desde&gt;=1)*(BR$14&gt;=FC_Desde)*BR$15))</f>
        <v>25725.3195204044</v>
      </c>
      <c r="BS87" s="48" t="n">
        <f aca="false">SUMPRODUCT((FC_Clase="Administración")*FC_O*((FC_Mon="PYG")*BS$19+(FC_Mon&lt;&gt;"PYG"))*(1+FC_g)^(BS$17-1)*((FC_Desde=0)*(BS$16+BS$15)+(FC_Desde&gt;=1)*(BS$14&gt;=FC_Desde)*BS$15))</f>
        <v>25725.3195204044</v>
      </c>
      <c r="BT87" s="48" t="n">
        <f aca="false">SUMPRODUCT((FC_Clase="Administración")*FC_O*((FC_Mon="PYG")*BT$19+(FC_Mon&lt;&gt;"PYG"))*(1+FC_g)^(BT$17-1)*((FC_Desde=0)*(BT$16+BT$15)+(FC_Desde&gt;=1)*(BT$14&gt;=FC_Desde)*BT$15))</f>
        <v>25725.3195204044</v>
      </c>
      <c r="BU87" s="48" t="n">
        <f aca="false">SUMPRODUCT((FC_Clase="Administración")*FC_O*((FC_Mon="PYG")*BU$19+(FC_Mon&lt;&gt;"PYG"))*(1+FC_g)^(BU$17-1)*((FC_Desde=0)*(BU$16+BU$15)+(FC_Desde&gt;=1)*(BU$14&gt;=FC_Desde)*BU$15))</f>
        <v>25725.3195204044</v>
      </c>
      <c r="BV87" s="48" t="n">
        <f aca="false">SUMPRODUCT((FC_Clase="Administración")*FC_O*((FC_Mon="PYG")*BV$19+(FC_Mon&lt;&gt;"PYG"))*(1+FC_g)^(BV$17-1)*((FC_Desde=0)*(BV$16+BV$15)+(FC_Desde&gt;=1)*(BV$14&gt;=FC_Desde)*BV$15))</f>
        <v>25725.3195204044</v>
      </c>
      <c r="BW87" s="48" t="n">
        <f aca="false">SUMPRODUCT((FC_Clase="Administración")*FC_O*((FC_Mon="PYG")*BW$19+(FC_Mon&lt;&gt;"PYG"))*(1+FC_g)^(BW$17-1)*((FC_Desde=0)*(BW$16+BW$15)+(FC_Desde&gt;=1)*(BW$14&gt;=FC_Desde)*BW$15))</f>
        <v>25725.3195204044</v>
      </c>
      <c r="BX87" s="48" t="n">
        <f aca="false">SUMPRODUCT((FC_Clase="Administración")*FC_O*((FC_Mon="PYG")*BX$19+(FC_Mon&lt;&gt;"PYG"))*(1+FC_g)^(BX$17-1)*((FC_Desde=0)*(BX$16+BX$15)+(FC_Desde&gt;=1)*(BX$14&gt;=FC_Desde)*BX$15))</f>
        <v>25725.3195204044</v>
      </c>
      <c r="BY87" s="48" t="n">
        <f aca="false">SUMPRODUCT((FC_Clase="Administración")*FC_O*((FC_Mon="PYG")*BY$19+(FC_Mon&lt;&gt;"PYG"))*(1+FC_g)^(BY$17-1)*((FC_Desde=0)*(BY$16+BY$15)+(FC_Desde&gt;=1)*(BY$14&gt;=FC_Desde)*BY$15))</f>
        <v>25725.3195204044</v>
      </c>
      <c r="BZ87" s="48" t="n">
        <f aca="false">SUMPRODUCT((FC_Clase="Administración")*FC_O*((FC_Mon="PYG")*BZ$19+(FC_Mon&lt;&gt;"PYG"))*(1+FC_g)^(BZ$17-1)*((FC_Desde=0)*(BZ$16+BZ$15)+(FC_Desde&gt;=1)*(BZ$14&gt;=FC_Desde)*BZ$15))</f>
        <v>26343.6415334138</v>
      </c>
      <c r="CA87" s="48" t="n">
        <f aca="false">SUMPRODUCT((FC_Clase="Administración")*FC_O*((FC_Mon="PYG")*CA$19+(FC_Mon&lt;&gt;"PYG"))*(1+FC_g)^(CA$17-1)*((FC_Desde=0)*(CA$16+CA$15)+(FC_Desde&gt;=1)*(CA$14&gt;=FC_Desde)*CA$15))</f>
        <v>26343.6415334138</v>
      </c>
      <c r="CB87" s="48" t="n">
        <f aca="false">SUMPRODUCT((FC_Clase="Administración")*FC_O*((FC_Mon="PYG")*CB$19+(FC_Mon&lt;&gt;"PYG"))*(1+FC_g)^(CB$17-1)*((FC_Desde=0)*(CB$16+CB$15)+(FC_Desde&gt;=1)*(CB$14&gt;=FC_Desde)*CB$15))</f>
        <v>26343.6415334138</v>
      </c>
      <c r="CC87" s="48" t="n">
        <f aca="false">SUMPRODUCT((FC_Clase="Administración")*FC_O*((FC_Mon="PYG")*CC$19+(FC_Mon&lt;&gt;"PYG"))*(1+FC_g)^(CC$17-1)*((FC_Desde=0)*(CC$16+CC$15)+(FC_Desde&gt;=1)*(CC$14&gt;=FC_Desde)*CC$15))</f>
        <v>26343.6415334138</v>
      </c>
      <c r="CD87" s="48" t="n">
        <f aca="false">SUMPRODUCT((FC_Clase="Administración")*FC_O*((FC_Mon="PYG")*CD$19+(FC_Mon&lt;&gt;"PYG"))*(1+FC_g)^(CD$17-1)*((FC_Desde=0)*(CD$16+CD$15)+(FC_Desde&gt;=1)*(CD$14&gt;=FC_Desde)*CD$15))</f>
        <v>26343.6415334138</v>
      </c>
      <c r="CE87" s="48" t="n">
        <f aca="false">SUMPRODUCT((FC_Clase="Administración")*FC_O*((FC_Mon="PYG")*CE$19+(FC_Mon&lt;&gt;"PYG"))*(1+FC_g)^(CE$17-1)*((FC_Desde=0)*(CE$16+CE$15)+(FC_Desde&gt;=1)*(CE$14&gt;=FC_Desde)*CE$15))</f>
        <v>26343.6415334138</v>
      </c>
      <c r="CF87" s="48" t="n">
        <f aca="false">SUMPRODUCT((FC_Clase="Administración")*FC_O*((FC_Mon="PYG")*CF$19+(FC_Mon&lt;&gt;"PYG"))*(1+FC_g)^(CF$17-1)*((FC_Desde=0)*(CF$16+CF$15)+(FC_Desde&gt;=1)*(CF$14&gt;=FC_Desde)*CF$15))</f>
        <v>26343.6415334138</v>
      </c>
      <c r="CG87" s="48" t="n">
        <f aca="false">SUMPRODUCT((FC_Clase="Administración")*FC_O*((FC_Mon="PYG")*CG$19+(FC_Mon&lt;&gt;"PYG"))*(1+FC_g)^(CG$17-1)*((FC_Desde=0)*(CG$16+CG$15)+(FC_Desde&gt;=1)*(CG$14&gt;=FC_Desde)*CG$15))</f>
        <v>26343.6415334138</v>
      </c>
      <c r="CH87" s="48" t="n">
        <f aca="false">SUMPRODUCT((FC_Clase="Administración")*FC_O*((FC_Mon="PYG")*CH$19+(FC_Mon&lt;&gt;"PYG"))*(1+FC_g)^(CH$17-1)*((FC_Desde=0)*(CH$16+CH$15)+(FC_Desde&gt;=1)*(CH$14&gt;=FC_Desde)*CH$15))</f>
        <v>26343.6415334138</v>
      </c>
      <c r="CI87" s="48" t="n">
        <f aca="false">SUMPRODUCT((FC_Clase="Administración")*FC_O*((FC_Mon="PYG")*CI$19+(FC_Mon&lt;&gt;"PYG"))*(1+FC_g)^(CI$17-1)*((FC_Desde=0)*(CI$16+CI$15)+(FC_Desde&gt;=1)*(CI$14&gt;=FC_Desde)*CI$15))</f>
        <v>26343.6415334138</v>
      </c>
      <c r="CJ87" s="48" t="n">
        <f aca="false">SUMPRODUCT((FC_Clase="Administración")*FC_O*((FC_Mon="PYG")*CJ$19+(FC_Mon&lt;&gt;"PYG"))*(1+FC_g)^(CJ$17-1)*((FC_Desde=0)*(CJ$16+CJ$15)+(FC_Desde&gt;=1)*(CJ$14&gt;=FC_Desde)*CJ$15))</f>
        <v>26343.6415334138</v>
      </c>
      <c r="CK87" s="48" t="n">
        <f aca="false">SUMPRODUCT((FC_Clase="Administración")*FC_O*((FC_Mon="PYG")*CK$19+(FC_Mon&lt;&gt;"PYG"))*(1+FC_g)^(CK$17-1)*((FC_Desde=0)*(CK$16+CK$15)+(FC_Desde&gt;=1)*(CK$14&gt;=FC_Desde)*CK$15))</f>
        <v>26343.6415334138</v>
      </c>
      <c r="CL87" s="48" t="n">
        <f aca="false">SUMPRODUCT((FC_Clase="Administración")*FC_O*((FC_Mon="PYG")*CL$19+(FC_Mon&lt;&gt;"PYG"))*(1+FC_g)^(CL$17-1)*((FC_Desde=0)*(CL$16+CL$15)+(FC_Desde&gt;=1)*(CL$14&gt;=FC_Desde)*CL$15))</f>
        <v>26980.5132068134</v>
      </c>
      <c r="CM87" s="48" t="n">
        <f aca="false">SUMPRODUCT((FC_Clase="Administración")*FC_O*((FC_Mon="PYG")*CM$19+(FC_Mon&lt;&gt;"PYG"))*(1+FC_g)^(CM$17-1)*((FC_Desde=0)*(CM$16+CM$15)+(FC_Desde&gt;=1)*(CM$14&gt;=FC_Desde)*CM$15))</f>
        <v>26980.5132068134</v>
      </c>
      <c r="CN87" s="48" t="n">
        <f aca="false">SUMPRODUCT((FC_Clase="Administración")*FC_O*((FC_Mon="PYG")*CN$19+(FC_Mon&lt;&gt;"PYG"))*(1+FC_g)^(CN$17-1)*((FC_Desde=0)*(CN$16+CN$15)+(FC_Desde&gt;=1)*(CN$14&gt;=FC_Desde)*CN$15))</f>
        <v>26980.5132068134</v>
      </c>
      <c r="CO87" s="48" t="n">
        <f aca="false">SUMPRODUCT((FC_Clase="Administración")*FC_O*((FC_Mon="PYG")*CO$19+(FC_Mon&lt;&gt;"PYG"))*(1+FC_g)^(CO$17-1)*((FC_Desde=0)*(CO$16+CO$15)+(FC_Desde&gt;=1)*(CO$14&gt;=FC_Desde)*CO$15))</f>
        <v>26980.5132068134</v>
      </c>
      <c r="CP87" s="48" t="n">
        <f aca="false">SUMPRODUCT((FC_Clase="Administración")*FC_O*((FC_Mon="PYG")*CP$19+(FC_Mon&lt;&gt;"PYG"))*(1+FC_g)^(CP$17-1)*((FC_Desde=0)*(CP$16+CP$15)+(FC_Desde&gt;=1)*(CP$14&gt;=FC_Desde)*CP$15))</f>
        <v>26980.5132068134</v>
      </c>
      <c r="CQ87" s="48" t="n">
        <f aca="false">SUMPRODUCT((FC_Clase="Administración")*FC_O*((FC_Mon="PYG")*CQ$19+(FC_Mon&lt;&gt;"PYG"))*(1+FC_g)^(CQ$17-1)*((FC_Desde=0)*(CQ$16+CQ$15)+(FC_Desde&gt;=1)*(CQ$14&gt;=FC_Desde)*CQ$15))</f>
        <v>26980.5132068134</v>
      </c>
      <c r="CR87" s="48" t="n">
        <f aca="false">SUMPRODUCT((FC_Clase="Administración")*FC_O*((FC_Mon="PYG")*CR$19+(FC_Mon&lt;&gt;"PYG"))*(1+FC_g)^(CR$17-1)*((FC_Desde=0)*(CR$16+CR$15)+(FC_Desde&gt;=1)*(CR$14&gt;=FC_Desde)*CR$15))</f>
        <v>26980.5132068134</v>
      </c>
      <c r="CS87" s="48" t="n">
        <f aca="false">SUMPRODUCT((FC_Clase="Administración")*FC_O*((FC_Mon="PYG")*CS$19+(FC_Mon&lt;&gt;"PYG"))*(1+FC_g)^(CS$17-1)*((FC_Desde=0)*(CS$16+CS$15)+(FC_Desde&gt;=1)*(CS$14&gt;=FC_Desde)*CS$15))</f>
        <v>26980.5132068134</v>
      </c>
      <c r="CT87" s="48" t="n">
        <f aca="false">SUMPRODUCT((FC_Clase="Administración")*FC_O*((FC_Mon="PYG")*CT$19+(FC_Mon&lt;&gt;"PYG"))*(1+FC_g)^(CT$17-1)*((FC_Desde=0)*(CT$16+CT$15)+(FC_Desde&gt;=1)*(CT$14&gt;=FC_Desde)*CT$15))</f>
        <v>26980.5132068134</v>
      </c>
      <c r="CU87" s="48" t="n">
        <f aca="false">SUMPRODUCT((FC_Clase="Administración")*FC_O*((FC_Mon="PYG")*CU$19+(FC_Mon&lt;&gt;"PYG"))*(1+FC_g)^(CU$17-1)*((FC_Desde=0)*(CU$16+CU$15)+(FC_Desde&gt;=1)*(CU$14&gt;=FC_Desde)*CU$15))</f>
        <v>26980.5132068134</v>
      </c>
      <c r="CV87" s="48" t="n">
        <f aca="false">SUMPRODUCT((FC_Clase="Administración")*FC_O*((FC_Mon="PYG")*CV$19+(FC_Mon&lt;&gt;"PYG"))*(1+FC_g)^(CV$17-1)*((FC_Desde=0)*(CV$16+CV$15)+(FC_Desde&gt;=1)*(CV$14&gt;=FC_Desde)*CV$15))</f>
        <v>26980.5132068134</v>
      </c>
      <c r="CW87" s="48" t="n">
        <f aca="false">SUMPRODUCT((FC_Clase="Administración")*FC_O*((FC_Mon="PYG")*CW$19+(FC_Mon&lt;&gt;"PYG"))*(1+FC_g)^(CW$17-1)*((FC_Desde=0)*(CW$16+CW$15)+(FC_Desde&gt;=1)*(CW$14&gt;=FC_Desde)*CW$15))</f>
        <v>26980.5132068134</v>
      </c>
      <c r="CX87" s="48" t="n">
        <f aca="false">SUMPRODUCT((FC_Clase="Administración")*FC_O*((FC_Mon="PYG")*CX$19+(FC_Mon&lt;&gt;"PYG"))*(1+FC_g)^(CX$17-1)*((FC_Desde=0)*(CX$16+CX$15)+(FC_Desde&gt;=1)*(CX$14&gt;=FC_Desde)*CX$15))</f>
        <v>27636.4910304151</v>
      </c>
      <c r="CY87" s="48" t="n">
        <f aca="false">SUMPRODUCT((FC_Clase="Administración")*FC_O*((FC_Mon="PYG")*CY$19+(FC_Mon&lt;&gt;"PYG"))*(1+FC_g)^(CY$17-1)*((FC_Desde=0)*(CY$16+CY$15)+(FC_Desde&gt;=1)*(CY$14&gt;=FC_Desde)*CY$15))</f>
        <v>27636.4910304151</v>
      </c>
      <c r="CZ87" s="48" t="n">
        <f aca="false">SUMPRODUCT((FC_Clase="Administración")*FC_O*((FC_Mon="PYG")*CZ$19+(FC_Mon&lt;&gt;"PYG"))*(1+FC_g)^(CZ$17-1)*((FC_Desde=0)*(CZ$16+CZ$15)+(FC_Desde&gt;=1)*(CZ$14&gt;=FC_Desde)*CZ$15))</f>
        <v>27636.4910304151</v>
      </c>
      <c r="DA87" s="48" t="n">
        <f aca="false">SUMPRODUCT((FC_Clase="Administración")*FC_O*((FC_Mon="PYG")*DA$19+(FC_Mon&lt;&gt;"PYG"))*(1+FC_g)^(DA$17-1)*((FC_Desde=0)*(DA$16+DA$15)+(FC_Desde&gt;=1)*(DA$14&gt;=FC_Desde)*DA$15))</f>
        <v>27636.4910304151</v>
      </c>
      <c r="DB87" s="48" t="n">
        <f aca="false">SUMPRODUCT((FC_Clase="Administración")*FC_O*((FC_Mon="PYG")*DB$19+(FC_Mon&lt;&gt;"PYG"))*(1+FC_g)^(DB$17-1)*((FC_Desde=0)*(DB$16+DB$15)+(FC_Desde&gt;=1)*(DB$14&gt;=FC_Desde)*DB$15))</f>
        <v>27636.4910304151</v>
      </c>
      <c r="DC87" s="48" t="n">
        <f aca="false">SUMPRODUCT((FC_Clase="Administración")*FC_O*((FC_Mon="PYG")*DC$19+(FC_Mon&lt;&gt;"PYG"))*(1+FC_g)^(DC$17-1)*((FC_Desde=0)*(DC$16+DC$15)+(FC_Desde&gt;=1)*(DC$14&gt;=FC_Desde)*DC$15))</f>
        <v>27636.4910304151</v>
      </c>
      <c r="DD87" s="48" t="n">
        <f aca="false">SUMPRODUCT((FC_Clase="Administración")*FC_O*((FC_Mon="PYG")*DD$19+(FC_Mon&lt;&gt;"PYG"))*(1+FC_g)^(DD$17-1)*((FC_Desde=0)*(DD$16+DD$15)+(FC_Desde&gt;=1)*(DD$14&gt;=FC_Desde)*DD$15))</f>
        <v>27636.4910304151</v>
      </c>
      <c r="DE87" s="48" t="n">
        <f aca="false">SUMPRODUCT((FC_Clase="Administración")*FC_O*((FC_Mon="PYG")*DE$19+(FC_Mon&lt;&gt;"PYG"))*(1+FC_g)^(DE$17-1)*((FC_Desde=0)*(DE$16+DE$15)+(FC_Desde&gt;=1)*(DE$14&gt;=FC_Desde)*DE$15))</f>
        <v>27636.4910304151</v>
      </c>
      <c r="DF87" s="48" t="n">
        <f aca="false">SUMPRODUCT((FC_Clase="Administración")*FC_O*((FC_Mon="PYG")*DF$19+(FC_Mon&lt;&gt;"PYG"))*(1+FC_g)^(DF$17-1)*((FC_Desde=0)*(DF$16+DF$15)+(FC_Desde&gt;=1)*(DF$14&gt;=FC_Desde)*DF$15))</f>
        <v>27636.4910304151</v>
      </c>
      <c r="DG87" s="48" t="n">
        <f aca="false">SUMPRODUCT((FC_Clase="Administración")*FC_O*((FC_Mon="PYG")*DG$19+(FC_Mon&lt;&gt;"PYG"))*(1+FC_g)^(DG$17-1)*((FC_Desde=0)*(DG$16+DG$15)+(FC_Desde&gt;=1)*(DG$14&gt;=FC_Desde)*DG$15))</f>
        <v>27636.4910304151</v>
      </c>
      <c r="DH87" s="48" t="n">
        <f aca="false">SUMPRODUCT((FC_Clase="Administración")*FC_O*((FC_Mon="PYG")*DH$19+(FC_Mon&lt;&gt;"PYG"))*(1+FC_g)^(DH$17-1)*((FC_Desde=0)*(DH$16+DH$15)+(FC_Desde&gt;=1)*(DH$14&gt;=FC_Desde)*DH$15))</f>
        <v>27636.4910304151</v>
      </c>
      <c r="DI87" s="48" t="n">
        <f aca="false">SUMPRODUCT((FC_Clase="Administración")*FC_O*((FC_Mon="PYG")*DI$19+(FC_Mon&lt;&gt;"PYG"))*(1+FC_g)^(DI$17-1)*((FC_Desde=0)*(DI$16+DI$15)+(FC_Desde&gt;=1)*(DI$14&gt;=FC_Desde)*DI$15))</f>
        <v>27636.4910304151</v>
      </c>
      <c r="DJ87" s="48" t="n">
        <f aca="false">SUMPRODUCT((FC_Clase="Administración")*FC_O*((FC_Mon="PYG")*DJ$19+(FC_Mon&lt;&gt;"PYG"))*(1+FC_g)^(DJ$17-1)*((FC_Desde=0)*(DJ$16+DJ$15)+(FC_Desde&gt;=1)*(DJ$14&gt;=FC_Desde)*DJ$15))</f>
        <v>28312.1481887248</v>
      </c>
      <c r="DK87" s="48" t="n">
        <f aca="false">SUMPRODUCT((FC_Clase="Administración")*FC_O*((FC_Mon="PYG")*DK$19+(FC_Mon&lt;&gt;"PYG"))*(1+FC_g)^(DK$17-1)*((FC_Desde=0)*(DK$16+DK$15)+(FC_Desde&gt;=1)*(DK$14&gt;=FC_Desde)*DK$15))</f>
        <v>28312.1481887248</v>
      </c>
      <c r="DL87" s="48" t="n">
        <f aca="false">SUMPRODUCT((FC_Clase="Administración")*FC_O*((FC_Mon="PYG")*DL$19+(FC_Mon&lt;&gt;"PYG"))*(1+FC_g)^(DL$17-1)*((FC_Desde=0)*(DL$16+DL$15)+(FC_Desde&gt;=1)*(DL$14&gt;=FC_Desde)*DL$15))</f>
        <v>28312.1481887248</v>
      </c>
      <c r="DM87" s="48" t="n">
        <f aca="false">SUMPRODUCT((FC_Clase="Administración")*FC_O*((FC_Mon="PYG")*DM$19+(FC_Mon&lt;&gt;"PYG"))*(1+FC_g)^(DM$17-1)*((FC_Desde=0)*(DM$16+DM$15)+(FC_Desde&gt;=1)*(DM$14&gt;=FC_Desde)*DM$15))</f>
        <v>28312.1481887248</v>
      </c>
      <c r="DN87" s="48" t="n">
        <f aca="false">SUMPRODUCT((FC_Clase="Administración")*FC_O*((FC_Mon="PYG")*DN$19+(FC_Mon&lt;&gt;"PYG"))*(1+FC_g)^(DN$17-1)*((FC_Desde=0)*(DN$16+DN$15)+(FC_Desde&gt;=1)*(DN$14&gt;=FC_Desde)*DN$15))</f>
        <v>28312.1481887248</v>
      </c>
      <c r="DO87" s="48" t="n">
        <f aca="false">SUMPRODUCT((FC_Clase="Administración")*FC_O*((FC_Mon="PYG")*DO$19+(FC_Mon&lt;&gt;"PYG"))*(1+FC_g)^(DO$17-1)*((FC_Desde=0)*(DO$16+DO$15)+(FC_Desde&gt;=1)*(DO$14&gt;=FC_Desde)*DO$15))</f>
        <v>28312.1481887248</v>
      </c>
      <c r="DP87" s="48" t="n">
        <f aca="false">SUMPRODUCT((FC_Clase="Administración")*FC_O*((FC_Mon="PYG")*DP$19+(FC_Mon&lt;&gt;"PYG"))*(1+FC_g)^(DP$17-1)*((FC_Desde=0)*(DP$16+DP$15)+(FC_Desde&gt;=1)*(DP$14&gt;=FC_Desde)*DP$15))</f>
        <v>28312.1481887248</v>
      </c>
      <c r="DQ87" s="48" t="n">
        <f aca="false">SUMPRODUCT((FC_Clase="Administración")*FC_O*((FC_Mon="PYG")*DQ$19+(FC_Mon&lt;&gt;"PYG"))*(1+FC_g)^(DQ$17-1)*((FC_Desde=0)*(DQ$16+DQ$15)+(FC_Desde&gt;=1)*(DQ$14&gt;=FC_Desde)*DQ$15))</f>
        <v>28312.1481887248</v>
      </c>
      <c r="DR87" s="48" t="n">
        <f aca="false">SUMPRODUCT((FC_Clase="Administración")*FC_O*((FC_Mon="PYG")*DR$19+(FC_Mon&lt;&gt;"PYG"))*(1+FC_g)^(DR$17-1)*((FC_Desde=0)*(DR$16+DR$15)+(FC_Desde&gt;=1)*(DR$14&gt;=FC_Desde)*DR$15))</f>
        <v>28312.1481887248</v>
      </c>
      <c r="DS87" s="48" t="n">
        <f aca="false">SUMPRODUCT((FC_Clase="Administración")*FC_O*((FC_Mon="PYG")*DS$19+(FC_Mon&lt;&gt;"PYG"))*(1+FC_g)^(DS$17-1)*((FC_Desde=0)*(DS$16+DS$15)+(FC_Desde&gt;=1)*(DS$14&gt;=FC_Desde)*DS$15))</f>
        <v>28312.1481887248</v>
      </c>
      <c r="DT87" s="48" t="n">
        <f aca="false">SUMPRODUCT((FC_Clase="Administración")*FC_O*((FC_Mon="PYG")*DT$19+(FC_Mon&lt;&gt;"PYG"))*(1+FC_g)^(DT$17-1)*((FC_Desde=0)*(DT$16+DT$15)+(FC_Desde&gt;=1)*(DT$14&gt;=FC_Desde)*DT$15))</f>
        <v>28312.1481887248</v>
      </c>
      <c r="DU87" s="48" t="n">
        <f aca="false">SUMPRODUCT((FC_Clase="Administración")*FC_O*((FC_Mon="PYG")*DU$19+(FC_Mon&lt;&gt;"PYG"))*(1+FC_g)^(DU$17-1)*((FC_Desde=0)*(DU$16+DU$15)+(FC_Desde&gt;=1)*(DU$14&gt;=FC_Desde)*DU$15))</f>
        <v>28312.1481887248</v>
      </c>
      <c r="DV87" s="48" t="n">
        <f aca="false">SUMPRODUCT((FC_Clase="Administración")*FC_O*((FC_Mon="PYG")*DV$19+(FC_Mon&lt;&gt;"PYG"))*(1+FC_g)^(DV$17-1)*((FC_Desde=0)*(DV$16+DV$15)+(FC_Desde&gt;=1)*(DV$14&gt;=FC_Desde)*DV$15))</f>
        <v>0</v>
      </c>
      <c r="DW87" s="48" t="n">
        <f aca="false">SUMPRODUCT((FC_Clase="Administración")*FC_O*((FC_Mon="PYG")*DW$19+(FC_Mon&lt;&gt;"PYG"))*(1+FC_g)^(DW$17-1)*((FC_Desde=0)*(DW$16+DW$15)+(FC_Desde&gt;=1)*(DW$14&gt;=FC_Desde)*DW$15))</f>
        <v>0</v>
      </c>
      <c r="DX87" s="48" t="n">
        <f aca="false">SUMPRODUCT((FC_Clase="Administración")*FC_O*((FC_Mon="PYG")*DX$19+(FC_Mon&lt;&gt;"PYG"))*(1+FC_g)^(DX$17-1)*((FC_Desde=0)*(DX$16+DX$15)+(FC_Desde&gt;=1)*(DX$14&gt;=FC_Desde)*DX$15))</f>
        <v>0</v>
      </c>
      <c r="DY87" s="48" t="n">
        <f aca="false">SUMPRODUCT((FC_Clase="Administración")*FC_O*((FC_Mon="PYG")*DY$19+(FC_Mon&lt;&gt;"PYG"))*(1+FC_g)^(DY$17-1)*((FC_Desde=0)*(DY$16+DY$15)+(FC_Desde&gt;=1)*(DY$14&gt;=FC_Desde)*DY$15))</f>
        <v>0</v>
      </c>
      <c r="DZ87" s="48" t="n">
        <f aca="false">SUMPRODUCT((FC_Clase="Administración")*FC_O*((FC_Mon="PYG")*DZ$19+(FC_Mon&lt;&gt;"PYG"))*(1+FC_g)^(DZ$17-1)*((FC_Desde=0)*(DZ$16+DZ$15)+(FC_Desde&gt;=1)*(DZ$14&gt;=FC_Desde)*DZ$15))</f>
        <v>0</v>
      </c>
      <c r="EA87" s="48" t="n">
        <f aca="false">SUMPRODUCT((FC_Clase="Administración")*FC_O*((FC_Mon="PYG")*EA$19+(FC_Mon&lt;&gt;"PYG"))*(1+FC_g)^(EA$17-1)*((FC_Desde=0)*(EA$16+EA$15)+(FC_Desde&gt;=1)*(EA$14&gt;=FC_Desde)*EA$15))</f>
        <v>0</v>
      </c>
      <c r="EB87" s="48" t="n">
        <f aca="false">SUMPRODUCT((FC_Clase="Administración")*FC_O*((FC_Mon="PYG")*EB$19+(FC_Mon&lt;&gt;"PYG"))*(1+FC_g)^(EB$17-1)*((FC_Desde=0)*(EB$16+EB$15)+(FC_Desde&gt;=1)*(EB$14&gt;=FC_Desde)*EB$15))</f>
        <v>0</v>
      </c>
      <c r="EC87" s="48" t="n">
        <f aca="false">SUMPRODUCT((FC_Clase="Administración")*FC_O*((FC_Mon="PYG")*EC$19+(FC_Mon&lt;&gt;"PYG"))*(1+FC_g)^(EC$17-1)*((FC_Desde=0)*(EC$16+EC$15)+(FC_Desde&gt;=1)*(EC$14&gt;=FC_Desde)*EC$15))</f>
        <v>0</v>
      </c>
      <c r="ED87" s="48" t="n">
        <f aca="false">SUMPRODUCT((FC_Clase="Administración")*FC_O*((FC_Mon="PYG")*ED$19+(FC_Mon&lt;&gt;"PYG"))*(1+FC_g)^(ED$17-1)*((FC_Desde=0)*(ED$16+ED$15)+(FC_Desde&gt;=1)*(ED$14&gt;=FC_Desde)*ED$15))</f>
        <v>0</v>
      </c>
      <c r="EE87" s="48" t="n">
        <f aca="false">SUMPRODUCT((FC_Clase="Administración")*FC_O*((FC_Mon="PYG")*EE$19+(FC_Mon&lt;&gt;"PYG"))*(1+FC_g)^(EE$17-1)*((FC_Desde=0)*(EE$16+EE$15)+(FC_Desde&gt;=1)*(EE$14&gt;=FC_Desde)*EE$15))</f>
        <v>0</v>
      </c>
      <c r="EF87" s="48" t="n">
        <f aca="false">SUMPRODUCT((FC_Clase="Administración")*FC_O*((FC_Mon="PYG")*EF$19+(FC_Mon&lt;&gt;"PYG"))*(1+FC_g)^(EF$17-1)*((FC_Desde=0)*(EF$16+EF$15)+(FC_Desde&gt;=1)*(EF$14&gt;=FC_Desde)*EF$15))</f>
        <v>0</v>
      </c>
      <c r="EG87" s="48" t="n">
        <f aca="false">SUMPRODUCT((FC_Clase="Administración")*FC_O*((FC_Mon="PYG")*EG$19+(FC_Mon&lt;&gt;"PYG"))*(1+FC_g)^(EG$17-1)*((FC_Desde=0)*(EG$16+EG$15)+(FC_Desde&gt;=1)*(EG$14&gt;=FC_Desde)*EG$15))</f>
        <v>0</v>
      </c>
      <c r="EH87" s="48" t="n">
        <f aca="false">SUMPRODUCT((FC_Clase="Administración")*FC_O*((FC_Mon="PYG")*EH$19+(FC_Mon&lt;&gt;"PYG"))*(1+FC_g)^(EH$17-1)*((FC_Desde=0)*(EH$16+EH$15)+(FC_Desde&gt;=1)*(EH$14&gt;=FC_Desde)*EH$15))</f>
        <v>0</v>
      </c>
      <c r="EI87" s="48" t="n">
        <f aca="false">SUMPRODUCT((FC_Clase="Administración")*FC_O*((FC_Mon="PYG")*EI$19+(FC_Mon&lt;&gt;"PYG"))*(1+FC_g)^(EI$17-1)*((FC_Desde=0)*(EI$16+EI$15)+(FC_Desde&gt;=1)*(EI$14&gt;=FC_Desde)*EI$15))</f>
        <v>0</v>
      </c>
      <c r="EJ87" s="48" t="n">
        <f aca="false">SUMPRODUCT((FC_Clase="Administración")*FC_O*((FC_Mon="PYG")*EJ$19+(FC_Mon&lt;&gt;"PYG"))*(1+FC_g)^(EJ$17-1)*((FC_Desde=0)*(EJ$16+EJ$15)+(FC_Desde&gt;=1)*(EJ$14&gt;=FC_Desde)*EJ$15))</f>
        <v>0</v>
      </c>
      <c r="EK87" s="48" t="n">
        <f aca="false">SUMPRODUCT((FC_Clase="Administración")*FC_O*((FC_Mon="PYG")*EK$19+(FC_Mon&lt;&gt;"PYG"))*(1+FC_g)^(EK$17-1)*((FC_Desde=0)*(EK$16+EK$15)+(FC_Desde&gt;=1)*(EK$14&gt;=FC_Desde)*EK$15))</f>
        <v>0</v>
      </c>
      <c r="EL87" s="48" t="n">
        <f aca="false">SUMPRODUCT((FC_Clase="Administración")*FC_O*((FC_Mon="PYG")*EL$19+(FC_Mon&lt;&gt;"PYG"))*(1+FC_g)^(EL$17-1)*((FC_Desde=0)*(EL$16+EL$15)+(FC_Desde&gt;=1)*(EL$14&gt;=FC_Desde)*EL$15))</f>
        <v>0</v>
      </c>
      <c r="EM87" s="48" t="n">
        <f aca="false">SUMPRODUCT((FC_Clase="Administración")*FC_O*((FC_Mon="PYG")*EM$19+(FC_Mon&lt;&gt;"PYG"))*(1+FC_g)^(EM$17-1)*((FC_Desde=0)*(EM$16+EM$15)+(FC_Desde&gt;=1)*(EM$14&gt;=FC_Desde)*EM$15))</f>
        <v>0</v>
      </c>
      <c r="EN87" s="48" t="n">
        <f aca="false">SUMPRODUCT((FC_Clase="Administración")*FC_O*((FC_Mon="PYG")*EN$19+(FC_Mon&lt;&gt;"PYG"))*(1+FC_g)^(EN$17-1)*((FC_Desde=0)*(EN$16+EN$15)+(FC_Desde&gt;=1)*(EN$14&gt;=FC_Desde)*EN$15))</f>
        <v>0</v>
      </c>
      <c r="EO87" s="48" t="n">
        <f aca="false">SUMPRODUCT((FC_Clase="Administración")*FC_O*((FC_Mon="PYG")*EO$19+(FC_Mon&lt;&gt;"PYG"))*(1+FC_g)^(EO$17-1)*((FC_Desde=0)*(EO$16+EO$15)+(FC_Desde&gt;=1)*(EO$14&gt;=FC_Desde)*EO$15))</f>
        <v>0</v>
      </c>
      <c r="EP87" s="48" t="n">
        <f aca="false">SUMPRODUCT((FC_Clase="Administración")*FC_O*((FC_Mon="PYG")*EP$19+(FC_Mon&lt;&gt;"PYG"))*(1+FC_g)^(EP$17-1)*((FC_Desde=0)*(EP$16+EP$15)+(FC_Desde&gt;=1)*(EP$14&gt;=FC_Desde)*EP$15))</f>
        <v>0</v>
      </c>
      <c r="EQ87" s="48" t="n">
        <f aca="false">SUMPRODUCT((FC_Clase="Administración")*FC_O*((FC_Mon="PYG")*EQ$19+(FC_Mon&lt;&gt;"PYG"))*(1+FC_g)^(EQ$17-1)*((FC_Desde=0)*(EQ$16+EQ$15)+(FC_Desde&gt;=1)*(EQ$14&gt;=FC_Desde)*EQ$15))</f>
        <v>0</v>
      </c>
      <c r="ER87" s="48" t="n">
        <f aca="false">SUMPRODUCT((FC_Clase="Administración")*FC_O*((FC_Mon="PYG")*ER$19+(FC_Mon&lt;&gt;"PYG"))*(1+FC_g)^(ER$17-1)*((FC_Desde=0)*(ER$16+ER$15)+(FC_Desde&gt;=1)*(ER$14&gt;=FC_Desde)*ER$15))</f>
        <v>0</v>
      </c>
      <c r="ES87" s="48" t="n">
        <f aca="false">SUMPRODUCT((FC_Clase="Administración")*FC_O*((FC_Mon="PYG")*ES$19+(FC_Mon&lt;&gt;"PYG"))*(1+FC_g)^(ES$17-1)*((FC_Desde=0)*(ES$16+ES$15)+(FC_Desde&gt;=1)*(ES$14&gt;=FC_Desde)*ES$15))</f>
        <v>0</v>
      </c>
    </row>
    <row r="88" customFormat="false" ht="15" hidden="false" customHeight="false" outlineLevel="0" collapsed="false">
      <c r="A88" s="11" t="s">
        <v>1148</v>
      </c>
      <c r="B88" s="15" t="s">
        <v>1149</v>
      </c>
      <c r="C88" s="15" t="s">
        <v>508</v>
      </c>
      <c r="E88" s="54" t="n">
        <f aca="false">SUM(F88:ES88)</f>
        <v>613750.290410959</v>
      </c>
      <c r="F88" s="48" t="n">
        <f aca="false">SUMPRODUCT((FC_Clase="Administración")*FC_Base*FC_O*((FC_Mon="PYG")*F$19+(FC_Mon&lt;&gt;"PYG"))*(1+FC_g)^(F$17-1)*((FC_Desde=0)*(F$16+F$15)+(FC_Desde&gt;=1)*(F$14&gt;=FC_Desde)*F$15))</f>
        <v>5114.58575342466</v>
      </c>
      <c r="G88" s="48" t="n">
        <f aca="false">SUMPRODUCT((FC_Clase="Administración")*FC_Base*FC_O*((FC_Mon="PYG")*G$19+(FC_Mon&lt;&gt;"PYG"))*(1+FC_g)^(G$17-1)*((FC_Desde=0)*(G$16+G$15)+(FC_Desde&gt;=1)*(G$14&gt;=FC_Desde)*G$15))</f>
        <v>5114.58575342466</v>
      </c>
      <c r="H88" s="48" t="n">
        <f aca="false">SUMPRODUCT((FC_Clase="Administración")*FC_Base*FC_O*((FC_Mon="PYG")*H$19+(FC_Mon&lt;&gt;"PYG"))*(1+FC_g)^(H$17-1)*((FC_Desde=0)*(H$16+H$15)+(FC_Desde&gt;=1)*(H$14&gt;=FC_Desde)*H$15))</f>
        <v>5114.58575342466</v>
      </c>
      <c r="I88" s="48" t="n">
        <f aca="false">SUMPRODUCT((FC_Clase="Administración")*FC_Base*FC_O*((FC_Mon="PYG")*I$19+(FC_Mon&lt;&gt;"PYG"))*(1+FC_g)^(I$17-1)*((FC_Desde=0)*(I$16+I$15)+(FC_Desde&gt;=1)*(I$14&gt;=FC_Desde)*I$15))</f>
        <v>5114.58575342466</v>
      </c>
      <c r="J88" s="48" t="n">
        <f aca="false">SUMPRODUCT((FC_Clase="Administración")*FC_Base*FC_O*((FC_Mon="PYG")*J$19+(FC_Mon&lt;&gt;"PYG"))*(1+FC_g)^(J$17-1)*((FC_Desde=0)*(J$16+J$15)+(FC_Desde&gt;=1)*(J$14&gt;=FC_Desde)*J$15))</f>
        <v>5114.58575342466</v>
      </c>
      <c r="K88" s="48" t="n">
        <f aca="false">SUMPRODUCT((FC_Clase="Administración")*FC_Base*FC_O*((FC_Mon="PYG")*K$19+(FC_Mon&lt;&gt;"PYG"))*(1+FC_g)^(K$17-1)*((FC_Desde=0)*(K$16+K$15)+(FC_Desde&gt;=1)*(K$14&gt;=FC_Desde)*K$15))</f>
        <v>5114.58575342466</v>
      </c>
      <c r="L88" s="48" t="n">
        <f aca="false">SUMPRODUCT((FC_Clase="Administración")*FC_Base*FC_O*((FC_Mon="PYG")*L$19+(FC_Mon&lt;&gt;"PYG"))*(1+FC_g)^(L$17-1)*((FC_Desde=0)*(L$16+L$15)+(FC_Desde&gt;=1)*(L$14&gt;=FC_Desde)*L$15))</f>
        <v>5114.58575342466</v>
      </c>
      <c r="M88" s="48" t="n">
        <f aca="false">SUMPRODUCT((FC_Clase="Administración")*FC_Base*FC_O*((FC_Mon="PYG")*M$19+(FC_Mon&lt;&gt;"PYG"))*(1+FC_g)^(M$17-1)*((FC_Desde=0)*(M$16+M$15)+(FC_Desde&gt;=1)*(M$14&gt;=FC_Desde)*M$15))</f>
        <v>5114.58575342466</v>
      </c>
      <c r="N88" s="48" t="n">
        <f aca="false">SUMPRODUCT((FC_Clase="Administración")*FC_Base*FC_O*((FC_Mon="PYG")*N$19+(FC_Mon&lt;&gt;"PYG"))*(1+FC_g)^(N$17-1)*((FC_Desde=0)*(N$16+N$15)+(FC_Desde&gt;=1)*(N$14&gt;=FC_Desde)*N$15))</f>
        <v>5114.58575342466</v>
      </c>
      <c r="O88" s="48" t="n">
        <f aca="false">SUMPRODUCT((FC_Clase="Administración")*FC_Base*FC_O*((FC_Mon="PYG")*O$19+(FC_Mon&lt;&gt;"PYG"))*(1+FC_g)^(O$17-1)*((FC_Desde=0)*(O$16+O$15)+(FC_Desde&gt;=1)*(O$14&gt;=FC_Desde)*O$15))</f>
        <v>5114.58575342466</v>
      </c>
      <c r="P88" s="48" t="n">
        <f aca="false">SUMPRODUCT((FC_Clase="Administración")*FC_Base*FC_O*((FC_Mon="PYG")*P$19+(FC_Mon&lt;&gt;"PYG"))*(1+FC_g)^(P$17-1)*((FC_Desde=0)*(P$16+P$15)+(FC_Desde&gt;=1)*(P$14&gt;=FC_Desde)*P$15))</f>
        <v>5114.58575342466</v>
      </c>
      <c r="Q88" s="48" t="n">
        <f aca="false">SUMPRODUCT((FC_Clase="Administración")*FC_Base*FC_O*((FC_Mon="PYG")*Q$19+(FC_Mon&lt;&gt;"PYG"))*(1+FC_g)^(Q$17-1)*((FC_Desde=0)*(Q$16+Q$15)+(FC_Desde&gt;=1)*(Q$14&gt;=FC_Desde)*Q$15))</f>
        <v>5114.58575342466</v>
      </c>
      <c r="R88" s="48" t="n">
        <f aca="false">SUMPRODUCT((FC_Clase="Administración")*FC_Base*FC_O*((FC_Mon="PYG")*R$19+(FC_Mon&lt;&gt;"PYG"))*(1+FC_g)^(R$17-1)*((FC_Desde=0)*(R$16+R$15)+(FC_Desde&gt;=1)*(R$14&gt;=FC_Desde)*R$15))</f>
        <v>5114.58575342466</v>
      </c>
      <c r="S88" s="48" t="n">
        <f aca="false">SUMPRODUCT((FC_Clase="Administración")*FC_Base*FC_O*((FC_Mon="PYG")*S$19+(FC_Mon&lt;&gt;"PYG"))*(1+FC_g)^(S$17-1)*((FC_Desde=0)*(S$16+S$15)+(FC_Desde&gt;=1)*(S$14&gt;=FC_Desde)*S$15))</f>
        <v>5114.58575342466</v>
      </c>
      <c r="T88" s="48" t="n">
        <f aca="false">SUMPRODUCT((FC_Clase="Administración")*FC_Base*FC_O*((FC_Mon="PYG")*T$19+(FC_Mon&lt;&gt;"PYG"))*(1+FC_g)^(T$17-1)*((FC_Desde=0)*(T$16+T$15)+(FC_Desde&gt;=1)*(T$14&gt;=FC_Desde)*T$15))</f>
        <v>5114.58575342466</v>
      </c>
      <c r="U88" s="48" t="n">
        <f aca="false">SUMPRODUCT((FC_Clase="Administración")*FC_Base*FC_O*((FC_Mon="PYG")*U$19+(FC_Mon&lt;&gt;"PYG"))*(1+FC_g)^(U$17-1)*((FC_Desde=0)*(U$16+U$15)+(FC_Desde&gt;=1)*(U$14&gt;=FC_Desde)*U$15))</f>
        <v>5114.58575342466</v>
      </c>
      <c r="V88" s="48" t="n">
        <f aca="false">SUMPRODUCT((FC_Clase="Administración")*FC_Base*FC_O*((FC_Mon="PYG")*V$19+(FC_Mon&lt;&gt;"PYG"))*(1+FC_g)^(V$17-1)*((FC_Desde=0)*(V$16+V$15)+(FC_Desde&gt;=1)*(V$14&gt;=FC_Desde)*V$15))</f>
        <v>5114.58575342466</v>
      </c>
      <c r="W88" s="48" t="n">
        <f aca="false">SUMPRODUCT((FC_Clase="Administración")*FC_Base*FC_O*((FC_Mon="PYG")*W$19+(FC_Mon&lt;&gt;"PYG"))*(1+FC_g)^(W$17-1)*((FC_Desde=0)*(W$16+W$15)+(FC_Desde&gt;=1)*(W$14&gt;=FC_Desde)*W$15))</f>
        <v>5114.58575342466</v>
      </c>
      <c r="X88" s="48" t="n">
        <f aca="false">SUMPRODUCT((FC_Clase="Administración")*FC_Base*FC_O*((FC_Mon="PYG")*X$19+(FC_Mon&lt;&gt;"PYG"))*(1+FC_g)^(X$17-1)*((FC_Desde=0)*(X$16+X$15)+(FC_Desde&gt;=1)*(X$14&gt;=FC_Desde)*X$15))</f>
        <v>5114.58575342466</v>
      </c>
      <c r="Y88" s="48" t="n">
        <f aca="false">SUMPRODUCT((FC_Clase="Administración")*FC_Base*FC_O*((FC_Mon="PYG")*Y$19+(FC_Mon&lt;&gt;"PYG"))*(1+FC_g)^(Y$17-1)*((FC_Desde=0)*(Y$16+Y$15)+(FC_Desde&gt;=1)*(Y$14&gt;=FC_Desde)*Y$15))</f>
        <v>5114.58575342466</v>
      </c>
      <c r="Z88" s="48" t="n">
        <f aca="false">SUMPRODUCT((FC_Clase="Administración")*FC_Base*FC_O*((FC_Mon="PYG")*Z$19+(FC_Mon&lt;&gt;"PYG"))*(1+FC_g)^(Z$17-1)*((FC_Desde=0)*(Z$16+Z$15)+(FC_Desde&gt;=1)*(Z$14&gt;=FC_Desde)*Z$15))</f>
        <v>5114.58575342466</v>
      </c>
      <c r="AA88" s="48" t="n">
        <f aca="false">SUMPRODUCT((FC_Clase="Administración")*FC_Base*FC_O*((FC_Mon="PYG")*AA$19+(FC_Mon&lt;&gt;"PYG"))*(1+FC_g)^(AA$17-1)*((FC_Desde=0)*(AA$16+AA$15)+(FC_Desde&gt;=1)*(AA$14&gt;=FC_Desde)*AA$15))</f>
        <v>5114.58575342466</v>
      </c>
      <c r="AB88" s="48" t="n">
        <f aca="false">SUMPRODUCT((FC_Clase="Administración")*FC_Base*FC_O*((FC_Mon="PYG")*AB$19+(FC_Mon&lt;&gt;"PYG"))*(1+FC_g)^(AB$17-1)*((FC_Desde=0)*(AB$16+AB$15)+(FC_Desde&gt;=1)*(AB$14&gt;=FC_Desde)*AB$15))</f>
        <v>5114.58575342466</v>
      </c>
      <c r="AC88" s="48" t="n">
        <f aca="false">SUMPRODUCT((FC_Clase="Administración")*FC_Base*FC_O*((FC_Mon="PYG")*AC$19+(FC_Mon&lt;&gt;"PYG"))*(1+FC_g)^(AC$17-1)*((FC_Desde=0)*(AC$16+AC$15)+(FC_Desde&gt;=1)*(AC$14&gt;=FC_Desde)*AC$15))</f>
        <v>5114.58575342466</v>
      </c>
      <c r="AD88" s="48" t="n">
        <f aca="false">SUMPRODUCT((FC_Clase="Administración")*FC_Base*FC_O*((FC_Mon="PYG")*AD$19+(FC_Mon&lt;&gt;"PYG"))*(1+FC_g)^(AD$17-1)*((FC_Desde=0)*(AD$16+AD$15)+(FC_Desde&gt;=1)*(AD$14&gt;=FC_Desde)*AD$15))</f>
        <v>5114.58575342466</v>
      </c>
      <c r="AE88" s="48" t="n">
        <f aca="false">SUMPRODUCT((FC_Clase="Administración")*FC_Base*FC_O*((FC_Mon="PYG")*AE$19+(FC_Mon&lt;&gt;"PYG"))*(1+FC_g)^(AE$17-1)*((FC_Desde=0)*(AE$16+AE$15)+(FC_Desde&gt;=1)*(AE$14&gt;=FC_Desde)*AE$15))</f>
        <v>5114.58575342466</v>
      </c>
      <c r="AF88" s="48" t="n">
        <f aca="false">SUMPRODUCT((FC_Clase="Administración")*FC_Base*FC_O*((FC_Mon="PYG")*AF$19+(FC_Mon&lt;&gt;"PYG"))*(1+FC_g)^(AF$17-1)*((FC_Desde=0)*(AF$16+AF$15)+(FC_Desde&gt;=1)*(AF$14&gt;=FC_Desde)*AF$15))</f>
        <v>5114.58575342466</v>
      </c>
      <c r="AG88" s="48" t="n">
        <f aca="false">SUMPRODUCT((FC_Clase="Administración")*FC_Base*FC_O*((FC_Mon="PYG")*AG$19+(FC_Mon&lt;&gt;"PYG"))*(1+FC_g)^(AG$17-1)*((FC_Desde=0)*(AG$16+AG$15)+(FC_Desde&gt;=1)*(AG$14&gt;=FC_Desde)*AG$15))</f>
        <v>5114.58575342466</v>
      </c>
      <c r="AH88" s="48" t="n">
        <f aca="false">SUMPRODUCT((FC_Clase="Administración")*FC_Base*FC_O*((FC_Mon="PYG")*AH$19+(FC_Mon&lt;&gt;"PYG"))*(1+FC_g)^(AH$17-1)*((FC_Desde=0)*(AH$16+AH$15)+(FC_Desde&gt;=1)*(AH$14&gt;=FC_Desde)*AH$15))</f>
        <v>5114.58575342466</v>
      </c>
      <c r="AI88" s="48" t="n">
        <f aca="false">SUMPRODUCT((FC_Clase="Administración")*FC_Base*FC_O*((FC_Mon="PYG")*AI$19+(FC_Mon&lt;&gt;"PYG"))*(1+FC_g)^(AI$17-1)*((FC_Desde=0)*(AI$16+AI$15)+(FC_Desde&gt;=1)*(AI$14&gt;=FC_Desde)*AI$15))</f>
        <v>5114.58575342466</v>
      </c>
      <c r="AJ88" s="48" t="n">
        <f aca="false">SUMPRODUCT((FC_Clase="Administración")*FC_Base*FC_O*((FC_Mon="PYG")*AJ$19+(FC_Mon&lt;&gt;"PYG"))*(1+FC_g)^(AJ$17-1)*((FC_Desde=0)*(AJ$16+AJ$15)+(FC_Desde&gt;=1)*(AJ$14&gt;=FC_Desde)*AJ$15))</f>
        <v>5114.58575342466</v>
      </c>
      <c r="AK88" s="48" t="n">
        <f aca="false">SUMPRODUCT((FC_Clase="Administración")*FC_Base*FC_O*((FC_Mon="PYG")*AK$19+(FC_Mon&lt;&gt;"PYG"))*(1+FC_g)^(AK$17-1)*((FC_Desde=0)*(AK$16+AK$15)+(FC_Desde&gt;=1)*(AK$14&gt;=FC_Desde)*AK$15))</f>
        <v>5114.58575342466</v>
      </c>
      <c r="AL88" s="48" t="n">
        <f aca="false">SUMPRODUCT((FC_Clase="Administración")*FC_Base*FC_O*((FC_Mon="PYG")*AL$19+(FC_Mon&lt;&gt;"PYG"))*(1+FC_g)^(AL$17-1)*((FC_Desde=0)*(AL$16+AL$15)+(FC_Desde&gt;=1)*(AL$14&gt;=FC_Desde)*AL$15))</f>
        <v>5114.58575342466</v>
      </c>
      <c r="AM88" s="48" t="n">
        <f aca="false">SUMPRODUCT((FC_Clase="Administración")*FC_Base*FC_O*((FC_Mon="PYG")*AM$19+(FC_Mon&lt;&gt;"PYG"))*(1+FC_g)^(AM$17-1)*((FC_Desde=0)*(AM$16+AM$15)+(FC_Desde&gt;=1)*(AM$14&gt;=FC_Desde)*AM$15))</f>
        <v>5114.58575342466</v>
      </c>
      <c r="AN88" s="48" t="n">
        <f aca="false">SUMPRODUCT((FC_Clase="Administración")*FC_Base*FC_O*((FC_Mon="PYG")*AN$19+(FC_Mon&lt;&gt;"PYG"))*(1+FC_g)^(AN$17-1)*((FC_Desde=0)*(AN$16+AN$15)+(FC_Desde&gt;=1)*(AN$14&gt;=FC_Desde)*AN$15))</f>
        <v>5114.58575342466</v>
      </c>
      <c r="AO88" s="48" t="n">
        <f aca="false">SUMPRODUCT((FC_Clase="Administración")*FC_Base*FC_O*((FC_Mon="PYG")*AO$19+(FC_Mon&lt;&gt;"PYG"))*(1+FC_g)^(AO$17-1)*((FC_Desde=0)*(AO$16+AO$15)+(FC_Desde&gt;=1)*(AO$14&gt;=FC_Desde)*AO$15))</f>
        <v>5114.58575342466</v>
      </c>
      <c r="AP88" s="48" t="n">
        <f aca="false">SUMPRODUCT((FC_Clase="Administración")*FC_Base*FC_O*((FC_Mon="PYG")*AP$19+(FC_Mon&lt;&gt;"PYG"))*(1+FC_g)^(AP$17-1)*((FC_Desde=0)*(AP$16+AP$15)+(FC_Desde&gt;=1)*(AP$14&gt;=FC_Desde)*AP$15))</f>
        <v>5114.58575342466</v>
      </c>
      <c r="AQ88" s="48" t="n">
        <f aca="false">SUMPRODUCT((FC_Clase="Administración")*FC_Base*FC_O*((FC_Mon="PYG")*AQ$19+(FC_Mon&lt;&gt;"PYG"))*(1+FC_g)^(AQ$17-1)*((FC_Desde=0)*(AQ$16+AQ$15)+(FC_Desde&gt;=1)*(AQ$14&gt;=FC_Desde)*AQ$15))</f>
        <v>5114.58575342466</v>
      </c>
      <c r="AR88" s="48" t="n">
        <f aca="false">SUMPRODUCT((FC_Clase="Administración")*FC_Base*FC_O*((FC_Mon="PYG")*AR$19+(FC_Mon&lt;&gt;"PYG"))*(1+FC_g)^(AR$17-1)*((FC_Desde=0)*(AR$16+AR$15)+(FC_Desde&gt;=1)*(AR$14&gt;=FC_Desde)*AR$15))</f>
        <v>5114.58575342466</v>
      </c>
      <c r="AS88" s="48" t="n">
        <f aca="false">SUMPRODUCT((FC_Clase="Administración")*FC_Base*FC_O*((FC_Mon="PYG")*AS$19+(FC_Mon&lt;&gt;"PYG"))*(1+FC_g)^(AS$17-1)*((FC_Desde=0)*(AS$16+AS$15)+(FC_Desde&gt;=1)*(AS$14&gt;=FC_Desde)*AS$15))</f>
        <v>5114.58575342466</v>
      </c>
      <c r="AT88" s="48" t="n">
        <f aca="false">SUMPRODUCT((FC_Clase="Administración")*FC_Base*FC_O*((FC_Mon="PYG")*AT$19+(FC_Mon&lt;&gt;"PYG"))*(1+FC_g)^(AT$17-1)*((FC_Desde=0)*(AT$16+AT$15)+(FC_Desde&gt;=1)*(AT$14&gt;=FC_Desde)*AT$15))</f>
        <v>5114.58575342466</v>
      </c>
      <c r="AU88" s="48" t="n">
        <f aca="false">SUMPRODUCT((FC_Clase="Administración")*FC_Base*FC_O*((FC_Mon="PYG")*AU$19+(FC_Mon&lt;&gt;"PYG"))*(1+FC_g)^(AU$17-1)*((FC_Desde=0)*(AU$16+AU$15)+(FC_Desde&gt;=1)*(AU$14&gt;=FC_Desde)*AU$15))</f>
        <v>5114.58575342466</v>
      </c>
      <c r="AV88" s="48" t="n">
        <f aca="false">SUMPRODUCT((FC_Clase="Administración")*FC_Base*FC_O*((FC_Mon="PYG")*AV$19+(FC_Mon&lt;&gt;"PYG"))*(1+FC_g)^(AV$17-1)*((FC_Desde=0)*(AV$16+AV$15)+(FC_Desde&gt;=1)*(AV$14&gt;=FC_Desde)*AV$15))</f>
        <v>5114.58575342466</v>
      </c>
      <c r="AW88" s="48" t="n">
        <f aca="false">SUMPRODUCT((FC_Clase="Administración")*FC_Base*FC_O*((FC_Mon="PYG")*AW$19+(FC_Mon&lt;&gt;"PYG"))*(1+FC_g)^(AW$17-1)*((FC_Desde=0)*(AW$16+AW$15)+(FC_Desde&gt;=1)*(AW$14&gt;=FC_Desde)*AW$15))</f>
        <v>5114.58575342466</v>
      </c>
      <c r="AX88" s="48" t="n">
        <f aca="false">SUMPRODUCT((FC_Clase="Administración")*FC_Base*FC_O*((FC_Mon="PYG")*AX$19+(FC_Mon&lt;&gt;"PYG"))*(1+FC_g)^(AX$17-1)*((FC_Desde=0)*(AX$16+AX$15)+(FC_Desde&gt;=1)*(AX$14&gt;=FC_Desde)*AX$15))</f>
        <v>5114.58575342466</v>
      </c>
      <c r="AY88" s="48" t="n">
        <f aca="false">SUMPRODUCT((FC_Clase="Administración")*FC_Base*FC_O*((FC_Mon="PYG")*AY$19+(FC_Mon&lt;&gt;"PYG"))*(1+FC_g)^(AY$17-1)*((FC_Desde=0)*(AY$16+AY$15)+(FC_Desde&gt;=1)*(AY$14&gt;=FC_Desde)*AY$15))</f>
        <v>5114.58575342466</v>
      </c>
      <c r="AZ88" s="48" t="n">
        <f aca="false">SUMPRODUCT((FC_Clase="Administración")*FC_Base*FC_O*((FC_Mon="PYG")*AZ$19+(FC_Mon&lt;&gt;"PYG"))*(1+FC_g)^(AZ$17-1)*((FC_Desde=0)*(AZ$16+AZ$15)+(FC_Desde&gt;=1)*(AZ$14&gt;=FC_Desde)*AZ$15))</f>
        <v>5114.58575342466</v>
      </c>
      <c r="BA88" s="48" t="n">
        <f aca="false">SUMPRODUCT((FC_Clase="Administración")*FC_Base*FC_O*((FC_Mon="PYG")*BA$19+(FC_Mon&lt;&gt;"PYG"))*(1+FC_g)^(BA$17-1)*((FC_Desde=0)*(BA$16+BA$15)+(FC_Desde&gt;=1)*(BA$14&gt;=FC_Desde)*BA$15))</f>
        <v>5114.58575342466</v>
      </c>
      <c r="BB88" s="48" t="n">
        <f aca="false">SUMPRODUCT((FC_Clase="Administración")*FC_Base*FC_O*((FC_Mon="PYG")*BB$19+(FC_Mon&lt;&gt;"PYG"))*(1+FC_g)^(BB$17-1)*((FC_Desde=0)*(BB$16+BB$15)+(FC_Desde&gt;=1)*(BB$14&gt;=FC_Desde)*BB$15))</f>
        <v>5114.58575342466</v>
      </c>
      <c r="BC88" s="48" t="n">
        <f aca="false">SUMPRODUCT((FC_Clase="Administración")*FC_Base*FC_O*((FC_Mon="PYG")*BC$19+(FC_Mon&lt;&gt;"PYG"))*(1+FC_g)^(BC$17-1)*((FC_Desde=0)*(BC$16+BC$15)+(FC_Desde&gt;=1)*(BC$14&gt;=FC_Desde)*BC$15))</f>
        <v>5114.58575342466</v>
      </c>
      <c r="BD88" s="48" t="n">
        <f aca="false">SUMPRODUCT((FC_Clase="Administración")*FC_Base*FC_O*((FC_Mon="PYG")*BD$19+(FC_Mon&lt;&gt;"PYG"))*(1+FC_g)^(BD$17-1)*((FC_Desde=0)*(BD$16+BD$15)+(FC_Desde&gt;=1)*(BD$14&gt;=FC_Desde)*BD$15))</f>
        <v>5114.58575342466</v>
      </c>
      <c r="BE88" s="48" t="n">
        <f aca="false">SUMPRODUCT((FC_Clase="Administración")*FC_Base*FC_O*((FC_Mon="PYG")*BE$19+(FC_Mon&lt;&gt;"PYG"))*(1+FC_g)^(BE$17-1)*((FC_Desde=0)*(BE$16+BE$15)+(FC_Desde&gt;=1)*(BE$14&gt;=FC_Desde)*BE$15))</f>
        <v>5114.58575342466</v>
      </c>
      <c r="BF88" s="48" t="n">
        <f aca="false">SUMPRODUCT((FC_Clase="Administración")*FC_Base*FC_O*((FC_Mon="PYG")*BF$19+(FC_Mon&lt;&gt;"PYG"))*(1+FC_g)^(BF$17-1)*((FC_Desde=0)*(BF$16+BF$15)+(FC_Desde&gt;=1)*(BF$14&gt;=FC_Desde)*BF$15))</f>
        <v>5114.58575342466</v>
      </c>
      <c r="BG88" s="48" t="n">
        <f aca="false">SUMPRODUCT((FC_Clase="Administración")*FC_Base*FC_O*((FC_Mon="PYG")*BG$19+(FC_Mon&lt;&gt;"PYG"))*(1+FC_g)^(BG$17-1)*((FC_Desde=0)*(BG$16+BG$15)+(FC_Desde&gt;=1)*(BG$14&gt;=FC_Desde)*BG$15))</f>
        <v>5114.58575342466</v>
      </c>
      <c r="BH88" s="48" t="n">
        <f aca="false">SUMPRODUCT((FC_Clase="Administración")*FC_Base*FC_O*((FC_Mon="PYG")*BH$19+(FC_Mon&lt;&gt;"PYG"))*(1+FC_g)^(BH$17-1)*((FC_Desde=0)*(BH$16+BH$15)+(FC_Desde&gt;=1)*(BH$14&gt;=FC_Desde)*BH$15))</f>
        <v>5114.58575342466</v>
      </c>
      <c r="BI88" s="48" t="n">
        <f aca="false">SUMPRODUCT((FC_Clase="Administración")*FC_Base*FC_O*((FC_Mon="PYG")*BI$19+(FC_Mon&lt;&gt;"PYG"))*(1+FC_g)^(BI$17-1)*((FC_Desde=0)*(BI$16+BI$15)+(FC_Desde&gt;=1)*(BI$14&gt;=FC_Desde)*BI$15))</f>
        <v>5114.58575342466</v>
      </c>
      <c r="BJ88" s="48" t="n">
        <f aca="false">SUMPRODUCT((FC_Clase="Administración")*FC_Base*FC_O*((FC_Mon="PYG")*BJ$19+(FC_Mon&lt;&gt;"PYG"))*(1+FC_g)^(BJ$17-1)*((FC_Desde=0)*(BJ$16+BJ$15)+(FC_Desde&gt;=1)*(BJ$14&gt;=FC_Desde)*BJ$15))</f>
        <v>5114.58575342466</v>
      </c>
      <c r="BK88" s="48" t="n">
        <f aca="false">SUMPRODUCT((FC_Clase="Administración")*FC_Base*FC_O*((FC_Mon="PYG")*BK$19+(FC_Mon&lt;&gt;"PYG"))*(1+FC_g)^(BK$17-1)*((FC_Desde=0)*(BK$16+BK$15)+(FC_Desde&gt;=1)*(BK$14&gt;=FC_Desde)*BK$15))</f>
        <v>5114.58575342466</v>
      </c>
      <c r="BL88" s="48" t="n">
        <f aca="false">SUMPRODUCT((FC_Clase="Administración")*FC_Base*FC_O*((FC_Mon="PYG")*BL$19+(FC_Mon&lt;&gt;"PYG"))*(1+FC_g)^(BL$17-1)*((FC_Desde=0)*(BL$16+BL$15)+(FC_Desde&gt;=1)*(BL$14&gt;=FC_Desde)*BL$15))</f>
        <v>5114.58575342466</v>
      </c>
      <c r="BM88" s="48" t="n">
        <f aca="false">SUMPRODUCT((FC_Clase="Administración")*FC_Base*FC_O*((FC_Mon="PYG")*BM$19+(FC_Mon&lt;&gt;"PYG"))*(1+FC_g)^(BM$17-1)*((FC_Desde=0)*(BM$16+BM$15)+(FC_Desde&gt;=1)*(BM$14&gt;=FC_Desde)*BM$15))</f>
        <v>5114.58575342466</v>
      </c>
      <c r="BN88" s="48" t="n">
        <f aca="false">SUMPRODUCT((FC_Clase="Administración")*FC_Base*FC_O*((FC_Mon="PYG")*BN$19+(FC_Mon&lt;&gt;"PYG"))*(1+FC_g)^(BN$17-1)*((FC_Desde=0)*(BN$16+BN$15)+(FC_Desde&gt;=1)*(BN$14&gt;=FC_Desde)*BN$15))</f>
        <v>5114.58575342466</v>
      </c>
      <c r="BO88" s="48" t="n">
        <f aca="false">SUMPRODUCT((FC_Clase="Administración")*FC_Base*FC_O*((FC_Mon="PYG")*BO$19+(FC_Mon&lt;&gt;"PYG"))*(1+FC_g)^(BO$17-1)*((FC_Desde=0)*(BO$16+BO$15)+(FC_Desde&gt;=1)*(BO$14&gt;=FC_Desde)*BO$15))</f>
        <v>5114.58575342466</v>
      </c>
      <c r="BP88" s="48" t="n">
        <f aca="false">SUMPRODUCT((FC_Clase="Administración")*FC_Base*FC_O*((FC_Mon="PYG")*BP$19+(FC_Mon&lt;&gt;"PYG"))*(1+FC_g)^(BP$17-1)*((FC_Desde=0)*(BP$16+BP$15)+(FC_Desde&gt;=1)*(BP$14&gt;=FC_Desde)*BP$15))</f>
        <v>5114.58575342466</v>
      </c>
      <c r="BQ88" s="48" t="n">
        <f aca="false">SUMPRODUCT((FC_Clase="Administración")*FC_Base*FC_O*((FC_Mon="PYG")*BQ$19+(FC_Mon&lt;&gt;"PYG"))*(1+FC_g)^(BQ$17-1)*((FC_Desde=0)*(BQ$16+BQ$15)+(FC_Desde&gt;=1)*(BQ$14&gt;=FC_Desde)*BQ$15))</f>
        <v>5114.58575342466</v>
      </c>
      <c r="BR88" s="48" t="n">
        <f aca="false">SUMPRODUCT((FC_Clase="Administración")*FC_Base*FC_O*((FC_Mon="PYG")*BR$19+(FC_Mon&lt;&gt;"PYG"))*(1+FC_g)^(BR$17-1)*((FC_Desde=0)*(BR$16+BR$15)+(FC_Desde&gt;=1)*(BR$14&gt;=FC_Desde)*BR$15))</f>
        <v>5114.58575342466</v>
      </c>
      <c r="BS88" s="48" t="n">
        <f aca="false">SUMPRODUCT((FC_Clase="Administración")*FC_Base*FC_O*((FC_Mon="PYG")*BS$19+(FC_Mon&lt;&gt;"PYG"))*(1+FC_g)^(BS$17-1)*((FC_Desde=0)*(BS$16+BS$15)+(FC_Desde&gt;=1)*(BS$14&gt;=FC_Desde)*BS$15))</f>
        <v>5114.58575342466</v>
      </c>
      <c r="BT88" s="48" t="n">
        <f aca="false">SUMPRODUCT((FC_Clase="Administración")*FC_Base*FC_O*((FC_Mon="PYG")*BT$19+(FC_Mon&lt;&gt;"PYG"))*(1+FC_g)^(BT$17-1)*((FC_Desde=0)*(BT$16+BT$15)+(FC_Desde&gt;=1)*(BT$14&gt;=FC_Desde)*BT$15))</f>
        <v>5114.58575342466</v>
      </c>
      <c r="BU88" s="48" t="n">
        <f aca="false">SUMPRODUCT((FC_Clase="Administración")*FC_Base*FC_O*((FC_Mon="PYG")*BU$19+(FC_Mon&lt;&gt;"PYG"))*(1+FC_g)^(BU$17-1)*((FC_Desde=0)*(BU$16+BU$15)+(FC_Desde&gt;=1)*(BU$14&gt;=FC_Desde)*BU$15))</f>
        <v>5114.58575342466</v>
      </c>
      <c r="BV88" s="48" t="n">
        <f aca="false">SUMPRODUCT((FC_Clase="Administración")*FC_Base*FC_O*((FC_Mon="PYG")*BV$19+(FC_Mon&lt;&gt;"PYG"))*(1+FC_g)^(BV$17-1)*((FC_Desde=0)*(BV$16+BV$15)+(FC_Desde&gt;=1)*(BV$14&gt;=FC_Desde)*BV$15))</f>
        <v>5114.58575342466</v>
      </c>
      <c r="BW88" s="48" t="n">
        <f aca="false">SUMPRODUCT((FC_Clase="Administración")*FC_Base*FC_O*((FC_Mon="PYG")*BW$19+(FC_Mon&lt;&gt;"PYG"))*(1+FC_g)^(BW$17-1)*((FC_Desde=0)*(BW$16+BW$15)+(FC_Desde&gt;=1)*(BW$14&gt;=FC_Desde)*BW$15))</f>
        <v>5114.58575342466</v>
      </c>
      <c r="BX88" s="48" t="n">
        <f aca="false">SUMPRODUCT((FC_Clase="Administración")*FC_Base*FC_O*((FC_Mon="PYG")*BX$19+(FC_Mon&lt;&gt;"PYG"))*(1+FC_g)^(BX$17-1)*((FC_Desde=0)*(BX$16+BX$15)+(FC_Desde&gt;=1)*(BX$14&gt;=FC_Desde)*BX$15))</f>
        <v>5114.58575342466</v>
      </c>
      <c r="BY88" s="48" t="n">
        <f aca="false">SUMPRODUCT((FC_Clase="Administración")*FC_Base*FC_O*((FC_Mon="PYG")*BY$19+(FC_Mon&lt;&gt;"PYG"))*(1+FC_g)^(BY$17-1)*((FC_Desde=0)*(BY$16+BY$15)+(FC_Desde&gt;=1)*(BY$14&gt;=FC_Desde)*BY$15))</f>
        <v>5114.58575342466</v>
      </c>
      <c r="BZ88" s="48" t="n">
        <f aca="false">SUMPRODUCT((FC_Clase="Administración")*FC_Base*FC_O*((FC_Mon="PYG")*BZ$19+(FC_Mon&lt;&gt;"PYG"))*(1+FC_g)^(BZ$17-1)*((FC_Desde=0)*(BZ$16+BZ$15)+(FC_Desde&gt;=1)*(BZ$14&gt;=FC_Desde)*BZ$15))</f>
        <v>5114.58575342466</v>
      </c>
      <c r="CA88" s="48" t="n">
        <f aca="false">SUMPRODUCT((FC_Clase="Administración")*FC_Base*FC_O*((FC_Mon="PYG")*CA$19+(FC_Mon&lt;&gt;"PYG"))*(1+FC_g)^(CA$17-1)*((FC_Desde=0)*(CA$16+CA$15)+(FC_Desde&gt;=1)*(CA$14&gt;=FC_Desde)*CA$15))</f>
        <v>5114.58575342466</v>
      </c>
      <c r="CB88" s="48" t="n">
        <f aca="false">SUMPRODUCT((FC_Clase="Administración")*FC_Base*FC_O*((FC_Mon="PYG")*CB$19+(FC_Mon&lt;&gt;"PYG"))*(1+FC_g)^(CB$17-1)*((FC_Desde=0)*(CB$16+CB$15)+(FC_Desde&gt;=1)*(CB$14&gt;=FC_Desde)*CB$15))</f>
        <v>5114.58575342466</v>
      </c>
      <c r="CC88" s="48" t="n">
        <f aca="false">SUMPRODUCT((FC_Clase="Administración")*FC_Base*FC_O*((FC_Mon="PYG")*CC$19+(FC_Mon&lt;&gt;"PYG"))*(1+FC_g)^(CC$17-1)*((FC_Desde=0)*(CC$16+CC$15)+(FC_Desde&gt;=1)*(CC$14&gt;=FC_Desde)*CC$15))</f>
        <v>5114.58575342466</v>
      </c>
      <c r="CD88" s="48" t="n">
        <f aca="false">SUMPRODUCT((FC_Clase="Administración")*FC_Base*FC_O*((FC_Mon="PYG")*CD$19+(FC_Mon&lt;&gt;"PYG"))*(1+FC_g)^(CD$17-1)*((FC_Desde=0)*(CD$16+CD$15)+(FC_Desde&gt;=1)*(CD$14&gt;=FC_Desde)*CD$15))</f>
        <v>5114.58575342466</v>
      </c>
      <c r="CE88" s="48" t="n">
        <f aca="false">SUMPRODUCT((FC_Clase="Administración")*FC_Base*FC_O*((FC_Mon="PYG")*CE$19+(FC_Mon&lt;&gt;"PYG"))*(1+FC_g)^(CE$17-1)*((FC_Desde=0)*(CE$16+CE$15)+(FC_Desde&gt;=1)*(CE$14&gt;=FC_Desde)*CE$15))</f>
        <v>5114.58575342466</v>
      </c>
      <c r="CF88" s="48" t="n">
        <f aca="false">SUMPRODUCT((FC_Clase="Administración")*FC_Base*FC_O*((FC_Mon="PYG")*CF$19+(FC_Mon&lt;&gt;"PYG"))*(1+FC_g)^(CF$17-1)*((FC_Desde=0)*(CF$16+CF$15)+(FC_Desde&gt;=1)*(CF$14&gt;=FC_Desde)*CF$15))</f>
        <v>5114.58575342466</v>
      </c>
      <c r="CG88" s="48" t="n">
        <f aca="false">SUMPRODUCT((FC_Clase="Administración")*FC_Base*FC_O*((FC_Mon="PYG")*CG$19+(FC_Mon&lt;&gt;"PYG"))*(1+FC_g)^(CG$17-1)*((FC_Desde=0)*(CG$16+CG$15)+(FC_Desde&gt;=1)*(CG$14&gt;=FC_Desde)*CG$15))</f>
        <v>5114.58575342466</v>
      </c>
      <c r="CH88" s="48" t="n">
        <f aca="false">SUMPRODUCT((FC_Clase="Administración")*FC_Base*FC_O*((FC_Mon="PYG")*CH$19+(FC_Mon&lt;&gt;"PYG"))*(1+FC_g)^(CH$17-1)*((FC_Desde=0)*(CH$16+CH$15)+(FC_Desde&gt;=1)*(CH$14&gt;=FC_Desde)*CH$15))</f>
        <v>5114.58575342466</v>
      </c>
      <c r="CI88" s="48" t="n">
        <f aca="false">SUMPRODUCT((FC_Clase="Administración")*FC_Base*FC_O*((FC_Mon="PYG")*CI$19+(FC_Mon&lt;&gt;"PYG"))*(1+FC_g)^(CI$17-1)*((FC_Desde=0)*(CI$16+CI$15)+(FC_Desde&gt;=1)*(CI$14&gt;=FC_Desde)*CI$15))</f>
        <v>5114.58575342466</v>
      </c>
      <c r="CJ88" s="48" t="n">
        <f aca="false">SUMPRODUCT((FC_Clase="Administración")*FC_Base*FC_O*((FC_Mon="PYG")*CJ$19+(FC_Mon&lt;&gt;"PYG"))*(1+FC_g)^(CJ$17-1)*((FC_Desde=0)*(CJ$16+CJ$15)+(FC_Desde&gt;=1)*(CJ$14&gt;=FC_Desde)*CJ$15))</f>
        <v>5114.58575342466</v>
      </c>
      <c r="CK88" s="48" t="n">
        <f aca="false">SUMPRODUCT((FC_Clase="Administración")*FC_Base*FC_O*((FC_Mon="PYG")*CK$19+(FC_Mon&lt;&gt;"PYG"))*(1+FC_g)^(CK$17-1)*((FC_Desde=0)*(CK$16+CK$15)+(FC_Desde&gt;=1)*(CK$14&gt;=FC_Desde)*CK$15))</f>
        <v>5114.58575342466</v>
      </c>
      <c r="CL88" s="48" t="n">
        <f aca="false">SUMPRODUCT((FC_Clase="Administración")*FC_Base*FC_O*((FC_Mon="PYG")*CL$19+(FC_Mon&lt;&gt;"PYG"))*(1+FC_g)^(CL$17-1)*((FC_Desde=0)*(CL$16+CL$15)+(FC_Desde&gt;=1)*(CL$14&gt;=FC_Desde)*CL$15))</f>
        <v>5114.58575342466</v>
      </c>
      <c r="CM88" s="48" t="n">
        <f aca="false">SUMPRODUCT((FC_Clase="Administración")*FC_Base*FC_O*((FC_Mon="PYG")*CM$19+(FC_Mon&lt;&gt;"PYG"))*(1+FC_g)^(CM$17-1)*((FC_Desde=0)*(CM$16+CM$15)+(FC_Desde&gt;=1)*(CM$14&gt;=FC_Desde)*CM$15))</f>
        <v>5114.58575342466</v>
      </c>
      <c r="CN88" s="48" t="n">
        <f aca="false">SUMPRODUCT((FC_Clase="Administración")*FC_Base*FC_O*((FC_Mon="PYG")*CN$19+(FC_Mon&lt;&gt;"PYG"))*(1+FC_g)^(CN$17-1)*((FC_Desde=0)*(CN$16+CN$15)+(FC_Desde&gt;=1)*(CN$14&gt;=FC_Desde)*CN$15))</f>
        <v>5114.58575342466</v>
      </c>
      <c r="CO88" s="48" t="n">
        <f aca="false">SUMPRODUCT((FC_Clase="Administración")*FC_Base*FC_O*((FC_Mon="PYG")*CO$19+(FC_Mon&lt;&gt;"PYG"))*(1+FC_g)^(CO$17-1)*((FC_Desde=0)*(CO$16+CO$15)+(FC_Desde&gt;=1)*(CO$14&gt;=FC_Desde)*CO$15))</f>
        <v>5114.58575342466</v>
      </c>
      <c r="CP88" s="48" t="n">
        <f aca="false">SUMPRODUCT((FC_Clase="Administración")*FC_Base*FC_O*((FC_Mon="PYG")*CP$19+(FC_Mon&lt;&gt;"PYG"))*(1+FC_g)^(CP$17-1)*((FC_Desde=0)*(CP$16+CP$15)+(FC_Desde&gt;=1)*(CP$14&gt;=FC_Desde)*CP$15))</f>
        <v>5114.58575342466</v>
      </c>
      <c r="CQ88" s="48" t="n">
        <f aca="false">SUMPRODUCT((FC_Clase="Administración")*FC_Base*FC_O*((FC_Mon="PYG")*CQ$19+(FC_Mon&lt;&gt;"PYG"))*(1+FC_g)^(CQ$17-1)*((FC_Desde=0)*(CQ$16+CQ$15)+(FC_Desde&gt;=1)*(CQ$14&gt;=FC_Desde)*CQ$15))</f>
        <v>5114.58575342466</v>
      </c>
      <c r="CR88" s="48" t="n">
        <f aca="false">SUMPRODUCT((FC_Clase="Administración")*FC_Base*FC_O*((FC_Mon="PYG")*CR$19+(FC_Mon&lt;&gt;"PYG"))*(1+FC_g)^(CR$17-1)*((FC_Desde=0)*(CR$16+CR$15)+(FC_Desde&gt;=1)*(CR$14&gt;=FC_Desde)*CR$15))</f>
        <v>5114.58575342466</v>
      </c>
      <c r="CS88" s="48" t="n">
        <f aca="false">SUMPRODUCT((FC_Clase="Administración")*FC_Base*FC_O*((FC_Mon="PYG")*CS$19+(FC_Mon&lt;&gt;"PYG"))*(1+FC_g)^(CS$17-1)*((FC_Desde=0)*(CS$16+CS$15)+(FC_Desde&gt;=1)*(CS$14&gt;=FC_Desde)*CS$15))</f>
        <v>5114.58575342466</v>
      </c>
      <c r="CT88" s="48" t="n">
        <f aca="false">SUMPRODUCT((FC_Clase="Administración")*FC_Base*FC_O*((FC_Mon="PYG")*CT$19+(FC_Mon&lt;&gt;"PYG"))*(1+FC_g)^(CT$17-1)*((FC_Desde=0)*(CT$16+CT$15)+(FC_Desde&gt;=1)*(CT$14&gt;=FC_Desde)*CT$15))</f>
        <v>5114.58575342466</v>
      </c>
      <c r="CU88" s="48" t="n">
        <f aca="false">SUMPRODUCT((FC_Clase="Administración")*FC_Base*FC_O*((FC_Mon="PYG")*CU$19+(FC_Mon&lt;&gt;"PYG"))*(1+FC_g)^(CU$17-1)*((FC_Desde=0)*(CU$16+CU$15)+(FC_Desde&gt;=1)*(CU$14&gt;=FC_Desde)*CU$15))</f>
        <v>5114.58575342466</v>
      </c>
      <c r="CV88" s="48" t="n">
        <f aca="false">SUMPRODUCT((FC_Clase="Administración")*FC_Base*FC_O*((FC_Mon="PYG")*CV$19+(FC_Mon&lt;&gt;"PYG"))*(1+FC_g)^(CV$17-1)*((FC_Desde=0)*(CV$16+CV$15)+(FC_Desde&gt;=1)*(CV$14&gt;=FC_Desde)*CV$15))</f>
        <v>5114.58575342466</v>
      </c>
      <c r="CW88" s="48" t="n">
        <f aca="false">SUMPRODUCT((FC_Clase="Administración")*FC_Base*FC_O*((FC_Mon="PYG")*CW$19+(FC_Mon&lt;&gt;"PYG"))*(1+FC_g)^(CW$17-1)*((FC_Desde=0)*(CW$16+CW$15)+(FC_Desde&gt;=1)*(CW$14&gt;=FC_Desde)*CW$15))</f>
        <v>5114.58575342466</v>
      </c>
      <c r="CX88" s="48" t="n">
        <f aca="false">SUMPRODUCT((FC_Clase="Administración")*FC_Base*FC_O*((FC_Mon="PYG")*CX$19+(FC_Mon&lt;&gt;"PYG"))*(1+FC_g)^(CX$17-1)*((FC_Desde=0)*(CX$16+CX$15)+(FC_Desde&gt;=1)*(CX$14&gt;=FC_Desde)*CX$15))</f>
        <v>5114.58575342466</v>
      </c>
      <c r="CY88" s="48" t="n">
        <f aca="false">SUMPRODUCT((FC_Clase="Administración")*FC_Base*FC_O*((FC_Mon="PYG")*CY$19+(FC_Mon&lt;&gt;"PYG"))*(1+FC_g)^(CY$17-1)*((FC_Desde=0)*(CY$16+CY$15)+(FC_Desde&gt;=1)*(CY$14&gt;=FC_Desde)*CY$15))</f>
        <v>5114.58575342466</v>
      </c>
      <c r="CZ88" s="48" t="n">
        <f aca="false">SUMPRODUCT((FC_Clase="Administración")*FC_Base*FC_O*((FC_Mon="PYG")*CZ$19+(FC_Mon&lt;&gt;"PYG"))*(1+FC_g)^(CZ$17-1)*((FC_Desde=0)*(CZ$16+CZ$15)+(FC_Desde&gt;=1)*(CZ$14&gt;=FC_Desde)*CZ$15))</f>
        <v>5114.58575342466</v>
      </c>
      <c r="DA88" s="48" t="n">
        <f aca="false">SUMPRODUCT((FC_Clase="Administración")*FC_Base*FC_O*((FC_Mon="PYG")*DA$19+(FC_Mon&lt;&gt;"PYG"))*(1+FC_g)^(DA$17-1)*((FC_Desde=0)*(DA$16+DA$15)+(FC_Desde&gt;=1)*(DA$14&gt;=FC_Desde)*DA$15))</f>
        <v>5114.58575342466</v>
      </c>
      <c r="DB88" s="48" t="n">
        <f aca="false">SUMPRODUCT((FC_Clase="Administración")*FC_Base*FC_O*((FC_Mon="PYG")*DB$19+(FC_Mon&lt;&gt;"PYG"))*(1+FC_g)^(DB$17-1)*((FC_Desde=0)*(DB$16+DB$15)+(FC_Desde&gt;=1)*(DB$14&gt;=FC_Desde)*DB$15))</f>
        <v>5114.58575342466</v>
      </c>
      <c r="DC88" s="48" t="n">
        <f aca="false">SUMPRODUCT((FC_Clase="Administración")*FC_Base*FC_O*((FC_Mon="PYG")*DC$19+(FC_Mon&lt;&gt;"PYG"))*(1+FC_g)^(DC$17-1)*((FC_Desde=0)*(DC$16+DC$15)+(FC_Desde&gt;=1)*(DC$14&gt;=FC_Desde)*DC$15))</f>
        <v>5114.58575342466</v>
      </c>
      <c r="DD88" s="48" t="n">
        <f aca="false">SUMPRODUCT((FC_Clase="Administración")*FC_Base*FC_O*((FC_Mon="PYG")*DD$19+(FC_Mon&lt;&gt;"PYG"))*(1+FC_g)^(DD$17-1)*((FC_Desde=0)*(DD$16+DD$15)+(FC_Desde&gt;=1)*(DD$14&gt;=FC_Desde)*DD$15))</f>
        <v>5114.58575342466</v>
      </c>
      <c r="DE88" s="48" t="n">
        <f aca="false">SUMPRODUCT((FC_Clase="Administración")*FC_Base*FC_O*((FC_Mon="PYG")*DE$19+(FC_Mon&lt;&gt;"PYG"))*(1+FC_g)^(DE$17-1)*((FC_Desde=0)*(DE$16+DE$15)+(FC_Desde&gt;=1)*(DE$14&gt;=FC_Desde)*DE$15))</f>
        <v>5114.58575342466</v>
      </c>
      <c r="DF88" s="48" t="n">
        <f aca="false">SUMPRODUCT((FC_Clase="Administración")*FC_Base*FC_O*((FC_Mon="PYG")*DF$19+(FC_Mon&lt;&gt;"PYG"))*(1+FC_g)^(DF$17-1)*((FC_Desde=0)*(DF$16+DF$15)+(FC_Desde&gt;=1)*(DF$14&gt;=FC_Desde)*DF$15))</f>
        <v>5114.58575342466</v>
      </c>
      <c r="DG88" s="48" t="n">
        <f aca="false">SUMPRODUCT((FC_Clase="Administración")*FC_Base*FC_O*((FC_Mon="PYG")*DG$19+(FC_Mon&lt;&gt;"PYG"))*(1+FC_g)^(DG$17-1)*((FC_Desde=0)*(DG$16+DG$15)+(FC_Desde&gt;=1)*(DG$14&gt;=FC_Desde)*DG$15))</f>
        <v>5114.58575342466</v>
      </c>
      <c r="DH88" s="48" t="n">
        <f aca="false">SUMPRODUCT((FC_Clase="Administración")*FC_Base*FC_O*((FC_Mon="PYG")*DH$19+(FC_Mon&lt;&gt;"PYG"))*(1+FC_g)^(DH$17-1)*((FC_Desde=0)*(DH$16+DH$15)+(FC_Desde&gt;=1)*(DH$14&gt;=FC_Desde)*DH$15))</f>
        <v>5114.58575342466</v>
      </c>
      <c r="DI88" s="48" t="n">
        <f aca="false">SUMPRODUCT((FC_Clase="Administración")*FC_Base*FC_O*((FC_Mon="PYG")*DI$19+(FC_Mon&lt;&gt;"PYG"))*(1+FC_g)^(DI$17-1)*((FC_Desde=0)*(DI$16+DI$15)+(FC_Desde&gt;=1)*(DI$14&gt;=FC_Desde)*DI$15))</f>
        <v>5114.58575342466</v>
      </c>
      <c r="DJ88" s="48" t="n">
        <f aca="false">SUMPRODUCT((FC_Clase="Administración")*FC_Base*FC_O*((FC_Mon="PYG")*DJ$19+(FC_Mon&lt;&gt;"PYG"))*(1+FC_g)^(DJ$17-1)*((FC_Desde=0)*(DJ$16+DJ$15)+(FC_Desde&gt;=1)*(DJ$14&gt;=FC_Desde)*DJ$15))</f>
        <v>5114.58575342466</v>
      </c>
      <c r="DK88" s="48" t="n">
        <f aca="false">SUMPRODUCT((FC_Clase="Administración")*FC_Base*FC_O*((FC_Mon="PYG")*DK$19+(FC_Mon&lt;&gt;"PYG"))*(1+FC_g)^(DK$17-1)*((FC_Desde=0)*(DK$16+DK$15)+(FC_Desde&gt;=1)*(DK$14&gt;=FC_Desde)*DK$15))</f>
        <v>5114.58575342466</v>
      </c>
      <c r="DL88" s="48" t="n">
        <f aca="false">SUMPRODUCT((FC_Clase="Administración")*FC_Base*FC_O*((FC_Mon="PYG")*DL$19+(FC_Mon&lt;&gt;"PYG"))*(1+FC_g)^(DL$17-1)*((FC_Desde=0)*(DL$16+DL$15)+(FC_Desde&gt;=1)*(DL$14&gt;=FC_Desde)*DL$15))</f>
        <v>5114.58575342466</v>
      </c>
      <c r="DM88" s="48" t="n">
        <f aca="false">SUMPRODUCT((FC_Clase="Administración")*FC_Base*FC_O*((FC_Mon="PYG")*DM$19+(FC_Mon&lt;&gt;"PYG"))*(1+FC_g)^(DM$17-1)*((FC_Desde=0)*(DM$16+DM$15)+(FC_Desde&gt;=1)*(DM$14&gt;=FC_Desde)*DM$15))</f>
        <v>5114.58575342466</v>
      </c>
      <c r="DN88" s="48" t="n">
        <f aca="false">SUMPRODUCT((FC_Clase="Administración")*FC_Base*FC_O*((FC_Mon="PYG")*DN$19+(FC_Mon&lt;&gt;"PYG"))*(1+FC_g)^(DN$17-1)*((FC_Desde=0)*(DN$16+DN$15)+(FC_Desde&gt;=1)*(DN$14&gt;=FC_Desde)*DN$15))</f>
        <v>5114.58575342466</v>
      </c>
      <c r="DO88" s="48" t="n">
        <f aca="false">SUMPRODUCT((FC_Clase="Administración")*FC_Base*FC_O*((FC_Mon="PYG")*DO$19+(FC_Mon&lt;&gt;"PYG"))*(1+FC_g)^(DO$17-1)*((FC_Desde=0)*(DO$16+DO$15)+(FC_Desde&gt;=1)*(DO$14&gt;=FC_Desde)*DO$15))</f>
        <v>5114.58575342466</v>
      </c>
      <c r="DP88" s="48" t="n">
        <f aca="false">SUMPRODUCT((FC_Clase="Administración")*FC_Base*FC_O*((FC_Mon="PYG")*DP$19+(FC_Mon&lt;&gt;"PYG"))*(1+FC_g)^(DP$17-1)*((FC_Desde=0)*(DP$16+DP$15)+(FC_Desde&gt;=1)*(DP$14&gt;=FC_Desde)*DP$15))</f>
        <v>5114.58575342466</v>
      </c>
      <c r="DQ88" s="48" t="n">
        <f aca="false">SUMPRODUCT((FC_Clase="Administración")*FC_Base*FC_O*((FC_Mon="PYG")*DQ$19+(FC_Mon&lt;&gt;"PYG"))*(1+FC_g)^(DQ$17-1)*((FC_Desde=0)*(DQ$16+DQ$15)+(FC_Desde&gt;=1)*(DQ$14&gt;=FC_Desde)*DQ$15))</f>
        <v>5114.58575342466</v>
      </c>
      <c r="DR88" s="48" t="n">
        <f aca="false">SUMPRODUCT((FC_Clase="Administración")*FC_Base*FC_O*((FC_Mon="PYG")*DR$19+(FC_Mon&lt;&gt;"PYG"))*(1+FC_g)^(DR$17-1)*((FC_Desde=0)*(DR$16+DR$15)+(FC_Desde&gt;=1)*(DR$14&gt;=FC_Desde)*DR$15))</f>
        <v>5114.58575342466</v>
      </c>
      <c r="DS88" s="48" t="n">
        <f aca="false">SUMPRODUCT((FC_Clase="Administración")*FC_Base*FC_O*((FC_Mon="PYG")*DS$19+(FC_Mon&lt;&gt;"PYG"))*(1+FC_g)^(DS$17-1)*((FC_Desde=0)*(DS$16+DS$15)+(FC_Desde&gt;=1)*(DS$14&gt;=FC_Desde)*DS$15))</f>
        <v>5114.58575342466</v>
      </c>
      <c r="DT88" s="48" t="n">
        <f aca="false">SUMPRODUCT((FC_Clase="Administración")*FC_Base*FC_O*((FC_Mon="PYG")*DT$19+(FC_Mon&lt;&gt;"PYG"))*(1+FC_g)^(DT$17-1)*((FC_Desde=0)*(DT$16+DT$15)+(FC_Desde&gt;=1)*(DT$14&gt;=FC_Desde)*DT$15))</f>
        <v>5114.58575342466</v>
      </c>
      <c r="DU88" s="48" t="n">
        <f aca="false">SUMPRODUCT((FC_Clase="Administración")*FC_Base*FC_O*((FC_Mon="PYG")*DU$19+(FC_Mon&lt;&gt;"PYG"))*(1+FC_g)^(DU$17-1)*((FC_Desde=0)*(DU$16+DU$15)+(FC_Desde&gt;=1)*(DU$14&gt;=FC_Desde)*DU$15))</f>
        <v>5114.58575342466</v>
      </c>
      <c r="DV88" s="48" t="n">
        <f aca="false">SUMPRODUCT((FC_Clase="Administración")*FC_Base*FC_O*((FC_Mon="PYG")*DV$19+(FC_Mon&lt;&gt;"PYG"))*(1+FC_g)^(DV$17-1)*((FC_Desde=0)*(DV$16+DV$15)+(FC_Desde&gt;=1)*(DV$14&gt;=FC_Desde)*DV$15))</f>
        <v>0</v>
      </c>
      <c r="DW88" s="48" t="n">
        <f aca="false">SUMPRODUCT((FC_Clase="Administración")*FC_Base*FC_O*((FC_Mon="PYG")*DW$19+(FC_Mon&lt;&gt;"PYG"))*(1+FC_g)^(DW$17-1)*((FC_Desde=0)*(DW$16+DW$15)+(FC_Desde&gt;=1)*(DW$14&gt;=FC_Desde)*DW$15))</f>
        <v>0</v>
      </c>
      <c r="DX88" s="48" t="n">
        <f aca="false">SUMPRODUCT((FC_Clase="Administración")*FC_Base*FC_O*((FC_Mon="PYG")*DX$19+(FC_Mon&lt;&gt;"PYG"))*(1+FC_g)^(DX$17-1)*((FC_Desde=0)*(DX$16+DX$15)+(FC_Desde&gt;=1)*(DX$14&gt;=FC_Desde)*DX$15))</f>
        <v>0</v>
      </c>
      <c r="DY88" s="48" t="n">
        <f aca="false">SUMPRODUCT((FC_Clase="Administración")*FC_Base*FC_O*((FC_Mon="PYG")*DY$19+(FC_Mon&lt;&gt;"PYG"))*(1+FC_g)^(DY$17-1)*((FC_Desde=0)*(DY$16+DY$15)+(FC_Desde&gt;=1)*(DY$14&gt;=FC_Desde)*DY$15))</f>
        <v>0</v>
      </c>
      <c r="DZ88" s="48" t="n">
        <f aca="false">SUMPRODUCT((FC_Clase="Administración")*FC_Base*FC_O*((FC_Mon="PYG")*DZ$19+(FC_Mon&lt;&gt;"PYG"))*(1+FC_g)^(DZ$17-1)*((FC_Desde=0)*(DZ$16+DZ$15)+(FC_Desde&gt;=1)*(DZ$14&gt;=FC_Desde)*DZ$15))</f>
        <v>0</v>
      </c>
      <c r="EA88" s="48" t="n">
        <f aca="false">SUMPRODUCT((FC_Clase="Administración")*FC_Base*FC_O*((FC_Mon="PYG")*EA$19+(FC_Mon&lt;&gt;"PYG"))*(1+FC_g)^(EA$17-1)*((FC_Desde=0)*(EA$16+EA$15)+(FC_Desde&gt;=1)*(EA$14&gt;=FC_Desde)*EA$15))</f>
        <v>0</v>
      </c>
      <c r="EB88" s="48" t="n">
        <f aca="false">SUMPRODUCT((FC_Clase="Administración")*FC_Base*FC_O*((FC_Mon="PYG")*EB$19+(FC_Mon&lt;&gt;"PYG"))*(1+FC_g)^(EB$17-1)*((FC_Desde=0)*(EB$16+EB$15)+(FC_Desde&gt;=1)*(EB$14&gt;=FC_Desde)*EB$15))</f>
        <v>0</v>
      </c>
      <c r="EC88" s="48" t="n">
        <f aca="false">SUMPRODUCT((FC_Clase="Administración")*FC_Base*FC_O*((FC_Mon="PYG")*EC$19+(FC_Mon&lt;&gt;"PYG"))*(1+FC_g)^(EC$17-1)*((FC_Desde=0)*(EC$16+EC$15)+(FC_Desde&gt;=1)*(EC$14&gt;=FC_Desde)*EC$15))</f>
        <v>0</v>
      </c>
      <c r="ED88" s="48" t="n">
        <f aca="false">SUMPRODUCT((FC_Clase="Administración")*FC_Base*FC_O*((FC_Mon="PYG")*ED$19+(FC_Mon&lt;&gt;"PYG"))*(1+FC_g)^(ED$17-1)*((FC_Desde=0)*(ED$16+ED$15)+(FC_Desde&gt;=1)*(ED$14&gt;=FC_Desde)*ED$15))</f>
        <v>0</v>
      </c>
      <c r="EE88" s="48" t="n">
        <f aca="false">SUMPRODUCT((FC_Clase="Administración")*FC_Base*FC_O*((FC_Mon="PYG")*EE$19+(FC_Mon&lt;&gt;"PYG"))*(1+FC_g)^(EE$17-1)*((FC_Desde=0)*(EE$16+EE$15)+(FC_Desde&gt;=1)*(EE$14&gt;=FC_Desde)*EE$15))</f>
        <v>0</v>
      </c>
      <c r="EF88" s="48" t="n">
        <f aca="false">SUMPRODUCT((FC_Clase="Administración")*FC_Base*FC_O*((FC_Mon="PYG")*EF$19+(FC_Mon&lt;&gt;"PYG"))*(1+FC_g)^(EF$17-1)*((FC_Desde=0)*(EF$16+EF$15)+(FC_Desde&gt;=1)*(EF$14&gt;=FC_Desde)*EF$15))</f>
        <v>0</v>
      </c>
      <c r="EG88" s="48" t="n">
        <f aca="false">SUMPRODUCT((FC_Clase="Administración")*FC_Base*FC_O*((FC_Mon="PYG")*EG$19+(FC_Mon&lt;&gt;"PYG"))*(1+FC_g)^(EG$17-1)*((FC_Desde=0)*(EG$16+EG$15)+(FC_Desde&gt;=1)*(EG$14&gt;=FC_Desde)*EG$15))</f>
        <v>0</v>
      </c>
      <c r="EH88" s="48" t="n">
        <f aca="false">SUMPRODUCT((FC_Clase="Administración")*FC_Base*FC_O*((FC_Mon="PYG")*EH$19+(FC_Mon&lt;&gt;"PYG"))*(1+FC_g)^(EH$17-1)*((FC_Desde=0)*(EH$16+EH$15)+(FC_Desde&gt;=1)*(EH$14&gt;=FC_Desde)*EH$15))</f>
        <v>0</v>
      </c>
      <c r="EI88" s="48" t="n">
        <f aca="false">SUMPRODUCT((FC_Clase="Administración")*FC_Base*FC_O*((FC_Mon="PYG")*EI$19+(FC_Mon&lt;&gt;"PYG"))*(1+FC_g)^(EI$17-1)*((FC_Desde=0)*(EI$16+EI$15)+(FC_Desde&gt;=1)*(EI$14&gt;=FC_Desde)*EI$15))</f>
        <v>0</v>
      </c>
      <c r="EJ88" s="48" t="n">
        <f aca="false">SUMPRODUCT((FC_Clase="Administración")*FC_Base*FC_O*((FC_Mon="PYG")*EJ$19+(FC_Mon&lt;&gt;"PYG"))*(1+FC_g)^(EJ$17-1)*((FC_Desde=0)*(EJ$16+EJ$15)+(FC_Desde&gt;=1)*(EJ$14&gt;=FC_Desde)*EJ$15))</f>
        <v>0</v>
      </c>
      <c r="EK88" s="48" t="n">
        <f aca="false">SUMPRODUCT((FC_Clase="Administración")*FC_Base*FC_O*((FC_Mon="PYG")*EK$19+(FC_Mon&lt;&gt;"PYG"))*(1+FC_g)^(EK$17-1)*((FC_Desde=0)*(EK$16+EK$15)+(FC_Desde&gt;=1)*(EK$14&gt;=FC_Desde)*EK$15))</f>
        <v>0</v>
      </c>
      <c r="EL88" s="48" t="n">
        <f aca="false">SUMPRODUCT((FC_Clase="Administración")*FC_Base*FC_O*((FC_Mon="PYG")*EL$19+(FC_Mon&lt;&gt;"PYG"))*(1+FC_g)^(EL$17-1)*((FC_Desde=0)*(EL$16+EL$15)+(FC_Desde&gt;=1)*(EL$14&gt;=FC_Desde)*EL$15))</f>
        <v>0</v>
      </c>
      <c r="EM88" s="48" t="n">
        <f aca="false">SUMPRODUCT((FC_Clase="Administración")*FC_Base*FC_O*((FC_Mon="PYG")*EM$19+(FC_Mon&lt;&gt;"PYG"))*(1+FC_g)^(EM$17-1)*((FC_Desde=0)*(EM$16+EM$15)+(FC_Desde&gt;=1)*(EM$14&gt;=FC_Desde)*EM$15))</f>
        <v>0</v>
      </c>
      <c r="EN88" s="48" t="n">
        <f aca="false">SUMPRODUCT((FC_Clase="Administración")*FC_Base*FC_O*((FC_Mon="PYG")*EN$19+(FC_Mon&lt;&gt;"PYG"))*(1+FC_g)^(EN$17-1)*((FC_Desde=0)*(EN$16+EN$15)+(FC_Desde&gt;=1)*(EN$14&gt;=FC_Desde)*EN$15))</f>
        <v>0</v>
      </c>
      <c r="EO88" s="48" t="n">
        <f aca="false">SUMPRODUCT((FC_Clase="Administración")*FC_Base*FC_O*((FC_Mon="PYG")*EO$19+(FC_Mon&lt;&gt;"PYG"))*(1+FC_g)^(EO$17-1)*((FC_Desde=0)*(EO$16+EO$15)+(FC_Desde&gt;=1)*(EO$14&gt;=FC_Desde)*EO$15))</f>
        <v>0</v>
      </c>
      <c r="EP88" s="48" t="n">
        <f aca="false">SUMPRODUCT((FC_Clase="Administración")*FC_Base*FC_O*((FC_Mon="PYG")*EP$19+(FC_Mon&lt;&gt;"PYG"))*(1+FC_g)^(EP$17-1)*((FC_Desde=0)*(EP$16+EP$15)+(FC_Desde&gt;=1)*(EP$14&gt;=FC_Desde)*EP$15))</f>
        <v>0</v>
      </c>
      <c r="EQ88" s="48" t="n">
        <f aca="false">SUMPRODUCT((FC_Clase="Administración")*FC_Base*FC_O*((FC_Mon="PYG")*EQ$19+(FC_Mon&lt;&gt;"PYG"))*(1+FC_g)^(EQ$17-1)*((FC_Desde=0)*(EQ$16+EQ$15)+(FC_Desde&gt;=1)*(EQ$14&gt;=FC_Desde)*EQ$15))</f>
        <v>0</v>
      </c>
      <c r="ER88" s="48" t="n">
        <f aca="false">SUMPRODUCT((FC_Clase="Administración")*FC_Base*FC_O*((FC_Mon="PYG")*ER$19+(FC_Mon&lt;&gt;"PYG"))*(1+FC_g)^(ER$17-1)*((FC_Desde=0)*(ER$16+ER$15)+(FC_Desde&gt;=1)*(ER$14&gt;=FC_Desde)*ER$15))</f>
        <v>0</v>
      </c>
      <c r="ES88" s="48" t="n">
        <f aca="false">SUMPRODUCT((FC_Clase="Administración")*FC_Base*FC_O*((FC_Mon="PYG")*ES$19+(FC_Mon&lt;&gt;"PYG"))*(1+FC_g)^(ES$17-1)*((FC_Desde=0)*(ES$16+ES$15)+(FC_Desde&gt;=1)*(ES$14&gt;=FC_Desde)*ES$15))</f>
        <v>0</v>
      </c>
    </row>
    <row r="89" customFormat="false" ht="15" hidden="false" customHeight="false" outlineLevel="0" collapsed="false">
      <c r="A89" s="11" t="s">
        <v>1150</v>
      </c>
      <c r="B89" s="15" t="s">
        <v>1151</v>
      </c>
      <c r="C89" s="15" t="s">
        <v>508</v>
      </c>
      <c r="E89" s="54" t="n">
        <f aca="false">SUM(F89:ES89)</f>
        <v>2851501.29749091</v>
      </c>
      <c r="F89" s="48" t="n">
        <f aca="false">P_ImpP*(F$73+F$74+F$75+F$76+F$83+F$84+F$78+F$80+F$86)</f>
        <v>15479.5332084976</v>
      </c>
      <c r="G89" s="48" t="n">
        <f aca="false">P_ImpP*(G$73+G$74+G$75+G$76+G$83+G$84+G$78+G$80+G$86)</f>
        <v>15479.5332084976</v>
      </c>
      <c r="H89" s="48" t="n">
        <f aca="false">P_ImpP*(H$73+H$74+H$75+H$76+H$83+H$84+H$78+H$80+H$86)</f>
        <v>15479.5332084976</v>
      </c>
      <c r="I89" s="48" t="n">
        <f aca="false">P_ImpP*(I$73+I$74+I$75+I$76+I$83+I$84+I$78+I$80+I$86)</f>
        <v>15479.5332084976</v>
      </c>
      <c r="J89" s="48" t="n">
        <f aca="false">P_ImpP*(J$73+J$74+J$75+J$76+J$83+J$84+J$78+J$80+J$86)</f>
        <v>15479.5332084976</v>
      </c>
      <c r="K89" s="48" t="n">
        <f aca="false">P_ImpP*(K$73+K$74+K$75+K$76+K$83+K$84+K$78+K$80+K$86)</f>
        <v>15479.5332084976</v>
      </c>
      <c r="L89" s="48" t="n">
        <f aca="false">P_ImpP*(L$73+L$74+L$75+L$76+L$83+L$84+L$78+L$80+L$86)</f>
        <v>15479.5332084976</v>
      </c>
      <c r="M89" s="48" t="n">
        <f aca="false">P_ImpP*(M$73+M$74+M$75+M$76+M$83+M$84+M$78+M$80+M$86)</f>
        <v>15479.5332084976</v>
      </c>
      <c r="N89" s="48" t="n">
        <f aca="false">P_ImpP*(N$73+N$74+N$75+N$76+N$83+N$84+N$78+N$80+N$86)</f>
        <v>15479.5332084976</v>
      </c>
      <c r="O89" s="48" t="n">
        <f aca="false">P_ImpP*(O$73+O$74+O$75+O$76+O$83+O$84+O$78+O$80+O$86)</f>
        <v>15479.5332084976</v>
      </c>
      <c r="P89" s="48" t="n">
        <f aca="false">P_ImpP*(P$73+P$74+P$75+P$76+P$83+P$84+P$78+P$80+P$86)</f>
        <v>15479.5332084976</v>
      </c>
      <c r="Q89" s="48" t="n">
        <f aca="false">P_ImpP*(Q$73+Q$74+Q$75+Q$76+Q$83+Q$84+Q$78+Q$80+Q$86)</f>
        <v>15479.5332084976</v>
      </c>
      <c r="R89" s="48" t="n">
        <f aca="false">P_ImpP*(R$73+R$74+R$75+R$76+R$83+R$84+R$78+R$80+R$86)</f>
        <v>18874.3773742893</v>
      </c>
      <c r="S89" s="48" t="n">
        <f aca="false">P_ImpP*(S$73+S$74+S$75+S$76+S$83+S$84+S$78+S$80+S$86)</f>
        <v>18874.3773742893</v>
      </c>
      <c r="T89" s="48" t="n">
        <f aca="false">P_ImpP*(T$73+T$74+T$75+T$76+T$83+T$84+T$78+T$80+T$86)</f>
        <v>18874.3773742893</v>
      </c>
      <c r="U89" s="48" t="n">
        <f aca="false">P_ImpP*(U$73+U$74+U$75+U$76+U$83+U$84+U$78+U$80+U$86)</f>
        <v>18874.3773742893</v>
      </c>
      <c r="V89" s="48" t="n">
        <f aca="false">P_ImpP*(V$73+V$74+V$75+V$76+V$83+V$84+V$78+V$80+V$86)</f>
        <v>18874.3773742893</v>
      </c>
      <c r="W89" s="48" t="n">
        <f aca="false">P_ImpP*(W$73+W$74+W$75+W$76+W$83+W$84+W$78+W$80+W$86)</f>
        <v>18874.3773742893</v>
      </c>
      <c r="X89" s="48" t="n">
        <f aca="false">P_ImpP*(X$73+X$74+X$75+X$76+X$83+X$84+X$78+X$80+X$86)</f>
        <v>18874.3773742893</v>
      </c>
      <c r="Y89" s="48" t="n">
        <f aca="false">P_ImpP*(Y$73+Y$74+Y$75+Y$76+Y$83+Y$84+Y$78+Y$80+Y$86)</f>
        <v>18874.3773742893</v>
      </c>
      <c r="Z89" s="48" t="n">
        <f aca="false">P_ImpP*(Z$73+Z$74+Z$75+Z$76+Z$83+Z$84+Z$78+Z$80+Z$86)</f>
        <v>18874.3773742893</v>
      </c>
      <c r="AA89" s="48" t="n">
        <f aca="false">P_ImpP*(AA$73+AA$74+AA$75+AA$76+AA$83+AA$84+AA$78+AA$80+AA$86)</f>
        <v>18874.3773742893</v>
      </c>
      <c r="AB89" s="48" t="n">
        <f aca="false">P_ImpP*(AB$73+AB$74+AB$75+AB$76+AB$83+AB$84+AB$78+AB$80+AB$86)</f>
        <v>18874.3773742893</v>
      </c>
      <c r="AC89" s="48" t="n">
        <f aca="false">P_ImpP*(AC$73+AC$74+AC$75+AC$76+AC$83+AC$84+AC$78+AC$80+AC$86)</f>
        <v>18874.3773742893</v>
      </c>
      <c r="AD89" s="48" t="n">
        <f aca="false">P_ImpP*(AD$73+AD$74+AD$75+AD$76+AD$83+AD$84+AD$78+AD$80+AD$86)</f>
        <v>22438.3044470912</v>
      </c>
      <c r="AE89" s="48" t="n">
        <f aca="false">P_ImpP*(AE$73+AE$74+AE$75+AE$76+AE$83+AE$84+AE$78+AE$80+AE$86)</f>
        <v>22438.3044470912</v>
      </c>
      <c r="AF89" s="48" t="n">
        <f aca="false">P_ImpP*(AF$73+AF$74+AF$75+AF$76+AF$83+AF$84+AF$78+AF$80+AF$86)</f>
        <v>22438.3044470912</v>
      </c>
      <c r="AG89" s="48" t="n">
        <f aca="false">P_ImpP*(AG$73+AG$74+AG$75+AG$76+AG$83+AG$84+AG$78+AG$80+AG$86)</f>
        <v>22438.3044470912</v>
      </c>
      <c r="AH89" s="48" t="n">
        <f aca="false">P_ImpP*(AH$73+AH$74+AH$75+AH$76+AH$83+AH$84+AH$78+AH$80+AH$86)</f>
        <v>22438.3044470912</v>
      </c>
      <c r="AI89" s="48" t="n">
        <f aca="false">P_ImpP*(AI$73+AI$74+AI$75+AI$76+AI$83+AI$84+AI$78+AI$80+AI$86)</f>
        <v>22438.3044470912</v>
      </c>
      <c r="AJ89" s="48" t="n">
        <f aca="false">P_ImpP*(AJ$73+AJ$74+AJ$75+AJ$76+AJ$83+AJ$84+AJ$78+AJ$80+AJ$86)</f>
        <v>22438.3044470912</v>
      </c>
      <c r="AK89" s="48" t="n">
        <f aca="false">P_ImpP*(AK$73+AK$74+AK$75+AK$76+AK$83+AK$84+AK$78+AK$80+AK$86)</f>
        <v>22438.3044470912</v>
      </c>
      <c r="AL89" s="48" t="n">
        <f aca="false">P_ImpP*(AL$73+AL$74+AL$75+AL$76+AL$83+AL$84+AL$78+AL$80+AL$86)</f>
        <v>22438.3044470912</v>
      </c>
      <c r="AM89" s="48" t="n">
        <f aca="false">P_ImpP*(AM$73+AM$74+AM$75+AM$76+AM$83+AM$84+AM$78+AM$80+AM$86)</f>
        <v>22438.3044470912</v>
      </c>
      <c r="AN89" s="48" t="n">
        <f aca="false">P_ImpP*(AN$73+AN$74+AN$75+AN$76+AN$83+AN$84+AN$78+AN$80+AN$86)</f>
        <v>22438.3044470912</v>
      </c>
      <c r="AO89" s="48" t="n">
        <f aca="false">P_ImpP*(AO$73+AO$74+AO$75+AO$76+AO$83+AO$84+AO$78+AO$80+AO$86)</f>
        <v>22438.3044470912</v>
      </c>
      <c r="AP89" s="48" t="n">
        <f aca="false">P_ImpP*(AP$73+AP$74+AP$75+AP$76+AP$83+AP$84+AP$78+AP$80+AP$86)</f>
        <v>25354.7196483896</v>
      </c>
      <c r="AQ89" s="48" t="n">
        <f aca="false">P_ImpP*(AQ$73+AQ$74+AQ$75+AQ$76+AQ$83+AQ$84+AQ$78+AQ$80+AQ$86)</f>
        <v>25354.7196483896</v>
      </c>
      <c r="AR89" s="48" t="n">
        <f aca="false">P_ImpP*(AR$73+AR$74+AR$75+AR$76+AR$83+AR$84+AR$78+AR$80+AR$86)</f>
        <v>25354.7196483896</v>
      </c>
      <c r="AS89" s="48" t="n">
        <f aca="false">P_ImpP*(AS$73+AS$74+AS$75+AS$76+AS$83+AS$84+AS$78+AS$80+AS$86)</f>
        <v>25354.7196483896</v>
      </c>
      <c r="AT89" s="48" t="n">
        <f aca="false">P_ImpP*(AT$73+AT$74+AT$75+AT$76+AT$83+AT$84+AT$78+AT$80+AT$86)</f>
        <v>25354.7196483896</v>
      </c>
      <c r="AU89" s="48" t="n">
        <f aca="false">P_ImpP*(AU$73+AU$74+AU$75+AU$76+AU$83+AU$84+AU$78+AU$80+AU$86)</f>
        <v>25354.7196483896</v>
      </c>
      <c r="AV89" s="48" t="n">
        <f aca="false">P_ImpP*(AV$73+AV$74+AV$75+AV$76+AV$83+AV$84+AV$78+AV$80+AV$86)</f>
        <v>25354.7196483896</v>
      </c>
      <c r="AW89" s="48" t="n">
        <f aca="false">P_ImpP*(AW$73+AW$74+AW$75+AW$76+AW$83+AW$84+AW$78+AW$80+AW$86)</f>
        <v>25354.7196483896</v>
      </c>
      <c r="AX89" s="48" t="n">
        <f aca="false">P_ImpP*(AX$73+AX$74+AX$75+AX$76+AX$83+AX$84+AX$78+AX$80+AX$86)</f>
        <v>25354.7196483896</v>
      </c>
      <c r="AY89" s="48" t="n">
        <f aca="false">P_ImpP*(AY$73+AY$74+AY$75+AY$76+AY$83+AY$84+AY$78+AY$80+AY$86)</f>
        <v>25354.7196483896</v>
      </c>
      <c r="AZ89" s="48" t="n">
        <f aca="false">P_ImpP*(AZ$73+AZ$74+AZ$75+AZ$76+AZ$83+AZ$84+AZ$78+AZ$80+AZ$86)</f>
        <v>25354.7196483896</v>
      </c>
      <c r="BA89" s="48" t="n">
        <f aca="false">P_ImpP*(BA$73+BA$74+BA$75+BA$76+BA$83+BA$84+BA$78+BA$80+BA$86)</f>
        <v>25354.7196483896</v>
      </c>
      <c r="BB89" s="48" t="n">
        <f aca="false">P_ImpP*(BB$73+BB$74+BB$75+BB$76+BB$83+BB$84+BB$78+BB$80+BB$86)</f>
        <v>25605.3421761632</v>
      </c>
      <c r="BC89" s="48" t="n">
        <f aca="false">P_ImpP*(BC$73+BC$74+BC$75+BC$76+BC$83+BC$84+BC$78+BC$80+BC$86)</f>
        <v>25605.3421761632</v>
      </c>
      <c r="BD89" s="48" t="n">
        <f aca="false">P_ImpP*(BD$73+BD$74+BD$75+BD$76+BD$83+BD$84+BD$78+BD$80+BD$86)</f>
        <v>25605.3421761632</v>
      </c>
      <c r="BE89" s="48" t="n">
        <f aca="false">P_ImpP*(BE$73+BE$74+BE$75+BE$76+BE$83+BE$84+BE$78+BE$80+BE$86)</f>
        <v>25605.3421761632</v>
      </c>
      <c r="BF89" s="48" t="n">
        <f aca="false">P_ImpP*(BF$73+BF$74+BF$75+BF$76+BF$83+BF$84+BF$78+BF$80+BF$86)</f>
        <v>25605.3421761632</v>
      </c>
      <c r="BG89" s="48" t="n">
        <f aca="false">P_ImpP*(BG$73+BG$74+BG$75+BG$76+BG$83+BG$84+BG$78+BG$80+BG$86)</f>
        <v>25605.3421761632</v>
      </c>
      <c r="BH89" s="48" t="n">
        <f aca="false">P_ImpP*(BH$73+BH$74+BH$75+BH$76+BH$83+BH$84+BH$78+BH$80+BH$86)</f>
        <v>25605.3421761632</v>
      </c>
      <c r="BI89" s="48" t="n">
        <f aca="false">P_ImpP*(BI$73+BI$74+BI$75+BI$76+BI$83+BI$84+BI$78+BI$80+BI$86)</f>
        <v>25605.3421761632</v>
      </c>
      <c r="BJ89" s="48" t="n">
        <f aca="false">P_ImpP*(BJ$73+BJ$74+BJ$75+BJ$76+BJ$83+BJ$84+BJ$78+BJ$80+BJ$86)</f>
        <v>25605.3421761632</v>
      </c>
      <c r="BK89" s="48" t="n">
        <f aca="false">P_ImpP*(BK$73+BK$74+BK$75+BK$76+BK$83+BK$84+BK$78+BK$80+BK$86)</f>
        <v>25605.3421761632</v>
      </c>
      <c r="BL89" s="48" t="n">
        <f aca="false">P_ImpP*(BL$73+BL$74+BL$75+BL$76+BL$83+BL$84+BL$78+BL$80+BL$86)</f>
        <v>25605.3421761632</v>
      </c>
      <c r="BM89" s="48" t="n">
        <f aca="false">P_ImpP*(BM$73+BM$74+BM$75+BM$76+BM$83+BM$84+BM$78+BM$80+BM$86)</f>
        <v>25605.3421761632</v>
      </c>
      <c r="BN89" s="48" t="n">
        <f aca="false">P_ImpP*(BN$73+BN$74+BN$75+BN$76+BN$83+BN$84+BN$78+BN$80+BN$86)</f>
        <v>25726.7493753587</v>
      </c>
      <c r="BO89" s="48" t="n">
        <f aca="false">P_ImpP*(BO$73+BO$74+BO$75+BO$76+BO$83+BO$84+BO$78+BO$80+BO$86)</f>
        <v>25726.7493753587</v>
      </c>
      <c r="BP89" s="48" t="n">
        <f aca="false">P_ImpP*(BP$73+BP$74+BP$75+BP$76+BP$83+BP$84+BP$78+BP$80+BP$86)</f>
        <v>25726.7493753587</v>
      </c>
      <c r="BQ89" s="48" t="n">
        <f aca="false">P_ImpP*(BQ$73+BQ$74+BQ$75+BQ$76+BQ$83+BQ$84+BQ$78+BQ$80+BQ$86)</f>
        <v>25726.7493753587</v>
      </c>
      <c r="BR89" s="48" t="n">
        <f aca="false">P_ImpP*(BR$73+BR$74+BR$75+BR$76+BR$83+BR$84+BR$78+BR$80+BR$86)</f>
        <v>25726.7493753587</v>
      </c>
      <c r="BS89" s="48" t="n">
        <f aca="false">P_ImpP*(BS$73+BS$74+BS$75+BS$76+BS$83+BS$84+BS$78+BS$80+BS$86)</f>
        <v>25726.7493753587</v>
      </c>
      <c r="BT89" s="48" t="n">
        <f aca="false">P_ImpP*(BT$73+BT$74+BT$75+BT$76+BT$83+BT$84+BT$78+BT$80+BT$86)</f>
        <v>25726.7493753587</v>
      </c>
      <c r="BU89" s="48" t="n">
        <f aca="false">P_ImpP*(BU$73+BU$74+BU$75+BU$76+BU$83+BU$84+BU$78+BU$80+BU$86)</f>
        <v>25726.7493753587</v>
      </c>
      <c r="BV89" s="48" t="n">
        <f aca="false">P_ImpP*(BV$73+BV$74+BV$75+BV$76+BV$83+BV$84+BV$78+BV$80+BV$86)</f>
        <v>25726.7493753587</v>
      </c>
      <c r="BW89" s="48" t="n">
        <f aca="false">P_ImpP*(BW$73+BW$74+BW$75+BW$76+BW$83+BW$84+BW$78+BW$80+BW$86)</f>
        <v>25726.7493753587</v>
      </c>
      <c r="BX89" s="48" t="n">
        <f aca="false">P_ImpP*(BX$73+BX$74+BX$75+BX$76+BX$83+BX$84+BX$78+BX$80+BX$86)</f>
        <v>25726.7493753587</v>
      </c>
      <c r="BY89" s="48" t="n">
        <f aca="false">P_ImpP*(BY$73+BY$74+BY$75+BY$76+BY$83+BY$84+BY$78+BY$80+BY$86)</f>
        <v>25726.7493753587</v>
      </c>
      <c r="BZ89" s="48" t="n">
        <f aca="false">P_ImpP*(BZ$73+BZ$74+BZ$75+BZ$76+BZ$83+BZ$84+BZ$78+BZ$80+BZ$86)</f>
        <v>25849.3974439944</v>
      </c>
      <c r="CA89" s="48" t="n">
        <f aca="false">P_ImpP*(CA$73+CA$74+CA$75+CA$76+CA$83+CA$84+CA$78+CA$80+CA$86)</f>
        <v>25849.3974439944</v>
      </c>
      <c r="CB89" s="48" t="n">
        <f aca="false">P_ImpP*(CB$73+CB$74+CB$75+CB$76+CB$83+CB$84+CB$78+CB$80+CB$86)</f>
        <v>25849.3974439944</v>
      </c>
      <c r="CC89" s="48" t="n">
        <f aca="false">P_ImpP*(CC$73+CC$74+CC$75+CC$76+CC$83+CC$84+CC$78+CC$80+CC$86)</f>
        <v>25849.3974439944</v>
      </c>
      <c r="CD89" s="48" t="n">
        <f aca="false">P_ImpP*(CD$73+CD$74+CD$75+CD$76+CD$83+CD$84+CD$78+CD$80+CD$86)</f>
        <v>25849.3974439944</v>
      </c>
      <c r="CE89" s="48" t="n">
        <f aca="false">P_ImpP*(CE$73+CE$74+CE$75+CE$76+CE$83+CE$84+CE$78+CE$80+CE$86)</f>
        <v>25849.3974439944</v>
      </c>
      <c r="CF89" s="48" t="n">
        <f aca="false">P_ImpP*(CF$73+CF$74+CF$75+CF$76+CF$83+CF$84+CF$78+CF$80+CF$86)</f>
        <v>25849.3974439944</v>
      </c>
      <c r="CG89" s="48" t="n">
        <f aca="false">P_ImpP*(CG$73+CG$74+CG$75+CG$76+CG$83+CG$84+CG$78+CG$80+CG$86)</f>
        <v>25849.3974439944</v>
      </c>
      <c r="CH89" s="48" t="n">
        <f aca="false">P_ImpP*(CH$73+CH$74+CH$75+CH$76+CH$83+CH$84+CH$78+CH$80+CH$86)</f>
        <v>25849.3974439944</v>
      </c>
      <c r="CI89" s="48" t="n">
        <f aca="false">P_ImpP*(CI$73+CI$74+CI$75+CI$76+CI$83+CI$84+CI$78+CI$80+CI$86)</f>
        <v>25849.3974439944</v>
      </c>
      <c r="CJ89" s="48" t="n">
        <f aca="false">P_ImpP*(CJ$73+CJ$74+CJ$75+CJ$76+CJ$83+CJ$84+CJ$78+CJ$80+CJ$86)</f>
        <v>25849.3974439944</v>
      </c>
      <c r="CK89" s="48" t="n">
        <f aca="false">P_ImpP*(CK$73+CK$74+CK$75+CK$76+CK$83+CK$84+CK$78+CK$80+CK$86)</f>
        <v>25849.3974439944</v>
      </c>
      <c r="CL89" s="48" t="n">
        <f aca="false">P_ImpP*(CL$73+CL$74+CL$75+CL$76+CL$83+CL$84+CL$78+CL$80+CL$86)</f>
        <v>25973.2993267137</v>
      </c>
      <c r="CM89" s="48" t="n">
        <f aca="false">P_ImpP*(CM$73+CM$74+CM$75+CM$76+CM$83+CM$84+CM$78+CM$80+CM$86)</f>
        <v>25973.2993267137</v>
      </c>
      <c r="CN89" s="48" t="n">
        <f aca="false">P_ImpP*(CN$73+CN$74+CN$75+CN$76+CN$83+CN$84+CN$78+CN$80+CN$86)</f>
        <v>25973.2993267137</v>
      </c>
      <c r="CO89" s="48" t="n">
        <f aca="false">P_ImpP*(CO$73+CO$74+CO$75+CO$76+CO$83+CO$84+CO$78+CO$80+CO$86)</f>
        <v>25973.2993267137</v>
      </c>
      <c r="CP89" s="48" t="n">
        <f aca="false">P_ImpP*(CP$73+CP$74+CP$75+CP$76+CP$83+CP$84+CP$78+CP$80+CP$86)</f>
        <v>25973.2993267137</v>
      </c>
      <c r="CQ89" s="48" t="n">
        <f aca="false">P_ImpP*(CQ$73+CQ$74+CQ$75+CQ$76+CQ$83+CQ$84+CQ$78+CQ$80+CQ$86)</f>
        <v>25973.2993267137</v>
      </c>
      <c r="CR89" s="48" t="n">
        <f aca="false">P_ImpP*(CR$73+CR$74+CR$75+CR$76+CR$83+CR$84+CR$78+CR$80+CR$86)</f>
        <v>25973.2993267137</v>
      </c>
      <c r="CS89" s="48" t="n">
        <f aca="false">P_ImpP*(CS$73+CS$74+CS$75+CS$76+CS$83+CS$84+CS$78+CS$80+CS$86)</f>
        <v>25973.2993267137</v>
      </c>
      <c r="CT89" s="48" t="n">
        <f aca="false">P_ImpP*(CT$73+CT$74+CT$75+CT$76+CT$83+CT$84+CT$78+CT$80+CT$86)</f>
        <v>25973.2993267137</v>
      </c>
      <c r="CU89" s="48" t="n">
        <f aca="false">P_ImpP*(CU$73+CU$74+CU$75+CU$76+CU$83+CU$84+CU$78+CU$80+CU$86)</f>
        <v>25973.2993267137</v>
      </c>
      <c r="CV89" s="48" t="n">
        <f aca="false">P_ImpP*(CV$73+CV$74+CV$75+CV$76+CV$83+CV$84+CV$78+CV$80+CV$86)</f>
        <v>25973.2993267137</v>
      </c>
      <c r="CW89" s="48" t="n">
        <f aca="false">P_ImpP*(CW$73+CW$74+CW$75+CW$76+CW$83+CW$84+CW$78+CW$80+CW$86)</f>
        <v>25973.2993267137</v>
      </c>
      <c r="CX89" s="48" t="n">
        <f aca="false">P_ImpP*(CX$73+CX$74+CX$75+CX$76+CX$83+CX$84+CX$78+CX$80+CX$86)</f>
        <v>26098.4681083253</v>
      </c>
      <c r="CY89" s="48" t="n">
        <f aca="false">P_ImpP*(CY$73+CY$74+CY$75+CY$76+CY$83+CY$84+CY$78+CY$80+CY$86)</f>
        <v>26098.4681083253</v>
      </c>
      <c r="CZ89" s="48" t="n">
        <f aca="false">P_ImpP*(CZ$73+CZ$74+CZ$75+CZ$76+CZ$83+CZ$84+CZ$78+CZ$80+CZ$86)</f>
        <v>26098.4681083253</v>
      </c>
      <c r="DA89" s="48" t="n">
        <f aca="false">P_ImpP*(DA$73+DA$74+DA$75+DA$76+DA$83+DA$84+DA$78+DA$80+DA$86)</f>
        <v>26098.4681083253</v>
      </c>
      <c r="DB89" s="48" t="n">
        <f aca="false">P_ImpP*(DB$73+DB$74+DB$75+DB$76+DB$83+DB$84+DB$78+DB$80+DB$86)</f>
        <v>26098.4681083253</v>
      </c>
      <c r="DC89" s="48" t="n">
        <f aca="false">P_ImpP*(DC$73+DC$74+DC$75+DC$76+DC$83+DC$84+DC$78+DC$80+DC$86)</f>
        <v>26098.4681083253</v>
      </c>
      <c r="DD89" s="48" t="n">
        <f aca="false">P_ImpP*(DD$73+DD$74+DD$75+DD$76+DD$83+DD$84+DD$78+DD$80+DD$86)</f>
        <v>26098.4681083253</v>
      </c>
      <c r="DE89" s="48" t="n">
        <f aca="false">P_ImpP*(DE$73+DE$74+DE$75+DE$76+DE$83+DE$84+DE$78+DE$80+DE$86)</f>
        <v>26098.4681083253</v>
      </c>
      <c r="DF89" s="48" t="n">
        <f aca="false">P_ImpP*(DF$73+DF$74+DF$75+DF$76+DF$83+DF$84+DF$78+DF$80+DF$86)</f>
        <v>26098.4681083253</v>
      </c>
      <c r="DG89" s="48" t="n">
        <f aca="false">P_ImpP*(DG$73+DG$74+DG$75+DG$76+DG$83+DG$84+DG$78+DG$80+DG$86)</f>
        <v>26098.4681083253</v>
      </c>
      <c r="DH89" s="48" t="n">
        <f aca="false">P_ImpP*(DH$73+DH$74+DH$75+DH$76+DH$83+DH$84+DH$78+DH$80+DH$86)</f>
        <v>26098.4681083253</v>
      </c>
      <c r="DI89" s="48" t="n">
        <f aca="false">P_ImpP*(DI$73+DI$74+DI$75+DI$76+DI$83+DI$84+DI$78+DI$80+DI$86)</f>
        <v>26098.4681083253</v>
      </c>
      <c r="DJ89" s="48" t="n">
        <f aca="false">P_ImpP*(DJ$73+DJ$74+DJ$75+DJ$76+DJ$83+DJ$84+DJ$78+DJ$80+DJ$86)</f>
        <v>26224.9170154195</v>
      </c>
      <c r="DK89" s="48" t="n">
        <f aca="false">P_ImpP*(DK$73+DK$74+DK$75+DK$76+DK$83+DK$84+DK$78+DK$80+DK$86)</f>
        <v>26224.9170154195</v>
      </c>
      <c r="DL89" s="48" t="n">
        <f aca="false">P_ImpP*(DL$73+DL$74+DL$75+DL$76+DL$83+DL$84+DL$78+DL$80+DL$86)</f>
        <v>26224.9170154195</v>
      </c>
      <c r="DM89" s="48" t="n">
        <f aca="false">P_ImpP*(DM$73+DM$74+DM$75+DM$76+DM$83+DM$84+DM$78+DM$80+DM$86)</f>
        <v>26224.9170154195</v>
      </c>
      <c r="DN89" s="48" t="n">
        <f aca="false">P_ImpP*(DN$73+DN$74+DN$75+DN$76+DN$83+DN$84+DN$78+DN$80+DN$86)</f>
        <v>26224.9170154195</v>
      </c>
      <c r="DO89" s="48" t="n">
        <f aca="false">P_ImpP*(DO$73+DO$74+DO$75+DO$76+DO$83+DO$84+DO$78+DO$80+DO$86)</f>
        <v>26224.9170154195</v>
      </c>
      <c r="DP89" s="48" t="n">
        <f aca="false">P_ImpP*(DP$73+DP$74+DP$75+DP$76+DP$83+DP$84+DP$78+DP$80+DP$86)</f>
        <v>26224.9170154195</v>
      </c>
      <c r="DQ89" s="48" t="n">
        <f aca="false">P_ImpP*(DQ$73+DQ$74+DQ$75+DQ$76+DQ$83+DQ$84+DQ$78+DQ$80+DQ$86)</f>
        <v>26224.9170154195</v>
      </c>
      <c r="DR89" s="48" t="n">
        <f aca="false">P_ImpP*(DR$73+DR$74+DR$75+DR$76+DR$83+DR$84+DR$78+DR$80+DR$86)</f>
        <v>26224.9170154195</v>
      </c>
      <c r="DS89" s="48" t="n">
        <f aca="false">P_ImpP*(DS$73+DS$74+DS$75+DS$76+DS$83+DS$84+DS$78+DS$80+DS$86)</f>
        <v>26224.9170154195</v>
      </c>
      <c r="DT89" s="48" t="n">
        <f aca="false">P_ImpP*(DT$73+DT$74+DT$75+DT$76+DT$83+DT$84+DT$78+DT$80+DT$86)</f>
        <v>26224.9170154195</v>
      </c>
      <c r="DU89" s="48" t="n">
        <f aca="false">P_ImpP*(DU$73+DU$74+DU$75+DU$76+DU$83+DU$84+DU$78+DU$80+DU$86)</f>
        <v>26224.9170154195</v>
      </c>
      <c r="DV89" s="48" t="n">
        <f aca="false">P_ImpP*(DV$73+DV$74+DV$75+DV$76+DV$83+DV$84+DV$78+DV$80+DV$86)</f>
        <v>0</v>
      </c>
      <c r="DW89" s="48" t="n">
        <f aca="false">P_ImpP*(DW$73+DW$74+DW$75+DW$76+DW$83+DW$84+DW$78+DW$80+DW$86)</f>
        <v>0</v>
      </c>
      <c r="DX89" s="48" t="n">
        <f aca="false">P_ImpP*(DX$73+DX$74+DX$75+DX$76+DX$83+DX$84+DX$78+DX$80+DX$86)</f>
        <v>0</v>
      </c>
      <c r="DY89" s="48" t="n">
        <f aca="false">P_ImpP*(DY$73+DY$74+DY$75+DY$76+DY$83+DY$84+DY$78+DY$80+DY$86)</f>
        <v>0</v>
      </c>
      <c r="DZ89" s="48" t="n">
        <f aca="false">P_ImpP*(DZ$73+DZ$74+DZ$75+DZ$76+DZ$83+DZ$84+DZ$78+DZ$80+DZ$86)</f>
        <v>0</v>
      </c>
      <c r="EA89" s="48" t="n">
        <f aca="false">P_ImpP*(EA$73+EA$74+EA$75+EA$76+EA$83+EA$84+EA$78+EA$80+EA$86)</f>
        <v>0</v>
      </c>
      <c r="EB89" s="48" t="n">
        <f aca="false">P_ImpP*(EB$73+EB$74+EB$75+EB$76+EB$83+EB$84+EB$78+EB$80+EB$86)</f>
        <v>0</v>
      </c>
      <c r="EC89" s="48" t="n">
        <f aca="false">P_ImpP*(EC$73+EC$74+EC$75+EC$76+EC$83+EC$84+EC$78+EC$80+EC$86)</f>
        <v>0</v>
      </c>
      <c r="ED89" s="48" t="n">
        <f aca="false">P_ImpP*(ED$73+ED$74+ED$75+ED$76+ED$83+ED$84+ED$78+ED$80+ED$86)</f>
        <v>0</v>
      </c>
      <c r="EE89" s="48" t="n">
        <f aca="false">P_ImpP*(EE$73+EE$74+EE$75+EE$76+EE$83+EE$84+EE$78+EE$80+EE$86)</f>
        <v>0</v>
      </c>
      <c r="EF89" s="48" t="n">
        <f aca="false">P_ImpP*(EF$73+EF$74+EF$75+EF$76+EF$83+EF$84+EF$78+EF$80+EF$86)</f>
        <v>0</v>
      </c>
      <c r="EG89" s="48" t="n">
        <f aca="false">P_ImpP*(EG$73+EG$74+EG$75+EG$76+EG$83+EG$84+EG$78+EG$80+EG$86)</f>
        <v>0</v>
      </c>
      <c r="EH89" s="48" t="n">
        <f aca="false">P_ImpP*(EH$73+EH$74+EH$75+EH$76+EH$83+EH$84+EH$78+EH$80+EH$86)</f>
        <v>0</v>
      </c>
      <c r="EI89" s="48" t="n">
        <f aca="false">P_ImpP*(EI$73+EI$74+EI$75+EI$76+EI$83+EI$84+EI$78+EI$80+EI$86)</f>
        <v>0</v>
      </c>
      <c r="EJ89" s="48" t="n">
        <f aca="false">P_ImpP*(EJ$73+EJ$74+EJ$75+EJ$76+EJ$83+EJ$84+EJ$78+EJ$80+EJ$86)</f>
        <v>0</v>
      </c>
      <c r="EK89" s="48" t="n">
        <f aca="false">P_ImpP*(EK$73+EK$74+EK$75+EK$76+EK$83+EK$84+EK$78+EK$80+EK$86)</f>
        <v>0</v>
      </c>
      <c r="EL89" s="48" t="n">
        <f aca="false">P_ImpP*(EL$73+EL$74+EL$75+EL$76+EL$83+EL$84+EL$78+EL$80+EL$86)</f>
        <v>0</v>
      </c>
      <c r="EM89" s="48" t="n">
        <f aca="false">P_ImpP*(EM$73+EM$74+EM$75+EM$76+EM$83+EM$84+EM$78+EM$80+EM$86)</f>
        <v>0</v>
      </c>
      <c r="EN89" s="48" t="n">
        <f aca="false">P_ImpP*(EN$73+EN$74+EN$75+EN$76+EN$83+EN$84+EN$78+EN$80+EN$86)</f>
        <v>0</v>
      </c>
      <c r="EO89" s="48" t="n">
        <f aca="false">P_ImpP*(EO$73+EO$74+EO$75+EO$76+EO$83+EO$84+EO$78+EO$80+EO$86)</f>
        <v>0</v>
      </c>
      <c r="EP89" s="48" t="n">
        <f aca="false">P_ImpP*(EP$73+EP$74+EP$75+EP$76+EP$83+EP$84+EP$78+EP$80+EP$86)</f>
        <v>0</v>
      </c>
      <c r="EQ89" s="48" t="n">
        <f aca="false">P_ImpP*(EQ$73+EQ$74+EQ$75+EQ$76+EQ$83+EQ$84+EQ$78+EQ$80+EQ$86)</f>
        <v>0</v>
      </c>
      <c r="ER89" s="48" t="n">
        <f aca="false">P_ImpP*(ER$73+ER$74+ER$75+ER$76+ER$83+ER$84+ER$78+ER$80+ER$86)</f>
        <v>0</v>
      </c>
      <c r="ES89" s="48" t="n">
        <f aca="false">P_ImpP*(ES$73+ES$74+ES$75+ES$76+ES$83+ES$84+ES$78+ES$80+ES$86)</f>
        <v>0</v>
      </c>
    </row>
    <row r="90" customFormat="false" ht="15" hidden="false" customHeight="false" outlineLevel="0" collapsed="false">
      <c r="A90" s="11" t="s">
        <v>1152</v>
      </c>
      <c r="B90" s="15" t="s">
        <v>1153</v>
      </c>
      <c r="C90" s="15" t="s">
        <v>508</v>
      </c>
      <c r="E90" s="54" t="n">
        <f aca="false">SUM(F90:ES90)</f>
        <v>84447.4408340548</v>
      </c>
      <c r="F90" s="48" t="n">
        <f aca="false">P_ImpA*(F$82+F$88)</f>
        <v>703.728673617123</v>
      </c>
      <c r="G90" s="48" t="n">
        <f aca="false">P_ImpA*(G$82+G$88)</f>
        <v>703.728673617123</v>
      </c>
      <c r="H90" s="48" t="n">
        <f aca="false">P_ImpA*(H$82+H$88)</f>
        <v>703.728673617123</v>
      </c>
      <c r="I90" s="48" t="n">
        <f aca="false">P_ImpA*(I$82+I$88)</f>
        <v>703.728673617123</v>
      </c>
      <c r="J90" s="48" t="n">
        <f aca="false">P_ImpA*(J$82+J$88)</f>
        <v>703.728673617123</v>
      </c>
      <c r="K90" s="48" t="n">
        <f aca="false">P_ImpA*(K$82+K$88)</f>
        <v>703.728673617123</v>
      </c>
      <c r="L90" s="48" t="n">
        <f aca="false">P_ImpA*(L$82+L$88)</f>
        <v>703.728673617123</v>
      </c>
      <c r="M90" s="48" t="n">
        <f aca="false">P_ImpA*(M$82+M$88)</f>
        <v>703.728673617123</v>
      </c>
      <c r="N90" s="48" t="n">
        <f aca="false">P_ImpA*(N$82+N$88)</f>
        <v>703.728673617123</v>
      </c>
      <c r="O90" s="48" t="n">
        <f aca="false">P_ImpA*(O$82+O$88)</f>
        <v>703.728673617123</v>
      </c>
      <c r="P90" s="48" t="n">
        <f aca="false">P_ImpA*(P$82+P$88)</f>
        <v>703.728673617123</v>
      </c>
      <c r="Q90" s="48" t="n">
        <f aca="false">P_ImpA*(Q$82+Q$88)</f>
        <v>703.728673617123</v>
      </c>
      <c r="R90" s="48" t="n">
        <f aca="false">P_ImpA*(R$82+R$88)</f>
        <v>703.728673617123</v>
      </c>
      <c r="S90" s="48" t="n">
        <f aca="false">P_ImpA*(S$82+S$88)</f>
        <v>703.728673617123</v>
      </c>
      <c r="T90" s="48" t="n">
        <f aca="false">P_ImpA*(T$82+T$88)</f>
        <v>703.728673617123</v>
      </c>
      <c r="U90" s="48" t="n">
        <f aca="false">P_ImpA*(U$82+U$88)</f>
        <v>703.728673617123</v>
      </c>
      <c r="V90" s="48" t="n">
        <f aca="false">P_ImpA*(V$82+V$88)</f>
        <v>703.728673617123</v>
      </c>
      <c r="W90" s="48" t="n">
        <f aca="false">P_ImpA*(W$82+W$88)</f>
        <v>703.728673617123</v>
      </c>
      <c r="X90" s="48" t="n">
        <f aca="false">P_ImpA*(X$82+X$88)</f>
        <v>703.728673617123</v>
      </c>
      <c r="Y90" s="48" t="n">
        <f aca="false">P_ImpA*(Y$82+Y$88)</f>
        <v>703.728673617123</v>
      </c>
      <c r="Z90" s="48" t="n">
        <f aca="false">P_ImpA*(Z$82+Z$88)</f>
        <v>703.728673617123</v>
      </c>
      <c r="AA90" s="48" t="n">
        <f aca="false">P_ImpA*(AA$82+AA$88)</f>
        <v>703.728673617123</v>
      </c>
      <c r="AB90" s="48" t="n">
        <f aca="false">P_ImpA*(AB$82+AB$88)</f>
        <v>703.728673617123</v>
      </c>
      <c r="AC90" s="48" t="n">
        <f aca="false">P_ImpA*(AC$82+AC$88)</f>
        <v>703.728673617123</v>
      </c>
      <c r="AD90" s="48" t="n">
        <f aca="false">P_ImpA*(AD$82+AD$88)</f>
        <v>703.728673617123</v>
      </c>
      <c r="AE90" s="48" t="n">
        <f aca="false">P_ImpA*(AE$82+AE$88)</f>
        <v>703.728673617123</v>
      </c>
      <c r="AF90" s="48" t="n">
        <f aca="false">P_ImpA*(AF$82+AF$88)</f>
        <v>703.728673617123</v>
      </c>
      <c r="AG90" s="48" t="n">
        <f aca="false">P_ImpA*(AG$82+AG$88)</f>
        <v>703.728673617123</v>
      </c>
      <c r="AH90" s="48" t="n">
        <f aca="false">P_ImpA*(AH$82+AH$88)</f>
        <v>703.728673617123</v>
      </c>
      <c r="AI90" s="48" t="n">
        <f aca="false">P_ImpA*(AI$82+AI$88)</f>
        <v>703.728673617123</v>
      </c>
      <c r="AJ90" s="48" t="n">
        <f aca="false">P_ImpA*(AJ$82+AJ$88)</f>
        <v>703.728673617123</v>
      </c>
      <c r="AK90" s="48" t="n">
        <f aca="false">P_ImpA*(AK$82+AK$88)</f>
        <v>703.728673617123</v>
      </c>
      <c r="AL90" s="48" t="n">
        <f aca="false">P_ImpA*(AL$82+AL$88)</f>
        <v>703.728673617123</v>
      </c>
      <c r="AM90" s="48" t="n">
        <f aca="false">P_ImpA*(AM$82+AM$88)</f>
        <v>703.728673617123</v>
      </c>
      <c r="AN90" s="48" t="n">
        <f aca="false">P_ImpA*(AN$82+AN$88)</f>
        <v>703.728673617123</v>
      </c>
      <c r="AO90" s="48" t="n">
        <f aca="false">P_ImpA*(AO$82+AO$88)</f>
        <v>703.728673617123</v>
      </c>
      <c r="AP90" s="48" t="n">
        <f aca="false">P_ImpA*(AP$82+AP$88)</f>
        <v>703.728673617123</v>
      </c>
      <c r="AQ90" s="48" t="n">
        <f aca="false">P_ImpA*(AQ$82+AQ$88)</f>
        <v>703.728673617123</v>
      </c>
      <c r="AR90" s="48" t="n">
        <f aca="false">P_ImpA*(AR$82+AR$88)</f>
        <v>703.728673617123</v>
      </c>
      <c r="AS90" s="48" t="n">
        <f aca="false">P_ImpA*(AS$82+AS$88)</f>
        <v>703.728673617123</v>
      </c>
      <c r="AT90" s="48" t="n">
        <f aca="false">P_ImpA*(AT$82+AT$88)</f>
        <v>703.728673617123</v>
      </c>
      <c r="AU90" s="48" t="n">
        <f aca="false">P_ImpA*(AU$82+AU$88)</f>
        <v>703.728673617123</v>
      </c>
      <c r="AV90" s="48" t="n">
        <f aca="false">P_ImpA*(AV$82+AV$88)</f>
        <v>703.728673617123</v>
      </c>
      <c r="AW90" s="48" t="n">
        <f aca="false">P_ImpA*(AW$82+AW$88)</f>
        <v>703.728673617123</v>
      </c>
      <c r="AX90" s="48" t="n">
        <f aca="false">P_ImpA*(AX$82+AX$88)</f>
        <v>703.728673617123</v>
      </c>
      <c r="AY90" s="48" t="n">
        <f aca="false">P_ImpA*(AY$82+AY$88)</f>
        <v>703.728673617123</v>
      </c>
      <c r="AZ90" s="48" t="n">
        <f aca="false">P_ImpA*(AZ$82+AZ$88)</f>
        <v>703.728673617123</v>
      </c>
      <c r="BA90" s="48" t="n">
        <f aca="false">P_ImpA*(BA$82+BA$88)</f>
        <v>703.728673617123</v>
      </c>
      <c r="BB90" s="48" t="n">
        <f aca="false">P_ImpA*(BB$82+BB$88)</f>
        <v>703.728673617123</v>
      </c>
      <c r="BC90" s="48" t="n">
        <f aca="false">P_ImpA*(BC$82+BC$88)</f>
        <v>703.728673617123</v>
      </c>
      <c r="BD90" s="48" t="n">
        <f aca="false">P_ImpA*(BD$82+BD$88)</f>
        <v>703.728673617123</v>
      </c>
      <c r="BE90" s="48" t="n">
        <f aca="false">P_ImpA*(BE$82+BE$88)</f>
        <v>703.728673617123</v>
      </c>
      <c r="BF90" s="48" t="n">
        <f aca="false">P_ImpA*(BF$82+BF$88)</f>
        <v>703.728673617123</v>
      </c>
      <c r="BG90" s="48" t="n">
        <f aca="false">P_ImpA*(BG$82+BG$88)</f>
        <v>703.728673617123</v>
      </c>
      <c r="BH90" s="48" t="n">
        <f aca="false">P_ImpA*(BH$82+BH$88)</f>
        <v>703.728673617123</v>
      </c>
      <c r="BI90" s="48" t="n">
        <f aca="false">P_ImpA*(BI$82+BI$88)</f>
        <v>703.728673617123</v>
      </c>
      <c r="BJ90" s="48" t="n">
        <f aca="false">P_ImpA*(BJ$82+BJ$88)</f>
        <v>703.728673617123</v>
      </c>
      <c r="BK90" s="48" t="n">
        <f aca="false">P_ImpA*(BK$82+BK$88)</f>
        <v>703.728673617123</v>
      </c>
      <c r="BL90" s="48" t="n">
        <f aca="false">P_ImpA*(BL$82+BL$88)</f>
        <v>703.728673617123</v>
      </c>
      <c r="BM90" s="48" t="n">
        <f aca="false">P_ImpA*(BM$82+BM$88)</f>
        <v>703.728673617123</v>
      </c>
      <c r="BN90" s="48" t="n">
        <f aca="false">P_ImpA*(BN$82+BN$88)</f>
        <v>703.728673617123</v>
      </c>
      <c r="BO90" s="48" t="n">
        <f aca="false">P_ImpA*(BO$82+BO$88)</f>
        <v>703.728673617123</v>
      </c>
      <c r="BP90" s="48" t="n">
        <f aca="false">P_ImpA*(BP$82+BP$88)</f>
        <v>703.728673617123</v>
      </c>
      <c r="BQ90" s="48" t="n">
        <f aca="false">P_ImpA*(BQ$82+BQ$88)</f>
        <v>703.728673617123</v>
      </c>
      <c r="BR90" s="48" t="n">
        <f aca="false">P_ImpA*(BR$82+BR$88)</f>
        <v>703.728673617123</v>
      </c>
      <c r="BS90" s="48" t="n">
        <f aca="false">P_ImpA*(BS$82+BS$88)</f>
        <v>703.728673617123</v>
      </c>
      <c r="BT90" s="48" t="n">
        <f aca="false">P_ImpA*(BT$82+BT$88)</f>
        <v>703.728673617123</v>
      </c>
      <c r="BU90" s="48" t="n">
        <f aca="false">P_ImpA*(BU$82+BU$88)</f>
        <v>703.728673617123</v>
      </c>
      <c r="BV90" s="48" t="n">
        <f aca="false">P_ImpA*(BV$82+BV$88)</f>
        <v>703.728673617123</v>
      </c>
      <c r="BW90" s="48" t="n">
        <f aca="false">P_ImpA*(BW$82+BW$88)</f>
        <v>703.728673617123</v>
      </c>
      <c r="BX90" s="48" t="n">
        <f aca="false">P_ImpA*(BX$82+BX$88)</f>
        <v>703.728673617123</v>
      </c>
      <c r="BY90" s="48" t="n">
        <f aca="false">P_ImpA*(BY$82+BY$88)</f>
        <v>703.728673617123</v>
      </c>
      <c r="BZ90" s="48" t="n">
        <f aca="false">P_ImpA*(BZ$82+BZ$88)</f>
        <v>703.728673617123</v>
      </c>
      <c r="CA90" s="48" t="n">
        <f aca="false">P_ImpA*(CA$82+CA$88)</f>
        <v>703.728673617123</v>
      </c>
      <c r="CB90" s="48" t="n">
        <f aca="false">P_ImpA*(CB$82+CB$88)</f>
        <v>703.728673617123</v>
      </c>
      <c r="CC90" s="48" t="n">
        <f aca="false">P_ImpA*(CC$82+CC$88)</f>
        <v>703.728673617123</v>
      </c>
      <c r="CD90" s="48" t="n">
        <f aca="false">P_ImpA*(CD$82+CD$88)</f>
        <v>703.728673617123</v>
      </c>
      <c r="CE90" s="48" t="n">
        <f aca="false">P_ImpA*(CE$82+CE$88)</f>
        <v>703.728673617123</v>
      </c>
      <c r="CF90" s="48" t="n">
        <f aca="false">P_ImpA*(CF$82+CF$88)</f>
        <v>703.728673617123</v>
      </c>
      <c r="CG90" s="48" t="n">
        <f aca="false">P_ImpA*(CG$82+CG$88)</f>
        <v>703.728673617123</v>
      </c>
      <c r="CH90" s="48" t="n">
        <f aca="false">P_ImpA*(CH$82+CH$88)</f>
        <v>703.728673617123</v>
      </c>
      <c r="CI90" s="48" t="n">
        <f aca="false">P_ImpA*(CI$82+CI$88)</f>
        <v>703.728673617123</v>
      </c>
      <c r="CJ90" s="48" t="n">
        <f aca="false">P_ImpA*(CJ$82+CJ$88)</f>
        <v>703.728673617123</v>
      </c>
      <c r="CK90" s="48" t="n">
        <f aca="false">P_ImpA*(CK$82+CK$88)</f>
        <v>703.728673617123</v>
      </c>
      <c r="CL90" s="48" t="n">
        <f aca="false">P_ImpA*(CL$82+CL$88)</f>
        <v>703.728673617123</v>
      </c>
      <c r="CM90" s="48" t="n">
        <f aca="false">P_ImpA*(CM$82+CM$88)</f>
        <v>703.728673617123</v>
      </c>
      <c r="CN90" s="48" t="n">
        <f aca="false">P_ImpA*(CN$82+CN$88)</f>
        <v>703.728673617123</v>
      </c>
      <c r="CO90" s="48" t="n">
        <f aca="false">P_ImpA*(CO$82+CO$88)</f>
        <v>703.728673617123</v>
      </c>
      <c r="CP90" s="48" t="n">
        <f aca="false">P_ImpA*(CP$82+CP$88)</f>
        <v>703.728673617123</v>
      </c>
      <c r="CQ90" s="48" t="n">
        <f aca="false">P_ImpA*(CQ$82+CQ$88)</f>
        <v>703.728673617123</v>
      </c>
      <c r="CR90" s="48" t="n">
        <f aca="false">P_ImpA*(CR$82+CR$88)</f>
        <v>703.728673617123</v>
      </c>
      <c r="CS90" s="48" t="n">
        <f aca="false">P_ImpA*(CS$82+CS$88)</f>
        <v>703.728673617123</v>
      </c>
      <c r="CT90" s="48" t="n">
        <f aca="false">P_ImpA*(CT$82+CT$88)</f>
        <v>703.728673617123</v>
      </c>
      <c r="CU90" s="48" t="n">
        <f aca="false">P_ImpA*(CU$82+CU$88)</f>
        <v>703.728673617123</v>
      </c>
      <c r="CV90" s="48" t="n">
        <f aca="false">P_ImpA*(CV$82+CV$88)</f>
        <v>703.728673617123</v>
      </c>
      <c r="CW90" s="48" t="n">
        <f aca="false">P_ImpA*(CW$82+CW$88)</f>
        <v>703.728673617123</v>
      </c>
      <c r="CX90" s="48" t="n">
        <f aca="false">P_ImpA*(CX$82+CX$88)</f>
        <v>703.728673617123</v>
      </c>
      <c r="CY90" s="48" t="n">
        <f aca="false">P_ImpA*(CY$82+CY$88)</f>
        <v>703.728673617123</v>
      </c>
      <c r="CZ90" s="48" t="n">
        <f aca="false">P_ImpA*(CZ$82+CZ$88)</f>
        <v>703.728673617123</v>
      </c>
      <c r="DA90" s="48" t="n">
        <f aca="false">P_ImpA*(DA$82+DA$88)</f>
        <v>703.728673617123</v>
      </c>
      <c r="DB90" s="48" t="n">
        <f aca="false">P_ImpA*(DB$82+DB$88)</f>
        <v>703.728673617123</v>
      </c>
      <c r="DC90" s="48" t="n">
        <f aca="false">P_ImpA*(DC$82+DC$88)</f>
        <v>703.728673617123</v>
      </c>
      <c r="DD90" s="48" t="n">
        <f aca="false">P_ImpA*(DD$82+DD$88)</f>
        <v>703.728673617123</v>
      </c>
      <c r="DE90" s="48" t="n">
        <f aca="false">P_ImpA*(DE$82+DE$88)</f>
        <v>703.728673617123</v>
      </c>
      <c r="DF90" s="48" t="n">
        <f aca="false">P_ImpA*(DF$82+DF$88)</f>
        <v>703.728673617123</v>
      </c>
      <c r="DG90" s="48" t="n">
        <f aca="false">P_ImpA*(DG$82+DG$88)</f>
        <v>703.728673617123</v>
      </c>
      <c r="DH90" s="48" t="n">
        <f aca="false">P_ImpA*(DH$82+DH$88)</f>
        <v>703.728673617123</v>
      </c>
      <c r="DI90" s="48" t="n">
        <f aca="false">P_ImpA*(DI$82+DI$88)</f>
        <v>703.728673617123</v>
      </c>
      <c r="DJ90" s="48" t="n">
        <f aca="false">P_ImpA*(DJ$82+DJ$88)</f>
        <v>703.728673617123</v>
      </c>
      <c r="DK90" s="48" t="n">
        <f aca="false">P_ImpA*(DK$82+DK$88)</f>
        <v>703.728673617123</v>
      </c>
      <c r="DL90" s="48" t="n">
        <f aca="false">P_ImpA*(DL$82+DL$88)</f>
        <v>703.728673617123</v>
      </c>
      <c r="DM90" s="48" t="n">
        <f aca="false">P_ImpA*(DM$82+DM$88)</f>
        <v>703.728673617123</v>
      </c>
      <c r="DN90" s="48" t="n">
        <f aca="false">P_ImpA*(DN$82+DN$88)</f>
        <v>703.728673617123</v>
      </c>
      <c r="DO90" s="48" t="n">
        <f aca="false">P_ImpA*(DO$82+DO$88)</f>
        <v>703.728673617123</v>
      </c>
      <c r="DP90" s="48" t="n">
        <f aca="false">P_ImpA*(DP$82+DP$88)</f>
        <v>703.728673617123</v>
      </c>
      <c r="DQ90" s="48" t="n">
        <f aca="false">P_ImpA*(DQ$82+DQ$88)</f>
        <v>703.728673617123</v>
      </c>
      <c r="DR90" s="48" t="n">
        <f aca="false">P_ImpA*(DR$82+DR$88)</f>
        <v>703.728673617123</v>
      </c>
      <c r="DS90" s="48" t="n">
        <f aca="false">P_ImpA*(DS$82+DS$88)</f>
        <v>703.728673617123</v>
      </c>
      <c r="DT90" s="48" t="n">
        <f aca="false">P_ImpA*(DT$82+DT$88)</f>
        <v>703.728673617123</v>
      </c>
      <c r="DU90" s="48" t="n">
        <f aca="false">P_ImpA*(DU$82+DU$88)</f>
        <v>703.728673617123</v>
      </c>
      <c r="DV90" s="48" t="n">
        <f aca="false">P_ImpA*(DV$82+DV$88)</f>
        <v>0</v>
      </c>
      <c r="DW90" s="48" t="n">
        <f aca="false">P_ImpA*(DW$82+DW$88)</f>
        <v>0</v>
      </c>
      <c r="DX90" s="48" t="n">
        <f aca="false">P_ImpA*(DX$82+DX$88)</f>
        <v>0</v>
      </c>
      <c r="DY90" s="48" t="n">
        <f aca="false">P_ImpA*(DY$82+DY$88)</f>
        <v>0</v>
      </c>
      <c r="DZ90" s="48" t="n">
        <f aca="false">P_ImpA*(DZ$82+DZ$88)</f>
        <v>0</v>
      </c>
      <c r="EA90" s="48" t="n">
        <f aca="false">P_ImpA*(EA$82+EA$88)</f>
        <v>0</v>
      </c>
      <c r="EB90" s="48" t="n">
        <f aca="false">P_ImpA*(EB$82+EB$88)</f>
        <v>0</v>
      </c>
      <c r="EC90" s="48" t="n">
        <f aca="false">P_ImpA*(EC$82+EC$88)</f>
        <v>0</v>
      </c>
      <c r="ED90" s="48" t="n">
        <f aca="false">P_ImpA*(ED$82+ED$88)</f>
        <v>0</v>
      </c>
      <c r="EE90" s="48" t="n">
        <f aca="false">P_ImpA*(EE$82+EE$88)</f>
        <v>0</v>
      </c>
      <c r="EF90" s="48" t="n">
        <f aca="false">P_ImpA*(EF$82+EF$88)</f>
        <v>0</v>
      </c>
      <c r="EG90" s="48" t="n">
        <f aca="false">P_ImpA*(EG$82+EG$88)</f>
        <v>0</v>
      </c>
      <c r="EH90" s="48" t="n">
        <f aca="false">P_ImpA*(EH$82+EH$88)</f>
        <v>0</v>
      </c>
      <c r="EI90" s="48" t="n">
        <f aca="false">P_ImpA*(EI$82+EI$88)</f>
        <v>0</v>
      </c>
      <c r="EJ90" s="48" t="n">
        <f aca="false">P_ImpA*(EJ$82+EJ$88)</f>
        <v>0</v>
      </c>
      <c r="EK90" s="48" t="n">
        <f aca="false">P_ImpA*(EK$82+EK$88)</f>
        <v>0</v>
      </c>
      <c r="EL90" s="48" t="n">
        <f aca="false">P_ImpA*(EL$82+EL$88)</f>
        <v>0</v>
      </c>
      <c r="EM90" s="48" t="n">
        <f aca="false">P_ImpA*(EM$82+EM$88)</f>
        <v>0</v>
      </c>
      <c r="EN90" s="48" t="n">
        <f aca="false">P_ImpA*(EN$82+EN$88)</f>
        <v>0</v>
      </c>
      <c r="EO90" s="48" t="n">
        <f aca="false">P_ImpA*(EO$82+EO$88)</f>
        <v>0</v>
      </c>
      <c r="EP90" s="48" t="n">
        <f aca="false">P_ImpA*(EP$82+EP$88)</f>
        <v>0</v>
      </c>
      <c r="EQ90" s="48" t="n">
        <f aca="false">P_ImpA*(EQ$82+EQ$88)</f>
        <v>0</v>
      </c>
      <c r="ER90" s="48" t="n">
        <f aca="false">P_ImpA*(ER$82+ER$88)</f>
        <v>0</v>
      </c>
      <c r="ES90" s="48" t="n">
        <f aca="false">P_ImpA*(ES$82+ES$88)</f>
        <v>0</v>
      </c>
    </row>
    <row r="91" customFormat="false" ht="15" hidden="false" customHeight="false" outlineLevel="0" collapsed="false">
      <c r="A91" s="11" t="s">
        <v>1154</v>
      </c>
      <c r="B91" s="15" t="s">
        <v>1155</v>
      </c>
      <c r="C91" s="15" t="s">
        <v>508</v>
      </c>
      <c r="E91" s="54" t="n">
        <f aca="false">SUM(F91:ES91)</f>
        <v>212677.888986405</v>
      </c>
      <c r="F91" s="48" t="n">
        <f aca="false">SUMPRODUCT(FC_O*((FC_Mon="PYG")*F$19+(FC_Mon&lt;&gt;"PYG"))*(1+FC_g)^(F$17-1)*((FC_Desde=0)*(F$16+F$15)+(FC_Desde&gt;=1)*(F$14&gt;=FC_Desde)*F$15)*FC_IVA/(1+FC_IVA))</f>
        <v>1546</v>
      </c>
      <c r="G91" s="48" t="n">
        <f aca="false">SUMPRODUCT(FC_O*((FC_Mon="PYG")*G$19+(FC_Mon&lt;&gt;"PYG"))*(1+FC_g)^(G$17-1)*((FC_Desde=0)*(G$16+G$15)+(FC_Desde&gt;=1)*(G$14&gt;=FC_Desde)*G$15)*FC_IVA/(1+FC_IVA))</f>
        <v>1546</v>
      </c>
      <c r="H91" s="48" t="n">
        <f aca="false">SUMPRODUCT(FC_O*((FC_Mon="PYG")*H$19+(FC_Mon&lt;&gt;"PYG"))*(1+FC_g)^(H$17-1)*((FC_Desde=0)*(H$16+H$15)+(FC_Desde&gt;=1)*(H$14&gt;=FC_Desde)*H$15)*FC_IVA/(1+FC_IVA))</f>
        <v>1546</v>
      </c>
      <c r="I91" s="48" t="n">
        <f aca="false">SUMPRODUCT(FC_O*((FC_Mon="PYG")*I$19+(FC_Mon&lt;&gt;"PYG"))*(1+FC_g)^(I$17-1)*((FC_Desde=0)*(I$16+I$15)+(FC_Desde&gt;=1)*(I$14&gt;=FC_Desde)*I$15)*FC_IVA/(1+FC_IVA))</f>
        <v>1546</v>
      </c>
      <c r="J91" s="48" t="n">
        <f aca="false">SUMPRODUCT(FC_O*((FC_Mon="PYG")*J$19+(FC_Mon&lt;&gt;"PYG"))*(1+FC_g)^(J$17-1)*((FC_Desde=0)*(J$16+J$15)+(FC_Desde&gt;=1)*(J$14&gt;=FC_Desde)*J$15)*FC_IVA/(1+FC_IVA))</f>
        <v>1546</v>
      </c>
      <c r="K91" s="48" t="n">
        <f aca="false">SUMPRODUCT(FC_O*((FC_Mon="PYG")*K$19+(FC_Mon&lt;&gt;"PYG"))*(1+FC_g)^(K$17-1)*((FC_Desde=0)*(K$16+K$15)+(FC_Desde&gt;=1)*(K$14&gt;=FC_Desde)*K$15)*FC_IVA/(1+FC_IVA))</f>
        <v>1546</v>
      </c>
      <c r="L91" s="48" t="n">
        <f aca="false">SUMPRODUCT(FC_O*((FC_Mon="PYG")*L$19+(FC_Mon&lt;&gt;"PYG"))*(1+FC_g)^(L$17-1)*((FC_Desde=0)*(L$16+L$15)+(FC_Desde&gt;=1)*(L$14&gt;=FC_Desde)*L$15)*FC_IVA/(1+FC_IVA))</f>
        <v>1546</v>
      </c>
      <c r="M91" s="48" t="n">
        <f aca="false">SUMPRODUCT(FC_O*((FC_Mon="PYG")*M$19+(FC_Mon&lt;&gt;"PYG"))*(1+FC_g)^(M$17-1)*((FC_Desde=0)*(M$16+M$15)+(FC_Desde&gt;=1)*(M$14&gt;=FC_Desde)*M$15)*FC_IVA/(1+FC_IVA))</f>
        <v>1546</v>
      </c>
      <c r="N91" s="48" t="n">
        <f aca="false">SUMPRODUCT(FC_O*((FC_Mon="PYG")*N$19+(FC_Mon&lt;&gt;"PYG"))*(1+FC_g)^(N$17-1)*((FC_Desde=0)*(N$16+N$15)+(FC_Desde&gt;=1)*(N$14&gt;=FC_Desde)*N$15)*FC_IVA/(1+FC_IVA))</f>
        <v>1546</v>
      </c>
      <c r="O91" s="48" t="n">
        <f aca="false">SUMPRODUCT(FC_O*((FC_Mon="PYG")*O$19+(FC_Mon&lt;&gt;"PYG"))*(1+FC_g)^(O$17-1)*((FC_Desde=0)*(O$16+O$15)+(FC_Desde&gt;=1)*(O$14&gt;=FC_Desde)*O$15)*FC_IVA/(1+FC_IVA))</f>
        <v>1546</v>
      </c>
      <c r="P91" s="48" t="n">
        <f aca="false">SUMPRODUCT(FC_O*((FC_Mon="PYG")*P$19+(FC_Mon&lt;&gt;"PYG"))*(1+FC_g)^(P$17-1)*((FC_Desde=0)*(P$16+P$15)+(FC_Desde&gt;=1)*(P$14&gt;=FC_Desde)*P$15)*FC_IVA/(1+FC_IVA))</f>
        <v>1546</v>
      </c>
      <c r="Q91" s="48" t="n">
        <f aca="false">SUMPRODUCT(FC_O*((FC_Mon="PYG")*Q$19+(FC_Mon&lt;&gt;"PYG"))*(1+FC_g)^(Q$17-1)*((FC_Desde=0)*(Q$16+Q$15)+(FC_Desde&gt;=1)*(Q$14&gt;=FC_Desde)*Q$15)*FC_IVA/(1+FC_IVA))</f>
        <v>1546</v>
      </c>
      <c r="R91" s="48" t="n">
        <f aca="false">SUMPRODUCT(FC_O*((FC_Mon="PYG")*R$19+(FC_Mon&lt;&gt;"PYG"))*(1+FC_g)^(R$17-1)*((FC_Desde=0)*(R$16+R$15)+(FC_Desde&gt;=1)*(R$14&gt;=FC_Desde)*R$15)*FC_IVA/(1+FC_IVA))</f>
        <v>1592.38</v>
      </c>
      <c r="S91" s="48" t="n">
        <f aca="false">SUMPRODUCT(FC_O*((FC_Mon="PYG")*S$19+(FC_Mon&lt;&gt;"PYG"))*(1+FC_g)^(S$17-1)*((FC_Desde=0)*(S$16+S$15)+(FC_Desde&gt;=1)*(S$14&gt;=FC_Desde)*S$15)*FC_IVA/(1+FC_IVA))</f>
        <v>1592.38</v>
      </c>
      <c r="T91" s="48" t="n">
        <f aca="false">SUMPRODUCT(FC_O*((FC_Mon="PYG")*T$19+(FC_Mon&lt;&gt;"PYG"))*(1+FC_g)^(T$17-1)*((FC_Desde=0)*(T$16+T$15)+(FC_Desde&gt;=1)*(T$14&gt;=FC_Desde)*T$15)*FC_IVA/(1+FC_IVA))</f>
        <v>1592.38</v>
      </c>
      <c r="U91" s="48" t="n">
        <f aca="false">SUMPRODUCT(FC_O*((FC_Mon="PYG")*U$19+(FC_Mon&lt;&gt;"PYG"))*(1+FC_g)^(U$17-1)*((FC_Desde=0)*(U$16+U$15)+(FC_Desde&gt;=1)*(U$14&gt;=FC_Desde)*U$15)*FC_IVA/(1+FC_IVA))</f>
        <v>1592.38</v>
      </c>
      <c r="V91" s="48" t="n">
        <f aca="false">SUMPRODUCT(FC_O*((FC_Mon="PYG")*V$19+(FC_Mon&lt;&gt;"PYG"))*(1+FC_g)^(V$17-1)*((FC_Desde=0)*(V$16+V$15)+(FC_Desde&gt;=1)*(V$14&gt;=FC_Desde)*V$15)*FC_IVA/(1+FC_IVA))</f>
        <v>1592.38</v>
      </c>
      <c r="W91" s="48" t="n">
        <f aca="false">SUMPRODUCT(FC_O*((FC_Mon="PYG")*W$19+(FC_Mon&lt;&gt;"PYG"))*(1+FC_g)^(W$17-1)*((FC_Desde=0)*(W$16+W$15)+(FC_Desde&gt;=1)*(W$14&gt;=FC_Desde)*W$15)*FC_IVA/(1+FC_IVA))</f>
        <v>1592.38</v>
      </c>
      <c r="X91" s="48" t="n">
        <f aca="false">SUMPRODUCT(FC_O*((FC_Mon="PYG")*X$19+(FC_Mon&lt;&gt;"PYG"))*(1+FC_g)^(X$17-1)*((FC_Desde=0)*(X$16+X$15)+(FC_Desde&gt;=1)*(X$14&gt;=FC_Desde)*X$15)*FC_IVA/(1+FC_IVA))</f>
        <v>1592.38</v>
      </c>
      <c r="Y91" s="48" t="n">
        <f aca="false">SUMPRODUCT(FC_O*((FC_Mon="PYG")*Y$19+(FC_Mon&lt;&gt;"PYG"))*(1+FC_g)^(Y$17-1)*((FC_Desde=0)*(Y$16+Y$15)+(FC_Desde&gt;=1)*(Y$14&gt;=FC_Desde)*Y$15)*FC_IVA/(1+FC_IVA))</f>
        <v>1592.38</v>
      </c>
      <c r="Z91" s="48" t="n">
        <f aca="false">SUMPRODUCT(FC_O*((FC_Mon="PYG")*Z$19+(FC_Mon&lt;&gt;"PYG"))*(1+FC_g)^(Z$17-1)*((FC_Desde=0)*(Z$16+Z$15)+(FC_Desde&gt;=1)*(Z$14&gt;=FC_Desde)*Z$15)*FC_IVA/(1+FC_IVA))</f>
        <v>1592.38</v>
      </c>
      <c r="AA91" s="48" t="n">
        <f aca="false">SUMPRODUCT(FC_O*((FC_Mon="PYG")*AA$19+(FC_Mon&lt;&gt;"PYG"))*(1+FC_g)^(AA$17-1)*((FC_Desde=0)*(AA$16+AA$15)+(FC_Desde&gt;=1)*(AA$14&gt;=FC_Desde)*AA$15)*FC_IVA/(1+FC_IVA))</f>
        <v>1592.38</v>
      </c>
      <c r="AB91" s="48" t="n">
        <f aca="false">SUMPRODUCT(FC_O*((FC_Mon="PYG")*AB$19+(FC_Mon&lt;&gt;"PYG"))*(1+FC_g)^(AB$17-1)*((FC_Desde=0)*(AB$16+AB$15)+(FC_Desde&gt;=1)*(AB$14&gt;=FC_Desde)*AB$15)*FC_IVA/(1+FC_IVA))</f>
        <v>1592.38</v>
      </c>
      <c r="AC91" s="48" t="n">
        <f aca="false">SUMPRODUCT(FC_O*((FC_Mon="PYG")*AC$19+(FC_Mon&lt;&gt;"PYG"))*(1+FC_g)^(AC$17-1)*((FC_Desde=0)*(AC$16+AC$15)+(FC_Desde&gt;=1)*(AC$14&gt;=FC_Desde)*AC$15)*FC_IVA/(1+FC_IVA))</f>
        <v>1592.38</v>
      </c>
      <c r="AD91" s="48" t="n">
        <f aca="false">SUMPRODUCT(FC_O*((FC_Mon="PYG")*AD$19+(FC_Mon&lt;&gt;"PYG"))*(1+FC_g)^(AD$17-1)*((FC_Desde=0)*(AD$16+AD$15)+(FC_Desde&gt;=1)*(AD$14&gt;=FC_Desde)*AD$15)*FC_IVA/(1+FC_IVA))</f>
        <v>1640.1514</v>
      </c>
      <c r="AE91" s="48" t="n">
        <f aca="false">SUMPRODUCT(FC_O*((FC_Mon="PYG")*AE$19+(FC_Mon&lt;&gt;"PYG"))*(1+FC_g)^(AE$17-1)*((FC_Desde=0)*(AE$16+AE$15)+(FC_Desde&gt;=1)*(AE$14&gt;=FC_Desde)*AE$15)*FC_IVA/(1+FC_IVA))</f>
        <v>1640.1514</v>
      </c>
      <c r="AF91" s="48" t="n">
        <f aca="false">SUMPRODUCT(FC_O*((FC_Mon="PYG")*AF$19+(FC_Mon&lt;&gt;"PYG"))*(1+FC_g)^(AF$17-1)*((FC_Desde=0)*(AF$16+AF$15)+(FC_Desde&gt;=1)*(AF$14&gt;=FC_Desde)*AF$15)*FC_IVA/(1+FC_IVA))</f>
        <v>1640.1514</v>
      </c>
      <c r="AG91" s="48" t="n">
        <f aca="false">SUMPRODUCT(FC_O*((FC_Mon="PYG")*AG$19+(FC_Mon&lt;&gt;"PYG"))*(1+FC_g)^(AG$17-1)*((FC_Desde=0)*(AG$16+AG$15)+(FC_Desde&gt;=1)*(AG$14&gt;=FC_Desde)*AG$15)*FC_IVA/(1+FC_IVA))</f>
        <v>1640.1514</v>
      </c>
      <c r="AH91" s="48" t="n">
        <f aca="false">SUMPRODUCT(FC_O*((FC_Mon="PYG")*AH$19+(FC_Mon&lt;&gt;"PYG"))*(1+FC_g)^(AH$17-1)*((FC_Desde=0)*(AH$16+AH$15)+(FC_Desde&gt;=1)*(AH$14&gt;=FC_Desde)*AH$15)*FC_IVA/(1+FC_IVA))</f>
        <v>1640.1514</v>
      </c>
      <c r="AI91" s="48" t="n">
        <f aca="false">SUMPRODUCT(FC_O*((FC_Mon="PYG")*AI$19+(FC_Mon&lt;&gt;"PYG"))*(1+FC_g)^(AI$17-1)*((FC_Desde=0)*(AI$16+AI$15)+(FC_Desde&gt;=1)*(AI$14&gt;=FC_Desde)*AI$15)*FC_IVA/(1+FC_IVA))</f>
        <v>1640.1514</v>
      </c>
      <c r="AJ91" s="48" t="n">
        <f aca="false">SUMPRODUCT(FC_O*((FC_Mon="PYG")*AJ$19+(FC_Mon&lt;&gt;"PYG"))*(1+FC_g)^(AJ$17-1)*((FC_Desde=0)*(AJ$16+AJ$15)+(FC_Desde&gt;=1)*(AJ$14&gt;=FC_Desde)*AJ$15)*FC_IVA/(1+FC_IVA))</f>
        <v>1640.1514</v>
      </c>
      <c r="AK91" s="48" t="n">
        <f aca="false">SUMPRODUCT(FC_O*((FC_Mon="PYG")*AK$19+(FC_Mon&lt;&gt;"PYG"))*(1+FC_g)^(AK$17-1)*((FC_Desde=0)*(AK$16+AK$15)+(FC_Desde&gt;=1)*(AK$14&gt;=FC_Desde)*AK$15)*FC_IVA/(1+FC_IVA))</f>
        <v>1640.1514</v>
      </c>
      <c r="AL91" s="48" t="n">
        <f aca="false">SUMPRODUCT(FC_O*((FC_Mon="PYG")*AL$19+(FC_Mon&lt;&gt;"PYG"))*(1+FC_g)^(AL$17-1)*((FC_Desde=0)*(AL$16+AL$15)+(FC_Desde&gt;=1)*(AL$14&gt;=FC_Desde)*AL$15)*FC_IVA/(1+FC_IVA))</f>
        <v>1640.1514</v>
      </c>
      <c r="AM91" s="48" t="n">
        <f aca="false">SUMPRODUCT(FC_O*((FC_Mon="PYG")*AM$19+(FC_Mon&lt;&gt;"PYG"))*(1+FC_g)^(AM$17-1)*((FC_Desde=0)*(AM$16+AM$15)+(FC_Desde&gt;=1)*(AM$14&gt;=FC_Desde)*AM$15)*FC_IVA/(1+FC_IVA))</f>
        <v>1640.1514</v>
      </c>
      <c r="AN91" s="48" t="n">
        <f aca="false">SUMPRODUCT(FC_O*((FC_Mon="PYG")*AN$19+(FC_Mon&lt;&gt;"PYG"))*(1+FC_g)^(AN$17-1)*((FC_Desde=0)*(AN$16+AN$15)+(FC_Desde&gt;=1)*(AN$14&gt;=FC_Desde)*AN$15)*FC_IVA/(1+FC_IVA))</f>
        <v>1640.1514</v>
      </c>
      <c r="AO91" s="48" t="n">
        <f aca="false">SUMPRODUCT(FC_O*((FC_Mon="PYG")*AO$19+(FC_Mon&lt;&gt;"PYG"))*(1+FC_g)^(AO$17-1)*((FC_Desde=0)*(AO$16+AO$15)+(FC_Desde&gt;=1)*(AO$14&gt;=FC_Desde)*AO$15)*FC_IVA/(1+FC_IVA))</f>
        <v>1640.1514</v>
      </c>
      <c r="AP91" s="48" t="n">
        <f aca="false">SUMPRODUCT(FC_O*((FC_Mon="PYG")*AP$19+(FC_Mon&lt;&gt;"PYG"))*(1+FC_g)^(AP$17-1)*((FC_Desde=0)*(AP$16+AP$15)+(FC_Desde&gt;=1)*(AP$14&gt;=FC_Desde)*AP$15)*FC_IVA/(1+FC_IVA))</f>
        <v>1689.355942</v>
      </c>
      <c r="AQ91" s="48" t="n">
        <f aca="false">SUMPRODUCT(FC_O*((FC_Mon="PYG")*AQ$19+(FC_Mon&lt;&gt;"PYG"))*(1+FC_g)^(AQ$17-1)*((FC_Desde=0)*(AQ$16+AQ$15)+(FC_Desde&gt;=1)*(AQ$14&gt;=FC_Desde)*AQ$15)*FC_IVA/(1+FC_IVA))</f>
        <v>1689.355942</v>
      </c>
      <c r="AR91" s="48" t="n">
        <f aca="false">SUMPRODUCT(FC_O*((FC_Mon="PYG")*AR$19+(FC_Mon&lt;&gt;"PYG"))*(1+FC_g)^(AR$17-1)*((FC_Desde=0)*(AR$16+AR$15)+(FC_Desde&gt;=1)*(AR$14&gt;=FC_Desde)*AR$15)*FC_IVA/(1+FC_IVA))</f>
        <v>1689.355942</v>
      </c>
      <c r="AS91" s="48" t="n">
        <f aca="false">SUMPRODUCT(FC_O*((FC_Mon="PYG")*AS$19+(FC_Mon&lt;&gt;"PYG"))*(1+FC_g)^(AS$17-1)*((FC_Desde=0)*(AS$16+AS$15)+(FC_Desde&gt;=1)*(AS$14&gt;=FC_Desde)*AS$15)*FC_IVA/(1+FC_IVA))</f>
        <v>1689.355942</v>
      </c>
      <c r="AT91" s="48" t="n">
        <f aca="false">SUMPRODUCT(FC_O*((FC_Mon="PYG")*AT$19+(FC_Mon&lt;&gt;"PYG"))*(1+FC_g)^(AT$17-1)*((FC_Desde=0)*(AT$16+AT$15)+(FC_Desde&gt;=1)*(AT$14&gt;=FC_Desde)*AT$15)*FC_IVA/(1+FC_IVA))</f>
        <v>1689.355942</v>
      </c>
      <c r="AU91" s="48" t="n">
        <f aca="false">SUMPRODUCT(FC_O*((FC_Mon="PYG")*AU$19+(FC_Mon&lt;&gt;"PYG"))*(1+FC_g)^(AU$17-1)*((FC_Desde=0)*(AU$16+AU$15)+(FC_Desde&gt;=1)*(AU$14&gt;=FC_Desde)*AU$15)*FC_IVA/(1+FC_IVA))</f>
        <v>1689.355942</v>
      </c>
      <c r="AV91" s="48" t="n">
        <f aca="false">SUMPRODUCT(FC_O*((FC_Mon="PYG")*AV$19+(FC_Mon&lt;&gt;"PYG"))*(1+FC_g)^(AV$17-1)*((FC_Desde=0)*(AV$16+AV$15)+(FC_Desde&gt;=1)*(AV$14&gt;=FC_Desde)*AV$15)*FC_IVA/(1+FC_IVA))</f>
        <v>1689.355942</v>
      </c>
      <c r="AW91" s="48" t="n">
        <f aca="false">SUMPRODUCT(FC_O*((FC_Mon="PYG")*AW$19+(FC_Mon&lt;&gt;"PYG"))*(1+FC_g)^(AW$17-1)*((FC_Desde=0)*(AW$16+AW$15)+(FC_Desde&gt;=1)*(AW$14&gt;=FC_Desde)*AW$15)*FC_IVA/(1+FC_IVA))</f>
        <v>1689.355942</v>
      </c>
      <c r="AX91" s="48" t="n">
        <f aca="false">SUMPRODUCT(FC_O*((FC_Mon="PYG")*AX$19+(FC_Mon&lt;&gt;"PYG"))*(1+FC_g)^(AX$17-1)*((FC_Desde=0)*(AX$16+AX$15)+(FC_Desde&gt;=1)*(AX$14&gt;=FC_Desde)*AX$15)*FC_IVA/(1+FC_IVA))</f>
        <v>1689.355942</v>
      </c>
      <c r="AY91" s="48" t="n">
        <f aca="false">SUMPRODUCT(FC_O*((FC_Mon="PYG")*AY$19+(FC_Mon&lt;&gt;"PYG"))*(1+FC_g)^(AY$17-1)*((FC_Desde=0)*(AY$16+AY$15)+(FC_Desde&gt;=1)*(AY$14&gt;=FC_Desde)*AY$15)*FC_IVA/(1+FC_IVA))</f>
        <v>1689.355942</v>
      </c>
      <c r="AZ91" s="48" t="n">
        <f aca="false">SUMPRODUCT(FC_O*((FC_Mon="PYG")*AZ$19+(FC_Mon&lt;&gt;"PYG"))*(1+FC_g)^(AZ$17-1)*((FC_Desde=0)*(AZ$16+AZ$15)+(FC_Desde&gt;=1)*(AZ$14&gt;=FC_Desde)*AZ$15)*FC_IVA/(1+FC_IVA))</f>
        <v>1689.355942</v>
      </c>
      <c r="BA91" s="48" t="n">
        <f aca="false">SUMPRODUCT(FC_O*((FC_Mon="PYG")*BA$19+(FC_Mon&lt;&gt;"PYG"))*(1+FC_g)^(BA$17-1)*((FC_Desde=0)*(BA$16+BA$15)+(FC_Desde&gt;=1)*(BA$14&gt;=FC_Desde)*BA$15)*FC_IVA/(1+FC_IVA))</f>
        <v>1689.355942</v>
      </c>
      <c r="BB91" s="48" t="n">
        <f aca="false">SUMPRODUCT(FC_O*((FC_Mon="PYG")*BB$19+(FC_Mon&lt;&gt;"PYG"))*(1+FC_g)^(BB$17-1)*((FC_Desde=0)*(BB$16+BB$15)+(FC_Desde&gt;=1)*(BB$14&gt;=FC_Desde)*BB$15)*FC_IVA/(1+FC_IVA))</f>
        <v>1740.03662026</v>
      </c>
      <c r="BC91" s="48" t="n">
        <f aca="false">SUMPRODUCT(FC_O*((FC_Mon="PYG")*BC$19+(FC_Mon&lt;&gt;"PYG"))*(1+FC_g)^(BC$17-1)*((FC_Desde=0)*(BC$16+BC$15)+(FC_Desde&gt;=1)*(BC$14&gt;=FC_Desde)*BC$15)*FC_IVA/(1+FC_IVA))</f>
        <v>1740.03662026</v>
      </c>
      <c r="BD91" s="48" t="n">
        <f aca="false">SUMPRODUCT(FC_O*((FC_Mon="PYG")*BD$19+(FC_Mon&lt;&gt;"PYG"))*(1+FC_g)^(BD$17-1)*((FC_Desde=0)*(BD$16+BD$15)+(FC_Desde&gt;=1)*(BD$14&gt;=FC_Desde)*BD$15)*FC_IVA/(1+FC_IVA))</f>
        <v>1740.03662026</v>
      </c>
      <c r="BE91" s="48" t="n">
        <f aca="false">SUMPRODUCT(FC_O*((FC_Mon="PYG")*BE$19+(FC_Mon&lt;&gt;"PYG"))*(1+FC_g)^(BE$17-1)*((FC_Desde=0)*(BE$16+BE$15)+(FC_Desde&gt;=1)*(BE$14&gt;=FC_Desde)*BE$15)*FC_IVA/(1+FC_IVA))</f>
        <v>1740.03662026</v>
      </c>
      <c r="BF91" s="48" t="n">
        <f aca="false">SUMPRODUCT(FC_O*((FC_Mon="PYG")*BF$19+(FC_Mon&lt;&gt;"PYG"))*(1+FC_g)^(BF$17-1)*((FC_Desde=0)*(BF$16+BF$15)+(FC_Desde&gt;=1)*(BF$14&gt;=FC_Desde)*BF$15)*FC_IVA/(1+FC_IVA))</f>
        <v>1740.03662026</v>
      </c>
      <c r="BG91" s="48" t="n">
        <f aca="false">SUMPRODUCT(FC_O*((FC_Mon="PYG")*BG$19+(FC_Mon&lt;&gt;"PYG"))*(1+FC_g)^(BG$17-1)*((FC_Desde=0)*(BG$16+BG$15)+(FC_Desde&gt;=1)*(BG$14&gt;=FC_Desde)*BG$15)*FC_IVA/(1+FC_IVA))</f>
        <v>1740.03662026</v>
      </c>
      <c r="BH91" s="48" t="n">
        <f aca="false">SUMPRODUCT(FC_O*((FC_Mon="PYG")*BH$19+(FC_Mon&lt;&gt;"PYG"))*(1+FC_g)^(BH$17-1)*((FC_Desde=0)*(BH$16+BH$15)+(FC_Desde&gt;=1)*(BH$14&gt;=FC_Desde)*BH$15)*FC_IVA/(1+FC_IVA))</f>
        <v>1740.03662026</v>
      </c>
      <c r="BI91" s="48" t="n">
        <f aca="false">SUMPRODUCT(FC_O*((FC_Mon="PYG")*BI$19+(FC_Mon&lt;&gt;"PYG"))*(1+FC_g)^(BI$17-1)*((FC_Desde=0)*(BI$16+BI$15)+(FC_Desde&gt;=1)*(BI$14&gt;=FC_Desde)*BI$15)*FC_IVA/(1+FC_IVA))</f>
        <v>1740.03662026</v>
      </c>
      <c r="BJ91" s="48" t="n">
        <f aca="false">SUMPRODUCT(FC_O*((FC_Mon="PYG")*BJ$19+(FC_Mon&lt;&gt;"PYG"))*(1+FC_g)^(BJ$17-1)*((FC_Desde=0)*(BJ$16+BJ$15)+(FC_Desde&gt;=1)*(BJ$14&gt;=FC_Desde)*BJ$15)*FC_IVA/(1+FC_IVA))</f>
        <v>1740.03662026</v>
      </c>
      <c r="BK91" s="48" t="n">
        <f aca="false">SUMPRODUCT(FC_O*((FC_Mon="PYG")*BK$19+(FC_Mon&lt;&gt;"PYG"))*(1+FC_g)^(BK$17-1)*((FC_Desde=0)*(BK$16+BK$15)+(FC_Desde&gt;=1)*(BK$14&gt;=FC_Desde)*BK$15)*FC_IVA/(1+FC_IVA))</f>
        <v>1740.03662026</v>
      </c>
      <c r="BL91" s="48" t="n">
        <f aca="false">SUMPRODUCT(FC_O*((FC_Mon="PYG")*BL$19+(FC_Mon&lt;&gt;"PYG"))*(1+FC_g)^(BL$17-1)*((FC_Desde=0)*(BL$16+BL$15)+(FC_Desde&gt;=1)*(BL$14&gt;=FC_Desde)*BL$15)*FC_IVA/(1+FC_IVA))</f>
        <v>1740.03662026</v>
      </c>
      <c r="BM91" s="48" t="n">
        <f aca="false">SUMPRODUCT(FC_O*((FC_Mon="PYG")*BM$19+(FC_Mon&lt;&gt;"PYG"))*(1+FC_g)^(BM$17-1)*((FC_Desde=0)*(BM$16+BM$15)+(FC_Desde&gt;=1)*(BM$14&gt;=FC_Desde)*BM$15)*FC_IVA/(1+FC_IVA))</f>
        <v>1740.03662026</v>
      </c>
      <c r="BN91" s="48" t="n">
        <f aca="false">SUMPRODUCT(FC_O*((FC_Mon="PYG")*BN$19+(FC_Mon&lt;&gt;"PYG"))*(1+FC_g)^(BN$17-1)*((FC_Desde=0)*(BN$16+BN$15)+(FC_Desde&gt;=1)*(BN$14&gt;=FC_Desde)*BN$15)*FC_IVA/(1+FC_IVA))</f>
        <v>1792.2377188678</v>
      </c>
      <c r="BO91" s="48" t="n">
        <f aca="false">SUMPRODUCT(FC_O*((FC_Mon="PYG")*BO$19+(FC_Mon&lt;&gt;"PYG"))*(1+FC_g)^(BO$17-1)*((FC_Desde=0)*(BO$16+BO$15)+(FC_Desde&gt;=1)*(BO$14&gt;=FC_Desde)*BO$15)*FC_IVA/(1+FC_IVA))</f>
        <v>1792.2377188678</v>
      </c>
      <c r="BP91" s="48" t="n">
        <f aca="false">SUMPRODUCT(FC_O*((FC_Mon="PYG")*BP$19+(FC_Mon&lt;&gt;"PYG"))*(1+FC_g)^(BP$17-1)*((FC_Desde=0)*(BP$16+BP$15)+(FC_Desde&gt;=1)*(BP$14&gt;=FC_Desde)*BP$15)*FC_IVA/(1+FC_IVA))</f>
        <v>1792.2377188678</v>
      </c>
      <c r="BQ91" s="48" t="n">
        <f aca="false">SUMPRODUCT(FC_O*((FC_Mon="PYG")*BQ$19+(FC_Mon&lt;&gt;"PYG"))*(1+FC_g)^(BQ$17-1)*((FC_Desde=0)*(BQ$16+BQ$15)+(FC_Desde&gt;=1)*(BQ$14&gt;=FC_Desde)*BQ$15)*FC_IVA/(1+FC_IVA))</f>
        <v>1792.2377188678</v>
      </c>
      <c r="BR91" s="48" t="n">
        <f aca="false">SUMPRODUCT(FC_O*((FC_Mon="PYG")*BR$19+(FC_Mon&lt;&gt;"PYG"))*(1+FC_g)^(BR$17-1)*((FC_Desde=0)*(BR$16+BR$15)+(FC_Desde&gt;=1)*(BR$14&gt;=FC_Desde)*BR$15)*FC_IVA/(1+FC_IVA))</f>
        <v>1792.2377188678</v>
      </c>
      <c r="BS91" s="48" t="n">
        <f aca="false">SUMPRODUCT(FC_O*((FC_Mon="PYG")*BS$19+(FC_Mon&lt;&gt;"PYG"))*(1+FC_g)^(BS$17-1)*((FC_Desde=0)*(BS$16+BS$15)+(FC_Desde&gt;=1)*(BS$14&gt;=FC_Desde)*BS$15)*FC_IVA/(1+FC_IVA))</f>
        <v>1792.2377188678</v>
      </c>
      <c r="BT91" s="48" t="n">
        <f aca="false">SUMPRODUCT(FC_O*((FC_Mon="PYG")*BT$19+(FC_Mon&lt;&gt;"PYG"))*(1+FC_g)^(BT$17-1)*((FC_Desde=0)*(BT$16+BT$15)+(FC_Desde&gt;=1)*(BT$14&gt;=FC_Desde)*BT$15)*FC_IVA/(1+FC_IVA))</f>
        <v>1792.2377188678</v>
      </c>
      <c r="BU91" s="48" t="n">
        <f aca="false">SUMPRODUCT(FC_O*((FC_Mon="PYG")*BU$19+(FC_Mon&lt;&gt;"PYG"))*(1+FC_g)^(BU$17-1)*((FC_Desde=0)*(BU$16+BU$15)+(FC_Desde&gt;=1)*(BU$14&gt;=FC_Desde)*BU$15)*FC_IVA/(1+FC_IVA))</f>
        <v>1792.2377188678</v>
      </c>
      <c r="BV91" s="48" t="n">
        <f aca="false">SUMPRODUCT(FC_O*((FC_Mon="PYG")*BV$19+(FC_Mon&lt;&gt;"PYG"))*(1+FC_g)^(BV$17-1)*((FC_Desde=0)*(BV$16+BV$15)+(FC_Desde&gt;=1)*(BV$14&gt;=FC_Desde)*BV$15)*FC_IVA/(1+FC_IVA))</f>
        <v>1792.2377188678</v>
      </c>
      <c r="BW91" s="48" t="n">
        <f aca="false">SUMPRODUCT(FC_O*((FC_Mon="PYG")*BW$19+(FC_Mon&lt;&gt;"PYG"))*(1+FC_g)^(BW$17-1)*((FC_Desde=0)*(BW$16+BW$15)+(FC_Desde&gt;=1)*(BW$14&gt;=FC_Desde)*BW$15)*FC_IVA/(1+FC_IVA))</f>
        <v>1792.2377188678</v>
      </c>
      <c r="BX91" s="48" t="n">
        <f aca="false">SUMPRODUCT(FC_O*((FC_Mon="PYG")*BX$19+(FC_Mon&lt;&gt;"PYG"))*(1+FC_g)^(BX$17-1)*((FC_Desde=0)*(BX$16+BX$15)+(FC_Desde&gt;=1)*(BX$14&gt;=FC_Desde)*BX$15)*FC_IVA/(1+FC_IVA))</f>
        <v>1792.2377188678</v>
      </c>
      <c r="BY91" s="48" t="n">
        <f aca="false">SUMPRODUCT(FC_O*((FC_Mon="PYG")*BY$19+(FC_Mon&lt;&gt;"PYG"))*(1+FC_g)^(BY$17-1)*((FC_Desde=0)*(BY$16+BY$15)+(FC_Desde&gt;=1)*(BY$14&gt;=FC_Desde)*BY$15)*FC_IVA/(1+FC_IVA))</f>
        <v>1792.2377188678</v>
      </c>
      <c r="BZ91" s="48" t="n">
        <f aca="false">SUMPRODUCT(FC_O*((FC_Mon="PYG")*BZ$19+(FC_Mon&lt;&gt;"PYG"))*(1+FC_g)^(BZ$17-1)*((FC_Desde=0)*(BZ$16+BZ$15)+(FC_Desde&gt;=1)*(BZ$14&gt;=FC_Desde)*BZ$15)*FC_IVA/(1+FC_IVA))</f>
        <v>1846.00485043383</v>
      </c>
      <c r="CA91" s="48" t="n">
        <f aca="false">SUMPRODUCT(FC_O*((FC_Mon="PYG")*CA$19+(FC_Mon&lt;&gt;"PYG"))*(1+FC_g)^(CA$17-1)*((FC_Desde=0)*(CA$16+CA$15)+(FC_Desde&gt;=1)*(CA$14&gt;=FC_Desde)*CA$15)*FC_IVA/(1+FC_IVA))</f>
        <v>1846.00485043383</v>
      </c>
      <c r="CB91" s="48" t="n">
        <f aca="false">SUMPRODUCT(FC_O*((FC_Mon="PYG")*CB$19+(FC_Mon&lt;&gt;"PYG"))*(1+FC_g)^(CB$17-1)*((FC_Desde=0)*(CB$16+CB$15)+(FC_Desde&gt;=1)*(CB$14&gt;=FC_Desde)*CB$15)*FC_IVA/(1+FC_IVA))</f>
        <v>1846.00485043383</v>
      </c>
      <c r="CC91" s="48" t="n">
        <f aca="false">SUMPRODUCT(FC_O*((FC_Mon="PYG")*CC$19+(FC_Mon&lt;&gt;"PYG"))*(1+FC_g)^(CC$17-1)*((FC_Desde=0)*(CC$16+CC$15)+(FC_Desde&gt;=1)*(CC$14&gt;=FC_Desde)*CC$15)*FC_IVA/(1+FC_IVA))</f>
        <v>1846.00485043383</v>
      </c>
      <c r="CD91" s="48" t="n">
        <f aca="false">SUMPRODUCT(FC_O*((FC_Mon="PYG")*CD$19+(FC_Mon&lt;&gt;"PYG"))*(1+FC_g)^(CD$17-1)*((FC_Desde=0)*(CD$16+CD$15)+(FC_Desde&gt;=1)*(CD$14&gt;=FC_Desde)*CD$15)*FC_IVA/(1+FC_IVA))</f>
        <v>1846.00485043383</v>
      </c>
      <c r="CE91" s="48" t="n">
        <f aca="false">SUMPRODUCT(FC_O*((FC_Mon="PYG")*CE$19+(FC_Mon&lt;&gt;"PYG"))*(1+FC_g)^(CE$17-1)*((FC_Desde=0)*(CE$16+CE$15)+(FC_Desde&gt;=1)*(CE$14&gt;=FC_Desde)*CE$15)*FC_IVA/(1+FC_IVA))</f>
        <v>1846.00485043383</v>
      </c>
      <c r="CF91" s="48" t="n">
        <f aca="false">SUMPRODUCT(FC_O*((FC_Mon="PYG")*CF$19+(FC_Mon&lt;&gt;"PYG"))*(1+FC_g)^(CF$17-1)*((FC_Desde=0)*(CF$16+CF$15)+(FC_Desde&gt;=1)*(CF$14&gt;=FC_Desde)*CF$15)*FC_IVA/(1+FC_IVA))</f>
        <v>1846.00485043383</v>
      </c>
      <c r="CG91" s="48" t="n">
        <f aca="false">SUMPRODUCT(FC_O*((FC_Mon="PYG")*CG$19+(FC_Mon&lt;&gt;"PYG"))*(1+FC_g)^(CG$17-1)*((FC_Desde=0)*(CG$16+CG$15)+(FC_Desde&gt;=1)*(CG$14&gt;=FC_Desde)*CG$15)*FC_IVA/(1+FC_IVA))</f>
        <v>1846.00485043383</v>
      </c>
      <c r="CH91" s="48" t="n">
        <f aca="false">SUMPRODUCT(FC_O*((FC_Mon="PYG")*CH$19+(FC_Mon&lt;&gt;"PYG"))*(1+FC_g)^(CH$17-1)*((FC_Desde=0)*(CH$16+CH$15)+(FC_Desde&gt;=1)*(CH$14&gt;=FC_Desde)*CH$15)*FC_IVA/(1+FC_IVA))</f>
        <v>1846.00485043383</v>
      </c>
      <c r="CI91" s="48" t="n">
        <f aca="false">SUMPRODUCT(FC_O*((FC_Mon="PYG")*CI$19+(FC_Mon&lt;&gt;"PYG"))*(1+FC_g)^(CI$17-1)*((FC_Desde=0)*(CI$16+CI$15)+(FC_Desde&gt;=1)*(CI$14&gt;=FC_Desde)*CI$15)*FC_IVA/(1+FC_IVA))</f>
        <v>1846.00485043383</v>
      </c>
      <c r="CJ91" s="48" t="n">
        <f aca="false">SUMPRODUCT(FC_O*((FC_Mon="PYG")*CJ$19+(FC_Mon&lt;&gt;"PYG"))*(1+FC_g)^(CJ$17-1)*((FC_Desde=0)*(CJ$16+CJ$15)+(FC_Desde&gt;=1)*(CJ$14&gt;=FC_Desde)*CJ$15)*FC_IVA/(1+FC_IVA))</f>
        <v>1846.00485043383</v>
      </c>
      <c r="CK91" s="48" t="n">
        <f aca="false">SUMPRODUCT(FC_O*((FC_Mon="PYG")*CK$19+(FC_Mon&lt;&gt;"PYG"))*(1+FC_g)^(CK$17-1)*((FC_Desde=0)*(CK$16+CK$15)+(FC_Desde&gt;=1)*(CK$14&gt;=FC_Desde)*CK$15)*FC_IVA/(1+FC_IVA))</f>
        <v>1846.00485043383</v>
      </c>
      <c r="CL91" s="48" t="n">
        <f aca="false">SUMPRODUCT(FC_O*((FC_Mon="PYG")*CL$19+(FC_Mon&lt;&gt;"PYG"))*(1+FC_g)^(CL$17-1)*((FC_Desde=0)*(CL$16+CL$15)+(FC_Desde&gt;=1)*(CL$14&gt;=FC_Desde)*CL$15)*FC_IVA/(1+FC_IVA))</f>
        <v>1901.38499594685</v>
      </c>
      <c r="CM91" s="48" t="n">
        <f aca="false">SUMPRODUCT(FC_O*((FC_Mon="PYG")*CM$19+(FC_Mon&lt;&gt;"PYG"))*(1+FC_g)^(CM$17-1)*((FC_Desde=0)*(CM$16+CM$15)+(FC_Desde&gt;=1)*(CM$14&gt;=FC_Desde)*CM$15)*FC_IVA/(1+FC_IVA))</f>
        <v>1901.38499594685</v>
      </c>
      <c r="CN91" s="48" t="n">
        <f aca="false">SUMPRODUCT(FC_O*((FC_Mon="PYG")*CN$19+(FC_Mon&lt;&gt;"PYG"))*(1+FC_g)^(CN$17-1)*((FC_Desde=0)*(CN$16+CN$15)+(FC_Desde&gt;=1)*(CN$14&gt;=FC_Desde)*CN$15)*FC_IVA/(1+FC_IVA))</f>
        <v>1901.38499594685</v>
      </c>
      <c r="CO91" s="48" t="n">
        <f aca="false">SUMPRODUCT(FC_O*((FC_Mon="PYG")*CO$19+(FC_Mon&lt;&gt;"PYG"))*(1+FC_g)^(CO$17-1)*((FC_Desde=0)*(CO$16+CO$15)+(FC_Desde&gt;=1)*(CO$14&gt;=FC_Desde)*CO$15)*FC_IVA/(1+FC_IVA))</f>
        <v>1901.38499594685</v>
      </c>
      <c r="CP91" s="48" t="n">
        <f aca="false">SUMPRODUCT(FC_O*((FC_Mon="PYG")*CP$19+(FC_Mon&lt;&gt;"PYG"))*(1+FC_g)^(CP$17-1)*((FC_Desde=0)*(CP$16+CP$15)+(FC_Desde&gt;=1)*(CP$14&gt;=FC_Desde)*CP$15)*FC_IVA/(1+FC_IVA))</f>
        <v>1901.38499594685</v>
      </c>
      <c r="CQ91" s="48" t="n">
        <f aca="false">SUMPRODUCT(FC_O*((FC_Mon="PYG")*CQ$19+(FC_Mon&lt;&gt;"PYG"))*(1+FC_g)^(CQ$17-1)*((FC_Desde=0)*(CQ$16+CQ$15)+(FC_Desde&gt;=1)*(CQ$14&gt;=FC_Desde)*CQ$15)*FC_IVA/(1+FC_IVA))</f>
        <v>1901.38499594685</v>
      </c>
      <c r="CR91" s="48" t="n">
        <f aca="false">SUMPRODUCT(FC_O*((FC_Mon="PYG")*CR$19+(FC_Mon&lt;&gt;"PYG"))*(1+FC_g)^(CR$17-1)*((FC_Desde=0)*(CR$16+CR$15)+(FC_Desde&gt;=1)*(CR$14&gt;=FC_Desde)*CR$15)*FC_IVA/(1+FC_IVA))</f>
        <v>1901.38499594685</v>
      </c>
      <c r="CS91" s="48" t="n">
        <f aca="false">SUMPRODUCT(FC_O*((FC_Mon="PYG")*CS$19+(FC_Mon&lt;&gt;"PYG"))*(1+FC_g)^(CS$17-1)*((FC_Desde=0)*(CS$16+CS$15)+(FC_Desde&gt;=1)*(CS$14&gt;=FC_Desde)*CS$15)*FC_IVA/(1+FC_IVA))</f>
        <v>1901.38499594685</v>
      </c>
      <c r="CT91" s="48" t="n">
        <f aca="false">SUMPRODUCT(FC_O*((FC_Mon="PYG")*CT$19+(FC_Mon&lt;&gt;"PYG"))*(1+FC_g)^(CT$17-1)*((FC_Desde=0)*(CT$16+CT$15)+(FC_Desde&gt;=1)*(CT$14&gt;=FC_Desde)*CT$15)*FC_IVA/(1+FC_IVA))</f>
        <v>1901.38499594685</v>
      </c>
      <c r="CU91" s="48" t="n">
        <f aca="false">SUMPRODUCT(FC_O*((FC_Mon="PYG")*CU$19+(FC_Mon&lt;&gt;"PYG"))*(1+FC_g)^(CU$17-1)*((FC_Desde=0)*(CU$16+CU$15)+(FC_Desde&gt;=1)*(CU$14&gt;=FC_Desde)*CU$15)*FC_IVA/(1+FC_IVA))</f>
        <v>1901.38499594685</v>
      </c>
      <c r="CV91" s="48" t="n">
        <f aca="false">SUMPRODUCT(FC_O*((FC_Mon="PYG")*CV$19+(FC_Mon&lt;&gt;"PYG"))*(1+FC_g)^(CV$17-1)*((FC_Desde=0)*(CV$16+CV$15)+(FC_Desde&gt;=1)*(CV$14&gt;=FC_Desde)*CV$15)*FC_IVA/(1+FC_IVA))</f>
        <v>1901.38499594685</v>
      </c>
      <c r="CW91" s="48" t="n">
        <f aca="false">SUMPRODUCT(FC_O*((FC_Mon="PYG")*CW$19+(FC_Mon&lt;&gt;"PYG"))*(1+FC_g)^(CW$17-1)*((FC_Desde=0)*(CW$16+CW$15)+(FC_Desde&gt;=1)*(CW$14&gt;=FC_Desde)*CW$15)*FC_IVA/(1+FC_IVA))</f>
        <v>1901.38499594685</v>
      </c>
      <c r="CX91" s="48" t="n">
        <f aca="false">SUMPRODUCT(FC_O*((FC_Mon="PYG")*CX$19+(FC_Mon&lt;&gt;"PYG"))*(1+FC_g)^(CX$17-1)*((FC_Desde=0)*(CX$16+CX$15)+(FC_Desde&gt;=1)*(CX$14&gt;=FC_Desde)*CX$15)*FC_IVA/(1+FC_IVA))</f>
        <v>1958.42654582525</v>
      </c>
      <c r="CY91" s="48" t="n">
        <f aca="false">SUMPRODUCT(FC_O*((FC_Mon="PYG")*CY$19+(FC_Mon&lt;&gt;"PYG"))*(1+FC_g)^(CY$17-1)*((FC_Desde=0)*(CY$16+CY$15)+(FC_Desde&gt;=1)*(CY$14&gt;=FC_Desde)*CY$15)*FC_IVA/(1+FC_IVA))</f>
        <v>1958.42654582525</v>
      </c>
      <c r="CZ91" s="48" t="n">
        <f aca="false">SUMPRODUCT(FC_O*((FC_Mon="PYG")*CZ$19+(FC_Mon&lt;&gt;"PYG"))*(1+FC_g)^(CZ$17-1)*((FC_Desde=0)*(CZ$16+CZ$15)+(FC_Desde&gt;=1)*(CZ$14&gt;=FC_Desde)*CZ$15)*FC_IVA/(1+FC_IVA))</f>
        <v>1958.42654582525</v>
      </c>
      <c r="DA91" s="48" t="n">
        <f aca="false">SUMPRODUCT(FC_O*((FC_Mon="PYG")*DA$19+(FC_Mon&lt;&gt;"PYG"))*(1+FC_g)^(DA$17-1)*((FC_Desde=0)*(DA$16+DA$15)+(FC_Desde&gt;=1)*(DA$14&gt;=FC_Desde)*DA$15)*FC_IVA/(1+FC_IVA))</f>
        <v>1958.42654582525</v>
      </c>
      <c r="DB91" s="48" t="n">
        <f aca="false">SUMPRODUCT(FC_O*((FC_Mon="PYG")*DB$19+(FC_Mon&lt;&gt;"PYG"))*(1+FC_g)^(DB$17-1)*((FC_Desde=0)*(DB$16+DB$15)+(FC_Desde&gt;=1)*(DB$14&gt;=FC_Desde)*DB$15)*FC_IVA/(1+FC_IVA))</f>
        <v>1958.42654582525</v>
      </c>
      <c r="DC91" s="48" t="n">
        <f aca="false">SUMPRODUCT(FC_O*((FC_Mon="PYG")*DC$19+(FC_Mon&lt;&gt;"PYG"))*(1+FC_g)^(DC$17-1)*((FC_Desde=0)*(DC$16+DC$15)+(FC_Desde&gt;=1)*(DC$14&gt;=FC_Desde)*DC$15)*FC_IVA/(1+FC_IVA))</f>
        <v>1958.42654582525</v>
      </c>
      <c r="DD91" s="48" t="n">
        <f aca="false">SUMPRODUCT(FC_O*((FC_Mon="PYG")*DD$19+(FC_Mon&lt;&gt;"PYG"))*(1+FC_g)^(DD$17-1)*((FC_Desde=0)*(DD$16+DD$15)+(FC_Desde&gt;=1)*(DD$14&gt;=FC_Desde)*DD$15)*FC_IVA/(1+FC_IVA))</f>
        <v>1958.42654582525</v>
      </c>
      <c r="DE91" s="48" t="n">
        <f aca="false">SUMPRODUCT(FC_O*((FC_Mon="PYG")*DE$19+(FC_Mon&lt;&gt;"PYG"))*(1+FC_g)^(DE$17-1)*((FC_Desde=0)*(DE$16+DE$15)+(FC_Desde&gt;=1)*(DE$14&gt;=FC_Desde)*DE$15)*FC_IVA/(1+FC_IVA))</f>
        <v>1958.42654582525</v>
      </c>
      <c r="DF91" s="48" t="n">
        <f aca="false">SUMPRODUCT(FC_O*((FC_Mon="PYG")*DF$19+(FC_Mon&lt;&gt;"PYG"))*(1+FC_g)^(DF$17-1)*((FC_Desde=0)*(DF$16+DF$15)+(FC_Desde&gt;=1)*(DF$14&gt;=FC_Desde)*DF$15)*FC_IVA/(1+FC_IVA))</f>
        <v>1958.42654582525</v>
      </c>
      <c r="DG91" s="48" t="n">
        <f aca="false">SUMPRODUCT(FC_O*((FC_Mon="PYG")*DG$19+(FC_Mon&lt;&gt;"PYG"))*(1+FC_g)^(DG$17-1)*((FC_Desde=0)*(DG$16+DG$15)+(FC_Desde&gt;=1)*(DG$14&gt;=FC_Desde)*DG$15)*FC_IVA/(1+FC_IVA))</f>
        <v>1958.42654582525</v>
      </c>
      <c r="DH91" s="48" t="n">
        <f aca="false">SUMPRODUCT(FC_O*((FC_Mon="PYG")*DH$19+(FC_Mon&lt;&gt;"PYG"))*(1+FC_g)^(DH$17-1)*((FC_Desde=0)*(DH$16+DH$15)+(FC_Desde&gt;=1)*(DH$14&gt;=FC_Desde)*DH$15)*FC_IVA/(1+FC_IVA))</f>
        <v>1958.42654582525</v>
      </c>
      <c r="DI91" s="48" t="n">
        <f aca="false">SUMPRODUCT(FC_O*((FC_Mon="PYG")*DI$19+(FC_Mon&lt;&gt;"PYG"))*(1+FC_g)^(DI$17-1)*((FC_Desde=0)*(DI$16+DI$15)+(FC_Desde&gt;=1)*(DI$14&gt;=FC_Desde)*DI$15)*FC_IVA/(1+FC_IVA))</f>
        <v>1958.42654582525</v>
      </c>
      <c r="DJ91" s="48" t="n">
        <f aca="false">SUMPRODUCT(FC_O*((FC_Mon="PYG")*DJ$19+(FC_Mon&lt;&gt;"PYG"))*(1+FC_g)^(DJ$17-1)*((FC_Desde=0)*(DJ$16+DJ$15)+(FC_Desde&gt;=1)*(DJ$14&gt;=FC_Desde)*DJ$15)*FC_IVA/(1+FC_IVA))</f>
        <v>2017.17934220001</v>
      </c>
      <c r="DK91" s="48" t="n">
        <f aca="false">SUMPRODUCT(FC_O*((FC_Mon="PYG")*DK$19+(FC_Mon&lt;&gt;"PYG"))*(1+FC_g)^(DK$17-1)*((FC_Desde=0)*(DK$16+DK$15)+(FC_Desde&gt;=1)*(DK$14&gt;=FC_Desde)*DK$15)*FC_IVA/(1+FC_IVA))</f>
        <v>2017.17934220001</v>
      </c>
      <c r="DL91" s="48" t="n">
        <f aca="false">SUMPRODUCT(FC_O*((FC_Mon="PYG")*DL$19+(FC_Mon&lt;&gt;"PYG"))*(1+FC_g)^(DL$17-1)*((FC_Desde=0)*(DL$16+DL$15)+(FC_Desde&gt;=1)*(DL$14&gt;=FC_Desde)*DL$15)*FC_IVA/(1+FC_IVA))</f>
        <v>2017.17934220001</v>
      </c>
      <c r="DM91" s="48" t="n">
        <f aca="false">SUMPRODUCT(FC_O*((FC_Mon="PYG")*DM$19+(FC_Mon&lt;&gt;"PYG"))*(1+FC_g)^(DM$17-1)*((FC_Desde=0)*(DM$16+DM$15)+(FC_Desde&gt;=1)*(DM$14&gt;=FC_Desde)*DM$15)*FC_IVA/(1+FC_IVA))</f>
        <v>2017.17934220001</v>
      </c>
      <c r="DN91" s="48" t="n">
        <f aca="false">SUMPRODUCT(FC_O*((FC_Mon="PYG")*DN$19+(FC_Mon&lt;&gt;"PYG"))*(1+FC_g)^(DN$17-1)*((FC_Desde=0)*(DN$16+DN$15)+(FC_Desde&gt;=1)*(DN$14&gt;=FC_Desde)*DN$15)*FC_IVA/(1+FC_IVA))</f>
        <v>2017.17934220001</v>
      </c>
      <c r="DO91" s="48" t="n">
        <f aca="false">SUMPRODUCT(FC_O*((FC_Mon="PYG")*DO$19+(FC_Mon&lt;&gt;"PYG"))*(1+FC_g)^(DO$17-1)*((FC_Desde=0)*(DO$16+DO$15)+(FC_Desde&gt;=1)*(DO$14&gt;=FC_Desde)*DO$15)*FC_IVA/(1+FC_IVA))</f>
        <v>2017.17934220001</v>
      </c>
      <c r="DP91" s="48" t="n">
        <f aca="false">SUMPRODUCT(FC_O*((FC_Mon="PYG")*DP$19+(FC_Mon&lt;&gt;"PYG"))*(1+FC_g)^(DP$17-1)*((FC_Desde=0)*(DP$16+DP$15)+(FC_Desde&gt;=1)*(DP$14&gt;=FC_Desde)*DP$15)*FC_IVA/(1+FC_IVA))</f>
        <v>2017.17934220001</v>
      </c>
      <c r="DQ91" s="48" t="n">
        <f aca="false">SUMPRODUCT(FC_O*((FC_Mon="PYG")*DQ$19+(FC_Mon&lt;&gt;"PYG"))*(1+FC_g)^(DQ$17-1)*((FC_Desde=0)*(DQ$16+DQ$15)+(FC_Desde&gt;=1)*(DQ$14&gt;=FC_Desde)*DQ$15)*FC_IVA/(1+FC_IVA))</f>
        <v>2017.17934220001</v>
      </c>
      <c r="DR91" s="48" t="n">
        <f aca="false">SUMPRODUCT(FC_O*((FC_Mon="PYG")*DR$19+(FC_Mon&lt;&gt;"PYG"))*(1+FC_g)^(DR$17-1)*((FC_Desde=0)*(DR$16+DR$15)+(FC_Desde&gt;=1)*(DR$14&gt;=FC_Desde)*DR$15)*FC_IVA/(1+FC_IVA))</f>
        <v>2017.17934220001</v>
      </c>
      <c r="DS91" s="48" t="n">
        <f aca="false">SUMPRODUCT(FC_O*((FC_Mon="PYG")*DS$19+(FC_Mon&lt;&gt;"PYG"))*(1+FC_g)^(DS$17-1)*((FC_Desde=0)*(DS$16+DS$15)+(FC_Desde&gt;=1)*(DS$14&gt;=FC_Desde)*DS$15)*FC_IVA/(1+FC_IVA))</f>
        <v>2017.17934220001</v>
      </c>
      <c r="DT91" s="48" t="n">
        <f aca="false">SUMPRODUCT(FC_O*((FC_Mon="PYG")*DT$19+(FC_Mon&lt;&gt;"PYG"))*(1+FC_g)^(DT$17-1)*((FC_Desde=0)*(DT$16+DT$15)+(FC_Desde&gt;=1)*(DT$14&gt;=FC_Desde)*DT$15)*FC_IVA/(1+FC_IVA))</f>
        <v>2017.17934220001</v>
      </c>
      <c r="DU91" s="48" t="n">
        <f aca="false">SUMPRODUCT(FC_O*((FC_Mon="PYG")*DU$19+(FC_Mon&lt;&gt;"PYG"))*(1+FC_g)^(DU$17-1)*((FC_Desde=0)*(DU$16+DU$15)+(FC_Desde&gt;=1)*(DU$14&gt;=FC_Desde)*DU$15)*FC_IVA/(1+FC_IVA))</f>
        <v>2017.17934220001</v>
      </c>
      <c r="DV91" s="48" t="n">
        <f aca="false">SUMPRODUCT(FC_O*((FC_Mon="PYG")*DV$19+(FC_Mon&lt;&gt;"PYG"))*(1+FC_g)^(DV$17-1)*((FC_Desde=0)*(DV$16+DV$15)+(FC_Desde&gt;=1)*(DV$14&gt;=FC_Desde)*DV$15)*FC_IVA/(1+FC_IVA))</f>
        <v>0</v>
      </c>
      <c r="DW91" s="48" t="n">
        <f aca="false">SUMPRODUCT(FC_O*((FC_Mon="PYG")*DW$19+(FC_Mon&lt;&gt;"PYG"))*(1+FC_g)^(DW$17-1)*((FC_Desde=0)*(DW$16+DW$15)+(FC_Desde&gt;=1)*(DW$14&gt;=FC_Desde)*DW$15)*FC_IVA/(1+FC_IVA))</f>
        <v>0</v>
      </c>
      <c r="DX91" s="48" t="n">
        <f aca="false">SUMPRODUCT(FC_O*((FC_Mon="PYG")*DX$19+(FC_Mon&lt;&gt;"PYG"))*(1+FC_g)^(DX$17-1)*((FC_Desde=0)*(DX$16+DX$15)+(FC_Desde&gt;=1)*(DX$14&gt;=FC_Desde)*DX$15)*FC_IVA/(1+FC_IVA))</f>
        <v>0</v>
      </c>
      <c r="DY91" s="48" t="n">
        <f aca="false">SUMPRODUCT(FC_O*((FC_Mon="PYG")*DY$19+(FC_Mon&lt;&gt;"PYG"))*(1+FC_g)^(DY$17-1)*((FC_Desde=0)*(DY$16+DY$15)+(FC_Desde&gt;=1)*(DY$14&gt;=FC_Desde)*DY$15)*FC_IVA/(1+FC_IVA))</f>
        <v>0</v>
      </c>
      <c r="DZ91" s="48" t="n">
        <f aca="false">SUMPRODUCT(FC_O*((FC_Mon="PYG")*DZ$19+(FC_Mon&lt;&gt;"PYG"))*(1+FC_g)^(DZ$17-1)*((FC_Desde=0)*(DZ$16+DZ$15)+(FC_Desde&gt;=1)*(DZ$14&gt;=FC_Desde)*DZ$15)*FC_IVA/(1+FC_IVA))</f>
        <v>0</v>
      </c>
      <c r="EA91" s="48" t="n">
        <f aca="false">SUMPRODUCT(FC_O*((FC_Mon="PYG")*EA$19+(FC_Mon&lt;&gt;"PYG"))*(1+FC_g)^(EA$17-1)*((FC_Desde=0)*(EA$16+EA$15)+(FC_Desde&gt;=1)*(EA$14&gt;=FC_Desde)*EA$15)*FC_IVA/(1+FC_IVA))</f>
        <v>0</v>
      </c>
      <c r="EB91" s="48" t="n">
        <f aca="false">SUMPRODUCT(FC_O*((FC_Mon="PYG")*EB$19+(FC_Mon&lt;&gt;"PYG"))*(1+FC_g)^(EB$17-1)*((FC_Desde=0)*(EB$16+EB$15)+(FC_Desde&gt;=1)*(EB$14&gt;=FC_Desde)*EB$15)*FC_IVA/(1+FC_IVA))</f>
        <v>0</v>
      </c>
      <c r="EC91" s="48" t="n">
        <f aca="false">SUMPRODUCT(FC_O*((FC_Mon="PYG")*EC$19+(FC_Mon&lt;&gt;"PYG"))*(1+FC_g)^(EC$17-1)*((FC_Desde=0)*(EC$16+EC$15)+(FC_Desde&gt;=1)*(EC$14&gt;=FC_Desde)*EC$15)*FC_IVA/(1+FC_IVA))</f>
        <v>0</v>
      </c>
      <c r="ED91" s="48" t="n">
        <f aca="false">SUMPRODUCT(FC_O*((FC_Mon="PYG")*ED$19+(FC_Mon&lt;&gt;"PYG"))*(1+FC_g)^(ED$17-1)*((FC_Desde=0)*(ED$16+ED$15)+(FC_Desde&gt;=1)*(ED$14&gt;=FC_Desde)*ED$15)*FC_IVA/(1+FC_IVA))</f>
        <v>0</v>
      </c>
      <c r="EE91" s="48" t="n">
        <f aca="false">SUMPRODUCT(FC_O*((FC_Mon="PYG")*EE$19+(FC_Mon&lt;&gt;"PYG"))*(1+FC_g)^(EE$17-1)*((FC_Desde=0)*(EE$16+EE$15)+(FC_Desde&gt;=1)*(EE$14&gt;=FC_Desde)*EE$15)*FC_IVA/(1+FC_IVA))</f>
        <v>0</v>
      </c>
      <c r="EF91" s="48" t="n">
        <f aca="false">SUMPRODUCT(FC_O*((FC_Mon="PYG")*EF$19+(FC_Mon&lt;&gt;"PYG"))*(1+FC_g)^(EF$17-1)*((FC_Desde=0)*(EF$16+EF$15)+(FC_Desde&gt;=1)*(EF$14&gt;=FC_Desde)*EF$15)*FC_IVA/(1+FC_IVA))</f>
        <v>0</v>
      </c>
      <c r="EG91" s="48" t="n">
        <f aca="false">SUMPRODUCT(FC_O*((FC_Mon="PYG")*EG$19+(FC_Mon&lt;&gt;"PYG"))*(1+FC_g)^(EG$17-1)*((FC_Desde=0)*(EG$16+EG$15)+(FC_Desde&gt;=1)*(EG$14&gt;=FC_Desde)*EG$15)*FC_IVA/(1+FC_IVA))</f>
        <v>0</v>
      </c>
      <c r="EH91" s="48" t="n">
        <f aca="false">SUMPRODUCT(FC_O*((FC_Mon="PYG")*EH$19+(FC_Mon&lt;&gt;"PYG"))*(1+FC_g)^(EH$17-1)*((FC_Desde=0)*(EH$16+EH$15)+(FC_Desde&gt;=1)*(EH$14&gt;=FC_Desde)*EH$15)*FC_IVA/(1+FC_IVA))</f>
        <v>0</v>
      </c>
      <c r="EI91" s="48" t="n">
        <f aca="false">SUMPRODUCT(FC_O*((FC_Mon="PYG")*EI$19+(FC_Mon&lt;&gt;"PYG"))*(1+FC_g)^(EI$17-1)*((FC_Desde=0)*(EI$16+EI$15)+(FC_Desde&gt;=1)*(EI$14&gt;=FC_Desde)*EI$15)*FC_IVA/(1+FC_IVA))</f>
        <v>0</v>
      </c>
      <c r="EJ91" s="48" t="n">
        <f aca="false">SUMPRODUCT(FC_O*((FC_Mon="PYG")*EJ$19+(FC_Mon&lt;&gt;"PYG"))*(1+FC_g)^(EJ$17-1)*((FC_Desde=0)*(EJ$16+EJ$15)+(FC_Desde&gt;=1)*(EJ$14&gt;=FC_Desde)*EJ$15)*FC_IVA/(1+FC_IVA))</f>
        <v>0</v>
      </c>
      <c r="EK91" s="48" t="n">
        <f aca="false">SUMPRODUCT(FC_O*((FC_Mon="PYG")*EK$19+(FC_Mon&lt;&gt;"PYG"))*(1+FC_g)^(EK$17-1)*((FC_Desde=0)*(EK$16+EK$15)+(FC_Desde&gt;=1)*(EK$14&gt;=FC_Desde)*EK$15)*FC_IVA/(1+FC_IVA))</f>
        <v>0</v>
      </c>
      <c r="EL91" s="48" t="n">
        <f aca="false">SUMPRODUCT(FC_O*((FC_Mon="PYG")*EL$19+(FC_Mon&lt;&gt;"PYG"))*(1+FC_g)^(EL$17-1)*((FC_Desde=0)*(EL$16+EL$15)+(FC_Desde&gt;=1)*(EL$14&gt;=FC_Desde)*EL$15)*FC_IVA/(1+FC_IVA))</f>
        <v>0</v>
      </c>
      <c r="EM91" s="48" t="n">
        <f aca="false">SUMPRODUCT(FC_O*((FC_Mon="PYG")*EM$19+(FC_Mon&lt;&gt;"PYG"))*(1+FC_g)^(EM$17-1)*((FC_Desde=0)*(EM$16+EM$15)+(FC_Desde&gt;=1)*(EM$14&gt;=FC_Desde)*EM$15)*FC_IVA/(1+FC_IVA))</f>
        <v>0</v>
      </c>
      <c r="EN91" s="48" t="n">
        <f aca="false">SUMPRODUCT(FC_O*((FC_Mon="PYG")*EN$19+(FC_Mon&lt;&gt;"PYG"))*(1+FC_g)^(EN$17-1)*((FC_Desde=0)*(EN$16+EN$15)+(FC_Desde&gt;=1)*(EN$14&gt;=FC_Desde)*EN$15)*FC_IVA/(1+FC_IVA))</f>
        <v>0</v>
      </c>
      <c r="EO91" s="48" t="n">
        <f aca="false">SUMPRODUCT(FC_O*((FC_Mon="PYG")*EO$19+(FC_Mon&lt;&gt;"PYG"))*(1+FC_g)^(EO$17-1)*((FC_Desde=0)*(EO$16+EO$15)+(FC_Desde&gt;=1)*(EO$14&gt;=FC_Desde)*EO$15)*FC_IVA/(1+FC_IVA))</f>
        <v>0</v>
      </c>
      <c r="EP91" s="48" t="n">
        <f aca="false">SUMPRODUCT(FC_O*((FC_Mon="PYG")*EP$19+(FC_Mon&lt;&gt;"PYG"))*(1+FC_g)^(EP$17-1)*((FC_Desde=0)*(EP$16+EP$15)+(FC_Desde&gt;=1)*(EP$14&gt;=FC_Desde)*EP$15)*FC_IVA/(1+FC_IVA))</f>
        <v>0</v>
      </c>
      <c r="EQ91" s="48" t="n">
        <f aca="false">SUMPRODUCT(FC_O*((FC_Mon="PYG")*EQ$19+(FC_Mon&lt;&gt;"PYG"))*(1+FC_g)^(EQ$17-1)*((FC_Desde=0)*(EQ$16+EQ$15)+(FC_Desde&gt;=1)*(EQ$14&gt;=FC_Desde)*EQ$15)*FC_IVA/(1+FC_IVA))</f>
        <v>0</v>
      </c>
      <c r="ER91" s="48" t="n">
        <f aca="false">SUMPRODUCT(FC_O*((FC_Mon="PYG")*ER$19+(FC_Mon&lt;&gt;"PYG"))*(1+FC_g)^(ER$17-1)*((FC_Desde=0)*(ER$16+ER$15)+(FC_Desde&gt;=1)*(ER$14&gt;=FC_Desde)*ER$15)*FC_IVA/(1+FC_IVA))</f>
        <v>0</v>
      </c>
      <c r="ES91" s="48" t="n">
        <f aca="false">SUMPRODUCT(FC_O*((FC_Mon="PYG")*ES$19+(FC_Mon&lt;&gt;"PYG"))*(1+FC_g)^(ES$17-1)*((FC_Desde=0)*(ES$16+ES$15)+(FC_Desde&gt;=1)*(ES$14&gt;=FC_Desde)*ES$15)*FC_IVA/(1+FC_IVA))</f>
        <v>0</v>
      </c>
    </row>
    <row r="92" customFormat="false" ht="15" hidden="false" customHeight="false" outlineLevel="0" collapsed="false">
      <c r="A92" s="13"/>
      <c r="B92" s="12" t="s">
        <v>1156</v>
      </c>
      <c r="C92" s="13"/>
      <c r="D92" s="13"/>
      <c r="E92" s="13"/>
    </row>
    <row r="93" customFormat="false" ht="15" hidden="false" customHeight="false" outlineLevel="0" collapsed="false">
      <c r="A93" s="11" t="s">
        <v>1157</v>
      </c>
      <c r="B93" s="15" t="s">
        <v>1158</v>
      </c>
      <c r="C93" s="15" t="s">
        <v>508</v>
      </c>
      <c r="E93" s="54" t="n">
        <f aca="false">SUM(F93:ES93)</f>
        <v>39318093.38356</v>
      </c>
      <c r="F93" s="48" t="n">
        <f aca="false">F$73+F$74</f>
        <v>199172.5</v>
      </c>
      <c r="G93" s="48" t="n">
        <f aca="false">G$73+G$74</f>
        <v>199172.5</v>
      </c>
      <c r="H93" s="48" t="n">
        <f aca="false">H$73+H$74</f>
        <v>199172.5</v>
      </c>
      <c r="I93" s="48" t="n">
        <f aca="false">I$73+I$74</f>
        <v>199172.5</v>
      </c>
      <c r="J93" s="48" t="n">
        <f aca="false">J$73+J$74</f>
        <v>199172.5</v>
      </c>
      <c r="K93" s="48" t="n">
        <f aca="false">K$73+K$74</f>
        <v>199172.5</v>
      </c>
      <c r="L93" s="48" t="n">
        <f aca="false">L$73+L$74</f>
        <v>199172.5</v>
      </c>
      <c r="M93" s="48" t="n">
        <f aca="false">M$73+M$74</f>
        <v>199172.5</v>
      </c>
      <c r="N93" s="48" t="n">
        <f aca="false">N$73+N$74</f>
        <v>199172.5</v>
      </c>
      <c r="O93" s="48" t="n">
        <f aca="false">O$73+O$74</f>
        <v>199172.5</v>
      </c>
      <c r="P93" s="48" t="n">
        <f aca="false">P$73+P$74</f>
        <v>199172.5</v>
      </c>
      <c r="Q93" s="48" t="n">
        <f aca="false">Q$73+Q$74</f>
        <v>199172.5</v>
      </c>
      <c r="R93" s="48" t="n">
        <f aca="false">R$73+R$74</f>
        <v>253108.875</v>
      </c>
      <c r="S93" s="48" t="n">
        <f aca="false">S$73+S$74</f>
        <v>253108.875</v>
      </c>
      <c r="T93" s="48" t="n">
        <f aca="false">T$73+T$74</f>
        <v>253108.875</v>
      </c>
      <c r="U93" s="48" t="n">
        <f aca="false">U$73+U$74</f>
        <v>253108.875</v>
      </c>
      <c r="V93" s="48" t="n">
        <f aca="false">V$73+V$74</f>
        <v>253108.875</v>
      </c>
      <c r="W93" s="48" t="n">
        <f aca="false">W$73+W$74</f>
        <v>253108.875</v>
      </c>
      <c r="X93" s="48" t="n">
        <f aca="false">X$73+X$74</f>
        <v>253108.875</v>
      </c>
      <c r="Y93" s="48" t="n">
        <f aca="false">Y$73+Y$74</f>
        <v>253108.875</v>
      </c>
      <c r="Z93" s="48" t="n">
        <f aca="false">Z$73+Z$74</f>
        <v>253108.875</v>
      </c>
      <c r="AA93" s="48" t="n">
        <f aca="false">AA$73+AA$74</f>
        <v>253108.875</v>
      </c>
      <c r="AB93" s="48" t="n">
        <f aca="false">AB$73+AB$74</f>
        <v>253108.875</v>
      </c>
      <c r="AC93" s="48" t="n">
        <f aca="false">AC$73+AC$74</f>
        <v>253108.875</v>
      </c>
      <c r="AD93" s="48" t="n">
        <f aca="false">AD$73+AD$74</f>
        <v>307724.69</v>
      </c>
      <c r="AE93" s="48" t="n">
        <f aca="false">AE$73+AE$74</f>
        <v>307724.69</v>
      </c>
      <c r="AF93" s="48" t="n">
        <f aca="false">AF$73+AF$74</f>
        <v>307724.69</v>
      </c>
      <c r="AG93" s="48" t="n">
        <f aca="false">AG$73+AG$74</f>
        <v>307724.69</v>
      </c>
      <c r="AH93" s="48" t="n">
        <f aca="false">AH$73+AH$74</f>
        <v>307724.69</v>
      </c>
      <c r="AI93" s="48" t="n">
        <f aca="false">AI$73+AI$74</f>
        <v>307724.69</v>
      </c>
      <c r="AJ93" s="48" t="n">
        <f aca="false">AJ$73+AJ$74</f>
        <v>307724.69</v>
      </c>
      <c r="AK93" s="48" t="n">
        <f aca="false">AK$73+AK$74</f>
        <v>307724.69</v>
      </c>
      <c r="AL93" s="48" t="n">
        <f aca="false">AL$73+AL$74</f>
        <v>307724.69</v>
      </c>
      <c r="AM93" s="48" t="n">
        <f aca="false">AM$73+AM$74</f>
        <v>307724.69</v>
      </c>
      <c r="AN93" s="48" t="n">
        <f aca="false">AN$73+AN$74</f>
        <v>307724.69</v>
      </c>
      <c r="AO93" s="48" t="n">
        <f aca="false">AO$73+AO$74</f>
        <v>307724.69</v>
      </c>
      <c r="AP93" s="48" t="n">
        <f aca="false">AP$73+AP$74</f>
        <v>352625.4649875</v>
      </c>
      <c r="AQ93" s="48" t="n">
        <f aca="false">AQ$73+AQ$74</f>
        <v>352625.4649875</v>
      </c>
      <c r="AR93" s="48" t="n">
        <f aca="false">AR$73+AR$74</f>
        <v>352625.4649875</v>
      </c>
      <c r="AS93" s="48" t="n">
        <f aca="false">AS$73+AS$74</f>
        <v>352625.4649875</v>
      </c>
      <c r="AT93" s="48" t="n">
        <f aca="false">AT$73+AT$74</f>
        <v>352625.4649875</v>
      </c>
      <c r="AU93" s="48" t="n">
        <f aca="false">AU$73+AU$74</f>
        <v>352625.4649875</v>
      </c>
      <c r="AV93" s="48" t="n">
        <f aca="false">AV$73+AV$74</f>
        <v>352625.4649875</v>
      </c>
      <c r="AW93" s="48" t="n">
        <f aca="false">AW$73+AW$74</f>
        <v>352625.4649875</v>
      </c>
      <c r="AX93" s="48" t="n">
        <f aca="false">AX$73+AX$74</f>
        <v>352625.4649875</v>
      </c>
      <c r="AY93" s="48" t="n">
        <f aca="false">AY$73+AY$74</f>
        <v>352625.4649875</v>
      </c>
      <c r="AZ93" s="48" t="n">
        <f aca="false">AZ$73+AZ$74</f>
        <v>352625.4649875</v>
      </c>
      <c r="BA93" s="48" t="n">
        <f aca="false">BA$73+BA$74</f>
        <v>352625.4649875</v>
      </c>
      <c r="BB93" s="48" t="n">
        <f aca="false">BB$73+BB$74</f>
        <v>354879.119637375</v>
      </c>
      <c r="BC93" s="48" t="n">
        <f aca="false">BC$73+BC$74</f>
        <v>354879.119637375</v>
      </c>
      <c r="BD93" s="48" t="n">
        <f aca="false">BD$73+BD$74</f>
        <v>354879.119637375</v>
      </c>
      <c r="BE93" s="48" t="n">
        <f aca="false">BE$73+BE$74</f>
        <v>354879.119637375</v>
      </c>
      <c r="BF93" s="48" t="n">
        <f aca="false">BF$73+BF$74</f>
        <v>354879.119637375</v>
      </c>
      <c r="BG93" s="48" t="n">
        <f aca="false">BG$73+BG$74</f>
        <v>354879.119637375</v>
      </c>
      <c r="BH93" s="48" t="n">
        <f aca="false">BH$73+BH$74</f>
        <v>354879.119637375</v>
      </c>
      <c r="BI93" s="48" t="n">
        <f aca="false">BI$73+BI$74</f>
        <v>354879.119637375</v>
      </c>
      <c r="BJ93" s="48" t="n">
        <f aca="false">BJ$73+BJ$74</f>
        <v>354879.119637375</v>
      </c>
      <c r="BK93" s="48" t="n">
        <f aca="false">BK$73+BK$74</f>
        <v>354879.119637375</v>
      </c>
      <c r="BL93" s="48" t="n">
        <f aca="false">BL$73+BL$74</f>
        <v>354879.119637375</v>
      </c>
      <c r="BM93" s="48" t="n">
        <f aca="false">BM$73+BM$74</f>
        <v>354879.119637375</v>
      </c>
      <c r="BN93" s="48" t="n">
        <f aca="false">BN$73+BN$74</f>
        <v>357155.310833749</v>
      </c>
      <c r="BO93" s="48" t="n">
        <f aca="false">BO$73+BO$74</f>
        <v>357155.310833749</v>
      </c>
      <c r="BP93" s="48" t="n">
        <f aca="false">BP$73+BP$74</f>
        <v>357155.310833749</v>
      </c>
      <c r="BQ93" s="48" t="n">
        <f aca="false">BQ$73+BQ$74</f>
        <v>357155.310833749</v>
      </c>
      <c r="BR93" s="48" t="n">
        <f aca="false">BR$73+BR$74</f>
        <v>357155.310833749</v>
      </c>
      <c r="BS93" s="48" t="n">
        <f aca="false">BS$73+BS$74</f>
        <v>357155.310833749</v>
      </c>
      <c r="BT93" s="48" t="n">
        <f aca="false">BT$73+BT$74</f>
        <v>357155.310833749</v>
      </c>
      <c r="BU93" s="48" t="n">
        <f aca="false">BU$73+BU$74</f>
        <v>357155.310833749</v>
      </c>
      <c r="BV93" s="48" t="n">
        <f aca="false">BV$73+BV$74</f>
        <v>357155.310833749</v>
      </c>
      <c r="BW93" s="48" t="n">
        <f aca="false">BW$73+BW$74</f>
        <v>357155.310833749</v>
      </c>
      <c r="BX93" s="48" t="n">
        <f aca="false">BX$73+BX$74</f>
        <v>357155.310833749</v>
      </c>
      <c r="BY93" s="48" t="n">
        <f aca="false">BY$73+BY$74</f>
        <v>357155.310833749</v>
      </c>
      <c r="BZ93" s="48" t="n">
        <f aca="false">BZ$73+BZ$74</f>
        <v>359454.263942086</v>
      </c>
      <c r="CA93" s="48" t="n">
        <f aca="false">CA$73+CA$74</f>
        <v>359454.263942086</v>
      </c>
      <c r="CB93" s="48" t="n">
        <f aca="false">CB$73+CB$74</f>
        <v>359454.263942086</v>
      </c>
      <c r="CC93" s="48" t="n">
        <f aca="false">CC$73+CC$74</f>
        <v>359454.263942086</v>
      </c>
      <c r="CD93" s="48" t="n">
        <f aca="false">CD$73+CD$74</f>
        <v>359454.263942086</v>
      </c>
      <c r="CE93" s="48" t="n">
        <f aca="false">CE$73+CE$74</f>
        <v>359454.263942086</v>
      </c>
      <c r="CF93" s="48" t="n">
        <f aca="false">CF$73+CF$74</f>
        <v>359454.263942086</v>
      </c>
      <c r="CG93" s="48" t="n">
        <f aca="false">CG$73+CG$74</f>
        <v>359454.263942086</v>
      </c>
      <c r="CH93" s="48" t="n">
        <f aca="false">CH$73+CH$74</f>
        <v>359454.263942086</v>
      </c>
      <c r="CI93" s="48" t="n">
        <f aca="false">CI$73+CI$74</f>
        <v>359454.263942086</v>
      </c>
      <c r="CJ93" s="48" t="n">
        <f aca="false">CJ$73+CJ$74</f>
        <v>359454.263942086</v>
      </c>
      <c r="CK93" s="48" t="n">
        <f aca="false">CK$73+CK$74</f>
        <v>359454.263942086</v>
      </c>
      <c r="CL93" s="48" t="n">
        <f aca="false">CL$73+CL$74</f>
        <v>361776.206581507</v>
      </c>
      <c r="CM93" s="48" t="n">
        <f aca="false">CM$73+CM$74</f>
        <v>361776.206581507</v>
      </c>
      <c r="CN93" s="48" t="n">
        <f aca="false">CN$73+CN$74</f>
        <v>361776.206581507</v>
      </c>
      <c r="CO93" s="48" t="n">
        <f aca="false">CO$73+CO$74</f>
        <v>361776.206581507</v>
      </c>
      <c r="CP93" s="48" t="n">
        <f aca="false">CP$73+CP$74</f>
        <v>361776.206581507</v>
      </c>
      <c r="CQ93" s="48" t="n">
        <f aca="false">CQ$73+CQ$74</f>
        <v>361776.206581507</v>
      </c>
      <c r="CR93" s="48" t="n">
        <f aca="false">CR$73+CR$74</f>
        <v>361776.206581507</v>
      </c>
      <c r="CS93" s="48" t="n">
        <f aca="false">CS$73+CS$74</f>
        <v>361776.206581507</v>
      </c>
      <c r="CT93" s="48" t="n">
        <f aca="false">CT$73+CT$74</f>
        <v>361776.206581507</v>
      </c>
      <c r="CU93" s="48" t="n">
        <f aca="false">CU$73+CU$74</f>
        <v>361776.206581507</v>
      </c>
      <c r="CV93" s="48" t="n">
        <f aca="false">CV$73+CV$74</f>
        <v>361776.206581507</v>
      </c>
      <c r="CW93" s="48" t="n">
        <f aca="false">CW$73+CW$74</f>
        <v>361776.206581507</v>
      </c>
      <c r="CX93" s="48" t="n">
        <f aca="false">CX$73+CX$74</f>
        <v>364121.368647322</v>
      </c>
      <c r="CY93" s="48" t="n">
        <f aca="false">CY$73+CY$74</f>
        <v>364121.368647322</v>
      </c>
      <c r="CZ93" s="48" t="n">
        <f aca="false">CZ$73+CZ$74</f>
        <v>364121.368647322</v>
      </c>
      <c r="DA93" s="48" t="n">
        <f aca="false">DA$73+DA$74</f>
        <v>364121.368647322</v>
      </c>
      <c r="DB93" s="48" t="n">
        <f aca="false">DB$73+DB$74</f>
        <v>364121.368647322</v>
      </c>
      <c r="DC93" s="48" t="n">
        <f aca="false">DC$73+DC$74</f>
        <v>364121.368647322</v>
      </c>
      <c r="DD93" s="48" t="n">
        <f aca="false">DD$73+DD$74</f>
        <v>364121.368647322</v>
      </c>
      <c r="DE93" s="48" t="n">
        <f aca="false">DE$73+DE$74</f>
        <v>364121.368647322</v>
      </c>
      <c r="DF93" s="48" t="n">
        <f aca="false">DF$73+DF$74</f>
        <v>364121.368647322</v>
      </c>
      <c r="DG93" s="48" t="n">
        <f aca="false">DG$73+DG$74</f>
        <v>364121.368647322</v>
      </c>
      <c r="DH93" s="48" t="n">
        <f aca="false">DH$73+DH$74</f>
        <v>364121.368647322</v>
      </c>
      <c r="DI93" s="48" t="n">
        <f aca="false">DI$73+DI$74</f>
        <v>364121.368647322</v>
      </c>
      <c r="DJ93" s="48" t="n">
        <f aca="false">DJ$73+DJ$74</f>
        <v>366489.982333795</v>
      </c>
      <c r="DK93" s="48" t="n">
        <f aca="false">DK$73+DK$74</f>
        <v>366489.982333795</v>
      </c>
      <c r="DL93" s="48" t="n">
        <f aca="false">DL$73+DL$74</f>
        <v>366489.982333795</v>
      </c>
      <c r="DM93" s="48" t="n">
        <f aca="false">DM$73+DM$74</f>
        <v>366489.982333795</v>
      </c>
      <c r="DN93" s="48" t="n">
        <f aca="false">DN$73+DN$74</f>
        <v>366489.982333795</v>
      </c>
      <c r="DO93" s="48" t="n">
        <f aca="false">DO$73+DO$74</f>
        <v>366489.982333795</v>
      </c>
      <c r="DP93" s="48" t="n">
        <f aca="false">DP$73+DP$74</f>
        <v>366489.982333795</v>
      </c>
      <c r="DQ93" s="48" t="n">
        <f aca="false">DQ$73+DQ$74</f>
        <v>366489.982333795</v>
      </c>
      <c r="DR93" s="48" t="n">
        <f aca="false">DR$73+DR$74</f>
        <v>366489.982333795</v>
      </c>
      <c r="DS93" s="48" t="n">
        <f aca="false">DS$73+DS$74</f>
        <v>366489.982333795</v>
      </c>
      <c r="DT93" s="48" t="n">
        <f aca="false">DT$73+DT$74</f>
        <v>366489.982333795</v>
      </c>
      <c r="DU93" s="48" t="n">
        <f aca="false">DU$73+DU$74</f>
        <v>366489.982333795</v>
      </c>
      <c r="DV93" s="48" t="n">
        <f aca="false">DV$73+DV$74</f>
        <v>0</v>
      </c>
      <c r="DW93" s="48" t="n">
        <f aca="false">DW$73+DW$74</f>
        <v>0</v>
      </c>
      <c r="DX93" s="48" t="n">
        <f aca="false">DX$73+DX$74</f>
        <v>0</v>
      </c>
      <c r="DY93" s="48" t="n">
        <f aca="false">DY$73+DY$74</f>
        <v>0</v>
      </c>
      <c r="DZ93" s="48" t="n">
        <f aca="false">DZ$73+DZ$74</f>
        <v>0</v>
      </c>
      <c r="EA93" s="48" t="n">
        <f aca="false">EA$73+EA$74</f>
        <v>0</v>
      </c>
      <c r="EB93" s="48" t="n">
        <f aca="false">EB$73+EB$74</f>
        <v>0</v>
      </c>
      <c r="EC93" s="48" t="n">
        <f aca="false">EC$73+EC$74</f>
        <v>0</v>
      </c>
      <c r="ED93" s="48" t="n">
        <f aca="false">ED$73+ED$74</f>
        <v>0</v>
      </c>
      <c r="EE93" s="48" t="n">
        <f aca="false">EE$73+EE$74</f>
        <v>0</v>
      </c>
      <c r="EF93" s="48" t="n">
        <f aca="false">EF$73+EF$74</f>
        <v>0</v>
      </c>
      <c r="EG93" s="48" t="n">
        <f aca="false">EG$73+EG$74</f>
        <v>0</v>
      </c>
      <c r="EH93" s="48" t="n">
        <f aca="false">EH$73+EH$74</f>
        <v>0</v>
      </c>
      <c r="EI93" s="48" t="n">
        <f aca="false">EI$73+EI$74</f>
        <v>0</v>
      </c>
      <c r="EJ93" s="48" t="n">
        <f aca="false">EJ$73+EJ$74</f>
        <v>0</v>
      </c>
      <c r="EK93" s="48" t="n">
        <f aca="false">EK$73+EK$74</f>
        <v>0</v>
      </c>
      <c r="EL93" s="48" t="n">
        <f aca="false">EL$73+EL$74</f>
        <v>0</v>
      </c>
      <c r="EM93" s="48" t="n">
        <f aca="false">EM$73+EM$74</f>
        <v>0</v>
      </c>
      <c r="EN93" s="48" t="n">
        <f aca="false">EN$73+EN$74</f>
        <v>0</v>
      </c>
      <c r="EO93" s="48" t="n">
        <f aca="false">EO$73+EO$74</f>
        <v>0</v>
      </c>
      <c r="EP93" s="48" t="n">
        <f aca="false">EP$73+EP$74</f>
        <v>0</v>
      </c>
      <c r="EQ93" s="48" t="n">
        <f aca="false">EQ$73+EQ$74</f>
        <v>0</v>
      </c>
      <c r="ER93" s="48" t="n">
        <f aca="false">ER$73+ER$74</f>
        <v>0</v>
      </c>
      <c r="ES93" s="48" t="n">
        <f aca="false">ES$73+ES$74</f>
        <v>0</v>
      </c>
    </row>
    <row r="94" customFormat="false" ht="15" hidden="false" customHeight="false" outlineLevel="0" collapsed="false">
      <c r="A94" s="11" t="s">
        <v>1159</v>
      </c>
      <c r="B94" s="15" t="s">
        <v>1160</v>
      </c>
      <c r="C94" s="15" t="s">
        <v>508</v>
      </c>
      <c r="E94" s="54" t="n">
        <f aca="false">SUM(F94:ES94)</f>
        <v>10172052.5275746</v>
      </c>
      <c r="F94" s="48" t="n">
        <f aca="false">F$75+F$76+F$83+F$84</f>
        <v>52969.9652546379</v>
      </c>
      <c r="G94" s="48" t="n">
        <f aca="false">G$75+G$76+G$83+G$84</f>
        <v>52969.9652546379</v>
      </c>
      <c r="H94" s="48" t="n">
        <f aca="false">H$75+H$76+H$83+H$84</f>
        <v>52969.9652546379</v>
      </c>
      <c r="I94" s="48" t="n">
        <f aca="false">I$75+I$76+I$83+I$84</f>
        <v>52969.9652546379</v>
      </c>
      <c r="J94" s="48" t="n">
        <f aca="false">J$75+J$76+J$83+J$84</f>
        <v>52969.9652546379</v>
      </c>
      <c r="K94" s="48" t="n">
        <f aca="false">K$75+K$76+K$83+K$84</f>
        <v>52969.9652546379</v>
      </c>
      <c r="L94" s="48" t="n">
        <f aca="false">L$75+L$76+L$83+L$84</f>
        <v>52969.9652546379</v>
      </c>
      <c r="M94" s="48" t="n">
        <f aca="false">M$75+M$76+M$83+M$84</f>
        <v>52969.9652546379</v>
      </c>
      <c r="N94" s="48" t="n">
        <f aca="false">N$75+N$76+N$83+N$84</f>
        <v>52969.9652546379</v>
      </c>
      <c r="O94" s="48" t="n">
        <f aca="false">O$75+O$76+O$83+O$84</f>
        <v>52969.9652546379</v>
      </c>
      <c r="P94" s="48" t="n">
        <f aca="false">P$75+P$76+P$83+P$84</f>
        <v>52969.9652546379</v>
      </c>
      <c r="Q94" s="48" t="n">
        <f aca="false">Q$75+Q$76+Q$83+Q$84</f>
        <v>52969.9652546379</v>
      </c>
      <c r="R94" s="48" t="n">
        <f aca="false">R$75+R$76+R$83+R$84</f>
        <v>66880.9601704712</v>
      </c>
      <c r="S94" s="48" t="n">
        <f aca="false">S$75+S$76+S$83+S$84</f>
        <v>66880.9601704712</v>
      </c>
      <c r="T94" s="48" t="n">
        <f aca="false">T$75+T$76+T$83+T$84</f>
        <v>66880.9601704712</v>
      </c>
      <c r="U94" s="48" t="n">
        <f aca="false">U$75+U$76+U$83+U$84</f>
        <v>66880.9601704712</v>
      </c>
      <c r="V94" s="48" t="n">
        <f aca="false">V$75+V$76+V$83+V$84</f>
        <v>66880.9601704712</v>
      </c>
      <c r="W94" s="48" t="n">
        <f aca="false">W$75+W$76+W$83+W$84</f>
        <v>66880.9601704712</v>
      </c>
      <c r="X94" s="48" t="n">
        <f aca="false">X$75+X$76+X$83+X$84</f>
        <v>66880.9601704712</v>
      </c>
      <c r="Y94" s="48" t="n">
        <f aca="false">Y$75+Y$76+Y$83+Y$84</f>
        <v>66880.9601704712</v>
      </c>
      <c r="Z94" s="48" t="n">
        <f aca="false">Z$75+Z$76+Z$83+Z$84</f>
        <v>66880.9601704712</v>
      </c>
      <c r="AA94" s="48" t="n">
        <f aca="false">AA$75+AA$76+AA$83+AA$84</f>
        <v>66880.9601704712</v>
      </c>
      <c r="AB94" s="48" t="n">
        <f aca="false">AB$75+AB$76+AB$83+AB$84</f>
        <v>66880.9601704712</v>
      </c>
      <c r="AC94" s="48" t="n">
        <f aca="false">AC$75+AC$76+AC$83+AC$84</f>
        <v>66880.9601704712</v>
      </c>
      <c r="AD94" s="48" t="n">
        <f aca="false">AD$75+AD$76+AD$83+AD$84</f>
        <v>80847.7651147422</v>
      </c>
      <c r="AE94" s="48" t="n">
        <f aca="false">AE$75+AE$76+AE$83+AE$84</f>
        <v>80847.7651147422</v>
      </c>
      <c r="AF94" s="48" t="n">
        <f aca="false">AF$75+AF$76+AF$83+AF$84</f>
        <v>80847.7651147422</v>
      </c>
      <c r="AG94" s="48" t="n">
        <f aca="false">AG$75+AG$76+AG$83+AG$84</f>
        <v>80847.7651147422</v>
      </c>
      <c r="AH94" s="48" t="n">
        <f aca="false">AH$75+AH$76+AH$83+AH$84</f>
        <v>80847.7651147422</v>
      </c>
      <c r="AI94" s="48" t="n">
        <f aca="false">AI$75+AI$76+AI$83+AI$84</f>
        <v>80847.7651147422</v>
      </c>
      <c r="AJ94" s="48" t="n">
        <f aca="false">AJ$75+AJ$76+AJ$83+AJ$84</f>
        <v>80847.7651147422</v>
      </c>
      <c r="AK94" s="48" t="n">
        <f aca="false">AK$75+AK$76+AK$83+AK$84</f>
        <v>80847.7651147422</v>
      </c>
      <c r="AL94" s="48" t="n">
        <f aca="false">AL$75+AL$76+AL$83+AL$84</f>
        <v>80847.7651147422</v>
      </c>
      <c r="AM94" s="48" t="n">
        <f aca="false">AM$75+AM$76+AM$83+AM$84</f>
        <v>80847.7651147422</v>
      </c>
      <c r="AN94" s="48" t="n">
        <f aca="false">AN$75+AN$76+AN$83+AN$84</f>
        <v>80847.7651147422</v>
      </c>
      <c r="AO94" s="48" t="n">
        <f aca="false">AO$75+AO$76+AO$83+AO$84</f>
        <v>80847.7651147422</v>
      </c>
      <c r="AP94" s="48" t="n">
        <f aca="false">AP$75+AP$76+AP$83+AP$84</f>
        <v>92105.4112574529</v>
      </c>
      <c r="AQ94" s="48" t="n">
        <f aca="false">AQ$75+AQ$76+AQ$83+AQ$84</f>
        <v>92105.4112574529</v>
      </c>
      <c r="AR94" s="48" t="n">
        <f aca="false">AR$75+AR$76+AR$83+AR$84</f>
        <v>92105.4112574529</v>
      </c>
      <c r="AS94" s="48" t="n">
        <f aca="false">AS$75+AS$76+AS$83+AS$84</f>
        <v>92105.4112574529</v>
      </c>
      <c r="AT94" s="48" t="n">
        <f aca="false">AT$75+AT$76+AT$83+AT$84</f>
        <v>92105.4112574529</v>
      </c>
      <c r="AU94" s="48" t="n">
        <f aca="false">AU$75+AU$76+AU$83+AU$84</f>
        <v>92105.4112574529</v>
      </c>
      <c r="AV94" s="48" t="n">
        <f aca="false">AV$75+AV$76+AV$83+AV$84</f>
        <v>92105.4112574529</v>
      </c>
      <c r="AW94" s="48" t="n">
        <f aca="false">AW$75+AW$76+AW$83+AW$84</f>
        <v>92105.4112574529</v>
      </c>
      <c r="AX94" s="48" t="n">
        <f aca="false">AX$75+AX$76+AX$83+AX$84</f>
        <v>92105.4112574529</v>
      </c>
      <c r="AY94" s="48" t="n">
        <f aca="false">AY$75+AY$76+AY$83+AY$84</f>
        <v>92105.4112574529</v>
      </c>
      <c r="AZ94" s="48" t="n">
        <f aca="false">AZ$75+AZ$76+AZ$83+AZ$84</f>
        <v>92105.4112574529</v>
      </c>
      <c r="BA94" s="48" t="n">
        <f aca="false">BA$75+BA$76+BA$83+BA$84</f>
        <v>92105.4112574529</v>
      </c>
      <c r="BB94" s="48" t="n">
        <f aca="false">BB$75+BB$76+BB$83+BB$84</f>
        <v>92228.6256826153</v>
      </c>
      <c r="BC94" s="48" t="n">
        <f aca="false">BC$75+BC$76+BC$83+BC$84</f>
        <v>92228.6256826153</v>
      </c>
      <c r="BD94" s="48" t="n">
        <f aca="false">BD$75+BD$76+BD$83+BD$84</f>
        <v>92228.6256826153</v>
      </c>
      <c r="BE94" s="48" t="n">
        <f aca="false">BE$75+BE$76+BE$83+BE$84</f>
        <v>92228.6256826153</v>
      </c>
      <c r="BF94" s="48" t="n">
        <f aca="false">BF$75+BF$76+BF$83+BF$84</f>
        <v>92228.6256826153</v>
      </c>
      <c r="BG94" s="48" t="n">
        <f aca="false">BG$75+BG$76+BG$83+BG$84</f>
        <v>92228.6256826153</v>
      </c>
      <c r="BH94" s="48" t="n">
        <f aca="false">BH$75+BH$76+BH$83+BH$84</f>
        <v>92228.6256826153</v>
      </c>
      <c r="BI94" s="48" t="n">
        <f aca="false">BI$75+BI$76+BI$83+BI$84</f>
        <v>92228.6256826153</v>
      </c>
      <c r="BJ94" s="48" t="n">
        <f aca="false">BJ$75+BJ$76+BJ$83+BJ$84</f>
        <v>92228.6256826153</v>
      </c>
      <c r="BK94" s="48" t="n">
        <f aca="false">BK$75+BK$76+BK$83+BK$84</f>
        <v>92228.6256826153</v>
      </c>
      <c r="BL94" s="48" t="n">
        <f aca="false">BL$75+BL$76+BL$83+BL$84</f>
        <v>92228.6256826153</v>
      </c>
      <c r="BM94" s="48" t="n">
        <f aca="false">BM$75+BM$76+BM$83+BM$84</f>
        <v>92228.6256826153</v>
      </c>
      <c r="BN94" s="48" t="n">
        <f aca="false">BN$75+BN$76+BN$83+BN$84</f>
        <v>92326.9835736405</v>
      </c>
      <c r="BO94" s="48" t="n">
        <f aca="false">BO$75+BO$76+BO$83+BO$84</f>
        <v>92326.9835736405</v>
      </c>
      <c r="BP94" s="48" t="n">
        <f aca="false">BP$75+BP$76+BP$83+BP$84</f>
        <v>92326.9835736405</v>
      </c>
      <c r="BQ94" s="48" t="n">
        <f aca="false">BQ$75+BQ$76+BQ$83+BQ$84</f>
        <v>92326.9835736405</v>
      </c>
      <c r="BR94" s="48" t="n">
        <f aca="false">BR$75+BR$76+BR$83+BR$84</f>
        <v>92326.9835736405</v>
      </c>
      <c r="BS94" s="48" t="n">
        <f aca="false">BS$75+BS$76+BS$83+BS$84</f>
        <v>92326.9835736405</v>
      </c>
      <c r="BT94" s="48" t="n">
        <f aca="false">BT$75+BT$76+BT$83+BT$84</f>
        <v>92326.9835736405</v>
      </c>
      <c r="BU94" s="48" t="n">
        <f aca="false">BU$75+BU$76+BU$83+BU$84</f>
        <v>92326.9835736405</v>
      </c>
      <c r="BV94" s="48" t="n">
        <f aca="false">BV$75+BV$76+BV$83+BV$84</f>
        <v>92326.9835736405</v>
      </c>
      <c r="BW94" s="48" t="n">
        <f aca="false">BW$75+BW$76+BW$83+BW$84</f>
        <v>92326.9835736405</v>
      </c>
      <c r="BX94" s="48" t="n">
        <f aca="false">BX$75+BX$76+BX$83+BX$84</f>
        <v>92326.9835736405</v>
      </c>
      <c r="BY94" s="48" t="n">
        <f aca="false">BY$75+BY$76+BY$83+BY$84</f>
        <v>92326.9835736405</v>
      </c>
      <c r="BZ94" s="48" t="n">
        <f aca="false">BZ$75+BZ$76+BZ$83+BZ$84</f>
        <v>92426.325043576</v>
      </c>
      <c r="CA94" s="48" t="n">
        <f aca="false">CA$75+CA$76+CA$83+CA$84</f>
        <v>92426.325043576</v>
      </c>
      <c r="CB94" s="48" t="n">
        <f aca="false">CB$75+CB$76+CB$83+CB$84</f>
        <v>92426.325043576</v>
      </c>
      <c r="CC94" s="48" t="n">
        <f aca="false">CC$75+CC$76+CC$83+CC$84</f>
        <v>92426.325043576</v>
      </c>
      <c r="CD94" s="48" t="n">
        <f aca="false">CD$75+CD$76+CD$83+CD$84</f>
        <v>92426.325043576</v>
      </c>
      <c r="CE94" s="48" t="n">
        <f aca="false">CE$75+CE$76+CE$83+CE$84</f>
        <v>92426.325043576</v>
      </c>
      <c r="CF94" s="48" t="n">
        <f aca="false">CF$75+CF$76+CF$83+CF$84</f>
        <v>92426.325043576</v>
      </c>
      <c r="CG94" s="48" t="n">
        <f aca="false">CG$75+CG$76+CG$83+CG$84</f>
        <v>92426.325043576</v>
      </c>
      <c r="CH94" s="48" t="n">
        <f aca="false">CH$75+CH$76+CH$83+CH$84</f>
        <v>92426.325043576</v>
      </c>
      <c r="CI94" s="48" t="n">
        <f aca="false">CI$75+CI$76+CI$83+CI$84</f>
        <v>92426.325043576</v>
      </c>
      <c r="CJ94" s="48" t="n">
        <f aca="false">CJ$75+CJ$76+CJ$83+CJ$84</f>
        <v>92426.325043576</v>
      </c>
      <c r="CK94" s="48" t="n">
        <f aca="false">CK$75+CK$76+CK$83+CK$84</f>
        <v>92426.325043576</v>
      </c>
      <c r="CL94" s="48" t="n">
        <f aca="false">CL$75+CL$76+CL$83+CL$84</f>
        <v>92526.6599282108</v>
      </c>
      <c r="CM94" s="48" t="n">
        <f aca="false">CM$75+CM$76+CM$83+CM$84</f>
        <v>92526.6599282108</v>
      </c>
      <c r="CN94" s="48" t="n">
        <f aca="false">CN$75+CN$76+CN$83+CN$84</f>
        <v>92526.6599282108</v>
      </c>
      <c r="CO94" s="48" t="n">
        <f aca="false">CO$75+CO$76+CO$83+CO$84</f>
        <v>92526.6599282108</v>
      </c>
      <c r="CP94" s="48" t="n">
        <f aca="false">CP$75+CP$76+CP$83+CP$84</f>
        <v>92526.6599282108</v>
      </c>
      <c r="CQ94" s="48" t="n">
        <f aca="false">CQ$75+CQ$76+CQ$83+CQ$84</f>
        <v>92526.6599282108</v>
      </c>
      <c r="CR94" s="48" t="n">
        <f aca="false">CR$75+CR$76+CR$83+CR$84</f>
        <v>92526.6599282108</v>
      </c>
      <c r="CS94" s="48" t="n">
        <f aca="false">CS$75+CS$76+CS$83+CS$84</f>
        <v>92526.6599282108</v>
      </c>
      <c r="CT94" s="48" t="n">
        <f aca="false">CT$75+CT$76+CT$83+CT$84</f>
        <v>92526.6599282108</v>
      </c>
      <c r="CU94" s="48" t="n">
        <f aca="false">CU$75+CU$76+CU$83+CU$84</f>
        <v>92526.6599282108</v>
      </c>
      <c r="CV94" s="48" t="n">
        <f aca="false">CV$75+CV$76+CV$83+CV$84</f>
        <v>92526.6599282108</v>
      </c>
      <c r="CW94" s="48" t="n">
        <f aca="false">CW$75+CW$76+CW$83+CW$84</f>
        <v>92526.6599282108</v>
      </c>
      <c r="CX94" s="48" t="n">
        <f aca="false">CX$75+CX$76+CX$83+CX$84</f>
        <v>92627.998161692</v>
      </c>
      <c r="CY94" s="48" t="n">
        <f aca="false">CY$75+CY$76+CY$83+CY$84</f>
        <v>92627.998161692</v>
      </c>
      <c r="CZ94" s="48" t="n">
        <f aca="false">CZ$75+CZ$76+CZ$83+CZ$84</f>
        <v>92627.998161692</v>
      </c>
      <c r="DA94" s="48" t="n">
        <f aca="false">DA$75+DA$76+DA$83+DA$84</f>
        <v>92627.998161692</v>
      </c>
      <c r="DB94" s="48" t="n">
        <f aca="false">DB$75+DB$76+DB$83+DB$84</f>
        <v>92627.998161692</v>
      </c>
      <c r="DC94" s="48" t="n">
        <f aca="false">DC$75+DC$76+DC$83+DC$84</f>
        <v>92627.998161692</v>
      </c>
      <c r="DD94" s="48" t="n">
        <f aca="false">DD$75+DD$76+DD$83+DD$84</f>
        <v>92627.998161692</v>
      </c>
      <c r="DE94" s="48" t="n">
        <f aca="false">DE$75+DE$76+DE$83+DE$84</f>
        <v>92627.998161692</v>
      </c>
      <c r="DF94" s="48" t="n">
        <f aca="false">DF$75+DF$76+DF$83+DF$84</f>
        <v>92627.998161692</v>
      </c>
      <c r="DG94" s="48" t="n">
        <f aca="false">DG$75+DG$76+DG$83+DG$84</f>
        <v>92627.998161692</v>
      </c>
      <c r="DH94" s="48" t="n">
        <f aca="false">DH$75+DH$76+DH$83+DH$84</f>
        <v>92627.998161692</v>
      </c>
      <c r="DI94" s="48" t="n">
        <f aca="false">DI$75+DI$76+DI$83+DI$84</f>
        <v>92627.998161692</v>
      </c>
      <c r="DJ94" s="48" t="n">
        <f aca="false">DJ$75+DJ$76+DJ$83+DJ$84</f>
        <v>92730.3497775079</v>
      </c>
      <c r="DK94" s="48" t="n">
        <f aca="false">DK$75+DK$76+DK$83+DK$84</f>
        <v>92730.3497775079</v>
      </c>
      <c r="DL94" s="48" t="n">
        <f aca="false">DL$75+DL$76+DL$83+DL$84</f>
        <v>92730.3497775079</v>
      </c>
      <c r="DM94" s="48" t="n">
        <f aca="false">DM$75+DM$76+DM$83+DM$84</f>
        <v>92730.3497775079</v>
      </c>
      <c r="DN94" s="48" t="n">
        <f aca="false">DN$75+DN$76+DN$83+DN$84</f>
        <v>92730.3497775079</v>
      </c>
      <c r="DO94" s="48" t="n">
        <f aca="false">DO$75+DO$76+DO$83+DO$84</f>
        <v>92730.3497775079</v>
      </c>
      <c r="DP94" s="48" t="n">
        <f aca="false">DP$75+DP$76+DP$83+DP$84</f>
        <v>92730.3497775079</v>
      </c>
      <c r="DQ94" s="48" t="n">
        <f aca="false">DQ$75+DQ$76+DQ$83+DQ$84</f>
        <v>92730.3497775079</v>
      </c>
      <c r="DR94" s="48" t="n">
        <f aca="false">DR$75+DR$76+DR$83+DR$84</f>
        <v>92730.3497775079</v>
      </c>
      <c r="DS94" s="48" t="n">
        <f aca="false">DS$75+DS$76+DS$83+DS$84</f>
        <v>92730.3497775079</v>
      </c>
      <c r="DT94" s="48" t="n">
        <f aca="false">DT$75+DT$76+DT$83+DT$84</f>
        <v>92730.3497775079</v>
      </c>
      <c r="DU94" s="48" t="n">
        <f aca="false">DU$75+DU$76+DU$83+DU$84</f>
        <v>92730.3497775079</v>
      </c>
      <c r="DV94" s="48" t="n">
        <f aca="false">DV$75+DV$76+DV$83+DV$84</f>
        <v>0</v>
      </c>
      <c r="DW94" s="48" t="n">
        <f aca="false">DW$75+DW$76+DW$83+DW$84</f>
        <v>0</v>
      </c>
      <c r="DX94" s="48" t="n">
        <f aca="false">DX$75+DX$76+DX$83+DX$84</f>
        <v>0</v>
      </c>
      <c r="DY94" s="48" t="n">
        <f aca="false">DY$75+DY$76+DY$83+DY$84</f>
        <v>0</v>
      </c>
      <c r="DZ94" s="48" t="n">
        <f aca="false">DZ$75+DZ$76+DZ$83+DZ$84</f>
        <v>0</v>
      </c>
      <c r="EA94" s="48" t="n">
        <f aca="false">EA$75+EA$76+EA$83+EA$84</f>
        <v>0</v>
      </c>
      <c r="EB94" s="48" t="n">
        <f aca="false">EB$75+EB$76+EB$83+EB$84</f>
        <v>0</v>
      </c>
      <c r="EC94" s="48" t="n">
        <f aca="false">EC$75+EC$76+EC$83+EC$84</f>
        <v>0</v>
      </c>
      <c r="ED94" s="48" t="n">
        <f aca="false">ED$75+ED$76+ED$83+ED$84</f>
        <v>0</v>
      </c>
      <c r="EE94" s="48" t="n">
        <f aca="false">EE$75+EE$76+EE$83+EE$84</f>
        <v>0</v>
      </c>
      <c r="EF94" s="48" t="n">
        <f aca="false">EF$75+EF$76+EF$83+EF$84</f>
        <v>0</v>
      </c>
      <c r="EG94" s="48" t="n">
        <f aca="false">EG$75+EG$76+EG$83+EG$84</f>
        <v>0</v>
      </c>
      <c r="EH94" s="48" t="n">
        <f aca="false">EH$75+EH$76+EH$83+EH$84</f>
        <v>0</v>
      </c>
      <c r="EI94" s="48" t="n">
        <f aca="false">EI$75+EI$76+EI$83+EI$84</f>
        <v>0</v>
      </c>
      <c r="EJ94" s="48" t="n">
        <f aca="false">EJ$75+EJ$76+EJ$83+EJ$84</f>
        <v>0</v>
      </c>
      <c r="EK94" s="48" t="n">
        <f aca="false">EK$75+EK$76+EK$83+EK$84</f>
        <v>0</v>
      </c>
      <c r="EL94" s="48" t="n">
        <f aca="false">EL$75+EL$76+EL$83+EL$84</f>
        <v>0</v>
      </c>
      <c r="EM94" s="48" t="n">
        <f aca="false">EM$75+EM$76+EM$83+EM$84</f>
        <v>0</v>
      </c>
      <c r="EN94" s="48" t="n">
        <f aca="false">EN$75+EN$76+EN$83+EN$84</f>
        <v>0</v>
      </c>
      <c r="EO94" s="48" t="n">
        <f aca="false">EO$75+EO$76+EO$83+EO$84</f>
        <v>0</v>
      </c>
      <c r="EP94" s="48" t="n">
        <f aca="false">EP$75+EP$76+EP$83+EP$84</f>
        <v>0</v>
      </c>
      <c r="EQ94" s="48" t="n">
        <f aca="false">EQ$75+EQ$76+EQ$83+EQ$84</f>
        <v>0</v>
      </c>
      <c r="ER94" s="48" t="n">
        <f aca="false">ER$75+ER$76+ER$83+ER$84</f>
        <v>0</v>
      </c>
      <c r="ES94" s="48" t="n">
        <f aca="false">ES$75+ES$76+ES$83+ES$84</f>
        <v>0</v>
      </c>
    </row>
    <row r="95" customFormat="false" ht="15" hidden="false" customHeight="false" outlineLevel="0" collapsed="false">
      <c r="A95" s="11" t="s">
        <v>1161</v>
      </c>
      <c r="B95" s="15" t="s">
        <v>1162</v>
      </c>
      <c r="C95" s="15" t="s">
        <v>508</v>
      </c>
      <c r="E95" s="54" t="n">
        <f aca="false">SUM(F95:ES95)</f>
        <v>6984448.30293321</v>
      </c>
      <c r="F95" s="48" t="n">
        <f aca="false">F$78+F$80</f>
        <v>53054.720696137</v>
      </c>
      <c r="G95" s="48" t="n">
        <f aca="false">G$78+G$80</f>
        <v>53054.720696137</v>
      </c>
      <c r="H95" s="48" t="n">
        <f aca="false">H$78+H$80</f>
        <v>53054.720696137</v>
      </c>
      <c r="I95" s="48" t="n">
        <f aca="false">I$78+I$80</f>
        <v>53054.720696137</v>
      </c>
      <c r="J95" s="48" t="n">
        <f aca="false">J$78+J$80</f>
        <v>53054.720696137</v>
      </c>
      <c r="K95" s="48" t="n">
        <f aca="false">K$78+K$80</f>
        <v>53054.720696137</v>
      </c>
      <c r="L95" s="48" t="n">
        <f aca="false">L$78+L$80</f>
        <v>53054.720696137</v>
      </c>
      <c r="M95" s="48" t="n">
        <f aca="false">M$78+M$80</f>
        <v>53054.720696137</v>
      </c>
      <c r="N95" s="48" t="n">
        <f aca="false">N$78+N$80</f>
        <v>53054.720696137</v>
      </c>
      <c r="O95" s="48" t="n">
        <f aca="false">O$78+O$80</f>
        <v>53054.720696137</v>
      </c>
      <c r="P95" s="48" t="n">
        <f aca="false">P$78+P$80</f>
        <v>53054.720696137</v>
      </c>
      <c r="Q95" s="48" t="n">
        <f aca="false">Q$78+Q$80</f>
        <v>53054.720696137</v>
      </c>
      <c r="R95" s="48" t="n">
        <f aca="false">R$78+R$80</f>
        <v>53054.720696137</v>
      </c>
      <c r="S95" s="48" t="n">
        <f aca="false">S$78+S$80</f>
        <v>53054.720696137</v>
      </c>
      <c r="T95" s="48" t="n">
        <f aca="false">T$78+T$80</f>
        <v>53054.720696137</v>
      </c>
      <c r="U95" s="48" t="n">
        <f aca="false">U$78+U$80</f>
        <v>53054.720696137</v>
      </c>
      <c r="V95" s="48" t="n">
        <f aca="false">V$78+V$80</f>
        <v>53054.720696137</v>
      </c>
      <c r="W95" s="48" t="n">
        <f aca="false">W$78+W$80</f>
        <v>53054.720696137</v>
      </c>
      <c r="X95" s="48" t="n">
        <f aca="false">X$78+X$80</f>
        <v>53054.720696137</v>
      </c>
      <c r="Y95" s="48" t="n">
        <f aca="false">Y$78+Y$80</f>
        <v>53054.720696137</v>
      </c>
      <c r="Z95" s="48" t="n">
        <f aca="false">Z$78+Z$80</f>
        <v>53054.720696137</v>
      </c>
      <c r="AA95" s="48" t="n">
        <f aca="false">AA$78+AA$80</f>
        <v>53054.720696137</v>
      </c>
      <c r="AB95" s="48" t="n">
        <f aca="false">AB$78+AB$80</f>
        <v>53054.720696137</v>
      </c>
      <c r="AC95" s="48" t="n">
        <f aca="false">AC$78+AC$80</f>
        <v>53054.720696137</v>
      </c>
      <c r="AD95" s="48" t="n">
        <f aca="false">AD$78+AD$80</f>
        <v>55700.1385399041</v>
      </c>
      <c r="AE95" s="48" t="n">
        <f aca="false">AE$78+AE$80</f>
        <v>55700.1385399041</v>
      </c>
      <c r="AF95" s="48" t="n">
        <f aca="false">AF$78+AF$80</f>
        <v>55700.1385399041</v>
      </c>
      <c r="AG95" s="48" t="n">
        <f aca="false">AG$78+AG$80</f>
        <v>55700.1385399041</v>
      </c>
      <c r="AH95" s="48" t="n">
        <f aca="false">AH$78+AH$80</f>
        <v>55700.1385399041</v>
      </c>
      <c r="AI95" s="48" t="n">
        <f aca="false">AI$78+AI$80</f>
        <v>55700.1385399041</v>
      </c>
      <c r="AJ95" s="48" t="n">
        <f aca="false">AJ$78+AJ$80</f>
        <v>55700.1385399041</v>
      </c>
      <c r="AK95" s="48" t="n">
        <f aca="false">AK$78+AK$80</f>
        <v>55700.1385399041</v>
      </c>
      <c r="AL95" s="48" t="n">
        <f aca="false">AL$78+AL$80</f>
        <v>55700.1385399041</v>
      </c>
      <c r="AM95" s="48" t="n">
        <f aca="false">AM$78+AM$80</f>
        <v>55700.1385399041</v>
      </c>
      <c r="AN95" s="48" t="n">
        <f aca="false">AN$78+AN$80</f>
        <v>55700.1385399041</v>
      </c>
      <c r="AO95" s="48" t="n">
        <f aca="false">AO$78+AO$80</f>
        <v>55700.1385399041</v>
      </c>
      <c r="AP95" s="48" t="n">
        <f aca="false">AP$78+AP$80</f>
        <v>57818.5076943014</v>
      </c>
      <c r="AQ95" s="48" t="n">
        <f aca="false">AQ$78+AQ$80</f>
        <v>57818.5076943014</v>
      </c>
      <c r="AR95" s="48" t="n">
        <f aca="false">AR$78+AR$80</f>
        <v>57818.5076943014</v>
      </c>
      <c r="AS95" s="48" t="n">
        <f aca="false">AS$78+AS$80</f>
        <v>57818.5076943014</v>
      </c>
      <c r="AT95" s="48" t="n">
        <f aca="false">AT$78+AT$80</f>
        <v>57818.5076943014</v>
      </c>
      <c r="AU95" s="48" t="n">
        <f aca="false">AU$78+AU$80</f>
        <v>57818.5076943014</v>
      </c>
      <c r="AV95" s="48" t="n">
        <f aca="false">AV$78+AV$80</f>
        <v>57818.5076943014</v>
      </c>
      <c r="AW95" s="48" t="n">
        <f aca="false">AW$78+AW$80</f>
        <v>57818.5076943014</v>
      </c>
      <c r="AX95" s="48" t="n">
        <f aca="false">AX$78+AX$80</f>
        <v>57818.5076943014</v>
      </c>
      <c r="AY95" s="48" t="n">
        <f aca="false">AY$78+AY$80</f>
        <v>57818.5076943014</v>
      </c>
      <c r="AZ95" s="48" t="n">
        <f aca="false">AZ$78+AZ$80</f>
        <v>57818.5076943014</v>
      </c>
      <c r="BA95" s="48" t="n">
        <f aca="false">BA$78+BA$80</f>
        <v>57818.5076943014</v>
      </c>
      <c r="BB95" s="48" t="n">
        <f aca="false">BB$78+BB$80</f>
        <v>60401.5451585479</v>
      </c>
      <c r="BC95" s="48" t="n">
        <f aca="false">BC$78+BC$80</f>
        <v>60401.5451585479</v>
      </c>
      <c r="BD95" s="48" t="n">
        <f aca="false">BD$78+BD$80</f>
        <v>60401.5451585479</v>
      </c>
      <c r="BE95" s="48" t="n">
        <f aca="false">BE$78+BE$80</f>
        <v>60401.5451585479</v>
      </c>
      <c r="BF95" s="48" t="n">
        <f aca="false">BF$78+BF$80</f>
        <v>60401.5451585479</v>
      </c>
      <c r="BG95" s="48" t="n">
        <f aca="false">BG$78+BG$80</f>
        <v>60401.5451585479</v>
      </c>
      <c r="BH95" s="48" t="n">
        <f aca="false">BH$78+BH$80</f>
        <v>60401.5451585479</v>
      </c>
      <c r="BI95" s="48" t="n">
        <f aca="false">BI$78+BI$80</f>
        <v>60401.5451585479</v>
      </c>
      <c r="BJ95" s="48" t="n">
        <f aca="false">BJ$78+BJ$80</f>
        <v>60401.5451585479</v>
      </c>
      <c r="BK95" s="48" t="n">
        <f aca="false">BK$78+BK$80</f>
        <v>60401.5451585479</v>
      </c>
      <c r="BL95" s="48" t="n">
        <f aca="false">BL$78+BL$80</f>
        <v>60401.5451585479</v>
      </c>
      <c r="BM95" s="48" t="n">
        <f aca="false">BM$78+BM$80</f>
        <v>60401.5451585479</v>
      </c>
      <c r="BN95" s="48" t="n">
        <f aca="false">BN$78+BN$80</f>
        <v>60401.5451585479</v>
      </c>
      <c r="BO95" s="48" t="n">
        <f aca="false">BO$78+BO$80</f>
        <v>60401.5451585479</v>
      </c>
      <c r="BP95" s="48" t="n">
        <f aca="false">BP$78+BP$80</f>
        <v>60401.5451585479</v>
      </c>
      <c r="BQ95" s="48" t="n">
        <f aca="false">BQ$78+BQ$80</f>
        <v>60401.5451585479</v>
      </c>
      <c r="BR95" s="48" t="n">
        <f aca="false">BR$78+BR$80</f>
        <v>60401.5451585479</v>
      </c>
      <c r="BS95" s="48" t="n">
        <f aca="false">BS$78+BS$80</f>
        <v>60401.5451585479</v>
      </c>
      <c r="BT95" s="48" t="n">
        <f aca="false">BT$78+BT$80</f>
        <v>60401.5451585479</v>
      </c>
      <c r="BU95" s="48" t="n">
        <f aca="false">BU$78+BU$80</f>
        <v>60401.5451585479</v>
      </c>
      <c r="BV95" s="48" t="n">
        <f aca="false">BV$78+BV$80</f>
        <v>60401.5451585479</v>
      </c>
      <c r="BW95" s="48" t="n">
        <f aca="false">BW$78+BW$80</f>
        <v>60401.5451585479</v>
      </c>
      <c r="BX95" s="48" t="n">
        <f aca="false">BX$78+BX$80</f>
        <v>60401.5451585479</v>
      </c>
      <c r="BY95" s="48" t="n">
        <f aca="false">BY$78+BY$80</f>
        <v>60401.5451585479</v>
      </c>
      <c r="BZ95" s="48" t="n">
        <f aca="false">BZ$78+BZ$80</f>
        <v>60401.5451585479</v>
      </c>
      <c r="CA95" s="48" t="n">
        <f aca="false">CA$78+CA$80</f>
        <v>60401.5451585479</v>
      </c>
      <c r="CB95" s="48" t="n">
        <f aca="false">CB$78+CB$80</f>
        <v>60401.5451585479</v>
      </c>
      <c r="CC95" s="48" t="n">
        <f aca="false">CC$78+CC$80</f>
        <v>60401.5451585479</v>
      </c>
      <c r="CD95" s="48" t="n">
        <f aca="false">CD$78+CD$80</f>
        <v>60401.5451585479</v>
      </c>
      <c r="CE95" s="48" t="n">
        <f aca="false">CE$78+CE$80</f>
        <v>60401.5451585479</v>
      </c>
      <c r="CF95" s="48" t="n">
        <f aca="false">CF$78+CF$80</f>
        <v>60401.5451585479</v>
      </c>
      <c r="CG95" s="48" t="n">
        <f aca="false">CG$78+CG$80</f>
        <v>60401.5451585479</v>
      </c>
      <c r="CH95" s="48" t="n">
        <f aca="false">CH$78+CH$80</f>
        <v>60401.5451585479</v>
      </c>
      <c r="CI95" s="48" t="n">
        <f aca="false">CI$78+CI$80</f>
        <v>60401.5451585479</v>
      </c>
      <c r="CJ95" s="48" t="n">
        <f aca="false">CJ$78+CJ$80</f>
        <v>60401.5451585479</v>
      </c>
      <c r="CK95" s="48" t="n">
        <f aca="false">CK$78+CK$80</f>
        <v>60401.5451585479</v>
      </c>
      <c r="CL95" s="48" t="n">
        <f aca="false">CL$78+CL$80</f>
        <v>60401.5451585479</v>
      </c>
      <c r="CM95" s="48" t="n">
        <f aca="false">CM$78+CM$80</f>
        <v>60401.5451585479</v>
      </c>
      <c r="CN95" s="48" t="n">
        <f aca="false">CN$78+CN$80</f>
        <v>60401.5451585479</v>
      </c>
      <c r="CO95" s="48" t="n">
        <f aca="false">CO$78+CO$80</f>
        <v>60401.5451585479</v>
      </c>
      <c r="CP95" s="48" t="n">
        <f aca="false">CP$78+CP$80</f>
        <v>60401.5451585479</v>
      </c>
      <c r="CQ95" s="48" t="n">
        <f aca="false">CQ$78+CQ$80</f>
        <v>60401.5451585479</v>
      </c>
      <c r="CR95" s="48" t="n">
        <f aca="false">CR$78+CR$80</f>
        <v>60401.5451585479</v>
      </c>
      <c r="CS95" s="48" t="n">
        <f aca="false">CS$78+CS$80</f>
        <v>60401.5451585479</v>
      </c>
      <c r="CT95" s="48" t="n">
        <f aca="false">CT$78+CT$80</f>
        <v>60401.5451585479</v>
      </c>
      <c r="CU95" s="48" t="n">
        <f aca="false">CU$78+CU$80</f>
        <v>60401.5451585479</v>
      </c>
      <c r="CV95" s="48" t="n">
        <f aca="false">CV$78+CV$80</f>
        <v>60401.5451585479</v>
      </c>
      <c r="CW95" s="48" t="n">
        <f aca="false">CW$78+CW$80</f>
        <v>60401.5451585479</v>
      </c>
      <c r="CX95" s="48" t="n">
        <f aca="false">CX$78+CX$80</f>
        <v>60401.5451585479</v>
      </c>
      <c r="CY95" s="48" t="n">
        <f aca="false">CY$78+CY$80</f>
        <v>60401.5451585479</v>
      </c>
      <c r="CZ95" s="48" t="n">
        <f aca="false">CZ$78+CZ$80</f>
        <v>60401.5451585479</v>
      </c>
      <c r="DA95" s="48" t="n">
        <f aca="false">DA$78+DA$80</f>
        <v>60401.5451585479</v>
      </c>
      <c r="DB95" s="48" t="n">
        <f aca="false">DB$78+DB$80</f>
        <v>60401.5451585479</v>
      </c>
      <c r="DC95" s="48" t="n">
        <f aca="false">DC$78+DC$80</f>
        <v>60401.5451585479</v>
      </c>
      <c r="DD95" s="48" t="n">
        <f aca="false">DD$78+DD$80</f>
        <v>60401.5451585479</v>
      </c>
      <c r="DE95" s="48" t="n">
        <f aca="false">DE$78+DE$80</f>
        <v>60401.5451585479</v>
      </c>
      <c r="DF95" s="48" t="n">
        <f aca="false">DF$78+DF$80</f>
        <v>60401.5451585479</v>
      </c>
      <c r="DG95" s="48" t="n">
        <f aca="false">DG$78+DG$80</f>
        <v>60401.5451585479</v>
      </c>
      <c r="DH95" s="48" t="n">
        <f aca="false">DH$78+DH$80</f>
        <v>60401.5451585479</v>
      </c>
      <c r="DI95" s="48" t="n">
        <f aca="false">DI$78+DI$80</f>
        <v>60401.5451585479</v>
      </c>
      <c r="DJ95" s="48" t="n">
        <f aca="false">DJ$78+DJ$80</f>
        <v>60401.5451585479</v>
      </c>
      <c r="DK95" s="48" t="n">
        <f aca="false">DK$78+DK$80</f>
        <v>60401.5451585479</v>
      </c>
      <c r="DL95" s="48" t="n">
        <f aca="false">DL$78+DL$80</f>
        <v>60401.5451585479</v>
      </c>
      <c r="DM95" s="48" t="n">
        <f aca="false">DM$78+DM$80</f>
        <v>60401.5451585479</v>
      </c>
      <c r="DN95" s="48" t="n">
        <f aca="false">DN$78+DN$80</f>
        <v>60401.5451585479</v>
      </c>
      <c r="DO95" s="48" t="n">
        <f aca="false">DO$78+DO$80</f>
        <v>60401.5451585479</v>
      </c>
      <c r="DP95" s="48" t="n">
        <f aca="false">DP$78+DP$80</f>
        <v>60401.5451585479</v>
      </c>
      <c r="DQ95" s="48" t="n">
        <f aca="false">DQ$78+DQ$80</f>
        <v>60401.5451585479</v>
      </c>
      <c r="DR95" s="48" t="n">
        <f aca="false">DR$78+DR$80</f>
        <v>60401.5451585479</v>
      </c>
      <c r="DS95" s="48" t="n">
        <f aca="false">DS$78+DS$80</f>
        <v>60401.5451585479</v>
      </c>
      <c r="DT95" s="48" t="n">
        <f aca="false">DT$78+DT$80</f>
        <v>60401.5451585479</v>
      </c>
      <c r="DU95" s="48" t="n">
        <f aca="false">DU$78+DU$80</f>
        <v>60401.5451585479</v>
      </c>
      <c r="DV95" s="48" t="n">
        <f aca="false">DV$78+DV$80</f>
        <v>0</v>
      </c>
      <c r="DW95" s="48" t="n">
        <f aca="false">DW$78+DW$80</f>
        <v>0</v>
      </c>
      <c r="DX95" s="48" t="n">
        <f aca="false">DX$78+DX$80</f>
        <v>0</v>
      </c>
      <c r="DY95" s="48" t="n">
        <f aca="false">DY$78+DY$80</f>
        <v>0</v>
      </c>
      <c r="DZ95" s="48" t="n">
        <f aca="false">DZ$78+DZ$80</f>
        <v>0</v>
      </c>
      <c r="EA95" s="48" t="n">
        <f aca="false">EA$78+EA$80</f>
        <v>0</v>
      </c>
      <c r="EB95" s="48" t="n">
        <f aca="false">EB$78+EB$80</f>
        <v>0</v>
      </c>
      <c r="EC95" s="48" t="n">
        <f aca="false">EC$78+EC$80</f>
        <v>0</v>
      </c>
      <c r="ED95" s="48" t="n">
        <f aca="false">ED$78+ED$80</f>
        <v>0</v>
      </c>
      <c r="EE95" s="48" t="n">
        <f aca="false">EE$78+EE$80</f>
        <v>0</v>
      </c>
      <c r="EF95" s="48" t="n">
        <f aca="false">EF$78+EF$80</f>
        <v>0</v>
      </c>
      <c r="EG95" s="48" t="n">
        <f aca="false">EG$78+EG$80</f>
        <v>0</v>
      </c>
      <c r="EH95" s="48" t="n">
        <f aca="false">EH$78+EH$80</f>
        <v>0</v>
      </c>
      <c r="EI95" s="48" t="n">
        <f aca="false">EI$78+EI$80</f>
        <v>0</v>
      </c>
      <c r="EJ95" s="48" t="n">
        <f aca="false">EJ$78+EJ$80</f>
        <v>0</v>
      </c>
      <c r="EK95" s="48" t="n">
        <f aca="false">EK$78+EK$80</f>
        <v>0</v>
      </c>
      <c r="EL95" s="48" t="n">
        <f aca="false">EL$78+EL$80</f>
        <v>0</v>
      </c>
      <c r="EM95" s="48" t="n">
        <f aca="false">EM$78+EM$80</f>
        <v>0</v>
      </c>
      <c r="EN95" s="48" t="n">
        <f aca="false">EN$78+EN$80</f>
        <v>0</v>
      </c>
      <c r="EO95" s="48" t="n">
        <f aca="false">EO$78+EO$80</f>
        <v>0</v>
      </c>
      <c r="EP95" s="48" t="n">
        <f aca="false">EP$78+EP$80</f>
        <v>0</v>
      </c>
      <c r="EQ95" s="48" t="n">
        <f aca="false">EQ$78+EQ$80</f>
        <v>0</v>
      </c>
      <c r="ER95" s="48" t="n">
        <f aca="false">ER$78+ER$80</f>
        <v>0</v>
      </c>
      <c r="ES95" s="48" t="n">
        <f aca="false">ES$78+ES$80</f>
        <v>0</v>
      </c>
    </row>
    <row r="96" customFormat="false" ht="15" hidden="false" customHeight="false" outlineLevel="0" collapsed="false">
      <c r="A96" s="11" t="s">
        <v>1163</v>
      </c>
      <c r="B96" s="15" t="s">
        <v>1164</v>
      </c>
      <c r="C96" s="15" t="s">
        <v>508</v>
      </c>
      <c r="E96" s="54" t="n">
        <f aca="false">SUM(F96:ES96)</f>
        <v>3406933.03324133</v>
      </c>
      <c r="F96" s="48" t="n">
        <f aca="false">F$86+F$89</f>
        <v>19873.0114276757</v>
      </c>
      <c r="G96" s="48" t="n">
        <f aca="false">G$86+G$89</f>
        <v>19873.0114276757</v>
      </c>
      <c r="H96" s="48" t="n">
        <f aca="false">H$86+H$89</f>
        <v>19873.0114276757</v>
      </c>
      <c r="I96" s="48" t="n">
        <f aca="false">I$86+I$89</f>
        <v>19873.0114276757</v>
      </c>
      <c r="J96" s="48" t="n">
        <f aca="false">J$86+J$89</f>
        <v>19873.0114276757</v>
      </c>
      <c r="K96" s="48" t="n">
        <f aca="false">K$86+K$89</f>
        <v>19873.0114276757</v>
      </c>
      <c r="L96" s="48" t="n">
        <f aca="false">L$86+L$89</f>
        <v>19873.0114276757</v>
      </c>
      <c r="M96" s="48" t="n">
        <f aca="false">M$86+M$89</f>
        <v>19873.0114276757</v>
      </c>
      <c r="N96" s="48" t="n">
        <f aca="false">N$86+N$89</f>
        <v>19873.0114276757</v>
      </c>
      <c r="O96" s="48" t="n">
        <f aca="false">O$86+O$89</f>
        <v>19873.0114276757</v>
      </c>
      <c r="P96" s="48" t="n">
        <f aca="false">P$86+P$89</f>
        <v>19873.0114276757</v>
      </c>
      <c r="Q96" s="48" t="n">
        <f aca="false">Q$86+Q$89</f>
        <v>19873.0114276757</v>
      </c>
      <c r="R96" s="48" t="n">
        <f aca="false">R$86+R$89</f>
        <v>23317.3689934674</v>
      </c>
      <c r="S96" s="48" t="n">
        <f aca="false">S$86+S$89</f>
        <v>23317.3689934674</v>
      </c>
      <c r="T96" s="48" t="n">
        <f aca="false">T$86+T$89</f>
        <v>23317.3689934674</v>
      </c>
      <c r="U96" s="48" t="n">
        <f aca="false">U$86+U$89</f>
        <v>23317.3689934674</v>
      </c>
      <c r="V96" s="48" t="n">
        <f aca="false">V$86+V$89</f>
        <v>23317.3689934674</v>
      </c>
      <c r="W96" s="48" t="n">
        <f aca="false">W$86+W$89</f>
        <v>23317.3689934674</v>
      </c>
      <c r="X96" s="48" t="n">
        <f aca="false">X$86+X$89</f>
        <v>23317.3689934674</v>
      </c>
      <c r="Y96" s="48" t="n">
        <f aca="false">Y$86+Y$89</f>
        <v>23317.3689934674</v>
      </c>
      <c r="Z96" s="48" t="n">
        <f aca="false">Z$86+Z$89</f>
        <v>23317.3689934674</v>
      </c>
      <c r="AA96" s="48" t="n">
        <f aca="false">AA$86+AA$89</f>
        <v>23317.3689934674</v>
      </c>
      <c r="AB96" s="48" t="n">
        <f aca="false">AB$86+AB$89</f>
        <v>23317.3689934674</v>
      </c>
      <c r="AC96" s="48" t="n">
        <f aca="false">AC$86+AC$89</f>
        <v>23317.3689934674</v>
      </c>
      <c r="AD96" s="48" t="n">
        <f aca="false">AD$86+AD$89</f>
        <v>26931.7997342693</v>
      </c>
      <c r="AE96" s="48" t="n">
        <f aca="false">AE$86+AE$89</f>
        <v>26931.7997342693</v>
      </c>
      <c r="AF96" s="48" t="n">
        <f aca="false">AF$86+AF$89</f>
        <v>26931.7997342693</v>
      </c>
      <c r="AG96" s="48" t="n">
        <f aca="false">AG$86+AG$89</f>
        <v>26931.7997342693</v>
      </c>
      <c r="AH96" s="48" t="n">
        <f aca="false">AH$86+AH$89</f>
        <v>26931.7997342693</v>
      </c>
      <c r="AI96" s="48" t="n">
        <f aca="false">AI$86+AI$89</f>
        <v>26931.7997342693</v>
      </c>
      <c r="AJ96" s="48" t="n">
        <f aca="false">AJ$86+AJ$89</f>
        <v>26931.7997342693</v>
      </c>
      <c r="AK96" s="48" t="n">
        <f aca="false">AK$86+AK$89</f>
        <v>26931.7997342693</v>
      </c>
      <c r="AL96" s="48" t="n">
        <f aca="false">AL$86+AL$89</f>
        <v>26931.7997342693</v>
      </c>
      <c r="AM96" s="48" t="n">
        <f aca="false">AM$86+AM$89</f>
        <v>26931.7997342693</v>
      </c>
      <c r="AN96" s="48" t="n">
        <f aca="false">AN$86+AN$89</f>
        <v>26931.7997342693</v>
      </c>
      <c r="AO96" s="48" t="n">
        <f aca="false">AO$86+AO$89</f>
        <v>26931.7997342693</v>
      </c>
      <c r="AP96" s="48" t="n">
        <f aca="false">AP$86+AP$89</f>
        <v>29899.7286769277</v>
      </c>
      <c r="AQ96" s="48" t="n">
        <f aca="false">AQ$86+AQ$89</f>
        <v>29899.7286769277</v>
      </c>
      <c r="AR96" s="48" t="n">
        <f aca="false">AR$86+AR$89</f>
        <v>29899.7286769277</v>
      </c>
      <c r="AS96" s="48" t="n">
        <f aca="false">AS$86+AS$89</f>
        <v>29899.7286769277</v>
      </c>
      <c r="AT96" s="48" t="n">
        <f aca="false">AT$86+AT$89</f>
        <v>29899.7286769277</v>
      </c>
      <c r="AU96" s="48" t="n">
        <f aca="false">AU$86+AU$89</f>
        <v>29899.7286769277</v>
      </c>
      <c r="AV96" s="48" t="n">
        <f aca="false">AV$86+AV$89</f>
        <v>29899.7286769277</v>
      </c>
      <c r="AW96" s="48" t="n">
        <f aca="false">AW$86+AW$89</f>
        <v>29899.7286769277</v>
      </c>
      <c r="AX96" s="48" t="n">
        <f aca="false">AX$86+AX$89</f>
        <v>29899.7286769277</v>
      </c>
      <c r="AY96" s="48" t="n">
        <f aca="false">AY$86+AY$89</f>
        <v>29899.7286769277</v>
      </c>
      <c r="AZ96" s="48" t="n">
        <f aca="false">AZ$86+AZ$89</f>
        <v>29899.7286769277</v>
      </c>
      <c r="BA96" s="48" t="n">
        <f aca="false">BA$86+BA$89</f>
        <v>29899.7286769277</v>
      </c>
      <c r="BB96" s="48" t="n">
        <f aca="false">BB$86+BB$89</f>
        <v>30202.8952208885</v>
      </c>
      <c r="BC96" s="48" t="n">
        <f aca="false">BC$86+BC$89</f>
        <v>30202.8952208885</v>
      </c>
      <c r="BD96" s="48" t="n">
        <f aca="false">BD$86+BD$89</f>
        <v>30202.8952208885</v>
      </c>
      <c r="BE96" s="48" t="n">
        <f aca="false">BE$86+BE$89</f>
        <v>30202.8952208885</v>
      </c>
      <c r="BF96" s="48" t="n">
        <f aca="false">BF$86+BF$89</f>
        <v>30202.8952208885</v>
      </c>
      <c r="BG96" s="48" t="n">
        <f aca="false">BG$86+BG$89</f>
        <v>30202.8952208885</v>
      </c>
      <c r="BH96" s="48" t="n">
        <f aca="false">BH$86+BH$89</f>
        <v>30202.8952208885</v>
      </c>
      <c r="BI96" s="48" t="n">
        <f aca="false">BI$86+BI$89</f>
        <v>30202.8952208885</v>
      </c>
      <c r="BJ96" s="48" t="n">
        <f aca="false">BJ$86+BJ$89</f>
        <v>30202.8952208885</v>
      </c>
      <c r="BK96" s="48" t="n">
        <f aca="false">BK$86+BK$89</f>
        <v>30202.8952208885</v>
      </c>
      <c r="BL96" s="48" t="n">
        <f aca="false">BL$86+BL$89</f>
        <v>30202.8952208885</v>
      </c>
      <c r="BM96" s="48" t="n">
        <f aca="false">BM$86+BM$89</f>
        <v>30202.8952208885</v>
      </c>
      <c r="BN96" s="48" t="n">
        <f aca="false">BN$86+BN$89</f>
        <v>30377.8973165949</v>
      </c>
      <c r="BO96" s="48" t="n">
        <f aca="false">BO$86+BO$89</f>
        <v>30377.8973165949</v>
      </c>
      <c r="BP96" s="48" t="n">
        <f aca="false">BP$86+BP$89</f>
        <v>30377.8973165949</v>
      </c>
      <c r="BQ96" s="48" t="n">
        <f aca="false">BQ$86+BQ$89</f>
        <v>30377.8973165949</v>
      </c>
      <c r="BR96" s="48" t="n">
        <f aca="false">BR$86+BR$89</f>
        <v>30377.8973165949</v>
      </c>
      <c r="BS96" s="48" t="n">
        <f aca="false">BS$86+BS$89</f>
        <v>30377.8973165949</v>
      </c>
      <c r="BT96" s="48" t="n">
        <f aca="false">BT$86+BT$89</f>
        <v>30377.8973165949</v>
      </c>
      <c r="BU96" s="48" t="n">
        <f aca="false">BU$86+BU$89</f>
        <v>30377.8973165949</v>
      </c>
      <c r="BV96" s="48" t="n">
        <f aca="false">BV$86+BV$89</f>
        <v>30377.8973165949</v>
      </c>
      <c r="BW96" s="48" t="n">
        <f aca="false">BW$86+BW$89</f>
        <v>30377.8973165949</v>
      </c>
      <c r="BX96" s="48" t="n">
        <f aca="false">BX$86+BX$89</f>
        <v>30377.8973165949</v>
      </c>
      <c r="BY96" s="48" t="n">
        <f aca="false">BY$86+BY$89</f>
        <v>30377.8973165949</v>
      </c>
      <c r="BZ96" s="48" t="n">
        <f aca="false">BZ$86+BZ$89</f>
        <v>30555.2121796718</v>
      </c>
      <c r="CA96" s="48" t="n">
        <f aca="false">CA$86+CA$89</f>
        <v>30555.2121796718</v>
      </c>
      <c r="CB96" s="48" t="n">
        <f aca="false">CB$86+CB$89</f>
        <v>30555.2121796718</v>
      </c>
      <c r="CC96" s="48" t="n">
        <f aca="false">CC$86+CC$89</f>
        <v>30555.2121796718</v>
      </c>
      <c r="CD96" s="48" t="n">
        <f aca="false">CD$86+CD$89</f>
        <v>30555.2121796718</v>
      </c>
      <c r="CE96" s="48" t="n">
        <f aca="false">CE$86+CE$89</f>
        <v>30555.2121796718</v>
      </c>
      <c r="CF96" s="48" t="n">
        <f aca="false">CF$86+CF$89</f>
        <v>30555.2121796718</v>
      </c>
      <c r="CG96" s="48" t="n">
        <f aca="false">CG$86+CG$89</f>
        <v>30555.2121796718</v>
      </c>
      <c r="CH96" s="48" t="n">
        <f aca="false">CH$86+CH$89</f>
        <v>30555.2121796718</v>
      </c>
      <c r="CI96" s="48" t="n">
        <f aca="false">CI$86+CI$89</f>
        <v>30555.2121796718</v>
      </c>
      <c r="CJ96" s="48" t="n">
        <f aca="false">CJ$86+CJ$89</f>
        <v>30555.2121796718</v>
      </c>
      <c r="CK96" s="48" t="n">
        <f aca="false">CK$86+CK$89</f>
        <v>30555.2121796718</v>
      </c>
      <c r="CL96" s="48" t="n">
        <f aca="false">CL$86+CL$89</f>
        <v>30734.874192721</v>
      </c>
      <c r="CM96" s="48" t="n">
        <f aca="false">CM$86+CM$89</f>
        <v>30734.874192721</v>
      </c>
      <c r="CN96" s="48" t="n">
        <f aca="false">CN$86+CN$89</f>
        <v>30734.874192721</v>
      </c>
      <c r="CO96" s="48" t="n">
        <f aca="false">CO$86+CO$89</f>
        <v>30734.874192721</v>
      </c>
      <c r="CP96" s="48" t="n">
        <f aca="false">CP$86+CP$89</f>
        <v>30734.874192721</v>
      </c>
      <c r="CQ96" s="48" t="n">
        <f aca="false">CQ$86+CQ$89</f>
        <v>30734.874192721</v>
      </c>
      <c r="CR96" s="48" t="n">
        <f aca="false">CR$86+CR$89</f>
        <v>30734.874192721</v>
      </c>
      <c r="CS96" s="48" t="n">
        <f aca="false">CS$86+CS$89</f>
        <v>30734.874192721</v>
      </c>
      <c r="CT96" s="48" t="n">
        <f aca="false">CT$86+CT$89</f>
        <v>30734.874192721</v>
      </c>
      <c r="CU96" s="48" t="n">
        <f aca="false">CU$86+CU$89</f>
        <v>30734.874192721</v>
      </c>
      <c r="CV96" s="48" t="n">
        <f aca="false">CV$86+CV$89</f>
        <v>30734.874192721</v>
      </c>
      <c r="CW96" s="48" t="n">
        <f aca="false">CW$86+CW$89</f>
        <v>30734.874192721</v>
      </c>
      <c r="CX96" s="48" t="n">
        <f aca="false">CX$86+CX$89</f>
        <v>30916.9183072693</v>
      </c>
      <c r="CY96" s="48" t="n">
        <f aca="false">CY$86+CY$89</f>
        <v>30916.9183072693</v>
      </c>
      <c r="CZ96" s="48" t="n">
        <f aca="false">CZ$86+CZ$89</f>
        <v>30916.9183072693</v>
      </c>
      <c r="DA96" s="48" t="n">
        <f aca="false">DA$86+DA$89</f>
        <v>30916.9183072693</v>
      </c>
      <c r="DB96" s="48" t="n">
        <f aca="false">DB$86+DB$89</f>
        <v>30916.9183072693</v>
      </c>
      <c r="DC96" s="48" t="n">
        <f aca="false">DC$86+DC$89</f>
        <v>30916.9183072693</v>
      </c>
      <c r="DD96" s="48" t="n">
        <f aca="false">DD$86+DD$89</f>
        <v>30916.9183072693</v>
      </c>
      <c r="DE96" s="48" t="n">
        <f aca="false">DE$86+DE$89</f>
        <v>30916.9183072693</v>
      </c>
      <c r="DF96" s="48" t="n">
        <f aca="false">DF$86+DF$89</f>
        <v>30916.9183072693</v>
      </c>
      <c r="DG96" s="48" t="n">
        <f aca="false">DG$86+DG$89</f>
        <v>30916.9183072693</v>
      </c>
      <c r="DH96" s="48" t="n">
        <f aca="false">DH$86+DH$89</f>
        <v>30916.9183072693</v>
      </c>
      <c r="DI96" s="48" t="n">
        <f aca="false">DI$86+DI$89</f>
        <v>30916.9183072693</v>
      </c>
      <c r="DJ96" s="48" t="n">
        <f aca="false">DJ$86+DJ$89</f>
        <v>31101.3800539588</v>
      </c>
      <c r="DK96" s="48" t="n">
        <f aca="false">DK$86+DK$89</f>
        <v>31101.3800539588</v>
      </c>
      <c r="DL96" s="48" t="n">
        <f aca="false">DL$86+DL$89</f>
        <v>31101.3800539588</v>
      </c>
      <c r="DM96" s="48" t="n">
        <f aca="false">DM$86+DM$89</f>
        <v>31101.3800539588</v>
      </c>
      <c r="DN96" s="48" t="n">
        <f aca="false">DN$86+DN$89</f>
        <v>31101.3800539588</v>
      </c>
      <c r="DO96" s="48" t="n">
        <f aca="false">DO$86+DO$89</f>
        <v>31101.3800539588</v>
      </c>
      <c r="DP96" s="48" t="n">
        <f aca="false">DP$86+DP$89</f>
        <v>31101.3800539588</v>
      </c>
      <c r="DQ96" s="48" t="n">
        <f aca="false">DQ$86+DQ$89</f>
        <v>31101.3800539588</v>
      </c>
      <c r="DR96" s="48" t="n">
        <f aca="false">DR$86+DR$89</f>
        <v>31101.3800539588</v>
      </c>
      <c r="DS96" s="48" t="n">
        <f aca="false">DS$86+DS$89</f>
        <v>31101.3800539588</v>
      </c>
      <c r="DT96" s="48" t="n">
        <f aca="false">DT$86+DT$89</f>
        <v>31101.3800539588</v>
      </c>
      <c r="DU96" s="48" t="n">
        <f aca="false">DU$86+DU$89</f>
        <v>31101.3800539588</v>
      </c>
      <c r="DV96" s="48" t="n">
        <f aca="false">DV$86+DV$89</f>
        <v>0</v>
      </c>
      <c r="DW96" s="48" t="n">
        <f aca="false">DW$86+DW$89</f>
        <v>0</v>
      </c>
      <c r="DX96" s="48" t="n">
        <f aca="false">DX$86+DX$89</f>
        <v>0</v>
      </c>
      <c r="DY96" s="48" t="n">
        <f aca="false">DY$86+DY$89</f>
        <v>0</v>
      </c>
      <c r="DZ96" s="48" t="n">
        <f aca="false">DZ$86+DZ$89</f>
        <v>0</v>
      </c>
      <c r="EA96" s="48" t="n">
        <f aca="false">EA$86+EA$89</f>
        <v>0</v>
      </c>
      <c r="EB96" s="48" t="n">
        <f aca="false">EB$86+EB$89</f>
        <v>0</v>
      </c>
      <c r="EC96" s="48" t="n">
        <f aca="false">EC$86+EC$89</f>
        <v>0</v>
      </c>
      <c r="ED96" s="48" t="n">
        <f aca="false">ED$86+ED$89</f>
        <v>0</v>
      </c>
      <c r="EE96" s="48" t="n">
        <f aca="false">EE$86+EE$89</f>
        <v>0</v>
      </c>
      <c r="EF96" s="48" t="n">
        <f aca="false">EF$86+EF$89</f>
        <v>0</v>
      </c>
      <c r="EG96" s="48" t="n">
        <f aca="false">EG$86+EG$89</f>
        <v>0</v>
      </c>
      <c r="EH96" s="48" t="n">
        <f aca="false">EH$86+EH$89</f>
        <v>0</v>
      </c>
      <c r="EI96" s="48" t="n">
        <f aca="false">EI$86+EI$89</f>
        <v>0</v>
      </c>
      <c r="EJ96" s="48" t="n">
        <f aca="false">EJ$86+EJ$89</f>
        <v>0</v>
      </c>
      <c r="EK96" s="48" t="n">
        <f aca="false">EK$86+EK$89</f>
        <v>0</v>
      </c>
      <c r="EL96" s="48" t="n">
        <f aca="false">EL$86+EL$89</f>
        <v>0</v>
      </c>
      <c r="EM96" s="48" t="n">
        <f aca="false">EM$86+EM$89</f>
        <v>0</v>
      </c>
      <c r="EN96" s="48" t="n">
        <f aca="false">EN$86+EN$89</f>
        <v>0</v>
      </c>
      <c r="EO96" s="48" t="n">
        <f aca="false">EO$86+EO$89</f>
        <v>0</v>
      </c>
      <c r="EP96" s="48" t="n">
        <f aca="false">EP$86+EP$89</f>
        <v>0</v>
      </c>
      <c r="EQ96" s="48" t="n">
        <f aca="false">EQ$86+EQ$89</f>
        <v>0</v>
      </c>
      <c r="ER96" s="48" t="n">
        <f aca="false">ER$86+ER$89</f>
        <v>0</v>
      </c>
      <c r="ES96" s="48" t="n">
        <f aca="false">ES$86+ES$89</f>
        <v>0</v>
      </c>
    </row>
    <row r="97" customFormat="false" ht="15" hidden="false" customHeight="false" outlineLevel="0" collapsed="false">
      <c r="A97" s="11" t="s">
        <v>1165</v>
      </c>
      <c r="B97" s="67" t="s">
        <v>1166</v>
      </c>
      <c r="C97" s="15" t="s">
        <v>508</v>
      </c>
      <c r="E97" s="54" t="n">
        <f aca="false">SUM(F97:ES97)</f>
        <v>21340920.4743363</v>
      </c>
      <c r="F97" s="19" t="n">
        <f aca="false">F$71-F$93-F$94-F$95-F$96</f>
        <v>79096.469288216</v>
      </c>
      <c r="G97" s="19" t="n">
        <f aca="false">G$71-G$93-G$94-G$95-G$96</f>
        <v>79096.469288216</v>
      </c>
      <c r="H97" s="19" t="n">
        <f aca="false">H$71-H$93-H$94-H$95-H$96</f>
        <v>79096.469288216</v>
      </c>
      <c r="I97" s="19" t="n">
        <f aca="false">I$71-I$93-I$94-I$95-I$96</f>
        <v>79096.469288216</v>
      </c>
      <c r="J97" s="19" t="n">
        <f aca="false">J$71-J$93-J$94-J$95-J$96</f>
        <v>79096.469288216</v>
      </c>
      <c r="K97" s="19" t="n">
        <f aca="false">K$71-K$93-K$94-K$95-K$96</f>
        <v>79096.469288216</v>
      </c>
      <c r="L97" s="19" t="n">
        <f aca="false">L$71-L$93-L$94-L$95-L$96</f>
        <v>79096.469288216</v>
      </c>
      <c r="M97" s="19" t="n">
        <f aca="false">M$71-M$93-M$94-M$95-M$96</f>
        <v>79096.469288216</v>
      </c>
      <c r="N97" s="19" t="n">
        <f aca="false">N$71-N$93-N$94-N$95-N$96</f>
        <v>79096.469288216</v>
      </c>
      <c r="O97" s="19" t="n">
        <f aca="false">O$71-O$93-O$94-O$95-O$96</f>
        <v>79096.469288216</v>
      </c>
      <c r="P97" s="19" t="n">
        <f aca="false">P$71-P$93-P$94-P$95-P$96</f>
        <v>79096.469288216</v>
      </c>
      <c r="Q97" s="19" t="n">
        <f aca="false">Q$71-Q$93-Q$94-Q$95-Q$96</f>
        <v>79096.469288216</v>
      </c>
      <c r="R97" s="19" t="n">
        <f aca="false">R$71-R$93-R$94-R$95-R$96</f>
        <v>118738.075139924</v>
      </c>
      <c r="S97" s="19" t="n">
        <f aca="false">S$71-S$93-S$94-S$95-S$96</f>
        <v>118738.075139924</v>
      </c>
      <c r="T97" s="19" t="n">
        <f aca="false">T$71-T$93-T$94-T$95-T$96</f>
        <v>118738.075139924</v>
      </c>
      <c r="U97" s="19" t="n">
        <f aca="false">U$71-U$93-U$94-U$95-U$96</f>
        <v>118738.075139924</v>
      </c>
      <c r="V97" s="19" t="n">
        <f aca="false">V$71-V$93-V$94-V$95-V$96</f>
        <v>118738.075139924</v>
      </c>
      <c r="W97" s="19" t="n">
        <f aca="false">W$71-W$93-W$94-W$95-W$96</f>
        <v>118738.075139924</v>
      </c>
      <c r="X97" s="19" t="n">
        <f aca="false">X$71-X$93-X$94-X$95-X$96</f>
        <v>118738.075139924</v>
      </c>
      <c r="Y97" s="19" t="n">
        <f aca="false">Y$71-Y$93-Y$94-Y$95-Y$96</f>
        <v>118738.075139924</v>
      </c>
      <c r="Z97" s="19" t="n">
        <f aca="false">Z$71-Z$93-Z$94-Z$95-Z$96</f>
        <v>118738.075139924</v>
      </c>
      <c r="AA97" s="19" t="n">
        <f aca="false">AA$71-AA$93-AA$94-AA$95-AA$96</f>
        <v>118738.075139924</v>
      </c>
      <c r="AB97" s="19" t="n">
        <f aca="false">AB$71-AB$93-AB$94-AB$95-AB$96</f>
        <v>118738.075139924</v>
      </c>
      <c r="AC97" s="19" t="n">
        <f aca="false">AC$71-AC$93-AC$94-AC$95-AC$96</f>
        <v>118738.075139924</v>
      </c>
      <c r="AD97" s="19" t="n">
        <f aca="false">AD$71-AD$93-AD$94-AD$95-AD$96</f>
        <v>157007.189944418</v>
      </c>
      <c r="AE97" s="19" t="n">
        <f aca="false">AE$71-AE$93-AE$94-AE$95-AE$96</f>
        <v>157007.189944418</v>
      </c>
      <c r="AF97" s="19" t="n">
        <f aca="false">AF$71-AF$93-AF$94-AF$95-AF$96</f>
        <v>157007.189944418</v>
      </c>
      <c r="AG97" s="19" t="n">
        <f aca="false">AG$71-AG$93-AG$94-AG$95-AG$96</f>
        <v>157007.189944418</v>
      </c>
      <c r="AH97" s="19" t="n">
        <f aca="false">AH$71-AH$93-AH$94-AH$95-AH$96</f>
        <v>157007.189944418</v>
      </c>
      <c r="AI97" s="19" t="n">
        <f aca="false">AI$71-AI$93-AI$94-AI$95-AI$96</f>
        <v>157007.189944418</v>
      </c>
      <c r="AJ97" s="19" t="n">
        <f aca="false">AJ$71-AJ$93-AJ$94-AJ$95-AJ$96</f>
        <v>157007.189944418</v>
      </c>
      <c r="AK97" s="19" t="n">
        <f aca="false">AK$71-AK$93-AK$94-AK$95-AK$96</f>
        <v>157007.189944418</v>
      </c>
      <c r="AL97" s="19" t="n">
        <f aca="false">AL$71-AL$93-AL$94-AL$95-AL$96</f>
        <v>157007.189944418</v>
      </c>
      <c r="AM97" s="19" t="n">
        <f aca="false">AM$71-AM$93-AM$94-AM$95-AM$96</f>
        <v>157007.189944418</v>
      </c>
      <c r="AN97" s="19" t="n">
        <f aca="false">AN$71-AN$93-AN$94-AN$95-AN$96</f>
        <v>157007.189944418</v>
      </c>
      <c r="AO97" s="19" t="n">
        <f aca="false">AO$71-AO$93-AO$94-AO$95-AO$96</f>
        <v>157007.189944418</v>
      </c>
      <c r="AP97" s="19" t="n">
        <f aca="false">AP$71-AP$93-AP$94-AP$95-AP$96</f>
        <v>191337.339883818</v>
      </c>
      <c r="AQ97" s="19" t="n">
        <f aca="false">AQ$71-AQ$93-AQ$94-AQ$95-AQ$96</f>
        <v>191337.339883818</v>
      </c>
      <c r="AR97" s="19" t="n">
        <f aca="false">AR$71-AR$93-AR$94-AR$95-AR$96</f>
        <v>191337.339883818</v>
      </c>
      <c r="AS97" s="19" t="n">
        <f aca="false">AS$71-AS$93-AS$94-AS$95-AS$96</f>
        <v>191337.339883818</v>
      </c>
      <c r="AT97" s="19" t="n">
        <f aca="false">AT$71-AT$93-AT$94-AT$95-AT$96</f>
        <v>191337.339883818</v>
      </c>
      <c r="AU97" s="19" t="n">
        <f aca="false">AU$71-AU$93-AU$94-AU$95-AU$96</f>
        <v>191337.339883818</v>
      </c>
      <c r="AV97" s="19" t="n">
        <f aca="false">AV$71-AV$93-AV$94-AV$95-AV$96</f>
        <v>191337.339883818</v>
      </c>
      <c r="AW97" s="19" t="n">
        <f aca="false">AW$71-AW$93-AW$94-AW$95-AW$96</f>
        <v>191337.339883818</v>
      </c>
      <c r="AX97" s="19" t="n">
        <f aca="false">AX$71-AX$93-AX$94-AX$95-AX$96</f>
        <v>191337.339883818</v>
      </c>
      <c r="AY97" s="19" t="n">
        <f aca="false">AY$71-AY$93-AY$94-AY$95-AY$96</f>
        <v>191337.339883818</v>
      </c>
      <c r="AZ97" s="19" t="n">
        <f aca="false">AZ$71-AZ$93-AZ$94-AZ$95-AZ$96</f>
        <v>191337.339883818</v>
      </c>
      <c r="BA97" s="19" t="n">
        <f aca="false">BA$71-BA$93-BA$94-BA$95-BA$96</f>
        <v>191337.339883818</v>
      </c>
      <c r="BB97" s="19" t="n">
        <f aca="false">BB$71-BB$93-BB$94-BB$95-BB$96</f>
        <v>193312.131325573</v>
      </c>
      <c r="BC97" s="19" t="n">
        <f aca="false">BC$71-BC$93-BC$94-BC$95-BC$96</f>
        <v>193312.131325573</v>
      </c>
      <c r="BD97" s="19" t="n">
        <f aca="false">BD$71-BD$93-BD$94-BD$95-BD$96</f>
        <v>193312.131325573</v>
      </c>
      <c r="BE97" s="19" t="n">
        <f aca="false">BE$71-BE$93-BE$94-BE$95-BE$96</f>
        <v>193312.131325573</v>
      </c>
      <c r="BF97" s="19" t="n">
        <f aca="false">BF$71-BF$93-BF$94-BF$95-BF$96</f>
        <v>193312.131325573</v>
      </c>
      <c r="BG97" s="19" t="n">
        <f aca="false">BG$71-BG$93-BG$94-BG$95-BG$96</f>
        <v>193312.131325573</v>
      </c>
      <c r="BH97" s="19" t="n">
        <f aca="false">BH$71-BH$93-BH$94-BH$95-BH$96</f>
        <v>193312.131325573</v>
      </c>
      <c r="BI97" s="19" t="n">
        <f aca="false">BI$71-BI$93-BI$94-BI$95-BI$96</f>
        <v>193312.131325573</v>
      </c>
      <c r="BJ97" s="19" t="n">
        <f aca="false">BJ$71-BJ$93-BJ$94-BJ$95-BJ$96</f>
        <v>193312.131325573</v>
      </c>
      <c r="BK97" s="19" t="n">
        <f aca="false">BK$71-BK$93-BK$94-BK$95-BK$96</f>
        <v>193312.131325573</v>
      </c>
      <c r="BL97" s="19" t="n">
        <f aca="false">BL$71-BL$93-BL$94-BL$95-BL$96</f>
        <v>193312.131325573</v>
      </c>
      <c r="BM97" s="19" t="n">
        <f aca="false">BM$71-BM$93-BM$94-BM$95-BM$96</f>
        <v>193312.131325573</v>
      </c>
      <c r="BN97" s="19" t="n">
        <f aca="false">BN$71-BN$93-BN$94-BN$95-BN$96</f>
        <v>198072.823312718</v>
      </c>
      <c r="BO97" s="19" t="n">
        <f aca="false">BO$71-BO$93-BO$94-BO$95-BO$96</f>
        <v>198072.823312718</v>
      </c>
      <c r="BP97" s="19" t="n">
        <f aca="false">BP$71-BP$93-BP$94-BP$95-BP$96</f>
        <v>198072.823312718</v>
      </c>
      <c r="BQ97" s="19" t="n">
        <f aca="false">BQ$71-BQ$93-BQ$94-BQ$95-BQ$96</f>
        <v>198072.823312718</v>
      </c>
      <c r="BR97" s="19" t="n">
        <f aca="false">BR$71-BR$93-BR$94-BR$95-BR$96</f>
        <v>198072.823312718</v>
      </c>
      <c r="BS97" s="19" t="n">
        <f aca="false">BS$71-BS$93-BS$94-BS$95-BS$96</f>
        <v>198072.823312718</v>
      </c>
      <c r="BT97" s="19" t="n">
        <f aca="false">BT$71-BT$93-BT$94-BT$95-BT$96</f>
        <v>198072.823312718</v>
      </c>
      <c r="BU97" s="19" t="n">
        <f aca="false">BU$71-BU$93-BU$94-BU$95-BU$96</f>
        <v>198072.823312718</v>
      </c>
      <c r="BV97" s="19" t="n">
        <f aca="false">BV$71-BV$93-BV$94-BV$95-BV$96</f>
        <v>198072.823312718</v>
      </c>
      <c r="BW97" s="19" t="n">
        <f aca="false">BW$71-BW$93-BW$94-BW$95-BW$96</f>
        <v>198072.823312718</v>
      </c>
      <c r="BX97" s="19" t="n">
        <f aca="false">BX$71-BX$93-BX$94-BX$95-BX$96</f>
        <v>198072.823312718</v>
      </c>
      <c r="BY97" s="19" t="n">
        <f aca="false">BY$71-BY$93-BY$94-BY$95-BY$96</f>
        <v>198072.823312718</v>
      </c>
      <c r="BZ97" s="19" t="n">
        <f aca="false">BZ$71-BZ$93-BZ$94-BZ$95-BZ$96</f>
        <v>202880.55947332</v>
      </c>
      <c r="CA97" s="19" t="n">
        <f aca="false">CA$71-CA$93-CA$94-CA$95-CA$96</f>
        <v>202880.55947332</v>
      </c>
      <c r="CB97" s="19" t="n">
        <f aca="false">CB$71-CB$93-CB$94-CB$95-CB$96</f>
        <v>202880.55947332</v>
      </c>
      <c r="CC97" s="19" t="n">
        <f aca="false">CC$71-CC$93-CC$94-CC$95-CC$96</f>
        <v>202880.55947332</v>
      </c>
      <c r="CD97" s="19" t="n">
        <f aca="false">CD$71-CD$93-CD$94-CD$95-CD$96</f>
        <v>202880.55947332</v>
      </c>
      <c r="CE97" s="19" t="n">
        <f aca="false">CE$71-CE$93-CE$94-CE$95-CE$96</f>
        <v>202880.55947332</v>
      </c>
      <c r="CF97" s="19" t="n">
        <f aca="false">CF$71-CF$93-CF$94-CF$95-CF$96</f>
        <v>202880.55947332</v>
      </c>
      <c r="CG97" s="19" t="n">
        <f aca="false">CG$71-CG$93-CG$94-CG$95-CG$96</f>
        <v>202880.55947332</v>
      </c>
      <c r="CH97" s="19" t="n">
        <f aca="false">CH$71-CH$93-CH$94-CH$95-CH$96</f>
        <v>202880.55947332</v>
      </c>
      <c r="CI97" s="19" t="n">
        <f aca="false">CI$71-CI$93-CI$94-CI$95-CI$96</f>
        <v>202880.55947332</v>
      </c>
      <c r="CJ97" s="19" t="n">
        <f aca="false">CJ$71-CJ$93-CJ$94-CJ$95-CJ$96</f>
        <v>202880.55947332</v>
      </c>
      <c r="CK97" s="19" t="n">
        <f aca="false">CK$71-CK$93-CK$94-CK$95-CK$96</f>
        <v>202880.55947332</v>
      </c>
      <c r="CL97" s="19" t="n">
        <f aca="false">CL$71-CL$93-CL$94-CL$95-CL$96</f>
        <v>207735.798994188</v>
      </c>
      <c r="CM97" s="19" t="n">
        <f aca="false">CM$71-CM$93-CM$94-CM$95-CM$96</f>
        <v>207735.798994188</v>
      </c>
      <c r="CN97" s="19" t="n">
        <f aca="false">CN$71-CN$93-CN$94-CN$95-CN$96</f>
        <v>207735.798994188</v>
      </c>
      <c r="CO97" s="19" t="n">
        <f aca="false">CO$71-CO$93-CO$94-CO$95-CO$96</f>
        <v>207735.798994188</v>
      </c>
      <c r="CP97" s="19" t="n">
        <f aca="false">CP$71-CP$93-CP$94-CP$95-CP$96</f>
        <v>207735.798994188</v>
      </c>
      <c r="CQ97" s="19" t="n">
        <f aca="false">CQ$71-CQ$93-CQ$94-CQ$95-CQ$96</f>
        <v>207735.798994188</v>
      </c>
      <c r="CR97" s="19" t="n">
        <f aca="false">CR$71-CR$93-CR$94-CR$95-CR$96</f>
        <v>207735.798994188</v>
      </c>
      <c r="CS97" s="19" t="n">
        <f aca="false">CS$71-CS$93-CS$94-CS$95-CS$96</f>
        <v>207735.798994188</v>
      </c>
      <c r="CT97" s="19" t="n">
        <f aca="false">CT$71-CT$93-CT$94-CT$95-CT$96</f>
        <v>207735.798994188</v>
      </c>
      <c r="CU97" s="19" t="n">
        <f aca="false">CU$71-CU$93-CU$94-CU$95-CU$96</f>
        <v>207735.798994188</v>
      </c>
      <c r="CV97" s="19" t="n">
        <f aca="false">CV$71-CV$93-CV$94-CV$95-CV$96</f>
        <v>207735.798994188</v>
      </c>
      <c r="CW97" s="19" t="n">
        <f aca="false">CW$71-CW$93-CW$94-CW$95-CW$96</f>
        <v>207735.798994188</v>
      </c>
      <c r="CX97" s="19" t="n">
        <f aca="false">CX$71-CX$93-CX$94-CX$95-CX$96</f>
        <v>212639.005428895</v>
      </c>
      <c r="CY97" s="19" t="n">
        <f aca="false">CY$71-CY$93-CY$94-CY$95-CY$96</f>
        <v>212639.005428895</v>
      </c>
      <c r="CZ97" s="19" t="n">
        <f aca="false">CZ$71-CZ$93-CZ$94-CZ$95-CZ$96</f>
        <v>212639.005428895</v>
      </c>
      <c r="DA97" s="19" t="n">
        <f aca="false">DA$71-DA$93-DA$94-DA$95-DA$96</f>
        <v>212639.005428895</v>
      </c>
      <c r="DB97" s="19" t="n">
        <f aca="false">DB$71-DB$93-DB$94-DB$95-DB$96</f>
        <v>212639.005428895</v>
      </c>
      <c r="DC97" s="19" t="n">
        <f aca="false">DC$71-DC$93-DC$94-DC$95-DC$96</f>
        <v>212639.005428895</v>
      </c>
      <c r="DD97" s="19" t="n">
        <f aca="false">DD$71-DD$93-DD$94-DD$95-DD$96</f>
        <v>212639.005428895</v>
      </c>
      <c r="DE97" s="19" t="n">
        <f aca="false">DE$71-DE$93-DE$94-DE$95-DE$96</f>
        <v>212639.005428895</v>
      </c>
      <c r="DF97" s="19" t="n">
        <f aca="false">DF$71-DF$93-DF$94-DF$95-DF$96</f>
        <v>212639.005428895</v>
      </c>
      <c r="DG97" s="19" t="n">
        <f aca="false">DG$71-DG$93-DG$94-DG$95-DG$96</f>
        <v>212639.005428895</v>
      </c>
      <c r="DH97" s="19" t="n">
        <f aca="false">DH$71-DH$93-DH$94-DH$95-DH$96</f>
        <v>212639.005428895</v>
      </c>
      <c r="DI97" s="19" t="n">
        <f aca="false">DI$71-DI$93-DI$94-DI$95-DI$96</f>
        <v>212639.005428895</v>
      </c>
      <c r="DJ97" s="19" t="n">
        <f aca="false">DJ$71-DJ$93-DJ$94-DJ$95-DJ$96</f>
        <v>217590.646736953</v>
      </c>
      <c r="DK97" s="19" t="n">
        <f aca="false">DK$71-DK$93-DK$94-DK$95-DK$96</f>
        <v>217590.646736953</v>
      </c>
      <c r="DL97" s="19" t="n">
        <f aca="false">DL$71-DL$93-DL$94-DL$95-DL$96</f>
        <v>217590.646736953</v>
      </c>
      <c r="DM97" s="19" t="n">
        <f aca="false">DM$71-DM$93-DM$94-DM$95-DM$96</f>
        <v>217590.646736953</v>
      </c>
      <c r="DN97" s="19" t="n">
        <f aca="false">DN$71-DN$93-DN$94-DN$95-DN$96</f>
        <v>217590.646736953</v>
      </c>
      <c r="DO97" s="19" t="n">
        <f aca="false">DO$71-DO$93-DO$94-DO$95-DO$96</f>
        <v>217590.646736953</v>
      </c>
      <c r="DP97" s="19" t="n">
        <f aca="false">DP$71-DP$93-DP$94-DP$95-DP$96</f>
        <v>217590.646736953</v>
      </c>
      <c r="DQ97" s="19" t="n">
        <f aca="false">DQ$71-DQ$93-DQ$94-DQ$95-DQ$96</f>
        <v>217590.646736953</v>
      </c>
      <c r="DR97" s="19" t="n">
        <f aca="false">DR$71-DR$93-DR$94-DR$95-DR$96</f>
        <v>217590.646736953</v>
      </c>
      <c r="DS97" s="19" t="n">
        <f aca="false">DS$71-DS$93-DS$94-DS$95-DS$96</f>
        <v>217590.646736953</v>
      </c>
      <c r="DT97" s="19" t="n">
        <f aca="false">DT$71-DT$93-DT$94-DT$95-DT$96</f>
        <v>217590.646736953</v>
      </c>
      <c r="DU97" s="19" t="n">
        <f aca="false">DU$71-DU$93-DU$94-DU$95-DU$96</f>
        <v>217590.646736953</v>
      </c>
      <c r="DV97" s="19" t="n">
        <f aca="false">DV$71-DV$93-DV$94-DV$95-DV$96</f>
        <v>0</v>
      </c>
      <c r="DW97" s="19" t="n">
        <f aca="false">DW$71-DW$93-DW$94-DW$95-DW$96</f>
        <v>0</v>
      </c>
      <c r="DX97" s="19" t="n">
        <f aca="false">DX$71-DX$93-DX$94-DX$95-DX$96</f>
        <v>0</v>
      </c>
      <c r="DY97" s="19" t="n">
        <f aca="false">DY$71-DY$93-DY$94-DY$95-DY$96</f>
        <v>0</v>
      </c>
      <c r="DZ97" s="19" t="n">
        <f aca="false">DZ$71-DZ$93-DZ$94-DZ$95-DZ$96</f>
        <v>0</v>
      </c>
      <c r="EA97" s="19" t="n">
        <f aca="false">EA$71-EA$93-EA$94-EA$95-EA$96</f>
        <v>0</v>
      </c>
      <c r="EB97" s="19" t="n">
        <f aca="false">EB$71-EB$93-EB$94-EB$95-EB$96</f>
        <v>0</v>
      </c>
      <c r="EC97" s="19" t="n">
        <f aca="false">EC$71-EC$93-EC$94-EC$95-EC$96</f>
        <v>0</v>
      </c>
      <c r="ED97" s="19" t="n">
        <f aca="false">ED$71-ED$93-ED$94-ED$95-ED$96</f>
        <v>0</v>
      </c>
      <c r="EE97" s="19" t="n">
        <f aca="false">EE$71-EE$93-EE$94-EE$95-EE$96</f>
        <v>0</v>
      </c>
      <c r="EF97" s="19" t="n">
        <f aca="false">EF$71-EF$93-EF$94-EF$95-EF$96</f>
        <v>0</v>
      </c>
      <c r="EG97" s="19" t="n">
        <f aca="false">EG$71-EG$93-EG$94-EG$95-EG$96</f>
        <v>0</v>
      </c>
      <c r="EH97" s="19" t="n">
        <f aca="false">EH$71-EH$93-EH$94-EH$95-EH$96</f>
        <v>0</v>
      </c>
      <c r="EI97" s="19" t="n">
        <f aca="false">EI$71-EI$93-EI$94-EI$95-EI$96</f>
        <v>0</v>
      </c>
      <c r="EJ97" s="19" t="n">
        <f aca="false">EJ$71-EJ$93-EJ$94-EJ$95-EJ$96</f>
        <v>0</v>
      </c>
      <c r="EK97" s="19" t="n">
        <f aca="false">EK$71-EK$93-EK$94-EK$95-EK$96</f>
        <v>0</v>
      </c>
      <c r="EL97" s="19" t="n">
        <f aca="false">EL$71-EL$93-EL$94-EL$95-EL$96</f>
        <v>0</v>
      </c>
      <c r="EM97" s="19" t="n">
        <f aca="false">EM$71-EM$93-EM$94-EM$95-EM$96</f>
        <v>0</v>
      </c>
      <c r="EN97" s="19" t="n">
        <f aca="false">EN$71-EN$93-EN$94-EN$95-EN$96</f>
        <v>0</v>
      </c>
      <c r="EO97" s="19" t="n">
        <f aca="false">EO$71-EO$93-EO$94-EO$95-EO$96</f>
        <v>0</v>
      </c>
      <c r="EP97" s="19" t="n">
        <f aca="false">EP$71-EP$93-EP$94-EP$95-EP$96</f>
        <v>0</v>
      </c>
      <c r="EQ97" s="19" t="n">
        <f aca="false">EQ$71-EQ$93-EQ$94-EQ$95-EQ$96</f>
        <v>0</v>
      </c>
      <c r="ER97" s="19" t="n">
        <f aca="false">ER$71-ER$93-ER$94-ER$95-ER$96</f>
        <v>0</v>
      </c>
      <c r="ES97" s="19" t="n">
        <f aca="false">ES$71-ES$93-ES$94-ES$95-ES$96</f>
        <v>0</v>
      </c>
    </row>
    <row r="98" customFormat="false" ht="15" hidden="false" customHeight="false" outlineLevel="0" collapsed="false">
      <c r="A98" s="11" t="s">
        <v>1167</v>
      </c>
      <c r="B98" s="15" t="s">
        <v>1168</v>
      </c>
      <c r="C98" s="15" t="s">
        <v>508</v>
      </c>
      <c r="E98" s="54" t="n">
        <f aca="false">SUM(F98:ES98)</f>
        <v>1075198.52627014</v>
      </c>
      <c r="F98" s="48" t="n">
        <f aca="false">F$82</f>
        <v>8959.98771891781</v>
      </c>
      <c r="G98" s="48" t="n">
        <f aca="false">G$82</f>
        <v>8959.98771891781</v>
      </c>
      <c r="H98" s="48" t="n">
        <f aca="false">H$82</f>
        <v>8959.98771891781</v>
      </c>
      <c r="I98" s="48" t="n">
        <f aca="false">I$82</f>
        <v>8959.98771891781</v>
      </c>
      <c r="J98" s="48" t="n">
        <f aca="false">J$82</f>
        <v>8959.98771891781</v>
      </c>
      <c r="K98" s="48" t="n">
        <f aca="false">K$82</f>
        <v>8959.98771891781</v>
      </c>
      <c r="L98" s="48" t="n">
        <f aca="false">L$82</f>
        <v>8959.98771891781</v>
      </c>
      <c r="M98" s="48" t="n">
        <f aca="false">M$82</f>
        <v>8959.98771891781</v>
      </c>
      <c r="N98" s="48" t="n">
        <f aca="false">N$82</f>
        <v>8959.98771891781</v>
      </c>
      <c r="O98" s="48" t="n">
        <f aca="false">O$82</f>
        <v>8959.98771891781</v>
      </c>
      <c r="P98" s="48" t="n">
        <f aca="false">P$82</f>
        <v>8959.98771891781</v>
      </c>
      <c r="Q98" s="48" t="n">
        <f aca="false">Q$82</f>
        <v>8959.98771891781</v>
      </c>
      <c r="R98" s="48" t="n">
        <f aca="false">R$82</f>
        <v>8959.98771891781</v>
      </c>
      <c r="S98" s="48" t="n">
        <f aca="false">S$82</f>
        <v>8959.98771891781</v>
      </c>
      <c r="T98" s="48" t="n">
        <f aca="false">T$82</f>
        <v>8959.98771891781</v>
      </c>
      <c r="U98" s="48" t="n">
        <f aca="false">U$82</f>
        <v>8959.98771891781</v>
      </c>
      <c r="V98" s="48" t="n">
        <f aca="false">V$82</f>
        <v>8959.98771891781</v>
      </c>
      <c r="W98" s="48" t="n">
        <f aca="false">W$82</f>
        <v>8959.98771891781</v>
      </c>
      <c r="X98" s="48" t="n">
        <f aca="false">X$82</f>
        <v>8959.98771891781</v>
      </c>
      <c r="Y98" s="48" t="n">
        <f aca="false">Y$82</f>
        <v>8959.98771891781</v>
      </c>
      <c r="Z98" s="48" t="n">
        <f aca="false">Z$82</f>
        <v>8959.98771891781</v>
      </c>
      <c r="AA98" s="48" t="n">
        <f aca="false">AA$82</f>
        <v>8959.98771891781</v>
      </c>
      <c r="AB98" s="48" t="n">
        <f aca="false">AB$82</f>
        <v>8959.98771891781</v>
      </c>
      <c r="AC98" s="48" t="n">
        <f aca="false">AC$82</f>
        <v>8959.98771891781</v>
      </c>
      <c r="AD98" s="48" t="n">
        <f aca="false">AD$82</f>
        <v>8959.98771891781</v>
      </c>
      <c r="AE98" s="48" t="n">
        <f aca="false">AE$82</f>
        <v>8959.98771891781</v>
      </c>
      <c r="AF98" s="48" t="n">
        <f aca="false">AF$82</f>
        <v>8959.98771891781</v>
      </c>
      <c r="AG98" s="48" t="n">
        <f aca="false">AG$82</f>
        <v>8959.98771891781</v>
      </c>
      <c r="AH98" s="48" t="n">
        <f aca="false">AH$82</f>
        <v>8959.98771891781</v>
      </c>
      <c r="AI98" s="48" t="n">
        <f aca="false">AI$82</f>
        <v>8959.98771891781</v>
      </c>
      <c r="AJ98" s="48" t="n">
        <f aca="false">AJ$82</f>
        <v>8959.98771891781</v>
      </c>
      <c r="AK98" s="48" t="n">
        <f aca="false">AK$82</f>
        <v>8959.98771891781</v>
      </c>
      <c r="AL98" s="48" t="n">
        <f aca="false">AL$82</f>
        <v>8959.98771891781</v>
      </c>
      <c r="AM98" s="48" t="n">
        <f aca="false">AM$82</f>
        <v>8959.98771891781</v>
      </c>
      <c r="AN98" s="48" t="n">
        <f aca="false">AN$82</f>
        <v>8959.98771891781</v>
      </c>
      <c r="AO98" s="48" t="n">
        <f aca="false">AO$82</f>
        <v>8959.98771891781</v>
      </c>
      <c r="AP98" s="48" t="n">
        <f aca="false">AP$82</f>
        <v>8959.98771891781</v>
      </c>
      <c r="AQ98" s="48" t="n">
        <f aca="false">AQ$82</f>
        <v>8959.98771891781</v>
      </c>
      <c r="AR98" s="48" t="n">
        <f aca="false">AR$82</f>
        <v>8959.98771891781</v>
      </c>
      <c r="AS98" s="48" t="n">
        <f aca="false">AS$82</f>
        <v>8959.98771891781</v>
      </c>
      <c r="AT98" s="48" t="n">
        <f aca="false">AT$82</f>
        <v>8959.98771891781</v>
      </c>
      <c r="AU98" s="48" t="n">
        <f aca="false">AU$82</f>
        <v>8959.98771891781</v>
      </c>
      <c r="AV98" s="48" t="n">
        <f aca="false">AV$82</f>
        <v>8959.98771891781</v>
      </c>
      <c r="AW98" s="48" t="n">
        <f aca="false">AW$82</f>
        <v>8959.98771891781</v>
      </c>
      <c r="AX98" s="48" t="n">
        <f aca="false">AX$82</f>
        <v>8959.98771891781</v>
      </c>
      <c r="AY98" s="48" t="n">
        <f aca="false">AY$82</f>
        <v>8959.98771891781</v>
      </c>
      <c r="AZ98" s="48" t="n">
        <f aca="false">AZ$82</f>
        <v>8959.98771891781</v>
      </c>
      <c r="BA98" s="48" t="n">
        <f aca="false">BA$82</f>
        <v>8959.98771891781</v>
      </c>
      <c r="BB98" s="48" t="n">
        <f aca="false">BB$82</f>
        <v>8959.98771891781</v>
      </c>
      <c r="BC98" s="48" t="n">
        <f aca="false">BC$82</f>
        <v>8959.98771891781</v>
      </c>
      <c r="BD98" s="48" t="n">
        <f aca="false">BD$82</f>
        <v>8959.98771891781</v>
      </c>
      <c r="BE98" s="48" t="n">
        <f aca="false">BE$82</f>
        <v>8959.98771891781</v>
      </c>
      <c r="BF98" s="48" t="n">
        <f aca="false">BF$82</f>
        <v>8959.98771891781</v>
      </c>
      <c r="BG98" s="48" t="n">
        <f aca="false">BG$82</f>
        <v>8959.98771891781</v>
      </c>
      <c r="BH98" s="48" t="n">
        <f aca="false">BH$82</f>
        <v>8959.98771891781</v>
      </c>
      <c r="BI98" s="48" t="n">
        <f aca="false">BI$82</f>
        <v>8959.98771891781</v>
      </c>
      <c r="BJ98" s="48" t="n">
        <f aca="false">BJ$82</f>
        <v>8959.98771891781</v>
      </c>
      <c r="BK98" s="48" t="n">
        <f aca="false">BK$82</f>
        <v>8959.98771891781</v>
      </c>
      <c r="BL98" s="48" t="n">
        <f aca="false">BL$82</f>
        <v>8959.98771891781</v>
      </c>
      <c r="BM98" s="48" t="n">
        <f aca="false">BM$82</f>
        <v>8959.98771891781</v>
      </c>
      <c r="BN98" s="48" t="n">
        <f aca="false">BN$82</f>
        <v>8959.98771891781</v>
      </c>
      <c r="BO98" s="48" t="n">
        <f aca="false">BO$82</f>
        <v>8959.98771891781</v>
      </c>
      <c r="BP98" s="48" t="n">
        <f aca="false">BP$82</f>
        <v>8959.98771891781</v>
      </c>
      <c r="BQ98" s="48" t="n">
        <f aca="false">BQ$82</f>
        <v>8959.98771891781</v>
      </c>
      <c r="BR98" s="48" t="n">
        <f aca="false">BR$82</f>
        <v>8959.98771891781</v>
      </c>
      <c r="BS98" s="48" t="n">
        <f aca="false">BS$82</f>
        <v>8959.98771891781</v>
      </c>
      <c r="BT98" s="48" t="n">
        <f aca="false">BT$82</f>
        <v>8959.98771891781</v>
      </c>
      <c r="BU98" s="48" t="n">
        <f aca="false">BU$82</f>
        <v>8959.98771891781</v>
      </c>
      <c r="BV98" s="48" t="n">
        <f aca="false">BV$82</f>
        <v>8959.98771891781</v>
      </c>
      <c r="BW98" s="48" t="n">
        <f aca="false">BW$82</f>
        <v>8959.98771891781</v>
      </c>
      <c r="BX98" s="48" t="n">
        <f aca="false">BX$82</f>
        <v>8959.98771891781</v>
      </c>
      <c r="BY98" s="48" t="n">
        <f aca="false">BY$82</f>
        <v>8959.98771891781</v>
      </c>
      <c r="BZ98" s="48" t="n">
        <f aca="false">BZ$82</f>
        <v>8959.98771891781</v>
      </c>
      <c r="CA98" s="48" t="n">
        <f aca="false">CA$82</f>
        <v>8959.98771891781</v>
      </c>
      <c r="CB98" s="48" t="n">
        <f aca="false">CB$82</f>
        <v>8959.98771891781</v>
      </c>
      <c r="CC98" s="48" t="n">
        <f aca="false">CC$82</f>
        <v>8959.98771891781</v>
      </c>
      <c r="CD98" s="48" t="n">
        <f aca="false">CD$82</f>
        <v>8959.98771891781</v>
      </c>
      <c r="CE98" s="48" t="n">
        <f aca="false">CE$82</f>
        <v>8959.98771891781</v>
      </c>
      <c r="CF98" s="48" t="n">
        <f aca="false">CF$82</f>
        <v>8959.98771891781</v>
      </c>
      <c r="CG98" s="48" t="n">
        <f aca="false">CG$82</f>
        <v>8959.98771891781</v>
      </c>
      <c r="CH98" s="48" t="n">
        <f aca="false">CH$82</f>
        <v>8959.98771891781</v>
      </c>
      <c r="CI98" s="48" t="n">
        <f aca="false">CI$82</f>
        <v>8959.98771891781</v>
      </c>
      <c r="CJ98" s="48" t="n">
        <f aca="false">CJ$82</f>
        <v>8959.98771891781</v>
      </c>
      <c r="CK98" s="48" t="n">
        <f aca="false">CK$82</f>
        <v>8959.98771891781</v>
      </c>
      <c r="CL98" s="48" t="n">
        <f aca="false">CL$82</f>
        <v>8959.98771891781</v>
      </c>
      <c r="CM98" s="48" t="n">
        <f aca="false">CM$82</f>
        <v>8959.98771891781</v>
      </c>
      <c r="CN98" s="48" t="n">
        <f aca="false">CN$82</f>
        <v>8959.98771891781</v>
      </c>
      <c r="CO98" s="48" t="n">
        <f aca="false">CO$82</f>
        <v>8959.98771891781</v>
      </c>
      <c r="CP98" s="48" t="n">
        <f aca="false">CP$82</f>
        <v>8959.98771891781</v>
      </c>
      <c r="CQ98" s="48" t="n">
        <f aca="false">CQ$82</f>
        <v>8959.98771891781</v>
      </c>
      <c r="CR98" s="48" t="n">
        <f aca="false">CR$82</f>
        <v>8959.98771891781</v>
      </c>
      <c r="CS98" s="48" t="n">
        <f aca="false">CS$82</f>
        <v>8959.98771891781</v>
      </c>
      <c r="CT98" s="48" t="n">
        <f aca="false">CT$82</f>
        <v>8959.98771891781</v>
      </c>
      <c r="CU98" s="48" t="n">
        <f aca="false">CU$82</f>
        <v>8959.98771891781</v>
      </c>
      <c r="CV98" s="48" t="n">
        <f aca="false">CV$82</f>
        <v>8959.98771891781</v>
      </c>
      <c r="CW98" s="48" t="n">
        <f aca="false">CW$82</f>
        <v>8959.98771891781</v>
      </c>
      <c r="CX98" s="48" t="n">
        <f aca="false">CX$82</f>
        <v>8959.98771891781</v>
      </c>
      <c r="CY98" s="48" t="n">
        <f aca="false">CY$82</f>
        <v>8959.98771891781</v>
      </c>
      <c r="CZ98" s="48" t="n">
        <f aca="false">CZ$82</f>
        <v>8959.98771891781</v>
      </c>
      <c r="DA98" s="48" t="n">
        <f aca="false">DA$82</f>
        <v>8959.98771891781</v>
      </c>
      <c r="DB98" s="48" t="n">
        <f aca="false">DB$82</f>
        <v>8959.98771891781</v>
      </c>
      <c r="DC98" s="48" t="n">
        <f aca="false">DC$82</f>
        <v>8959.98771891781</v>
      </c>
      <c r="DD98" s="48" t="n">
        <f aca="false">DD$82</f>
        <v>8959.98771891781</v>
      </c>
      <c r="DE98" s="48" t="n">
        <f aca="false">DE$82</f>
        <v>8959.98771891781</v>
      </c>
      <c r="DF98" s="48" t="n">
        <f aca="false">DF$82</f>
        <v>8959.98771891781</v>
      </c>
      <c r="DG98" s="48" t="n">
        <f aca="false">DG$82</f>
        <v>8959.98771891781</v>
      </c>
      <c r="DH98" s="48" t="n">
        <f aca="false">DH$82</f>
        <v>8959.98771891781</v>
      </c>
      <c r="DI98" s="48" t="n">
        <f aca="false">DI$82</f>
        <v>8959.98771891781</v>
      </c>
      <c r="DJ98" s="48" t="n">
        <f aca="false">DJ$82</f>
        <v>8959.98771891781</v>
      </c>
      <c r="DK98" s="48" t="n">
        <f aca="false">DK$82</f>
        <v>8959.98771891781</v>
      </c>
      <c r="DL98" s="48" t="n">
        <f aca="false">DL$82</f>
        <v>8959.98771891781</v>
      </c>
      <c r="DM98" s="48" t="n">
        <f aca="false">DM$82</f>
        <v>8959.98771891781</v>
      </c>
      <c r="DN98" s="48" t="n">
        <f aca="false">DN$82</f>
        <v>8959.98771891781</v>
      </c>
      <c r="DO98" s="48" t="n">
        <f aca="false">DO$82</f>
        <v>8959.98771891781</v>
      </c>
      <c r="DP98" s="48" t="n">
        <f aca="false">DP$82</f>
        <v>8959.98771891781</v>
      </c>
      <c r="DQ98" s="48" t="n">
        <f aca="false">DQ$82</f>
        <v>8959.98771891781</v>
      </c>
      <c r="DR98" s="48" t="n">
        <f aca="false">DR$82</f>
        <v>8959.98771891781</v>
      </c>
      <c r="DS98" s="48" t="n">
        <f aca="false">DS$82</f>
        <v>8959.98771891781</v>
      </c>
      <c r="DT98" s="48" t="n">
        <f aca="false">DT$82</f>
        <v>8959.98771891781</v>
      </c>
      <c r="DU98" s="48" t="n">
        <f aca="false">DU$82</f>
        <v>8959.98771891781</v>
      </c>
      <c r="DV98" s="48" t="n">
        <f aca="false">DV$82</f>
        <v>0</v>
      </c>
      <c r="DW98" s="48" t="n">
        <f aca="false">DW$82</f>
        <v>0</v>
      </c>
      <c r="DX98" s="48" t="n">
        <f aca="false">DX$82</f>
        <v>0</v>
      </c>
      <c r="DY98" s="48" t="n">
        <f aca="false">DY$82</f>
        <v>0</v>
      </c>
      <c r="DZ98" s="48" t="n">
        <f aca="false">DZ$82</f>
        <v>0</v>
      </c>
      <c r="EA98" s="48" t="n">
        <f aca="false">EA$82</f>
        <v>0</v>
      </c>
      <c r="EB98" s="48" t="n">
        <f aca="false">EB$82</f>
        <v>0</v>
      </c>
      <c r="EC98" s="48" t="n">
        <f aca="false">EC$82</f>
        <v>0</v>
      </c>
      <c r="ED98" s="48" t="n">
        <f aca="false">ED$82</f>
        <v>0</v>
      </c>
      <c r="EE98" s="48" t="n">
        <f aca="false">EE$82</f>
        <v>0</v>
      </c>
      <c r="EF98" s="48" t="n">
        <f aca="false">EF$82</f>
        <v>0</v>
      </c>
      <c r="EG98" s="48" t="n">
        <f aca="false">EG$82</f>
        <v>0</v>
      </c>
      <c r="EH98" s="48" t="n">
        <f aca="false">EH$82</f>
        <v>0</v>
      </c>
      <c r="EI98" s="48" t="n">
        <f aca="false">EI$82</f>
        <v>0</v>
      </c>
      <c r="EJ98" s="48" t="n">
        <f aca="false">EJ$82</f>
        <v>0</v>
      </c>
      <c r="EK98" s="48" t="n">
        <f aca="false">EK$82</f>
        <v>0</v>
      </c>
      <c r="EL98" s="48" t="n">
        <f aca="false">EL$82</f>
        <v>0</v>
      </c>
      <c r="EM98" s="48" t="n">
        <f aca="false">EM$82</f>
        <v>0</v>
      </c>
      <c r="EN98" s="48" t="n">
        <f aca="false">EN$82</f>
        <v>0</v>
      </c>
      <c r="EO98" s="48" t="n">
        <f aca="false">EO$82</f>
        <v>0</v>
      </c>
      <c r="EP98" s="48" t="n">
        <f aca="false">EP$82</f>
        <v>0</v>
      </c>
      <c r="EQ98" s="48" t="n">
        <f aca="false">EQ$82</f>
        <v>0</v>
      </c>
      <c r="ER98" s="48" t="n">
        <f aca="false">ER$82</f>
        <v>0</v>
      </c>
      <c r="ES98" s="48" t="n">
        <f aca="false">ES$82</f>
        <v>0</v>
      </c>
    </row>
    <row r="99" customFormat="false" ht="15" hidden="false" customHeight="false" outlineLevel="0" collapsed="false">
      <c r="A99" s="11" t="s">
        <v>1169</v>
      </c>
      <c r="B99" s="15" t="s">
        <v>1170</v>
      </c>
      <c r="C99" s="15" t="s">
        <v>508</v>
      </c>
      <c r="E99" s="54" t="n">
        <f aca="false">SUM(F99:ES99)</f>
        <v>3143993.45458867</v>
      </c>
      <c r="F99" s="48" t="n">
        <f aca="false">F$87+F$90</f>
        <v>23597.3144270418</v>
      </c>
      <c r="G99" s="48" t="n">
        <f aca="false">G$87+G$90</f>
        <v>23597.3144270418</v>
      </c>
      <c r="H99" s="48" t="n">
        <f aca="false">H$87+H$90</f>
        <v>23597.3144270418</v>
      </c>
      <c r="I99" s="48" t="n">
        <f aca="false">I$87+I$90</f>
        <v>23597.3144270418</v>
      </c>
      <c r="J99" s="48" t="n">
        <f aca="false">J$87+J$90</f>
        <v>23597.3144270418</v>
      </c>
      <c r="K99" s="48" t="n">
        <f aca="false">K$87+K$90</f>
        <v>23597.3144270418</v>
      </c>
      <c r="L99" s="48" t="n">
        <f aca="false">L$87+L$90</f>
        <v>23597.3144270418</v>
      </c>
      <c r="M99" s="48" t="n">
        <f aca="false">M$87+M$90</f>
        <v>23597.3144270418</v>
      </c>
      <c r="N99" s="48" t="n">
        <f aca="false">N$87+N$90</f>
        <v>23597.3144270418</v>
      </c>
      <c r="O99" s="48" t="n">
        <f aca="false">O$87+O$90</f>
        <v>23597.3144270418</v>
      </c>
      <c r="P99" s="48" t="n">
        <f aca="false">P$87+P$90</f>
        <v>23597.3144270418</v>
      </c>
      <c r="Q99" s="48" t="n">
        <f aca="false">Q$87+Q$90</f>
        <v>23597.3144270418</v>
      </c>
      <c r="R99" s="48" t="n">
        <f aca="false">R$87+R$90</f>
        <v>24130.6844270418</v>
      </c>
      <c r="S99" s="48" t="n">
        <f aca="false">S$87+S$90</f>
        <v>24130.6844270418</v>
      </c>
      <c r="T99" s="48" t="n">
        <f aca="false">T$87+T$90</f>
        <v>24130.6844270418</v>
      </c>
      <c r="U99" s="48" t="n">
        <f aca="false">U$87+U$90</f>
        <v>24130.6844270418</v>
      </c>
      <c r="V99" s="48" t="n">
        <f aca="false">V$87+V$90</f>
        <v>24130.6844270418</v>
      </c>
      <c r="W99" s="48" t="n">
        <f aca="false">W$87+W$90</f>
        <v>24130.6844270418</v>
      </c>
      <c r="X99" s="48" t="n">
        <f aca="false">X$87+X$90</f>
        <v>24130.6844270418</v>
      </c>
      <c r="Y99" s="48" t="n">
        <f aca="false">Y$87+Y$90</f>
        <v>24130.6844270418</v>
      </c>
      <c r="Z99" s="48" t="n">
        <f aca="false">Z$87+Z$90</f>
        <v>24130.6844270418</v>
      </c>
      <c r="AA99" s="48" t="n">
        <f aca="false">AA$87+AA$90</f>
        <v>24130.6844270418</v>
      </c>
      <c r="AB99" s="48" t="n">
        <f aca="false">AB$87+AB$90</f>
        <v>24130.6844270418</v>
      </c>
      <c r="AC99" s="48" t="n">
        <f aca="false">AC$87+AC$90</f>
        <v>24130.6844270418</v>
      </c>
      <c r="AD99" s="48" t="n">
        <f aca="false">AD$87+AD$90</f>
        <v>24680.0555270418</v>
      </c>
      <c r="AE99" s="48" t="n">
        <f aca="false">AE$87+AE$90</f>
        <v>24680.0555270418</v>
      </c>
      <c r="AF99" s="48" t="n">
        <f aca="false">AF$87+AF$90</f>
        <v>24680.0555270418</v>
      </c>
      <c r="AG99" s="48" t="n">
        <f aca="false">AG$87+AG$90</f>
        <v>24680.0555270418</v>
      </c>
      <c r="AH99" s="48" t="n">
        <f aca="false">AH$87+AH$90</f>
        <v>24680.0555270418</v>
      </c>
      <c r="AI99" s="48" t="n">
        <f aca="false">AI$87+AI$90</f>
        <v>24680.0555270418</v>
      </c>
      <c r="AJ99" s="48" t="n">
        <f aca="false">AJ$87+AJ$90</f>
        <v>24680.0555270418</v>
      </c>
      <c r="AK99" s="48" t="n">
        <f aca="false">AK$87+AK$90</f>
        <v>24680.0555270418</v>
      </c>
      <c r="AL99" s="48" t="n">
        <f aca="false">AL$87+AL$90</f>
        <v>24680.0555270418</v>
      </c>
      <c r="AM99" s="48" t="n">
        <f aca="false">AM$87+AM$90</f>
        <v>24680.0555270418</v>
      </c>
      <c r="AN99" s="48" t="n">
        <f aca="false">AN$87+AN$90</f>
        <v>24680.0555270418</v>
      </c>
      <c r="AO99" s="48" t="n">
        <f aca="false">AO$87+AO$90</f>
        <v>24680.0555270418</v>
      </c>
      <c r="AP99" s="48" t="n">
        <f aca="false">AP$87+AP$90</f>
        <v>25245.9077600418</v>
      </c>
      <c r="AQ99" s="48" t="n">
        <f aca="false">AQ$87+AQ$90</f>
        <v>25245.9077600418</v>
      </c>
      <c r="AR99" s="48" t="n">
        <f aca="false">AR$87+AR$90</f>
        <v>25245.9077600418</v>
      </c>
      <c r="AS99" s="48" t="n">
        <f aca="false">AS$87+AS$90</f>
        <v>25245.9077600418</v>
      </c>
      <c r="AT99" s="48" t="n">
        <f aca="false">AT$87+AT$90</f>
        <v>25245.9077600418</v>
      </c>
      <c r="AU99" s="48" t="n">
        <f aca="false">AU$87+AU$90</f>
        <v>25245.9077600418</v>
      </c>
      <c r="AV99" s="48" t="n">
        <f aca="false">AV$87+AV$90</f>
        <v>25245.9077600418</v>
      </c>
      <c r="AW99" s="48" t="n">
        <f aca="false">AW$87+AW$90</f>
        <v>25245.9077600418</v>
      </c>
      <c r="AX99" s="48" t="n">
        <f aca="false">AX$87+AX$90</f>
        <v>25245.9077600418</v>
      </c>
      <c r="AY99" s="48" t="n">
        <f aca="false">AY$87+AY$90</f>
        <v>25245.9077600418</v>
      </c>
      <c r="AZ99" s="48" t="n">
        <f aca="false">AZ$87+AZ$90</f>
        <v>25245.9077600418</v>
      </c>
      <c r="BA99" s="48" t="n">
        <f aca="false">BA$87+BA$90</f>
        <v>25245.9077600418</v>
      </c>
      <c r="BB99" s="48" t="n">
        <f aca="false">BB$87+BB$90</f>
        <v>25828.7355600318</v>
      </c>
      <c r="BC99" s="48" t="n">
        <f aca="false">BC$87+BC$90</f>
        <v>25828.7355600318</v>
      </c>
      <c r="BD99" s="48" t="n">
        <f aca="false">BD$87+BD$90</f>
        <v>25828.7355600318</v>
      </c>
      <c r="BE99" s="48" t="n">
        <f aca="false">BE$87+BE$90</f>
        <v>25828.7355600318</v>
      </c>
      <c r="BF99" s="48" t="n">
        <f aca="false">BF$87+BF$90</f>
        <v>25828.7355600318</v>
      </c>
      <c r="BG99" s="48" t="n">
        <f aca="false">BG$87+BG$90</f>
        <v>25828.7355600318</v>
      </c>
      <c r="BH99" s="48" t="n">
        <f aca="false">BH$87+BH$90</f>
        <v>25828.7355600318</v>
      </c>
      <c r="BI99" s="48" t="n">
        <f aca="false">BI$87+BI$90</f>
        <v>25828.7355600318</v>
      </c>
      <c r="BJ99" s="48" t="n">
        <f aca="false">BJ$87+BJ$90</f>
        <v>25828.7355600318</v>
      </c>
      <c r="BK99" s="48" t="n">
        <f aca="false">BK$87+BK$90</f>
        <v>25828.7355600318</v>
      </c>
      <c r="BL99" s="48" t="n">
        <f aca="false">BL$87+BL$90</f>
        <v>25828.7355600318</v>
      </c>
      <c r="BM99" s="48" t="n">
        <f aca="false">BM$87+BM$90</f>
        <v>25828.7355600318</v>
      </c>
      <c r="BN99" s="48" t="n">
        <f aca="false">BN$87+BN$90</f>
        <v>26429.0481940215</v>
      </c>
      <c r="BO99" s="48" t="n">
        <f aca="false">BO$87+BO$90</f>
        <v>26429.0481940215</v>
      </c>
      <c r="BP99" s="48" t="n">
        <f aca="false">BP$87+BP$90</f>
        <v>26429.0481940215</v>
      </c>
      <c r="BQ99" s="48" t="n">
        <f aca="false">BQ$87+BQ$90</f>
        <v>26429.0481940215</v>
      </c>
      <c r="BR99" s="48" t="n">
        <f aca="false">BR$87+BR$90</f>
        <v>26429.0481940215</v>
      </c>
      <c r="BS99" s="48" t="n">
        <f aca="false">BS$87+BS$90</f>
        <v>26429.0481940215</v>
      </c>
      <c r="BT99" s="48" t="n">
        <f aca="false">BT$87+BT$90</f>
        <v>26429.0481940215</v>
      </c>
      <c r="BU99" s="48" t="n">
        <f aca="false">BU$87+BU$90</f>
        <v>26429.0481940215</v>
      </c>
      <c r="BV99" s="48" t="n">
        <f aca="false">BV$87+BV$90</f>
        <v>26429.0481940215</v>
      </c>
      <c r="BW99" s="48" t="n">
        <f aca="false">BW$87+BW$90</f>
        <v>26429.0481940215</v>
      </c>
      <c r="BX99" s="48" t="n">
        <f aca="false">BX$87+BX$90</f>
        <v>26429.0481940215</v>
      </c>
      <c r="BY99" s="48" t="n">
        <f aca="false">BY$87+BY$90</f>
        <v>26429.0481940215</v>
      </c>
      <c r="BZ99" s="48" t="n">
        <f aca="false">BZ$87+BZ$90</f>
        <v>27047.3702070309</v>
      </c>
      <c r="CA99" s="48" t="n">
        <f aca="false">CA$87+CA$90</f>
        <v>27047.3702070309</v>
      </c>
      <c r="CB99" s="48" t="n">
        <f aca="false">CB$87+CB$90</f>
        <v>27047.3702070309</v>
      </c>
      <c r="CC99" s="48" t="n">
        <f aca="false">CC$87+CC$90</f>
        <v>27047.3702070309</v>
      </c>
      <c r="CD99" s="48" t="n">
        <f aca="false">CD$87+CD$90</f>
        <v>27047.3702070309</v>
      </c>
      <c r="CE99" s="48" t="n">
        <f aca="false">CE$87+CE$90</f>
        <v>27047.3702070309</v>
      </c>
      <c r="CF99" s="48" t="n">
        <f aca="false">CF$87+CF$90</f>
        <v>27047.3702070309</v>
      </c>
      <c r="CG99" s="48" t="n">
        <f aca="false">CG$87+CG$90</f>
        <v>27047.3702070309</v>
      </c>
      <c r="CH99" s="48" t="n">
        <f aca="false">CH$87+CH$90</f>
        <v>27047.3702070309</v>
      </c>
      <c r="CI99" s="48" t="n">
        <f aca="false">CI$87+CI$90</f>
        <v>27047.3702070309</v>
      </c>
      <c r="CJ99" s="48" t="n">
        <f aca="false">CJ$87+CJ$90</f>
        <v>27047.3702070309</v>
      </c>
      <c r="CK99" s="48" t="n">
        <f aca="false">CK$87+CK$90</f>
        <v>27047.3702070309</v>
      </c>
      <c r="CL99" s="48" t="n">
        <f aca="false">CL$87+CL$90</f>
        <v>27684.2418804306</v>
      </c>
      <c r="CM99" s="48" t="n">
        <f aca="false">CM$87+CM$90</f>
        <v>27684.2418804306</v>
      </c>
      <c r="CN99" s="48" t="n">
        <f aca="false">CN$87+CN$90</f>
        <v>27684.2418804306</v>
      </c>
      <c r="CO99" s="48" t="n">
        <f aca="false">CO$87+CO$90</f>
        <v>27684.2418804306</v>
      </c>
      <c r="CP99" s="48" t="n">
        <f aca="false">CP$87+CP$90</f>
        <v>27684.2418804306</v>
      </c>
      <c r="CQ99" s="48" t="n">
        <f aca="false">CQ$87+CQ$90</f>
        <v>27684.2418804306</v>
      </c>
      <c r="CR99" s="48" t="n">
        <f aca="false">CR$87+CR$90</f>
        <v>27684.2418804306</v>
      </c>
      <c r="CS99" s="48" t="n">
        <f aca="false">CS$87+CS$90</f>
        <v>27684.2418804306</v>
      </c>
      <c r="CT99" s="48" t="n">
        <f aca="false">CT$87+CT$90</f>
        <v>27684.2418804306</v>
      </c>
      <c r="CU99" s="48" t="n">
        <f aca="false">CU$87+CU$90</f>
        <v>27684.2418804306</v>
      </c>
      <c r="CV99" s="48" t="n">
        <f aca="false">CV$87+CV$90</f>
        <v>27684.2418804306</v>
      </c>
      <c r="CW99" s="48" t="n">
        <f aca="false">CW$87+CW$90</f>
        <v>27684.2418804306</v>
      </c>
      <c r="CX99" s="48" t="n">
        <f aca="false">CX$87+CX$90</f>
        <v>28340.2197040322</v>
      </c>
      <c r="CY99" s="48" t="n">
        <f aca="false">CY$87+CY$90</f>
        <v>28340.2197040322</v>
      </c>
      <c r="CZ99" s="48" t="n">
        <f aca="false">CZ$87+CZ$90</f>
        <v>28340.2197040322</v>
      </c>
      <c r="DA99" s="48" t="n">
        <f aca="false">DA$87+DA$90</f>
        <v>28340.2197040322</v>
      </c>
      <c r="DB99" s="48" t="n">
        <f aca="false">DB$87+DB$90</f>
        <v>28340.2197040322</v>
      </c>
      <c r="DC99" s="48" t="n">
        <f aca="false">DC$87+DC$90</f>
        <v>28340.2197040322</v>
      </c>
      <c r="DD99" s="48" t="n">
        <f aca="false">DD$87+DD$90</f>
        <v>28340.2197040322</v>
      </c>
      <c r="DE99" s="48" t="n">
        <f aca="false">DE$87+DE$90</f>
        <v>28340.2197040322</v>
      </c>
      <c r="DF99" s="48" t="n">
        <f aca="false">DF$87+DF$90</f>
        <v>28340.2197040322</v>
      </c>
      <c r="DG99" s="48" t="n">
        <f aca="false">DG$87+DG$90</f>
        <v>28340.2197040322</v>
      </c>
      <c r="DH99" s="48" t="n">
        <f aca="false">DH$87+DH$90</f>
        <v>28340.2197040322</v>
      </c>
      <c r="DI99" s="48" t="n">
        <f aca="false">DI$87+DI$90</f>
        <v>28340.2197040322</v>
      </c>
      <c r="DJ99" s="48" t="n">
        <f aca="false">DJ$87+DJ$90</f>
        <v>29015.8768623419</v>
      </c>
      <c r="DK99" s="48" t="n">
        <f aca="false">DK$87+DK$90</f>
        <v>29015.8768623419</v>
      </c>
      <c r="DL99" s="48" t="n">
        <f aca="false">DL$87+DL$90</f>
        <v>29015.8768623419</v>
      </c>
      <c r="DM99" s="48" t="n">
        <f aca="false">DM$87+DM$90</f>
        <v>29015.8768623419</v>
      </c>
      <c r="DN99" s="48" t="n">
        <f aca="false">DN$87+DN$90</f>
        <v>29015.8768623419</v>
      </c>
      <c r="DO99" s="48" t="n">
        <f aca="false">DO$87+DO$90</f>
        <v>29015.8768623419</v>
      </c>
      <c r="DP99" s="48" t="n">
        <f aca="false">DP$87+DP$90</f>
        <v>29015.8768623419</v>
      </c>
      <c r="DQ99" s="48" t="n">
        <f aca="false">DQ$87+DQ$90</f>
        <v>29015.8768623419</v>
      </c>
      <c r="DR99" s="48" t="n">
        <f aca="false">DR$87+DR$90</f>
        <v>29015.8768623419</v>
      </c>
      <c r="DS99" s="48" t="n">
        <f aca="false">DS$87+DS$90</f>
        <v>29015.8768623419</v>
      </c>
      <c r="DT99" s="48" t="n">
        <f aca="false">DT$87+DT$90</f>
        <v>29015.8768623419</v>
      </c>
      <c r="DU99" s="48" t="n">
        <f aca="false">DU$87+DU$90</f>
        <v>29015.8768623419</v>
      </c>
      <c r="DV99" s="48" t="n">
        <f aca="false">DV$87+DV$90</f>
        <v>0</v>
      </c>
      <c r="DW99" s="48" t="n">
        <f aca="false">DW$87+DW$90</f>
        <v>0</v>
      </c>
      <c r="DX99" s="48" t="n">
        <f aca="false">DX$87+DX$90</f>
        <v>0</v>
      </c>
      <c r="DY99" s="48" t="n">
        <f aca="false">DY$87+DY$90</f>
        <v>0</v>
      </c>
      <c r="DZ99" s="48" t="n">
        <f aca="false">DZ$87+DZ$90</f>
        <v>0</v>
      </c>
      <c r="EA99" s="48" t="n">
        <f aca="false">EA$87+EA$90</f>
        <v>0</v>
      </c>
      <c r="EB99" s="48" t="n">
        <f aca="false">EB$87+EB$90</f>
        <v>0</v>
      </c>
      <c r="EC99" s="48" t="n">
        <f aca="false">EC$87+EC$90</f>
        <v>0</v>
      </c>
      <c r="ED99" s="48" t="n">
        <f aca="false">ED$87+ED$90</f>
        <v>0</v>
      </c>
      <c r="EE99" s="48" t="n">
        <f aca="false">EE$87+EE$90</f>
        <v>0</v>
      </c>
      <c r="EF99" s="48" t="n">
        <f aca="false">EF$87+EF$90</f>
        <v>0</v>
      </c>
      <c r="EG99" s="48" t="n">
        <f aca="false">EG$87+EG$90</f>
        <v>0</v>
      </c>
      <c r="EH99" s="48" t="n">
        <f aca="false">EH$87+EH$90</f>
        <v>0</v>
      </c>
      <c r="EI99" s="48" t="n">
        <f aca="false">EI$87+EI$90</f>
        <v>0</v>
      </c>
      <c r="EJ99" s="48" t="n">
        <f aca="false">EJ$87+EJ$90</f>
        <v>0</v>
      </c>
      <c r="EK99" s="48" t="n">
        <f aca="false">EK$87+EK$90</f>
        <v>0</v>
      </c>
      <c r="EL99" s="48" t="n">
        <f aca="false">EL$87+EL$90</f>
        <v>0</v>
      </c>
      <c r="EM99" s="48" t="n">
        <f aca="false">EM$87+EM$90</f>
        <v>0</v>
      </c>
      <c r="EN99" s="48" t="n">
        <f aca="false">EN$87+EN$90</f>
        <v>0</v>
      </c>
      <c r="EO99" s="48" t="n">
        <f aca="false">EO$87+EO$90</f>
        <v>0</v>
      </c>
      <c r="EP99" s="48" t="n">
        <f aca="false">EP$87+EP$90</f>
        <v>0</v>
      </c>
      <c r="EQ99" s="48" t="n">
        <f aca="false">EQ$87+EQ$90</f>
        <v>0</v>
      </c>
      <c r="ER99" s="48" t="n">
        <f aca="false">ER$87+ER$90</f>
        <v>0</v>
      </c>
      <c r="ES99" s="48" t="n">
        <f aca="false">ES$87+ES$90</f>
        <v>0</v>
      </c>
    </row>
    <row r="100" customFormat="false" ht="15" hidden="false" customHeight="false" outlineLevel="0" collapsed="false">
      <c r="A100" s="11" t="s">
        <v>1171</v>
      </c>
      <c r="B100" s="15" t="s">
        <v>1011</v>
      </c>
      <c r="C100" s="15" t="s">
        <v>508</v>
      </c>
      <c r="E100" s="54" t="n">
        <f aca="false">SUM(F100:ES100)</f>
        <v>812224.477216454</v>
      </c>
      <c r="F100" s="48" t="n">
        <f aca="false">F$85</f>
        <v>4041.66666666667</v>
      </c>
      <c r="G100" s="48" t="n">
        <f aca="false">G$85</f>
        <v>4041.66666666667</v>
      </c>
      <c r="H100" s="48" t="n">
        <f aca="false">H$85</f>
        <v>4041.66666666667</v>
      </c>
      <c r="I100" s="48" t="n">
        <f aca="false">I$85</f>
        <v>4041.66666666667</v>
      </c>
      <c r="J100" s="48" t="n">
        <f aca="false">J$85</f>
        <v>4041.66666666667</v>
      </c>
      <c r="K100" s="48" t="n">
        <f aca="false">K$85</f>
        <v>4041.66666666667</v>
      </c>
      <c r="L100" s="48" t="n">
        <f aca="false">L$85</f>
        <v>4041.66666666667</v>
      </c>
      <c r="M100" s="48" t="n">
        <f aca="false">M$85</f>
        <v>4041.66666666667</v>
      </c>
      <c r="N100" s="48" t="n">
        <f aca="false">N$85</f>
        <v>4041.66666666667</v>
      </c>
      <c r="O100" s="48" t="n">
        <f aca="false">O$85</f>
        <v>4041.66666666667</v>
      </c>
      <c r="P100" s="48" t="n">
        <f aca="false">P$85</f>
        <v>4041.66666666667</v>
      </c>
      <c r="Q100" s="48" t="n">
        <f aca="false">Q$85</f>
        <v>4041.66666666667</v>
      </c>
      <c r="R100" s="48" t="n">
        <f aca="false">R$85</f>
        <v>5151</v>
      </c>
      <c r="S100" s="48" t="n">
        <f aca="false">S$85</f>
        <v>5151</v>
      </c>
      <c r="T100" s="48" t="n">
        <f aca="false">T$85</f>
        <v>5151</v>
      </c>
      <c r="U100" s="48" t="n">
        <f aca="false">U$85</f>
        <v>5151</v>
      </c>
      <c r="V100" s="48" t="n">
        <f aca="false">V$85</f>
        <v>5151</v>
      </c>
      <c r="W100" s="48" t="n">
        <f aca="false">W$85</f>
        <v>5151</v>
      </c>
      <c r="X100" s="48" t="n">
        <f aca="false">X$85</f>
        <v>5151</v>
      </c>
      <c r="Y100" s="48" t="n">
        <f aca="false">Y$85</f>
        <v>5151</v>
      </c>
      <c r="Z100" s="48" t="n">
        <f aca="false">Z$85</f>
        <v>5151</v>
      </c>
      <c r="AA100" s="48" t="n">
        <f aca="false">AA$85</f>
        <v>5151</v>
      </c>
      <c r="AB100" s="48" t="n">
        <f aca="false">AB$85</f>
        <v>5151</v>
      </c>
      <c r="AC100" s="48" t="n">
        <f aca="false">AC$85</f>
        <v>5151</v>
      </c>
      <c r="AD100" s="48" t="n">
        <f aca="false">AD$85</f>
        <v>6282.11583333333</v>
      </c>
      <c r="AE100" s="48" t="n">
        <f aca="false">AE$85</f>
        <v>6282.11583333333</v>
      </c>
      <c r="AF100" s="48" t="n">
        <f aca="false">AF$85</f>
        <v>6282.11583333333</v>
      </c>
      <c r="AG100" s="48" t="n">
        <f aca="false">AG$85</f>
        <v>6282.11583333333</v>
      </c>
      <c r="AH100" s="48" t="n">
        <f aca="false">AH$85</f>
        <v>6282.11583333333</v>
      </c>
      <c r="AI100" s="48" t="n">
        <f aca="false">AI$85</f>
        <v>6282.11583333333</v>
      </c>
      <c r="AJ100" s="48" t="n">
        <f aca="false">AJ$85</f>
        <v>6282.11583333333</v>
      </c>
      <c r="AK100" s="48" t="n">
        <f aca="false">AK$85</f>
        <v>6282.11583333333</v>
      </c>
      <c r="AL100" s="48" t="n">
        <f aca="false">AL$85</f>
        <v>6282.11583333333</v>
      </c>
      <c r="AM100" s="48" t="n">
        <f aca="false">AM$85</f>
        <v>6282.11583333333</v>
      </c>
      <c r="AN100" s="48" t="n">
        <f aca="false">AN$85</f>
        <v>6282.11583333333</v>
      </c>
      <c r="AO100" s="48" t="n">
        <f aca="false">AO$85</f>
        <v>6282.11583333333</v>
      </c>
      <c r="AP100" s="48" t="n">
        <f aca="false">AP$85</f>
        <v>7237.864525</v>
      </c>
      <c r="AQ100" s="48" t="n">
        <f aca="false">AQ$85</f>
        <v>7237.864525</v>
      </c>
      <c r="AR100" s="48" t="n">
        <f aca="false">AR$85</f>
        <v>7237.864525</v>
      </c>
      <c r="AS100" s="48" t="n">
        <f aca="false">AS$85</f>
        <v>7237.864525</v>
      </c>
      <c r="AT100" s="48" t="n">
        <f aca="false">AT$85</f>
        <v>7237.864525</v>
      </c>
      <c r="AU100" s="48" t="n">
        <f aca="false">AU$85</f>
        <v>7237.864525</v>
      </c>
      <c r="AV100" s="48" t="n">
        <f aca="false">AV$85</f>
        <v>7237.864525</v>
      </c>
      <c r="AW100" s="48" t="n">
        <f aca="false">AW$85</f>
        <v>7237.864525</v>
      </c>
      <c r="AX100" s="48" t="n">
        <f aca="false">AX$85</f>
        <v>7237.864525</v>
      </c>
      <c r="AY100" s="48" t="n">
        <f aca="false">AY$85</f>
        <v>7237.864525</v>
      </c>
      <c r="AZ100" s="48" t="n">
        <f aca="false">AZ$85</f>
        <v>7237.864525</v>
      </c>
      <c r="BA100" s="48" t="n">
        <f aca="false">BA$85</f>
        <v>7237.864525</v>
      </c>
      <c r="BB100" s="48" t="n">
        <f aca="false">BB$85</f>
        <v>7310.24317025</v>
      </c>
      <c r="BC100" s="48" t="n">
        <f aca="false">BC$85</f>
        <v>7310.24317025</v>
      </c>
      <c r="BD100" s="48" t="n">
        <f aca="false">BD$85</f>
        <v>7310.24317025</v>
      </c>
      <c r="BE100" s="48" t="n">
        <f aca="false">BE$85</f>
        <v>7310.24317025</v>
      </c>
      <c r="BF100" s="48" t="n">
        <f aca="false">BF$85</f>
        <v>7310.24317025</v>
      </c>
      <c r="BG100" s="48" t="n">
        <f aca="false">BG$85</f>
        <v>7310.24317025</v>
      </c>
      <c r="BH100" s="48" t="n">
        <f aca="false">BH$85</f>
        <v>7310.24317025</v>
      </c>
      <c r="BI100" s="48" t="n">
        <f aca="false">BI$85</f>
        <v>7310.24317025</v>
      </c>
      <c r="BJ100" s="48" t="n">
        <f aca="false">BJ$85</f>
        <v>7310.24317025</v>
      </c>
      <c r="BK100" s="48" t="n">
        <f aca="false">BK$85</f>
        <v>7310.24317025</v>
      </c>
      <c r="BL100" s="48" t="n">
        <f aca="false">BL$85</f>
        <v>7310.24317025</v>
      </c>
      <c r="BM100" s="48" t="n">
        <f aca="false">BM$85</f>
        <v>7310.24317025</v>
      </c>
      <c r="BN100" s="48" t="n">
        <f aca="false">BN$85</f>
        <v>7383.3456019525</v>
      </c>
      <c r="BO100" s="48" t="n">
        <f aca="false">BO$85</f>
        <v>7383.3456019525</v>
      </c>
      <c r="BP100" s="48" t="n">
        <f aca="false">BP$85</f>
        <v>7383.3456019525</v>
      </c>
      <c r="BQ100" s="48" t="n">
        <f aca="false">BQ$85</f>
        <v>7383.3456019525</v>
      </c>
      <c r="BR100" s="48" t="n">
        <f aca="false">BR$85</f>
        <v>7383.3456019525</v>
      </c>
      <c r="BS100" s="48" t="n">
        <f aca="false">BS$85</f>
        <v>7383.3456019525</v>
      </c>
      <c r="BT100" s="48" t="n">
        <f aca="false">BT$85</f>
        <v>7383.3456019525</v>
      </c>
      <c r="BU100" s="48" t="n">
        <f aca="false">BU$85</f>
        <v>7383.3456019525</v>
      </c>
      <c r="BV100" s="48" t="n">
        <f aca="false">BV$85</f>
        <v>7383.3456019525</v>
      </c>
      <c r="BW100" s="48" t="n">
        <f aca="false">BW$85</f>
        <v>7383.3456019525</v>
      </c>
      <c r="BX100" s="48" t="n">
        <f aca="false">BX$85</f>
        <v>7383.3456019525</v>
      </c>
      <c r="BY100" s="48" t="n">
        <f aca="false">BY$85</f>
        <v>7383.3456019525</v>
      </c>
      <c r="BZ100" s="48" t="n">
        <f aca="false">BZ$85</f>
        <v>7457.17905797202</v>
      </c>
      <c r="CA100" s="48" t="n">
        <f aca="false">CA$85</f>
        <v>7457.17905797202</v>
      </c>
      <c r="CB100" s="48" t="n">
        <f aca="false">CB$85</f>
        <v>7457.17905797202</v>
      </c>
      <c r="CC100" s="48" t="n">
        <f aca="false">CC$85</f>
        <v>7457.17905797202</v>
      </c>
      <c r="CD100" s="48" t="n">
        <f aca="false">CD$85</f>
        <v>7457.17905797202</v>
      </c>
      <c r="CE100" s="48" t="n">
        <f aca="false">CE$85</f>
        <v>7457.17905797202</v>
      </c>
      <c r="CF100" s="48" t="n">
        <f aca="false">CF$85</f>
        <v>7457.17905797202</v>
      </c>
      <c r="CG100" s="48" t="n">
        <f aca="false">CG$85</f>
        <v>7457.17905797202</v>
      </c>
      <c r="CH100" s="48" t="n">
        <f aca="false">CH$85</f>
        <v>7457.17905797202</v>
      </c>
      <c r="CI100" s="48" t="n">
        <f aca="false">CI$85</f>
        <v>7457.17905797202</v>
      </c>
      <c r="CJ100" s="48" t="n">
        <f aca="false">CJ$85</f>
        <v>7457.17905797202</v>
      </c>
      <c r="CK100" s="48" t="n">
        <f aca="false">CK$85</f>
        <v>7457.17905797202</v>
      </c>
      <c r="CL100" s="48" t="n">
        <f aca="false">CL$85</f>
        <v>7531.75084855175</v>
      </c>
      <c r="CM100" s="48" t="n">
        <f aca="false">CM$85</f>
        <v>7531.75084855175</v>
      </c>
      <c r="CN100" s="48" t="n">
        <f aca="false">CN$85</f>
        <v>7531.75084855175</v>
      </c>
      <c r="CO100" s="48" t="n">
        <f aca="false">CO$85</f>
        <v>7531.75084855175</v>
      </c>
      <c r="CP100" s="48" t="n">
        <f aca="false">CP$85</f>
        <v>7531.75084855175</v>
      </c>
      <c r="CQ100" s="48" t="n">
        <f aca="false">CQ$85</f>
        <v>7531.75084855175</v>
      </c>
      <c r="CR100" s="48" t="n">
        <f aca="false">CR$85</f>
        <v>7531.75084855175</v>
      </c>
      <c r="CS100" s="48" t="n">
        <f aca="false">CS$85</f>
        <v>7531.75084855175</v>
      </c>
      <c r="CT100" s="48" t="n">
        <f aca="false">CT$85</f>
        <v>7531.75084855175</v>
      </c>
      <c r="CU100" s="48" t="n">
        <f aca="false">CU$85</f>
        <v>7531.75084855175</v>
      </c>
      <c r="CV100" s="48" t="n">
        <f aca="false">CV$85</f>
        <v>7531.75084855175</v>
      </c>
      <c r="CW100" s="48" t="n">
        <f aca="false">CW$85</f>
        <v>7531.75084855175</v>
      </c>
      <c r="CX100" s="48" t="n">
        <f aca="false">CX$85</f>
        <v>7607.06835703726</v>
      </c>
      <c r="CY100" s="48" t="n">
        <f aca="false">CY$85</f>
        <v>7607.06835703726</v>
      </c>
      <c r="CZ100" s="48" t="n">
        <f aca="false">CZ$85</f>
        <v>7607.06835703726</v>
      </c>
      <c r="DA100" s="48" t="n">
        <f aca="false">DA$85</f>
        <v>7607.06835703726</v>
      </c>
      <c r="DB100" s="48" t="n">
        <f aca="false">DB$85</f>
        <v>7607.06835703726</v>
      </c>
      <c r="DC100" s="48" t="n">
        <f aca="false">DC$85</f>
        <v>7607.06835703726</v>
      </c>
      <c r="DD100" s="48" t="n">
        <f aca="false">DD$85</f>
        <v>7607.06835703726</v>
      </c>
      <c r="DE100" s="48" t="n">
        <f aca="false">DE$85</f>
        <v>7607.06835703726</v>
      </c>
      <c r="DF100" s="48" t="n">
        <f aca="false">DF$85</f>
        <v>7607.06835703726</v>
      </c>
      <c r="DG100" s="48" t="n">
        <f aca="false">DG$85</f>
        <v>7607.06835703726</v>
      </c>
      <c r="DH100" s="48" t="n">
        <f aca="false">DH$85</f>
        <v>7607.06835703726</v>
      </c>
      <c r="DI100" s="48" t="n">
        <f aca="false">DI$85</f>
        <v>7607.06835703726</v>
      </c>
      <c r="DJ100" s="48" t="n">
        <f aca="false">DJ$85</f>
        <v>7683.13904060764</v>
      </c>
      <c r="DK100" s="48" t="n">
        <f aca="false">DK$85</f>
        <v>7683.13904060764</v>
      </c>
      <c r="DL100" s="48" t="n">
        <f aca="false">DL$85</f>
        <v>7683.13904060764</v>
      </c>
      <c r="DM100" s="48" t="n">
        <f aca="false">DM$85</f>
        <v>7683.13904060764</v>
      </c>
      <c r="DN100" s="48" t="n">
        <f aca="false">DN$85</f>
        <v>7683.13904060764</v>
      </c>
      <c r="DO100" s="48" t="n">
        <f aca="false">DO$85</f>
        <v>7683.13904060764</v>
      </c>
      <c r="DP100" s="48" t="n">
        <f aca="false">DP$85</f>
        <v>7683.13904060764</v>
      </c>
      <c r="DQ100" s="48" t="n">
        <f aca="false">DQ$85</f>
        <v>7683.13904060764</v>
      </c>
      <c r="DR100" s="48" t="n">
        <f aca="false">DR$85</f>
        <v>7683.13904060764</v>
      </c>
      <c r="DS100" s="48" t="n">
        <f aca="false">DS$85</f>
        <v>7683.13904060764</v>
      </c>
      <c r="DT100" s="48" t="n">
        <f aca="false">DT$85</f>
        <v>7683.13904060764</v>
      </c>
      <c r="DU100" s="48" t="n">
        <f aca="false">DU$85</f>
        <v>7683.13904060764</v>
      </c>
      <c r="DV100" s="48" t="n">
        <f aca="false">DV$85</f>
        <v>0</v>
      </c>
      <c r="DW100" s="48" t="n">
        <f aca="false">DW$85</f>
        <v>0</v>
      </c>
      <c r="DX100" s="48" t="n">
        <f aca="false">DX$85</f>
        <v>0</v>
      </c>
      <c r="DY100" s="48" t="n">
        <f aca="false">DY$85</f>
        <v>0</v>
      </c>
      <c r="DZ100" s="48" t="n">
        <f aca="false">DZ$85</f>
        <v>0</v>
      </c>
      <c r="EA100" s="48" t="n">
        <f aca="false">EA$85</f>
        <v>0</v>
      </c>
      <c r="EB100" s="48" t="n">
        <f aca="false">EB$85</f>
        <v>0</v>
      </c>
      <c r="EC100" s="48" t="n">
        <f aca="false">EC$85</f>
        <v>0</v>
      </c>
      <c r="ED100" s="48" t="n">
        <f aca="false">ED$85</f>
        <v>0</v>
      </c>
      <c r="EE100" s="48" t="n">
        <f aca="false">EE$85</f>
        <v>0</v>
      </c>
      <c r="EF100" s="48" t="n">
        <f aca="false">EF$85</f>
        <v>0</v>
      </c>
      <c r="EG100" s="48" t="n">
        <f aca="false">EG$85</f>
        <v>0</v>
      </c>
      <c r="EH100" s="48" t="n">
        <f aca="false">EH$85</f>
        <v>0</v>
      </c>
      <c r="EI100" s="48" t="n">
        <f aca="false">EI$85</f>
        <v>0</v>
      </c>
      <c r="EJ100" s="48" t="n">
        <f aca="false">EJ$85</f>
        <v>0</v>
      </c>
      <c r="EK100" s="48" t="n">
        <f aca="false">EK$85</f>
        <v>0</v>
      </c>
      <c r="EL100" s="48" t="n">
        <f aca="false">EL$85</f>
        <v>0</v>
      </c>
      <c r="EM100" s="48" t="n">
        <f aca="false">EM$85</f>
        <v>0</v>
      </c>
      <c r="EN100" s="48" t="n">
        <f aca="false">EN$85</f>
        <v>0</v>
      </c>
      <c r="EO100" s="48" t="n">
        <f aca="false">EO$85</f>
        <v>0</v>
      </c>
      <c r="EP100" s="48" t="n">
        <f aca="false">EP$85</f>
        <v>0</v>
      </c>
      <c r="EQ100" s="48" t="n">
        <f aca="false">EQ$85</f>
        <v>0</v>
      </c>
      <c r="ER100" s="48" t="n">
        <f aca="false">ER$85</f>
        <v>0</v>
      </c>
      <c r="ES100" s="48" t="n">
        <f aca="false">ES$85</f>
        <v>0</v>
      </c>
    </row>
    <row r="101" customFormat="false" ht="15" hidden="false" customHeight="false" outlineLevel="0" collapsed="false">
      <c r="A101" s="11" t="s">
        <v>1172</v>
      </c>
      <c r="B101" s="15" t="s">
        <v>1173</v>
      </c>
      <c r="C101" s="15" t="s">
        <v>508</v>
      </c>
      <c r="E101" s="54" t="n">
        <f aca="false">SUM(F101:ES101)</f>
        <v>0</v>
      </c>
      <c r="F101" s="48" t="n">
        <f aca="false">F$91*P_IVArec</f>
        <v>0</v>
      </c>
      <c r="G101" s="48" t="n">
        <f aca="false">G$91*P_IVArec</f>
        <v>0</v>
      </c>
      <c r="H101" s="48" t="n">
        <f aca="false">H$91*P_IVArec</f>
        <v>0</v>
      </c>
      <c r="I101" s="48" t="n">
        <f aca="false">I$91*P_IVArec</f>
        <v>0</v>
      </c>
      <c r="J101" s="48" t="n">
        <f aca="false">J$91*P_IVArec</f>
        <v>0</v>
      </c>
      <c r="K101" s="48" t="n">
        <f aca="false">K$91*P_IVArec</f>
        <v>0</v>
      </c>
      <c r="L101" s="48" t="n">
        <f aca="false">L$91*P_IVArec</f>
        <v>0</v>
      </c>
      <c r="M101" s="48" t="n">
        <f aca="false">M$91*P_IVArec</f>
        <v>0</v>
      </c>
      <c r="N101" s="48" t="n">
        <f aca="false">N$91*P_IVArec</f>
        <v>0</v>
      </c>
      <c r="O101" s="48" t="n">
        <f aca="false">O$91*P_IVArec</f>
        <v>0</v>
      </c>
      <c r="P101" s="48" t="n">
        <f aca="false">P$91*P_IVArec</f>
        <v>0</v>
      </c>
      <c r="Q101" s="48" t="n">
        <f aca="false">Q$91*P_IVArec</f>
        <v>0</v>
      </c>
      <c r="R101" s="48" t="n">
        <f aca="false">R$91*P_IVArec</f>
        <v>0</v>
      </c>
      <c r="S101" s="48" t="n">
        <f aca="false">S$91*P_IVArec</f>
        <v>0</v>
      </c>
      <c r="T101" s="48" t="n">
        <f aca="false">T$91*P_IVArec</f>
        <v>0</v>
      </c>
      <c r="U101" s="48" t="n">
        <f aca="false">U$91*P_IVArec</f>
        <v>0</v>
      </c>
      <c r="V101" s="48" t="n">
        <f aca="false">V$91*P_IVArec</f>
        <v>0</v>
      </c>
      <c r="W101" s="48" t="n">
        <f aca="false">W$91*P_IVArec</f>
        <v>0</v>
      </c>
      <c r="X101" s="48" t="n">
        <f aca="false">X$91*P_IVArec</f>
        <v>0</v>
      </c>
      <c r="Y101" s="48" t="n">
        <f aca="false">Y$91*P_IVArec</f>
        <v>0</v>
      </c>
      <c r="Z101" s="48" t="n">
        <f aca="false">Z$91*P_IVArec</f>
        <v>0</v>
      </c>
      <c r="AA101" s="48" t="n">
        <f aca="false">AA$91*P_IVArec</f>
        <v>0</v>
      </c>
      <c r="AB101" s="48" t="n">
        <f aca="false">AB$91*P_IVArec</f>
        <v>0</v>
      </c>
      <c r="AC101" s="48" t="n">
        <f aca="false">AC$91*P_IVArec</f>
        <v>0</v>
      </c>
      <c r="AD101" s="48" t="n">
        <f aca="false">AD$91*P_IVArec</f>
        <v>0</v>
      </c>
      <c r="AE101" s="48" t="n">
        <f aca="false">AE$91*P_IVArec</f>
        <v>0</v>
      </c>
      <c r="AF101" s="48" t="n">
        <f aca="false">AF$91*P_IVArec</f>
        <v>0</v>
      </c>
      <c r="AG101" s="48" t="n">
        <f aca="false">AG$91*P_IVArec</f>
        <v>0</v>
      </c>
      <c r="AH101" s="48" t="n">
        <f aca="false">AH$91*P_IVArec</f>
        <v>0</v>
      </c>
      <c r="AI101" s="48" t="n">
        <f aca="false">AI$91*P_IVArec</f>
        <v>0</v>
      </c>
      <c r="AJ101" s="48" t="n">
        <f aca="false">AJ$91*P_IVArec</f>
        <v>0</v>
      </c>
      <c r="AK101" s="48" t="n">
        <f aca="false">AK$91*P_IVArec</f>
        <v>0</v>
      </c>
      <c r="AL101" s="48" t="n">
        <f aca="false">AL$91*P_IVArec</f>
        <v>0</v>
      </c>
      <c r="AM101" s="48" t="n">
        <f aca="false">AM$91*P_IVArec</f>
        <v>0</v>
      </c>
      <c r="AN101" s="48" t="n">
        <f aca="false">AN$91*P_IVArec</f>
        <v>0</v>
      </c>
      <c r="AO101" s="48" t="n">
        <f aca="false">AO$91*P_IVArec</f>
        <v>0</v>
      </c>
      <c r="AP101" s="48" t="n">
        <f aca="false">AP$91*P_IVArec</f>
        <v>0</v>
      </c>
      <c r="AQ101" s="48" t="n">
        <f aca="false">AQ$91*P_IVArec</f>
        <v>0</v>
      </c>
      <c r="AR101" s="48" t="n">
        <f aca="false">AR$91*P_IVArec</f>
        <v>0</v>
      </c>
      <c r="AS101" s="48" t="n">
        <f aca="false">AS$91*P_IVArec</f>
        <v>0</v>
      </c>
      <c r="AT101" s="48" t="n">
        <f aca="false">AT$91*P_IVArec</f>
        <v>0</v>
      </c>
      <c r="AU101" s="48" t="n">
        <f aca="false">AU$91*P_IVArec</f>
        <v>0</v>
      </c>
      <c r="AV101" s="48" t="n">
        <f aca="false">AV$91*P_IVArec</f>
        <v>0</v>
      </c>
      <c r="AW101" s="48" t="n">
        <f aca="false">AW$91*P_IVArec</f>
        <v>0</v>
      </c>
      <c r="AX101" s="48" t="n">
        <f aca="false">AX$91*P_IVArec</f>
        <v>0</v>
      </c>
      <c r="AY101" s="48" t="n">
        <f aca="false">AY$91*P_IVArec</f>
        <v>0</v>
      </c>
      <c r="AZ101" s="48" t="n">
        <f aca="false">AZ$91*P_IVArec</f>
        <v>0</v>
      </c>
      <c r="BA101" s="48" t="n">
        <f aca="false">BA$91*P_IVArec</f>
        <v>0</v>
      </c>
      <c r="BB101" s="48" t="n">
        <f aca="false">BB$91*P_IVArec</f>
        <v>0</v>
      </c>
      <c r="BC101" s="48" t="n">
        <f aca="false">BC$91*P_IVArec</f>
        <v>0</v>
      </c>
      <c r="BD101" s="48" t="n">
        <f aca="false">BD$91*P_IVArec</f>
        <v>0</v>
      </c>
      <c r="BE101" s="48" t="n">
        <f aca="false">BE$91*P_IVArec</f>
        <v>0</v>
      </c>
      <c r="BF101" s="48" t="n">
        <f aca="false">BF$91*P_IVArec</f>
        <v>0</v>
      </c>
      <c r="BG101" s="48" t="n">
        <f aca="false">BG$91*P_IVArec</f>
        <v>0</v>
      </c>
      <c r="BH101" s="48" t="n">
        <f aca="false">BH$91*P_IVArec</f>
        <v>0</v>
      </c>
      <c r="BI101" s="48" t="n">
        <f aca="false">BI$91*P_IVArec</f>
        <v>0</v>
      </c>
      <c r="BJ101" s="48" t="n">
        <f aca="false">BJ$91*P_IVArec</f>
        <v>0</v>
      </c>
      <c r="BK101" s="48" t="n">
        <f aca="false">BK$91*P_IVArec</f>
        <v>0</v>
      </c>
      <c r="BL101" s="48" t="n">
        <f aca="false">BL$91*P_IVArec</f>
        <v>0</v>
      </c>
      <c r="BM101" s="48" t="n">
        <f aca="false">BM$91*P_IVArec</f>
        <v>0</v>
      </c>
      <c r="BN101" s="48" t="n">
        <f aca="false">BN$91*P_IVArec</f>
        <v>0</v>
      </c>
      <c r="BO101" s="48" t="n">
        <f aca="false">BO$91*P_IVArec</f>
        <v>0</v>
      </c>
      <c r="BP101" s="48" t="n">
        <f aca="false">BP$91*P_IVArec</f>
        <v>0</v>
      </c>
      <c r="BQ101" s="48" t="n">
        <f aca="false">BQ$91*P_IVArec</f>
        <v>0</v>
      </c>
      <c r="BR101" s="48" t="n">
        <f aca="false">BR$91*P_IVArec</f>
        <v>0</v>
      </c>
      <c r="BS101" s="48" t="n">
        <f aca="false">BS$91*P_IVArec</f>
        <v>0</v>
      </c>
      <c r="BT101" s="48" t="n">
        <f aca="false">BT$91*P_IVArec</f>
        <v>0</v>
      </c>
      <c r="BU101" s="48" t="n">
        <f aca="false">BU$91*P_IVArec</f>
        <v>0</v>
      </c>
      <c r="BV101" s="48" t="n">
        <f aca="false">BV$91*P_IVArec</f>
        <v>0</v>
      </c>
      <c r="BW101" s="48" t="n">
        <f aca="false">BW$91*P_IVArec</f>
        <v>0</v>
      </c>
      <c r="BX101" s="48" t="n">
        <f aca="false">BX$91*P_IVArec</f>
        <v>0</v>
      </c>
      <c r="BY101" s="48" t="n">
        <f aca="false">BY$91*P_IVArec</f>
        <v>0</v>
      </c>
      <c r="BZ101" s="48" t="n">
        <f aca="false">BZ$91*P_IVArec</f>
        <v>0</v>
      </c>
      <c r="CA101" s="48" t="n">
        <f aca="false">CA$91*P_IVArec</f>
        <v>0</v>
      </c>
      <c r="CB101" s="48" t="n">
        <f aca="false">CB$91*P_IVArec</f>
        <v>0</v>
      </c>
      <c r="CC101" s="48" t="n">
        <f aca="false">CC$91*P_IVArec</f>
        <v>0</v>
      </c>
      <c r="CD101" s="48" t="n">
        <f aca="false">CD$91*P_IVArec</f>
        <v>0</v>
      </c>
      <c r="CE101" s="48" t="n">
        <f aca="false">CE$91*P_IVArec</f>
        <v>0</v>
      </c>
      <c r="CF101" s="48" t="n">
        <f aca="false">CF$91*P_IVArec</f>
        <v>0</v>
      </c>
      <c r="CG101" s="48" t="n">
        <f aca="false">CG$91*P_IVArec</f>
        <v>0</v>
      </c>
      <c r="CH101" s="48" t="n">
        <f aca="false">CH$91*P_IVArec</f>
        <v>0</v>
      </c>
      <c r="CI101" s="48" t="n">
        <f aca="false">CI$91*P_IVArec</f>
        <v>0</v>
      </c>
      <c r="CJ101" s="48" t="n">
        <f aca="false">CJ$91*P_IVArec</f>
        <v>0</v>
      </c>
      <c r="CK101" s="48" t="n">
        <f aca="false">CK$91*P_IVArec</f>
        <v>0</v>
      </c>
      <c r="CL101" s="48" t="n">
        <f aca="false">CL$91*P_IVArec</f>
        <v>0</v>
      </c>
      <c r="CM101" s="48" t="n">
        <f aca="false">CM$91*P_IVArec</f>
        <v>0</v>
      </c>
      <c r="CN101" s="48" t="n">
        <f aca="false">CN$91*P_IVArec</f>
        <v>0</v>
      </c>
      <c r="CO101" s="48" t="n">
        <f aca="false">CO$91*P_IVArec</f>
        <v>0</v>
      </c>
      <c r="CP101" s="48" t="n">
        <f aca="false">CP$91*P_IVArec</f>
        <v>0</v>
      </c>
      <c r="CQ101" s="48" t="n">
        <f aca="false">CQ$91*P_IVArec</f>
        <v>0</v>
      </c>
      <c r="CR101" s="48" t="n">
        <f aca="false">CR$91*P_IVArec</f>
        <v>0</v>
      </c>
      <c r="CS101" s="48" t="n">
        <f aca="false">CS$91*P_IVArec</f>
        <v>0</v>
      </c>
      <c r="CT101" s="48" t="n">
        <f aca="false">CT$91*P_IVArec</f>
        <v>0</v>
      </c>
      <c r="CU101" s="48" t="n">
        <f aca="false">CU$91*P_IVArec</f>
        <v>0</v>
      </c>
      <c r="CV101" s="48" t="n">
        <f aca="false">CV$91*P_IVArec</f>
        <v>0</v>
      </c>
      <c r="CW101" s="48" t="n">
        <f aca="false">CW$91*P_IVArec</f>
        <v>0</v>
      </c>
      <c r="CX101" s="48" t="n">
        <f aca="false">CX$91*P_IVArec</f>
        <v>0</v>
      </c>
      <c r="CY101" s="48" t="n">
        <f aca="false">CY$91*P_IVArec</f>
        <v>0</v>
      </c>
      <c r="CZ101" s="48" t="n">
        <f aca="false">CZ$91*P_IVArec</f>
        <v>0</v>
      </c>
      <c r="DA101" s="48" t="n">
        <f aca="false">DA$91*P_IVArec</f>
        <v>0</v>
      </c>
      <c r="DB101" s="48" t="n">
        <f aca="false">DB$91*P_IVArec</f>
        <v>0</v>
      </c>
      <c r="DC101" s="48" t="n">
        <f aca="false">DC$91*P_IVArec</f>
        <v>0</v>
      </c>
      <c r="DD101" s="48" t="n">
        <f aca="false">DD$91*P_IVArec</f>
        <v>0</v>
      </c>
      <c r="DE101" s="48" t="n">
        <f aca="false">DE$91*P_IVArec</f>
        <v>0</v>
      </c>
      <c r="DF101" s="48" t="n">
        <f aca="false">DF$91*P_IVArec</f>
        <v>0</v>
      </c>
      <c r="DG101" s="48" t="n">
        <f aca="false">DG$91*P_IVArec</f>
        <v>0</v>
      </c>
      <c r="DH101" s="48" t="n">
        <f aca="false">DH$91*P_IVArec</f>
        <v>0</v>
      </c>
      <c r="DI101" s="48" t="n">
        <f aca="false">DI$91*P_IVArec</f>
        <v>0</v>
      </c>
      <c r="DJ101" s="48" t="n">
        <f aca="false">DJ$91*P_IVArec</f>
        <v>0</v>
      </c>
      <c r="DK101" s="48" t="n">
        <f aca="false">DK$91*P_IVArec</f>
        <v>0</v>
      </c>
      <c r="DL101" s="48" t="n">
        <f aca="false">DL$91*P_IVArec</f>
        <v>0</v>
      </c>
      <c r="DM101" s="48" t="n">
        <f aca="false">DM$91*P_IVArec</f>
        <v>0</v>
      </c>
      <c r="DN101" s="48" t="n">
        <f aca="false">DN$91*P_IVArec</f>
        <v>0</v>
      </c>
      <c r="DO101" s="48" t="n">
        <f aca="false">DO$91*P_IVArec</f>
        <v>0</v>
      </c>
      <c r="DP101" s="48" t="n">
        <f aca="false">DP$91*P_IVArec</f>
        <v>0</v>
      </c>
      <c r="DQ101" s="48" t="n">
        <f aca="false">DQ$91*P_IVArec</f>
        <v>0</v>
      </c>
      <c r="DR101" s="48" t="n">
        <f aca="false">DR$91*P_IVArec</f>
        <v>0</v>
      </c>
      <c r="DS101" s="48" t="n">
        <f aca="false">DS$91*P_IVArec</f>
        <v>0</v>
      </c>
      <c r="DT101" s="48" t="n">
        <f aca="false">DT$91*P_IVArec</f>
        <v>0</v>
      </c>
      <c r="DU101" s="48" t="n">
        <f aca="false">DU$91*P_IVArec</f>
        <v>0</v>
      </c>
      <c r="DV101" s="48" t="n">
        <f aca="false">DV$91*P_IVArec</f>
        <v>0</v>
      </c>
      <c r="DW101" s="48" t="n">
        <f aca="false">DW$91*P_IVArec</f>
        <v>0</v>
      </c>
      <c r="DX101" s="48" t="n">
        <f aca="false">DX$91*P_IVArec</f>
        <v>0</v>
      </c>
      <c r="DY101" s="48" t="n">
        <f aca="false">DY$91*P_IVArec</f>
        <v>0</v>
      </c>
      <c r="DZ101" s="48" t="n">
        <f aca="false">DZ$91*P_IVArec</f>
        <v>0</v>
      </c>
      <c r="EA101" s="48" t="n">
        <f aca="false">EA$91*P_IVArec</f>
        <v>0</v>
      </c>
      <c r="EB101" s="48" t="n">
        <f aca="false">EB$91*P_IVArec</f>
        <v>0</v>
      </c>
      <c r="EC101" s="48" t="n">
        <f aca="false">EC$91*P_IVArec</f>
        <v>0</v>
      </c>
      <c r="ED101" s="48" t="n">
        <f aca="false">ED$91*P_IVArec</f>
        <v>0</v>
      </c>
      <c r="EE101" s="48" t="n">
        <f aca="false">EE$91*P_IVArec</f>
        <v>0</v>
      </c>
      <c r="EF101" s="48" t="n">
        <f aca="false">EF$91*P_IVArec</f>
        <v>0</v>
      </c>
      <c r="EG101" s="48" t="n">
        <f aca="false">EG$91*P_IVArec</f>
        <v>0</v>
      </c>
      <c r="EH101" s="48" t="n">
        <f aca="false">EH$91*P_IVArec</f>
        <v>0</v>
      </c>
      <c r="EI101" s="48" t="n">
        <f aca="false">EI$91*P_IVArec</f>
        <v>0</v>
      </c>
      <c r="EJ101" s="48" t="n">
        <f aca="false">EJ$91*P_IVArec</f>
        <v>0</v>
      </c>
      <c r="EK101" s="48" t="n">
        <f aca="false">EK$91*P_IVArec</f>
        <v>0</v>
      </c>
      <c r="EL101" s="48" t="n">
        <f aca="false">EL$91*P_IVArec</f>
        <v>0</v>
      </c>
      <c r="EM101" s="48" t="n">
        <f aca="false">EM$91*P_IVArec</f>
        <v>0</v>
      </c>
      <c r="EN101" s="48" t="n">
        <f aca="false">EN$91*P_IVArec</f>
        <v>0</v>
      </c>
      <c r="EO101" s="48" t="n">
        <f aca="false">EO$91*P_IVArec</f>
        <v>0</v>
      </c>
      <c r="EP101" s="48" t="n">
        <f aca="false">EP$91*P_IVArec</f>
        <v>0</v>
      </c>
      <c r="EQ101" s="48" t="n">
        <f aca="false">EQ$91*P_IVArec</f>
        <v>0</v>
      </c>
      <c r="ER101" s="48" t="n">
        <f aca="false">ER$91*P_IVArec</f>
        <v>0</v>
      </c>
      <c r="ES101" s="48" t="n">
        <f aca="false">ES$91*P_IVArec</f>
        <v>0</v>
      </c>
    </row>
    <row r="102" customFormat="false" ht="15" hidden="false" customHeight="false" outlineLevel="0" collapsed="false">
      <c r="A102" s="11" t="s">
        <v>1174</v>
      </c>
      <c r="B102" s="67" t="s">
        <v>509</v>
      </c>
      <c r="C102" s="15" t="s">
        <v>508</v>
      </c>
      <c r="E102" s="54" t="n">
        <f aca="false">SUM(F102:ES102)</f>
        <v>16309504.016261</v>
      </c>
      <c r="F102" s="19" t="n">
        <f aca="false">F$97-F$98-F$99-F$100+F$101</f>
        <v>42497.5004755897</v>
      </c>
      <c r="G102" s="19" t="n">
        <f aca="false">G$97-G$98-G$99-G$100+G$101</f>
        <v>42497.5004755897</v>
      </c>
      <c r="H102" s="19" t="n">
        <f aca="false">H$97-H$98-H$99-H$100+H$101</f>
        <v>42497.5004755897</v>
      </c>
      <c r="I102" s="19" t="n">
        <f aca="false">I$97-I$98-I$99-I$100+I$101</f>
        <v>42497.5004755897</v>
      </c>
      <c r="J102" s="19" t="n">
        <f aca="false">J$97-J$98-J$99-J$100+J$101</f>
        <v>42497.5004755897</v>
      </c>
      <c r="K102" s="19" t="n">
        <f aca="false">K$97-K$98-K$99-K$100+K$101</f>
        <v>42497.5004755897</v>
      </c>
      <c r="L102" s="19" t="n">
        <f aca="false">L$97-L$98-L$99-L$100+L$101</f>
        <v>42497.5004755897</v>
      </c>
      <c r="M102" s="19" t="n">
        <f aca="false">M$97-M$98-M$99-M$100+M$101</f>
        <v>42497.5004755897</v>
      </c>
      <c r="N102" s="19" t="n">
        <f aca="false">N$97-N$98-N$99-N$100+N$101</f>
        <v>42497.5004755897</v>
      </c>
      <c r="O102" s="19" t="n">
        <f aca="false">O$97-O$98-O$99-O$100+O$101</f>
        <v>42497.5004755897</v>
      </c>
      <c r="P102" s="19" t="n">
        <f aca="false">P$97-P$98-P$99-P$100+P$101</f>
        <v>42497.5004755897</v>
      </c>
      <c r="Q102" s="19" t="n">
        <f aca="false">Q$97-Q$98-Q$99-Q$100+Q$101</f>
        <v>42497.5004755897</v>
      </c>
      <c r="R102" s="19" t="n">
        <f aca="false">R$97-R$98-R$99-R$100+R$101</f>
        <v>80496.4029939648</v>
      </c>
      <c r="S102" s="19" t="n">
        <f aca="false">S$97-S$98-S$99-S$100+S$101</f>
        <v>80496.4029939648</v>
      </c>
      <c r="T102" s="19" t="n">
        <f aca="false">T$97-T$98-T$99-T$100+T$101</f>
        <v>80496.4029939648</v>
      </c>
      <c r="U102" s="19" t="n">
        <f aca="false">U$97-U$98-U$99-U$100+U$101</f>
        <v>80496.4029939648</v>
      </c>
      <c r="V102" s="19" t="n">
        <f aca="false">V$97-V$98-V$99-V$100+V$101</f>
        <v>80496.4029939648</v>
      </c>
      <c r="W102" s="19" t="n">
        <f aca="false">W$97-W$98-W$99-W$100+W$101</f>
        <v>80496.4029939648</v>
      </c>
      <c r="X102" s="19" t="n">
        <f aca="false">X$97-X$98-X$99-X$100+X$101</f>
        <v>80496.4029939648</v>
      </c>
      <c r="Y102" s="19" t="n">
        <f aca="false">Y$97-Y$98-Y$99-Y$100+Y$101</f>
        <v>80496.4029939648</v>
      </c>
      <c r="Z102" s="19" t="n">
        <f aca="false">Z$97-Z$98-Z$99-Z$100+Z$101</f>
        <v>80496.4029939648</v>
      </c>
      <c r="AA102" s="19" t="n">
        <f aca="false">AA$97-AA$98-AA$99-AA$100+AA$101</f>
        <v>80496.4029939648</v>
      </c>
      <c r="AB102" s="19" t="n">
        <f aca="false">AB$97-AB$98-AB$99-AB$100+AB$101</f>
        <v>80496.4029939648</v>
      </c>
      <c r="AC102" s="19" t="n">
        <f aca="false">AC$97-AC$98-AC$99-AC$100+AC$101</f>
        <v>80496.4029939648</v>
      </c>
      <c r="AD102" s="19" t="n">
        <f aca="false">AD$97-AD$98-AD$99-AD$100+AD$101</f>
        <v>117085.030865125</v>
      </c>
      <c r="AE102" s="19" t="n">
        <f aca="false">AE$97-AE$98-AE$99-AE$100+AE$101</f>
        <v>117085.030865125</v>
      </c>
      <c r="AF102" s="19" t="n">
        <f aca="false">AF$97-AF$98-AF$99-AF$100+AF$101</f>
        <v>117085.030865125</v>
      </c>
      <c r="AG102" s="19" t="n">
        <f aca="false">AG$97-AG$98-AG$99-AG$100+AG$101</f>
        <v>117085.030865125</v>
      </c>
      <c r="AH102" s="19" t="n">
        <f aca="false">AH$97-AH$98-AH$99-AH$100+AH$101</f>
        <v>117085.030865125</v>
      </c>
      <c r="AI102" s="19" t="n">
        <f aca="false">AI$97-AI$98-AI$99-AI$100+AI$101</f>
        <v>117085.030865125</v>
      </c>
      <c r="AJ102" s="19" t="n">
        <f aca="false">AJ$97-AJ$98-AJ$99-AJ$100+AJ$101</f>
        <v>117085.030865125</v>
      </c>
      <c r="AK102" s="19" t="n">
        <f aca="false">AK$97-AK$98-AK$99-AK$100+AK$101</f>
        <v>117085.030865125</v>
      </c>
      <c r="AL102" s="19" t="n">
        <f aca="false">AL$97-AL$98-AL$99-AL$100+AL$101</f>
        <v>117085.030865125</v>
      </c>
      <c r="AM102" s="19" t="n">
        <f aca="false">AM$97-AM$98-AM$99-AM$100+AM$101</f>
        <v>117085.030865125</v>
      </c>
      <c r="AN102" s="19" t="n">
        <f aca="false">AN$97-AN$98-AN$99-AN$100+AN$101</f>
        <v>117085.030865125</v>
      </c>
      <c r="AO102" s="19" t="n">
        <f aca="false">AO$97-AO$98-AO$99-AO$100+AO$101</f>
        <v>117085.030865125</v>
      </c>
      <c r="AP102" s="19" t="n">
        <f aca="false">AP$97-AP$98-AP$99-AP$100+AP$101</f>
        <v>149893.579879858</v>
      </c>
      <c r="AQ102" s="19" t="n">
        <f aca="false">AQ$97-AQ$98-AQ$99-AQ$100+AQ$101</f>
        <v>149893.579879858</v>
      </c>
      <c r="AR102" s="19" t="n">
        <f aca="false">AR$97-AR$98-AR$99-AR$100+AR$101</f>
        <v>149893.579879858</v>
      </c>
      <c r="AS102" s="19" t="n">
        <f aca="false">AS$97-AS$98-AS$99-AS$100+AS$101</f>
        <v>149893.579879858</v>
      </c>
      <c r="AT102" s="19" t="n">
        <f aca="false">AT$97-AT$98-AT$99-AT$100+AT$101</f>
        <v>149893.579879858</v>
      </c>
      <c r="AU102" s="19" t="n">
        <f aca="false">AU$97-AU$98-AU$99-AU$100+AU$101</f>
        <v>149893.579879858</v>
      </c>
      <c r="AV102" s="19" t="n">
        <f aca="false">AV$97-AV$98-AV$99-AV$100+AV$101</f>
        <v>149893.579879858</v>
      </c>
      <c r="AW102" s="19" t="n">
        <f aca="false">AW$97-AW$98-AW$99-AW$100+AW$101</f>
        <v>149893.579879858</v>
      </c>
      <c r="AX102" s="19" t="n">
        <f aca="false">AX$97-AX$98-AX$99-AX$100+AX$101</f>
        <v>149893.579879858</v>
      </c>
      <c r="AY102" s="19" t="n">
        <f aca="false">AY$97-AY$98-AY$99-AY$100+AY$101</f>
        <v>149893.579879858</v>
      </c>
      <c r="AZ102" s="19" t="n">
        <f aca="false">AZ$97-AZ$98-AZ$99-AZ$100+AZ$101</f>
        <v>149893.579879858</v>
      </c>
      <c r="BA102" s="19" t="n">
        <f aca="false">BA$97-BA$98-BA$99-BA$100+BA$101</f>
        <v>149893.579879858</v>
      </c>
      <c r="BB102" s="19" t="n">
        <f aca="false">BB$97-BB$98-BB$99-BB$100+BB$101</f>
        <v>151213.164876374</v>
      </c>
      <c r="BC102" s="19" t="n">
        <f aca="false">BC$97-BC$98-BC$99-BC$100+BC$101</f>
        <v>151213.164876374</v>
      </c>
      <c r="BD102" s="19" t="n">
        <f aca="false">BD$97-BD$98-BD$99-BD$100+BD$101</f>
        <v>151213.164876374</v>
      </c>
      <c r="BE102" s="19" t="n">
        <f aca="false">BE$97-BE$98-BE$99-BE$100+BE$101</f>
        <v>151213.164876374</v>
      </c>
      <c r="BF102" s="19" t="n">
        <f aca="false">BF$97-BF$98-BF$99-BF$100+BF$101</f>
        <v>151213.164876374</v>
      </c>
      <c r="BG102" s="19" t="n">
        <f aca="false">BG$97-BG$98-BG$99-BG$100+BG$101</f>
        <v>151213.164876374</v>
      </c>
      <c r="BH102" s="19" t="n">
        <f aca="false">BH$97-BH$98-BH$99-BH$100+BH$101</f>
        <v>151213.164876374</v>
      </c>
      <c r="BI102" s="19" t="n">
        <f aca="false">BI$97-BI$98-BI$99-BI$100+BI$101</f>
        <v>151213.164876374</v>
      </c>
      <c r="BJ102" s="19" t="n">
        <f aca="false">BJ$97-BJ$98-BJ$99-BJ$100+BJ$101</f>
        <v>151213.164876374</v>
      </c>
      <c r="BK102" s="19" t="n">
        <f aca="false">BK$97-BK$98-BK$99-BK$100+BK$101</f>
        <v>151213.164876374</v>
      </c>
      <c r="BL102" s="19" t="n">
        <f aca="false">BL$97-BL$98-BL$99-BL$100+BL$101</f>
        <v>151213.164876374</v>
      </c>
      <c r="BM102" s="19" t="n">
        <f aca="false">BM$97-BM$98-BM$99-BM$100+BM$101</f>
        <v>151213.164876374</v>
      </c>
      <c r="BN102" s="19" t="n">
        <f aca="false">BN$97-BN$98-BN$99-BN$100+BN$101</f>
        <v>155300.441797826</v>
      </c>
      <c r="BO102" s="19" t="n">
        <f aca="false">BO$97-BO$98-BO$99-BO$100+BO$101</f>
        <v>155300.441797826</v>
      </c>
      <c r="BP102" s="19" t="n">
        <f aca="false">BP$97-BP$98-BP$99-BP$100+BP$101</f>
        <v>155300.441797826</v>
      </c>
      <c r="BQ102" s="19" t="n">
        <f aca="false">BQ$97-BQ$98-BQ$99-BQ$100+BQ$101</f>
        <v>155300.441797826</v>
      </c>
      <c r="BR102" s="19" t="n">
        <f aca="false">BR$97-BR$98-BR$99-BR$100+BR$101</f>
        <v>155300.441797826</v>
      </c>
      <c r="BS102" s="19" t="n">
        <f aca="false">BS$97-BS$98-BS$99-BS$100+BS$101</f>
        <v>155300.441797826</v>
      </c>
      <c r="BT102" s="19" t="n">
        <f aca="false">BT$97-BT$98-BT$99-BT$100+BT$101</f>
        <v>155300.441797826</v>
      </c>
      <c r="BU102" s="19" t="n">
        <f aca="false">BU$97-BU$98-BU$99-BU$100+BU$101</f>
        <v>155300.441797826</v>
      </c>
      <c r="BV102" s="19" t="n">
        <f aca="false">BV$97-BV$98-BV$99-BV$100+BV$101</f>
        <v>155300.441797826</v>
      </c>
      <c r="BW102" s="19" t="n">
        <f aca="false">BW$97-BW$98-BW$99-BW$100+BW$101</f>
        <v>155300.441797826</v>
      </c>
      <c r="BX102" s="19" t="n">
        <f aca="false">BX$97-BX$98-BX$99-BX$100+BX$101</f>
        <v>155300.441797826</v>
      </c>
      <c r="BY102" s="19" t="n">
        <f aca="false">BY$97-BY$98-BY$99-BY$100+BY$101</f>
        <v>155300.441797826</v>
      </c>
      <c r="BZ102" s="19" t="n">
        <f aca="false">BZ$97-BZ$98-BZ$99-BZ$100+BZ$101</f>
        <v>159416.0224894</v>
      </c>
      <c r="CA102" s="19" t="n">
        <f aca="false">CA$97-CA$98-CA$99-CA$100+CA$101</f>
        <v>159416.0224894</v>
      </c>
      <c r="CB102" s="19" t="n">
        <f aca="false">CB$97-CB$98-CB$99-CB$100+CB$101</f>
        <v>159416.0224894</v>
      </c>
      <c r="CC102" s="19" t="n">
        <f aca="false">CC$97-CC$98-CC$99-CC$100+CC$101</f>
        <v>159416.0224894</v>
      </c>
      <c r="CD102" s="19" t="n">
        <f aca="false">CD$97-CD$98-CD$99-CD$100+CD$101</f>
        <v>159416.0224894</v>
      </c>
      <c r="CE102" s="19" t="n">
        <f aca="false">CE$97-CE$98-CE$99-CE$100+CE$101</f>
        <v>159416.0224894</v>
      </c>
      <c r="CF102" s="19" t="n">
        <f aca="false">CF$97-CF$98-CF$99-CF$100+CF$101</f>
        <v>159416.0224894</v>
      </c>
      <c r="CG102" s="19" t="n">
        <f aca="false">CG$97-CG$98-CG$99-CG$100+CG$101</f>
        <v>159416.0224894</v>
      </c>
      <c r="CH102" s="19" t="n">
        <f aca="false">CH$97-CH$98-CH$99-CH$100+CH$101</f>
        <v>159416.0224894</v>
      </c>
      <c r="CI102" s="19" t="n">
        <f aca="false">CI$97-CI$98-CI$99-CI$100+CI$101</f>
        <v>159416.0224894</v>
      </c>
      <c r="CJ102" s="19" t="n">
        <f aca="false">CJ$97-CJ$98-CJ$99-CJ$100+CJ$101</f>
        <v>159416.0224894</v>
      </c>
      <c r="CK102" s="19" t="n">
        <f aca="false">CK$97-CK$98-CK$99-CK$100+CK$101</f>
        <v>159416.0224894</v>
      </c>
      <c r="CL102" s="19" t="n">
        <f aca="false">CL$97-CL$98-CL$99-CL$100+CL$101</f>
        <v>163559.818546288</v>
      </c>
      <c r="CM102" s="19" t="n">
        <f aca="false">CM$97-CM$98-CM$99-CM$100+CM$101</f>
        <v>163559.818546288</v>
      </c>
      <c r="CN102" s="19" t="n">
        <f aca="false">CN$97-CN$98-CN$99-CN$100+CN$101</f>
        <v>163559.818546288</v>
      </c>
      <c r="CO102" s="19" t="n">
        <f aca="false">CO$97-CO$98-CO$99-CO$100+CO$101</f>
        <v>163559.818546288</v>
      </c>
      <c r="CP102" s="19" t="n">
        <f aca="false">CP$97-CP$98-CP$99-CP$100+CP$101</f>
        <v>163559.818546288</v>
      </c>
      <c r="CQ102" s="19" t="n">
        <f aca="false">CQ$97-CQ$98-CQ$99-CQ$100+CQ$101</f>
        <v>163559.818546288</v>
      </c>
      <c r="CR102" s="19" t="n">
        <f aca="false">CR$97-CR$98-CR$99-CR$100+CR$101</f>
        <v>163559.818546288</v>
      </c>
      <c r="CS102" s="19" t="n">
        <f aca="false">CS$97-CS$98-CS$99-CS$100+CS$101</f>
        <v>163559.818546288</v>
      </c>
      <c r="CT102" s="19" t="n">
        <f aca="false">CT$97-CT$98-CT$99-CT$100+CT$101</f>
        <v>163559.818546288</v>
      </c>
      <c r="CU102" s="19" t="n">
        <f aca="false">CU$97-CU$98-CU$99-CU$100+CU$101</f>
        <v>163559.818546288</v>
      </c>
      <c r="CV102" s="19" t="n">
        <f aca="false">CV$97-CV$98-CV$99-CV$100+CV$101</f>
        <v>163559.818546288</v>
      </c>
      <c r="CW102" s="19" t="n">
        <f aca="false">CW$97-CW$98-CW$99-CW$100+CW$101</f>
        <v>163559.818546288</v>
      </c>
      <c r="CX102" s="19" t="n">
        <f aca="false">CX$97-CX$98-CX$99-CX$100+CX$101</f>
        <v>167731.729648908</v>
      </c>
      <c r="CY102" s="19" t="n">
        <f aca="false">CY$97-CY$98-CY$99-CY$100+CY$101</f>
        <v>167731.729648908</v>
      </c>
      <c r="CZ102" s="19" t="n">
        <f aca="false">CZ$97-CZ$98-CZ$99-CZ$100+CZ$101</f>
        <v>167731.729648908</v>
      </c>
      <c r="DA102" s="19" t="n">
        <f aca="false">DA$97-DA$98-DA$99-DA$100+DA$101</f>
        <v>167731.729648908</v>
      </c>
      <c r="DB102" s="19" t="n">
        <f aca="false">DB$97-DB$98-DB$99-DB$100+DB$101</f>
        <v>167731.729648908</v>
      </c>
      <c r="DC102" s="19" t="n">
        <f aca="false">DC$97-DC$98-DC$99-DC$100+DC$101</f>
        <v>167731.729648908</v>
      </c>
      <c r="DD102" s="19" t="n">
        <f aca="false">DD$97-DD$98-DD$99-DD$100+DD$101</f>
        <v>167731.729648908</v>
      </c>
      <c r="DE102" s="19" t="n">
        <f aca="false">DE$97-DE$98-DE$99-DE$100+DE$101</f>
        <v>167731.729648908</v>
      </c>
      <c r="DF102" s="19" t="n">
        <f aca="false">DF$97-DF$98-DF$99-DF$100+DF$101</f>
        <v>167731.729648908</v>
      </c>
      <c r="DG102" s="19" t="n">
        <f aca="false">DG$97-DG$98-DG$99-DG$100+DG$101</f>
        <v>167731.729648908</v>
      </c>
      <c r="DH102" s="19" t="n">
        <f aca="false">DH$97-DH$98-DH$99-DH$100+DH$101</f>
        <v>167731.729648908</v>
      </c>
      <c r="DI102" s="19" t="n">
        <f aca="false">DI$97-DI$98-DI$99-DI$100+DI$101</f>
        <v>167731.729648908</v>
      </c>
      <c r="DJ102" s="19" t="n">
        <f aca="false">DJ$97-DJ$98-DJ$99-DJ$100+DJ$101</f>
        <v>171931.643115086</v>
      </c>
      <c r="DK102" s="19" t="n">
        <f aca="false">DK$97-DK$98-DK$99-DK$100+DK$101</f>
        <v>171931.643115086</v>
      </c>
      <c r="DL102" s="19" t="n">
        <f aca="false">DL$97-DL$98-DL$99-DL$100+DL$101</f>
        <v>171931.643115086</v>
      </c>
      <c r="DM102" s="19" t="n">
        <f aca="false">DM$97-DM$98-DM$99-DM$100+DM$101</f>
        <v>171931.643115086</v>
      </c>
      <c r="DN102" s="19" t="n">
        <f aca="false">DN$97-DN$98-DN$99-DN$100+DN$101</f>
        <v>171931.643115086</v>
      </c>
      <c r="DO102" s="19" t="n">
        <f aca="false">DO$97-DO$98-DO$99-DO$100+DO$101</f>
        <v>171931.643115086</v>
      </c>
      <c r="DP102" s="19" t="n">
        <f aca="false">DP$97-DP$98-DP$99-DP$100+DP$101</f>
        <v>171931.643115086</v>
      </c>
      <c r="DQ102" s="19" t="n">
        <f aca="false">DQ$97-DQ$98-DQ$99-DQ$100+DQ$101</f>
        <v>171931.643115086</v>
      </c>
      <c r="DR102" s="19" t="n">
        <f aca="false">DR$97-DR$98-DR$99-DR$100+DR$101</f>
        <v>171931.643115086</v>
      </c>
      <c r="DS102" s="19" t="n">
        <f aca="false">DS$97-DS$98-DS$99-DS$100+DS$101</f>
        <v>171931.643115086</v>
      </c>
      <c r="DT102" s="19" t="n">
        <f aca="false">DT$97-DT$98-DT$99-DT$100+DT$101</f>
        <v>171931.643115086</v>
      </c>
      <c r="DU102" s="19" t="n">
        <f aca="false">DU$97-DU$98-DU$99-DU$100+DU$101</f>
        <v>171931.643115086</v>
      </c>
      <c r="DV102" s="19" t="n">
        <f aca="false">DV$97-DV$98-DV$99-DV$100+DV$101</f>
        <v>0</v>
      </c>
      <c r="DW102" s="19" t="n">
        <f aca="false">DW$97-DW$98-DW$99-DW$100+DW$101</f>
        <v>0</v>
      </c>
      <c r="DX102" s="19" t="n">
        <f aca="false">DX$97-DX$98-DX$99-DX$100+DX$101</f>
        <v>0</v>
      </c>
      <c r="DY102" s="19" t="n">
        <f aca="false">DY$97-DY$98-DY$99-DY$100+DY$101</f>
        <v>0</v>
      </c>
      <c r="DZ102" s="19" t="n">
        <f aca="false">DZ$97-DZ$98-DZ$99-DZ$100+DZ$101</f>
        <v>0</v>
      </c>
      <c r="EA102" s="19" t="n">
        <f aca="false">EA$97-EA$98-EA$99-EA$100+EA$101</f>
        <v>0</v>
      </c>
      <c r="EB102" s="19" t="n">
        <f aca="false">EB$97-EB$98-EB$99-EB$100+EB$101</f>
        <v>0</v>
      </c>
      <c r="EC102" s="19" t="n">
        <f aca="false">EC$97-EC$98-EC$99-EC$100+EC$101</f>
        <v>0</v>
      </c>
      <c r="ED102" s="19" t="n">
        <f aca="false">ED$97-ED$98-ED$99-ED$100+ED$101</f>
        <v>0</v>
      </c>
      <c r="EE102" s="19" t="n">
        <f aca="false">EE$97-EE$98-EE$99-EE$100+EE$101</f>
        <v>0</v>
      </c>
      <c r="EF102" s="19" t="n">
        <f aca="false">EF$97-EF$98-EF$99-EF$100+EF$101</f>
        <v>0</v>
      </c>
      <c r="EG102" s="19" t="n">
        <f aca="false">EG$97-EG$98-EG$99-EG$100+EG$101</f>
        <v>0</v>
      </c>
      <c r="EH102" s="19" t="n">
        <f aca="false">EH$97-EH$98-EH$99-EH$100+EH$101</f>
        <v>0</v>
      </c>
      <c r="EI102" s="19" t="n">
        <f aca="false">EI$97-EI$98-EI$99-EI$100+EI$101</f>
        <v>0</v>
      </c>
      <c r="EJ102" s="19" t="n">
        <f aca="false">EJ$97-EJ$98-EJ$99-EJ$100+EJ$101</f>
        <v>0</v>
      </c>
      <c r="EK102" s="19" t="n">
        <f aca="false">EK$97-EK$98-EK$99-EK$100+EK$101</f>
        <v>0</v>
      </c>
      <c r="EL102" s="19" t="n">
        <f aca="false">EL$97-EL$98-EL$99-EL$100+EL$101</f>
        <v>0</v>
      </c>
      <c r="EM102" s="19" t="n">
        <f aca="false">EM$97-EM$98-EM$99-EM$100+EM$101</f>
        <v>0</v>
      </c>
      <c r="EN102" s="19" t="n">
        <f aca="false">EN$97-EN$98-EN$99-EN$100+EN$101</f>
        <v>0</v>
      </c>
      <c r="EO102" s="19" t="n">
        <f aca="false">EO$97-EO$98-EO$99-EO$100+EO$101</f>
        <v>0</v>
      </c>
      <c r="EP102" s="19" t="n">
        <f aca="false">EP$97-EP$98-EP$99-EP$100+EP$101</f>
        <v>0</v>
      </c>
      <c r="EQ102" s="19" t="n">
        <f aca="false">EQ$97-EQ$98-EQ$99-EQ$100+EQ$101</f>
        <v>0</v>
      </c>
      <c r="ER102" s="19" t="n">
        <f aca="false">ER$97-ER$98-ER$99-ER$100+ER$101</f>
        <v>0</v>
      </c>
      <c r="ES102" s="19" t="n">
        <f aca="false">ES$97-ES$98-ES$99-ES$100+ES$101</f>
        <v>0</v>
      </c>
    </row>
    <row r="103" customFormat="false" ht="15" hidden="false" customHeight="false" outlineLevel="0" collapsed="false">
      <c r="A103" s="11" t="s">
        <v>1175</v>
      </c>
      <c r="B103" s="15" t="s">
        <v>1176</v>
      </c>
      <c r="C103" s="15" t="s">
        <v>508</v>
      </c>
      <c r="E103" s="54" t="n">
        <f aca="false">SUM(F103:ES103)</f>
        <v>745044.09</v>
      </c>
      <c r="F103" s="48" t="n">
        <f aca="false">SUMPRODUCT(Inv_D*(Inv_F&gt;0)*(1&gt;=Inv_SvcP)*(1&lt;Inv_SvcP+Inv_F*12)/(Inv_F*12+(Inv_F=0)))*F$9</f>
        <v>5966.01741666667</v>
      </c>
      <c r="G103" s="48" t="n">
        <f aca="false">SUMPRODUCT(Inv_D*(Inv_F&gt;0)*(2&gt;=Inv_SvcP)*(2&lt;Inv_SvcP+Inv_F*12)/(Inv_F*12+(Inv_F=0)))*G$9</f>
        <v>5966.01741666667</v>
      </c>
      <c r="H103" s="48" t="n">
        <f aca="false">SUMPRODUCT(Inv_D*(Inv_F&gt;0)*(3&gt;=Inv_SvcP)*(3&lt;Inv_SvcP+Inv_F*12)/(Inv_F*12+(Inv_F=0)))*H$9</f>
        <v>5966.01741666667</v>
      </c>
      <c r="I103" s="48" t="n">
        <f aca="false">SUMPRODUCT(Inv_D*(Inv_F&gt;0)*(4&gt;=Inv_SvcP)*(4&lt;Inv_SvcP+Inv_F*12)/(Inv_F*12+(Inv_F=0)))*I$9</f>
        <v>5966.01741666667</v>
      </c>
      <c r="J103" s="48" t="n">
        <f aca="false">SUMPRODUCT(Inv_D*(Inv_F&gt;0)*(5&gt;=Inv_SvcP)*(5&lt;Inv_SvcP+Inv_F*12)/(Inv_F*12+(Inv_F=0)))*J$9</f>
        <v>5966.01741666667</v>
      </c>
      <c r="K103" s="48" t="n">
        <f aca="false">SUMPRODUCT(Inv_D*(Inv_F&gt;0)*(6&gt;=Inv_SvcP)*(6&lt;Inv_SvcP+Inv_F*12)/(Inv_F*12+(Inv_F=0)))*K$9</f>
        <v>5966.01741666667</v>
      </c>
      <c r="L103" s="48" t="n">
        <f aca="false">SUMPRODUCT(Inv_D*(Inv_F&gt;0)*(7&gt;=Inv_SvcP)*(7&lt;Inv_SvcP+Inv_F*12)/(Inv_F*12+(Inv_F=0)))*L$9</f>
        <v>5966.01741666667</v>
      </c>
      <c r="M103" s="48" t="n">
        <f aca="false">SUMPRODUCT(Inv_D*(Inv_F&gt;0)*(8&gt;=Inv_SvcP)*(8&lt;Inv_SvcP+Inv_F*12)/(Inv_F*12+(Inv_F=0)))*M$9</f>
        <v>5966.01741666667</v>
      </c>
      <c r="N103" s="48" t="n">
        <f aca="false">SUMPRODUCT(Inv_D*(Inv_F&gt;0)*(9&gt;=Inv_SvcP)*(9&lt;Inv_SvcP+Inv_F*12)/(Inv_F*12+(Inv_F=0)))*N$9</f>
        <v>5966.01741666667</v>
      </c>
      <c r="O103" s="48" t="n">
        <f aca="false">SUMPRODUCT(Inv_D*(Inv_F&gt;0)*(10&gt;=Inv_SvcP)*(10&lt;Inv_SvcP+Inv_F*12)/(Inv_F*12+(Inv_F=0)))*O$9</f>
        <v>5966.01741666667</v>
      </c>
      <c r="P103" s="48" t="n">
        <f aca="false">SUMPRODUCT(Inv_D*(Inv_F&gt;0)*(11&gt;=Inv_SvcP)*(11&lt;Inv_SvcP+Inv_F*12)/(Inv_F*12+(Inv_F=0)))*P$9</f>
        <v>5966.01741666667</v>
      </c>
      <c r="Q103" s="48" t="n">
        <f aca="false">SUMPRODUCT(Inv_D*(Inv_F&gt;0)*(12&gt;=Inv_SvcP)*(12&lt;Inv_SvcP+Inv_F*12)/(Inv_F*12+(Inv_F=0)))*Q$9</f>
        <v>5966.01741666667</v>
      </c>
      <c r="R103" s="48" t="n">
        <f aca="false">SUMPRODUCT(Inv_D*(Inv_F&gt;0)*(13&gt;=Inv_SvcP)*(13&lt;Inv_SvcP+Inv_F*12)/(Inv_F*12+(Inv_F=0)))*R$9</f>
        <v>6799.35075</v>
      </c>
      <c r="S103" s="48" t="n">
        <f aca="false">SUMPRODUCT(Inv_D*(Inv_F&gt;0)*(14&gt;=Inv_SvcP)*(14&lt;Inv_SvcP+Inv_F*12)/(Inv_F*12+(Inv_F=0)))*S$9</f>
        <v>6799.35075</v>
      </c>
      <c r="T103" s="48" t="n">
        <f aca="false">SUMPRODUCT(Inv_D*(Inv_F&gt;0)*(15&gt;=Inv_SvcP)*(15&lt;Inv_SvcP+Inv_F*12)/(Inv_F*12+(Inv_F=0)))*T$9</f>
        <v>6799.35075</v>
      </c>
      <c r="U103" s="48" t="n">
        <f aca="false">SUMPRODUCT(Inv_D*(Inv_F&gt;0)*(16&gt;=Inv_SvcP)*(16&lt;Inv_SvcP+Inv_F*12)/(Inv_F*12+(Inv_F=0)))*U$9</f>
        <v>6799.35075</v>
      </c>
      <c r="V103" s="48" t="n">
        <f aca="false">SUMPRODUCT(Inv_D*(Inv_F&gt;0)*(17&gt;=Inv_SvcP)*(17&lt;Inv_SvcP+Inv_F*12)/(Inv_F*12+(Inv_F=0)))*V$9</f>
        <v>6799.35075</v>
      </c>
      <c r="W103" s="48" t="n">
        <f aca="false">SUMPRODUCT(Inv_D*(Inv_F&gt;0)*(18&gt;=Inv_SvcP)*(18&lt;Inv_SvcP+Inv_F*12)/(Inv_F*12+(Inv_F=0)))*W$9</f>
        <v>6799.35075</v>
      </c>
      <c r="X103" s="48" t="n">
        <f aca="false">SUMPRODUCT(Inv_D*(Inv_F&gt;0)*(19&gt;=Inv_SvcP)*(19&lt;Inv_SvcP+Inv_F*12)/(Inv_F*12+(Inv_F=0)))*X$9</f>
        <v>6799.35075</v>
      </c>
      <c r="Y103" s="48" t="n">
        <f aca="false">SUMPRODUCT(Inv_D*(Inv_F&gt;0)*(20&gt;=Inv_SvcP)*(20&lt;Inv_SvcP+Inv_F*12)/(Inv_F*12+(Inv_F=0)))*Y$9</f>
        <v>6799.35075</v>
      </c>
      <c r="Z103" s="48" t="n">
        <f aca="false">SUMPRODUCT(Inv_D*(Inv_F&gt;0)*(21&gt;=Inv_SvcP)*(21&lt;Inv_SvcP+Inv_F*12)/(Inv_F*12+(Inv_F=0)))*Z$9</f>
        <v>6799.35075</v>
      </c>
      <c r="AA103" s="48" t="n">
        <f aca="false">SUMPRODUCT(Inv_D*(Inv_F&gt;0)*(22&gt;=Inv_SvcP)*(22&lt;Inv_SvcP+Inv_F*12)/(Inv_F*12+(Inv_F=0)))*AA$9</f>
        <v>6799.35075</v>
      </c>
      <c r="AB103" s="48" t="n">
        <f aca="false">SUMPRODUCT(Inv_D*(Inv_F&gt;0)*(23&gt;=Inv_SvcP)*(23&lt;Inv_SvcP+Inv_F*12)/(Inv_F*12+(Inv_F=0)))*AB$9</f>
        <v>6799.35075</v>
      </c>
      <c r="AC103" s="48" t="n">
        <f aca="false">SUMPRODUCT(Inv_D*(Inv_F&gt;0)*(24&gt;=Inv_SvcP)*(24&lt;Inv_SvcP+Inv_F*12)/(Inv_F*12+(Inv_F=0)))*AC$9</f>
        <v>6799.35075</v>
      </c>
      <c r="AD103" s="48" t="n">
        <f aca="false">SUMPRODUCT(Inv_D*(Inv_F&gt;0)*(25&gt;=Inv_SvcP)*(25&lt;Inv_SvcP+Inv_F*12)/(Inv_F*12+(Inv_F=0)))*AD$9</f>
        <v>6799.35075</v>
      </c>
      <c r="AE103" s="48" t="n">
        <f aca="false">SUMPRODUCT(Inv_D*(Inv_F&gt;0)*(26&gt;=Inv_SvcP)*(26&lt;Inv_SvcP+Inv_F*12)/(Inv_F*12+(Inv_F=0)))*AE$9</f>
        <v>6799.35075</v>
      </c>
      <c r="AF103" s="48" t="n">
        <f aca="false">SUMPRODUCT(Inv_D*(Inv_F&gt;0)*(27&gt;=Inv_SvcP)*(27&lt;Inv_SvcP+Inv_F*12)/(Inv_F*12+(Inv_F=0)))*AF$9</f>
        <v>6799.35075</v>
      </c>
      <c r="AG103" s="48" t="n">
        <f aca="false">SUMPRODUCT(Inv_D*(Inv_F&gt;0)*(28&gt;=Inv_SvcP)*(28&lt;Inv_SvcP+Inv_F*12)/(Inv_F*12+(Inv_F=0)))*AG$9</f>
        <v>6799.35075</v>
      </c>
      <c r="AH103" s="48" t="n">
        <f aca="false">SUMPRODUCT(Inv_D*(Inv_F&gt;0)*(29&gt;=Inv_SvcP)*(29&lt;Inv_SvcP+Inv_F*12)/(Inv_F*12+(Inv_F=0)))*AH$9</f>
        <v>6799.35075</v>
      </c>
      <c r="AI103" s="48" t="n">
        <f aca="false">SUMPRODUCT(Inv_D*(Inv_F&gt;0)*(30&gt;=Inv_SvcP)*(30&lt;Inv_SvcP+Inv_F*12)/(Inv_F*12+(Inv_F=0)))*AI$9</f>
        <v>6799.35075</v>
      </c>
      <c r="AJ103" s="48" t="n">
        <f aca="false">SUMPRODUCT(Inv_D*(Inv_F&gt;0)*(31&gt;=Inv_SvcP)*(31&lt;Inv_SvcP+Inv_F*12)/(Inv_F*12+(Inv_F=0)))*AJ$9</f>
        <v>6799.35075</v>
      </c>
      <c r="AK103" s="48" t="n">
        <f aca="false">SUMPRODUCT(Inv_D*(Inv_F&gt;0)*(32&gt;=Inv_SvcP)*(32&lt;Inv_SvcP+Inv_F*12)/(Inv_F*12+(Inv_F=0)))*AK$9</f>
        <v>6799.35075</v>
      </c>
      <c r="AL103" s="48" t="n">
        <f aca="false">SUMPRODUCT(Inv_D*(Inv_F&gt;0)*(33&gt;=Inv_SvcP)*(33&lt;Inv_SvcP+Inv_F*12)/(Inv_F*12+(Inv_F=0)))*AL$9</f>
        <v>6799.35075</v>
      </c>
      <c r="AM103" s="48" t="n">
        <f aca="false">SUMPRODUCT(Inv_D*(Inv_F&gt;0)*(34&gt;=Inv_SvcP)*(34&lt;Inv_SvcP+Inv_F*12)/(Inv_F*12+(Inv_F=0)))*AM$9</f>
        <v>6799.35075</v>
      </c>
      <c r="AN103" s="48" t="n">
        <f aca="false">SUMPRODUCT(Inv_D*(Inv_F&gt;0)*(35&gt;=Inv_SvcP)*(35&lt;Inv_SvcP+Inv_F*12)/(Inv_F*12+(Inv_F=0)))*AN$9</f>
        <v>6799.35075</v>
      </c>
      <c r="AO103" s="48" t="n">
        <f aca="false">SUMPRODUCT(Inv_D*(Inv_F&gt;0)*(36&gt;=Inv_SvcP)*(36&lt;Inv_SvcP+Inv_F*12)/(Inv_F*12+(Inv_F=0)))*AO$9</f>
        <v>6799.35075</v>
      </c>
      <c r="AP103" s="48" t="n">
        <f aca="false">SUMPRODUCT(Inv_D*(Inv_F&gt;0)*(37&gt;=Inv_SvcP)*(37&lt;Inv_SvcP+Inv_F*12)/(Inv_F*12+(Inv_F=0)))*AP$9</f>
        <v>6799.35075</v>
      </c>
      <c r="AQ103" s="48" t="n">
        <f aca="false">SUMPRODUCT(Inv_D*(Inv_F&gt;0)*(38&gt;=Inv_SvcP)*(38&lt;Inv_SvcP+Inv_F*12)/(Inv_F*12+(Inv_F=0)))*AQ$9</f>
        <v>6799.35075</v>
      </c>
      <c r="AR103" s="48" t="n">
        <f aca="false">SUMPRODUCT(Inv_D*(Inv_F&gt;0)*(39&gt;=Inv_SvcP)*(39&lt;Inv_SvcP+Inv_F*12)/(Inv_F*12+(Inv_F=0)))*AR$9</f>
        <v>6799.35075</v>
      </c>
      <c r="AS103" s="48" t="n">
        <f aca="false">SUMPRODUCT(Inv_D*(Inv_F&gt;0)*(40&gt;=Inv_SvcP)*(40&lt;Inv_SvcP+Inv_F*12)/(Inv_F*12+(Inv_F=0)))*AS$9</f>
        <v>6799.35075</v>
      </c>
      <c r="AT103" s="48" t="n">
        <f aca="false">SUMPRODUCT(Inv_D*(Inv_F&gt;0)*(41&gt;=Inv_SvcP)*(41&lt;Inv_SvcP+Inv_F*12)/(Inv_F*12+(Inv_F=0)))*AT$9</f>
        <v>6799.35075</v>
      </c>
      <c r="AU103" s="48" t="n">
        <f aca="false">SUMPRODUCT(Inv_D*(Inv_F&gt;0)*(42&gt;=Inv_SvcP)*(42&lt;Inv_SvcP+Inv_F*12)/(Inv_F*12+(Inv_F=0)))*AU$9</f>
        <v>6799.35075</v>
      </c>
      <c r="AV103" s="48" t="n">
        <f aca="false">SUMPRODUCT(Inv_D*(Inv_F&gt;0)*(43&gt;=Inv_SvcP)*(43&lt;Inv_SvcP+Inv_F*12)/(Inv_F*12+(Inv_F=0)))*AV$9</f>
        <v>6799.35075</v>
      </c>
      <c r="AW103" s="48" t="n">
        <f aca="false">SUMPRODUCT(Inv_D*(Inv_F&gt;0)*(44&gt;=Inv_SvcP)*(44&lt;Inv_SvcP+Inv_F*12)/(Inv_F*12+(Inv_F=0)))*AW$9</f>
        <v>6799.35075</v>
      </c>
      <c r="AX103" s="48" t="n">
        <f aca="false">SUMPRODUCT(Inv_D*(Inv_F&gt;0)*(45&gt;=Inv_SvcP)*(45&lt;Inv_SvcP+Inv_F*12)/(Inv_F*12+(Inv_F=0)))*AX$9</f>
        <v>6799.35075</v>
      </c>
      <c r="AY103" s="48" t="n">
        <f aca="false">SUMPRODUCT(Inv_D*(Inv_F&gt;0)*(46&gt;=Inv_SvcP)*(46&lt;Inv_SvcP+Inv_F*12)/(Inv_F*12+(Inv_F=0)))*AY$9</f>
        <v>6799.35075</v>
      </c>
      <c r="AZ103" s="48" t="n">
        <f aca="false">SUMPRODUCT(Inv_D*(Inv_F&gt;0)*(47&gt;=Inv_SvcP)*(47&lt;Inv_SvcP+Inv_F*12)/(Inv_F*12+(Inv_F=0)))*AZ$9</f>
        <v>6799.35075</v>
      </c>
      <c r="BA103" s="48" t="n">
        <f aca="false">SUMPRODUCT(Inv_D*(Inv_F&gt;0)*(48&gt;=Inv_SvcP)*(48&lt;Inv_SvcP+Inv_F*12)/(Inv_F*12+(Inv_F=0)))*BA$9</f>
        <v>6799.35075</v>
      </c>
      <c r="BB103" s="48" t="n">
        <f aca="false">SUMPRODUCT(Inv_D*(Inv_F&gt;0)*(49&gt;=Inv_SvcP)*(49&lt;Inv_SvcP+Inv_F*12)/(Inv_F*12+(Inv_F=0)))*BB$9</f>
        <v>6799.35075</v>
      </c>
      <c r="BC103" s="48" t="n">
        <f aca="false">SUMPRODUCT(Inv_D*(Inv_F&gt;0)*(50&gt;=Inv_SvcP)*(50&lt;Inv_SvcP+Inv_F*12)/(Inv_F*12+(Inv_F=0)))*BC$9</f>
        <v>6799.35075</v>
      </c>
      <c r="BD103" s="48" t="n">
        <f aca="false">SUMPRODUCT(Inv_D*(Inv_F&gt;0)*(51&gt;=Inv_SvcP)*(51&lt;Inv_SvcP+Inv_F*12)/(Inv_F*12+(Inv_F=0)))*BD$9</f>
        <v>6799.35075</v>
      </c>
      <c r="BE103" s="48" t="n">
        <f aca="false">SUMPRODUCT(Inv_D*(Inv_F&gt;0)*(52&gt;=Inv_SvcP)*(52&lt;Inv_SvcP+Inv_F*12)/(Inv_F*12+(Inv_F=0)))*BE$9</f>
        <v>6799.35075</v>
      </c>
      <c r="BF103" s="48" t="n">
        <f aca="false">SUMPRODUCT(Inv_D*(Inv_F&gt;0)*(53&gt;=Inv_SvcP)*(53&lt;Inv_SvcP+Inv_F*12)/(Inv_F*12+(Inv_F=0)))*BF$9</f>
        <v>6799.35075</v>
      </c>
      <c r="BG103" s="48" t="n">
        <f aca="false">SUMPRODUCT(Inv_D*(Inv_F&gt;0)*(54&gt;=Inv_SvcP)*(54&lt;Inv_SvcP+Inv_F*12)/(Inv_F*12+(Inv_F=0)))*BG$9</f>
        <v>6799.35075</v>
      </c>
      <c r="BH103" s="48" t="n">
        <f aca="false">SUMPRODUCT(Inv_D*(Inv_F&gt;0)*(55&gt;=Inv_SvcP)*(55&lt;Inv_SvcP+Inv_F*12)/(Inv_F*12+(Inv_F=0)))*BH$9</f>
        <v>6799.35075</v>
      </c>
      <c r="BI103" s="48" t="n">
        <f aca="false">SUMPRODUCT(Inv_D*(Inv_F&gt;0)*(56&gt;=Inv_SvcP)*(56&lt;Inv_SvcP+Inv_F*12)/(Inv_F*12+(Inv_F=0)))*BI$9</f>
        <v>6799.35075</v>
      </c>
      <c r="BJ103" s="48" t="n">
        <f aca="false">SUMPRODUCT(Inv_D*(Inv_F&gt;0)*(57&gt;=Inv_SvcP)*(57&lt;Inv_SvcP+Inv_F*12)/(Inv_F*12+(Inv_F=0)))*BJ$9</f>
        <v>6799.35075</v>
      </c>
      <c r="BK103" s="48" t="n">
        <f aca="false">SUMPRODUCT(Inv_D*(Inv_F&gt;0)*(58&gt;=Inv_SvcP)*(58&lt;Inv_SvcP+Inv_F*12)/(Inv_F*12+(Inv_F=0)))*BK$9</f>
        <v>6799.35075</v>
      </c>
      <c r="BL103" s="48" t="n">
        <f aca="false">SUMPRODUCT(Inv_D*(Inv_F&gt;0)*(59&gt;=Inv_SvcP)*(59&lt;Inv_SvcP+Inv_F*12)/(Inv_F*12+(Inv_F=0)))*BL$9</f>
        <v>6799.35075</v>
      </c>
      <c r="BM103" s="48" t="n">
        <f aca="false">SUMPRODUCT(Inv_D*(Inv_F&gt;0)*(60&gt;=Inv_SvcP)*(60&lt;Inv_SvcP+Inv_F*12)/(Inv_F*12+(Inv_F=0)))*BM$9</f>
        <v>6799.35075</v>
      </c>
      <c r="BN103" s="48" t="n">
        <f aca="false">SUMPRODUCT(Inv_D*(Inv_F&gt;0)*(61&gt;=Inv_SvcP)*(61&lt;Inv_SvcP+Inv_F*12)/(Inv_F*12+(Inv_F=0)))*BN$9</f>
        <v>5784.71741666667</v>
      </c>
      <c r="BO103" s="48" t="n">
        <f aca="false">SUMPRODUCT(Inv_D*(Inv_F&gt;0)*(62&gt;=Inv_SvcP)*(62&lt;Inv_SvcP+Inv_F*12)/(Inv_F*12+(Inv_F=0)))*BO$9</f>
        <v>5784.71741666667</v>
      </c>
      <c r="BP103" s="48" t="n">
        <f aca="false">SUMPRODUCT(Inv_D*(Inv_F&gt;0)*(63&gt;=Inv_SvcP)*(63&lt;Inv_SvcP+Inv_F*12)/(Inv_F*12+(Inv_F=0)))*BP$9</f>
        <v>5784.71741666667</v>
      </c>
      <c r="BQ103" s="48" t="n">
        <f aca="false">SUMPRODUCT(Inv_D*(Inv_F&gt;0)*(64&gt;=Inv_SvcP)*(64&lt;Inv_SvcP+Inv_F*12)/(Inv_F*12+(Inv_F=0)))*BQ$9</f>
        <v>5784.71741666667</v>
      </c>
      <c r="BR103" s="48" t="n">
        <f aca="false">SUMPRODUCT(Inv_D*(Inv_F&gt;0)*(65&gt;=Inv_SvcP)*(65&lt;Inv_SvcP+Inv_F*12)/(Inv_F*12+(Inv_F=0)))*BR$9</f>
        <v>5784.71741666667</v>
      </c>
      <c r="BS103" s="48" t="n">
        <f aca="false">SUMPRODUCT(Inv_D*(Inv_F&gt;0)*(66&gt;=Inv_SvcP)*(66&lt;Inv_SvcP+Inv_F*12)/(Inv_F*12+(Inv_F=0)))*BS$9</f>
        <v>5784.71741666667</v>
      </c>
      <c r="BT103" s="48" t="n">
        <f aca="false">SUMPRODUCT(Inv_D*(Inv_F&gt;0)*(67&gt;=Inv_SvcP)*(67&lt;Inv_SvcP+Inv_F*12)/(Inv_F*12+(Inv_F=0)))*BT$9</f>
        <v>5784.71741666667</v>
      </c>
      <c r="BU103" s="48" t="n">
        <f aca="false">SUMPRODUCT(Inv_D*(Inv_F&gt;0)*(68&gt;=Inv_SvcP)*(68&lt;Inv_SvcP+Inv_F*12)/(Inv_F*12+(Inv_F=0)))*BU$9</f>
        <v>5784.71741666667</v>
      </c>
      <c r="BV103" s="48" t="n">
        <f aca="false">SUMPRODUCT(Inv_D*(Inv_F&gt;0)*(69&gt;=Inv_SvcP)*(69&lt;Inv_SvcP+Inv_F*12)/(Inv_F*12+(Inv_F=0)))*BV$9</f>
        <v>5784.71741666667</v>
      </c>
      <c r="BW103" s="48" t="n">
        <f aca="false">SUMPRODUCT(Inv_D*(Inv_F&gt;0)*(70&gt;=Inv_SvcP)*(70&lt;Inv_SvcP+Inv_F*12)/(Inv_F*12+(Inv_F=0)))*BW$9</f>
        <v>5784.71741666667</v>
      </c>
      <c r="BX103" s="48" t="n">
        <f aca="false">SUMPRODUCT(Inv_D*(Inv_F&gt;0)*(71&gt;=Inv_SvcP)*(71&lt;Inv_SvcP+Inv_F*12)/(Inv_F*12+(Inv_F=0)))*BX$9</f>
        <v>5784.71741666667</v>
      </c>
      <c r="BY103" s="48" t="n">
        <f aca="false">SUMPRODUCT(Inv_D*(Inv_F&gt;0)*(72&gt;=Inv_SvcP)*(72&lt;Inv_SvcP+Inv_F*12)/(Inv_F*12+(Inv_F=0)))*BY$9</f>
        <v>5784.71741666667</v>
      </c>
      <c r="BZ103" s="48" t="n">
        <f aca="false">SUMPRODUCT(Inv_D*(Inv_F&gt;0)*(73&gt;=Inv_SvcP)*(73&lt;Inv_SvcP+Inv_F*12)/(Inv_F*12+(Inv_F=0)))*BZ$9</f>
        <v>5784.71741666667</v>
      </c>
      <c r="CA103" s="48" t="n">
        <f aca="false">SUMPRODUCT(Inv_D*(Inv_F&gt;0)*(74&gt;=Inv_SvcP)*(74&lt;Inv_SvcP+Inv_F*12)/(Inv_F*12+(Inv_F=0)))*CA$9</f>
        <v>5784.71741666667</v>
      </c>
      <c r="CB103" s="48" t="n">
        <f aca="false">SUMPRODUCT(Inv_D*(Inv_F&gt;0)*(75&gt;=Inv_SvcP)*(75&lt;Inv_SvcP+Inv_F*12)/(Inv_F*12+(Inv_F=0)))*CB$9</f>
        <v>5784.71741666667</v>
      </c>
      <c r="CC103" s="48" t="n">
        <f aca="false">SUMPRODUCT(Inv_D*(Inv_F&gt;0)*(76&gt;=Inv_SvcP)*(76&lt;Inv_SvcP+Inv_F*12)/(Inv_F*12+(Inv_F=0)))*CC$9</f>
        <v>5784.71741666667</v>
      </c>
      <c r="CD103" s="48" t="n">
        <f aca="false">SUMPRODUCT(Inv_D*(Inv_F&gt;0)*(77&gt;=Inv_SvcP)*(77&lt;Inv_SvcP+Inv_F*12)/(Inv_F*12+(Inv_F=0)))*CD$9</f>
        <v>5784.71741666667</v>
      </c>
      <c r="CE103" s="48" t="n">
        <f aca="false">SUMPRODUCT(Inv_D*(Inv_F&gt;0)*(78&gt;=Inv_SvcP)*(78&lt;Inv_SvcP+Inv_F*12)/(Inv_F*12+(Inv_F=0)))*CE$9</f>
        <v>5784.71741666667</v>
      </c>
      <c r="CF103" s="48" t="n">
        <f aca="false">SUMPRODUCT(Inv_D*(Inv_F&gt;0)*(79&gt;=Inv_SvcP)*(79&lt;Inv_SvcP+Inv_F*12)/(Inv_F*12+(Inv_F=0)))*CF$9</f>
        <v>5784.71741666667</v>
      </c>
      <c r="CG103" s="48" t="n">
        <f aca="false">SUMPRODUCT(Inv_D*(Inv_F&gt;0)*(80&gt;=Inv_SvcP)*(80&lt;Inv_SvcP+Inv_F*12)/(Inv_F*12+(Inv_F=0)))*CG$9</f>
        <v>5784.71741666667</v>
      </c>
      <c r="CH103" s="48" t="n">
        <f aca="false">SUMPRODUCT(Inv_D*(Inv_F&gt;0)*(81&gt;=Inv_SvcP)*(81&lt;Inv_SvcP+Inv_F*12)/(Inv_F*12+(Inv_F=0)))*CH$9</f>
        <v>5784.71741666667</v>
      </c>
      <c r="CI103" s="48" t="n">
        <f aca="false">SUMPRODUCT(Inv_D*(Inv_F&gt;0)*(82&gt;=Inv_SvcP)*(82&lt;Inv_SvcP+Inv_F*12)/(Inv_F*12+(Inv_F=0)))*CI$9</f>
        <v>5784.71741666667</v>
      </c>
      <c r="CJ103" s="48" t="n">
        <f aca="false">SUMPRODUCT(Inv_D*(Inv_F&gt;0)*(83&gt;=Inv_SvcP)*(83&lt;Inv_SvcP+Inv_F*12)/(Inv_F*12+(Inv_F=0)))*CJ$9</f>
        <v>5784.71741666667</v>
      </c>
      <c r="CK103" s="48" t="n">
        <f aca="false">SUMPRODUCT(Inv_D*(Inv_F&gt;0)*(84&gt;=Inv_SvcP)*(84&lt;Inv_SvcP+Inv_F*12)/(Inv_F*12+(Inv_F=0)))*CK$9</f>
        <v>5784.71741666667</v>
      </c>
      <c r="CL103" s="48" t="n">
        <f aca="false">SUMPRODUCT(Inv_D*(Inv_F&gt;0)*(85&gt;=Inv_SvcP)*(85&lt;Inv_SvcP+Inv_F*12)/(Inv_F*12+(Inv_F=0)))*CL$9</f>
        <v>5784.71741666667</v>
      </c>
      <c r="CM103" s="48" t="n">
        <f aca="false">SUMPRODUCT(Inv_D*(Inv_F&gt;0)*(86&gt;=Inv_SvcP)*(86&lt;Inv_SvcP+Inv_F*12)/(Inv_F*12+(Inv_F=0)))*CM$9</f>
        <v>5784.71741666667</v>
      </c>
      <c r="CN103" s="48" t="n">
        <f aca="false">SUMPRODUCT(Inv_D*(Inv_F&gt;0)*(87&gt;=Inv_SvcP)*(87&lt;Inv_SvcP+Inv_F*12)/(Inv_F*12+(Inv_F=0)))*CN$9</f>
        <v>5784.71741666667</v>
      </c>
      <c r="CO103" s="48" t="n">
        <f aca="false">SUMPRODUCT(Inv_D*(Inv_F&gt;0)*(88&gt;=Inv_SvcP)*(88&lt;Inv_SvcP+Inv_F*12)/(Inv_F*12+(Inv_F=0)))*CO$9</f>
        <v>5784.71741666667</v>
      </c>
      <c r="CP103" s="48" t="n">
        <f aca="false">SUMPRODUCT(Inv_D*(Inv_F&gt;0)*(89&gt;=Inv_SvcP)*(89&lt;Inv_SvcP+Inv_F*12)/(Inv_F*12+(Inv_F=0)))*CP$9</f>
        <v>5784.71741666667</v>
      </c>
      <c r="CQ103" s="48" t="n">
        <f aca="false">SUMPRODUCT(Inv_D*(Inv_F&gt;0)*(90&gt;=Inv_SvcP)*(90&lt;Inv_SvcP+Inv_F*12)/(Inv_F*12+(Inv_F=0)))*CQ$9</f>
        <v>5784.71741666667</v>
      </c>
      <c r="CR103" s="48" t="n">
        <f aca="false">SUMPRODUCT(Inv_D*(Inv_F&gt;0)*(91&gt;=Inv_SvcP)*(91&lt;Inv_SvcP+Inv_F*12)/(Inv_F*12+(Inv_F=0)))*CR$9</f>
        <v>5784.71741666667</v>
      </c>
      <c r="CS103" s="48" t="n">
        <f aca="false">SUMPRODUCT(Inv_D*(Inv_F&gt;0)*(92&gt;=Inv_SvcP)*(92&lt;Inv_SvcP+Inv_F*12)/(Inv_F*12+(Inv_F=0)))*CS$9</f>
        <v>5784.71741666667</v>
      </c>
      <c r="CT103" s="48" t="n">
        <f aca="false">SUMPRODUCT(Inv_D*(Inv_F&gt;0)*(93&gt;=Inv_SvcP)*(93&lt;Inv_SvcP+Inv_F*12)/(Inv_F*12+(Inv_F=0)))*CT$9</f>
        <v>5784.71741666667</v>
      </c>
      <c r="CU103" s="48" t="n">
        <f aca="false">SUMPRODUCT(Inv_D*(Inv_F&gt;0)*(94&gt;=Inv_SvcP)*(94&lt;Inv_SvcP+Inv_F*12)/(Inv_F*12+(Inv_F=0)))*CU$9</f>
        <v>5784.71741666667</v>
      </c>
      <c r="CV103" s="48" t="n">
        <f aca="false">SUMPRODUCT(Inv_D*(Inv_F&gt;0)*(95&gt;=Inv_SvcP)*(95&lt;Inv_SvcP+Inv_F*12)/(Inv_F*12+(Inv_F=0)))*CV$9</f>
        <v>5784.71741666667</v>
      </c>
      <c r="CW103" s="48" t="n">
        <f aca="false">SUMPRODUCT(Inv_D*(Inv_F&gt;0)*(96&gt;=Inv_SvcP)*(96&lt;Inv_SvcP+Inv_F*12)/(Inv_F*12+(Inv_F=0)))*CW$9</f>
        <v>5784.71741666667</v>
      </c>
      <c r="CX103" s="48" t="n">
        <f aca="false">SUMPRODUCT(Inv_D*(Inv_F&gt;0)*(97&gt;=Inv_SvcP)*(97&lt;Inv_SvcP+Inv_F*12)/(Inv_F*12+(Inv_F=0)))*CX$9</f>
        <v>5784.71741666667</v>
      </c>
      <c r="CY103" s="48" t="n">
        <f aca="false">SUMPRODUCT(Inv_D*(Inv_F&gt;0)*(98&gt;=Inv_SvcP)*(98&lt;Inv_SvcP+Inv_F*12)/(Inv_F*12+(Inv_F=0)))*CY$9</f>
        <v>5784.71741666667</v>
      </c>
      <c r="CZ103" s="48" t="n">
        <f aca="false">SUMPRODUCT(Inv_D*(Inv_F&gt;0)*(99&gt;=Inv_SvcP)*(99&lt;Inv_SvcP+Inv_F*12)/(Inv_F*12+(Inv_F=0)))*CZ$9</f>
        <v>5784.71741666667</v>
      </c>
      <c r="DA103" s="48" t="n">
        <f aca="false">SUMPRODUCT(Inv_D*(Inv_F&gt;0)*(100&gt;=Inv_SvcP)*(100&lt;Inv_SvcP+Inv_F*12)/(Inv_F*12+(Inv_F=0)))*DA$9</f>
        <v>5784.71741666667</v>
      </c>
      <c r="DB103" s="48" t="n">
        <f aca="false">SUMPRODUCT(Inv_D*(Inv_F&gt;0)*(101&gt;=Inv_SvcP)*(101&lt;Inv_SvcP+Inv_F*12)/(Inv_F*12+(Inv_F=0)))*DB$9</f>
        <v>5784.71741666667</v>
      </c>
      <c r="DC103" s="48" t="n">
        <f aca="false">SUMPRODUCT(Inv_D*(Inv_F&gt;0)*(102&gt;=Inv_SvcP)*(102&lt;Inv_SvcP+Inv_F*12)/(Inv_F*12+(Inv_F=0)))*DC$9</f>
        <v>5784.71741666667</v>
      </c>
      <c r="DD103" s="48" t="n">
        <f aca="false">SUMPRODUCT(Inv_D*(Inv_F&gt;0)*(103&gt;=Inv_SvcP)*(103&lt;Inv_SvcP+Inv_F*12)/(Inv_F*12+(Inv_F=0)))*DD$9</f>
        <v>5784.71741666667</v>
      </c>
      <c r="DE103" s="48" t="n">
        <f aca="false">SUMPRODUCT(Inv_D*(Inv_F&gt;0)*(104&gt;=Inv_SvcP)*(104&lt;Inv_SvcP+Inv_F*12)/(Inv_F*12+(Inv_F=0)))*DE$9</f>
        <v>5784.71741666667</v>
      </c>
      <c r="DF103" s="48" t="n">
        <f aca="false">SUMPRODUCT(Inv_D*(Inv_F&gt;0)*(105&gt;=Inv_SvcP)*(105&lt;Inv_SvcP+Inv_F*12)/(Inv_F*12+(Inv_F=0)))*DF$9</f>
        <v>5784.71741666667</v>
      </c>
      <c r="DG103" s="48" t="n">
        <f aca="false">SUMPRODUCT(Inv_D*(Inv_F&gt;0)*(106&gt;=Inv_SvcP)*(106&lt;Inv_SvcP+Inv_F*12)/(Inv_F*12+(Inv_F=0)))*DG$9</f>
        <v>5784.71741666667</v>
      </c>
      <c r="DH103" s="48" t="n">
        <f aca="false">SUMPRODUCT(Inv_D*(Inv_F&gt;0)*(107&gt;=Inv_SvcP)*(107&lt;Inv_SvcP+Inv_F*12)/(Inv_F*12+(Inv_F=0)))*DH$9</f>
        <v>5784.71741666667</v>
      </c>
      <c r="DI103" s="48" t="n">
        <f aca="false">SUMPRODUCT(Inv_D*(Inv_F&gt;0)*(108&gt;=Inv_SvcP)*(108&lt;Inv_SvcP+Inv_F*12)/(Inv_F*12+(Inv_F=0)))*DI$9</f>
        <v>5784.71741666667</v>
      </c>
      <c r="DJ103" s="48" t="n">
        <f aca="false">SUMPRODUCT(Inv_D*(Inv_F&gt;0)*(109&gt;=Inv_SvcP)*(109&lt;Inv_SvcP+Inv_F*12)/(Inv_F*12+(Inv_F=0)))*DJ$9</f>
        <v>5784.71741666667</v>
      </c>
      <c r="DK103" s="48" t="n">
        <f aca="false">SUMPRODUCT(Inv_D*(Inv_F&gt;0)*(110&gt;=Inv_SvcP)*(110&lt;Inv_SvcP+Inv_F*12)/(Inv_F*12+(Inv_F=0)))*DK$9</f>
        <v>5784.71741666667</v>
      </c>
      <c r="DL103" s="48" t="n">
        <f aca="false">SUMPRODUCT(Inv_D*(Inv_F&gt;0)*(111&gt;=Inv_SvcP)*(111&lt;Inv_SvcP+Inv_F*12)/(Inv_F*12+(Inv_F=0)))*DL$9</f>
        <v>5784.71741666667</v>
      </c>
      <c r="DM103" s="48" t="n">
        <f aca="false">SUMPRODUCT(Inv_D*(Inv_F&gt;0)*(112&gt;=Inv_SvcP)*(112&lt;Inv_SvcP+Inv_F*12)/(Inv_F*12+(Inv_F=0)))*DM$9</f>
        <v>5784.71741666667</v>
      </c>
      <c r="DN103" s="48" t="n">
        <f aca="false">SUMPRODUCT(Inv_D*(Inv_F&gt;0)*(113&gt;=Inv_SvcP)*(113&lt;Inv_SvcP+Inv_F*12)/(Inv_F*12+(Inv_F=0)))*DN$9</f>
        <v>5784.71741666667</v>
      </c>
      <c r="DO103" s="48" t="n">
        <f aca="false">SUMPRODUCT(Inv_D*(Inv_F&gt;0)*(114&gt;=Inv_SvcP)*(114&lt;Inv_SvcP+Inv_F*12)/(Inv_F*12+(Inv_F=0)))*DO$9</f>
        <v>5784.71741666667</v>
      </c>
      <c r="DP103" s="48" t="n">
        <f aca="false">SUMPRODUCT(Inv_D*(Inv_F&gt;0)*(115&gt;=Inv_SvcP)*(115&lt;Inv_SvcP+Inv_F*12)/(Inv_F*12+(Inv_F=0)))*DP$9</f>
        <v>5784.71741666667</v>
      </c>
      <c r="DQ103" s="48" t="n">
        <f aca="false">SUMPRODUCT(Inv_D*(Inv_F&gt;0)*(116&gt;=Inv_SvcP)*(116&lt;Inv_SvcP+Inv_F*12)/(Inv_F*12+(Inv_F=0)))*DQ$9</f>
        <v>5784.71741666667</v>
      </c>
      <c r="DR103" s="48" t="n">
        <f aca="false">SUMPRODUCT(Inv_D*(Inv_F&gt;0)*(117&gt;=Inv_SvcP)*(117&lt;Inv_SvcP+Inv_F*12)/(Inv_F*12+(Inv_F=0)))*DR$9</f>
        <v>5784.71741666667</v>
      </c>
      <c r="DS103" s="48" t="n">
        <f aca="false">SUMPRODUCT(Inv_D*(Inv_F&gt;0)*(118&gt;=Inv_SvcP)*(118&lt;Inv_SvcP+Inv_F*12)/(Inv_F*12+(Inv_F=0)))*DS$9</f>
        <v>5784.71741666667</v>
      </c>
      <c r="DT103" s="48" t="n">
        <f aca="false">SUMPRODUCT(Inv_D*(Inv_F&gt;0)*(119&gt;=Inv_SvcP)*(119&lt;Inv_SvcP+Inv_F*12)/(Inv_F*12+(Inv_F=0)))*DT$9</f>
        <v>5784.71741666667</v>
      </c>
      <c r="DU103" s="48" t="n">
        <f aca="false">SUMPRODUCT(Inv_D*(Inv_F&gt;0)*(120&gt;=Inv_SvcP)*(120&lt;Inv_SvcP+Inv_F*12)/(Inv_F*12+(Inv_F=0)))*DU$9</f>
        <v>5784.71741666667</v>
      </c>
      <c r="DV103" s="48" t="n">
        <f aca="false">SUMPRODUCT(Inv_D*(Inv_F&gt;0)*(121&gt;=Inv_SvcP)*(121&lt;Inv_SvcP+Inv_F*12)/(Inv_F*12+(Inv_F=0)))*DV$9</f>
        <v>0</v>
      </c>
      <c r="DW103" s="48" t="n">
        <f aca="false">SUMPRODUCT(Inv_D*(Inv_F&gt;0)*(122&gt;=Inv_SvcP)*(122&lt;Inv_SvcP+Inv_F*12)/(Inv_F*12+(Inv_F=0)))*DW$9</f>
        <v>0</v>
      </c>
      <c r="DX103" s="48" t="n">
        <f aca="false">SUMPRODUCT(Inv_D*(Inv_F&gt;0)*(123&gt;=Inv_SvcP)*(123&lt;Inv_SvcP+Inv_F*12)/(Inv_F*12+(Inv_F=0)))*DX$9</f>
        <v>0</v>
      </c>
      <c r="DY103" s="48" t="n">
        <f aca="false">SUMPRODUCT(Inv_D*(Inv_F&gt;0)*(124&gt;=Inv_SvcP)*(124&lt;Inv_SvcP+Inv_F*12)/(Inv_F*12+(Inv_F=0)))*DY$9</f>
        <v>0</v>
      </c>
      <c r="DZ103" s="48" t="n">
        <f aca="false">SUMPRODUCT(Inv_D*(Inv_F&gt;0)*(125&gt;=Inv_SvcP)*(125&lt;Inv_SvcP+Inv_F*12)/(Inv_F*12+(Inv_F=0)))*DZ$9</f>
        <v>0</v>
      </c>
      <c r="EA103" s="48" t="n">
        <f aca="false">SUMPRODUCT(Inv_D*(Inv_F&gt;0)*(126&gt;=Inv_SvcP)*(126&lt;Inv_SvcP+Inv_F*12)/(Inv_F*12+(Inv_F=0)))*EA$9</f>
        <v>0</v>
      </c>
      <c r="EB103" s="48" t="n">
        <f aca="false">SUMPRODUCT(Inv_D*(Inv_F&gt;0)*(127&gt;=Inv_SvcP)*(127&lt;Inv_SvcP+Inv_F*12)/(Inv_F*12+(Inv_F=0)))*EB$9</f>
        <v>0</v>
      </c>
      <c r="EC103" s="48" t="n">
        <f aca="false">SUMPRODUCT(Inv_D*(Inv_F&gt;0)*(128&gt;=Inv_SvcP)*(128&lt;Inv_SvcP+Inv_F*12)/(Inv_F*12+(Inv_F=0)))*EC$9</f>
        <v>0</v>
      </c>
      <c r="ED103" s="48" t="n">
        <f aca="false">SUMPRODUCT(Inv_D*(Inv_F&gt;0)*(129&gt;=Inv_SvcP)*(129&lt;Inv_SvcP+Inv_F*12)/(Inv_F*12+(Inv_F=0)))*ED$9</f>
        <v>0</v>
      </c>
      <c r="EE103" s="48" t="n">
        <f aca="false">SUMPRODUCT(Inv_D*(Inv_F&gt;0)*(130&gt;=Inv_SvcP)*(130&lt;Inv_SvcP+Inv_F*12)/(Inv_F*12+(Inv_F=0)))*EE$9</f>
        <v>0</v>
      </c>
      <c r="EF103" s="48" t="n">
        <f aca="false">SUMPRODUCT(Inv_D*(Inv_F&gt;0)*(131&gt;=Inv_SvcP)*(131&lt;Inv_SvcP+Inv_F*12)/(Inv_F*12+(Inv_F=0)))*EF$9</f>
        <v>0</v>
      </c>
      <c r="EG103" s="48" t="n">
        <f aca="false">SUMPRODUCT(Inv_D*(Inv_F&gt;0)*(132&gt;=Inv_SvcP)*(132&lt;Inv_SvcP+Inv_F*12)/(Inv_F*12+(Inv_F=0)))*EG$9</f>
        <v>0</v>
      </c>
      <c r="EH103" s="48" t="n">
        <f aca="false">SUMPRODUCT(Inv_D*(Inv_F&gt;0)*(133&gt;=Inv_SvcP)*(133&lt;Inv_SvcP+Inv_F*12)/(Inv_F*12+(Inv_F=0)))*EH$9</f>
        <v>0</v>
      </c>
      <c r="EI103" s="48" t="n">
        <f aca="false">SUMPRODUCT(Inv_D*(Inv_F&gt;0)*(134&gt;=Inv_SvcP)*(134&lt;Inv_SvcP+Inv_F*12)/(Inv_F*12+(Inv_F=0)))*EI$9</f>
        <v>0</v>
      </c>
      <c r="EJ103" s="48" t="n">
        <f aca="false">SUMPRODUCT(Inv_D*(Inv_F&gt;0)*(135&gt;=Inv_SvcP)*(135&lt;Inv_SvcP+Inv_F*12)/(Inv_F*12+(Inv_F=0)))*EJ$9</f>
        <v>0</v>
      </c>
      <c r="EK103" s="48" t="n">
        <f aca="false">SUMPRODUCT(Inv_D*(Inv_F&gt;0)*(136&gt;=Inv_SvcP)*(136&lt;Inv_SvcP+Inv_F*12)/(Inv_F*12+(Inv_F=0)))*EK$9</f>
        <v>0</v>
      </c>
      <c r="EL103" s="48" t="n">
        <f aca="false">SUMPRODUCT(Inv_D*(Inv_F&gt;0)*(137&gt;=Inv_SvcP)*(137&lt;Inv_SvcP+Inv_F*12)/(Inv_F*12+(Inv_F=0)))*EL$9</f>
        <v>0</v>
      </c>
      <c r="EM103" s="48" t="n">
        <f aca="false">SUMPRODUCT(Inv_D*(Inv_F&gt;0)*(138&gt;=Inv_SvcP)*(138&lt;Inv_SvcP+Inv_F*12)/(Inv_F*12+(Inv_F=0)))*EM$9</f>
        <v>0</v>
      </c>
      <c r="EN103" s="48" t="n">
        <f aca="false">SUMPRODUCT(Inv_D*(Inv_F&gt;0)*(139&gt;=Inv_SvcP)*(139&lt;Inv_SvcP+Inv_F*12)/(Inv_F*12+(Inv_F=0)))*EN$9</f>
        <v>0</v>
      </c>
      <c r="EO103" s="48" t="n">
        <f aca="false">SUMPRODUCT(Inv_D*(Inv_F&gt;0)*(140&gt;=Inv_SvcP)*(140&lt;Inv_SvcP+Inv_F*12)/(Inv_F*12+(Inv_F=0)))*EO$9</f>
        <v>0</v>
      </c>
      <c r="EP103" s="48" t="n">
        <f aca="false">SUMPRODUCT(Inv_D*(Inv_F&gt;0)*(141&gt;=Inv_SvcP)*(141&lt;Inv_SvcP+Inv_F*12)/(Inv_F*12+(Inv_F=0)))*EP$9</f>
        <v>0</v>
      </c>
      <c r="EQ103" s="48" t="n">
        <f aca="false">SUMPRODUCT(Inv_D*(Inv_F&gt;0)*(142&gt;=Inv_SvcP)*(142&lt;Inv_SvcP+Inv_F*12)/(Inv_F*12+(Inv_F=0)))*EQ$9</f>
        <v>0</v>
      </c>
      <c r="ER103" s="48" t="n">
        <f aca="false">SUMPRODUCT(Inv_D*(Inv_F&gt;0)*(143&gt;=Inv_SvcP)*(143&lt;Inv_SvcP+Inv_F*12)/(Inv_F*12+(Inv_F=0)))*ER$9</f>
        <v>0</v>
      </c>
      <c r="ES103" s="48" t="n">
        <f aca="false">SUMPRODUCT(Inv_D*(Inv_F&gt;0)*(144&gt;=Inv_SvcP)*(144&lt;Inv_SvcP+Inv_F*12)/(Inv_F*12+(Inv_F=0)))*ES$9</f>
        <v>0</v>
      </c>
    </row>
    <row r="104" customFormat="false" ht="15" hidden="false" customHeight="false" outlineLevel="0" collapsed="false">
      <c r="A104" s="11" t="s">
        <v>1177</v>
      </c>
      <c r="B104" s="15" t="s">
        <v>1178</v>
      </c>
      <c r="C104" s="15" t="s">
        <v>508</v>
      </c>
      <c r="E104" s="54" t="n">
        <f aca="false">SUM(F104:ES104)</f>
        <v>15564459.926261</v>
      </c>
      <c r="F104" s="48" t="n">
        <f aca="false">F$102-F$103</f>
        <v>36531.4830589231</v>
      </c>
      <c r="G104" s="48" t="n">
        <f aca="false">G$102-G$103</f>
        <v>36531.4830589231</v>
      </c>
      <c r="H104" s="48" t="n">
        <f aca="false">H$102-H$103</f>
        <v>36531.4830589231</v>
      </c>
      <c r="I104" s="48" t="n">
        <f aca="false">I$102-I$103</f>
        <v>36531.4830589231</v>
      </c>
      <c r="J104" s="48" t="n">
        <f aca="false">J$102-J$103</f>
        <v>36531.4830589231</v>
      </c>
      <c r="K104" s="48" t="n">
        <f aca="false">K$102-K$103</f>
        <v>36531.4830589231</v>
      </c>
      <c r="L104" s="48" t="n">
        <f aca="false">L$102-L$103</f>
        <v>36531.4830589231</v>
      </c>
      <c r="M104" s="48" t="n">
        <f aca="false">M$102-M$103</f>
        <v>36531.4830589231</v>
      </c>
      <c r="N104" s="48" t="n">
        <f aca="false">N$102-N$103</f>
        <v>36531.4830589231</v>
      </c>
      <c r="O104" s="48" t="n">
        <f aca="false">O$102-O$103</f>
        <v>36531.4830589231</v>
      </c>
      <c r="P104" s="48" t="n">
        <f aca="false">P$102-P$103</f>
        <v>36531.4830589231</v>
      </c>
      <c r="Q104" s="48" t="n">
        <f aca="false">Q$102-Q$103</f>
        <v>36531.4830589231</v>
      </c>
      <c r="R104" s="48" t="n">
        <f aca="false">R$102-R$103</f>
        <v>73697.0522439648</v>
      </c>
      <c r="S104" s="48" t="n">
        <f aca="false">S$102-S$103</f>
        <v>73697.0522439648</v>
      </c>
      <c r="T104" s="48" t="n">
        <f aca="false">T$102-T$103</f>
        <v>73697.0522439648</v>
      </c>
      <c r="U104" s="48" t="n">
        <f aca="false">U$102-U$103</f>
        <v>73697.0522439648</v>
      </c>
      <c r="V104" s="48" t="n">
        <f aca="false">V$102-V$103</f>
        <v>73697.0522439648</v>
      </c>
      <c r="W104" s="48" t="n">
        <f aca="false">W$102-W$103</f>
        <v>73697.0522439648</v>
      </c>
      <c r="X104" s="48" t="n">
        <f aca="false">X$102-X$103</f>
        <v>73697.0522439648</v>
      </c>
      <c r="Y104" s="48" t="n">
        <f aca="false">Y$102-Y$103</f>
        <v>73697.0522439648</v>
      </c>
      <c r="Z104" s="48" t="n">
        <f aca="false">Z$102-Z$103</f>
        <v>73697.0522439648</v>
      </c>
      <c r="AA104" s="48" t="n">
        <f aca="false">AA$102-AA$103</f>
        <v>73697.0522439648</v>
      </c>
      <c r="AB104" s="48" t="n">
        <f aca="false">AB$102-AB$103</f>
        <v>73697.0522439648</v>
      </c>
      <c r="AC104" s="48" t="n">
        <f aca="false">AC$102-AC$103</f>
        <v>73697.0522439648</v>
      </c>
      <c r="AD104" s="48" t="n">
        <f aca="false">AD$102-AD$103</f>
        <v>110285.680115125</v>
      </c>
      <c r="AE104" s="48" t="n">
        <f aca="false">AE$102-AE$103</f>
        <v>110285.680115125</v>
      </c>
      <c r="AF104" s="48" t="n">
        <f aca="false">AF$102-AF$103</f>
        <v>110285.680115125</v>
      </c>
      <c r="AG104" s="48" t="n">
        <f aca="false">AG$102-AG$103</f>
        <v>110285.680115125</v>
      </c>
      <c r="AH104" s="48" t="n">
        <f aca="false">AH$102-AH$103</f>
        <v>110285.680115125</v>
      </c>
      <c r="AI104" s="48" t="n">
        <f aca="false">AI$102-AI$103</f>
        <v>110285.680115125</v>
      </c>
      <c r="AJ104" s="48" t="n">
        <f aca="false">AJ$102-AJ$103</f>
        <v>110285.680115125</v>
      </c>
      <c r="AK104" s="48" t="n">
        <f aca="false">AK$102-AK$103</f>
        <v>110285.680115125</v>
      </c>
      <c r="AL104" s="48" t="n">
        <f aca="false">AL$102-AL$103</f>
        <v>110285.680115125</v>
      </c>
      <c r="AM104" s="48" t="n">
        <f aca="false">AM$102-AM$103</f>
        <v>110285.680115125</v>
      </c>
      <c r="AN104" s="48" t="n">
        <f aca="false">AN$102-AN$103</f>
        <v>110285.680115125</v>
      </c>
      <c r="AO104" s="48" t="n">
        <f aca="false">AO$102-AO$103</f>
        <v>110285.680115125</v>
      </c>
      <c r="AP104" s="48" t="n">
        <f aca="false">AP$102-AP$103</f>
        <v>143094.229129858</v>
      </c>
      <c r="AQ104" s="48" t="n">
        <f aca="false">AQ$102-AQ$103</f>
        <v>143094.229129858</v>
      </c>
      <c r="AR104" s="48" t="n">
        <f aca="false">AR$102-AR$103</f>
        <v>143094.229129858</v>
      </c>
      <c r="AS104" s="48" t="n">
        <f aca="false">AS$102-AS$103</f>
        <v>143094.229129858</v>
      </c>
      <c r="AT104" s="48" t="n">
        <f aca="false">AT$102-AT$103</f>
        <v>143094.229129858</v>
      </c>
      <c r="AU104" s="48" t="n">
        <f aca="false">AU$102-AU$103</f>
        <v>143094.229129858</v>
      </c>
      <c r="AV104" s="48" t="n">
        <f aca="false">AV$102-AV$103</f>
        <v>143094.229129858</v>
      </c>
      <c r="AW104" s="48" t="n">
        <f aca="false">AW$102-AW$103</f>
        <v>143094.229129858</v>
      </c>
      <c r="AX104" s="48" t="n">
        <f aca="false">AX$102-AX$103</f>
        <v>143094.229129858</v>
      </c>
      <c r="AY104" s="48" t="n">
        <f aca="false">AY$102-AY$103</f>
        <v>143094.229129858</v>
      </c>
      <c r="AZ104" s="48" t="n">
        <f aca="false">AZ$102-AZ$103</f>
        <v>143094.229129858</v>
      </c>
      <c r="BA104" s="48" t="n">
        <f aca="false">BA$102-BA$103</f>
        <v>143094.229129858</v>
      </c>
      <c r="BB104" s="48" t="n">
        <f aca="false">BB$102-BB$103</f>
        <v>144413.814126374</v>
      </c>
      <c r="BC104" s="48" t="n">
        <f aca="false">BC$102-BC$103</f>
        <v>144413.814126374</v>
      </c>
      <c r="BD104" s="48" t="n">
        <f aca="false">BD$102-BD$103</f>
        <v>144413.814126374</v>
      </c>
      <c r="BE104" s="48" t="n">
        <f aca="false">BE$102-BE$103</f>
        <v>144413.814126374</v>
      </c>
      <c r="BF104" s="48" t="n">
        <f aca="false">BF$102-BF$103</f>
        <v>144413.814126374</v>
      </c>
      <c r="BG104" s="48" t="n">
        <f aca="false">BG$102-BG$103</f>
        <v>144413.814126374</v>
      </c>
      <c r="BH104" s="48" t="n">
        <f aca="false">BH$102-BH$103</f>
        <v>144413.814126374</v>
      </c>
      <c r="BI104" s="48" t="n">
        <f aca="false">BI$102-BI$103</f>
        <v>144413.814126374</v>
      </c>
      <c r="BJ104" s="48" t="n">
        <f aca="false">BJ$102-BJ$103</f>
        <v>144413.814126374</v>
      </c>
      <c r="BK104" s="48" t="n">
        <f aca="false">BK$102-BK$103</f>
        <v>144413.814126374</v>
      </c>
      <c r="BL104" s="48" t="n">
        <f aca="false">BL$102-BL$103</f>
        <v>144413.814126374</v>
      </c>
      <c r="BM104" s="48" t="n">
        <f aca="false">BM$102-BM$103</f>
        <v>144413.814126374</v>
      </c>
      <c r="BN104" s="48" t="n">
        <f aca="false">BN$102-BN$103</f>
        <v>149515.724381159</v>
      </c>
      <c r="BO104" s="48" t="n">
        <f aca="false">BO$102-BO$103</f>
        <v>149515.724381159</v>
      </c>
      <c r="BP104" s="48" t="n">
        <f aca="false">BP$102-BP$103</f>
        <v>149515.724381159</v>
      </c>
      <c r="BQ104" s="48" t="n">
        <f aca="false">BQ$102-BQ$103</f>
        <v>149515.724381159</v>
      </c>
      <c r="BR104" s="48" t="n">
        <f aca="false">BR$102-BR$103</f>
        <v>149515.724381159</v>
      </c>
      <c r="BS104" s="48" t="n">
        <f aca="false">BS$102-BS$103</f>
        <v>149515.724381159</v>
      </c>
      <c r="BT104" s="48" t="n">
        <f aca="false">BT$102-BT$103</f>
        <v>149515.724381159</v>
      </c>
      <c r="BU104" s="48" t="n">
        <f aca="false">BU$102-BU$103</f>
        <v>149515.724381159</v>
      </c>
      <c r="BV104" s="48" t="n">
        <f aca="false">BV$102-BV$103</f>
        <v>149515.724381159</v>
      </c>
      <c r="BW104" s="48" t="n">
        <f aca="false">BW$102-BW$103</f>
        <v>149515.724381159</v>
      </c>
      <c r="BX104" s="48" t="n">
        <f aca="false">BX$102-BX$103</f>
        <v>149515.724381159</v>
      </c>
      <c r="BY104" s="48" t="n">
        <f aca="false">BY$102-BY$103</f>
        <v>149515.724381159</v>
      </c>
      <c r="BZ104" s="48" t="n">
        <f aca="false">BZ$102-BZ$103</f>
        <v>153631.305072733</v>
      </c>
      <c r="CA104" s="48" t="n">
        <f aca="false">CA$102-CA$103</f>
        <v>153631.305072733</v>
      </c>
      <c r="CB104" s="48" t="n">
        <f aca="false">CB$102-CB$103</f>
        <v>153631.305072733</v>
      </c>
      <c r="CC104" s="48" t="n">
        <f aca="false">CC$102-CC$103</f>
        <v>153631.305072733</v>
      </c>
      <c r="CD104" s="48" t="n">
        <f aca="false">CD$102-CD$103</f>
        <v>153631.305072733</v>
      </c>
      <c r="CE104" s="48" t="n">
        <f aca="false">CE$102-CE$103</f>
        <v>153631.305072733</v>
      </c>
      <c r="CF104" s="48" t="n">
        <f aca="false">CF$102-CF$103</f>
        <v>153631.305072733</v>
      </c>
      <c r="CG104" s="48" t="n">
        <f aca="false">CG$102-CG$103</f>
        <v>153631.305072733</v>
      </c>
      <c r="CH104" s="48" t="n">
        <f aca="false">CH$102-CH$103</f>
        <v>153631.305072733</v>
      </c>
      <c r="CI104" s="48" t="n">
        <f aca="false">CI$102-CI$103</f>
        <v>153631.305072733</v>
      </c>
      <c r="CJ104" s="48" t="n">
        <f aca="false">CJ$102-CJ$103</f>
        <v>153631.305072733</v>
      </c>
      <c r="CK104" s="48" t="n">
        <f aca="false">CK$102-CK$103</f>
        <v>153631.305072733</v>
      </c>
      <c r="CL104" s="48" t="n">
        <f aca="false">CL$102-CL$103</f>
        <v>157775.101129621</v>
      </c>
      <c r="CM104" s="48" t="n">
        <f aca="false">CM$102-CM$103</f>
        <v>157775.101129621</v>
      </c>
      <c r="CN104" s="48" t="n">
        <f aca="false">CN$102-CN$103</f>
        <v>157775.101129621</v>
      </c>
      <c r="CO104" s="48" t="n">
        <f aca="false">CO$102-CO$103</f>
        <v>157775.101129621</v>
      </c>
      <c r="CP104" s="48" t="n">
        <f aca="false">CP$102-CP$103</f>
        <v>157775.101129621</v>
      </c>
      <c r="CQ104" s="48" t="n">
        <f aca="false">CQ$102-CQ$103</f>
        <v>157775.101129621</v>
      </c>
      <c r="CR104" s="48" t="n">
        <f aca="false">CR$102-CR$103</f>
        <v>157775.101129621</v>
      </c>
      <c r="CS104" s="48" t="n">
        <f aca="false">CS$102-CS$103</f>
        <v>157775.101129621</v>
      </c>
      <c r="CT104" s="48" t="n">
        <f aca="false">CT$102-CT$103</f>
        <v>157775.101129621</v>
      </c>
      <c r="CU104" s="48" t="n">
        <f aca="false">CU$102-CU$103</f>
        <v>157775.101129621</v>
      </c>
      <c r="CV104" s="48" t="n">
        <f aca="false">CV$102-CV$103</f>
        <v>157775.101129621</v>
      </c>
      <c r="CW104" s="48" t="n">
        <f aca="false">CW$102-CW$103</f>
        <v>157775.101129621</v>
      </c>
      <c r="CX104" s="48" t="n">
        <f aca="false">CX$102-CX$103</f>
        <v>161947.012232241</v>
      </c>
      <c r="CY104" s="48" t="n">
        <f aca="false">CY$102-CY$103</f>
        <v>161947.012232241</v>
      </c>
      <c r="CZ104" s="48" t="n">
        <f aca="false">CZ$102-CZ$103</f>
        <v>161947.012232241</v>
      </c>
      <c r="DA104" s="48" t="n">
        <f aca="false">DA$102-DA$103</f>
        <v>161947.012232241</v>
      </c>
      <c r="DB104" s="48" t="n">
        <f aca="false">DB$102-DB$103</f>
        <v>161947.012232241</v>
      </c>
      <c r="DC104" s="48" t="n">
        <f aca="false">DC$102-DC$103</f>
        <v>161947.012232241</v>
      </c>
      <c r="DD104" s="48" t="n">
        <f aca="false">DD$102-DD$103</f>
        <v>161947.012232241</v>
      </c>
      <c r="DE104" s="48" t="n">
        <f aca="false">DE$102-DE$103</f>
        <v>161947.012232241</v>
      </c>
      <c r="DF104" s="48" t="n">
        <f aca="false">DF$102-DF$103</f>
        <v>161947.012232241</v>
      </c>
      <c r="DG104" s="48" t="n">
        <f aca="false">DG$102-DG$103</f>
        <v>161947.012232241</v>
      </c>
      <c r="DH104" s="48" t="n">
        <f aca="false">DH$102-DH$103</f>
        <v>161947.012232241</v>
      </c>
      <c r="DI104" s="48" t="n">
        <f aca="false">DI$102-DI$103</f>
        <v>161947.012232241</v>
      </c>
      <c r="DJ104" s="48" t="n">
        <f aca="false">DJ$102-DJ$103</f>
        <v>166146.925698419</v>
      </c>
      <c r="DK104" s="48" t="n">
        <f aca="false">DK$102-DK$103</f>
        <v>166146.925698419</v>
      </c>
      <c r="DL104" s="48" t="n">
        <f aca="false">DL$102-DL$103</f>
        <v>166146.925698419</v>
      </c>
      <c r="DM104" s="48" t="n">
        <f aca="false">DM$102-DM$103</f>
        <v>166146.925698419</v>
      </c>
      <c r="DN104" s="48" t="n">
        <f aca="false">DN$102-DN$103</f>
        <v>166146.925698419</v>
      </c>
      <c r="DO104" s="48" t="n">
        <f aca="false">DO$102-DO$103</f>
        <v>166146.925698419</v>
      </c>
      <c r="DP104" s="48" t="n">
        <f aca="false">DP$102-DP$103</f>
        <v>166146.925698419</v>
      </c>
      <c r="DQ104" s="48" t="n">
        <f aca="false">DQ$102-DQ$103</f>
        <v>166146.925698419</v>
      </c>
      <c r="DR104" s="48" t="n">
        <f aca="false">DR$102-DR$103</f>
        <v>166146.925698419</v>
      </c>
      <c r="DS104" s="48" t="n">
        <f aca="false">DS$102-DS$103</f>
        <v>166146.925698419</v>
      </c>
      <c r="DT104" s="48" t="n">
        <f aca="false">DT$102-DT$103</f>
        <v>166146.925698419</v>
      </c>
      <c r="DU104" s="48" t="n">
        <f aca="false">DU$102-DU$103</f>
        <v>166146.925698419</v>
      </c>
      <c r="DV104" s="48" t="n">
        <f aca="false">DV$102-DV$103</f>
        <v>0</v>
      </c>
      <c r="DW104" s="48" t="n">
        <f aca="false">DW$102-DW$103</f>
        <v>0</v>
      </c>
      <c r="DX104" s="48" t="n">
        <f aca="false">DX$102-DX$103</f>
        <v>0</v>
      </c>
      <c r="DY104" s="48" t="n">
        <f aca="false">DY$102-DY$103</f>
        <v>0</v>
      </c>
      <c r="DZ104" s="48" t="n">
        <f aca="false">DZ$102-DZ$103</f>
        <v>0</v>
      </c>
      <c r="EA104" s="48" t="n">
        <f aca="false">EA$102-EA$103</f>
        <v>0</v>
      </c>
      <c r="EB104" s="48" t="n">
        <f aca="false">EB$102-EB$103</f>
        <v>0</v>
      </c>
      <c r="EC104" s="48" t="n">
        <f aca="false">EC$102-EC$103</f>
        <v>0</v>
      </c>
      <c r="ED104" s="48" t="n">
        <f aca="false">ED$102-ED$103</f>
        <v>0</v>
      </c>
      <c r="EE104" s="48" t="n">
        <f aca="false">EE$102-EE$103</f>
        <v>0</v>
      </c>
      <c r="EF104" s="48" t="n">
        <f aca="false">EF$102-EF$103</f>
        <v>0</v>
      </c>
      <c r="EG104" s="48" t="n">
        <f aca="false">EG$102-EG$103</f>
        <v>0</v>
      </c>
      <c r="EH104" s="48" t="n">
        <f aca="false">EH$102-EH$103</f>
        <v>0</v>
      </c>
      <c r="EI104" s="48" t="n">
        <f aca="false">EI$102-EI$103</f>
        <v>0</v>
      </c>
      <c r="EJ104" s="48" t="n">
        <f aca="false">EJ$102-EJ$103</f>
        <v>0</v>
      </c>
      <c r="EK104" s="48" t="n">
        <f aca="false">EK$102-EK$103</f>
        <v>0</v>
      </c>
      <c r="EL104" s="48" t="n">
        <f aca="false">EL$102-EL$103</f>
        <v>0</v>
      </c>
      <c r="EM104" s="48" t="n">
        <f aca="false">EM$102-EM$103</f>
        <v>0</v>
      </c>
      <c r="EN104" s="48" t="n">
        <f aca="false">EN$102-EN$103</f>
        <v>0</v>
      </c>
      <c r="EO104" s="48" t="n">
        <f aca="false">EO$102-EO$103</f>
        <v>0</v>
      </c>
      <c r="EP104" s="48" t="n">
        <f aca="false">EP$102-EP$103</f>
        <v>0</v>
      </c>
      <c r="EQ104" s="48" t="n">
        <f aca="false">EQ$102-EQ$103</f>
        <v>0</v>
      </c>
      <c r="ER104" s="48" t="n">
        <f aca="false">ER$102-ER$103</f>
        <v>0</v>
      </c>
      <c r="ES104" s="48" t="n">
        <f aca="false">ES$102-ES$103</f>
        <v>0</v>
      </c>
    </row>
    <row r="105" customFormat="false" ht="15" hidden="false" customHeight="false" outlineLevel="0" collapsed="false">
      <c r="A105" s="11" t="s">
        <v>1179</v>
      </c>
      <c r="B105" s="15" t="s">
        <v>1180</v>
      </c>
      <c r="C105" s="15" t="s">
        <v>508</v>
      </c>
      <c r="E105" s="54" t="n">
        <f aca="false">SUM(F105:ES105)</f>
        <v>813214.128224454</v>
      </c>
      <c r="F105" s="48" t="n">
        <f aca="false">(F$124+F$128+F$132+F$140)*(1+P_IVAint)</f>
        <v>23030.59275</v>
      </c>
      <c r="G105" s="48" t="n">
        <f aca="false">(G$124+G$128+G$132+G$140)*(1+P_IVAint)</f>
        <v>23030.59275</v>
      </c>
      <c r="H105" s="48" t="n">
        <f aca="false">(H$124+H$128+H$132+H$140)*(1+P_IVAint)</f>
        <v>23030.59275</v>
      </c>
      <c r="I105" s="48" t="n">
        <f aca="false">(I$124+I$128+I$132+I$140)*(1+P_IVAint)</f>
        <v>23030.59275</v>
      </c>
      <c r="J105" s="48" t="n">
        <f aca="false">(J$124+J$128+J$132+J$140)*(1+P_IVAint)</f>
        <v>23030.59275</v>
      </c>
      <c r="K105" s="48" t="n">
        <f aca="false">(K$124+K$128+K$132+K$140)*(1+P_IVAint)</f>
        <v>23030.59275</v>
      </c>
      <c r="L105" s="48" t="n">
        <f aca="false">(L$124+L$128+L$132+L$140)*(1+P_IVAint)</f>
        <v>23030.59275</v>
      </c>
      <c r="M105" s="48" t="n">
        <f aca="false">(M$124+M$128+M$132+M$140)*(1+P_IVAint)</f>
        <v>22683.0754912188</v>
      </c>
      <c r="N105" s="48" t="n">
        <f aca="false">(N$124+N$128+N$132+N$140)*(1+P_IVAint)</f>
        <v>22332.9518529968</v>
      </c>
      <c r="O105" s="48" t="n">
        <f aca="false">(O$124+O$128+O$132+O$140)*(1+P_IVAint)</f>
        <v>21980.2022874881</v>
      </c>
      <c r="P105" s="48" t="n">
        <f aca="false">(P$124+P$128+P$132+P$140)*(1+P_IVAint)</f>
        <v>21624.8071002381</v>
      </c>
      <c r="Q105" s="48" t="n">
        <f aca="false">(Q$124+Q$128+Q$132+Q$140)*(1+P_IVAint)</f>
        <v>21266.7464490837</v>
      </c>
      <c r="R105" s="48" t="n">
        <f aca="false">(R$124+R$128+R$132+R$140)*(1+P_IVAint)</f>
        <v>20906.0003430457</v>
      </c>
      <c r="S105" s="48" t="n">
        <f aca="false">(S$124+S$128+S$132+S$140)*(1+P_IVAint)</f>
        <v>20542.5486412123</v>
      </c>
      <c r="T105" s="48" t="n">
        <f aca="false">(T$124+T$128+T$132+T$140)*(1+P_IVAint)</f>
        <v>20176.3710516152</v>
      </c>
      <c r="U105" s="48" t="n">
        <f aca="false">(U$124+U$128+U$132+U$140)*(1+P_IVAint)</f>
        <v>19807.4471300962</v>
      </c>
      <c r="V105" s="48" t="n">
        <f aca="false">(V$124+V$128+V$132+V$140)*(1+P_IVAint)</f>
        <v>19435.7562791657</v>
      </c>
      <c r="W105" s="48" t="n">
        <f aca="false">(W$124+W$128+W$132+W$140)*(1+P_IVAint)</f>
        <v>19061.2777468533</v>
      </c>
      <c r="X105" s="48" t="n">
        <f aca="false">(X$124+X$128+X$132+X$140)*(1+P_IVAint)</f>
        <v>18683.9906255485</v>
      </c>
      <c r="Y105" s="48" t="n">
        <f aca="false">(Y$124+Y$128+Y$132+Y$140)*(1+P_IVAint)</f>
        <v>18303.873850834</v>
      </c>
      <c r="Z105" s="48" t="n">
        <f aca="false">(Z$124+Z$128+Z$132+Z$140)*(1+P_IVAint)</f>
        <v>17920.906200309</v>
      </c>
      <c r="AA105" s="48" t="n">
        <f aca="false">(AA$124+AA$128+AA$132+AA$140)*(1+P_IVAint)</f>
        <v>17535.0662924052</v>
      </c>
      <c r="AB105" s="48" t="n">
        <f aca="false">(AB$124+AB$128+AB$132+AB$140)*(1+P_IVAint)</f>
        <v>17146.3325851921</v>
      </c>
      <c r="AC105" s="48" t="n">
        <f aca="false">(AC$124+AC$128+AC$132+AC$140)*(1+P_IVAint)</f>
        <v>16754.6833751748</v>
      </c>
      <c r="AD105" s="48" t="n">
        <f aca="false">(AD$124+AD$128+AD$132+AD$140)*(1+P_IVAint)</f>
        <v>16360.0967960825</v>
      </c>
      <c r="AE105" s="48" t="n">
        <f aca="false">(AE$124+AE$128+AE$132+AE$140)*(1+P_IVAint)</f>
        <v>15962.5508176469</v>
      </c>
      <c r="AF105" s="48" t="n">
        <f aca="false">(AF$124+AF$128+AF$132+AF$140)*(1+P_IVAint)</f>
        <v>15562.0232443731</v>
      </c>
      <c r="AG105" s="48" t="n">
        <f aca="false">(AG$124+AG$128+AG$132+AG$140)*(1+P_IVAint)</f>
        <v>15158.4917142997</v>
      </c>
      <c r="AH105" s="48" t="n">
        <f aca="false">(AH$124+AH$128+AH$132+AH$140)*(1+P_IVAint)</f>
        <v>14751.9336977508</v>
      </c>
      <c r="AI105" s="48" t="n">
        <f aca="false">(AI$124+AI$128+AI$132+AI$140)*(1+P_IVAint)</f>
        <v>14342.3264960777</v>
      </c>
      <c r="AJ105" s="48" t="n">
        <f aca="false">(AJ$124+AJ$128+AJ$132+AJ$140)*(1+P_IVAint)</f>
        <v>13929.6472403921</v>
      </c>
      <c r="AK105" s="48" t="n">
        <f aca="false">(AK$124+AK$128+AK$132+AK$140)*(1+P_IVAint)</f>
        <v>13513.8728902889</v>
      </c>
      <c r="AL105" s="48" t="n">
        <f aca="false">(AL$124+AL$128+AL$132+AL$140)*(1+P_IVAint)</f>
        <v>13094.9802325599</v>
      </c>
      <c r="AM105" s="48" t="n">
        <f aca="false">(AM$124+AM$128+AM$132+AM$140)*(1+P_IVAint)</f>
        <v>12672.9458798979</v>
      </c>
      <c r="AN105" s="48" t="n">
        <f aca="false">(AN$124+AN$128+AN$132+AN$140)*(1+P_IVAint)</f>
        <v>12247.746269591</v>
      </c>
      <c r="AO105" s="48" t="n">
        <f aca="false">(AO$124+AO$128+AO$132+AO$140)*(1+P_IVAint)</f>
        <v>11819.3576622067</v>
      </c>
      <c r="AP105" s="48" t="n">
        <f aca="false">(AP$124+AP$128+AP$132+AP$140)*(1+P_IVAint)</f>
        <v>11387.7561402671</v>
      </c>
      <c r="AQ105" s="48" t="n">
        <f aca="false">(AQ$124+AQ$128+AQ$132+AQ$140)*(1+P_IVAint)</f>
        <v>10952.917606913</v>
      </c>
      <c r="AR105" s="48" t="n">
        <f aca="false">(AR$124+AR$128+AR$132+AR$140)*(1+P_IVAint)</f>
        <v>10514.8177845586</v>
      </c>
      <c r="AS105" s="48" t="n">
        <f aca="false">(AS$124+AS$128+AS$132+AS$140)*(1+P_IVAint)</f>
        <v>10073.4322135366</v>
      </c>
      <c r="AT105" s="48" t="n">
        <f aca="false">(AT$124+AT$128+AT$132+AT$140)*(1+P_IVAint)</f>
        <v>9628.736250732</v>
      </c>
      <c r="AU105" s="48" t="n">
        <f aca="false">(AU$124+AU$128+AU$132+AU$140)*(1+P_IVAint)</f>
        <v>9180.70506820631</v>
      </c>
      <c r="AV105" s="48" t="n">
        <f aca="false">(AV$124+AV$128+AV$132+AV$140)*(1+P_IVAint)</f>
        <v>8729.31365181168</v>
      </c>
      <c r="AW105" s="48" t="n">
        <f aca="false">(AW$124+AW$128+AW$132+AW$140)*(1+P_IVAint)</f>
        <v>8274.5367997941</v>
      </c>
      <c r="AX105" s="48" t="n">
        <f aca="false">(AX$124+AX$128+AX$132+AX$140)*(1+P_IVAint)</f>
        <v>7816.34912138638</v>
      </c>
      <c r="AY105" s="48" t="n">
        <f aca="false">(AY$124+AY$128+AY$132+AY$140)*(1+P_IVAint)</f>
        <v>7354.7250353906</v>
      </c>
      <c r="AZ105" s="48" t="n">
        <f aca="false">(AZ$124+AZ$128+AZ$132+AZ$140)*(1+P_IVAint)</f>
        <v>6889.63876874986</v>
      </c>
      <c r="BA105" s="48" t="n">
        <f aca="false">(BA$124+BA$128+BA$132+BA$140)*(1+P_IVAint)</f>
        <v>6421.06435510931</v>
      </c>
      <c r="BB105" s="48" t="n">
        <f aca="false">(BB$124+BB$128+BB$132+BB$140)*(1+P_IVAint)</f>
        <v>5948.97563336646</v>
      </c>
      <c r="BC105" s="48" t="n">
        <f aca="false">(BC$124+BC$128+BC$132+BC$140)*(1+P_IVAint)</f>
        <v>5473.34624621053</v>
      </c>
      <c r="BD105" s="48" t="n">
        <f aca="false">(BD$124+BD$128+BD$132+BD$140)*(1+P_IVAint)</f>
        <v>4994.14963865093</v>
      </c>
      <c r="BE105" s="48" t="n">
        <f aca="false">(BE$124+BE$128+BE$132+BE$140)*(1+P_IVAint)</f>
        <v>4511.35905653464</v>
      </c>
      <c r="BF105" s="48" t="n">
        <f aca="false">(BF$124+BF$128+BF$132+BF$140)*(1+P_IVAint)</f>
        <v>4024.94754505248</v>
      </c>
      <c r="BG105" s="48" t="n">
        <f aca="false">(BG$124+BG$128+BG$132+BG$140)*(1+P_IVAint)</f>
        <v>3534.8879472342</v>
      </c>
      <c r="BH105" s="48" t="n">
        <f aca="false">(BH$124+BH$128+BH$132+BH$140)*(1+P_IVAint)</f>
        <v>3041.15290243228</v>
      </c>
      <c r="BI105" s="48" t="n">
        <f aca="false">(BI$124+BI$128+BI$132+BI$140)*(1+P_IVAint)</f>
        <v>2543.71484479435</v>
      </c>
      <c r="BJ105" s="48" t="n">
        <f aca="false">(BJ$124+BJ$128+BJ$132+BJ$140)*(1+P_IVAint)</f>
        <v>2042.54600172413</v>
      </c>
      <c r="BK105" s="48" t="n">
        <f aca="false">(BK$124+BK$128+BK$132+BK$140)*(1+P_IVAint)</f>
        <v>1537.61839233089</v>
      </c>
      <c r="BL105" s="48" t="n">
        <f aca="false">(BL$124+BL$128+BL$132+BL$140)*(1+P_IVAint)</f>
        <v>1028.9038258672</v>
      </c>
      <c r="BM105" s="48" t="n">
        <f aca="false">(BM$124+BM$128+BM$132+BM$140)*(1+P_IVAint)</f>
        <v>516.373900155025</v>
      </c>
      <c r="BN105" s="48" t="n">
        <f aca="false">(BN$124+BN$128+BN$132+BN$140)*(1+P_IVAint)</f>
        <v>0</v>
      </c>
      <c r="BO105" s="48" t="n">
        <f aca="false">(BO$124+BO$128+BO$132+BO$140)*(1+P_IVAint)</f>
        <v>0</v>
      </c>
      <c r="BP105" s="48" t="n">
        <f aca="false">(BP$124+BP$128+BP$132+BP$140)*(1+P_IVAint)</f>
        <v>0</v>
      </c>
      <c r="BQ105" s="48" t="n">
        <f aca="false">(BQ$124+BQ$128+BQ$132+BQ$140)*(1+P_IVAint)</f>
        <v>0</v>
      </c>
      <c r="BR105" s="48" t="n">
        <f aca="false">(BR$124+BR$128+BR$132+BR$140)*(1+P_IVAint)</f>
        <v>0</v>
      </c>
      <c r="BS105" s="48" t="n">
        <f aca="false">(BS$124+BS$128+BS$132+BS$140)*(1+P_IVAint)</f>
        <v>0</v>
      </c>
      <c r="BT105" s="48" t="n">
        <f aca="false">(BT$124+BT$128+BT$132+BT$140)*(1+P_IVAint)</f>
        <v>0</v>
      </c>
      <c r="BU105" s="48" t="n">
        <f aca="false">(BU$124+BU$128+BU$132+BU$140)*(1+P_IVAint)</f>
        <v>0</v>
      </c>
      <c r="BV105" s="48" t="n">
        <f aca="false">(BV$124+BV$128+BV$132+BV$140)*(1+P_IVAint)</f>
        <v>0</v>
      </c>
      <c r="BW105" s="48" t="n">
        <f aca="false">(BW$124+BW$128+BW$132+BW$140)*(1+P_IVAint)</f>
        <v>0</v>
      </c>
      <c r="BX105" s="48" t="n">
        <f aca="false">(BX$124+BX$128+BX$132+BX$140)*(1+P_IVAint)</f>
        <v>0</v>
      </c>
      <c r="BY105" s="48" t="n">
        <f aca="false">(BY$124+BY$128+BY$132+BY$140)*(1+P_IVAint)</f>
        <v>0</v>
      </c>
      <c r="BZ105" s="48" t="n">
        <f aca="false">(BZ$124+BZ$128+BZ$132+BZ$140)*(1+P_IVAint)</f>
        <v>0</v>
      </c>
      <c r="CA105" s="48" t="n">
        <f aca="false">(CA$124+CA$128+CA$132+CA$140)*(1+P_IVAint)</f>
        <v>0</v>
      </c>
      <c r="CB105" s="48" t="n">
        <f aca="false">(CB$124+CB$128+CB$132+CB$140)*(1+P_IVAint)</f>
        <v>0</v>
      </c>
      <c r="CC105" s="48" t="n">
        <f aca="false">(CC$124+CC$128+CC$132+CC$140)*(1+P_IVAint)</f>
        <v>0</v>
      </c>
      <c r="CD105" s="48" t="n">
        <f aca="false">(CD$124+CD$128+CD$132+CD$140)*(1+P_IVAint)</f>
        <v>0</v>
      </c>
      <c r="CE105" s="48" t="n">
        <f aca="false">(CE$124+CE$128+CE$132+CE$140)*(1+P_IVAint)</f>
        <v>0</v>
      </c>
      <c r="CF105" s="48" t="n">
        <f aca="false">(CF$124+CF$128+CF$132+CF$140)*(1+P_IVAint)</f>
        <v>0</v>
      </c>
      <c r="CG105" s="48" t="n">
        <f aca="false">(CG$124+CG$128+CG$132+CG$140)*(1+P_IVAint)</f>
        <v>0</v>
      </c>
      <c r="CH105" s="48" t="n">
        <f aca="false">(CH$124+CH$128+CH$132+CH$140)*(1+P_IVAint)</f>
        <v>0</v>
      </c>
      <c r="CI105" s="48" t="n">
        <f aca="false">(CI$124+CI$128+CI$132+CI$140)*(1+P_IVAint)</f>
        <v>0</v>
      </c>
      <c r="CJ105" s="48" t="n">
        <f aca="false">(CJ$124+CJ$128+CJ$132+CJ$140)*(1+P_IVAint)</f>
        <v>0</v>
      </c>
      <c r="CK105" s="48" t="n">
        <f aca="false">(CK$124+CK$128+CK$132+CK$140)*(1+P_IVAint)</f>
        <v>0</v>
      </c>
      <c r="CL105" s="48" t="n">
        <f aca="false">(CL$124+CL$128+CL$132+CL$140)*(1+P_IVAint)</f>
        <v>0</v>
      </c>
      <c r="CM105" s="48" t="n">
        <f aca="false">(CM$124+CM$128+CM$132+CM$140)*(1+P_IVAint)</f>
        <v>0</v>
      </c>
      <c r="CN105" s="48" t="n">
        <f aca="false">(CN$124+CN$128+CN$132+CN$140)*(1+P_IVAint)</f>
        <v>0</v>
      </c>
      <c r="CO105" s="48" t="n">
        <f aca="false">(CO$124+CO$128+CO$132+CO$140)*(1+P_IVAint)</f>
        <v>0</v>
      </c>
      <c r="CP105" s="48" t="n">
        <f aca="false">(CP$124+CP$128+CP$132+CP$140)*(1+P_IVAint)</f>
        <v>0</v>
      </c>
      <c r="CQ105" s="48" t="n">
        <f aca="false">(CQ$124+CQ$128+CQ$132+CQ$140)*(1+P_IVAint)</f>
        <v>0</v>
      </c>
      <c r="CR105" s="48" t="n">
        <f aca="false">(CR$124+CR$128+CR$132+CR$140)*(1+P_IVAint)</f>
        <v>0</v>
      </c>
      <c r="CS105" s="48" t="n">
        <f aca="false">(CS$124+CS$128+CS$132+CS$140)*(1+P_IVAint)</f>
        <v>0</v>
      </c>
      <c r="CT105" s="48" t="n">
        <f aca="false">(CT$124+CT$128+CT$132+CT$140)*(1+P_IVAint)</f>
        <v>0</v>
      </c>
      <c r="CU105" s="48" t="n">
        <f aca="false">(CU$124+CU$128+CU$132+CU$140)*(1+P_IVAint)</f>
        <v>0</v>
      </c>
      <c r="CV105" s="48" t="n">
        <f aca="false">(CV$124+CV$128+CV$132+CV$140)*(1+P_IVAint)</f>
        <v>0</v>
      </c>
      <c r="CW105" s="48" t="n">
        <f aca="false">(CW$124+CW$128+CW$132+CW$140)*(1+P_IVAint)</f>
        <v>0</v>
      </c>
      <c r="CX105" s="48" t="n">
        <f aca="false">(CX$124+CX$128+CX$132+CX$140)*(1+P_IVAint)</f>
        <v>0</v>
      </c>
      <c r="CY105" s="48" t="n">
        <f aca="false">(CY$124+CY$128+CY$132+CY$140)*(1+P_IVAint)</f>
        <v>0</v>
      </c>
      <c r="CZ105" s="48" t="n">
        <f aca="false">(CZ$124+CZ$128+CZ$132+CZ$140)*(1+P_IVAint)</f>
        <v>0</v>
      </c>
      <c r="DA105" s="48" t="n">
        <f aca="false">(DA$124+DA$128+DA$132+DA$140)*(1+P_IVAint)</f>
        <v>0</v>
      </c>
      <c r="DB105" s="48" t="n">
        <f aca="false">(DB$124+DB$128+DB$132+DB$140)*(1+P_IVAint)</f>
        <v>0</v>
      </c>
      <c r="DC105" s="48" t="n">
        <f aca="false">(DC$124+DC$128+DC$132+DC$140)*(1+P_IVAint)</f>
        <v>0</v>
      </c>
      <c r="DD105" s="48" t="n">
        <f aca="false">(DD$124+DD$128+DD$132+DD$140)*(1+P_IVAint)</f>
        <v>0</v>
      </c>
      <c r="DE105" s="48" t="n">
        <f aca="false">(DE$124+DE$128+DE$132+DE$140)*(1+P_IVAint)</f>
        <v>0</v>
      </c>
      <c r="DF105" s="48" t="n">
        <f aca="false">(DF$124+DF$128+DF$132+DF$140)*(1+P_IVAint)</f>
        <v>0</v>
      </c>
      <c r="DG105" s="48" t="n">
        <f aca="false">(DG$124+DG$128+DG$132+DG$140)*(1+P_IVAint)</f>
        <v>0</v>
      </c>
      <c r="DH105" s="48" t="n">
        <f aca="false">(DH$124+DH$128+DH$132+DH$140)*(1+P_IVAint)</f>
        <v>0</v>
      </c>
      <c r="DI105" s="48" t="n">
        <f aca="false">(DI$124+DI$128+DI$132+DI$140)*(1+P_IVAint)</f>
        <v>0</v>
      </c>
      <c r="DJ105" s="48" t="n">
        <f aca="false">(DJ$124+DJ$128+DJ$132+DJ$140)*(1+P_IVAint)</f>
        <v>0</v>
      </c>
      <c r="DK105" s="48" t="n">
        <f aca="false">(DK$124+DK$128+DK$132+DK$140)*(1+P_IVAint)</f>
        <v>0</v>
      </c>
      <c r="DL105" s="48" t="n">
        <f aca="false">(DL$124+DL$128+DL$132+DL$140)*(1+P_IVAint)</f>
        <v>0</v>
      </c>
      <c r="DM105" s="48" t="n">
        <f aca="false">(DM$124+DM$128+DM$132+DM$140)*(1+P_IVAint)</f>
        <v>0</v>
      </c>
      <c r="DN105" s="48" t="n">
        <f aca="false">(DN$124+DN$128+DN$132+DN$140)*(1+P_IVAint)</f>
        <v>0</v>
      </c>
      <c r="DO105" s="48" t="n">
        <f aca="false">(DO$124+DO$128+DO$132+DO$140)*(1+P_IVAint)</f>
        <v>0</v>
      </c>
      <c r="DP105" s="48" t="n">
        <f aca="false">(DP$124+DP$128+DP$132+DP$140)*(1+P_IVAint)</f>
        <v>0</v>
      </c>
      <c r="DQ105" s="48" t="n">
        <f aca="false">(DQ$124+DQ$128+DQ$132+DQ$140)*(1+P_IVAint)</f>
        <v>0</v>
      </c>
      <c r="DR105" s="48" t="n">
        <f aca="false">(DR$124+DR$128+DR$132+DR$140)*(1+P_IVAint)</f>
        <v>0</v>
      </c>
      <c r="DS105" s="48" t="n">
        <f aca="false">(DS$124+DS$128+DS$132+DS$140)*(1+P_IVAint)</f>
        <v>0</v>
      </c>
      <c r="DT105" s="48" t="n">
        <f aca="false">(DT$124+DT$128+DT$132+DT$140)*(1+P_IVAint)</f>
        <v>0</v>
      </c>
      <c r="DU105" s="48" t="n">
        <f aca="false">(DU$124+DU$128+DU$132+DU$140)*(1+P_IVAint)</f>
        <v>0</v>
      </c>
      <c r="DV105" s="48" t="n">
        <f aca="false">(DV$124+DV$128+DV$132+DV$140)*(1+P_IVAint)</f>
        <v>0</v>
      </c>
      <c r="DW105" s="48" t="n">
        <f aca="false">(DW$124+DW$128+DW$132+DW$140)*(1+P_IVAint)</f>
        <v>0</v>
      </c>
      <c r="DX105" s="48" t="n">
        <f aca="false">(DX$124+DX$128+DX$132+DX$140)*(1+P_IVAint)</f>
        <v>0</v>
      </c>
      <c r="DY105" s="48" t="n">
        <f aca="false">(DY$124+DY$128+DY$132+DY$140)*(1+P_IVAint)</f>
        <v>0</v>
      </c>
      <c r="DZ105" s="48" t="n">
        <f aca="false">(DZ$124+DZ$128+DZ$132+DZ$140)*(1+P_IVAint)</f>
        <v>0</v>
      </c>
      <c r="EA105" s="48" t="n">
        <f aca="false">(EA$124+EA$128+EA$132+EA$140)*(1+P_IVAint)</f>
        <v>0</v>
      </c>
      <c r="EB105" s="48" t="n">
        <f aca="false">(EB$124+EB$128+EB$132+EB$140)*(1+P_IVAint)</f>
        <v>0</v>
      </c>
      <c r="EC105" s="48" t="n">
        <f aca="false">(EC$124+EC$128+EC$132+EC$140)*(1+P_IVAint)</f>
        <v>0</v>
      </c>
      <c r="ED105" s="48" t="n">
        <f aca="false">(ED$124+ED$128+ED$132+ED$140)*(1+P_IVAint)</f>
        <v>0</v>
      </c>
      <c r="EE105" s="48" t="n">
        <f aca="false">(EE$124+EE$128+EE$132+EE$140)*(1+P_IVAint)</f>
        <v>0</v>
      </c>
      <c r="EF105" s="48" t="n">
        <f aca="false">(EF$124+EF$128+EF$132+EF$140)*(1+P_IVAint)</f>
        <v>0</v>
      </c>
      <c r="EG105" s="48" t="n">
        <f aca="false">(EG$124+EG$128+EG$132+EG$140)*(1+P_IVAint)</f>
        <v>0</v>
      </c>
      <c r="EH105" s="48" t="n">
        <f aca="false">(EH$124+EH$128+EH$132+EH$140)*(1+P_IVAint)</f>
        <v>0</v>
      </c>
      <c r="EI105" s="48" t="n">
        <f aca="false">(EI$124+EI$128+EI$132+EI$140)*(1+P_IVAint)</f>
        <v>0</v>
      </c>
      <c r="EJ105" s="48" t="n">
        <f aca="false">(EJ$124+EJ$128+EJ$132+EJ$140)*(1+P_IVAint)</f>
        <v>0</v>
      </c>
      <c r="EK105" s="48" t="n">
        <f aca="false">(EK$124+EK$128+EK$132+EK$140)*(1+P_IVAint)</f>
        <v>0</v>
      </c>
      <c r="EL105" s="48" t="n">
        <f aca="false">(EL$124+EL$128+EL$132+EL$140)*(1+P_IVAint)</f>
        <v>0</v>
      </c>
      <c r="EM105" s="48" t="n">
        <f aca="false">(EM$124+EM$128+EM$132+EM$140)*(1+P_IVAint)</f>
        <v>0</v>
      </c>
      <c r="EN105" s="48" t="n">
        <f aca="false">(EN$124+EN$128+EN$132+EN$140)*(1+P_IVAint)</f>
        <v>0</v>
      </c>
      <c r="EO105" s="48" t="n">
        <f aca="false">(EO$124+EO$128+EO$132+EO$140)*(1+P_IVAint)</f>
        <v>0</v>
      </c>
      <c r="EP105" s="48" t="n">
        <f aca="false">(EP$124+EP$128+EP$132+EP$140)*(1+P_IVAint)</f>
        <v>0</v>
      </c>
      <c r="EQ105" s="48" t="n">
        <f aca="false">(EQ$124+EQ$128+EQ$132+EQ$140)*(1+P_IVAint)</f>
        <v>0</v>
      </c>
      <c r="ER105" s="48" t="n">
        <f aca="false">(ER$124+ER$128+ER$132+ER$140)*(1+P_IVAint)</f>
        <v>0</v>
      </c>
      <c r="ES105" s="48" t="n">
        <f aca="false">(ES$124+ES$128+ES$132+ES$140)*(1+P_IVAint)</f>
        <v>0</v>
      </c>
    </row>
    <row r="106" customFormat="false" ht="15" hidden="false" customHeight="false" outlineLevel="0" collapsed="false">
      <c r="A106" s="11" t="s">
        <v>1181</v>
      </c>
      <c r="B106" s="15" t="s">
        <v>1182</v>
      </c>
      <c r="C106" s="15" t="s">
        <v>508</v>
      </c>
      <c r="E106" s="54" t="n">
        <f aca="false">SUM(F106:ES106)</f>
        <v>0</v>
      </c>
      <c r="F106" s="48" t="n">
        <f aca="false">P_IRE*(F$104-F$105)</f>
        <v>0</v>
      </c>
      <c r="G106" s="48" t="n">
        <f aca="false">P_IRE*(G$104-G$105)</f>
        <v>0</v>
      </c>
      <c r="H106" s="48" t="n">
        <f aca="false">P_IRE*(H$104-H$105)</f>
        <v>0</v>
      </c>
      <c r="I106" s="48" t="n">
        <f aca="false">P_IRE*(I$104-I$105)</f>
        <v>0</v>
      </c>
      <c r="J106" s="48" t="n">
        <f aca="false">P_IRE*(J$104-J$105)</f>
        <v>0</v>
      </c>
      <c r="K106" s="48" t="n">
        <f aca="false">P_IRE*(K$104-K$105)</f>
        <v>0</v>
      </c>
      <c r="L106" s="48" t="n">
        <f aca="false">P_IRE*(L$104-L$105)</f>
        <v>0</v>
      </c>
      <c r="M106" s="48" t="n">
        <f aca="false">P_IRE*(M$104-M$105)</f>
        <v>0</v>
      </c>
      <c r="N106" s="48" t="n">
        <f aca="false">P_IRE*(N$104-N$105)</f>
        <v>0</v>
      </c>
      <c r="O106" s="48" t="n">
        <f aca="false">P_IRE*(O$104-O$105)</f>
        <v>0</v>
      </c>
      <c r="P106" s="48" t="n">
        <f aca="false">P_IRE*(P$104-P$105)</f>
        <v>0</v>
      </c>
      <c r="Q106" s="48" t="n">
        <f aca="false">P_IRE*(Q$104-Q$105)</f>
        <v>0</v>
      </c>
      <c r="R106" s="48" t="n">
        <f aca="false">P_IRE*(R$104-R$105)</f>
        <v>0</v>
      </c>
      <c r="S106" s="48" t="n">
        <f aca="false">P_IRE*(S$104-S$105)</f>
        <v>0</v>
      </c>
      <c r="T106" s="48" t="n">
        <f aca="false">P_IRE*(T$104-T$105)</f>
        <v>0</v>
      </c>
      <c r="U106" s="48" t="n">
        <f aca="false">P_IRE*(U$104-U$105)</f>
        <v>0</v>
      </c>
      <c r="V106" s="48" t="n">
        <f aca="false">P_IRE*(V$104-V$105)</f>
        <v>0</v>
      </c>
      <c r="W106" s="48" t="n">
        <f aca="false">P_IRE*(W$104-W$105)</f>
        <v>0</v>
      </c>
      <c r="X106" s="48" t="n">
        <f aca="false">P_IRE*(X$104-X$105)</f>
        <v>0</v>
      </c>
      <c r="Y106" s="48" t="n">
        <f aca="false">P_IRE*(Y$104-Y$105)</f>
        <v>0</v>
      </c>
      <c r="Z106" s="48" t="n">
        <f aca="false">P_IRE*(Z$104-Z$105)</f>
        <v>0</v>
      </c>
      <c r="AA106" s="48" t="n">
        <f aca="false">P_IRE*(AA$104-AA$105)</f>
        <v>0</v>
      </c>
      <c r="AB106" s="48" t="n">
        <f aca="false">P_IRE*(AB$104-AB$105)</f>
        <v>0</v>
      </c>
      <c r="AC106" s="48" t="n">
        <f aca="false">P_IRE*(AC$104-AC$105)</f>
        <v>0</v>
      </c>
      <c r="AD106" s="48" t="n">
        <f aca="false">P_IRE*(AD$104-AD$105)</f>
        <v>0</v>
      </c>
      <c r="AE106" s="48" t="n">
        <f aca="false">P_IRE*(AE$104-AE$105)</f>
        <v>0</v>
      </c>
      <c r="AF106" s="48" t="n">
        <f aca="false">P_IRE*(AF$104-AF$105)</f>
        <v>0</v>
      </c>
      <c r="AG106" s="48" t="n">
        <f aca="false">P_IRE*(AG$104-AG$105)</f>
        <v>0</v>
      </c>
      <c r="AH106" s="48" t="n">
        <f aca="false">P_IRE*(AH$104-AH$105)</f>
        <v>0</v>
      </c>
      <c r="AI106" s="48" t="n">
        <f aca="false">P_IRE*(AI$104-AI$105)</f>
        <v>0</v>
      </c>
      <c r="AJ106" s="48" t="n">
        <f aca="false">P_IRE*(AJ$104-AJ$105)</f>
        <v>0</v>
      </c>
      <c r="AK106" s="48" t="n">
        <f aca="false">P_IRE*(AK$104-AK$105)</f>
        <v>0</v>
      </c>
      <c r="AL106" s="48" t="n">
        <f aca="false">P_IRE*(AL$104-AL$105)</f>
        <v>0</v>
      </c>
      <c r="AM106" s="48" t="n">
        <f aca="false">P_IRE*(AM$104-AM$105)</f>
        <v>0</v>
      </c>
      <c r="AN106" s="48" t="n">
        <f aca="false">P_IRE*(AN$104-AN$105)</f>
        <v>0</v>
      </c>
      <c r="AO106" s="48" t="n">
        <f aca="false">P_IRE*(AO$104-AO$105)</f>
        <v>0</v>
      </c>
      <c r="AP106" s="48" t="n">
        <f aca="false">P_IRE*(AP$104-AP$105)</f>
        <v>0</v>
      </c>
      <c r="AQ106" s="48" t="n">
        <f aca="false">P_IRE*(AQ$104-AQ$105)</f>
        <v>0</v>
      </c>
      <c r="AR106" s="48" t="n">
        <f aca="false">P_IRE*(AR$104-AR$105)</f>
        <v>0</v>
      </c>
      <c r="AS106" s="48" t="n">
        <f aca="false">P_IRE*(AS$104-AS$105)</f>
        <v>0</v>
      </c>
      <c r="AT106" s="48" t="n">
        <f aca="false">P_IRE*(AT$104-AT$105)</f>
        <v>0</v>
      </c>
      <c r="AU106" s="48" t="n">
        <f aca="false">P_IRE*(AU$104-AU$105)</f>
        <v>0</v>
      </c>
      <c r="AV106" s="48" t="n">
        <f aca="false">P_IRE*(AV$104-AV$105)</f>
        <v>0</v>
      </c>
      <c r="AW106" s="48" t="n">
        <f aca="false">P_IRE*(AW$104-AW$105)</f>
        <v>0</v>
      </c>
      <c r="AX106" s="48" t="n">
        <f aca="false">P_IRE*(AX$104-AX$105)</f>
        <v>0</v>
      </c>
      <c r="AY106" s="48" t="n">
        <f aca="false">P_IRE*(AY$104-AY$105)</f>
        <v>0</v>
      </c>
      <c r="AZ106" s="48" t="n">
        <f aca="false">P_IRE*(AZ$104-AZ$105)</f>
        <v>0</v>
      </c>
      <c r="BA106" s="48" t="n">
        <f aca="false">P_IRE*(BA$104-BA$105)</f>
        <v>0</v>
      </c>
      <c r="BB106" s="48" t="n">
        <f aca="false">P_IRE*(BB$104-BB$105)</f>
        <v>0</v>
      </c>
      <c r="BC106" s="48" t="n">
        <f aca="false">P_IRE*(BC$104-BC$105)</f>
        <v>0</v>
      </c>
      <c r="BD106" s="48" t="n">
        <f aca="false">P_IRE*(BD$104-BD$105)</f>
        <v>0</v>
      </c>
      <c r="BE106" s="48" t="n">
        <f aca="false">P_IRE*(BE$104-BE$105)</f>
        <v>0</v>
      </c>
      <c r="BF106" s="48" t="n">
        <f aca="false">P_IRE*(BF$104-BF$105)</f>
        <v>0</v>
      </c>
      <c r="BG106" s="48" t="n">
        <f aca="false">P_IRE*(BG$104-BG$105)</f>
        <v>0</v>
      </c>
      <c r="BH106" s="48" t="n">
        <f aca="false">P_IRE*(BH$104-BH$105)</f>
        <v>0</v>
      </c>
      <c r="BI106" s="48" t="n">
        <f aca="false">P_IRE*(BI$104-BI$105)</f>
        <v>0</v>
      </c>
      <c r="BJ106" s="48" t="n">
        <f aca="false">P_IRE*(BJ$104-BJ$105)</f>
        <v>0</v>
      </c>
      <c r="BK106" s="48" t="n">
        <f aca="false">P_IRE*(BK$104-BK$105)</f>
        <v>0</v>
      </c>
      <c r="BL106" s="48" t="n">
        <f aca="false">P_IRE*(BL$104-BL$105)</f>
        <v>0</v>
      </c>
      <c r="BM106" s="48" t="n">
        <f aca="false">P_IRE*(BM$104-BM$105)</f>
        <v>0</v>
      </c>
      <c r="BN106" s="48" t="n">
        <f aca="false">P_IRE*(BN$104-BN$105)</f>
        <v>0</v>
      </c>
      <c r="BO106" s="48" t="n">
        <f aca="false">P_IRE*(BO$104-BO$105)</f>
        <v>0</v>
      </c>
      <c r="BP106" s="48" t="n">
        <f aca="false">P_IRE*(BP$104-BP$105)</f>
        <v>0</v>
      </c>
      <c r="BQ106" s="48" t="n">
        <f aca="false">P_IRE*(BQ$104-BQ$105)</f>
        <v>0</v>
      </c>
      <c r="BR106" s="48" t="n">
        <f aca="false">P_IRE*(BR$104-BR$105)</f>
        <v>0</v>
      </c>
      <c r="BS106" s="48" t="n">
        <f aca="false">P_IRE*(BS$104-BS$105)</f>
        <v>0</v>
      </c>
      <c r="BT106" s="48" t="n">
        <f aca="false">P_IRE*(BT$104-BT$105)</f>
        <v>0</v>
      </c>
      <c r="BU106" s="48" t="n">
        <f aca="false">P_IRE*(BU$104-BU$105)</f>
        <v>0</v>
      </c>
      <c r="BV106" s="48" t="n">
        <f aca="false">P_IRE*(BV$104-BV$105)</f>
        <v>0</v>
      </c>
      <c r="BW106" s="48" t="n">
        <f aca="false">P_IRE*(BW$104-BW$105)</f>
        <v>0</v>
      </c>
      <c r="BX106" s="48" t="n">
        <f aca="false">P_IRE*(BX$104-BX$105)</f>
        <v>0</v>
      </c>
      <c r="BY106" s="48" t="n">
        <f aca="false">P_IRE*(BY$104-BY$105)</f>
        <v>0</v>
      </c>
      <c r="BZ106" s="48" t="n">
        <f aca="false">P_IRE*(BZ$104-BZ$105)</f>
        <v>0</v>
      </c>
      <c r="CA106" s="48" t="n">
        <f aca="false">P_IRE*(CA$104-CA$105)</f>
        <v>0</v>
      </c>
      <c r="CB106" s="48" t="n">
        <f aca="false">P_IRE*(CB$104-CB$105)</f>
        <v>0</v>
      </c>
      <c r="CC106" s="48" t="n">
        <f aca="false">P_IRE*(CC$104-CC$105)</f>
        <v>0</v>
      </c>
      <c r="CD106" s="48" t="n">
        <f aca="false">P_IRE*(CD$104-CD$105)</f>
        <v>0</v>
      </c>
      <c r="CE106" s="48" t="n">
        <f aca="false">P_IRE*(CE$104-CE$105)</f>
        <v>0</v>
      </c>
      <c r="CF106" s="48" t="n">
        <f aca="false">P_IRE*(CF$104-CF$105)</f>
        <v>0</v>
      </c>
      <c r="CG106" s="48" t="n">
        <f aca="false">P_IRE*(CG$104-CG$105)</f>
        <v>0</v>
      </c>
      <c r="CH106" s="48" t="n">
        <f aca="false">P_IRE*(CH$104-CH$105)</f>
        <v>0</v>
      </c>
      <c r="CI106" s="48" t="n">
        <f aca="false">P_IRE*(CI$104-CI$105)</f>
        <v>0</v>
      </c>
      <c r="CJ106" s="48" t="n">
        <f aca="false">P_IRE*(CJ$104-CJ$105)</f>
        <v>0</v>
      </c>
      <c r="CK106" s="48" t="n">
        <f aca="false">P_IRE*(CK$104-CK$105)</f>
        <v>0</v>
      </c>
      <c r="CL106" s="48" t="n">
        <f aca="false">P_IRE*(CL$104-CL$105)</f>
        <v>0</v>
      </c>
      <c r="CM106" s="48" t="n">
        <f aca="false">P_IRE*(CM$104-CM$105)</f>
        <v>0</v>
      </c>
      <c r="CN106" s="48" t="n">
        <f aca="false">P_IRE*(CN$104-CN$105)</f>
        <v>0</v>
      </c>
      <c r="CO106" s="48" t="n">
        <f aca="false">P_IRE*(CO$104-CO$105)</f>
        <v>0</v>
      </c>
      <c r="CP106" s="48" t="n">
        <f aca="false">P_IRE*(CP$104-CP$105)</f>
        <v>0</v>
      </c>
      <c r="CQ106" s="48" t="n">
        <f aca="false">P_IRE*(CQ$104-CQ$105)</f>
        <v>0</v>
      </c>
      <c r="CR106" s="48" t="n">
        <f aca="false">P_IRE*(CR$104-CR$105)</f>
        <v>0</v>
      </c>
      <c r="CS106" s="48" t="n">
        <f aca="false">P_IRE*(CS$104-CS$105)</f>
        <v>0</v>
      </c>
      <c r="CT106" s="48" t="n">
        <f aca="false">P_IRE*(CT$104-CT$105)</f>
        <v>0</v>
      </c>
      <c r="CU106" s="48" t="n">
        <f aca="false">P_IRE*(CU$104-CU$105)</f>
        <v>0</v>
      </c>
      <c r="CV106" s="48" t="n">
        <f aca="false">P_IRE*(CV$104-CV$105)</f>
        <v>0</v>
      </c>
      <c r="CW106" s="48" t="n">
        <f aca="false">P_IRE*(CW$104-CW$105)</f>
        <v>0</v>
      </c>
      <c r="CX106" s="48" t="n">
        <f aca="false">P_IRE*(CX$104-CX$105)</f>
        <v>0</v>
      </c>
      <c r="CY106" s="48" t="n">
        <f aca="false">P_IRE*(CY$104-CY$105)</f>
        <v>0</v>
      </c>
      <c r="CZ106" s="48" t="n">
        <f aca="false">P_IRE*(CZ$104-CZ$105)</f>
        <v>0</v>
      </c>
      <c r="DA106" s="48" t="n">
        <f aca="false">P_IRE*(DA$104-DA$105)</f>
        <v>0</v>
      </c>
      <c r="DB106" s="48" t="n">
        <f aca="false">P_IRE*(DB$104-DB$105)</f>
        <v>0</v>
      </c>
      <c r="DC106" s="48" t="n">
        <f aca="false">P_IRE*(DC$104-DC$105)</f>
        <v>0</v>
      </c>
      <c r="DD106" s="48" t="n">
        <f aca="false">P_IRE*(DD$104-DD$105)</f>
        <v>0</v>
      </c>
      <c r="DE106" s="48" t="n">
        <f aca="false">P_IRE*(DE$104-DE$105)</f>
        <v>0</v>
      </c>
      <c r="DF106" s="48" t="n">
        <f aca="false">P_IRE*(DF$104-DF$105)</f>
        <v>0</v>
      </c>
      <c r="DG106" s="48" t="n">
        <f aca="false">P_IRE*(DG$104-DG$105)</f>
        <v>0</v>
      </c>
      <c r="DH106" s="48" t="n">
        <f aca="false">P_IRE*(DH$104-DH$105)</f>
        <v>0</v>
      </c>
      <c r="DI106" s="48" t="n">
        <f aca="false">P_IRE*(DI$104-DI$105)</f>
        <v>0</v>
      </c>
      <c r="DJ106" s="48" t="n">
        <f aca="false">P_IRE*(DJ$104-DJ$105)</f>
        <v>0</v>
      </c>
      <c r="DK106" s="48" t="n">
        <f aca="false">P_IRE*(DK$104-DK$105)</f>
        <v>0</v>
      </c>
      <c r="DL106" s="48" t="n">
        <f aca="false">P_IRE*(DL$104-DL$105)</f>
        <v>0</v>
      </c>
      <c r="DM106" s="48" t="n">
        <f aca="false">P_IRE*(DM$104-DM$105)</f>
        <v>0</v>
      </c>
      <c r="DN106" s="48" t="n">
        <f aca="false">P_IRE*(DN$104-DN$105)</f>
        <v>0</v>
      </c>
      <c r="DO106" s="48" t="n">
        <f aca="false">P_IRE*(DO$104-DO$105)</f>
        <v>0</v>
      </c>
      <c r="DP106" s="48" t="n">
        <f aca="false">P_IRE*(DP$104-DP$105)</f>
        <v>0</v>
      </c>
      <c r="DQ106" s="48" t="n">
        <f aca="false">P_IRE*(DQ$104-DQ$105)</f>
        <v>0</v>
      </c>
      <c r="DR106" s="48" t="n">
        <f aca="false">P_IRE*(DR$104-DR$105)</f>
        <v>0</v>
      </c>
      <c r="DS106" s="48" t="n">
        <f aca="false">P_IRE*(DS$104-DS$105)</f>
        <v>0</v>
      </c>
      <c r="DT106" s="48" t="n">
        <f aca="false">P_IRE*(DT$104-DT$105)</f>
        <v>0</v>
      </c>
      <c r="DU106" s="48" t="n">
        <f aca="false">P_IRE*(DU$104-DU$105)</f>
        <v>0</v>
      </c>
      <c r="DV106" s="48" t="n">
        <f aca="false">P_IRE*(DV$104-DV$105)</f>
        <v>0</v>
      </c>
      <c r="DW106" s="48" t="n">
        <f aca="false">P_IRE*(DW$104-DW$105)</f>
        <v>0</v>
      </c>
      <c r="DX106" s="48" t="n">
        <f aca="false">P_IRE*(DX$104-DX$105)</f>
        <v>0</v>
      </c>
      <c r="DY106" s="48" t="n">
        <f aca="false">P_IRE*(DY$104-DY$105)</f>
        <v>0</v>
      </c>
      <c r="DZ106" s="48" t="n">
        <f aca="false">P_IRE*(DZ$104-DZ$105)</f>
        <v>0</v>
      </c>
      <c r="EA106" s="48" t="n">
        <f aca="false">P_IRE*(EA$104-EA$105)</f>
        <v>0</v>
      </c>
      <c r="EB106" s="48" t="n">
        <f aca="false">P_IRE*(EB$104-EB$105)</f>
        <v>0</v>
      </c>
      <c r="EC106" s="48" t="n">
        <f aca="false">P_IRE*(EC$104-EC$105)</f>
        <v>0</v>
      </c>
      <c r="ED106" s="48" t="n">
        <f aca="false">P_IRE*(ED$104-ED$105)</f>
        <v>0</v>
      </c>
      <c r="EE106" s="48" t="n">
        <f aca="false">P_IRE*(EE$104-EE$105)</f>
        <v>0</v>
      </c>
      <c r="EF106" s="48" t="n">
        <f aca="false">P_IRE*(EF$104-EF$105)</f>
        <v>0</v>
      </c>
      <c r="EG106" s="48" t="n">
        <f aca="false">P_IRE*(EG$104-EG$105)</f>
        <v>0</v>
      </c>
      <c r="EH106" s="48" t="n">
        <f aca="false">P_IRE*(EH$104-EH$105)</f>
        <v>0</v>
      </c>
      <c r="EI106" s="48" t="n">
        <f aca="false">P_IRE*(EI$104-EI$105)</f>
        <v>0</v>
      </c>
      <c r="EJ106" s="48" t="n">
        <f aca="false">P_IRE*(EJ$104-EJ$105)</f>
        <v>0</v>
      </c>
      <c r="EK106" s="48" t="n">
        <f aca="false">P_IRE*(EK$104-EK$105)</f>
        <v>0</v>
      </c>
      <c r="EL106" s="48" t="n">
        <f aca="false">P_IRE*(EL$104-EL$105)</f>
        <v>0</v>
      </c>
      <c r="EM106" s="48" t="n">
        <f aca="false">P_IRE*(EM$104-EM$105)</f>
        <v>0</v>
      </c>
      <c r="EN106" s="48" t="n">
        <f aca="false">P_IRE*(EN$104-EN$105)</f>
        <v>0</v>
      </c>
      <c r="EO106" s="48" t="n">
        <f aca="false">P_IRE*(EO$104-EO$105)</f>
        <v>0</v>
      </c>
      <c r="EP106" s="48" t="n">
        <f aca="false">P_IRE*(EP$104-EP$105)</f>
        <v>0</v>
      </c>
      <c r="EQ106" s="48" t="n">
        <f aca="false">P_IRE*(EQ$104-EQ$105)</f>
        <v>0</v>
      </c>
      <c r="ER106" s="48" t="n">
        <f aca="false">P_IRE*(ER$104-ER$105)</f>
        <v>0</v>
      </c>
      <c r="ES106" s="48" t="n">
        <f aca="false">P_IRE*(ES$104-ES$105)</f>
        <v>0</v>
      </c>
    </row>
    <row r="107" customFormat="false" ht="15" hidden="false" customHeight="false" outlineLevel="0" collapsed="false">
      <c r="A107" s="11" t="s">
        <v>1183</v>
      </c>
      <c r="B107" s="67" t="s">
        <v>1184</v>
      </c>
      <c r="C107" s="15" t="s">
        <v>508</v>
      </c>
      <c r="E107" s="54" t="n">
        <f aca="false">SUM(F107:ES107)</f>
        <v>14751245.7980366</v>
      </c>
      <c r="F107" s="19" t="n">
        <f aca="false">F$104-F$105-F$106</f>
        <v>13500.8903089231</v>
      </c>
      <c r="G107" s="19" t="n">
        <f aca="false">G$104-G$105-G$106</f>
        <v>13500.8903089231</v>
      </c>
      <c r="H107" s="19" t="n">
        <f aca="false">H$104-H$105-H$106</f>
        <v>13500.8903089231</v>
      </c>
      <c r="I107" s="19" t="n">
        <f aca="false">I$104-I$105-I$106</f>
        <v>13500.8903089231</v>
      </c>
      <c r="J107" s="19" t="n">
        <f aca="false">J$104-J$105-J$106</f>
        <v>13500.8903089231</v>
      </c>
      <c r="K107" s="19" t="n">
        <f aca="false">K$104-K$105-K$106</f>
        <v>13500.8903089231</v>
      </c>
      <c r="L107" s="19" t="n">
        <f aca="false">L$104-L$105-L$106</f>
        <v>13500.8903089231</v>
      </c>
      <c r="M107" s="19" t="n">
        <f aca="false">M$104-M$105-M$106</f>
        <v>13848.4075677042</v>
      </c>
      <c r="N107" s="19" t="n">
        <f aca="false">N$104-N$105-N$106</f>
        <v>14198.5312059263</v>
      </c>
      <c r="O107" s="19" t="n">
        <f aca="false">O$104-O$105-O$106</f>
        <v>14551.280771435</v>
      </c>
      <c r="P107" s="19" t="n">
        <f aca="false">P$104-P$105-P$106</f>
        <v>14906.675958685</v>
      </c>
      <c r="Q107" s="19" t="n">
        <f aca="false">Q$104-Q$105-Q$106</f>
        <v>15264.7366098394</v>
      </c>
      <c r="R107" s="19" t="n">
        <f aca="false">R$104-R$105-R$106</f>
        <v>52791.0519009191</v>
      </c>
      <c r="S107" s="19" t="n">
        <f aca="false">S$104-S$105-S$106</f>
        <v>53154.5036027525</v>
      </c>
      <c r="T107" s="19" t="n">
        <f aca="false">T$104-T$105-T$106</f>
        <v>53520.6811923496</v>
      </c>
      <c r="U107" s="19" t="n">
        <f aca="false">U$104-U$105-U$106</f>
        <v>53889.6051138686</v>
      </c>
      <c r="V107" s="19" t="n">
        <f aca="false">V$104-V$105-V$106</f>
        <v>54261.2959647991</v>
      </c>
      <c r="W107" s="19" t="n">
        <f aca="false">W$104-W$105-W$106</f>
        <v>54635.7744971115</v>
      </c>
      <c r="X107" s="19" t="n">
        <f aca="false">X$104-X$105-X$106</f>
        <v>55013.0616184163</v>
      </c>
      <c r="Y107" s="19" t="n">
        <f aca="false">Y$104-Y$105-Y$106</f>
        <v>55393.1783931308</v>
      </c>
      <c r="Z107" s="19" t="n">
        <f aca="false">Z$104-Z$105-Z$106</f>
        <v>55776.1460436557</v>
      </c>
      <c r="AA107" s="19" t="n">
        <f aca="false">AA$104-AA$105-AA$106</f>
        <v>56161.9859515596</v>
      </c>
      <c r="AB107" s="19" t="n">
        <f aca="false">AB$104-AB$105-AB$106</f>
        <v>56550.7196587727</v>
      </c>
      <c r="AC107" s="19" t="n">
        <f aca="false">AC$104-AC$105-AC$106</f>
        <v>56942.36886879</v>
      </c>
      <c r="AD107" s="19" t="n">
        <f aca="false">AD$104-AD$105-AD$106</f>
        <v>93925.5833190422</v>
      </c>
      <c r="AE107" s="19" t="n">
        <f aca="false">AE$104-AE$105-AE$106</f>
        <v>94323.1292974778</v>
      </c>
      <c r="AF107" s="19" t="n">
        <f aca="false">AF$104-AF$105-AF$106</f>
        <v>94723.6568707516</v>
      </c>
      <c r="AG107" s="19" t="n">
        <f aca="false">AG$104-AG$105-AG$106</f>
        <v>95127.188400825</v>
      </c>
      <c r="AH107" s="19" t="n">
        <f aca="false">AH$104-AH$105-AH$106</f>
        <v>95533.7464173739</v>
      </c>
      <c r="AI107" s="19" t="n">
        <f aca="false">AI$104-AI$105-AI$106</f>
        <v>95943.353619047</v>
      </c>
      <c r="AJ107" s="19" t="n">
        <f aca="false">AJ$104-AJ$105-AJ$106</f>
        <v>96356.0328747325</v>
      </c>
      <c r="AK107" s="19" t="n">
        <f aca="false">AK$104-AK$105-AK$106</f>
        <v>96771.8072248358</v>
      </c>
      <c r="AL107" s="19" t="n">
        <f aca="false">AL$104-AL$105-AL$106</f>
        <v>97190.6998825648</v>
      </c>
      <c r="AM107" s="19" t="n">
        <f aca="false">AM$104-AM$105-AM$106</f>
        <v>97612.7342352267</v>
      </c>
      <c r="AN107" s="19" t="n">
        <f aca="false">AN$104-AN$105-AN$106</f>
        <v>98037.9338455337</v>
      </c>
      <c r="AO107" s="19" t="n">
        <f aca="false">AO$104-AO$105-AO$106</f>
        <v>98466.3224529179</v>
      </c>
      <c r="AP107" s="19" t="n">
        <f aca="false">AP$104-AP$105-AP$106</f>
        <v>131706.472989591</v>
      </c>
      <c r="AQ107" s="19" t="n">
        <f aca="false">AQ$104-AQ$105-AQ$106</f>
        <v>132141.311522945</v>
      </c>
      <c r="AR107" s="19" t="n">
        <f aca="false">AR$104-AR$105-AR$106</f>
        <v>132579.4113453</v>
      </c>
      <c r="AS107" s="19" t="n">
        <f aca="false">AS$104-AS$105-AS$106</f>
        <v>133020.796916322</v>
      </c>
      <c r="AT107" s="19" t="n">
        <f aca="false">AT$104-AT$105-AT$106</f>
        <v>133465.492879126</v>
      </c>
      <c r="AU107" s="19" t="n">
        <f aca="false">AU$104-AU$105-AU$106</f>
        <v>133913.524061652</v>
      </c>
      <c r="AV107" s="19" t="n">
        <f aca="false">AV$104-AV$105-AV$106</f>
        <v>134364.915478047</v>
      </c>
      <c r="AW107" s="19" t="n">
        <f aca="false">AW$104-AW$105-AW$106</f>
        <v>134819.692330064</v>
      </c>
      <c r="AX107" s="19" t="n">
        <f aca="false">AX$104-AX$105-AX$106</f>
        <v>135277.880008472</v>
      </c>
      <c r="AY107" s="19" t="n">
        <f aca="false">AY$104-AY$105-AY$106</f>
        <v>135739.504094468</v>
      </c>
      <c r="AZ107" s="19" t="n">
        <f aca="false">AZ$104-AZ$105-AZ$106</f>
        <v>136204.590361108</v>
      </c>
      <c r="BA107" s="19" t="n">
        <f aca="false">BA$104-BA$105-BA$106</f>
        <v>136673.164774749</v>
      </c>
      <c r="BB107" s="19" t="n">
        <f aca="false">BB$104-BB$105-BB$106</f>
        <v>138464.838493007</v>
      </c>
      <c r="BC107" s="19" t="n">
        <f aca="false">BC$104-BC$105-BC$106</f>
        <v>138940.467880163</v>
      </c>
      <c r="BD107" s="19" t="n">
        <f aca="false">BD$104-BD$105-BD$106</f>
        <v>139419.664487723</v>
      </c>
      <c r="BE107" s="19" t="n">
        <f aca="false">BE$104-BE$105-BE$106</f>
        <v>139902.455069839</v>
      </c>
      <c r="BF107" s="19" t="n">
        <f aca="false">BF$104-BF$105-BF$106</f>
        <v>140388.866581321</v>
      </c>
      <c r="BG107" s="19" t="n">
        <f aca="false">BG$104-BG$105-BG$106</f>
        <v>140878.926179139</v>
      </c>
      <c r="BH107" s="19" t="n">
        <f aca="false">BH$104-BH$105-BH$106</f>
        <v>141372.661223941</v>
      </c>
      <c r="BI107" s="19" t="n">
        <f aca="false">BI$104-BI$105-BI$106</f>
        <v>141870.099281579</v>
      </c>
      <c r="BJ107" s="19" t="n">
        <f aca="false">BJ$104-BJ$105-BJ$106</f>
        <v>142371.26812465</v>
      </c>
      <c r="BK107" s="19" t="n">
        <f aca="false">BK$104-BK$105-BK$106</f>
        <v>142876.195734043</v>
      </c>
      <c r="BL107" s="19" t="n">
        <f aca="false">BL$104-BL$105-BL$106</f>
        <v>143384.910300506</v>
      </c>
      <c r="BM107" s="19" t="n">
        <f aca="false">BM$104-BM$105-BM$106</f>
        <v>143897.440226219</v>
      </c>
      <c r="BN107" s="19" t="n">
        <f aca="false">BN$104-BN$105-BN$106</f>
        <v>149515.724381159</v>
      </c>
      <c r="BO107" s="19" t="n">
        <f aca="false">BO$104-BO$105-BO$106</f>
        <v>149515.724381159</v>
      </c>
      <c r="BP107" s="19" t="n">
        <f aca="false">BP$104-BP$105-BP$106</f>
        <v>149515.724381159</v>
      </c>
      <c r="BQ107" s="19" t="n">
        <f aca="false">BQ$104-BQ$105-BQ$106</f>
        <v>149515.724381159</v>
      </c>
      <c r="BR107" s="19" t="n">
        <f aca="false">BR$104-BR$105-BR$106</f>
        <v>149515.724381159</v>
      </c>
      <c r="BS107" s="19" t="n">
        <f aca="false">BS$104-BS$105-BS$106</f>
        <v>149515.724381159</v>
      </c>
      <c r="BT107" s="19" t="n">
        <f aca="false">BT$104-BT$105-BT$106</f>
        <v>149515.724381159</v>
      </c>
      <c r="BU107" s="19" t="n">
        <f aca="false">BU$104-BU$105-BU$106</f>
        <v>149515.724381159</v>
      </c>
      <c r="BV107" s="19" t="n">
        <f aca="false">BV$104-BV$105-BV$106</f>
        <v>149515.724381159</v>
      </c>
      <c r="BW107" s="19" t="n">
        <f aca="false">BW$104-BW$105-BW$106</f>
        <v>149515.724381159</v>
      </c>
      <c r="BX107" s="19" t="n">
        <f aca="false">BX$104-BX$105-BX$106</f>
        <v>149515.724381159</v>
      </c>
      <c r="BY107" s="19" t="n">
        <f aca="false">BY$104-BY$105-BY$106</f>
        <v>149515.724381159</v>
      </c>
      <c r="BZ107" s="19" t="n">
        <f aca="false">BZ$104-BZ$105-BZ$106</f>
        <v>153631.305072733</v>
      </c>
      <c r="CA107" s="19" t="n">
        <f aca="false">CA$104-CA$105-CA$106</f>
        <v>153631.305072733</v>
      </c>
      <c r="CB107" s="19" t="n">
        <f aca="false">CB$104-CB$105-CB$106</f>
        <v>153631.305072733</v>
      </c>
      <c r="CC107" s="19" t="n">
        <f aca="false">CC$104-CC$105-CC$106</f>
        <v>153631.305072733</v>
      </c>
      <c r="CD107" s="19" t="n">
        <f aca="false">CD$104-CD$105-CD$106</f>
        <v>153631.305072733</v>
      </c>
      <c r="CE107" s="19" t="n">
        <f aca="false">CE$104-CE$105-CE$106</f>
        <v>153631.305072733</v>
      </c>
      <c r="CF107" s="19" t="n">
        <f aca="false">CF$104-CF$105-CF$106</f>
        <v>153631.305072733</v>
      </c>
      <c r="CG107" s="19" t="n">
        <f aca="false">CG$104-CG$105-CG$106</f>
        <v>153631.305072733</v>
      </c>
      <c r="CH107" s="19" t="n">
        <f aca="false">CH$104-CH$105-CH$106</f>
        <v>153631.305072733</v>
      </c>
      <c r="CI107" s="19" t="n">
        <f aca="false">CI$104-CI$105-CI$106</f>
        <v>153631.305072733</v>
      </c>
      <c r="CJ107" s="19" t="n">
        <f aca="false">CJ$104-CJ$105-CJ$106</f>
        <v>153631.305072733</v>
      </c>
      <c r="CK107" s="19" t="n">
        <f aca="false">CK$104-CK$105-CK$106</f>
        <v>153631.305072733</v>
      </c>
      <c r="CL107" s="19" t="n">
        <f aca="false">CL$104-CL$105-CL$106</f>
        <v>157775.101129621</v>
      </c>
      <c r="CM107" s="19" t="n">
        <f aca="false">CM$104-CM$105-CM$106</f>
        <v>157775.101129621</v>
      </c>
      <c r="CN107" s="19" t="n">
        <f aca="false">CN$104-CN$105-CN$106</f>
        <v>157775.101129621</v>
      </c>
      <c r="CO107" s="19" t="n">
        <f aca="false">CO$104-CO$105-CO$106</f>
        <v>157775.101129621</v>
      </c>
      <c r="CP107" s="19" t="n">
        <f aca="false">CP$104-CP$105-CP$106</f>
        <v>157775.101129621</v>
      </c>
      <c r="CQ107" s="19" t="n">
        <f aca="false">CQ$104-CQ$105-CQ$106</f>
        <v>157775.101129621</v>
      </c>
      <c r="CR107" s="19" t="n">
        <f aca="false">CR$104-CR$105-CR$106</f>
        <v>157775.101129621</v>
      </c>
      <c r="CS107" s="19" t="n">
        <f aca="false">CS$104-CS$105-CS$106</f>
        <v>157775.101129621</v>
      </c>
      <c r="CT107" s="19" t="n">
        <f aca="false">CT$104-CT$105-CT$106</f>
        <v>157775.101129621</v>
      </c>
      <c r="CU107" s="19" t="n">
        <f aca="false">CU$104-CU$105-CU$106</f>
        <v>157775.101129621</v>
      </c>
      <c r="CV107" s="19" t="n">
        <f aca="false">CV$104-CV$105-CV$106</f>
        <v>157775.101129621</v>
      </c>
      <c r="CW107" s="19" t="n">
        <f aca="false">CW$104-CW$105-CW$106</f>
        <v>157775.101129621</v>
      </c>
      <c r="CX107" s="19" t="n">
        <f aca="false">CX$104-CX$105-CX$106</f>
        <v>161947.012232241</v>
      </c>
      <c r="CY107" s="19" t="n">
        <f aca="false">CY$104-CY$105-CY$106</f>
        <v>161947.012232241</v>
      </c>
      <c r="CZ107" s="19" t="n">
        <f aca="false">CZ$104-CZ$105-CZ$106</f>
        <v>161947.012232241</v>
      </c>
      <c r="DA107" s="19" t="n">
        <f aca="false">DA$104-DA$105-DA$106</f>
        <v>161947.012232241</v>
      </c>
      <c r="DB107" s="19" t="n">
        <f aca="false">DB$104-DB$105-DB$106</f>
        <v>161947.012232241</v>
      </c>
      <c r="DC107" s="19" t="n">
        <f aca="false">DC$104-DC$105-DC$106</f>
        <v>161947.012232241</v>
      </c>
      <c r="DD107" s="19" t="n">
        <f aca="false">DD$104-DD$105-DD$106</f>
        <v>161947.012232241</v>
      </c>
      <c r="DE107" s="19" t="n">
        <f aca="false">DE$104-DE$105-DE$106</f>
        <v>161947.012232241</v>
      </c>
      <c r="DF107" s="19" t="n">
        <f aca="false">DF$104-DF$105-DF$106</f>
        <v>161947.012232241</v>
      </c>
      <c r="DG107" s="19" t="n">
        <f aca="false">DG$104-DG$105-DG$106</f>
        <v>161947.012232241</v>
      </c>
      <c r="DH107" s="19" t="n">
        <f aca="false">DH$104-DH$105-DH$106</f>
        <v>161947.012232241</v>
      </c>
      <c r="DI107" s="19" t="n">
        <f aca="false">DI$104-DI$105-DI$106</f>
        <v>161947.012232241</v>
      </c>
      <c r="DJ107" s="19" t="n">
        <f aca="false">DJ$104-DJ$105-DJ$106</f>
        <v>166146.925698419</v>
      </c>
      <c r="DK107" s="19" t="n">
        <f aca="false">DK$104-DK$105-DK$106</f>
        <v>166146.925698419</v>
      </c>
      <c r="DL107" s="19" t="n">
        <f aca="false">DL$104-DL$105-DL$106</f>
        <v>166146.925698419</v>
      </c>
      <c r="DM107" s="19" t="n">
        <f aca="false">DM$104-DM$105-DM$106</f>
        <v>166146.925698419</v>
      </c>
      <c r="DN107" s="19" t="n">
        <f aca="false">DN$104-DN$105-DN$106</f>
        <v>166146.925698419</v>
      </c>
      <c r="DO107" s="19" t="n">
        <f aca="false">DO$104-DO$105-DO$106</f>
        <v>166146.925698419</v>
      </c>
      <c r="DP107" s="19" t="n">
        <f aca="false">DP$104-DP$105-DP$106</f>
        <v>166146.925698419</v>
      </c>
      <c r="DQ107" s="19" t="n">
        <f aca="false">DQ$104-DQ$105-DQ$106</f>
        <v>166146.925698419</v>
      </c>
      <c r="DR107" s="19" t="n">
        <f aca="false">DR$104-DR$105-DR$106</f>
        <v>166146.925698419</v>
      </c>
      <c r="DS107" s="19" t="n">
        <f aca="false">DS$104-DS$105-DS$106</f>
        <v>166146.925698419</v>
      </c>
      <c r="DT107" s="19" t="n">
        <f aca="false">DT$104-DT$105-DT$106</f>
        <v>166146.925698419</v>
      </c>
      <c r="DU107" s="19" t="n">
        <f aca="false">DU$104-DU$105-DU$106</f>
        <v>166146.925698419</v>
      </c>
      <c r="DV107" s="19" t="n">
        <f aca="false">DV$104-DV$105-DV$106</f>
        <v>0</v>
      </c>
      <c r="DW107" s="19" t="n">
        <f aca="false">DW$104-DW$105-DW$106</f>
        <v>0</v>
      </c>
      <c r="DX107" s="19" t="n">
        <f aca="false">DX$104-DX$105-DX$106</f>
        <v>0</v>
      </c>
      <c r="DY107" s="19" t="n">
        <f aca="false">DY$104-DY$105-DY$106</f>
        <v>0</v>
      </c>
      <c r="DZ107" s="19" t="n">
        <f aca="false">DZ$104-DZ$105-DZ$106</f>
        <v>0</v>
      </c>
      <c r="EA107" s="19" t="n">
        <f aca="false">EA$104-EA$105-EA$106</f>
        <v>0</v>
      </c>
      <c r="EB107" s="19" t="n">
        <f aca="false">EB$104-EB$105-EB$106</f>
        <v>0</v>
      </c>
      <c r="EC107" s="19" t="n">
        <f aca="false">EC$104-EC$105-EC$106</f>
        <v>0</v>
      </c>
      <c r="ED107" s="19" t="n">
        <f aca="false">ED$104-ED$105-ED$106</f>
        <v>0</v>
      </c>
      <c r="EE107" s="19" t="n">
        <f aca="false">EE$104-EE$105-EE$106</f>
        <v>0</v>
      </c>
      <c r="EF107" s="19" t="n">
        <f aca="false">EF$104-EF$105-EF$106</f>
        <v>0</v>
      </c>
      <c r="EG107" s="19" t="n">
        <f aca="false">EG$104-EG$105-EG$106</f>
        <v>0</v>
      </c>
      <c r="EH107" s="19" t="n">
        <f aca="false">EH$104-EH$105-EH$106</f>
        <v>0</v>
      </c>
      <c r="EI107" s="19" t="n">
        <f aca="false">EI$104-EI$105-EI$106</f>
        <v>0</v>
      </c>
      <c r="EJ107" s="19" t="n">
        <f aca="false">EJ$104-EJ$105-EJ$106</f>
        <v>0</v>
      </c>
      <c r="EK107" s="19" t="n">
        <f aca="false">EK$104-EK$105-EK$106</f>
        <v>0</v>
      </c>
      <c r="EL107" s="19" t="n">
        <f aca="false">EL$104-EL$105-EL$106</f>
        <v>0</v>
      </c>
      <c r="EM107" s="19" t="n">
        <f aca="false">EM$104-EM$105-EM$106</f>
        <v>0</v>
      </c>
      <c r="EN107" s="19" t="n">
        <f aca="false">EN$104-EN$105-EN$106</f>
        <v>0</v>
      </c>
      <c r="EO107" s="19" t="n">
        <f aca="false">EO$104-EO$105-EO$106</f>
        <v>0</v>
      </c>
      <c r="EP107" s="19" t="n">
        <f aca="false">EP$104-EP$105-EP$106</f>
        <v>0</v>
      </c>
      <c r="EQ107" s="19" t="n">
        <f aca="false">EQ$104-EQ$105-EQ$106</f>
        <v>0</v>
      </c>
      <c r="ER107" s="19" t="n">
        <f aca="false">ER$104-ER$105-ER$106</f>
        <v>0</v>
      </c>
      <c r="ES107" s="19" t="n">
        <f aca="false">ES$104-ES$105-ES$106</f>
        <v>0</v>
      </c>
    </row>
    <row r="108" customFormat="false" ht="15" hidden="false" customHeight="false" outlineLevel="0" collapsed="false">
      <c r="A108" s="13"/>
      <c r="B108" s="12" t="s">
        <v>1185</v>
      </c>
      <c r="C108" s="13"/>
      <c r="D108" s="13"/>
      <c r="E108" s="13"/>
    </row>
    <row r="109" customFormat="false" ht="15" hidden="false" customHeight="false" outlineLevel="0" collapsed="false">
      <c r="A109" s="11" t="s">
        <v>1186</v>
      </c>
      <c r="B109" s="15" t="s">
        <v>1187</v>
      </c>
      <c r="C109" s="15" t="s">
        <v>508</v>
      </c>
      <c r="E109" s="54" t="n">
        <f aca="false">INDEX(F109:ES109,1,MIN(144,Fin))</f>
        <v>3031156.22423972</v>
      </c>
      <c r="F109" s="48" t="n">
        <f aca="false">IF(1&gt;Fin,0,F$71*P_DSO/DiasMes)</f>
        <v>1594520.54794521</v>
      </c>
      <c r="G109" s="48" t="n">
        <f aca="false">IF(2&gt;Fin,F$109,G$71*P_DSO/DiasMes)</f>
        <v>1594520.54794521</v>
      </c>
      <c r="H109" s="48" t="n">
        <f aca="false">IF(3&gt;Fin,G$109,H$71*P_DSO/DiasMes)</f>
        <v>1594520.54794521</v>
      </c>
      <c r="I109" s="48" t="n">
        <f aca="false">IF(4&gt;Fin,H$109,I$71*P_DSO/DiasMes)</f>
        <v>1594520.54794521</v>
      </c>
      <c r="J109" s="48" t="n">
        <f aca="false">IF(5&gt;Fin,I$109,J$71*P_DSO/DiasMes)</f>
        <v>1594520.54794521</v>
      </c>
      <c r="K109" s="48" t="n">
        <f aca="false">IF(6&gt;Fin,J$109,K$71*P_DSO/DiasMes)</f>
        <v>1594520.54794521</v>
      </c>
      <c r="L109" s="48" t="n">
        <f aca="false">IF(7&gt;Fin,K$109,L$71*P_DSO/DiasMes)</f>
        <v>1594520.54794521</v>
      </c>
      <c r="M109" s="48" t="n">
        <f aca="false">IF(8&gt;Fin,L$109,M$71*P_DSO/DiasMes)</f>
        <v>1594520.54794521</v>
      </c>
      <c r="N109" s="48" t="n">
        <f aca="false">IF(9&gt;Fin,M$109,N$71*P_DSO/DiasMes)</f>
        <v>1594520.54794521</v>
      </c>
      <c r="O109" s="48" t="n">
        <f aca="false">IF(10&gt;Fin,N$109,O$71*P_DSO/DiasMes)</f>
        <v>1594520.54794521</v>
      </c>
      <c r="P109" s="48" t="n">
        <f aca="false">IF(11&gt;Fin,O$109,P$71*P_DSO/DiasMes)</f>
        <v>1594520.54794521</v>
      </c>
      <c r="Q109" s="48" t="n">
        <f aca="false">IF(12&gt;Fin,P$109,Q$71*P_DSO/DiasMes)</f>
        <v>1594520.54794521</v>
      </c>
      <c r="R109" s="48" t="n">
        <f aca="false">IF(13&gt;Fin,Q$109,R$71*P_DSO/DiasMes)</f>
        <v>2032175.34246575</v>
      </c>
      <c r="S109" s="48" t="n">
        <f aca="false">IF(14&gt;Fin,R$109,S$71*P_DSO/DiasMes)</f>
        <v>2032175.34246575</v>
      </c>
      <c r="T109" s="48" t="n">
        <f aca="false">IF(15&gt;Fin,S$109,T$71*P_DSO/DiasMes)</f>
        <v>2032175.34246575</v>
      </c>
      <c r="U109" s="48" t="n">
        <f aca="false">IF(16&gt;Fin,T$109,U$71*P_DSO/DiasMes)</f>
        <v>2032175.34246575</v>
      </c>
      <c r="V109" s="48" t="n">
        <f aca="false">IF(17&gt;Fin,U$109,V$71*P_DSO/DiasMes)</f>
        <v>2032175.34246575</v>
      </c>
      <c r="W109" s="48" t="n">
        <f aca="false">IF(18&gt;Fin,V$109,W$71*P_DSO/DiasMes)</f>
        <v>2032175.34246575</v>
      </c>
      <c r="X109" s="48" t="n">
        <f aca="false">IF(19&gt;Fin,W$109,X$71*P_DSO/DiasMes)</f>
        <v>2032175.34246575</v>
      </c>
      <c r="Y109" s="48" t="n">
        <f aca="false">IF(20&gt;Fin,X$109,Y$71*P_DSO/DiasMes)</f>
        <v>2032175.34246575</v>
      </c>
      <c r="Z109" s="48" t="n">
        <f aca="false">IF(21&gt;Fin,Y$109,Z$71*P_DSO/DiasMes)</f>
        <v>2032175.34246575</v>
      </c>
      <c r="AA109" s="48" t="n">
        <f aca="false">IF(22&gt;Fin,Z$109,AA$71*P_DSO/DiasMes)</f>
        <v>2032175.34246575</v>
      </c>
      <c r="AB109" s="48" t="n">
        <f aca="false">IF(23&gt;Fin,AA$109,AB$71*P_DSO/DiasMes)</f>
        <v>2032175.34246575</v>
      </c>
      <c r="AC109" s="48" t="n">
        <f aca="false">IF(24&gt;Fin,AB$109,AC$71*P_DSO/DiasMes)</f>
        <v>2032175.34246575</v>
      </c>
      <c r="AD109" s="48" t="n">
        <f aca="false">IF(25&gt;Fin,AC$109,AD$71*P_DSO/DiasMes)</f>
        <v>2478423.78082192</v>
      </c>
      <c r="AE109" s="48" t="n">
        <f aca="false">IF(26&gt;Fin,AD$109,AE$71*P_DSO/DiasMes)</f>
        <v>2478423.78082192</v>
      </c>
      <c r="AF109" s="48" t="n">
        <f aca="false">IF(27&gt;Fin,AE$109,AF$71*P_DSO/DiasMes)</f>
        <v>2478423.78082192</v>
      </c>
      <c r="AG109" s="48" t="n">
        <f aca="false">IF(28&gt;Fin,AF$109,AG$71*P_DSO/DiasMes)</f>
        <v>2478423.78082192</v>
      </c>
      <c r="AH109" s="48" t="n">
        <f aca="false">IF(29&gt;Fin,AG$109,AH$71*P_DSO/DiasMes)</f>
        <v>2478423.78082192</v>
      </c>
      <c r="AI109" s="48" t="n">
        <f aca="false">IF(30&gt;Fin,AH$109,AI$71*P_DSO/DiasMes)</f>
        <v>2478423.78082192</v>
      </c>
      <c r="AJ109" s="48" t="n">
        <f aca="false">IF(31&gt;Fin,AI$109,AJ$71*P_DSO/DiasMes)</f>
        <v>2478423.78082192</v>
      </c>
      <c r="AK109" s="48" t="n">
        <f aca="false">IF(32&gt;Fin,AJ$109,AK$71*P_DSO/DiasMes)</f>
        <v>2478423.78082192</v>
      </c>
      <c r="AL109" s="48" t="n">
        <f aca="false">IF(33&gt;Fin,AK$109,AL$71*P_DSO/DiasMes)</f>
        <v>2478423.78082192</v>
      </c>
      <c r="AM109" s="48" t="n">
        <f aca="false">IF(34&gt;Fin,AL$109,AM$71*P_DSO/DiasMes)</f>
        <v>2478423.78082192</v>
      </c>
      <c r="AN109" s="48" t="n">
        <f aca="false">IF(35&gt;Fin,AM$109,AN$71*P_DSO/DiasMes)</f>
        <v>2478423.78082192</v>
      </c>
      <c r="AO109" s="48" t="n">
        <f aca="false">IF(36&gt;Fin,AN$109,AO$71*P_DSO/DiasMes)</f>
        <v>2478423.78082192</v>
      </c>
      <c r="AP109" s="48" t="n">
        <f aca="false">IF(37&gt;Fin,AO$109,AP$71*P_DSO/DiasMes)</f>
        <v>2855486.27835616</v>
      </c>
      <c r="AQ109" s="48" t="n">
        <f aca="false">IF(38&gt;Fin,AP$109,AQ$71*P_DSO/DiasMes)</f>
        <v>2855486.27835616</v>
      </c>
      <c r="AR109" s="48" t="n">
        <f aca="false">IF(39&gt;Fin,AQ$109,AR$71*P_DSO/DiasMes)</f>
        <v>2855486.27835616</v>
      </c>
      <c r="AS109" s="48" t="n">
        <f aca="false">IF(40&gt;Fin,AR$109,AS$71*P_DSO/DiasMes)</f>
        <v>2855486.27835616</v>
      </c>
      <c r="AT109" s="48" t="n">
        <f aca="false">IF(41&gt;Fin,AS$109,AT$71*P_DSO/DiasMes)</f>
        <v>2855486.27835616</v>
      </c>
      <c r="AU109" s="48" t="n">
        <f aca="false">IF(42&gt;Fin,AT$109,AU$71*P_DSO/DiasMes)</f>
        <v>2855486.27835616</v>
      </c>
      <c r="AV109" s="48" t="n">
        <f aca="false">IF(43&gt;Fin,AU$109,AV$71*P_DSO/DiasMes)</f>
        <v>2855486.27835616</v>
      </c>
      <c r="AW109" s="48" t="n">
        <f aca="false">IF(44&gt;Fin,AV$109,AW$71*P_DSO/DiasMes)</f>
        <v>2855486.27835616</v>
      </c>
      <c r="AX109" s="48" t="n">
        <f aca="false">IF(45&gt;Fin,AW$109,AX$71*P_DSO/DiasMes)</f>
        <v>2855486.27835616</v>
      </c>
      <c r="AY109" s="48" t="n">
        <f aca="false">IF(46&gt;Fin,AX$109,AY$71*P_DSO/DiasMes)</f>
        <v>2855486.27835616</v>
      </c>
      <c r="AZ109" s="48" t="n">
        <f aca="false">IF(47&gt;Fin,AY$109,AZ$71*P_DSO/DiasMes)</f>
        <v>2855486.27835616</v>
      </c>
      <c r="BA109" s="48" t="n">
        <f aca="false">IF(48&gt;Fin,AZ$109,BA$71*P_DSO/DiasMes)</f>
        <v>2855486.27835616</v>
      </c>
      <c r="BB109" s="48" t="n">
        <f aca="false">IF(49&gt;Fin,BA$109,BB$71*P_DSO/DiasMes)</f>
        <v>2884041.14113973</v>
      </c>
      <c r="BC109" s="48" t="n">
        <f aca="false">IF(50&gt;Fin,BB$109,BC$71*P_DSO/DiasMes)</f>
        <v>2884041.14113973</v>
      </c>
      <c r="BD109" s="48" t="n">
        <f aca="false">IF(51&gt;Fin,BC$109,BD$71*P_DSO/DiasMes)</f>
        <v>2884041.14113973</v>
      </c>
      <c r="BE109" s="48" t="n">
        <f aca="false">IF(52&gt;Fin,BD$109,BE$71*P_DSO/DiasMes)</f>
        <v>2884041.14113973</v>
      </c>
      <c r="BF109" s="48" t="n">
        <f aca="false">IF(53&gt;Fin,BE$109,BF$71*P_DSO/DiasMes)</f>
        <v>2884041.14113973</v>
      </c>
      <c r="BG109" s="48" t="n">
        <f aca="false">IF(54&gt;Fin,BF$109,BG$71*P_DSO/DiasMes)</f>
        <v>2884041.14113973</v>
      </c>
      <c r="BH109" s="48" t="n">
        <f aca="false">IF(55&gt;Fin,BG$109,BH$71*P_DSO/DiasMes)</f>
        <v>2884041.14113973</v>
      </c>
      <c r="BI109" s="48" t="n">
        <f aca="false">IF(56&gt;Fin,BH$109,BI$71*P_DSO/DiasMes)</f>
        <v>2884041.14113973</v>
      </c>
      <c r="BJ109" s="48" t="n">
        <f aca="false">IF(57&gt;Fin,BI$109,BJ$71*P_DSO/DiasMes)</f>
        <v>2884041.14113973</v>
      </c>
      <c r="BK109" s="48" t="n">
        <f aca="false">IF(58&gt;Fin,BJ$109,BK$71*P_DSO/DiasMes)</f>
        <v>2884041.14113973</v>
      </c>
      <c r="BL109" s="48" t="n">
        <f aca="false">IF(59&gt;Fin,BK$109,BL$71*P_DSO/DiasMes)</f>
        <v>2884041.14113973</v>
      </c>
      <c r="BM109" s="48" t="n">
        <f aca="false">IF(60&gt;Fin,BL$109,BM$71*P_DSO/DiasMes)</f>
        <v>2884041.14113973</v>
      </c>
      <c r="BN109" s="48" t="n">
        <f aca="false">IF(61&gt;Fin,BM$109,BN$71*P_DSO/DiasMes)</f>
        <v>2912881.55255112</v>
      </c>
      <c r="BO109" s="48" t="n">
        <f aca="false">IF(62&gt;Fin,BN$109,BO$71*P_DSO/DiasMes)</f>
        <v>2912881.55255112</v>
      </c>
      <c r="BP109" s="48" t="n">
        <f aca="false">IF(63&gt;Fin,BO$109,BP$71*P_DSO/DiasMes)</f>
        <v>2912881.55255112</v>
      </c>
      <c r="BQ109" s="48" t="n">
        <f aca="false">IF(64&gt;Fin,BP$109,BQ$71*P_DSO/DiasMes)</f>
        <v>2912881.55255112</v>
      </c>
      <c r="BR109" s="48" t="n">
        <f aca="false">IF(65&gt;Fin,BQ$109,BR$71*P_DSO/DiasMes)</f>
        <v>2912881.55255112</v>
      </c>
      <c r="BS109" s="48" t="n">
        <f aca="false">IF(66&gt;Fin,BR$109,BS$71*P_DSO/DiasMes)</f>
        <v>2912881.55255112</v>
      </c>
      <c r="BT109" s="48" t="n">
        <f aca="false">IF(67&gt;Fin,BS$109,BT$71*P_DSO/DiasMes)</f>
        <v>2912881.55255112</v>
      </c>
      <c r="BU109" s="48" t="n">
        <f aca="false">IF(68&gt;Fin,BT$109,BU$71*P_DSO/DiasMes)</f>
        <v>2912881.55255112</v>
      </c>
      <c r="BV109" s="48" t="n">
        <f aca="false">IF(69&gt;Fin,BU$109,BV$71*P_DSO/DiasMes)</f>
        <v>2912881.55255112</v>
      </c>
      <c r="BW109" s="48" t="n">
        <f aca="false">IF(70&gt;Fin,BV$109,BW$71*P_DSO/DiasMes)</f>
        <v>2912881.55255112</v>
      </c>
      <c r="BX109" s="48" t="n">
        <f aca="false">IF(71&gt;Fin,BW$109,BX$71*P_DSO/DiasMes)</f>
        <v>2912881.55255112</v>
      </c>
      <c r="BY109" s="48" t="n">
        <f aca="false">IF(72&gt;Fin,BX$109,BY$71*P_DSO/DiasMes)</f>
        <v>2912881.55255112</v>
      </c>
      <c r="BZ109" s="48" t="n">
        <f aca="false">IF(73&gt;Fin,BY$109,BZ$71*P_DSO/DiasMes)</f>
        <v>2942010.36807663</v>
      </c>
      <c r="CA109" s="48" t="n">
        <f aca="false">IF(74&gt;Fin,BZ$109,CA$71*P_DSO/DiasMes)</f>
        <v>2942010.36807663</v>
      </c>
      <c r="CB109" s="48" t="n">
        <f aca="false">IF(75&gt;Fin,CA$109,CB$71*P_DSO/DiasMes)</f>
        <v>2942010.36807663</v>
      </c>
      <c r="CC109" s="48" t="n">
        <f aca="false">IF(76&gt;Fin,CB$109,CC$71*P_DSO/DiasMes)</f>
        <v>2942010.36807663</v>
      </c>
      <c r="CD109" s="48" t="n">
        <f aca="false">IF(77&gt;Fin,CC$109,CD$71*P_DSO/DiasMes)</f>
        <v>2942010.36807663</v>
      </c>
      <c r="CE109" s="48" t="n">
        <f aca="false">IF(78&gt;Fin,CD$109,CE$71*P_DSO/DiasMes)</f>
        <v>2942010.36807663</v>
      </c>
      <c r="CF109" s="48" t="n">
        <f aca="false">IF(79&gt;Fin,CE$109,CF$71*P_DSO/DiasMes)</f>
        <v>2942010.36807663</v>
      </c>
      <c r="CG109" s="48" t="n">
        <f aca="false">IF(80&gt;Fin,CF$109,CG$71*P_DSO/DiasMes)</f>
        <v>2942010.36807663</v>
      </c>
      <c r="CH109" s="48" t="n">
        <f aca="false">IF(81&gt;Fin,CG$109,CH$71*P_DSO/DiasMes)</f>
        <v>2942010.36807663</v>
      </c>
      <c r="CI109" s="48" t="n">
        <f aca="false">IF(82&gt;Fin,CH$109,CI$71*P_DSO/DiasMes)</f>
        <v>2942010.36807663</v>
      </c>
      <c r="CJ109" s="48" t="n">
        <f aca="false">IF(83&gt;Fin,CI$109,CJ$71*P_DSO/DiasMes)</f>
        <v>2942010.36807663</v>
      </c>
      <c r="CK109" s="48" t="n">
        <f aca="false">IF(84&gt;Fin,CJ$109,CK$71*P_DSO/DiasMes)</f>
        <v>2942010.36807663</v>
      </c>
      <c r="CL109" s="48" t="n">
        <f aca="false">IF(85&gt;Fin,CK$109,CL$71*P_DSO/DiasMes)</f>
        <v>2971430.4717574</v>
      </c>
      <c r="CM109" s="48" t="n">
        <f aca="false">IF(86&gt;Fin,CL$109,CM$71*P_DSO/DiasMes)</f>
        <v>2971430.4717574</v>
      </c>
      <c r="CN109" s="48" t="n">
        <f aca="false">IF(87&gt;Fin,CM$109,CN$71*P_DSO/DiasMes)</f>
        <v>2971430.4717574</v>
      </c>
      <c r="CO109" s="48" t="n">
        <f aca="false">IF(88&gt;Fin,CN$109,CO$71*P_DSO/DiasMes)</f>
        <v>2971430.4717574</v>
      </c>
      <c r="CP109" s="48" t="n">
        <f aca="false">IF(89&gt;Fin,CO$109,CP$71*P_DSO/DiasMes)</f>
        <v>2971430.4717574</v>
      </c>
      <c r="CQ109" s="48" t="n">
        <f aca="false">IF(90&gt;Fin,CP$109,CQ$71*P_DSO/DiasMes)</f>
        <v>2971430.4717574</v>
      </c>
      <c r="CR109" s="48" t="n">
        <f aca="false">IF(91&gt;Fin,CQ$109,CR$71*P_DSO/DiasMes)</f>
        <v>2971430.4717574</v>
      </c>
      <c r="CS109" s="48" t="n">
        <f aca="false">IF(92&gt;Fin,CR$109,CS$71*P_DSO/DiasMes)</f>
        <v>2971430.4717574</v>
      </c>
      <c r="CT109" s="48" t="n">
        <f aca="false">IF(93&gt;Fin,CS$109,CT$71*P_DSO/DiasMes)</f>
        <v>2971430.4717574</v>
      </c>
      <c r="CU109" s="48" t="n">
        <f aca="false">IF(94&gt;Fin,CT$109,CU$71*P_DSO/DiasMes)</f>
        <v>2971430.4717574</v>
      </c>
      <c r="CV109" s="48" t="n">
        <f aca="false">IF(95&gt;Fin,CU$109,CV$71*P_DSO/DiasMes)</f>
        <v>2971430.4717574</v>
      </c>
      <c r="CW109" s="48" t="n">
        <f aca="false">IF(96&gt;Fin,CV$109,CW$71*P_DSO/DiasMes)</f>
        <v>2971430.4717574</v>
      </c>
      <c r="CX109" s="48" t="n">
        <f aca="false">IF(97&gt;Fin,CW$109,CX$71*P_DSO/DiasMes)</f>
        <v>3001144.77647497</v>
      </c>
      <c r="CY109" s="48" t="n">
        <f aca="false">IF(98&gt;Fin,CX$109,CY$71*P_DSO/DiasMes)</f>
        <v>3001144.77647497</v>
      </c>
      <c r="CZ109" s="48" t="n">
        <f aca="false">IF(99&gt;Fin,CY$109,CZ$71*P_DSO/DiasMes)</f>
        <v>3001144.77647497</v>
      </c>
      <c r="DA109" s="48" t="n">
        <f aca="false">IF(100&gt;Fin,CZ$109,DA$71*P_DSO/DiasMes)</f>
        <v>3001144.77647497</v>
      </c>
      <c r="DB109" s="48" t="n">
        <f aca="false">IF(101&gt;Fin,DA$109,DB$71*P_DSO/DiasMes)</f>
        <v>3001144.77647497</v>
      </c>
      <c r="DC109" s="48" t="n">
        <f aca="false">IF(102&gt;Fin,DB$109,DC$71*P_DSO/DiasMes)</f>
        <v>3001144.77647497</v>
      </c>
      <c r="DD109" s="48" t="n">
        <f aca="false">IF(103&gt;Fin,DC$109,DD$71*P_DSO/DiasMes)</f>
        <v>3001144.77647497</v>
      </c>
      <c r="DE109" s="48" t="n">
        <f aca="false">IF(104&gt;Fin,DD$109,DE$71*P_DSO/DiasMes)</f>
        <v>3001144.77647497</v>
      </c>
      <c r="DF109" s="48" t="n">
        <f aca="false">IF(105&gt;Fin,DE$109,DF$71*P_DSO/DiasMes)</f>
        <v>3001144.77647497</v>
      </c>
      <c r="DG109" s="48" t="n">
        <f aca="false">IF(106&gt;Fin,DF$109,DG$71*P_DSO/DiasMes)</f>
        <v>3001144.77647497</v>
      </c>
      <c r="DH109" s="48" t="n">
        <f aca="false">IF(107&gt;Fin,DG$109,DH$71*P_DSO/DiasMes)</f>
        <v>3001144.77647497</v>
      </c>
      <c r="DI109" s="48" t="n">
        <f aca="false">IF(108&gt;Fin,DH$109,DI$71*P_DSO/DiasMes)</f>
        <v>3001144.77647497</v>
      </c>
      <c r="DJ109" s="48" t="n">
        <f aca="false">IF(109&gt;Fin,DI$109,DJ$71*P_DSO/DiasMes)</f>
        <v>3031156.22423972</v>
      </c>
      <c r="DK109" s="48" t="n">
        <f aca="false">IF(110&gt;Fin,DJ$109,DK$71*P_DSO/DiasMes)</f>
        <v>3031156.22423972</v>
      </c>
      <c r="DL109" s="48" t="n">
        <f aca="false">IF(111&gt;Fin,DK$109,DL$71*P_DSO/DiasMes)</f>
        <v>3031156.22423972</v>
      </c>
      <c r="DM109" s="48" t="n">
        <f aca="false">IF(112&gt;Fin,DL$109,DM$71*P_DSO/DiasMes)</f>
        <v>3031156.22423972</v>
      </c>
      <c r="DN109" s="48" t="n">
        <f aca="false">IF(113&gt;Fin,DM$109,DN$71*P_DSO/DiasMes)</f>
        <v>3031156.22423972</v>
      </c>
      <c r="DO109" s="48" t="n">
        <f aca="false">IF(114&gt;Fin,DN$109,DO$71*P_DSO/DiasMes)</f>
        <v>3031156.22423972</v>
      </c>
      <c r="DP109" s="48" t="n">
        <f aca="false">IF(115&gt;Fin,DO$109,DP$71*P_DSO/DiasMes)</f>
        <v>3031156.22423972</v>
      </c>
      <c r="DQ109" s="48" t="n">
        <f aca="false">IF(116&gt;Fin,DP$109,DQ$71*P_DSO/DiasMes)</f>
        <v>3031156.22423972</v>
      </c>
      <c r="DR109" s="48" t="n">
        <f aca="false">IF(117&gt;Fin,DQ$109,DR$71*P_DSO/DiasMes)</f>
        <v>3031156.22423972</v>
      </c>
      <c r="DS109" s="48" t="n">
        <f aca="false">IF(118&gt;Fin,DR$109,DS$71*P_DSO/DiasMes)</f>
        <v>3031156.22423972</v>
      </c>
      <c r="DT109" s="48" t="n">
        <f aca="false">IF(119&gt;Fin,DS$109,DT$71*P_DSO/DiasMes)</f>
        <v>3031156.22423972</v>
      </c>
      <c r="DU109" s="48" t="n">
        <f aca="false">IF(120&gt;Fin,DT$109,DU$71*P_DSO/DiasMes)</f>
        <v>3031156.22423972</v>
      </c>
      <c r="DV109" s="48" t="n">
        <f aca="false">IF(121&gt;Fin,DU$109,DV$71*P_DSO/DiasMes)</f>
        <v>3031156.22423972</v>
      </c>
      <c r="DW109" s="48" t="n">
        <f aca="false">IF(122&gt;Fin,DV$109,DW$71*P_DSO/DiasMes)</f>
        <v>3031156.22423972</v>
      </c>
      <c r="DX109" s="48" t="n">
        <f aca="false">IF(123&gt;Fin,DW$109,DX$71*P_DSO/DiasMes)</f>
        <v>3031156.22423972</v>
      </c>
      <c r="DY109" s="48" t="n">
        <f aca="false">IF(124&gt;Fin,DX$109,DY$71*P_DSO/DiasMes)</f>
        <v>3031156.22423972</v>
      </c>
      <c r="DZ109" s="48" t="n">
        <f aca="false">IF(125&gt;Fin,DY$109,DZ$71*P_DSO/DiasMes)</f>
        <v>3031156.22423972</v>
      </c>
      <c r="EA109" s="48" t="n">
        <f aca="false">IF(126&gt;Fin,DZ$109,EA$71*P_DSO/DiasMes)</f>
        <v>3031156.22423972</v>
      </c>
      <c r="EB109" s="48" t="n">
        <f aca="false">IF(127&gt;Fin,EA$109,EB$71*P_DSO/DiasMes)</f>
        <v>3031156.22423972</v>
      </c>
      <c r="EC109" s="48" t="n">
        <f aca="false">IF(128&gt;Fin,EB$109,EC$71*P_DSO/DiasMes)</f>
        <v>3031156.22423972</v>
      </c>
      <c r="ED109" s="48" t="n">
        <f aca="false">IF(129&gt;Fin,EC$109,ED$71*P_DSO/DiasMes)</f>
        <v>3031156.22423972</v>
      </c>
      <c r="EE109" s="48" t="n">
        <f aca="false">IF(130&gt;Fin,ED$109,EE$71*P_DSO/DiasMes)</f>
        <v>3031156.22423972</v>
      </c>
      <c r="EF109" s="48" t="n">
        <f aca="false">IF(131&gt;Fin,EE$109,EF$71*P_DSO/DiasMes)</f>
        <v>3031156.22423972</v>
      </c>
      <c r="EG109" s="48" t="n">
        <f aca="false">IF(132&gt;Fin,EF$109,EG$71*P_DSO/DiasMes)</f>
        <v>3031156.22423972</v>
      </c>
      <c r="EH109" s="48" t="n">
        <f aca="false">IF(133&gt;Fin,EG$109,EH$71*P_DSO/DiasMes)</f>
        <v>3031156.22423972</v>
      </c>
      <c r="EI109" s="48" t="n">
        <f aca="false">IF(134&gt;Fin,EH$109,EI$71*P_DSO/DiasMes)</f>
        <v>3031156.22423972</v>
      </c>
      <c r="EJ109" s="48" t="n">
        <f aca="false">IF(135&gt;Fin,EI$109,EJ$71*P_DSO/DiasMes)</f>
        <v>3031156.22423972</v>
      </c>
      <c r="EK109" s="48" t="n">
        <f aca="false">IF(136&gt;Fin,EJ$109,EK$71*P_DSO/DiasMes)</f>
        <v>3031156.22423972</v>
      </c>
      <c r="EL109" s="48" t="n">
        <f aca="false">IF(137&gt;Fin,EK$109,EL$71*P_DSO/DiasMes)</f>
        <v>3031156.22423972</v>
      </c>
      <c r="EM109" s="48" t="n">
        <f aca="false">IF(138&gt;Fin,EL$109,EM$71*P_DSO/DiasMes)</f>
        <v>3031156.22423972</v>
      </c>
      <c r="EN109" s="48" t="n">
        <f aca="false">IF(139&gt;Fin,EM$109,EN$71*P_DSO/DiasMes)</f>
        <v>3031156.22423972</v>
      </c>
      <c r="EO109" s="48" t="n">
        <f aca="false">IF(140&gt;Fin,EN$109,EO$71*P_DSO/DiasMes)</f>
        <v>3031156.22423972</v>
      </c>
      <c r="EP109" s="48" t="n">
        <f aca="false">IF(141&gt;Fin,EO$109,EP$71*P_DSO/DiasMes)</f>
        <v>3031156.22423972</v>
      </c>
      <c r="EQ109" s="48" t="n">
        <f aca="false">IF(142&gt;Fin,EP$109,EQ$71*P_DSO/DiasMes)</f>
        <v>3031156.22423972</v>
      </c>
      <c r="ER109" s="48" t="n">
        <f aca="false">IF(143&gt;Fin,EQ$109,ER$71*P_DSO/DiasMes)</f>
        <v>3031156.22423972</v>
      </c>
      <c r="ES109" s="48" t="n">
        <f aca="false">IF(144&gt;Fin,ER$109,ES$71*P_DSO/DiasMes)</f>
        <v>3031156.22423972</v>
      </c>
    </row>
    <row r="110" customFormat="false" ht="15" hidden="false" customHeight="false" outlineLevel="0" collapsed="false">
      <c r="A110" s="11" t="s">
        <v>1188</v>
      </c>
      <c r="B110" s="15" t="s">
        <v>1031</v>
      </c>
      <c r="C110" s="15" t="s">
        <v>508</v>
      </c>
      <c r="E110" s="54" t="n">
        <f aca="false">INDEX(F110:ES110,1,MIN(144,Fin))</f>
        <v>1626937.98750554</v>
      </c>
      <c r="F110" s="48" t="n">
        <f aca="false">IF(1&gt;Fin,0,F$93*P_DInv/DiasMes+(F$93+F$94+F$95+F$96)*P_DPT/DiasMes)</f>
        <v>892648.832014833</v>
      </c>
      <c r="G110" s="48" t="n">
        <f aca="false">IF(2&gt;Fin,F$110,G$93*P_DInv/DiasMes+(G$93+G$94+G$95+G$96)*P_DPT/DiasMes)</f>
        <v>892648.832014833</v>
      </c>
      <c r="H110" s="48" t="n">
        <f aca="false">IF(3&gt;Fin,G$110,H$93*P_DInv/DiasMes+(H$93+H$94+H$95+H$96)*P_DPT/DiasMes)</f>
        <v>892648.832014833</v>
      </c>
      <c r="I110" s="48" t="n">
        <f aca="false">IF(4&gt;Fin,H$110,I$93*P_DInv/DiasMes+(I$93+I$94+I$95+I$96)*P_DPT/DiasMes)</f>
        <v>892648.832014833</v>
      </c>
      <c r="J110" s="48" t="n">
        <f aca="false">IF(5&gt;Fin,I$110,J$93*P_DInv/DiasMes+(J$93+J$94+J$95+J$96)*P_DPT/DiasMes)</f>
        <v>892648.832014833</v>
      </c>
      <c r="K110" s="48" t="n">
        <f aca="false">IF(6&gt;Fin,J$110,K$93*P_DInv/DiasMes+(K$93+K$94+K$95+K$96)*P_DPT/DiasMes)</f>
        <v>892648.832014833</v>
      </c>
      <c r="L110" s="48" t="n">
        <f aca="false">IF(7&gt;Fin,K$110,L$93*P_DInv/DiasMes+(L$93+L$94+L$95+L$96)*P_DPT/DiasMes)</f>
        <v>892648.832014833</v>
      </c>
      <c r="M110" s="48" t="n">
        <f aca="false">IF(8&gt;Fin,L$110,M$93*P_DInv/DiasMes+(M$93+M$94+M$95+M$96)*P_DPT/DiasMes)</f>
        <v>892648.832014833</v>
      </c>
      <c r="N110" s="48" t="n">
        <f aca="false">IF(9&gt;Fin,M$110,N$93*P_DInv/DiasMes+(N$93+N$94+N$95+N$96)*P_DPT/DiasMes)</f>
        <v>892648.832014833</v>
      </c>
      <c r="O110" s="48" t="n">
        <f aca="false">IF(10&gt;Fin,N$110,O$93*P_DInv/DiasMes+(O$93+O$94+O$95+O$96)*P_DPT/DiasMes)</f>
        <v>892648.832014833</v>
      </c>
      <c r="P110" s="48" t="n">
        <f aca="false">IF(11&gt;Fin,O$110,P$93*P_DInv/DiasMes+(P$93+P$94+P$95+P$96)*P_DPT/DiasMes)</f>
        <v>892648.832014833</v>
      </c>
      <c r="Q110" s="48" t="n">
        <f aca="false">IF(12&gt;Fin,P$110,Q$93*P_DInv/DiasMes+(Q$93+Q$94+Q$95+Q$96)*P_DPT/DiasMes)</f>
        <v>892648.832014833</v>
      </c>
      <c r="R110" s="48" t="n">
        <f aca="false">IF(13&gt;Fin,Q$110,R$93*P_DInv/DiasMes+(R$93+R$94+R$95+R$96)*P_DPT/DiasMes)</f>
        <v>1128877.29036496</v>
      </c>
      <c r="S110" s="48" t="n">
        <f aca="false">IF(14&gt;Fin,R$110,S$93*P_DInv/DiasMes+(S$93+S$94+S$95+S$96)*P_DPT/DiasMes)</f>
        <v>1128877.29036496</v>
      </c>
      <c r="T110" s="48" t="n">
        <f aca="false">IF(15&gt;Fin,S$110,T$93*P_DInv/DiasMes+(T$93+T$94+T$95+T$96)*P_DPT/DiasMes)</f>
        <v>1128877.29036496</v>
      </c>
      <c r="U110" s="48" t="n">
        <f aca="false">IF(16&gt;Fin,T$110,U$93*P_DInv/DiasMes+(U$93+U$94+U$95+U$96)*P_DPT/DiasMes)</f>
        <v>1128877.29036496</v>
      </c>
      <c r="V110" s="48" t="n">
        <f aca="false">IF(17&gt;Fin,U$110,V$93*P_DInv/DiasMes+(V$93+V$94+V$95+V$96)*P_DPT/DiasMes)</f>
        <v>1128877.29036496</v>
      </c>
      <c r="W110" s="48" t="n">
        <f aca="false">IF(18&gt;Fin,V$110,W$93*P_DInv/DiasMes+(W$93+W$94+W$95+W$96)*P_DPT/DiasMes)</f>
        <v>1128877.29036496</v>
      </c>
      <c r="X110" s="48" t="n">
        <f aca="false">IF(19&gt;Fin,W$110,X$93*P_DInv/DiasMes+(X$93+X$94+X$95+X$96)*P_DPT/DiasMes)</f>
        <v>1128877.29036496</v>
      </c>
      <c r="Y110" s="48" t="n">
        <f aca="false">IF(20&gt;Fin,X$110,Y$93*P_DInv/DiasMes+(Y$93+Y$94+Y$95+Y$96)*P_DPT/DiasMes)</f>
        <v>1128877.29036496</v>
      </c>
      <c r="Z110" s="48" t="n">
        <f aca="false">IF(21&gt;Fin,Y$110,Z$93*P_DInv/DiasMes+(Z$93+Z$94+Z$95+Z$96)*P_DPT/DiasMes)</f>
        <v>1128877.29036496</v>
      </c>
      <c r="AA110" s="48" t="n">
        <f aca="false">IF(22&gt;Fin,Z$110,AA$93*P_DInv/DiasMes+(AA$93+AA$94+AA$95+AA$96)*P_DPT/DiasMes)</f>
        <v>1128877.29036496</v>
      </c>
      <c r="AB110" s="48" t="n">
        <f aca="false">IF(23&gt;Fin,AA$110,AB$93*P_DInv/DiasMes+(AB$93+AB$94+AB$95+AB$96)*P_DPT/DiasMes)</f>
        <v>1128877.29036496</v>
      </c>
      <c r="AC110" s="48" t="n">
        <f aca="false">IF(24&gt;Fin,AB$110,AC$93*P_DInv/DiasMes+(AC$93+AC$94+AC$95+AC$96)*P_DPT/DiasMes)</f>
        <v>1128877.29036496</v>
      </c>
      <c r="AD110" s="48" t="n">
        <f aca="false">IF(25&gt;Fin,AC$110,AD$93*P_DInv/DiasMes+(AD$93+AD$94+AD$95+AD$96)*P_DPT/DiasMes)</f>
        <v>1368953.64604567</v>
      </c>
      <c r="AE110" s="48" t="n">
        <f aca="false">IF(26&gt;Fin,AD$110,AE$93*P_DInv/DiasMes+(AE$93+AE$94+AE$95+AE$96)*P_DPT/DiasMes)</f>
        <v>1368953.64604567</v>
      </c>
      <c r="AF110" s="48" t="n">
        <f aca="false">IF(27&gt;Fin,AE$110,AF$93*P_DInv/DiasMes+(AF$93+AF$94+AF$95+AF$96)*P_DPT/DiasMes)</f>
        <v>1368953.64604567</v>
      </c>
      <c r="AG110" s="48" t="n">
        <f aca="false">IF(28&gt;Fin,AF$110,AG$93*P_DInv/DiasMes+(AG$93+AG$94+AG$95+AG$96)*P_DPT/DiasMes)</f>
        <v>1368953.64604567</v>
      </c>
      <c r="AH110" s="48" t="n">
        <f aca="false">IF(29&gt;Fin,AG$110,AH$93*P_DInv/DiasMes+(AH$93+AH$94+AH$95+AH$96)*P_DPT/DiasMes)</f>
        <v>1368953.64604567</v>
      </c>
      <c r="AI110" s="48" t="n">
        <f aca="false">IF(30&gt;Fin,AH$110,AI$93*P_DInv/DiasMes+(AI$93+AI$94+AI$95+AI$96)*P_DPT/DiasMes)</f>
        <v>1368953.64604567</v>
      </c>
      <c r="AJ110" s="48" t="n">
        <f aca="false">IF(31&gt;Fin,AI$110,AJ$93*P_DInv/DiasMes+(AJ$93+AJ$94+AJ$95+AJ$96)*P_DPT/DiasMes)</f>
        <v>1368953.64604567</v>
      </c>
      <c r="AK110" s="48" t="n">
        <f aca="false">IF(32&gt;Fin,AJ$110,AK$93*P_DInv/DiasMes+(AK$93+AK$94+AK$95+AK$96)*P_DPT/DiasMes)</f>
        <v>1368953.64604567</v>
      </c>
      <c r="AL110" s="48" t="n">
        <f aca="false">IF(33&gt;Fin,AK$110,AL$93*P_DInv/DiasMes+(AL$93+AL$94+AL$95+AL$96)*P_DPT/DiasMes)</f>
        <v>1368953.64604567</v>
      </c>
      <c r="AM110" s="48" t="n">
        <f aca="false">IF(34&gt;Fin,AL$110,AM$93*P_DInv/DiasMes+(AM$93+AM$94+AM$95+AM$96)*P_DPT/DiasMes)</f>
        <v>1368953.64604567</v>
      </c>
      <c r="AN110" s="48" t="n">
        <f aca="false">IF(35&gt;Fin,AM$110,AN$93*P_DInv/DiasMes+(AN$93+AN$94+AN$95+AN$96)*P_DPT/DiasMes)</f>
        <v>1368953.64604567</v>
      </c>
      <c r="AO110" s="48" t="n">
        <f aca="false">IF(36&gt;Fin,AN$110,AO$93*P_DInv/DiasMes+(AO$93+AO$94+AO$95+AO$96)*P_DPT/DiasMes)</f>
        <v>1368953.64604567</v>
      </c>
      <c r="AP110" s="48" t="n">
        <f aca="false">IF(37&gt;Fin,AO$110,AP$93*P_DInv/DiasMes+(AP$93+AP$94+AP$95+AP$96)*P_DPT/DiasMes)</f>
        <v>1566231.67971491</v>
      </c>
      <c r="AQ110" s="48" t="n">
        <f aca="false">IF(38&gt;Fin,AP$110,AQ$93*P_DInv/DiasMes+(AQ$93+AQ$94+AQ$95+AQ$96)*P_DPT/DiasMes)</f>
        <v>1566231.67971491</v>
      </c>
      <c r="AR110" s="48" t="n">
        <f aca="false">IF(39&gt;Fin,AQ$110,AR$93*P_DInv/DiasMes+(AR$93+AR$94+AR$95+AR$96)*P_DPT/DiasMes)</f>
        <v>1566231.67971491</v>
      </c>
      <c r="AS110" s="48" t="n">
        <f aca="false">IF(40&gt;Fin,AR$110,AS$93*P_DInv/DiasMes+(AS$93+AS$94+AS$95+AS$96)*P_DPT/DiasMes)</f>
        <v>1566231.67971491</v>
      </c>
      <c r="AT110" s="48" t="n">
        <f aca="false">IF(41&gt;Fin,AS$110,AT$93*P_DInv/DiasMes+(AT$93+AT$94+AT$95+AT$96)*P_DPT/DiasMes)</f>
        <v>1566231.67971491</v>
      </c>
      <c r="AU110" s="48" t="n">
        <f aca="false">IF(42&gt;Fin,AT$110,AU$93*P_DInv/DiasMes+(AU$93+AU$94+AU$95+AU$96)*P_DPT/DiasMes)</f>
        <v>1566231.67971491</v>
      </c>
      <c r="AV110" s="48" t="n">
        <f aca="false">IF(43&gt;Fin,AU$110,AV$93*P_DInv/DiasMes+(AV$93+AV$94+AV$95+AV$96)*P_DPT/DiasMes)</f>
        <v>1566231.67971491</v>
      </c>
      <c r="AW110" s="48" t="n">
        <f aca="false">IF(44&gt;Fin,AV$110,AW$93*P_DInv/DiasMes+(AW$93+AW$94+AW$95+AW$96)*P_DPT/DiasMes)</f>
        <v>1566231.67971491</v>
      </c>
      <c r="AX110" s="48" t="n">
        <f aca="false">IF(45&gt;Fin,AW$110,AX$93*P_DInv/DiasMes+(AX$93+AX$94+AX$95+AX$96)*P_DPT/DiasMes)</f>
        <v>1566231.67971491</v>
      </c>
      <c r="AY110" s="48" t="n">
        <f aca="false">IF(46&gt;Fin,AX$110,AY$93*P_DInv/DiasMes+(AY$93+AY$94+AY$95+AY$96)*P_DPT/DiasMes)</f>
        <v>1566231.67971491</v>
      </c>
      <c r="AZ110" s="48" t="n">
        <f aca="false">IF(47&gt;Fin,AY$110,AZ$93*P_DInv/DiasMes+(AZ$93+AZ$94+AZ$95+AZ$96)*P_DPT/DiasMes)</f>
        <v>1566231.67971491</v>
      </c>
      <c r="BA110" s="48" t="n">
        <f aca="false">IF(48&gt;Fin,AZ$110,BA$93*P_DInv/DiasMes+(BA$93+BA$94+BA$95+BA$96)*P_DPT/DiasMes)</f>
        <v>1566231.67971491</v>
      </c>
      <c r="BB110" s="48" t="n">
        <f aca="false">IF(49&gt;Fin,BA$110,BB$93*P_DInv/DiasMes+(BB$93+BB$94+BB$95+BB$96)*P_DPT/DiasMes)</f>
        <v>1576853.13578562</v>
      </c>
      <c r="BC110" s="48" t="n">
        <f aca="false">IF(50&gt;Fin,BB$110,BC$93*P_DInv/DiasMes+(BC$93+BC$94+BC$95+BC$96)*P_DPT/DiasMes)</f>
        <v>1576853.13578562</v>
      </c>
      <c r="BD110" s="48" t="n">
        <f aca="false">IF(51&gt;Fin,BC$110,BD$93*P_DInv/DiasMes+(BD$93+BD$94+BD$95+BD$96)*P_DPT/DiasMes)</f>
        <v>1576853.13578562</v>
      </c>
      <c r="BE110" s="48" t="n">
        <f aca="false">IF(52&gt;Fin,BD$110,BE$93*P_DInv/DiasMes+(BE$93+BE$94+BE$95+BE$96)*P_DPT/DiasMes)</f>
        <v>1576853.13578562</v>
      </c>
      <c r="BF110" s="48" t="n">
        <f aca="false">IF(53&gt;Fin,BE$110,BF$93*P_DInv/DiasMes+(BF$93+BF$94+BF$95+BF$96)*P_DPT/DiasMes)</f>
        <v>1576853.13578562</v>
      </c>
      <c r="BG110" s="48" t="n">
        <f aca="false">IF(54&gt;Fin,BF$110,BG$93*P_DInv/DiasMes+(BG$93+BG$94+BG$95+BG$96)*P_DPT/DiasMes)</f>
        <v>1576853.13578562</v>
      </c>
      <c r="BH110" s="48" t="n">
        <f aca="false">IF(55&gt;Fin,BG$110,BH$93*P_DInv/DiasMes+(BH$93+BH$94+BH$95+BH$96)*P_DPT/DiasMes)</f>
        <v>1576853.13578562</v>
      </c>
      <c r="BI110" s="48" t="n">
        <f aca="false">IF(56&gt;Fin,BH$110,BI$93*P_DInv/DiasMes+(BI$93+BI$94+BI$95+BI$96)*P_DPT/DiasMes)</f>
        <v>1576853.13578562</v>
      </c>
      <c r="BJ110" s="48" t="n">
        <f aca="false">IF(57&gt;Fin,BI$110,BJ$93*P_DInv/DiasMes+(BJ$93+BJ$94+BJ$95+BJ$96)*P_DPT/DiasMes)</f>
        <v>1576853.13578562</v>
      </c>
      <c r="BK110" s="48" t="n">
        <f aca="false">IF(58&gt;Fin,BJ$110,BK$93*P_DInv/DiasMes+(BK$93+BK$94+BK$95+BK$96)*P_DPT/DiasMes)</f>
        <v>1576853.13578562</v>
      </c>
      <c r="BL110" s="48" t="n">
        <f aca="false">IF(59&gt;Fin,BK$110,BL$93*P_DInv/DiasMes+(BL$93+BL$94+BL$95+BL$96)*P_DPT/DiasMes)</f>
        <v>1576853.13578562</v>
      </c>
      <c r="BM110" s="48" t="n">
        <f aca="false">IF(60&gt;Fin,BL$110,BM$93*P_DInv/DiasMes+(BM$93+BM$94+BM$95+BM$96)*P_DPT/DiasMes)</f>
        <v>1576853.13578562</v>
      </c>
      <c r="BN110" s="48" t="n">
        <f aca="false">IF(61&gt;Fin,BM$110,BN$93*P_DInv/DiasMes+(BN$93+BN$94+BN$95+BN$96)*P_DPT/DiasMes)</f>
        <v>1586671.38637398</v>
      </c>
      <c r="BO110" s="48" t="n">
        <f aca="false">IF(62&gt;Fin,BN$110,BO$93*P_DInv/DiasMes+(BO$93+BO$94+BO$95+BO$96)*P_DPT/DiasMes)</f>
        <v>1586671.38637398</v>
      </c>
      <c r="BP110" s="48" t="n">
        <f aca="false">IF(63&gt;Fin,BO$110,BP$93*P_DInv/DiasMes+(BP$93+BP$94+BP$95+BP$96)*P_DPT/DiasMes)</f>
        <v>1586671.38637398</v>
      </c>
      <c r="BQ110" s="48" t="n">
        <f aca="false">IF(64&gt;Fin,BP$110,BQ$93*P_DInv/DiasMes+(BQ$93+BQ$94+BQ$95+BQ$96)*P_DPT/DiasMes)</f>
        <v>1586671.38637398</v>
      </c>
      <c r="BR110" s="48" t="n">
        <f aca="false">IF(65&gt;Fin,BQ$110,BR$93*P_DInv/DiasMes+(BR$93+BR$94+BR$95+BR$96)*P_DPT/DiasMes)</f>
        <v>1586671.38637398</v>
      </c>
      <c r="BS110" s="48" t="n">
        <f aca="false">IF(66&gt;Fin,BR$110,BS$93*P_DInv/DiasMes+(BS$93+BS$94+BS$95+BS$96)*P_DPT/DiasMes)</f>
        <v>1586671.38637398</v>
      </c>
      <c r="BT110" s="48" t="n">
        <f aca="false">IF(67&gt;Fin,BS$110,BT$93*P_DInv/DiasMes+(BT$93+BT$94+BT$95+BT$96)*P_DPT/DiasMes)</f>
        <v>1586671.38637398</v>
      </c>
      <c r="BU110" s="48" t="n">
        <f aca="false">IF(68&gt;Fin,BT$110,BU$93*P_DInv/DiasMes+(BU$93+BU$94+BU$95+BU$96)*P_DPT/DiasMes)</f>
        <v>1586671.38637398</v>
      </c>
      <c r="BV110" s="48" t="n">
        <f aca="false">IF(69&gt;Fin,BU$110,BV$93*P_DInv/DiasMes+(BV$93+BV$94+BV$95+BV$96)*P_DPT/DiasMes)</f>
        <v>1586671.38637398</v>
      </c>
      <c r="BW110" s="48" t="n">
        <f aca="false">IF(70&gt;Fin,BV$110,BW$93*P_DInv/DiasMes+(BW$93+BW$94+BW$95+BW$96)*P_DPT/DiasMes)</f>
        <v>1586671.38637398</v>
      </c>
      <c r="BX110" s="48" t="n">
        <f aca="false">IF(71&gt;Fin,BW$110,BX$93*P_DInv/DiasMes+(BX$93+BX$94+BX$95+BX$96)*P_DPT/DiasMes)</f>
        <v>1586671.38637398</v>
      </c>
      <c r="BY110" s="48" t="n">
        <f aca="false">IF(72&gt;Fin,BX$110,BY$93*P_DInv/DiasMes+(BY$93+BY$94+BY$95+BY$96)*P_DPT/DiasMes)</f>
        <v>1586671.38637398</v>
      </c>
      <c r="BZ110" s="48" t="n">
        <f aca="false">IF(73&gt;Fin,BY$110,BZ$93*P_DInv/DiasMes+(BZ$93+BZ$94+BZ$95+BZ$96)*P_DPT/DiasMes)</f>
        <v>1596588.00448074</v>
      </c>
      <c r="CA110" s="48" t="n">
        <f aca="false">IF(74&gt;Fin,BZ$110,CA$93*P_DInv/DiasMes+(CA$93+CA$94+CA$95+CA$96)*P_DPT/DiasMes)</f>
        <v>1596588.00448074</v>
      </c>
      <c r="CB110" s="48" t="n">
        <f aca="false">IF(75&gt;Fin,CA$110,CB$93*P_DInv/DiasMes+(CB$93+CB$94+CB$95+CB$96)*P_DPT/DiasMes)</f>
        <v>1596588.00448074</v>
      </c>
      <c r="CC110" s="48" t="n">
        <f aca="false">IF(76&gt;Fin,CB$110,CC$93*P_DInv/DiasMes+(CC$93+CC$94+CC$95+CC$96)*P_DPT/DiasMes)</f>
        <v>1596588.00448074</v>
      </c>
      <c r="CD110" s="48" t="n">
        <f aca="false">IF(77&gt;Fin,CC$110,CD$93*P_DInv/DiasMes+(CD$93+CD$94+CD$95+CD$96)*P_DPT/DiasMes)</f>
        <v>1596588.00448074</v>
      </c>
      <c r="CE110" s="48" t="n">
        <f aca="false">IF(78&gt;Fin,CD$110,CE$93*P_DInv/DiasMes+(CE$93+CE$94+CE$95+CE$96)*P_DPT/DiasMes)</f>
        <v>1596588.00448074</v>
      </c>
      <c r="CF110" s="48" t="n">
        <f aca="false">IF(79&gt;Fin,CE$110,CF$93*P_DInv/DiasMes+(CF$93+CF$94+CF$95+CF$96)*P_DPT/DiasMes)</f>
        <v>1596588.00448074</v>
      </c>
      <c r="CG110" s="48" t="n">
        <f aca="false">IF(80&gt;Fin,CF$110,CG$93*P_DInv/DiasMes+(CG$93+CG$94+CG$95+CG$96)*P_DPT/DiasMes)</f>
        <v>1596588.00448074</v>
      </c>
      <c r="CH110" s="48" t="n">
        <f aca="false">IF(81&gt;Fin,CG$110,CH$93*P_DInv/DiasMes+(CH$93+CH$94+CH$95+CH$96)*P_DPT/DiasMes)</f>
        <v>1596588.00448074</v>
      </c>
      <c r="CI110" s="48" t="n">
        <f aca="false">IF(82&gt;Fin,CH$110,CI$93*P_DInv/DiasMes+(CI$93+CI$94+CI$95+CI$96)*P_DPT/DiasMes)</f>
        <v>1596588.00448074</v>
      </c>
      <c r="CJ110" s="48" t="n">
        <f aca="false">IF(83&gt;Fin,CI$110,CJ$93*P_DInv/DiasMes+(CJ$93+CJ$94+CJ$95+CJ$96)*P_DPT/DiasMes)</f>
        <v>1596588.00448074</v>
      </c>
      <c r="CK110" s="48" t="n">
        <f aca="false">IF(84&gt;Fin,CJ$110,CK$93*P_DInv/DiasMes+(CK$93+CK$94+CK$95+CK$96)*P_DPT/DiasMes)</f>
        <v>1596588.00448074</v>
      </c>
      <c r="CL110" s="48" t="n">
        <f aca="false">IF(85&gt;Fin,CK$110,CL$93*P_DInv/DiasMes+(CL$93+CL$94+CL$95+CL$96)*P_DPT/DiasMes)</f>
        <v>1606603.97748134</v>
      </c>
      <c r="CM110" s="48" t="n">
        <f aca="false">IF(86&gt;Fin,CL$110,CM$93*P_DInv/DiasMes+(CM$93+CM$94+CM$95+CM$96)*P_DPT/DiasMes)</f>
        <v>1606603.97748134</v>
      </c>
      <c r="CN110" s="48" t="n">
        <f aca="false">IF(87&gt;Fin,CM$110,CN$93*P_DInv/DiasMes+(CN$93+CN$94+CN$95+CN$96)*P_DPT/DiasMes)</f>
        <v>1606603.97748134</v>
      </c>
      <c r="CO110" s="48" t="n">
        <f aca="false">IF(88&gt;Fin,CN$110,CO$93*P_DInv/DiasMes+(CO$93+CO$94+CO$95+CO$96)*P_DPT/DiasMes)</f>
        <v>1606603.97748134</v>
      </c>
      <c r="CP110" s="48" t="n">
        <f aca="false">IF(89&gt;Fin,CO$110,CP$93*P_DInv/DiasMes+(CP$93+CP$94+CP$95+CP$96)*P_DPT/DiasMes)</f>
        <v>1606603.97748134</v>
      </c>
      <c r="CQ110" s="48" t="n">
        <f aca="false">IF(90&gt;Fin,CP$110,CQ$93*P_DInv/DiasMes+(CQ$93+CQ$94+CQ$95+CQ$96)*P_DPT/DiasMes)</f>
        <v>1606603.97748134</v>
      </c>
      <c r="CR110" s="48" t="n">
        <f aca="false">IF(91&gt;Fin,CQ$110,CR$93*P_DInv/DiasMes+(CR$93+CR$94+CR$95+CR$96)*P_DPT/DiasMes)</f>
        <v>1606603.97748134</v>
      </c>
      <c r="CS110" s="48" t="n">
        <f aca="false">IF(92&gt;Fin,CR$110,CS$93*P_DInv/DiasMes+(CS$93+CS$94+CS$95+CS$96)*P_DPT/DiasMes)</f>
        <v>1606603.97748134</v>
      </c>
      <c r="CT110" s="48" t="n">
        <f aca="false">IF(93&gt;Fin,CS$110,CT$93*P_DInv/DiasMes+(CT$93+CT$94+CT$95+CT$96)*P_DPT/DiasMes)</f>
        <v>1606603.97748134</v>
      </c>
      <c r="CU110" s="48" t="n">
        <f aca="false">IF(94&gt;Fin,CT$110,CU$93*P_DInv/DiasMes+(CU$93+CU$94+CU$95+CU$96)*P_DPT/DiasMes)</f>
        <v>1606603.97748134</v>
      </c>
      <c r="CV110" s="48" t="n">
        <f aca="false">IF(95&gt;Fin,CU$110,CV$93*P_DInv/DiasMes+(CV$93+CV$94+CV$95+CV$96)*P_DPT/DiasMes)</f>
        <v>1606603.97748134</v>
      </c>
      <c r="CW110" s="48" t="n">
        <f aca="false">IF(96&gt;Fin,CV$110,CW$93*P_DInv/DiasMes+(CW$93+CW$94+CW$95+CW$96)*P_DPT/DiasMes)</f>
        <v>1606603.97748134</v>
      </c>
      <c r="CX110" s="48" t="n">
        <f aca="false">IF(97&gt;Fin,CW$110,CX$93*P_DInv/DiasMes+(CX$93+CX$94+CX$95+CX$96)*P_DPT/DiasMes)</f>
        <v>1616720.30269897</v>
      </c>
      <c r="CY110" s="48" t="n">
        <f aca="false">IF(98&gt;Fin,CX$110,CY$93*P_DInv/DiasMes+(CY$93+CY$94+CY$95+CY$96)*P_DPT/DiasMes)</f>
        <v>1616720.30269897</v>
      </c>
      <c r="CZ110" s="48" t="n">
        <f aca="false">IF(99&gt;Fin,CY$110,CZ$93*P_DInv/DiasMes+(CZ$93+CZ$94+CZ$95+CZ$96)*P_DPT/DiasMes)</f>
        <v>1616720.30269897</v>
      </c>
      <c r="DA110" s="48" t="n">
        <f aca="false">IF(100&gt;Fin,CZ$110,DA$93*P_DInv/DiasMes+(DA$93+DA$94+DA$95+DA$96)*P_DPT/DiasMes)</f>
        <v>1616720.30269897</v>
      </c>
      <c r="DB110" s="48" t="n">
        <f aca="false">IF(101&gt;Fin,DA$110,DB$93*P_DInv/DiasMes+(DB$93+DB$94+DB$95+DB$96)*P_DPT/DiasMes)</f>
        <v>1616720.30269897</v>
      </c>
      <c r="DC110" s="48" t="n">
        <f aca="false">IF(102&gt;Fin,DB$110,DC$93*P_DInv/DiasMes+(DC$93+DC$94+DC$95+DC$96)*P_DPT/DiasMes)</f>
        <v>1616720.30269897</v>
      </c>
      <c r="DD110" s="48" t="n">
        <f aca="false">IF(103&gt;Fin,DC$110,DD$93*P_DInv/DiasMes+(DD$93+DD$94+DD$95+DD$96)*P_DPT/DiasMes)</f>
        <v>1616720.30269897</v>
      </c>
      <c r="DE110" s="48" t="n">
        <f aca="false">IF(104&gt;Fin,DD$110,DE$93*P_DInv/DiasMes+(DE$93+DE$94+DE$95+DE$96)*P_DPT/DiasMes)</f>
        <v>1616720.30269897</v>
      </c>
      <c r="DF110" s="48" t="n">
        <f aca="false">IF(105&gt;Fin,DE$110,DF$93*P_DInv/DiasMes+(DF$93+DF$94+DF$95+DF$96)*P_DPT/DiasMes)</f>
        <v>1616720.30269897</v>
      </c>
      <c r="DG110" s="48" t="n">
        <f aca="false">IF(106&gt;Fin,DF$110,DG$93*P_DInv/DiasMes+(DG$93+DG$94+DG$95+DG$96)*P_DPT/DiasMes)</f>
        <v>1616720.30269897</v>
      </c>
      <c r="DH110" s="48" t="n">
        <f aca="false">IF(107&gt;Fin,DG$110,DH$93*P_DInv/DiasMes+(DH$93+DH$94+DH$95+DH$96)*P_DPT/DiasMes)</f>
        <v>1616720.30269897</v>
      </c>
      <c r="DI110" s="48" t="n">
        <f aca="false">IF(108&gt;Fin,DH$110,DI$93*P_DInv/DiasMes+(DI$93+DI$94+DI$95+DI$96)*P_DPT/DiasMes)</f>
        <v>1616720.30269897</v>
      </c>
      <c r="DJ110" s="48" t="n">
        <f aca="false">IF(109&gt;Fin,DI$110,DJ$93*P_DInv/DiasMes+(DJ$93+DJ$94+DJ$95+DJ$96)*P_DPT/DiasMes)</f>
        <v>1626937.98750554</v>
      </c>
      <c r="DK110" s="48" t="n">
        <f aca="false">IF(110&gt;Fin,DJ$110,DK$93*P_DInv/DiasMes+(DK$93+DK$94+DK$95+DK$96)*P_DPT/DiasMes)</f>
        <v>1626937.98750554</v>
      </c>
      <c r="DL110" s="48" t="n">
        <f aca="false">IF(111&gt;Fin,DK$110,DL$93*P_DInv/DiasMes+(DL$93+DL$94+DL$95+DL$96)*P_DPT/DiasMes)</f>
        <v>1626937.98750554</v>
      </c>
      <c r="DM110" s="48" t="n">
        <f aca="false">IF(112&gt;Fin,DL$110,DM$93*P_DInv/DiasMes+(DM$93+DM$94+DM$95+DM$96)*P_DPT/DiasMes)</f>
        <v>1626937.98750554</v>
      </c>
      <c r="DN110" s="48" t="n">
        <f aca="false">IF(113&gt;Fin,DM$110,DN$93*P_DInv/DiasMes+(DN$93+DN$94+DN$95+DN$96)*P_DPT/DiasMes)</f>
        <v>1626937.98750554</v>
      </c>
      <c r="DO110" s="48" t="n">
        <f aca="false">IF(114&gt;Fin,DN$110,DO$93*P_DInv/DiasMes+(DO$93+DO$94+DO$95+DO$96)*P_DPT/DiasMes)</f>
        <v>1626937.98750554</v>
      </c>
      <c r="DP110" s="48" t="n">
        <f aca="false">IF(115&gt;Fin,DO$110,DP$93*P_DInv/DiasMes+(DP$93+DP$94+DP$95+DP$96)*P_DPT/DiasMes)</f>
        <v>1626937.98750554</v>
      </c>
      <c r="DQ110" s="48" t="n">
        <f aca="false">IF(116&gt;Fin,DP$110,DQ$93*P_DInv/DiasMes+(DQ$93+DQ$94+DQ$95+DQ$96)*P_DPT/DiasMes)</f>
        <v>1626937.98750554</v>
      </c>
      <c r="DR110" s="48" t="n">
        <f aca="false">IF(117&gt;Fin,DQ$110,DR$93*P_DInv/DiasMes+(DR$93+DR$94+DR$95+DR$96)*P_DPT/DiasMes)</f>
        <v>1626937.98750554</v>
      </c>
      <c r="DS110" s="48" t="n">
        <f aca="false">IF(118&gt;Fin,DR$110,DS$93*P_DInv/DiasMes+(DS$93+DS$94+DS$95+DS$96)*P_DPT/DiasMes)</f>
        <v>1626937.98750554</v>
      </c>
      <c r="DT110" s="48" t="n">
        <f aca="false">IF(119&gt;Fin,DS$110,DT$93*P_DInv/DiasMes+(DT$93+DT$94+DT$95+DT$96)*P_DPT/DiasMes)</f>
        <v>1626937.98750554</v>
      </c>
      <c r="DU110" s="48" t="n">
        <f aca="false">IF(120&gt;Fin,DT$110,DU$93*P_DInv/DiasMes+(DU$93+DU$94+DU$95+DU$96)*P_DPT/DiasMes)</f>
        <v>1626937.98750554</v>
      </c>
      <c r="DV110" s="48" t="n">
        <f aca="false">IF(121&gt;Fin,DU$110,DV$93*P_DInv/DiasMes+(DV$93+DV$94+DV$95+DV$96)*P_DPT/DiasMes)</f>
        <v>1626937.98750554</v>
      </c>
      <c r="DW110" s="48" t="n">
        <f aca="false">IF(122&gt;Fin,DV$110,DW$93*P_DInv/DiasMes+(DW$93+DW$94+DW$95+DW$96)*P_DPT/DiasMes)</f>
        <v>1626937.98750554</v>
      </c>
      <c r="DX110" s="48" t="n">
        <f aca="false">IF(123&gt;Fin,DW$110,DX$93*P_DInv/DiasMes+(DX$93+DX$94+DX$95+DX$96)*P_DPT/DiasMes)</f>
        <v>1626937.98750554</v>
      </c>
      <c r="DY110" s="48" t="n">
        <f aca="false">IF(124&gt;Fin,DX$110,DY$93*P_DInv/DiasMes+(DY$93+DY$94+DY$95+DY$96)*P_DPT/DiasMes)</f>
        <v>1626937.98750554</v>
      </c>
      <c r="DZ110" s="48" t="n">
        <f aca="false">IF(125&gt;Fin,DY$110,DZ$93*P_DInv/DiasMes+(DZ$93+DZ$94+DZ$95+DZ$96)*P_DPT/DiasMes)</f>
        <v>1626937.98750554</v>
      </c>
      <c r="EA110" s="48" t="n">
        <f aca="false">IF(126&gt;Fin,DZ$110,EA$93*P_DInv/DiasMes+(EA$93+EA$94+EA$95+EA$96)*P_DPT/DiasMes)</f>
        <v>1626937.98750554</v>
      </c>
      <c r="EB110" s="48" t="n">
        <f aca="false">IF(127&gt;Fin,EA$110,EB$93*P_DInv/DiasMes+(EB$93+EB$94+EB$95+EB$96)*P_DPT/DiasMes)</f>
        <v>1626937.98750554</v>
      </c>
      <c r="EC110" s="48" t="n">
        <f aca="false">IF(128&gt;Fin,EB$110,EC$93*P_DInv/DiasMes+(EC$93+EC$94+EC$95+EC$96)*P_DPT/DiasMes)</f>
        <v>1626937.98750554</v>
      </c>
      <c r="ED110" s="48" t="n">
        <f aca="false">IF(129&gt;Fin,EC$110,ED$93*P_DInv/DiasMes+(ED$93+ED$94+ED$95+ED$96)*P_DPT/DiasMes)</f>
        <v>1626937.98750554</v>
      </c>
      <c r="EE110" s="48" t="n">
        <f aca="false">IF(130&gt;Fin,ED$110,EE$93*P_DInv/DiasMes+(EE$93+EE$94+EE$95+EE$96)*P_DPT/DiasMes)</f>
        <v>1626937.98750554</v>
      </c>
      <c r="EF110" s="48" t="n">
        <f aca="false">IF(131&gt;Fin,EE$110,EF$93*P_DInv/DiasMes+(EF$93+EF$94+EF$95+EF$96)*P_DPT/DiasMes)</f>
        <v>1626937.98750554</v>
      </c>
      <c r="EG110" s="48" t="n">
        <f aca="false">IF(132&gt;Fin,EF$110,EG$93*P_DInv/DiasMes+(EG$93+EG$94+EG$95+EG$96)*P_DPT/DiasMes)</f>
        <v>1626937.98750554</v>
      </c>
      <c r="EH110" s="48" t="n">
        <f aca="false">IF(133&gt;Fin,EG$110,EH$93*P_DInv/DiasMes+(EH$93+EH$94+EH$95+EH$96)*P_DPT/DiasMes)</f>
        <v>1626937.98750554</v>
      </c>
      <c r="EI110" s="48" t="n">
        <f aca="false">IF(134&gt;Fin,EH$110,EI$93*P_DInv/DiasMes+(EI$93+EI$94+EI$95+EI$96)*P_DPT/DiasMes)</f>
        <v>1626937.98750554</v>
      </c>
      <c r="EJ110" s="48" t="n">
        <f aca="false">IF(135&gt;Fin,EI$110,EJ$93*P_DInv/DiasMes+(EJ$93+EJ$94+EJ$95+EJ$96)*P_DPT/DiasMes)</f>
        <v>1626937.98750554</v>
      </c>
      <c r="EK110" s="48" t="n">
        <f aca="false">IF(136&gt;Fin,EJ$110,EK$93*P_DInv/DiasMes+(EK$93+EK$94+EK$95+EK$96)*P_DPT/DiasMes)</f>
        <v>1626937.98750554</v>
      </c>
      <c r="EL110" s="48" t="n">
        <f aca="false">IF(137&gt;Fin,EK$110,EL$93*P_DInv/DiasMes+(EL$93+EL$94+EL$95+EL$96)*P_DPT/DiasMes)</f>
        <v>1626937.98750554</v>
      </c>
      <c r="EM110" s="48" t="n">
        <f aca="false">IF(138&gt;Fin,EL$110,EM$93*P_DInv/DiasMes+(EM$93+EM$94+EM$95+EM$96)*P_DPT/DiasMes)</f>
        <v>1626937.98750554</v>
      </c>
      <c r="EN110" s="48" t="n">
        <f aca="false">IF(139&gt;Fin,EM$110,EN$93*P_DInv/DiasMes+(EN$93+EN$94+EN$95+EN$96)*P_DPT/DiasMes)</f>
        <v>1626937.98750554</v>
      </c>
      <c r="EO110" s="48" t="n">
        <f aca="false">IF(140&gt;Fin,EN$110,EO$93*P_DInv/DiasMes+(EO$93+EO$94+EO$95+EO$96)*P_DPT/DiasMes)</f>
        <v>1626937.98750554</v>
      </c>
      <c r="EP110" s="48" t="n">
        <f aca="false">IF(141&gt;Fin,EO$110,EP$93*P_DInv/DiasMes+(EP$93+EP$94+EP$95+EP$96)*P_DPT/DiasMes)</f>
        <v>1626937.98750554</v>
      </c>
      <c r="EQ110" s="48" t="n">
        <f aca="false">IF(142&gt;Fin,EP$110,EQ$93*P_DInv/DiasMes+(EQ$93+EQ$94+EQ$95+EQ$96)*P_DPT/DiasMes)</f>
        <v>1626937.98750554</v>
      </c>
      <c r="ER110" s="48" t="n">
        <f aca="false">IF(143&gt;Fin,EQ$110,ER$93*P_DInv/DiasMes+(ER$93+ER$94+ER$95+ER$96)*P_DPT/DiasMes)</f>
        <v>1626937.98750554</v>
      </c>
      <c r="ES110" s="48" t="n">
        <f aca="false">IF(144&gt;Fin,ER$110,ES$93*P_DInv/DiasMes+(ES$93+ES$94+ES$95+ES$96)*P_DPT/DiasMes)</f>
        <v>1626937.98750554</v>
      </c>
    </row>
    <row r="111" customFormat="false" ht="15" hidden="false" customHeight="false" outlineLevel="0" collapsed="false">
      <c r="A111" s="11" t="s">
        <v>1189</v>
      </c>
      <c r="B111" s="15" t="s">
        <v>1190</v>
      </c>
      <c r="C111" s="15" t="s">
        <v>508</v>
      </c>
      <c r="E111" s="54" t="n">
        <f aca="false">INDEX(F111:ES111,1,MIN(144,Fin))</f>
        <v>0</v>
      </c>
      <c r="F111" s="48" t="n">
        <f aca="false">IF(1&gt;Fin,0,F$101*P_IVAmeses)</f>
        <v>0</v>
      </c>
      <c r="G111" s="48" t="n">
        <f aca="false">IF(2&gt;Fin,F$111,G$101*P_IVAmeses)</f>
        <v>0</v>
      </c>
      <c r="H111" s="48" t="n">
        <f aca="false">IF(3&gt;Fin,G$111,H$101*P_IVAmeses)</f>
        <v>0</v>
      </c>
      <c r="I111" s="48" t="n">
        <f aca="false">IF(4&gt;Fin,H$111,I$101*P_IVAmeses)</f>
        <v>0</v>
      </c>
      <c r="J111" s="48" t="n">
        <f aca="false">IF(5&gt;Fin,I$111,J$101*P_IVAmeses)</f>
        <v>0</v>
      </c>
      <c r="K111" s="48" t="n">
        <f aca="false">IF(6&gt;Fin,J$111,K$101*P_IVAmeses)</f>
        <v>0</v>
      </c>
      <c r="L111" s="48" t="n">
        <f aca="false">IF(7&gt;Fin,K$111,L$101*P_IVAmeses)</f>
        <v>0</v>
      </c>
      <c r="M111" s="48" t="n">
        <f aca="false">IF(8&gt;Fin,L$111,M$101*P_IVAmeses)</f>
        <v>0</v>
      </c>
      <c r="N111" s="48" t="n">
        <f aca="false">IF(9&gt;Fin,M$111,N$101*P_IVAmeses)</f>
        <v>0</v>
      </c>
      <c r="O111" s="48" t="n">
        <f aca="false">IF(10&gt;Fin,N$111,O$101*P_IVAmeses)</f>
        <v>0</v>
      </c>
      <c r="P111" s="48" t="n">
        <f aca="false">IF(11&gt;Fin,O$111,P$101*P_IVAmeses)</f>
        <v>0</v>
      </c>
      <c r="Q111" s="48" t="n">
        <f aca="false">IF(12&gt;Fin,P$111,Q$101*P_IVAmeses)</f>
        <v>0</v>
      </c>
      <c r="R111" s="48" t="n">
        <f aca="false">IF(13&gt;Fin,Q$111,R$101*P_IVAmeses)</f>
        <v>0</v>
      </c>
      <c r="S111" s="48" t="n">
        <f aca="false">IF(14&gt;Fin,R$111,S$101*P_IVAmeses)</f>
        <v>0</v>
      </c>
      <c r="T111" s="48" t="n">
        <f aca="false">IF(15&gt;Fin,S$111,T$101*P_IVAmeses)</f>
        <v>0</v>
      </c>
      <c r="U111" s="48" t="n">
        <f aca="false">IF(16&gt;Fin,T$111,U$101*P_IVAmeses)</f>
        <v>0</v>
      </c>
      <c r="V111" s="48" t="n">
        <f aca="false">IF(17&gt;Fin,U$111,V$101*P_IVAmeses)</f>
        <v>0</v>
      </c>
      <c r="W111" s="48" t="n">
        <f aca="false">IF(18&gt;Fin,V$111,W$101*P_IVAmeses)</f>
        <v>0</v>
      </c>
      <c r="X111" s="48" t="n">
        <f aca="false">IF(19&gt;Fin,W$111,X$101*P_IVAmeses)</f>
        <v>0</v>
      </c>
      <c r="Y111" s="48" t="n">
        <f aca="false">IF(20&gt;Fin,X$111,Y$101*P_IVAmeses)</f>
        <v>0</v>
      </c>
      <c r="Z111" s="48" t="n">
        <f aca="false">IF(21&gt;Fin,Y$111,Z$101*P_IVAmeses)</f>
        <v>0</v>
      </c>
      <c r="AA111" s="48" t="n">
        <f aca="false">IF(22&gt;Fin,Z$111,AA$101*P_IVAmeses)</f>
        <v>0</v>
      </c>
      <c r="AB111" s="48" t="n">
        <f aca="false">IF(23&gt;Fin,AA$111,AB$101*P_IVAmeses)</f>
        <v>0</v>
      </c>
      <c r="AC111" s="48" t="n">
        <f aca="false">IF(24&gt;Fin,AB$111,AC$101*P_IVAmeses)</f>
        <v>0</v>
      </c>
      <c r="AD111" s="48" t="n">
        <f aca="false">IF(25&gt;Fin,AC$111,AD$101*P_IVAmeses)</f>
        <v>0</v>
      </c>
      <c r="AE111" s="48" t="n">
        <f aca="false">IF(26&gt;Fin,AD$111,AE$101*P_IVAmeses)</f>
        <v>0</v>
      </c>
      <c r="AF111" s="48" t="n">
        <f aca="false">IF(27&gt;Fin,AE$111,AF$101*P_IVAmeses)</f>
        <v>0</v>
      </c>
      <c r="AG111" s="48" t="n">
        <f aca="false">IF(28&gt;Fin,AF$111,AG$101*P_IVAmeses)</f>
        <v>0</v>
      </c>
      <c r="AH111" s="48" t="n">
        <f aca="false">IF(29&gt;Fin,AG$111,AH$101*P_IVAmeses)</f>
        <v>0</v>
      </c>
      <c r="AI111" s="48" t="n">
        <f aca="false">IF(30&gt;Fin,AH$111,AI$101*P_IVAmeses)</f>
        <v>0</v>
      </c>
      <c r="AJ111" s="48" t="n">
        <f aca="false">IF(31&gt;Fin,AI$111,AJ$101*P_IVAmeses)</f>
        <v>0</v>
      </c>
      <c r="AK111" s="48" t="n">
        <f aca="false">IF(32&gt;Fin,AJ$111,AK$101*P_IVAmeses)</f>
        <v>0</v>
      </c>
      <c r="AL111" s="48" t="n">
        <f aca="false">IF(33&gt;Fin,AK$111,AL$101*P_IVAmeses)</f>
        <v>0</v>
      </c>
      <c r="AM111" s="48" t="n">
        <f aca="false">IF(34&gt;Fin,AL$111,AM$101*P_IVAmeses)</f>
        <v>0</v>
      </c>
      <c r="AN111" s="48" t="n">
        <f aca="false">IF(35&gt;Fin,AM$111,AN$101*P_IVAmeses)</f>
        <v>0</v>
      </c>
      <c r="AO111" s="48" t="n">
        <f aca="false">IF(36&gt;Fin,AN$111,AO$101*P_IVAmeses)</f>
        <v>0</v>
      </c>
      <c r="AP111" s="48" t="n">
        <f aca="false">IF(37&gt;Fin,AO$111,AP$101*P_IVAmeses)</f>
        <v>0</v>
      </c>
      <c r="AQ111" s="48" t="n">
        <f aca="false">IF(38&gt;Fin,AP$111,AQ$101*P_IVAmeses)</f>
        <v>0</v>
      </c>
      <c r="AR111" s="48" t="n">
        <f aca="false">IF(39&gt;Fin,AQ$111,AR$101*P_IVAmeses)</f>
        <v>0</v>
      </c>
      <c r="AS111" s="48" t="n">
        <f aca="false">IF(40&gt;Fin,AR$111,AS$101*P_IVAmeses)</f>
        <v>0</v>
      </c>
      <c r="AT111" s="48" t="n">
        <f aca="false">IF(41&gt;Fin,AS$111,AT$101*P_IVAmeses)</f>
        <v>0</v>
      </c>
      <c r="AU111" s="48" t="n">
        <f aca="false">IF(42&gt;Fin,AT$111,AU$101*P_IVAmeses)</f>
        <v>0</v>
      </c>
      <c r="AV111" s="48" t="n">
        <f aca="false">IF(43&gt;Fin,AU$111,AV$101*P_IVAmeses)</f>
        <v>0</v>
      </c>
      <c r="AW111" s="48" t="n">
        <f aca="false">IF(44&gt;Fin,AV$111,AW$101*P_IVAmeses)</f>
        <v>0</v>
      </c>
      <c r="AX111" s="48" t="n">
        <f aca="false">IF(45&gt;Fin,AW$111,AX$101*P_IVAmeses)</f>
        <v>0</v>
      </c>
      <c r="AY111" s="48" t="n">
        <f aca="false">IF(46&gt;Fin,AX$111,AY$101*P_IVAmeses)</f>
        <v>0</v>
      </c>
      <c r="AZ111" s="48" t="n">
        <f aca="false">IF(47&gt;Fin,AY$111,AZ$101*P_IVAmeses)</f>
        <v>0</v>
      </c>
      <c r="BA111" s="48" t="n">
        <f aca="false">IF(48&gt;Fin,AZ$111,BA$101*P_IVAmeses)</f>
        <v>0</v>
      </c>
      <c r="BB111" s="48" t="n">
        <f aca="false">IF(49&gt;Fin,BA$111,BB$101*P_IVAmeses)</f>
        <v>0</v>
      </c>
      <c r="BC111" s="48" t="n">
        <f aca="false">IF(50&gt;Fin,BB$111,BC$101*P_IVAmeses)</f>
        <v>0</v>
      </c>
      <c r="BD111" s="48" t="n">
        <f aca="false">IF(51&gt;Fin,BC$111,BD$101*P_IVAmeses)</f>
        <v>0</v>
      </c>
      <c r="BE111" s="48" t="n">
        <f aca="false">IF(52&gt;Fin,BD$111,BE$101*P_IVAmeses)</f>
        <v>0</v>
      </c>
      <c r="BF111" s="48" t="n">
        <f aca="false">IF(53&gt;Fin,BE$111,BF$101*P_IVAmeses)</f>
        <v>0</v>
      </c>
      <c r="BG111" s="48" t="n">
        <f aca="false">IF(54&gt;Fin,BF$111,BG$101*P_IVAmeses)</f>
        <v>0</v>
      </c>
      <c r="BH111" s="48" t="n">
        <f aca="false">IF(55&gt;Fin,BG$111,BH$101*P_IVAmeses)</f>
        <v>0</v>
      </c>
      <c r="BI111" s="48" t="n">
        <f aca="false">IF(56&gt;Fin,BH$111,BI$101*P_IVAmeses)</f>
        <v>0</v>
      </c>
      <c r="BJ111" s="48" t="n">
        <f aca="false">IF(57&gt;Fin,BI$111,BJ$101*P_IVAmeses)</f>
        <v>0</v>
      </c>
      <c r="BK111" s="48" t="n">
        <f aca="false">IF(58&gt;Fin,BJ$111,BK$101*P_IVAmeses)</f>
        <v>0</v>
      </c>
      <c r="BL111" s="48" t="n">
        <f aca="false">IF(59&gt;Fin,BK$111,BL$101*P_IVAmeses)</f>
        <v>0</v>
      </c>
      <c r="BM111" s="48" t="n">
        <f aca="false">IF(60&gt;Fin,BL$111,BM$101*P_IVAmeses)</f>
        <v>0</v>
      </c>
      <c r="BN111" s="48" t="n">
        <f aca="false">IF(61&gt;Fin,BM$111,BN$101*P_IVAmeses)</f>
        <v>0</v>
      </c>
      <c r="BO111" s="48" t="n">
        <f aca="false">IF(62&gt;Fin,BN$111,BO$101*P_IVAmeses)</f>
        <v>0</v>
      </c>
      <c r="BP111" s="48" t="n">
        <f aca="false">IF(63&gt;Fin,BO$111,BP$101*P_IVAmeses)</f>
        <v>0</v>
      </c>
      <c r="BQ111" s="48" t="n">
        <f aca="false">IF(64&gt;Fin,BP$111,BQ$101*P_IVAmeses)</f>
        <v>0</v>
      </c>
      <c r="BR111" s="48" t="n">
        <f aca="false">IF(65&gt;Fin,BQ$111,BR$101*P_IVAmeses)</f>
        <v>0</v>
      </c>
      <c r="BS111" s="48" t="n">
        <f aca="false">IF(66&gt;Fin,BR$111,BS$101*P_IVAmeses)</f>
        <v>0</v>
      </c>
      <c r="BT111" s="48" t="n">
        <f aca="false">IF(67&gt;Fin,BS$111,BT$101*P_IVAmeses)</f>
        <v>0</v>
      </c>
      <c r="BU111" s="48" t="n">
        <f aca="false">IF(68&gt;Fin,BT$111,BU$101*P_IVAmeses)</f>
        <v>0</v>
      </c>
      <c r="BV111" s="48" t="n">
        <f aca="false">IF(69&gt;Fin,BU$111,BV$101*P_IVAmeses)</f>
        <v>0</v>
      </c>
      <c r="BW111" s="48" t="n">
        <f aca="false">IF(70&gt;Fin,BV$111,BW$101*P_IVAmeses)</f>
        <v>0</v>
      </c>
      <c r="BX111" s="48" t="n">
        <f aca="false">IF(71&gt;Fin,BW$111,BX$101*P_IVAmeses)</f>
        <v>0</v>
      </c>
      <c r="BY111" s="48" t="n">
        <f aca="false">IF(72&gt;Fin,BX$111,BY$101*P_IVAmeses)</f>
        <v>0</v>
      </c>
      <c r="BZ111" s="48" t="n">
        <f aca="false">IF(73&gt;Fin,BY$111,BZ$101*P_IVAmeses)</f>
        <v>0</v>
      </c>
      <c r="CA111" s="48" t="n">
        <f aca="false">IF(74&gt;Fin,BZ$111,CA$101*P_IVAmeses)</f>
        <v>0</v>
      </c>
      <c r="CB111" s="48" t="n">
        <f aca="false">IF(75&gt;Fin,CA$111,CB$101*P_IVAmeses)</f>
        <v>0</v>
      </c>
      <c r="CC111" s="48" t="n">
        <f aca="false">IF(76&gt;Fin,CB$111,CC$101*P_IVAmeses)</f>
        <v>0</v>
      </c>
      <c r="CD111" s="48" t="n">
        <f aca="false">IF(77&gt;Fin,CC$111,CD$101*P_IVAmeses)</f>
        <v>0</v>
      </c>
      <c r="CE111" s="48" t="n">
        <f aca="false">IF(78&gt;Fin,CD$111,CE$101*P_IVAmeses)</f>
        <v>0</v>
      </c>
      <c r="CF111" s="48" t="n">
        <f aca="false">IF(79&gt;Fin,CE$111,CF$101*P_IVAmeses)</f>
        <v>0</v>
      </c>
      <c r="CG111" s="48" t="n">
        <f aca="false">IF(80&gt;Fin,CF$111,CG$101*P_IVAmeses)</f>
        <v>0</v>
      </c>
      <c r="CH111" s="48" t="n">
        <f aca="false">IF(81&gt;Fin,CG$111,CH$101*P_IVAmeses)</f>
        <v>0</v>
      </c>
      <c r="CI111" s="48" t="n">
        <f aca="false">IF(82&gt;Fin,CH$111,CI$101*P_IVAmeses)</f>
        <v>0</v>
      </c>
      <c r="CJ111" s="48" t="n">
        <f aca="false">IF(83&gt;Fin,CI$111,CJ$101*P_IVAmeses)</f>
        <v>0</v>
      </c>
      <c r="CK111" s="48" t="n">
        <f aca="false">IF(84&gt;Fin,CJ$111,CK$101*P_IVAmeses)</f>
        <v>0</v>
      </c>
      <c r="CL111" s="48" t="n">
        <f aca="false">IF(85&gt;Fin,CK$111,CL$101*P_IVAmeses)</f>
        <v>0</v>
      </c>
      <c r="CM111" s="48" t="n">
        <f aca="false">IF(86&gt;Fin,CL$111,CM$101*P_IVAmeses)</f>
        <v>0</v>
      </c>
      <c r="CN111" s="48" t="n">
        <f aca="false">IF(87&gt;Fin,CM$111,CN$101*P_IVAmeses)</f>
        <v>0</v>
      </c>
      <c r="CO111" s="48" t="n">
        <f aca="false">IF(88&gt;Fin,CN$111,CO$101*P_IVAmeses)</f>
        <v>0</v>
      </c>
      <c r="CP111" s="48" t="n">
        <f aca="false">IF(89&gt;Fin,CO$111,CP$101*P_IVAmeses)</f>
        <v>0</v>
      </c>
      <c r="CQ111" s="48" t="n">
        <f aca="false">IF(90&gt;Fin,CP$111,CQ$101*P_IVAmeses)</f>
        <v>0</v>
      </c>
      <c r="CR111" s="48" t="n">
        <f aca="false">IF(91&gt;Fin,CQ$111,CR$101*P_IVAmeses)</f>
        <v>0</v>
      </c>
      <c r="CS111" s="48" t="n">
        <f aca="false">IF(92&gt;Fin,CR$111,CS$101*P_IVAmeses)</f>
        <v>0</v>
      </c>
      <c r="CT111" s="48" t="n">
        <f aca="false">IF(93&gt;Fin,CS$111,CT$101*P_IVAmeses)</f>
        <v>0</v>
      </c>
      <c r="CU111" s="48" t="n">
        <f aca="false">IF(94&gt;Fin,CT$111,CU$101*P_IVAmeses)</f>
        <v>0</v>
      </c>
      <c r="CV111" s="48" t="n">
        <f aca="false">IF(95&gt;Fin,CU$111,CV$101*P_IVAmeses)</f>
        <v>0</v>
      </c>
      <c r="CW111" s="48" t="n">
        <f aca="false">IF(96&gt;Fin,CV$111,CW$101*P_IVAmeses)</f>
        <v>0</v>
      </c>
      <c r="CX111" s="48" t="n">
        <f aca="false">IF(97&gt;Fin,CW$111,CX$101*P_IVAmeses)</f>
        <v>0</v>
      </c>
      <c r="CY111" s="48" t="n">
        <f aca="false">IF(98&gt;Fin,CX$111,CY$101*P_IVAmeses)</f>
        <v>0</v>
      </c>
      <c r="CZ111" s="48" t="n">
        <f aca="false">IF(99&gt;Fin,CY$111,CZ$101*P_IVAmeses)</f>
        <v>0</v>
      </c>
      <c r="DA111" s="48" t="n">
        <f aca="false">IF(100&gt;Fin,CZ$111,DA$101*P_IVAmeses)</f>
        <v>0</v>
      </c>
      <c r="DB111" s="48" t="n">
        <f aca="false">IF(101&gt;Fin,DA$111,DB$101*P_IVAmeses)</f>
        <v>0</v>
      </c>
      <c r="DC111" s="48" t="n">
        <f aca="false">IF(102&gt;Fin,DB$111,DC$101*P_IVAmeses)</f>
        <v>0</v>
      </c>
      <c r="DD111" s="48" t="n">
        <f aca="false">IF(103&gt;Fin,DC$111,DD$101*P_IVAmeses)</f>
        <v>0</v>
      </c>
      <c r="DE111" s="48" t="n">
        <f aca="false">IF(104&gt;Fin,DD$111,DE$101*P_IVAmeses)</f>
        <v>0</v>
      </c>
      <c r="DF111" s="48" t="n">
        <f aca="false">IF(105&gt;Fin,DE$111,DF$101*P_IVAmeses)</f>
        <v>0</v>
      </c>
      <c r="DG111" s="48" t="n">
        <f aca="false">IF(106&gt;Fin,DF$111,DG$101*P_IVAmeses)</f>
        <v>0</v>
      </c>
      <c r="DH111" s="48" t="n">
        <f aca="false">IF(107&gt;Fin,DG$111,DH$101*P_IVAmeses)</f>
        <v>0</v>
      </c>
      <c r="DI111" s="48" t="n">
        <f aca="false">IF(108&gt;Fin,DH$111,DI$101*P_IVAmeses)</f>
        <v>0</v>
      </c>
      <c r="DJ111" s="48" t="n">
        <f aca="false">IF(109&gt;Fin,DI$111,DJ$101*P_IVAmeses)</f>
        <v>0</v>
      </c>
      <c r="DK111" s="48" t="n">
        <f aca="false">IF(110&gt;Fin,DJ$111,DK$101*P_IVAmeses)</f>
        <v>0</v>
      </c>
      <c r="DL111" s="48" t="n">
        <f aca="false">IF(111&gt;Fin,DK$111,DL$101*P_IVAmeses)</f>
        <v>0</v>
      </c>
      <c r="DM111" s="48" t="n">
        <f aca="false">IF(112&gt;Fin,DL$111,DM$101*P_IVAmeses)</f>
        <v>0</v>
      </c>
      <c r="DN111" s="48" t="n">
        <f aca="false">IF(113&gt;Fin,DM$111,DN$101*P_IVAmeses)</f>
        <v>0</v>
      </c>
      <c r="DO111" s="48" t="n">
        <f aca="false">IF(114&gt;Fin,DN$111,DO$101*P_IVAmeses)</f>
        <v>0</v>
      </c>
      <c r="DP111" s="48" t="n">
        <f aca="false">IF(115&gt;Fin,DO$111,DP$101*P_IVAmeses)</f>
        <v>0</v>
      </c>
      <c r="DQ111" s="48" t="n">
        <f aca="false">IF(116&gt;Fin,DP$111,DQ$101*P_IVAmeses)</f>
        <v>0</v>
      </c>
      <c r="DR111" s="48" t="n">
        <f aca="false">IF(117&gt;Fin,DQ$111,DR$101*P_IVAmeses)</f>
        <v>0</v>
      </c>
      <c r="DS111" s="48" t="n">
        <f aca="false">IF(118&gt;Fin,DR$111,DS$101*P_IVAmeses)</f>
        <v>0</v>
      </c>
      <c r="DT111" s="48" t="n">
        <f aca="false">IF(119&gt;Fin,DS$111,DT$101*P_IVAmeses)</f>
        <v>0</v>
      </c>
      <c r="DU111" s="48" t="n">
        <f aca="false">IF(120&gt;Fin,DT$111,DU$101*P_IVAmeses)</f>
        <v>0</v>
      </c>
      <c r="DV111" s="48" t="n">
        <f aca="false">IF(121&gt;Fin,DU$111,DV$101*P_IVAmeses)</f>
        <v>0</v>
      </c>
      <c r="DW111" s="48" t="n">
        <f aca="false">IF(122&gt;Fin,DV$111,DW$101*P_IVAmeses)</f>
        <v>0</v>
      </c>
      <c r="DX111" s="48" t="n">
        <f aca="false">IF(123&gt;Fin,DW$111,DX$101*P_IVAmeses)</f>
        <v>0</v>
      </c>
      <c r="DY111" s="48" t="n">
        <f aca="false">IF(124&gt;Fin,DX$111,DY$101*P_IVAmeses)</f>
        <v>0</v>
      </c>
      <c r="DZ111" s="48" t="n">
        <f aca="false">IF(125&gt;Fin,DY$111,DZ$101*P_IVAmeses)</f>
        <v>0</v>
      </c>
      <c r="EA111" s="48" t="n">
        <f aca="false">IF(126&gt;Fin,DZ$111,EA$101*P_IVAmeses)</f>
        <v>0</v>
      </c>
      <c r="EB111" s="48" t="n">
        <f aca="false">IF(127&gt;Fin,EA$111,EB$101*P_IVAmeses)</f>
        <v>0</v>
      </c>
      <c r="EC111" s="48" t="n">
        <f aca="false">IF(128&gt;Fin,EB$111,EC$101*P_IVAmeses)</f>
        <v>0</v>
      </c>
      <c r="ED111" s="48" t="n">
        <f aca="false">IF(129&gt;Fin,EC$111,ED$101*P_IVAmeses)</f>
        <v>0</v>
      </c>
      <c r="EE111" s="48" t="n">
        <f aca="false">IF(130&gt;Fin,ED$111,EE$101*P_IVAmeses)</f>
        <v>0</v>
      </c>
      <c r="EF111" s="48" t="n">
        <f aca="false">IF(131&gt;Fin,EE$111,EF$101*P_IVAmeses)</f>
        <v>0</v>
      </c>
      <c r="EG111" s="48" t="n">
        <f aca="false">IF(132&gt;Fin,EF$111,EG$101*P_IVAmeses)</f>
        <v>0</v>
      </c>
      <c r="EH111" s="48" t="n">
        <f aca="false">IF(133&gt;Fin,EG$111,EH$101*P_IVAmeses)</f>
        <v>0</v>
      </c>
      <c r="EI111" s="48" t="n">
        <f aca="false">IF(134&gt;Fin,EH$111,EI$101*P_IVAmeses)</f>
        <v>0</v>
      </c>
      <c r="EJ111" s="48" t="n">
        <f aca="false">IF(135&gt;Fin,EI$111,EJ$101*P_IVAmeses)</f>
        <v>0</v>
      </c>
      <c r="EK111" s="48" t="n">
        <f aca="false">IF(136&gt;Fin,EJ$111,EK$101*P_IVAmeses)</f>
        <v>0</v>
      </c>
      <c r="EL111" s="48" t="n">
        <f aca="false">IF(137&gt;Fin,EK$111,EL$101*P_IVAmeses)</f>
        <v>0</v>
      </c>
      <c r="EM111" s="48" t="n">
        <f aca="false">IF(138&gt;Fin,EL$111,EM$101*P_IVAmeses)</f>
        <v>0</v>
      </c>
      <c r="EN111" s="48" t="n">
        <f aca="false">IF(139&gt;Fin,EM$111,EN$101*P_IVAmeses)</f>
        <v>0</v>
      </c>
      <c r="EO111" s="48" t="n">
        <f aca="false">IF(140&gt;Fin,EN$111,EO$101*P_IVAmeses)</f>
        <v>0</v>
      </c>
      <c r="EP111" s="48" t="n">
        <f aca="false">IF(141&gt;Fin,EO$111,EP$101*P_IVAmeses)</f>
        <v>0</v>
      </c>
      <c r="EQ111" s="48" t="n">
        <f aca="false">IF(142&gt;Fin,EP$111,EQ$101*P_IVAmeses)</f>
        <v>0</v>
      </c>
      <c r="ER111" s="48" t="n">
        <f aca="false">IF(143&gt;Fin,EQ$111,ER$101*P_IVAmeses)</f>
        <v>0</v>
      </c>
      <c r="ES111" s="48" t="n">
        <f aca="false">IF(144&gt;Fin,ER$111,ES$101*P_IVAmeses)</f>
        <v>0</v>
      </c>
    </row>
    <row r="112" customFormat="false" ht="15" hidden="false" customHeight="false" outlineLevel="0" collapsed="false">
      <c r="A112" s="11" t="s">
        <v>1191</v>
      </c>
      <c r="B112" s="15" t="s">
        <v>1192</v>
      </c>
      <c r="C112" s="15" t="s">
        <v>508</v>
      </c>
      <c r="E112" s="54" t="n">
        <f aca="false">INDEX(F112:ES112,1,MIN(144,Fin))</f>
        <v>158331.694422986</v>
      </c>
      <c r="F112" s="48" t="n">
        <f aca="false">IF(1&gt;Fin,0,F$93*P_DPOmp/DiasMes+(F$94+F$96+F$99+F$100)*P_DPOot/DiasMes)</f>
        <v>99105.4926010081</v>
      </c>
      <c r="G112" s="48" t="n">
        <f aca="false">IF(2&gt;Fin,F$112,G$93*P_DPOmp/DiasMes+(G$94+G$96+G$99+G$100)*P_DPOot/DiasMes)</f>
        <v>99105.4926010081</v>
      </c>
      <c r="H112" s="48" t="n">
        <f aca="false">IF(3&gt;Fin,G$112,H$93*P_DPOmp/DiasMes+(H$94+H$96+H$99+H$100)*P_DPOot/DiasMes)</f>
        <v>99105.4926010081</v>
      </c>
      <c r="I112" s="48" t="n">
        <f aca="false">IF(4&gt;Fin,H$112,I$93*P_DPOmp/DiasMes+(I$94+I$96+I$99+I$100)*P_DPOot/DiasMes)</f>
        <v>99105.4926010081</v>
      </c>
      <c r="J112" s="48" t="n">
        <f aca="false">IF(5&gt;Fin,I$112,J$93*P_DPOmp/DiasMes+(J$94+J$96+J$99+J$100)*P_DPOot/DiasMes)</f>
        <v>99105.4926010081</v>
      </c>
      <c r="K112" s="48" t="n">
        <f aca="false">IF(6&gt;Fin,J$112,K$93*P_DPOmp/DiasMes+(K$94+K$96+K$99+K$100)*P_DPOot/DiasMes)</f>
        <v>99105.4926010081</v>
      </c>
      <c r="L112" s="48" t="n">
        <f aca="false">IF(7&gt;Fin,K$112,L$93*P_DPOmp/DiasMes+(L$94+L$96+L$99+L$100)*P_DPOot/DiasMes)</f>
        <v>99105.4926010081</v>
      </c>
      <c r="M112" s="48" t="n">
        <f aca="false">IF(8&gt;Fin,L$112,M$93*P_DPOmp/DiasMes+(M$94+M$96+M$99+M$100)*P_DPOot/DiasMes)</f>
        <v>99105.4926010081</v>
      </c>
      <c r="N112" s="48" t="n">
        <f aca="false">IF(9&gt;Fin,M$112,N$93*P_DPOmp/DiasMes+(N$94+N$96+N$99+N$100)*P_DPOot/DiasMes)</f>
        <v>99105.4926010081</v>
      </c>
      <c r="O112" s="48" t="n">
        <f aca="false">IF(10&gt;Fin,N$112,O$93*P_DPOmp/DiasMes+(O$94+O$96+O$99+O$100)*P_DPOot/DiasMes)</f>
        <v>99105.4926010081</v>
      </c>
      <c r="P112" s="48" t="n">
        <f aca="false">IF(11&gt;Fin,O$112,P$93*P_DPOmp/DiasMes+(P$94+P$96+P$99+P$100)*P_DPOot/DiasMes)</f>
        <v>99105.4926010081</v>
      </c>
      <c r="Q112" s="48" t="n">
        <f aca="false">IF(12&gt;Fin,P$112,Q$93*P_DPOmp/DiasMes+(Q$94+Q$96+Q$99+Q$100)*P_DPOot/DiasMes)</f>
        <v>99105.4926010081</v>
      </c>
      <c r="R112" s="48" t="n">
        <f aca="false">IF(13&gt;Fin,Q$112,R$93*P_DPOmp/DiasMes+(R$94+R$96+R$99+R$100)*P_DPOot/DiasMes)</f>
        <v>117843.301076035</v>
      </c>
      <c r="S112" s="48" t="n">
        <f aca="false">IF(14&gt;Fin,R$112,S$93*P_DPOmp/DiasMes+(S$94+S$96+S$99+S$100)*P_DPOot/DiasMes)</f>
        <v>117843.301076035</v>
      </c>
      <c r="T112" s="48" t="n">
        <f aca="false">IF(15&gt;Fin,S$112,T$93*P_DPOmp/DiasMes+(T$94+T$96+T$99+T$100)*P_DPOot/DiasMes)</f>
        <v>117843.301076035</v>
      </c>
      <c r="U112" s="48" t="n">
        <f aca="false">IF(16&gt;Fin,T$112,U$93*P_DPOmp/DiasMes+(U$94+U$96+U$99+U$100)*P_DPOot/DiasMes)</f>
        <v>117843.301076035</v>
      </c>
      <c r="V112" s="48" t="n">
        <f aca="false">IF(17&gt;Fin,U$112,V$93*P_DPOmp/DiasMes+(V$94+V$96+V$99+V$100)*P_DPOot/DiasMes)</f>
        <v>117843.301076035</v>
      </c>
      <c r="W112" s="48" t="n">
        <f aca="false">IF(18&gt;Fin,V$112,W$93*P_DPOmp/DiasMes+(W$94+W$96+W$99+W$100)*P_DPOot/DiasMes)</f>
        <v>117843.301076035</v>
      </c>
      <c r="X112" s="48" t="n">
        <f aca="false">IF(19&gt;Fin,W$112,X$93*P_DPOmp/DiasMes+(X$94+X$96+X$99+X$100)*P_DPOot/DiasMes)</f>
        <v>117843.301076035</v>
      </c>
      <c r="Y112" s="48" t="n">
        <f aca="false">IF(20&gt;Fin,X$112,Y$93*P_DPOmp/DiasMes+(Y$94+Y$96+Y$99+Y$100)*P_DPOot/DiasMes)</f>
        <v>117843.301076035</v>
      </c>
      <c r="Z112" s="48" t="n">
        <f aca="false">IF(21&gt;Fin,Y$112,Z$93*P_DPOmp/DiasMes+(Z$94+Z$96+Z$99+Z$100)*P_DPOot/DiasMes)</f>
        <v>117843.301076035</v>
      </c>
      <c r="AA112" s="48" t="n">
        <f aca="false">IF(22&gt;Fin,Z$112,AA$93*P_DPOmp/DiasMes+(AA$94+AA$96+AA$99+AA$100)*P_DPOot/DiasMes)</f>
        <v>117843.301076035</v>
      </c>
      <c r="AB112" s="48" t="n">
        <f aca="false">IF(23&gt;Fin,AA$112,AB$93*P_DPOmp/DiasMes+(AB$94+AB$96+AB$99+AB$100)*P_DPOot/DiasMes)</f>
        <v>117843.301076035</v>
      </c>
      <c r="AC112" s="48" t="n">
        <f aca="false">IF(24&gt;Fin,AB$112,AC$93*P_DPOmp/DiasMes+(AC$94+AC$96+AC$99+AC$100)*P_DPOot/DiasMes)</f>
        <v>117843.301076035</v>
      </c>
      <c r="AD112" s="48" t="n">
        <f aca="false">IF(25&gt;Fin,AC$112,AD$93*P_DPOmp/DiasMes+(AD$94+AD$96+AD$99+AD$100)*P_DPOot/DiasMes)</f>
        <v>136841.164480491</v>
      </c>
      <c r="AE112" s="48" t="n">
        <f aca="false">IF(26&gt;Fin,AD$112,AE$93*P_DPOmp/DiasMes+(AE$94+AE$96+AE$99+AE$100)*P_DPOot/DiasMes)</f>
        <v>136841.164480491</v>
      </c>
      <c r="AF112" s="48" t="n">
        <f aca="false">IF(27&gt;Fin,AE$112,AF$93*P_DPOmp/DiasMes+(AF$94+AF$96+AF$99+AF$100)*P_DPOot/DiasMes)</f>
        <v>136841.164480491</v>
      </c>
      <c r="AG112" s="48" t="n">
        <f aca="false">IF(28&gt;Fin,AF$112,AG$93*P_DPOmp/DiasMes+(AG$94+AG$96+AG$99+AG$100)*P_DPOot/DiasMes)</f>
        <v>136841.164480491</v>
      </c>
      <c r="AH112" s="48" t="n">
        <f aca="false">IF(29&gt;Fin,AG$112,AH$93*P_DPOmp/DiasMes+(AH$94+AH$96+AH$99+AH$100)*P_DPOot/DiasMes)</f>
        <v>136841.164480491</v>
      </c>
      <c r="AI112" s="48" t="n">
        <f aca="false">IF(30&gt;Fin,AH$112,AI$93*P_DPOmp/DiasMes+(AI$94+AI$96+AI$99+AI$100)*P_DPOot/DiasMes)</f>
        <v>136841.164480491</v>
      </c>
      <c r="AJ112" s="48" t="n">
        <f aca="false">IF(31&gt;Fin,AI$112,AJ$93*P_DPOmp/DiasMes+(AJ$94+AJ$96+AJ$99+AJ$100)*P_DPOot/DiasMes)</f>
        <v>136841.164480491</v>
      </c>
      <c r="AK112" s="48" t="n">
        <f aca="false">IF(32&gt;Fin,AJ$112,AK$93*P_DPOmp/DiasMes+(AK$94+AK$96+AK$99+AK$100)*P_DPOot/DiasMes)</f>
        <v>136841.164480491</v>
      </c>
      <c r="AL112" s="48" t="n">
        <f aca="false">IF(33&gt;Fin,AK$112,AL$93*P_DPOmp/DiasMes+(AL$94+AL$96+AL$99+AL$100)*P_DPOot/DiasMes)</f>
        <v>136841.164480491</v>
      </c>
      <c r="AM112" s="48" t="n">
        <f aca="false">IF(34&gt;Fin,AL$112,AM$93*P_DPOmp/DiasMes+(AM$94+AM$96+AM$99+AM$100)*P_DPOot/DiasMes)</f>
        <v>136841.164480491</v>
      </c>
      <c r="AN112" s="48" t="n">
        <f aca="false">IF(35&gt;Fin,AM$112,AN$93*P_DPOmp/DiasMes+(AN$94+AN$96+AN$99+AN$100)*P_DPOot/DiasMes)</f>
        <v>136841.164480491</v>
      </c>
      <c r="AO112" s="48" t="n">
        <f aca="false">IF(36&gt;Fin,AN$112,AO$93*P_DPOmp/DiasMes+(AO$94+AO$96+AO$99+AO$100)*P_DPOot/DiasMes)</f>
        <v>136841.164480491</v>
      </c>
      <c r="AP112" s="48" t="n">
        <f aca="false">IF(37&gt;Fin,AO$112,AP$93*P_DPOmp/DiasMes+(AP$94+AP$96+AP$99+AP$100)*P_DPOot/DiasMes)</f>
        <v>152372.625750663</v>
      </c>
      <c r="AQ112" s="48" t="n">
        <f aca="false">IF(38&gt;Fin,AP$112,AQ$93*P_DPOmp/DiasMes+(AQ$94+AQ$96+AQ$99+AQ$100)*P_DPOot/DiasMes)</f>
        <v>152372.625750663</v>
      </c>
      <c r="AR112" s="48" t="n">
        <f aca="false">IF(39&gt;Fin,AQ$112,AR$93*P_DPOmp/DiasMes+(AR$94+AR$96+AR$99+AR$100)*P_DPOot/DiasMes)</f>
        <v>152372.625750663</v>
      </c>
      <c r="AS112" s="48" t="n">
        <f aca="false">IF(40&gt;Fin,AR$112,AS$93*P_DPOmp/DiasMes+(AS$94+AS$96+AS$99+AS$100)*P_DPOot/DiasMes)</f>
        <v>152372.625750663</v>
      </c>
      <c r="AT112" s="48" t="n">
        <f aca="false">IF(41&gt;Fin,AS$112,AT$93*P_DPOmp/DiasMes+(AT$94+AT$96+AT$99+AT$100)*P_DPOot/DiasMes)</f>
        <v>152372.625750663</v>
      </c>
      <c r="AU112" s="48" t="n">
        <f aca="false">IF(42&gt;Fin,AT$112,AU$93*P_DPOmp/DiasMes+(AU$94+AU$96+AU$99+AU$100)*P_DPOot/DiasMes)</f>
        <v>152372.625750663</v>
      </c>
      <c r="AV112" s="48" t="n">
        <f aca="false">IF(43&gt;Fin,AU$112,AV$93*P_DPOmp/DiasMes+(AV$94+AV$96+AV$99+AV$100)*P_DPOot/DiasMes)</f>
        <v>152372.625750663</v>
      </c>
      <c r="AW112" s="48" t="n">
        <f aca="false">IF(44&gt;Fin,AV$112,AW$93*P_DPOmp/DiasMes+(AW$94+AW$96+AW$99+AW$100)*P_DPOot/DiasMes)</f>
        <v>152372.625750663</v>
      </c>
      <c r="AX112" s="48" t="n">
        <f aca="false">IF(45&gt;Fin,AW$112,AX$93*P_DPOmp/DiasMes+(AX$94+AX$96+AX$99+AX$100)*P_DPOot/DiasMes)</f>
        <v>152372.625750663</v>
      </c>
      <c r="AY112" s="48" t="n">
        <f aca="false">IF(46&gt;Fin,AX$112,AY$93*P_DPOmp/DiasMes+(AY$94+AY$96+AY$99+AY$100)*P_DPOot/DiasMes)</f>
        <v>152372.625750663</v>
      </c>
      <c r="AZ112" s="48" t="n">
        <f aca="false">IF(47&gt;Fin,AY$112,AZ$93*P_DPOmp/DiasMes+(AZ$94+AZ$96+AZ$99+AZ$100)*P_DPOot/DiasMes)</f>
        <v>152372.625750663</v>
      </c>
      <c r="BA112" s="48" t="n">
        <f aca="false">IF(48&gt;Fin,AZ$112,BA$93*P_DPOmp/DiasMes+(BA$94+BA$96+BA$99+BA$100)*P_DPOot/DiasMes)</f>
        <v>152372.625750663</v>
      </c>
      <c r="BB112" s="48" t="n">
        <f aca="false">IF(49&gt;Fin,BA$112,BB$93*P_DPOmp/DiasMes+(BB$94+BB$96+BB$99+BB$100)*P_DPOot/DiasMes)</f>
        <v>153439.396899076</v>
      </c>
      <c r="BC112" s="48" t="n">
        <f aca="false">IF(50&gt;Fin,BB$112,BC$93*P_DPOmp/DiasMes+(BC$94+BC$96+BC$99+BC$100)*P_DPOot/DiasMes)</f>
        <v>153439.396899076</v>
      </c>
      <c r="BD112" s="48" t="n">
        <f aca="false">IF(51&gt;Fin,BC$112,BD$93*P_DPOmp/DiasMes+(BD$94+BD$96+BD$99+BD$100)*P_DPOot/DiasMes)</f>
        <v>153439.396899076</v>
      </c>
      <c r="BE112" s="48" t="n">
        <f aca="false">IF(52&gt;Fin,BD$112,BE$93*P_DPOmp/DiasMes+(BE$94+BE$96+BE$99+BE$100)*P_DPOot/DiasMes)</f>
        <v>153439.396899076</v>
      </c>
      <c r="BF112" s="48" t="n">
        <f aca="false">IF(53&gt;Fin,BE$112,BF$93*P_DPOmp/DiasMes+(BF$94+BF$96+BF$99+BF$100)*P_DPOot/DiasMes)</f>
        <v>153439.396899076</v>
      </c>
      <c r="BG112" s="48" t="n">
        <f aca="false">IF(54&gt;Fin,BF$112,BG$93*P_DPOmp/DiasMes+(BG$94+BG$96+BG$99+BG$100)*P_DPOot/DiasMes)</f>
        <v>153439.396899076</v>
      </c>
      <c r="BH112" s="48" t="n">
        <f aca="false">IF(55&gt;Fin,BG$112,BH$93*P_DPOmp/DiasMes+(BH$94+BH$96+BH$99+BH$100)*P_DPOot/DiasMes)</f>
        <v>153439.396899076</v>
      </c>
      <c r="BI112" s="48" t="n">
        <f aca="false">IF(56&gt;Fin,BH$112,BI$93*P_DPOmp/DiasMes+(BI$94+BI$96+BI$99+BI$100)*P_DPOot/DiasMes)</f>
        <v>153439.396899076</v>
      </c>
      <c r="BJ112" s="48" t="n">
        <f aca="false">IF(57&gt;Fin,BI$112,BJ$93*P_DPOmp/DiasMes+(BJ$94+BJ$96+BJ$99+BJ$100)*P_DPOot/DiasMes)</f>
        <v>153439.396899076</v>
      </c>
      <c r="BK112" s="48" t="n">
        <f aca="false">IF(58&gt;Fin,BJ$112,BK$93*P_DPOmp/DiasMes+(BK$94+BK$96+BK$99+BK$100)*P_DPOot/DiasMes)</f>
        <v>153439.396899076</v>
      </c>
      <c r="BL112" s="48" t="n">
        <f aca="false">IF(59&gt;Fin,BK$112,BL$93*P_DPOmp/DiasMes+(BL$94+BL$96+BL$99+BL$100)*P_DPOot/DiasMes)</f>
        <v>153439.396899076</v>
      </c>
      <c r="BM112" s="48" t="n">
        <f aca="false">IF(60&gt;Fin,BL$112,BM$93*P_DPOmp/DiasMes+(BM$94+BM$96+BM$99+BM$100)*P_DPOot/DiasMes)</f>
        <v>153439.396899076</v>
      </c>
      <c r="BN112" s="48" t="n">
        <f aca="false">IF(61&gt;Fin,BM$112,BN$93*P_DPOmp/DiasMes+(BN$94+BN$96+BN$99+BN$100)*P_DPOot/DiasMes)</f>
        <v>154373.202430234</v>
      </c>
      <c r="BO112" s="48" t="n">
        <f aca="false">IF(62&gt;Fin,BN$112,BO$93*P_DPOmp/DiasMes+(BO$94+BO$96+BO$99+BO$100)*P_DPOot/DiasMes)</f>
        <v>154373.202430234</v>
      </c>
      <c r="BP112" s="48" t="n">
        <f aca="false">IF(63&gt;Fin,BO$112,BP$93*P_DPOmp/DiasMes+(BP$94+BP$96+BP$99+BP$100)*P_DPOot/DiasMes)</f>
        <v>154373.202430234</v>
      </c>
      <c r="BQ112" s="48" t="n">
        <f aca="false">IF(64&gt;Fin,BP$112,BQ$93*P_DPOmp/DiasMes+(BQ$94+BQ$96+BQ$99+BQ$100)*P_DPOot/DiasMes)</f>
        <v>154373.202430234</v>
      </c>
      <c r="BR112" s="48" t="n">
        <f aca="false">IF(65&gt;Fin,BQ$112,BR$93*P_DPOmp/DiasMes+(BR$94+BR$96+BR$99+BR$100)*P_DPOot/DiasMes)</f>
        <v>154373.202430234</v>
      </c>
      <c r="BS112" s="48" t="n">
        <f aca="false">IF(66&gt;Fin,BR$112,BS$93*P_DPOmp/DiasMes+(BS$94+BS$96+BS$99+BS$100)*P_DPOot/DiasMes)</f>
        <v>154373.202430234</v>
      </c>
      <c r="BT112" s="48" t="n">
        <f aca="false">IF(67&gt;Fin,BS$112,BT$93*P_DPOmp/DiasMes+(BT$94+BT$96+BT$99+BT$100)*P_DPOot/DiasMes)</f>
        <v>154373.202430234</v>
      </c>
      <c r="BU112" s="48" t="n">
        <f aca="false">IF(68&gt;Fin,BT$112,BU$93*P_DPOmp/DiasMes+(BU$94+BU$96+BU$99+BU$100)*P_DPOot/DiasMes)</f>
        <v>154373.202430234</v>
      </c>
      <c r="BV112" s="48" t="n">
        <f aca="false">IF(69&gt;Fin,BU$112,BV$93*P_DPOmp/DiasMes+(BV$94+BV$96+BV$99+BV$100)*P_DPOot/DiasMes)</f>
        <v>154373.202430234</v>
      </c>
      <c r="BW112" s="48" t="n">
        <f aca="false">IF(70&gt;Fin,BV$112,BW$93*P_DPOmp/DiasMes+(BW$94+BW$96+BW$99+BW$100)*P_DPOot/DiasMes)</f>
        <v>154373.202430234</v>
      </c>
      <c r="BX112" s="48" t="n">
        <f aca="false">IF(71&gt;Fin,BW$112,BX$93*P_DPOmp/DiasMes+(BX$94+BX$96+BX$99+BX$100)*P_DPOot/DiasMes)</f>
        <v>154373.202430234</v>
      </c>
      <c r="BY112" s="48" t="n">
        <f aca="false">IF(72&gt;Fin,BX$112,BY$93*P_DPOmp/DiasMes+(BY$94+BY$96+BY$99+BY$100)*P_DPOot/DiasMes)</f>
        <v>154373.202430234</v>
      </c>
      <c r="BZ112" s="48" t="n">
        <f aca="false">IF(73&gt;Fin,BY$112,BZ$93*P_DPOmp/DiasMes+(BZ$94+BZ$96+BZ$99+BZ$100)*P_DPOot/DiasMes)</f>
        <v>155328.742837727</v>
      </c>
      <c r="CA112" s="48" t="n">
        <f aca="false">IF(74&gt;Fin,BZ$112,CA$93*P_DPOmp/DiasMes+(CA$94+CA$96+CA$99+CA$100)*P_DPOot/DiasMes)</f>
        <v>155328.742837727</v>
      </c>
      <c r="CB112" s="48" t="n">
        <f aca="false">IF(75&gt;Fin,CA$112,CB$93*P_DPOmp/DiasMes+(CB$94+CB$96+CB$99+CB$100)*P_DPOot/DiasMes)</f>
        <v>155328.742837727</v>
      </c>
      <c r="CC112" s="48" t="n">
        <f aca="false">IF(76&gt;Fin,CB$112,CC$93*P_DPOmp/DiasMes+(CC$94+CC$96+CC$99+CC$100)*P_DPOot/DiasMes)</f>
        <v>155328.742837727</v>
      </c>
      <c r="CD112" s="48" t="n">
        <f aca="false">IF(77&gt;Fin,CC$112,CD$93*P_DPOmp/DiasMes+(CD$94+CD$96+CD$99+CD$100)*P_DPOot/DiasMes)</f>
        <v>155328.742837727</v>
      </c>
      <c r="CE112" s="48" t="n">
        <f aca="false">IF(78&gt;Fin,CD$112,CE$93*P_DPOmp/DiasMes+(CE$94+CE$96+CE$99+CE$100)*P_DPOot/DiasMes)</f>
        <v>155328.742837727</v>
      </c>
      <c r="CF112" s="48" t="n">
        <f aca="false">IF(79&gt;Fin,CE$112,CF$93*P_DPOmp/DiasMes+(CF$94+CF$96+CF$99+CF$100)*P_DPOot/DiasMes)</f>
        <v>155328.742837727</v>
      </c>
      <c r="CG112" s="48" t="n">
        <f aca="false">IF(80&gt;Fin,CF$112,CG$93*P_DPOmp/DiasMes+(CG$94+CG$96+CG$99+CG$100)*P_DPOot/DiasMes)</f>
        <v>155328.742837727</v>
      </c>
      <c r="CH112" s="48" t="n">
        <f aca="false">IF(81&gt;Fin,CG$112,CH$93*P_DPOmp/DiasMes+(CH$94+CH$96+CH$99+CH$100)*P_DPOot/DiasMes)</f>
        <v>155328.742837727</v>
      </c>
      <c r="CI112" s="48" t="n">
        <f aca="false">IF(82&gt;Fin,CH$112,CI$93*P_DPOmp/DiasMes+(CI$94+CI$96+CI$99+CI$100)*P_DPOot/DiasMes)</f>
        <v>155328.742837727</v>
      </c>
      <c r="CJ112" s="48" t="n">
        <f aca="false">IF(83&gt;Fin,CI$112,CJ$93*P_DPOmp/DiasMes+(CJ$94+CJ$96+CJ$99+CJ$100)*P_DPOot/DiasMes)</f>
        <v>155328.742837727</v>
      </c>
      <c r="CK112" s="48" t="n">
        <f aca="false">IF(84&gt;Fin,CJ$112,CK$93*P_DPOmp/DiasMes+(CK$94+CK$96+CK$99+CK$100)*P_DPOot/DiasMes)</f>
        <v>155328.742837727</v>
      </c>
      <c r="CL112" s="48" t="n">
        <f aca="false">IF(85&gt;Fin,CK$112,CL$93*P_DPOmp/DiasMes+(CL$94+CL$96+CL$99+CL$100)*P_DPOot/DiasMes)</f>
        <v>156306.601824573</v>
      </c>
      <c r="CM112" s="48" t="n">
        <f aca="false">IF(86&gt;Fin,CL$112,CM$93*P_DPOmp/DiasMes+(CM$94+CM$96+CM$99+CM$100)*P_DPOot/DiasMes)</f>
        <v>156306.601824573</v>
      </c>
      <c r="CN112" s="48" t="n">
        <f aca="false">IF(87&gt;Fin,CM$112,CN$93*P_DPOmp/DiasMes+(CN$94+CN$96+CN$99+CN$100)*P_DPOot/DiasMes)</f>
        <v>156306.601824573</v>
      </c>
      <c r="CO112" s="48" t="n">
        <f aca="false">IF(88&gt;Fin,CN$112,CO$93*P_DPOmp/DiasMes+(CO$94+CO$96+CO$99+CO$100)*P_DPOot/DiasMes)</f>
        <v>156306.601824573</v>
      </c>
      <c r="CP112" s="48" t="n">
        <f aca="false">IF(89&gt;Fin,CO$112,CP$93*P_DPOmp/DiasMes+(CP$94+CP$96+CP$99+CP$100)*P_DPOot/DiasMes)</f>
        <v>156306.601824573</v>
      </c>
      <c r="CQ112" s="48" t="n">
        <f aca="false">IF(90&gt;Fin,CP$112,CQ$93*P_DPOmp/DiasMes+(CQ$94+CQ$96+CQ$99+CQ$100)*P_DPOot/DiasMes)</f>
        <v>156306.601824573</v>
      </c>
      <c r="CR112" s="48" t="n">
        <f aca="false">IF(91&gt;Fin,CQ$112,CR$93*P_DPOmp/DiasMes+(CR$94+CR$96+CR$99+CR$100)*P_DPOot/DiasMes)</f>
        <v>156306.601824573</v>
      </c>
      <c r="CS112" s="48" t="n">
        <f aca="false">IF(92&gt;Fin,CR$112,CS$93*P_DPOmp/DiasMes+(CS$94+CS$96+CS$99+CS$100)*P_DPOot/DiasMes)</f>
        <v>156306.601824573</v>
      </c>
      <c r="CT112" s="48" t="n">
        <f aca="false">IF(93&gt;Fin,CS$112,CT$93*P_DPOmp/DiasMes+(CT$94+CT$96+CT$99+CT$100)*P_DPOot/DiasMes)</f>
        <v>156306.601824573</v>
      </c>
      <c r="CU112" s="48" t="n">
        <f aca="false">IF(94&gt;Fin,CT$112,CU$93*P_DPOmp/DiasMes+(CU$94+CU$96+CU$99+CU$100)*P_DPOot/DiasMes)</f>
        <v>156306.601824573</v>
      </c>
      <c r="CV112" s="48" t="n">
        <f aca="false">IF(95&gt;Fin,CU$112,CV$93*P_DPOmp/DiasMes+(CV$94+CV$96+CV$99+CV$100)*P_DPOot/DiasMes)</f>
        <v>156306.601824573</v>
      </c>
      <c r="CW112" s="48" t="n">
        <f aca="false">IF(96&gt;Fin,CV$112,CW$93*P_DPOmp/DiasMes+(CW$94+CW$96+CW$99+CW$100)*P_DPOot/DiasMes)</f>
        <v>156306.601824573</v>
      </c>
      <c r="CX112" s="48" t="n">
        <f aca="false">IF(97&gt;Fin,CW$112,CX$93*P_DPOmp/DiasMes+(CX$94+CX$96+CX$99+CX$100)*P_DPOot/DiasMes)</f>
        <v>157307.379810441</v>
      </c>
      <c r="CY112" s="48" t="n">
        <f aca="false">IF(98&gt;Fin,CX$112,CY$93*P_DPOmp/DiasMes+(CY$94+CY$96+CY$99+CY$100)*P_DPOot/DiasMes)</f>
        <v>157307.379810441</v>
      </c>
      <c r="CZ112" s="48" t="n">
        <f aca="false">IF(99&gt;Fin,CY$112,CZ$93*P_DPOmp/DiasMes+(CZ$94+CZ$96+CZ$99+CZ$100)*P_DPOot/DiasMes)</f>
        <v>157307.379810441</v>
      </c>
      <c r="DA112" s="48" t="n">
        <f aca="false">IF(100&gt;Fin,CZ$112,DA$93*P_DPOmp/DiasMes+(DA$94+DA$96+DA$99+DA$100)*P_DPOot/DiasMes)</f>
        <v>157307.379810441</v>
      </c>
      <c r="DB112" s="48" t="n">
        <f aca="false">IF(101&gt;Fin,DA$112,DB$93*P_DPOmp/DiasMes+(DB$94+DB$96+DB$99+DB$100)*P_DPOot/DiasMes)</f>
        <v>157307.379810441</v>
      </c>
      <c r="DC112" s="48" t="n">
        <f aca="false">IF(102&gt;Fin,DB$112,DC$93*P_DPOmp/DiasMes+(DC$94+DC$96+DC$99+DC$100)*P_DPOot/DiasMes)</f>
        <v>157307.379810441</v>
      </c>
      <c r="DD112" s="48" t="n">
        <f aca="false">IF(103&gt;Fin,DC$112,DD$93*P_DPOmp/DiasMes+(DD$94+DD$96+DD$99+DD$100)*P_DPOot/DiasMes)</f>
        <v>157307.379810441</v>
      </c>
      <c r="DE112" s="48" t="n">
        <f aca="false">IF(104&gt;Fin,DD$112,DE$93*P_DPOmp/DiasMes+(DE$94+DE$96+DE$99+DE$100)*P_DPOot/DiasMes)</f>
        <v>157307.379810441</v>
      </c>
      <c r="DF112" s="48" t="n">
        <f aca="false">IF(105&gt;Fin,DE$112,DF$93*P_DPOmp/DiasMes+(DF$94+DF$96+DF$99+DF$100)*P_DPOot/DiasMes)</f>
        <v>157307.379810441</v>
      </c>
      <c r="DG112" s="48" t="n">
        <f aca="false">IF(106&gt;Fin,DF$112,DG$93*P_DPOmp/DiasMes+(DG$94+DG$96+DG$99+DG$100)*P_DPOot/DiasMes)</f>
        <v>157307.379810441</v>
      </c>
      <c r="DH112" s="48" t="n">
        <f aca="false">IF(107&gt;Fin,DG$112,DH$93*P_DPOmp/DiasMes+(DH$94+DH$96+DH$99+DH$100)*P_DPOot/DiasMes)</f>
        <v>157307.379810441</v>
      </c>
      <c r="DI112" s="48" t="n">
        <f aca="false">IF(108&gt;Fin,DH$112,DI$93*P_DPOmp/DiasMes+(DI$94+DI$96+DI$99+DI$100)*P_DPOot/DiasMes)</f>
        <v>157307.379810441</v>
      </c>
      <c r="DJ112" s="48" t="n">
        <f aca="false">IF(109&gt;Fin,DI$112,DJ$93*P_DPOmp/DiasMes+(DJ$94+DJ$96+DJ$99+DJ$100)*P_DPOot/DiasMes)</f>
        <v>158331.694422986</v>
      </c>
      <c r="DK112" s="48" t="n">
        <f aca="false">IF(110&gt;Fin,DJ$112,DK$93*P_DPOmp/DiasMes+(DK$94+DK$96+DK$99+DK$100)*P_DPOot/DiasMes)</f>
        <v>158331.694422986</v>
      </c>
      <c r="DL112" s="48" t="n">
        <f aca="false">IF(111&gt;Fin,DK$112,DL$93*P_DPOmp/DiasMes+(DL$94+DL$96+DL$99+DL$100)*P_DPOot/DiasMes)</f>
        <v>158331.694422986</v>
      </c>
      <c r="DM112" s="48" t="n">
        <f aca="false">IF(112&gt;Fin,DL$112,DM$93*P_DPOmp/DiasMes+(DM$94+DM$96+DM$99+DM$100)*P_DPOot/DiasMes)</f>
        <v>158331.694422986</v>
      </c>
      <c r="DN112" s="48" t="n">
        <f aca="false">IF(113&gt;Fin,DM$112,DN$93*P_DPOmp/DiasMes+(DN$94+DN$96+DN$99+DN$100)*P_DPOot/DiasMes)</f>
        <v>158331.694422986</v>
      </c>
      <c r="DO112" s="48" t="n">
        <f aca="false">IF(114&gt;Fin,DN$112,DO$93*P_DPOmp/DiasMes+(DO$94+DO$96+DO$99+DO$100)*P_DPOot/DiasMes)</f>
        <v>158331.694422986</v>
      </c>
      <c r="DP112" s="48" t="n">
        <f aca="false">IF(115&gt;Fin,DO$112,DP$93*P_DPOmp/DiasMes+(DP$94+DP$96+DP$99+DP$100)*P_DPOot/DiasMes)</f>
        <v>158331.694422986</v>
      </c>
      <c r="DQ112" s="48" t="n">
        <f aca="false">IF(116&gt;Fin,DP$112,DQ$93*P_DPOmp/DiasMes+(DQ$94+DQ$96+DQ$99+DQ$100)*P_DPOot/DiasMes)</f>
        <v>158331.694422986</v>
      </c>
      <c r="DR112" s="48" t="n">
        <f aca="false">IF(117&gt;Fin,DQ$112,DR$93*P_DPOmp/DiasMes+(DR$94+DR$96+DR$99+DR$100)*P_DPOot/DiasMes)</f>
        <v>158331.694422986</v>
      </c>
      <c r="DS112" s="48" t="n">
        <f aca="false">IF(118&gt;Fin,DR$112,DS$93*P_DPOmp/DiasMes+(DS$94+DS$96+DS$99+DS$100)*P_DPOot/DiasMes)</f>
        <v>158331.694422986</v>
      </c>
      <c r="DT112" s="48" t="n">
        <f aca="false">IF(119&gt;Fin,DS$112,DT$93*P_DPOmp/DiasMes+(DT$94+DT$96+DT$99+DT$100)*P_DPOot/DiasMes)</f>
        <v>158331.694422986</v>
      </c>
      <c r="DU112" s="48" t="n">
        <f aca="false">IF(120&gt;Fin,DT$112,DU$93*P_DPOmp/DiasMes+(DU$94+DU$96+DU$99+DU$100)*P_DPOot/DiasMes)</f>
        <v>158331.694422986</v>
      </c>
      <c r="DV112" s="48" t="n">
        <f aca="false">IF(121&gt;Fin,DU$112,DV$93*P_DPOmp/DiasMes+(DV$94+DV$96+DV$99+DV$100)*P_DPOot/DiasMes)</f>
        <v>158331.694422986</v>
      </c>
      <c r="DW112" s="48" t="n">
        <f aca="false">IF(122&gt;Fin,DV$112,DW$93*P_DPOmp/DiasMes+(DW$94+DW$96+DW$99+DW$100)*P_DPOot/DiasMes)</f>
        <v>158331.694422986</v>
      </c>
      <c r="DX112" s="48" t="n">
        <f aca="false">IF(123&gt;Fin,DW$112,DX$93*P_DPOmp/DiasMes+(DX$94+DX$96+DX$99+DX$100)*P_DPOot/DiasMes)</f>
        <v>158331.694422986</v>
      </c>
      <c r="DY112" s="48" t="n">
        <f aca="false">IF(124&gt;Fin,DX$112,DY$93*P_DPOmp/DiasMes+(DY$94+DY$96+DY$99+DY$100)*P_DPOot/DiasMes)</f>
        <v>158331.694422986</v>
      </c>
      <c r="DZ112" s="48" t="n">
        <f aca="false">IF(125&gt;Fin,DY$112,DZ$93*P_DPOmp/DiasMes+(DZ$94+DZ$96+DZ$99+DZ$100)*P_DPOot/DiasMes)</f>
        <v>158331.694422986</v>
      </c>
      <c r="EA112" s="48" t="n">
        <f aca="false">IF(126&gt;Fin,DZ$112,EA$93*P_DPOmp/DiasMes+(EA$94+EA$96+EA$99+EA$100)*P_DPOot/DiasMes)</f>
        <v>158331.694422986</v>
      </c>
      <c r="EB112" s="48" t="n">
        <f aca="false">IF(127&gt;Fin,EA$112,EB$93*P_DPOmp/DiasMes+(EB$94+EB$96+EB$99+EB$100)*P_DPOot/DiasMes)</f>
        <v>158331.694422986</v>
      </c>
      <c r="EC112" s="48" t="n">
        <f aca="false">IF(128&gt;Fin,EB$112,EC$93*P_DPOmp/DiasMes+(EC$94+EC$96+EC$99+EC$100)*P_DPOot/DiasMes)</f>
        <v>158331.694422986</v>
      </c>
      <c r="ED112" s="48" t="n">
        <f aca="false">IF(129&gt;Fin,EC$112,ED$93*P_DPOmp/DiasMes+(ED$94+ED$96+ED$99+ED$100)*P_DPOot/DiasMes)</f>
        <v>158331.694422986</v>
      </c>
      <c r="EE112" s="48" t="n">
        <f aca="false">IF(130&gt;Fin,ED$112,EE$93*P_DPOmp/DiasMes+(EE$94+EE$96+EE$99+EE$100)*P_DPOot/DiasMes)</f>
        <v>158331.694422986</v>
      </c>
      <c r="EF112" s="48" t="n">
        <f aca="false">IF(131&gt;Fin,EE$112,EF$93*P_DPOmp/DiasMes+(EF$94+EF$96+EF$99+EF$100)*P_DPOot/DiasMes)</f>
        <v>158331.694422986</v>
      </c>
      <c r="EG112" s="48" t="n">
        <f aca="false">IF(132&gt;Fin,EF$112,EG$93*P_DPOmp/DiasMes+(EG$94+EG$96+EG$99+EG$100)*P_DPOot/DiasMes)</f>
        <v>158331.694422986</v>
      </c>
      <c r="EH112" s="48" t="n">
        <f aca="false">IF(133&gt;Fin,EG$112,EH$93*P_DPOmp/DiasMes+(EH$94+EH$96+EH$99+EH$100)*P_DPOot/DiasMes)</f>
        <v>158331.694422986</v>
      </c>
      <c r="EI112" s="48" t="n">
        <f aca="false">IF(134&gt;Fin,EH$112,EI$93*P_DPOmp/DiasMes+(EI$94+EI$96+EI$99+EI$100)*P_DPOot/DiasMes)</f>
        <v>158331.694422986</v>
      </c>
      <c r="EJ112" s="48" t="n">
        <f aca="false">IF(135&gt;Fin,EI$112,EJ$93*P_DPOmp/DiasMes+(EJ$94+EJ$96+EJ$99+EJ$100)*P_DPOot/DiasMes)</f>
        <v>158331.694422986</v>
      </c>
      <c r="EK112" s="48" t="n">
        <f aca="false">IF(136&gt;Fin,EJ$112,EK$93*P_DPOmp/DiasMes+(EK$94+EK$96+EK$99+EK$100)*P_DPOot/DiasMes)</f>
        <v>158331.694422986</v>
      </c>
      <c r="EL112" s="48" t="n">
        <f aca="false">IF(137&gt;Fin,EK$112,EL$93*P_DPOmp/DiasMes+(EL$94+EL$96+EL$99+EL$100)*P_DPOot/DiasMes)</f>
        <v>158331.694422986</v>
      </c>
      <c r="EM112" s="48" t="n">
        <f aca="false">IF(138&gt;Fin,EL$112,EM$93*P_DPOmp/DiasMes+(EM$94+EM$96+EM$99+EM$100)*P_DPOot/DiasMes)</f>
        <v>158331.694422986</v>
      </c>
      <c r="EN112" s="48" t="n">
        <f aca="false">IF(139&gt;Fin,EM$112,EN$93*P_DPOmp/DiasMes+(EN$94+EN$96+EN$99+EN$100)*P_DPOot/DiasMes)</f>
        <v>158331.694422986</v>
      </c>
      <c r="EO112" s="48" t="n">
        <f aca="false">IF(140&gt;Fin,EN$112,EO$93*P_DPOmp/DiasMes+(EO$94+EO$96+EO$99+EO$100)*P_DPOot/DiasMes)</f>
        <v>158331.694422986</v>
      </c>
      <c r="EP112" s="48" t="n">
        <f aca="false">IF(141&gt;Fin,EO$112,EP$93*P_DPOmp/DiasMes+(EP$94+EP$96+EP$99+EP$100)*P_DPOot/DiasMes)</f>
        <v>158331.694422986</v>
      </c>
      <c r="EQ112" s="48" t="n">
        <f aca="false">IF(142&gt;Fin,EP$112,EQ$93*P_DPOmp/DiasMes+(EQ$94+EQ$96+EQ$99+EQ$100)*P_DPOot/DiasMes)</f>
        <v>158331.694422986</v>
      </c>
      <c r="ER112" s="48" t="n">
        <f aca="false">IF(143&gt;Fin,EQ$112,ER$93*P_DPOmp/DiasMes+(ER$94+ER$96+ER$99+ER$100)*P_DPOot/DiasMes)</f>
        <v>158331.694422986</v>
      </c>
      <c r="ES112" s="48" t="n">
        <f aca="false">IF(144&gt;Fin,ER$112,ES$93*P_DPOmp/DiasMes+(ES$94+ES$96+ES$99+ES$100)*P_DPOot/DiasMes)</f>
        <v>158331.694422986</v>
      </c>
    </row>
    <row r="113" customFormat="false" ht="15" hidden="false" customHeight="false" outlineLevel="0" collapsed="false">
      <c r="A113" s="11" t="s">
        <v>1193</v>
      </c>
      <c r="B113" s="67" t="s">
        <v>1194</v>
      </c>
      <c r="C113" s="15" t="s">
        <v>508</v>
      </c>
      <c r="E113" s="54" t="n">
        <f aca="false">MAX(F113:ES113)</f>
        <v>4499762.51732228</v>
      </c>
      <c r="F113" s="19" t="n">
        <f aca="false">F$109+F$110+F$111-F$112</f>
        <v>2388063.88735903</v>
      </c>
      <c r="G113" s="19" t="n">
        <f aca="false">G$109+G$110+G$111-G$112</f>
        <v>2388063.88735903</v>
      </c>
      <c r="H113" s="19" t="n">
        <f aca="false">H$109+H$110+H$111-H$112</f>
        <v>2388063.88735903</v>
      </c>
      <c r="I113" s="19" t="n">
        <f aca="false">I$109+I$110+I$111-I$112</f>
        <v>2388063.88735903</v>
      </c>
      <c r="J113" s="19" t="n">
        <f aca="false">J$109+J$110+J$111-J$112</f>
        <v>2388063.88735903</v>
      </c>
      <c r="K113" s="19" t="n">
        <f aca="false">K$109+K$110+K$111-K$112</f>
        <v>2388063.88735903</v>
      </c>
      <c r="L113" s="19" t="n">
        <f aca="false">L$109+L$110+L$111-L$112</f>
        <v>2388063.88735903</v>
      </c>
      <c r="M113" s="19" t="n">
        <f aca="false">M$109+M$110+M$111-M$112</f>
        <v>2388063.88735903</v>
      </c>
      <c r="N113" s="19" t="n">
        <f aca="false">N$109+N$110+N$111-N$112</f>
        <v>2388063.88735903</v>
      </c>
      <c r="O113" s="19" t="n">
        <f aca="false">O$109+O$110+O$111-O$112</f>
        <v>2388063.88735903</v>
      </c>
      <c r="P113" s="19" t="n">
        <f aca="false">P$109+P$110+P$111-P$112</f>
        <v>2388063.88735903</v>
      </c>
      <c r="Q113" s="19" t="n">
        <f aca="false">Q$109+Q$110+Q$111-Q$112</f>
        <v>2388063.88735903</v>
      </c>
      <c r="R113" s="19" t="n">
        <f aca="false">R$109+R$110+R$111-R$112</f>
        <v>3043209.33175467</v>
      </c>
      <c r="S113" s="19" t="n">
        <f aca="false">S$109+S$110+S$111-S$112</f>
        <v>3043209.33175467</v>
      </c>
      <c r="T113" s="19" t="n">
        <f aca="false">T$109+T$110+T$111-T$112</f>
        <v>3043209.33175467</v>
      </c>
      <c r="U113" s="19" t="n">
        <f aca="false">U$109+U$110+U$111-U$112</f>
        <v>3043209.33175467</v>
      </c>
      <c r="V113" s="19" t="n">
        <f aca="false">V$109+V$110+V$111-V$112</f>
        <v>3043209.33175467</v>
      </c>
      <c r="W113" s="19" t="n">
        <f aca="false">W$109+W$110+W$111-W$112</f>
        <v>3043209.33175467</v>
      </c>
      <c r="X113" s="19" t="n">
        <f aca="false">X$109+X$110+X$111-X$112</f>
        <v>3043209.33175467</v>
      </c>
      <c r="Y113" s="19" t="n">
        <f aca="false">Y$109+Y$110+Y$111-Y$112</f>
        <v>3043209.33175467</v>
      </c>
      <c r="Z113" s="19" t="n">
        <f aca="false">Z$109+Z$110+Z$111-Z$112</f>
        <v>3043209.33175467</v>
      </c>
      <c r="AA113" s="19" t="n">
        <f aca="false">AA$109+AA$110+AA$111-AA$112</f>
        <v>3043209.33175467</v>
      </c>
      <c r="AB113" s="19" t="n">
        <f aca="false">AB$109+AB$110+AB$111-AB$112</f>
        <v>3043209.33175467</v>
      </c>
      <c r="AC113" s="19" t="n">
        <f aca="false">AC$109+AC$110+AC$111-AC$112</f>
        <v>3043209.33175467</v>
      </c>
      <c r="AD113" s="19" t="n">
        <f aca="false">AD$109+AD$110+AD$111-AD$112</f>
        <v>3710536.2623871</v>
      </c>
      <c r="AE113" s="19" t="n">
        <f aca="false">AE$109+AE$110+AE$111-AE$112</f>
        <v>3710536.2623871</v>
      </c>
      <c r="AF113" s="19" t="n">
        <f aca="false">AF$109+AF$110+AF$111-AF$112</f>
        <v>3710536.2623871</v>
      </c>
      <c r="AG113" s="19" t="n">
        <f aca="false">AG$109+AG$110+AG$111-AG$112</f>
        <v>3710536.2623871</v>
      </c>
      <c r="AH113" s="19" t="n">
        <f aca="false">AH$109+AH$110+AH$111-AH$112</f>
        <v>3710536.2623871</v>
      </c>
      <c r="AI113" s="19" t="n">
        <f aca="false">AI$109+AI$110+AI$111-AI$112</f>
        <v>3710536.2623871</v>
      </c>
      <c r="AJ113" s="19" t="n">
        <f aca="false">AJ$109+AJ$110+AJ$111-AJ$112</f>
        <v>3710536.2623871</v>
      </c>
      <c r="AK113" s="19" t="n">
        <f aca="false">AK$109+AK$110+AK$111-AK$112</f>
        <v>3710536.2623871</v>
      </c>
      <c r="AL113" s="19" t="n">
        <f aca="false">AL$109+AL$110+AL$111-AL$112</f>
        <v>3710536.2623871</v>
      </c>
      <c r="AM113" s="19" t="n">
        <f aca="false">AM$109+AM$110+AM$111-AM$112</f>
        <v>3710536.2623871</v>
      </c>
      <c r="AN113" s="19" t="n">
        <f aca="false">AN$109+AN$110+AN$111-AN$112</f>
        <v>3710536.2623871</v>
      </c>
      <c r="AO113" s="19" t="n">
        <f aca="false">AO$109+AO$110+AO$111-AO$112</f>
        <v>3710536.2623871</v>
      </c>
      <c r="AP113" s="19" t="n">
        <f aca="false">AP$109+AP$110+AP$111-AP$112</f>
        <v>4269345.33232041</v>
      </c>
      <c r="AQ113" s="19" t="n">
        <f aca="false">AQ$109+AQ$110+AQ$111-AQ$112</f>
        <v>4269345.33232041</v>
      </c>
      <c r="AR113" s="19" t="n">
        <f aca="false">AR$109+AR$110+AR$111-AR$112</f>
        <v>4269345.33232041</v>
      </c>
      <c r="AS113" s="19" t="n">
        <f aca="false">AS$109+AS$110+AS$111-AS$112</f>
        <v>4269345.33232041</v>
      </c>
      <c r="AT113" s="19" t="n">
        <f aca="false">AT$109+AT$110+AT$111-AT$112</f>
        <v>4269345.33232041</v>
      </c>
      <c r="AU113" s="19" t="n">
        <f aca="false">AU$109+AU$110+AU$111-AU$112</f>
        <v>4269345.33232041</v>
      </c>
      <c r="AV113" s="19" t="n">
        <f aca="false">AV$109+AV$110+AV$111-AV$112</f>
        <v>4269345.33232041</v>
      </c>
      <c r="AW113" s="19" t="n">
        <f aca="false">AW$109+AW$110+AW$111-AW$112</f>
        <v>4269345.33232041</v>
      </c>
      <c r="AX113" s="19" t="n">
        <f aca="false">AX$109+AX$110+AX$111-AX$112</f>
        <v>4269345.33232041</v>
      </c>
      <c r="AY113" s="19" t="n">
        <f aca="false">AY$109+AY$110+AY$111-AY$112</f>
        <v>4269345.33232041</v>
      </c>
      <c r="AZ113" s="19" t="n">
        <f aca="false">AZ$109+AZ$110+AZ$111-AZ$112</f>
        <v>4269345.33232041</v>
      </c>
      <c r="BA113" s="19" t="n">
        <f aca="false">BA$109+BA$110+BA$111-BA$112</f>
        <v>4269345.33232041</v>
      </c>
      <c r="BB113" s="19" t="n">
        <f aca="false">BB$109+BB$110+BB$111-BB$112</f>
        <v>4307454.88002627</v>
      </c>
      <c r="BC113" s="19" t="n">
        <f aca="false">BC$109+BC$110+BC$111-BC$112</f>
        <v>4307454.88002627</v>
      </c>
      <c r="BD113" s="19" t="n">
        <f aca="false">BD$109+BD$110+BD$111-BD$112</f>
        <v>4307454.88002627</v>
      </c>
      <c r="BE113" s="19" t="n">
        <f aca="false">BE$109+BE$110+BE$111-BE$112</f>
        <v>4307454.88002627</v>
      </c>
      <c r="BF113" s="19" t="n">
        <f aca="false">BF$109+BF$110+BF$111-BF$112</f>
        <v>4307454.88002627</v>
      </c>
      <c r="BG113" s="19" t="n">
        <f aca="false">BG$109+BG$110+BG$111-BG$112</f>
        <v>4307454.88002627</v>
      </c>
      <c r="BH113" s="19" t="n">
        <f aca="false">BH$109+BH$110+BH$111-BH$112</f>
        <v>4307454.88002627</v>
      </c>
      <c r="BI113" s="19" t="n">
        <f aca="false">BI$109+BI$110+BI$111-BI$112</f>
        <v>4307454.88002627</v>
      </c>
      <c r="BJ113" s="19" t="n">
        <f aca="false">BJ$109+BJ$110+BJ$111-BJ$112</f>
        <v>4307454.88002627</v>
      </c>
      <c r="BK113" s="19" t="n">
        <f aca="false">BK$109+BK$110+BK$111-BK$112</f>
        <v>4307454.88002627</v>
      </c>
      <c r="BL113" s="19" t="n">
        <f aca="false">BL$109+BL$110+BL$111-BL$112</f>
        <v>4307454.88002627</v>
      </c>
      <c r="BM113" s="19" t="n">
        <f aca="false">BM$109+BM$110+BM$111-BM$112</f>
        <v>4307454.88002627</v>
      </c>
      <c r="BN113" s="19" t="n">
        <f aca="false">BN$109+BN$110+BN$111-BN$112</f>
        <v>4345179.73649487</v>
      </c>
      <c r="BO113" s="19" t="n">
        <f aca="false">BO$109+BO$110+BO$111-BO$112</f>
        <v>4345179.73649487</v>
      </c>
      <c r="BP113" s="19" t="n">
        <f aca="false">BP$109+BP$110+BP$111-BP$112</f>
        <v>4345179.73649487</v>
      </c>
      <c r="BQ113" s="19" t="n">
        <f aca="false">BQ$109+BQ$110+BQ$111-BQ$112</f>
        <v>4345179.73649487</v>
      </c>
      <c r="BR113" s="19" t="n">
        <f aca="false">BR$109+BR$110+BR$111-BR$112</f>
        <v>4345179.73649487</v>
      </c>
      <c r="BS113" s="19" t="n">
        <f aca="false">BS$109+BS$110+BS$111-BS$112</f>
        <v>4345179.73649487</v>
      </c>
      <c r="BT113" s="19" t="n">
        <f aca="false">BT$109+BT$110+BT$111-BT$112</f>
        <v>4345179.73649487</v>
      </c>
      <c r="BU113" s="19" t="n">
        <f aca="false">BU$109+BU$110+BU$111-BU$112</f>
        <v>4345179.73649487</v>
      </c>
      <c r="BV113" s="19" t="n">
        <f aca="false">BV$109+BV$110+BV$111-BV$112</f>
        <v>4345179.73649487</v>
      </c>
      <c r="BW113" s="19" t="n">
        <f aca="false">BW$109+BW$110+BW$111-BW$112</f>
        <v>4345179.73649487</v>
      </c>
      <c r="BX113" s="19" t="n">
        <f aca="false">BX$109+BX$110+BX$111-BX$112</f>
        <v>4345179.73649487</v>
      </c>
      <c r="BY113" s="19" t="n">
        <f aca="false">BY$109+BY$110+BY$111-BY$112</f>
        <v>4345179.73649487</v>
      </c>
      <c r="BZ113" s="19" t="n">
        <f aca="false">BZ$109+BZ$110+BZ$111-BZ$112</f>
        <v>4383269.62971965</v>
      </c>
      <c r="CA113" s="19" t="n">
        <f aca="false">CA$109+CA$110+CA$111-CA$112</f>
        <v>4383269.62971965</v>
      </c>
      <c r="CB113" s="19" t="n">
        <f aca="false">CB$109+CB$110+CB$111-CB$112</f>
        <v>4383269.62971965</v>
      </c>
      <c r="CC113" s="19" t="n">
        <f aca="false">CC$109+CC$110+CC$111-CC$112</f>
        <v>4383269.62971965</v>
      </c>
      <c r="CD113" s="19" t="n">
        <f aca="false">CD$109+CD$110+CD$111-CD$112</f>
        <v>4383269.62971965</v>
      </c>
      <c r="CE113" s="19" t="n">
        <f aca="false">CE$109+CE$110+CE$111-CE$112</f>
        <v>4383269.62971965</v>
      </c>
      <c r="CF113" s="19" t="n">
        <f aca="false">CF$109+CF$110+CF$111-CF$112</f>
        <v>4383269.62971965</v>
      </c>
      <c r="CG113" s="19" t="n">
        <f aca="false">CG$109+CG$110+CG$111-CG$112</f>
        <v>4383269.62971965</v>
      </c>
      <c r="CH113" s="19" t="n">
        <f aca="false">CH$109+CH$110+CH$111-CH$112</f>
        <v>4383269.62971965</v>
      </c>
      <c r="CI113" s="19" t="n">
        <f aca="false">CI$109+CI$110+CI$111-CI$112</f>
        <v>4383269.62971965</v>
      </c>
      <c r="CJ113" s="19" t="n">
        <f aca="false">CJ$109+CJ$110+CJ$111-CJ$112</f>
        <v>4383269.62971965</v>
      </c>
      <c r="CK113" s="19" t="n">
        <f aca="false">CK$109+CK$110+CK$111-CK$112</f>
        <v>4383269.62971965</v>
      </c>
      <c r="CL113" s="19" t="n">
        <f aca="false">CL$109+CL$110+CL$111-CL$112</f>
        <v>4421727.84741417</v>
      </c>
      <c r="CM113" s="19" t="n">
        <f aca="false">CM$109+CM$110+CM$111-CM$112</f>
        <v>4421727.84741417</v>
      </c>
      <c r="CN113" s="19" t="n">
        <f aca="false">CN$109+CN$110+CN$111-CN$112</f>
        <v>4421727.84741417</v>
      </c>
      <c r="CO113" s="19" t="n">
        <f aca="false">CO$109+CO$110+CO$111-CO$112</f>
        <v>4421727.84741417</v>
      </c>
      <c r="CP113" s="19" t="n">
        <f aca="false">CP$109+CP$110+CP$111-CP$112</f>
        <v>4421727.84741417</v>
      </c>
      <c r="CQ113" s="19" t="n">
        <f aca="false">CQ$109+CQ$110+CQ$111-CQ$112</f>
        <v>4421727.84741417</v>
      </c>
      <c r="CR113" s="19" t="n">
        <f aca="false">CR$109+CR$110+CR$111-CR$112</f>
        <v>4421727.84741417</v>
      </c>
      <c r="CS113" s="19" t="n">
        <f aca="false">CS$109+CS$110+CS$111-CS$112</f>
        <v>4421727.84741417</v>
      </c>
      <c r="CT113" s="19" t="n">
        <f aca="false">CT$109+CT$110+CT$111-CT$112</f>
        <v>4421727.84741417</v>
      </c>
      <c r="CU113" s="19" t="n">
        <f aca="false">CU$109+CU$110+CU$111-CU$112</f>
        <v>4421727.84741417</v>
      </c>
      <c r="CV113" s="19" t="n">
        <f aca="false">CV$109+CV$110+CV$111-CV$112</f>
        <v>4421727.84741417</v>
      </c>
      <c r="CW113" s="19" t="n">
        <f aca="false">CW$109+CW$110+CW$111-CW$112</f>
        <v>4421727.84741417</v>
      </c>
      <c r="CX113" s="19" t="n">
        <f aca="false">CX$109+CX$110+CX$111-CX$112</f>
        <v>4460557.6993635</v>
      </c>
      <c r="CY113" s="19" t="n">
        <f aca="false">CY$109+CY$110+CY$111-CY$112</f>
        <v>4460557.6993635</v>
      </c>
      <c r="CZ113" s="19" t="n">
        <f aca="false">CZ$109+CZ$110+CZ$111-CZ$112</f>
        <v>4460557.6993635</v>
      </c>
      <c r="DA113" s="19" t="n">
        <f aca="false">DA$109+DA$110+DA$111-DA$112</f>
        <v>4460557.6993635</v>
      </c>
      <c r="DB113" s="19" t="n">
        <f aca="false">DB$109+DB$110+DB$111-DB$112</f>
        <v>4460557.6993635</v>
      </c>
      <c r="DC113" s="19" t="n">
        <f aca="false">DC$109+DC$110+DC$111-DC$112</f>
        <v>4460557.6993635</v>
      </c>
      <c r="DD113" s="19" t="n">
        <f aca="false">DD$109+DD$110+DD$111-DD$112</f>
        <v>4460557.6993635</v>
      </c>
      <c r="DE113" s="19" t="n">
        <f aca="false">DE$109+DE$110+DE$111-DE$112</f>
        <v>4460557.6993635</v>
      </c>
      <c r="DF113" s="19" t="n">
        <f aca="false">DF$109+DF$110+DF$111-DF$112</f>
        <v>4460557.6993635</v>
      </c>
      <c r="DG113" s="19" t="n">
        <f aca="false">DG$109+DG$110+DG$111-DG$112</f>
        <v>4460557.6993635</v>
      </c>
      <c r="DH113" s="19" t="n">
        <f aca="false">DH$109+DH$110+DH$111-DH$112</f>
        <v>4460557.6993635</v>
      </c>
      <c r="DI113" s="19" t="n">
        <f aca="false">DI$109+DI$110+DI$111-DI$112</f>
        <v>4460557.6993635</v>
      </c>
      <c r="DJ113" s="19" t="n">
        <f aca="false">DJ$109+DJ$110+DJ$111-DJ$112</f>
        <v>4499762.51732228</v>
      </c>
      <c r="DK113" s="19" t="n">
        <f aca="false">DK$109+DK$110+DK$111-DK$112</f>
        <v>4499762.51732228</v>
      </c>
      <c r="DL113" s="19" t="n">
        <f aca="false">DL$109+DL$110+DL$111-DL$112</f>
        <v>4499762.51732228</v>
      </c>
      <c r="DM113" s="19" t="n">
        <f aca="false">DM$109+DM$110+DM$111-DM$112</f>
        <v>4499762.51732228</v>
      </c>
      <c r="DN113" s="19" t="n">
        <f aca="false">DN$109+DN$110+DN$111-DN$112</f>
        <v>4499762.51732228</v>
      </c>
      <c r="DO113" s="19" t="n">
        <f aca="false">DO$109+DO$110+DO$111-DO$112</f>
        <v>4499762.51732228</v>
      </c>
      <c r="DP113" s="19" t="n">
        <f aca="false">DP$109+DP$110+DP$111-DP$112</f>
        <v>4499762.51732228</v>
      </c>
      <c r="DQ113" s="19" t="n">
        <f aca="false">DQ$109+DQ$110+DQ$111-DQ$112</f>
        <v>4499762.51732228</v>
      </c>
      <c r="DR113" s="19" t="n">
        <f aca="false">DR$109+DR$110+DR$111-DR$112</f>
        <v>4499762.51732228</v>
      </c>
      <c r="DS113" s="19" t="n">
        <f aca="false">DS$109+DS$110+DS$111-DS$112</f>
        <v>4499762.51732228</v>
      </c>
      <c r="DT113" s="19" t="n">
        <f aca="false">DT$109+DT$110+DT$111-DT$112</f>
        <v>4499762.51732228</v>
      </c>
      <c r="DU113" s="19" t="n">
        <f aca="false">DU$109+DU$110+DU$111-DU$112</f>
        <v>4499762.51732228</v>
      </c>
      <c r="DV113" s="19" t="n">
        <f aca="false">DV$109+DV$110+DV$111-DV$112</f>
        <v>4499762.51732228</v>
      </c>
      <c r="DW113" s="19" t="n">
        <f aca="false">DW$109+DW$110+DW$111-DW$112</f>
        <v>4499762.51732228</v>
      </c>
      <c r="DX113" s="19" t="n">
        <f aca="false">DX$109+DX$110+DX$111-DX$112</f>
        <v>4499762.51732228</v>
      </c>
      <c r="DY113" s="19" t="n">
        <f aca="false">DY$109+DY$110+DY$111-DY$112</f>
        <v>4499762.51732228</v>
      </c>
      <c r="DZ113" s="19" t="n">
        <f aca="false">DZ$109+DZ$110+DZ$111-DZ$112</f>
        <v>4499762.51732228</v>
      </c>
      <c r="EA113" s="19" t="n">
        <f aca="false">EA$109+EA$110+EA$111-EA$112</f>
        <v>4499762.51732228</v>
      </c>
      <c r="EB113" s="19" t="n">
        <f aca="false">EB$109+EB$110+EB$111-EB$112</f>
        <v>4499762.51732228</v>
      </c>
      <c r="EC113" s="19" t="n">
        <f aca="false">EC$109+EC$110+EC$111-EC$112</f>
        <v>4499762.51732228</v>
      </c>
      <c r="ED113" s="19" t="n">
        <f aca="false">ED$109+ED$110+ED$111-ED$112</f>
        <v>4499762.51732228</v>
      </c>
      <c r="EE113" s="19" t="n">
        <f aca="false">EE$109+EE$110+EE$111-EE$112</f>
        <v>4499762.51732228</v>
      </c>
      <c r="EF113" s="19" t="n">
        <f aca="false">EF$109+EF$110+EF$111-EF$112</f>
        <v>4499762.51732228</v>
      </c>
      <c r="EG113" s="19" t="n">
        <f aca="false">EG$109+EG$110+EG$111-EG$112</f>
        <v>4499762.51732228</v>
      </c>
      <c r="EH113" s="19" t="n">
        <f aca="false">EH$109+EH$110+EH$111-EH$112</f>
        <v>4499762.51732228</v>
      </c>
      <c r="EI113" s="19" t="n">
        <f aca="false">EI$109+EI$110+EI$111-EI$112</f>
        <v>4499762.51732228</v>
      </c>
      <c r="EJ113" s="19" t="n">
        <f aca="false">EJ$109+EJ$110+EJ$111-EJ$112</f>
        <v>4499762.51732228</v>
      </c>
      <c r="EK113" s="19" t="n">
        <f aca="false">EK$109+EK$110+EK$111-EK$112</f>
        <v>4499762.51732228</v>
      </c>
      <c r="EL113" s="19" t="n">
        <f aca="false">EL$109+EL$110+EL$111-EL$112</f>
        <v>4499762.51732228</v>
      </c>
      <c r="EM113" s="19" t="n">
        <f aca="false">EM$109+EM$110+EM$111-EM$112</f>
        <v>4499762.51732228</v>
      </c>
      <c r="EN113" s="19" t="n">
        <f aca="false">EN$109+EN$110+EN$111-EN$112</f>
        <v>4499762.51732228</v>
      </c>
      <c r="EO113" s="19" t="n">
        <f aca="false">EO$109+EO$110+EO$111-EO$112</f>
        <v>4499762.51732228</v>
      </c>
      <c r="EP113" s="19" t="n">
        <f aca="false">EP$109+EP$110+EP$111-EP$112</f>
        <v>4499762.51732228</v>
      </c>
      <c r="EQ113" s="19" t="n">
        <f aca="false">EQ$109+EQ$110+EQ$111-EQ$112</f>
        <v>4499762.51732228</v>
      </c>
      <c r="ER113" s="19" t="n">
        <f aca="false">ER$109+ER$110+ER$111-ER$112</f>
        <v>4499762.51732228</v>
      </c>
      <c r="ES113" s="19" t="n">
        <f aca="false">ES$109+ES$110+ES$111-ES$112</f>
        <v>4499762.51732228</v>
      </c>
    </row>
    <row r="114" customFormat="false" ht="15" hidden="false" customHeight="false" outlineLevel="0" collapsed="false">
      <c r="A114" s="11" t="s">
        <v>1195</v>
      </c>
      <c r="B114" s="15" t="s">
        <v>1196</v>
      </c>
      <c r="C114" s="15" t="s">
        <v>508</v>
      </c>
      <c r="E114" s="54" t="n">
        <f aca="false">SUM(F114:ES114)</f>
        <v>4499762.51732228</v>
      </c>
      <c r="F114" s="48" t="n">
        <f aca="false">F$113-0</f>
        <v>2388063.88735903</v>
      </c>
      <c r="G114" s="48" t="n">
        <f aca="false">G$113-F$113</f>
        <v>0</v>
      </c>
      <c r="H114" s="48" t="n">
        <f aca="false">H$113-G$113</f>
        <v>0</v>
      </c>
      <c r="I114" s="48" t="n">
        <f aca="false">I$113-H$113</f>
        <v>0</v>
      </c>
      <c r="J114" s="48" t="n">
        <f aca="false">J$113-I$113</f>
        <v>0</v>
      </c>
      <c r="K114" s="48" t="n">
        <f aca="false">K$113-J$113</f>
        <v>0</v>
      </c>
      <c r="L114" s="48" t="n">
        <f aca="false">L$113-K$113</f>
        <v>0</v>
      </c>
      <c r="M114" s="48" t="n">
        <f aca="false">M$113-L$113</f>
        <v>0</v>
      </c>
      <c r="N114" s="48" t="n">
        <f aca="false">N$113-M$113</f>
        <v>0</v>
      </c>
      <c r="O114" s="48" t="n">
        <f aca="false">O$113-N$113</f>
        <v>0</v>
      </c>
      <c r="P114" s="48" t="n">
        <f aca="false">P$113-O$113</f>
        <v>0</v>
      </c>
      <c r="Q114" s="48" t="n">
        <f aca="false">Q$113-P$113</f>
        <v>0</v>
      </c>
      <c r="R114" s="48" t="n">
        <f aca="false">R$113-Q$113</f>
        <v>655145.444395644</v>
      </c>
      <c r="S114" s="48" t="n">
        <f aca="false">S$113-R$113</f>
        <v>0</v>
      </c>
      <c r="T114" s="48" t="n">
        <f aca="false">T$113-S$113</f>
        <v>0</v>
      </c>
      <c r="U114" s="48" t="n">
        <f aca="false">U$113-T$113</f>
        <v>0</v>
      </c>
      <c r="V114" s="48" t="n">
        <f aca="false">V$113-U$113</f>
        <v>0</v>
      </c>
      <c r="W114" s="48" t="n">
        <f aca="false">W$113-V$113</f>
        <v>0</v>
      </c>
      <c r="X114" s="48" t="n">
        <f aca="false">X$113-W$113</f>
        <v>0</v>
      </c>
      <c r="Y114" s="48" t="n">
        <f aca="false">Y$113-X$113</f>
        <v>0</v>
      </c>
      <c r="Z114" s="48" t="n">
        <f aca="false">Z$113-Y$113</f>
        <v>0</v>
      </c>
      <c r="AA114" s="48" t="n">
        <f aca="false">AA$113-Z$113</f>
        <v>0</v>
      </c>
      <c r="AB114" s="48" t="n">
        <f aca="false">AB$113-AA$113</f>
        <v>0</v>
      </c>
      <c r="AC114" s="48" t="n">
        <f aca="false">AC$113-AB$113</f>
        <v>0</v>
      </c>
      <c r="AD114" s="48" t="n">
        <f aca="false">AD$113-AC$113</f>
        <v>667326.930632423</v>
      </c>
      <c r="AE114" s="48" t="n">
        <f aca="false">AE$113-AD$113</f>
        <v>0</v>
      </c>
      <c r="AF114" s="48" t="n">
        <f aca="false">AF$113-AE$113</f>
        <v>0</v>
      </c>
      <c r="AG114" s="48" t="n">
        <f aca="false">AG$113-AF$113</f>
        <v>0</v>
      </c>
      <c r="AH114" s="48" t="n">
        <f aca="false">AH$113-AG$113</f>
        <v>0</v>
      </c>
      <c r="AI114" s="48" t="n">
        <f aca="false">AI$113-AH$113</f>
        <v>0</v>
      </c>
      <c r="AJ114" s="48" t="n">
        <f aca="false">AJ$113-AI$113</f>
        <v>0</v>
      </c>
      <c r="AK114" s="48" t="n">
        <f aca="false">AK$113-AJ$113</f>
        <v>0</v>
      </c>
      <c r="AL114" s="48" t="n">
        <f aca="false">AL$113-AK$113</f>
        <v>0</v>
      </c>
      <c r="AM114" s="48" t="n">
        <f aca="false">AM$113-AL$113</f>
        <v>0</v>
      </c>
      <c r="AN114" s="48" t="n">
        <f aca="false">AN$113-AM$113</f>
        <v>0</v>
      </c>
      <c r="AO114" s="48" t="n">
        <f aca="false">AO$113-AN$113</f>
        <v>0</v>
      </c>
      <c r="AP114" s="48" t="n">
        <f aca="false">AP$113-AO$113</f>
        <v>558809.069933313</v>
      </c>
      <c r="AQ114" s="48" t="n">
        <f aca="false">AQ$113-AP$113</f>
        <v>0</v>
      </c>
      <c r="AR114" s="48" t="n">
        <f aca="false">AR$113-AQ$113</f>
        <v>0</v>
      </c>
      <c r="AS114" s="48" t="n">
        <f aca="false">AS$113-AR$113</f>
        <v>0</v>
      </c>
      <c r="AT114" s="48" t="n">
        <f aca="false">AT$113-AS$113</f>
        <v>0</v>
      </c>
      <c r="AU114" s="48" t="n">
        <f aca="false">AU$113-AT$113</f>
        <v>0</v>
      </c>
      <c r="AV114" s="48" t="n">
        <f aca="false">AV$113-AU$113</f>
        <v>0</v>
      </c>
      <c r="AW114" s="48" t="n">
        <f aca="false">AW$113-AV$113</f>
        <v>0</v>
      </c>
      <c r="AX114" s="48" t="n">
        <f aca="false">AX$113-AW$113</f>
        <v>0</v>
      </c>
      <c r="AY114" s="48" t="n">
        <f aca="false">AY$113-AX$113</f>
        <v>0</v>
      </c>
      <c r="AZ114" s="48" t="n">
        <f aca="false">AZ$113-AY$113</f>
        <v>0</v>
      </c>
      <c r="BA114" s="48" t="n">
        <f aca="false">BA$113-AZ$113</f>
        <v>0</v>
      </c>
      <c r="BB114" s="48" t="n">
        <f aca="false">BB$113-BA$113</f>
        <v>38109.5477058599</v>
      </c>
      <c r="BC114" s="48" t="n">
        <f aca="false">BC$113-BB$113</f>
        <v>0</v>
      </c>
      <c r="BD114" s="48" t="n">
        <f aca="false">BD$113-BC$113</f>
        <v>0</v>
      </c>
      <c r="BE114" s="48" t="n">
        <f aca="false">BE$113-BD$113</f>
        <v>0</v>
      </c>
      <c r="BF114" s="48" t="n">
        <f aca="false">BF$113-BE$113</f>
        <v>0</v>
      </c>
      <c r="BG114" s="48" t="n">
        <f aca="false">BG$113-BF$113</f>
        <v>0</v>
      </c>
      <c r="BH114" s="48" t="n">
        <f aca="false">BH$113-BG$113</f>
        <v>0</v>
      </c>
      <c r="BI114" s="48" t="n">
        <f aca="false">BI$113-BH$113</f>
        <v>0</v>
      </c>
      <c r="BJ114" s="48" t="n">
        <f aca="false">BJ$113-BI$113</f>
        <v>0</v>
      </c>
      <c r="BK114" s="48" t="n">
        <f aca="false">BK$113-BJ$113</f>
        <v>0</v>
      </c>
      <c r="BL114" s="48" t="n">
        <f aca="false">BL$113-BK$113</f>
        <v>0</v>
      </c>
      <c r="BM114" s="48" t="n">
        <f aca="false">BM$113-BL$113</f>
        <v>0</v>
      </c>
      <c r="BN114" s="48" t="n">
        <f aca="false">BN$113-BM$113</f>
        <v>37724.8564685965</v>
      </c>
      <c r="BO114" s="48" t="n">
        <f aca="false">BO$113-BN$113</f>
        <v>0</v>
      </c>
      <c r="BP114" s="48" t="n">
        <f aca="false">BP$113-BO$113</f>
        <v>0</v>
      </c>
      <c r="BQ114" s="48" t="n">
        <f aca="false">BQ$113-BP$113</f>
        <v>0</v>
      </c>
      <c r="BR114" s="48" t="n">
        <f aca="false">BR$113-BQ$113</f>
        <v>0</v>
      </c>
      <c r="BS114" s="48" t="n">
        <f aca="false">BS$113-BR$113</f>
        <v>0</v>
      </c>
      <c r="BT114" s="48" t="n">
        <f aca="false">BT$113-BS$113</f>
        <v>0</v>
      </c>
      <c r="BU114" s="48" t="n">
        <f aca="false">BU$113-BT$113</f>
        <v>0</v>
      </c>
      <c r="BV114" s="48" t="n">
        <f aca="false">BV$113-BU$113</f>
        <v>0</v>
      </c>
      <c r="BW114" s="48" t="n">
        <f aca="false">BW$113-BV$113</f>
        <v>0</v>
      </c>
      <c r="BX114" s="48" t="n">
        <f aca="false">BX$113-BW$113</f>
        <v>0</v>
      </c>
      <c r="BY114" s="48" t="n">
        <f aca="false">BY$113-BX$113</f>
        <v>0</v>
      </c>
      <c r="BZ114" s="48" t="n">
        <f aca="false">BZ$113-BY$113</f>
        <v>38089.8932247805</v>
      </c>
      <c r="CA114" s="48" t="n">
        <f aca="false">CA$113-BZ$113</f>
        <v>0</v>
      </c>
      <c r="CB114" s="48" t="n">
        <f aca="false">CB$113-CA$113</f>
        <v>0</v>
      </c>
      <c r="CC114" s="48" t="n">
        <f aca="false">CC$113-CB$113</f>
        <v>0</v>
      </c>
      <c r="CD114" s="48" t="n">
        <f aca="false">CD$113-CC$113</f>
        <v>0</v>
      </c>
      <c r="CE114" s="48" t="n">
        <f aca="false">CE$113-CD$113</f>
        <v>0</v>
      </c>
      <c r="CF114" s="48" t="n">
        <f aca="false">CF$113-CE$113</f>
        <v>0</v>
      </c>
      <c r="CG114" s="48" t="n">
        <f aca="false">CG$113-CF$113</f>
        <v>0</v>
      </c>
      <c r="CH114" s="48" t="n">
        <f aca="false">CH$113-CG$113</f>
        <v>0</v>
      </c>
      <c r="CI114" s="48" t="n">
        <f aca="false">CI$113-CH$113</f>
        <v>0</v>
      </c>
      <c r="CJ114" s="48" t="n">
        <f aca="false">CJ$113-CI$113</f>
        <v>0</v>
      </c>
      <c r="CK114" s="48" t="n">
        <f aca="false">CK$113-CJ$113</f>
        <v>0</v>
      </c>
      <c r="CL114" s="48" t="n">
        <f aca="false">CL$113-CK$113</f>
        <v>38458.2176945191</v>
      </c>
      <c r="CM114" s="48" t="n">
        <f aca="false">CM$113-CL$113</f>
        <v>0</v>
      </c>
      <c r="CN114" s="48" t="n">
        <f aca="false">CN$113-CM$113</f>
        <v>0</v>
      </c>
      <c r="CO114" s="48" t="n">
        <f aca="false">CO$113-CN$113</f>
        <v>0</v>
      </c>
      <c r="CP114" s="48" t="n">
        <f aca="false">CP$113-CO$113</f>
        <v>0</v>
      </c>
      <c r="CQ114" s="48" t="n">
        <f aca="false">CQ$113-CP$113</f>
        <v>0</v>
      </c>
      <c r="CR114" s="48" t="n">
        <f aca="false">CR$113-CQ$113</f>
        <v>0</v>
      </c>
      <c r="CS114" s="48" t="n">
        <f aca="false">CS$113-CR$113</f>
        <v>0</v>
      </c>
      <c r="CT114" s="48" t="n">
        <f aca="false">CT$113-CS$113</f>
        <v>0</v>
      </c>
      <c r="CU114" s="48" t="n">
        <f aca="false">CU$113-CT$113</f>
        <v>0</v>
      </c>
      <c r="CV114" s="48" t="n">
        <f aca="false">CV$113-CU$113</f>
        <v>0</v>
      </c>
      <c r="CW114" s="48" t="n">
        <f aca="false">CW$113-CV$113</f>
        <v>0</v>
      </c>
      <c r="CX114" s="48" t="n">
        <f aca="false">CX$113-CW$113</f>
        <v>38829.851949336</v>
      </c>
      <c r="CY114" s="48" t="n">
        <f aca="false">CY$113-CX$113</f>
        <v>0</v>
      </c>
      <c r="CZ114" s="48" t="n">
        <f aca="false">CZ$113-CY$113</f>
        <v>0</v>
      </c>
      <c r="DA114" s="48" t="n">
        <f aca="false">DA$113-CZ$113</f>
        <v>0</v>
      </c>
      <c r="DB114" s="48" t="n">
        <f aca="false">DB$113-DA$113</f>
        <v>0</v>
      </c>
      <c r="DC114" s="48" t="n">
        <f aca="false">DC$113-DB$113</f>
        <v>0</v>
      </c>
      <c r="DD114" s="48" t="n">
        <f aca="false">DD$113-DC$113</f>
        <v>0</v>
      </c>
      <c r="DE114" s="48" t="n">
        <f aca="false">DE$113-DD$113</f>
        <v>0</v>
      </c>
      <c r="DF114" s="48" t="n">
        <f aca="false">DF$113-DE$113</f>
        <v>0</v>
      </c>
      <c r="DG114" s="48" t="n">
        <f aca="false">DG$113-DF$113</f>
        <v>0</v>
      </c>
      <c r="DH114" s="48" t="n">
        <f aca="false">DH$113-DG$113</f>
        <v>0</v>
      </c>
      <c r="DI114" s="48" t="n">
        <f aca="false">DI$113-DH$113</f>
        <v>0</v>
      </c>
      <c r="DJ114" s="48" t="n">
        <f aca="false">DJ$113-DI$113</f>
        <v>39204.8179587778</v>
      </c>
      <c r="DK114" s="48" t="n">
        <f aca="false">DK$113-DJ$113</f>
        <v>0</v>
      </c>
      <c r="DL114" s="48" t="n">
        <f aca="false">DL$113-DK$113</f>
        <v>0</v>
      </c>
      <c r="DM114" s="48" t="n">
        <f aca="false">DM$113-DL$113</f>
        <v>0</v>
      </c>
      <c r="DN114" s="48" t="n">
        <f aca="false">DN$113-DM$113</f>
        <v>0</v>
      </c>
      <c r="DO114" s="48" t="n">
        <f aca="false">DO$113-DN$113</f>
        <v>0</v>
      </c>
      <c r="DP114" s="48" t="n">
        <f aca="false">DP$113-DO$113</f>
        <v>0</v>
      </c>
      <c r="DQ114" s="48" t="n">
        <f aca="false">DQ$113-DP$113</f>
        <v>0</v>
      </c>
      <c r="DR114" s="48" t="n">
        <f aca="false">DR$113-DQ$113</f>
        <v>0</v>
      </c>
      <c r="DS114" s="48" t="n">
        <f aca="false">DS$113-DR$113</f>
        <v>0</v>
      </c>
      <c r="DT114" s="48" t="n">
        <f aca="false">DT$113-DS$113</f>
        <v>0</v>
      </c>
      <c r="DU114" s="48" t="n">
        <f aca="false">DU$113-DT$113</f>
        <v>0</v>
      </c>
      <c r="DV114" s="48" t="n">
        <f aca="false">DV$113-DU$113</f>
        <v>0</v>
      </c>
      <c r="DW114" s="48" t="n">
        <f aca="false">DW$113-DV$113</f>
        <v>0</v>
      </c>
      <c r="DX114" s="48" t="n">
        <f aca="false">DX$113-DW$113</f>
        <v>0</v>
      </c>
      <c r="DY114" s="48" t="n">
        <f aca="false">DY$113-DX$113</f>
        <v>0</v>
      </c>
      <c r="DZ114" s="48" t="n">
        <f aca="false">DZ$113-DY$113</f>
        <v>0</v>
      </c>
      <c r="EA114" s="48" t="n">
        <f aca="false">EA$113-DZ$113</f>
        <v>0</v>
      </c>
      <c r="EB114" s="48" t="n">
        <f aca="false">EB$113-EA$113</f>
        <v>0</v>
      </c>
      <c r="EC114" s="48" t="n">
        <f aca="false">EC$113-EB$113</f>
        <v>0</v>
      </c>
      <c r="ED114" s="48" t="n">
        <f aca="false">ED$113-EC$113</f>
        <v>0</v>
      </c>
      <c r="EE114" s="48" t="n">
        <f aca="false">EE$113-ED$113</f>
        <v>0</v>
      </c>
      <c r="EF114" s="48" t="n">
        <f aca="false">EF$113-EE$113</f>
        <v>0</v>
      </c>
      <c r="EG114" s="48" t="n">
        <f aca="false">EG$113-EF$113</f>
        <v>0</v>
      </c>
      <c r="EH114" s="48" t="n">
        <f aca="false">EH$113-EG$113</f>
        <v>0</v>
      </c>
      <c r="EI114" s="48" t="n">
        <f aca="false">EI$113-EH$113</f>
        <v>0</v>
      </c>
      <c r="EJ114" s="48" t="n">
        <f aca="false">EJ$113-EI$113</f>
        <v>0</v>
      </c>
      <c r="EK114" s="48" t="n">
        <f aca="false">EK$113-EJ$113</f>
        <v>0</v>
      </c>
      <c r="EL114" s="48" t="n">
        <f aca="false">EL$113-EK$113</f>
        <v>0</v>
      </c>
      <c r="EM114" s="48" t="n">
        <f aca="false">EM$113-EL$113</f>
        <v>0</v>
      </c>
      <c r="EN114" s="48" t="n">
        <f aca="false">EN$113-EM$113</f>
        <v>0</v>
      </c>
      <c r="EO114" s="48" t="n">
        <f aca="false">EO$113-EN$113</f>
        <v>0</v>
      </c>
      <c r="EP114" s="48" t="n">
        <f aca="false">EP$113-EO$113</f>
        <v>0</v>
      </c>
      <c r="EQ114" s="48" t="n">
        <f aca="false">EQ$113-EP$113</f>
        <v>0</v>
      </c>
      <c r="ER114" s="48" t="n">
        <f aca="false">ER$113-EQ$113</f>
        <v>0</v>
      </c>
      <c r="ES114" s="48" t="n">
        <f aca="false">ES$113-ER$113</f>
        <v>0</v>
      </c>
    </row>
    <row r="115" customFormat="false" ht="15" hidden="false" customHeight="false" outlineLevel="0" collapsed="false">
      <c r="A115" s="13"/>
      <c r="B115" s="12" t="s">
        <v>1197</v>
      </c>
      <c r="C115" s="13"/>
      <c r="D115" s="13"/>
      <c r="E115" s="13"/>
    </row>
    <row r="116" customFormat="false" ht="15" hidden="false" customHeight="false" outlineLevel="0" collapsed="false">
      <c r="A116" s="11" t="s">
        <v>1198</v>
      </c>
      <c r="B116" s="67" t="s">
        <v>1199</v>
      </c>
      <c r="C116" s="15" t="s">
        <v>508</v>
      </c>
      <c r="E116" s="54" t="n">
        <f aca="false">SUM(F116:ES116)</f>
        <v>11809741.4989387</v>
      </c>
      <c r="F116" s="19" t="n">
        <f aca="false">(F$102-F$106-F$114)*F$9</f>
        <v>-2345566.38688344</v>
      </c>
      <c r="G116" s="19" t="n">
        <f aca="false">(G$102-G$106-G$114)*G$9</f>
        <v>42497.5004755897</v>
      </c>
      <c r="H116" s="19" t="n">
        <f aca="false">(H$102-H$106-H$114)*H$9</f>
        <v>42497.5004755897</v>
      </c>
      <c r="I116" s="19" t="n">
        <f aca="false">(I$102-I$106-I$114)*I$9</f>
        <v>42497.5004755897</v>
      </c>
      <c r="J116" s="19" t="n">
        <f aca="false">(J$102-J$106-J$114)*J$9</f>
        <v>42497.5004755897</v>
      </c>
      <c r="K116" s="19" t="n">
        <f aca="false">(K$102-K$106-K$114)*K$9</f>
        <v>42497.5004755897</v>
      </c>
      <c r="L116" s="19" t="n">
        <f aca="false">(L$102-L$106-L$114)*L$9</f>
        <v>42497.5004755897</v>
      </c>
      <c r="M116" s="19" t="n">
        <f aca="false">(M$102-M$106-M$114)*M$9</f>
        <v>42497.5004755897</v>
      </c>
      <c r="N116" s="19" t="n">
        <f aca="false">(N$102-N$106-N$114)*N$9</f>
        <v>42497.5004755897</v>
      </c>
      <c r="O116" s="19" t="n">
        <f aca="false">(O$102-O$106-O$114)*O$9</f>
        <v>42497.5004755897</v>
      </c>
      <c r="P116" s="19" t="n">
        <f aca="false">(P$102-P$106-P$114)*P$9</f>
        <v>42497.5004755897</v>
      </c>
      <c r="Q116" s="19" t="n">
        <f aca="false">(Q$102-Q$106-Q$114)*Q$9</f>
        <v>42497.5004755897</v>
      </c>
      <c r="R116" s="19" t="n">
        <f aca="false">(R$102-R$106-R$114)*R$9</f>
        <v>-574649.041401679</v>
      </c>
      <c r="S116" s="19" t="n">
        <f aca="false">(S$102-S$106-S$114)*S$9</f>
        <v>80496.4029939648</v>
      </c>
      <c r="T116" s="19" t="n">
        <f aca="false">(T$102-T$106-T$114)*T$9</f>
        <v>80496.4029939648</v>
      </c>
      <c r="U116" s="19" t="n">
        <f aca="false">(U$102-U$106-U$114)*U$9</f>
        <v>80496.4029939648</v>
      </c>
      <c r="V116" s="19" t="n">
        <f aca="false">(V$102-V$106-V$114)*V$9</f>
        <v>80496.4029939648</v>
      </c>
      <c r="W116" s="19" t="n">
        <f aca="false">(W$102-W$106-W$114)*W$9</f>
        <v>80496.4029939648</v>
      </c>
      <c r="X116" s="19" t="n">
        <f aca="false">(X$102-X$106-X$114)*X$9</f>
        <v>80496.4029939648</v>
      </c>
      <c r="Y116" s="19" t="n">
        <f aca="false">(Y$102-Y$106-Y$114)*Y$9</f>
        <v>80496.4029939648</v>
      </c>
      <c r="Z116" s="19" t="n">
        <f aca="false">(Z$102-Z$106-Z$114)*Z$9</f>
        <v>80496.4029939648</v>
      </c>
      <c r="AA116" s="19" t="n">
        <f aca="false">(AA$102-AA$106-AA$114)*AA$9</f>
        <v>80496.4029939648</v>
      </c>
      <c r="AB116" s="19" t="n">
        <f aca="false">(AB$102-AB$106-AB$114)*AB$9</f>
        <v>80496.4029939648</v>
      </c>
      <c r="AC116" s="19" t="n">
        <f aca="false">(AC$102-AC$106-AC$114)*AC$9</f>
        <v>80496.4029939648</v>
      </c>
      <c r="AD116" s="19" t="n">
        <f aca="false">(AD$102-AD$106-AD$114)*AD$9</f>
        <v>-550241.899767298</v>
      </c>
      <c r="AE116" s="19" t="n">
        <f aca="false">(AE$102-AE$106-AE$114)*AE$9</f>
        <v>117085.030865125</v>
      </c>
      <c r="AF116" s="19" t="n">
        <f aca="false">(AF$102-AF$106-AF$114)*AF$9</f>
        <v>117085.030865125</v>
      </c>
      <c r="AG116" s="19" t="n">
        <f aca="false">(AG$102-AG$106-AG$114)*AG$9</f>
        <v>117085.030865125</v>
      </c>
      <c r="AH116" s="19" t="n">
        <f aca="false">(AH$102-AH$106-AH$114)*AH$9</f>
        <v>117085.030865125</v>
      </c>
      <c r="AI116" s="19" t="n">
        <f aca="false">(AI$102-AI$106-AI$114)*AI$9</f>
        <v>117085.030865125</v>
      </c>
      <c r="AJ116" s="19" t="n">
        <f aca="false">(AJ$102-AJ$106-AJ$114)*AJ$9</f>
        <v>117085.030865125</v>
      </c>
      <c r="AK116" s="19" t="n">
        <f aca="false">(AK$102-AK$106-AK$114)*AK$9</f>
        <v>117085.030865125</v>
      </c>
      <c r="AL116" s="19" t="n">
        <f aca="false">(AL$102-AL$106-AL$114)*AL$9</f>
        <v>117085.030865125</v>
      </c>
      <c r="AM116" s="19" t="n">
        <f aca="false">(AM$102-AM$106-AM$114)*AM$9</f>
        <v>117085.030865125</v>
      </c>
      <c r="AN116" s="19" t="n">
        <f aca="false">(AN$102-AN$106-AN$114)*AN$9</f>
        <v>117085.030865125</v>
      </c>
      <c r="AO116" s="19" t="n">
        <f aca="false">(AO$102-AO$106-AO$114)*AO$9</f>
        <v>117085.030865125</v>
      </c>
      <c r="AP116" s="19" t="n">
        <f aca="false">(AP$102-AP$106-AP$114)*AP$9</f>
        <v>-408915.490053455</v>
      </c>
      <c r="AQ116" s="19" t="n">
        <f aca="false">(AQ$102-AQ$106-AQ$114)*AQ$9</f>
        <v>149893.579879858</v>
      </c>
      <c r="AR116" s="19" t="n">
        <f aca="false">(AR$102-AR$106-AR$114)*AR$9</f>
        <v>149893.579879858</v>
      </c>
      <c r="AS116" s="19" t="n">
        <f aca="false">(AS$102-AS$106-AS$114)*AS$9</f>
        <v>149893.579879858</v>
      </c>
      <c r="AT116" s="19" t="n">
        <f aca="false">(AT$102-AT$106-AT$114)*AT$9</f>
        <v>149893.579879858</v>
      </c>
      <c r="AU116" s="19" t="n">
        <f aca="false">(AU$102-AU$106-AU$114)*AU$9</f>
        <v>149893.579879858</v>
      </c>
      <c r="AV116" s="19" t="n">
        <f aca="false">(AV$102-AV$106-AV$114)*AV$9</f>
        <v>149893.579879858</v>
      </c>
      <c r="AW116" s="19" t="n">
        <f aca="false">(AW$102-AW$106-AW$114)*AW$9</f>
        <v>149893.579879858</v>
      </c>
      <c r="AX116" s="19" t="n">
        <f aca="false">(AX$102-AX$106-AX$114)*AX$9</f>
        <v>149893.579879858</v>
      </c>
      <c r="AY116" s="19" t="n">
        <f aca="false">(AY$102-AY$106-AY$114)*AY$9</f>
        <v>149893.579879858</v>
      </c>
      <c r="AZ116" s="19" t="n">
        <f aca="false">(AZ$102-AZ$106-AZ$114)*AZ$9</f>
        <v>149893.579879858</v>
      </c>
      <c r="BA116" s="19" t="n">
        <f aca="false">(BA$102-BA$106-BA$114)*BA$9</f>
        <v>149893.579879858</v>
      </c>
      <c r="BB116" s="19" t="n">
        <f aca="false">(BB$102-BB$106-BB$114)*BB$9</f>
        <v>113103.617170514</v>
      </c>
      <c r="BC116" s="19" t="n">
        <f aca="false">(BC$102-BC$106-BC$114)*BC$9</f>
        <v>151213.164876374</v>
      </c>
      <c r="BD116" s="19" t="n">
        <f aca="false">(BD$102-BD$106-BD$114)*BD$9</f>
        <v>151213.164876374</v>
      </c>
      <c r="BE116" s="19" t="n">
        <f aca="false">(BE$102-BE$106-BE$114)*BE$9</f>
        <v>151213.164876374</v>
      </c>
      <c r="BF116" s="19" t="n">
        <f aca="false">(BF$102-BF$106-BF$114)*BF$9</f>
        <v>151213.164876374</v>
      </c>
      <c r="BG116" s="19" t="n">
        <f aca="false">(BG$102-BG$106-BG$114)*BG$9</f>
        <v>151213.164876374</v>
      </c>
      <c r="BH116" s="19" t="n">
        <f aca="false">(BH$102-BH$106-BH$114)*BH$9</f>
        <v>151213.164876374</v>
      </c>
      <c r="BI116" s="19" t="n">
        <f aca="false">(BI$102-BI$106-BI$114)*BI$9</f>
        <v>151213.164876374</v>
      </c>
      <c r="BJ116" s="19" t="n">
        <f aca="false">(BJ$102-BJ$106-BJ$114)*BJ$9</f>
        <v>151213.164876374</v>
      </c>
      <c r="BK116" s="19" t="n">
        <f aca="false">(BK$102-BK$106-BK$114)*BK$9</f>
        <v>151213.164876374</v>
      </c>
      <c r="BL116" s="19" t="n">
        <f aca="false">(BL$102-BL$106-BL$114)*BL$9</f>
        <v>151213.164876374</v>
      </c>
      <c r="BM116" s="19" t="n">
        <f aca="false">(BM$102-BM$106-BM$114)*BM$9</f>
        <v>151213.164876374</v>
      </c>
      <c r="BN116" s="19" t="n">
        <f aca="false">(BN$102-BN$106-BN$114)*BN$9</f>
        <v>117575.58532923</v>
      </c>
      <c r="BO116" s="19" t="n">
        <f aca="false">(BO$102-BO$106-BO$114)*BO$9</f>
        <v>155300.441797826</v>
      </c>
      <c r="BP116" s="19" t="n">
        <f aca="false">(BP$102-BP$106-BP$114)*BP$9</f>
        <v>155300.441797826</v>
      </c>
      <c r="BQ116" s="19" t="n">
        <f aca="false">(BQ$102-BQ$106-BQ$114)*BQ$9</f>
        <v>155300.441797826</v>
      </c>
      <c r="BR116" s="19" t="n">
        <f aca="false">(BR$102-BR$106-BR$114)*BR$9</f>
        <v>155300.441797826</v>
      </c>
      <c r="BS116" s="19" t="n">
        <f aca="false">(BS$102-BS$106-BS$114)*BS$9</f>
        <v>155300.441797826</v>
      </c>
      <c r="BT116" s="19" t="n">
        <f aca="false">(BT$102-BT$106-BT$114)*BT$9</f>
        <v>155300.441797826</v>
      </c>
      <c r="BU116" s="19" t="n">
        <f aca="false">(BU$102-BU$106-BU$114)*BU$9</f>
        <v>155300.441797826</v>
      </c>
      <c r="BV116" s="19" t="n">
        <f aca="false">(BV$102-BV$106-BV$114)*BV$9</f>
        <v>155300.441797826</v>
      </c>
      <c r="BW116" s="19" t="n">
        <f aca="false">(BW$102-BW$106-BW$114)*BW$9</f>
        <v>155300.441797826</v>
      </c>
      <c r="BX116" s="19" t="n">
        <f aca="false">(BX$102-BX$106-BX$114)*BX$9</f>
        <v>155300.441797826</v>
      </c>
      <c r="BY116" s="19" t="n">
        <f aca="false">(BY$102-BY$106-BY$114)*BY$9</f>
        <v>155300.441797826</v>
      </c>
      <c r="BZ116" s="19" t="n">
        <f aca="false">(BZ$102-BZ$106-BZ$114)*BZ$9</f>
        <v>121326.129264619</v>
      </c>
      <c r="CA116" s="19" t="n">
        <f aca="false">(CA$102-CA$106-CA$114)*CA$9</f>
        <v>159416.0224894</v>
      </c>
      <c r="CB116" s="19" t="n">
        <f aca="false">(CB$102-CB$106-CB$114)*CB$9</f>
        <v>159416.0224894</v>
      </c>
      <c r="CC116" s="19" t="n">
        <f aca="false">(CC$102-CC$106-CC$114)*CC$9</f>
        <v>159416.0224894</v>
      </c>
      <c r="CD116" s="19" t="n">
        <f aca="false">(CD$102-CD$106-CD$114)*CD$9</f>
        <v>159416.0224894</v>
      </c>
      <c r="CE116" s="19" t="n">
        <f aca="false">(CE$102-CE$106-CE$114)*CE$9</f>
        <v>159416.0224894</v>
      </c>
      <c r="CF116" s="19" t="n">
        <f aca="false">(CF$102-CF$106-CF$114)*CF$9</f>
        <v>159416.0224894</v>
      </c>
      <c r="CG116" s="19" t="n">
        <f aca="false">(CG$102-CG$106-CG$114)*CG$9</f>
        <v>159416.0224894</v>
      </c>
      <c r="CH116" s="19" t="n">
        <f aca="false">(CH$102-CH$106-CH$114)*CH$9</f>
        <v>159416.0224894</v>
      </c>
      <c r="CI116" s="19" t="n">
        <f aca="false">(CI$102-CI$106-CI$114)*CI$9</f>
        <v>159416.0224894</v>
      </c>
      <c r="CJ116" s="19" t="n">
        <f aca="false">(CJ$102-CJ$106-CJ$114)*CJ$9</f>
        <v>159416.0224894</v>
      </c>
      <c r="CK116" s="19" t="n">
        <f aca="false">(CK$102-CK$106-CK$114)*CK$9</f>
        <v>159416.0224894</v>
      </c>
      <c r="CL116" s="19" t="n">
        <f aca="false">(CL$102-CL$106-CL$114)*CL$9</f>
        <v>125101.600851768</v>
      </c>
      <c r="CM116" s="19" t="n">
        <f aca="false">(CM$102-CM$106-CM$114)*CM$9</f>
        <v>163559.818546288</v>
      </c>
      <c r="CN116" s="19" t="n">
        <f aca="false">(CN$102-CN$106-CN$114)*CN$9</f>
        <v>163559.818546288</v>
      </c>
      <c r="CO116" s="19" t="n">
        <f aca="false">(CO$102-CO$106-CO$114)*CO$9</f>
        <v>163559.818546288</v>
      </c>
      <c r="CP116" s="19" t="n">
        <f aca="false">(CP$102-CP$106-CP$114)*CP$9</f>
        <v>163559.818546288</v>
      </c>
      <c r="CQ116" s="19" t="n">
        <f aca="false">(CQ$102-CQ$106-CQ$114)*CQ$9</f>
        <v>163559.818546288</v>
      </c>
      <c r="CR116" s="19" t="n">
        <f aca="false">(CR$102-CR$106-CR$114)*CR$9</f>
        <v>163559.818546288</v>
      </c>
      <c r="CS116" s="19" t="n">
        <f aca="false">(CS$102-CS$106-CS$114)*CS$9</f>
        <v>163559.818546288</v>
      </c>
      <c r="CT116" s="19" t="n">
        <f aca="false">(CT$102-CT$106-CT$114)*CT$9</f>
        <v>163559.818546288</v>
      </c>
      <c r="CU116" s="19" t="n">
        <f aca="false">(CU$102-CU$106-CU$114)*CU$9</f>
        <v>163559.818546288</v>
      </c>
      <c r="CV116" s="19" t="n">
        <f aca="false">(CV$102-CV$106-CV$114)*CV$9</f>
        <v>163559.818546288</v>
      </c>
      <c r="CW116" s="19" t="n">
        <f aca="false">(CW$102-CW$106-CW$114)*CW$9</f>
        <v>163559.818546288</v>
      </c>
      <c r="CX116" s="19" t="n">
        <f aca="false">(CX$102-CX$106-CX$114)*CX$9</f>
        <v>128901.877699572</v>
      </c>
      <c r="CY116" s="19" t="n">
        <f aca="false">(CY$102-CY$106-CY$114)*CY$9</f>
        <v>167731.729648908</v>
      </c>
      <c r="CZ116" s="19" t="n">
        <f aca="false">(CZ$102-CZ$106-CZ$114)*CZ$9</f>
        <v>167731.729648908</v>
      </c>
      <c r="DA116" s="19" t="n">
        <f aca="false">(DA$102-DA$106-DA$114)*DA$9</f>
        <v>167731.729648908</v>
      </c>
      <c r="DB116" s="19" t="n">
        <f aca="false">(DB$102-DB$106-DB$114)*DB$9</f>
        <v>167731.729648908</v>
      </c>
      <c r="DC116" s="19" t="n">
        <f aca="false">(DC$102-DC$106-DC$114)*DC$9</f>
        <v>167731.729648908</v>
      </c>
      <c r="DD116" s="19" t="n">
        <f aca="false">(DD$102-DD$106-DD$114)*DD$9</f>
        <v>167731.729648908</v>
      </c>
      <c r="DE116" s="19" t="n">
        <f aca="false">(DE$102-DE$106-DE$114)*DE$9</f>
        <v>167731.729648908</v>
      </c>
      <c r="DF116" s="19" t="n">
        <f aca="false">(DF$102-DF$106-DF$114)*DF$9</f>
        <v>167731.729648908</v>
      </c>
      <c r="DG116" s="19" t="n">
        <f aca="false">(DG$102-DG$106-DG$114)*DG$9</f>
        <v>167731.729648908</v>
      </c>
      <c r="DH116" s="19" t="n">
        <f aca="false">(DH$102-DH$106-DH$114)*DH$9</f>
        <v>167731.729648908</v>
      </c>
      <c r="DI116" s="19" t="n">
        <f aca="false">(DI$102-DI$106-DI$114)*DI$9</f>
        <v>167731.729648908</v>
      </c>
      <c r="DJ116" s="19" t="n">
        <f aca="false">(DJ$102-DJ$106-DJ$114)*DJ$9</f>
        <v>132726.825156308</v>
      </c>
      <c r="DK116" s="19" t="n">
        <f aca="false">(DK$102-DK$106-DK$114)*DK$9</f>
        <v>171931.643115086</v>
      </c>
      <c r="DL116" s="19" t="n">
        <f aca="false">(DL$102-DL$106-DL$114)*DL$9</f>
        <v>171931.643115086</v>
      </c>
      <c r="DM116" s="19" t="n">
        <f aca="false">(DM$102-DM$106-DM$114)*DM$9</f>
        <v>171931.643115086</v>
      </c>
      <c r="DN116" s="19" t="n">
        <f aca="false">(DN$102-DN$106-DN$114)*DN$9</f>
        <v>171931.643115086</v>
      </c>
      <c r="DO116" s="19" t="n">
        <f aca="false">(DO$102-DO$106-DO$114)*DO$9</f>
        <v>171931.643115086</v>
      </c>
      <c r="DP116" s="19" t="n">
        <f aca="false">(DP$102-DP$106-DP$114)*DP$9</f>
        <v>171931.643115086</v>
      </c>
      <c r="DQ116" s="19" t="n">
        <f aca="false">(DQ$102-DQ$106-DQ$114)*DQ$9</f>
        <v>171931.643115086</v>
      </c>
      <c r="DR116" s="19" t="n">
        <f aca="false">(DR$102-DR$106-DR$114)*DR$9</f>
        <v>171931.643115086</v>
      </c>
      <c r="DS116" s="19" t="n">
        <f aca="false">(DS$102-DS$106-DS$114)*DS$9</f>
        <v>171931.643115086</v>
      </c>
      <c r="DT116" s="19" t="n">
        <f aca="false">(DT$102-DT$106-DT$114)*DT$9</f>
        <v>171931.643115086</v>
      </c>
      <c r="DU116" s="19" t="n">
        <f aca="false">(DU$102-DU$106-DU$114)*DU$9</f>
        <v>171931.643115086</v>
      </c>
      <c r="DV116" s="19" t="n">
        <f aca="false">(DV$102-DV$106-DV$114)*DV$9</f>
        <v>0</v>
      </c>
      <c r="DW116" s="19" t="n">
        <f aca="false">(DW$102-DW$106-DW$114)*DW$9</f>
        <v>0</v>
      </c>
      <c r="DX116" s="19" t="n">
        <f aca="false">(DX$102-DX$106-DX$114)*DX$9</f>
        <v>0</v>
      </c>
      <c r="DY116" s="19" t="n">
        <f aca="false">(DY$102-DY$106-DY$114)*DY$9</f>
        <v>0</v>
      </c>
      <c r="DZ116" s="19" t="n">
        <f aca="false">(DZ$102-DZ$106-DZ$114)*DZ$9</f>
        <v>0</v>
      </c>
      <c r="EA116" s="19" t="n">
        <f aca="false">(EA$102-EA$106-EA$114)*EA$9</f>
        <v>0</v>
      </c>
      <c r="EB116" s="19" t="n">
        <f aca="false">(EB$102-EB$106-EB$114)*EB$9</f>
        <v>0</v>
      </c>
      <c r="EC116" s="19" t="n">
        <f aca="false">(EC$102-EC$106-EC$114)*EC$9</f>
        <v>0</v>
      </c>
      <c r="ED116" s="19" t="n">
        <f aca="false">(ED$102-ED$106-ED$114)*ED$9</f>
        <v>0</v>
      </c>
      <c r="EE116" s="19" t="n">
        <f aca="false">(EE$102-EE$106-EE$114)*EE$9</f>
        <v>0</v>
      </c>
      <c r="EF116" s="19" t="n">
        <f aca="false">(EF$102-EF$106-EF$114)*EF$9</f>
        <v>0</v>
      </c>
      <c r="EG116" s="19" t="n">
        <f aca="false">(EG$102-EG$106-EG$114)*EG$9</f>
        <v>0</v>
      </c>
      <c r="EH116" s="19" t="n">
        <f aca="false">(EH$102-EH$106-EH$114)*EH$9</f>
        <v>0</v>
      </c>
      <c r="EI116" s="19" t="n">
        <f aca="false">(EI$102-EI$106-EI$114)*EI$9</f>
        <v>0</v>
      </c>
      <c r="EJ116" s="19" t="n">
        <f aca="false">(EJ$102-EJ$106-EJ$114)*EJ$9</f>
        <v>0</v>
      </c>
      <c r="EK116" s="19" t="n">
        <f aca="false">(EK$102-EK$106-EK$114)*EK$9</f>
        <v>0</v>
      </c>
      <c r="EL116" s="19" t="n">
        <f aca="false">(EL$102-EL$106-EL$114)*EL$9</f>
        <v>0</v>
      </c>
      <c r="EM116" s="19" t="n">
        <f aca="false">(EM$102-EM$106-EM$114)*EM$9</f>
        <v>0</v>
      </c>
      <c r="EN116" s="19" t="n">
        <f aca="false">(EN$102-EN$106-EN$114)*EN$9</f>
        <v>0</v>
      </c>
      <c r="EO116" s="19" t="n">
        <f aca="false">(EO$102-EO$106-EO$114)*EO$9</f>
        <v>0</v>
      </c>
      <c r="EP116" s="19" t="n">
        <f aca="false">(EP$102-EP$106-EP$114)*EP$9</f>
        <v>0</v>
      </c>
      <c r="EQ116" s="19" t="n">
        <f aca="false">(EQ$102-EQ$106-EQ$114)*EQ$9</f>
        <v>0</v>
      </c>
      <c r="ER116" s="19" t="n">
        <f aca="false">(ER$102-ER$106-ER$114)*ER$9</f>
        <v>0</v>
      </c>
      <c r="ES116" s="19" t="n">
        <f aca="false">(ES$102-ES$106-ES$114)*ES$9</f>
        <v>0</v>
      </c>
    </row>
    <row r="117" customFormat="false" ht="15" hidden="false" customHeight="false" outlineLevel="0" collapsed="false">
      <c r="A117" s="11" t="s">
        <v>1200</v>
      </c>
      <c r="B117" s="15" t="s">
        <v>1014</v>
      </c>
      <c r="C117" s="15" t="s">
        <v>508</v>
      </c>
      <c r="E117" s="54" t="n">
        <f aca="false">SUM(F117:ES117)</f>
        <v>755044.09</v>
      </c>
      <c r="F117" s="48" t="n">
        <f aca="false">SUMIF(Inv_E,1,Inv_D)*F$9</f>
        <v>655044.09</v>
      </c>
      <c r="G117" s="48" t="n">
        <f aca="false">SUMIF(Inv_E,2,Inv_D)*G$9</f>
        <v>0</v>
      </c>
      <c r="H117" s="48" t="n">
        <f aca="false">SUMIF(Inv_E,3,Inv_D)*H$9</f>
        <v>0</v>
      </c>
      <c r="I117" s="48" t="n">
        <f aca="false">SUMIF(Inv_E,4,Inv_D)*I$9</f>
        <v>0</v>
      </c>
      <c r="J117" s="48" t="n">
        <f aca="false">SUMIF(Inv_E,5,Inv_D)*J$9</f>
        <v>0</v>
      </c>
      <c r="K117" s="48" t="n">
        <f aca="false">SUMIF(Inv_E,6,Inv_D)*K$9</f>
        <v>0</v>
      </c>
      <c r="L117" s="48" t="n">
        <f aca="false">SUMIF(Inv_E,7,Inv_D)*L$9</f>
        <v>0</v>
      </c>
      <c r="M117" s="48" t="n">
        <f aca="false">SUMIF(Inv_E,8,Inv_D)*M$9</f>
        <v>0</v>
      </c>
      <c r="N117" s="48" t="n">
        <f aca="false">SUMIF(Inv_E,9,Inv_D)*N$9</f>
        <v>0</v>
      </c>
      <c r="O117" s="48" t="n">
        <f aca="false">SUMIF(Inv_E,10,Inv_D)*O$9</f>
        <v>0</v>
      </c>
      <c r="P117" s="48" t="n">
        <f aca="false">SUMIF(Inv_E,11,Inv_D)*P$9</f>
        <v>0</v>
      </c>
      <c r="Q117" s="48" t="n">
        <f aca="false">SUMIF(Inv_E,12,Inv_D)*Q$9</f>
        <v>0</v>
      </c>
      <c r="R117" s="48" t="n">
        <f aca="false">SUMIF(Inv_E,13,Inv_D)*R$9</f>
        <v>100000</v>
      </c>
      <c r="S117" s="48" t="n">
        <f aca="false">SUMIF(Inv_E,14,Inv_D)*S$9</f>
        <v>0</v>
      </c>
      <c r="T117" s="48" t="n">
        <f aca="false">SUMIF(Inv_E,15,Inv_D)*T$9</f>
        <v>0</v>
      </c>
      <c r="U117" s="48" t="n">
        <f aca="false">SUMIF(Inv_E,16,Inv_D)*U$9</f>
        <v>0</v>
      </c>
      <c r="V117" s="48" t="n">
        <f aca="false">SUMIF(Inv_E,17,Inv_D)*V$9</f>
        <v>0</v>
      </c>
      <c r="W117" s="48" t="n">
        <f aca="false">SUMIF(Inv_E,18,Inv_D)*W$9</f>
        <v>0</v>
      </c>
      <c r="X117" s="48" t="n">
        <f aca="false">SUMIF(Inv_E,19,Inv_D)*X$9</f>
        <v>0</v>
      </c>
      <c r="Y117" s="48" t="n">
        <f aca="false">SUMIF(Inv_E,20,Inv_D)*Y$9</f>
        <v>0</v>
      </c>
      <c r="Z117" s="48" t="n">
        <f aca="false">SUMIF(Inv_E,21,Inv_D)*Z$9</f>
        <v>0</v>
      </c>
      <c r="AA117" s="48" t="n">
        <f aca="false">SUMIF(Inv_E,22,Inv_D)*AA$9</f>
        <v>0</v>
      </c>
      <c r="AB117" s="48" t="n">
        <f aca="false">SUMIF(Inv_E,23,Inv_D)*AB$9</f>
        <v>0</v>
      </c>
      <c r="AC117" s="48" t="n">
        <f aca="false">SUMIF(Inv_E,24,Inv_D)*AC$9</f>
        <v>0</v>
      </c>
      <c r="AD117" s="48" t="n">
        <f aca="false">SUMIF(Inv_E,25,Inv_D)*AD$9</f>
        <v>0</v>
      </c>
      <c r="AE117" s="48" t="n">
        <f aca="false">SUMIF(Inv_E,26,Inv_D)*AE$9</f>
        <v>0</v>
      </c>
      <c r="AF117" s="48" t="n">
        <f aca="false">SUMIF(Inv_E,27,Inv_D)*AF$9</f>
        <v>0</v>
      </c>
      <c r="AG117" s="48" t="n">
        <f aca="false">SUMIF(Inv_E,28,Inv_D)*AG$9</f>
        <v>0</v>
      </c>
      <c r="AH117" s="48" t="n">
        <f aca="false">SUMIF(Inv_E,29,Inv_D)*AH$9</f>
        <v>0</v>
      </c>
      <c r="AI117" s="48" t="n">
        <f aca="false">SUMIF(Inv_E,30,Inv_D)*AI$9</f>
        <v>0</v>
      </c>
      <c r="AJ117" s="48" t="n">
        <f aca="false">SUMIF(Inv_E,31,Inv_D)*AJ$9</f>
        <v>0</v>
      </c>
      <c r="AK117" s="48" t="n">
        <f aca="false">SUMIF(Inv_E,32,Inv_D)*AK$9</f>
        <v>0</v>
      </c>
      <c r="AL117" s="48" t="n">
        <f aca="false">SUMIF(Inv_E,33,Inv_D)*AL$9</f>
        <v>0</v>
      </c>
      <c r="AM117" s="48" t="n">
        <f aca="false">SUMIF(Inv_E,34,Inv_D)*AM$9</f>
        <v>0</v>
      </c>
      <c r="AN117" s="48" t="n">
        <f aca="false">SUMIF(Inv_E,35,Inv_D)*AN$9</f>
        <v>0</v>
      </c>
      <c r="AO117" s="48" t="n">
        <f aca="false">SUMIF(Inv_E,36,Inv_D)*AO$9</f>
        <v>0</v>
      </c>
      <c r="AP117" s="48" t="n">
        <f aca="false">SUMIF(Inv_E,37,Inv_D)*AP$9</f>
        <v>0</v>
      </c>
      <c r="AQ117" s="48" t="n">
        <f aca="false">SUMIF(Inv_E,38,Inv_D)*AQ$9</f>
        <v>0</v>
      </c>
      <c r="AR117" s="48" t="n">
        <f aca="false">SUMIF(Inv_E,39,Inv_D)*AR$9</f>
        <v>0</v>
      </c>
      <c r="AS117" s="48" t="n">
        <f aca="false">SUMIF(Inv_E,40,Inv_D)*AS$9</f>
        <v>0</v>
      </c>
      <c r="AT117" s="48" t="n">
        <f aca="false">SUMIF(Inv_E,41,Inv_D)*AT$9</f>
        <v>0</v>
      </c>
      <c r="AU117" s="48" t="n">
        <f aca="false">SUMIF(Inv_E,42,Inv_D)*AU$9</f>
        <v>0</v>
      </c>
      <c r="AV117" s="48" t="n">
        <f aca="false">SUMIF(Inv_E,43,Inv_D)*AV$9</f>
        <v>0</v>
      </c>
      <c r="AW117" s="48" t="n">
        <f aca="false">SUMIF(Inv_E,44,Inv_D)*AW$9</f>
        <v>0</v>
      </c>
      <c r="AX117" s="48" t="n">
        <f aca="false">SUMIF(Inv_E,45,Inv_D)*AX$9</f>
        <v>0</v>
      </c>
      <c r="AY117" s="48" t="n">
        <f aca="false">SUMIF(Inv_E,46,Inv_D)*AY$9</f>
        <v>0</v>
      </c>
      <c r="AZ117" s="48" t="n">
        <f aca="false">SUMIF(Inv_E,47,Inv_D)*AZ$9</f>
        <v>0</v>
      </c>
      <c r="BA117" s="48" t="n">
        <f aca="false">SUMIF(Inv_E,48,Inv_D)*BA$9</f>
        <v>0</v>
      </c>
      <c r="BB117" s="48" t="n">
        <f aca="false">SUMIF(Inv_E,49,Inv_D)*BB$9</f>
        <v>0</v>
      </c>
      <c r="BC117" s="48" t="n">
        <f aca="false">SUMIF(Inv_E,50,Inv_D)*BC$9</f>
        <v>0</v>
      </c>
      <c r="BD117" s="48" t="n">
        <f aca="false">SUMIF(Inv_E,51,Inv_D)*BD$9</f>
        <v>0</v>
      </c>
      <c r="BE117" s="48" t="n">
        <f aca="false">SUMIF(Inv_E,52,Inv_D)*BE$9</f>
        <v>0</v>
      </c>
      <c r="BF117" s="48" t="n">
        <f aca="false">SUMIF(Inv_E,53,Inv_D)*BF$9</f>
        <v>0</v>
      </c>
      <c r="BG117" s="48" t="n">
        <f aca="false">SUMIF(Inv_E,54,Inv_D)*BG$9</f>
        <v>0</v>
      </c>
      <c r="BH117" s="48" t="n">
        <f aca="false">SUMIF(Inv_E,55,Inv_D)*BH$9</f>
        <v>0</v>
      </c>
      <c r="BI117" s="48" t="n">
        <f aca="false">SUMIF(Inv_E,56,Inv_D)*BI$9</f>
        <v>0</v>
      </c>
      <c r="BJ117" s="48" t="n">
        <f aca="false">SUMIF(Inv_E,57,Inv_D)*BJ$9</f>
        <v>0</v>
      </c>
      <c r="BK117" s="48" t="n">
        <f aca="false">SUMIF(Inv_E,58,Inv_D)*BK$9</f>
        <v>0</v>
      </c>
      <c r="BL117" s="48" t="n">
        <f aca="false">SUMIF(Inv_E,59,Inv_D)*BL$9</f>
        <v>0</v>
      </c>
      <c r="BM117" s="48" t="n">
        <f aca="false">SUMIF(Inv_E,60,Inv_D)*BM$9</f>
        <v>0</v>
      </c>
      <c r="BN117" s="48" t="n">
        <f aca="false">SUMIF(Inv_E,61,Inv_D)*BN$9</f>
        <v>0</v>
      </c>
      <c r="BO117" s="48" t="n">
        <f aca="false">SUMIF(Inv_E,62,Inv_D)*BO$9</f>
        <v>0</v>
      </c>
      <c r="BP117" s="48" t="n">
        <f aca="false">SUMIF(Inv_E,63,Inv_D)*BP$9</f>
        <v>0</v>
      </c>
      <c r="BQ117" s="48" t="n">
        <f aca="false">SUMIF(Inv_E,64,Inv_D)*BQ$9</f>
        <v>0</v>
      </c>
      <c r="BR117" s="48" t="n">
        <f aca="false">SUMIF(Inv_E,65,Inv_D)*BR$9</f>
        <v>0</v>
      </c>
      <c r="BS117" s="48" t="n">
        <f aca="false">SUMIF(Inv_E,66,Inv_D)*BS$9</f>
        <v>0</v>
      </c>
      <c r="BT117" s="48" t="n">
        <f aca="false">SUMIF(Inv_E,67,Inv_D)*BT$9</f>
        <v>0</v>
      </c>
      <c r="BU117" s="48" t="n">
        <f aca="false">SUMIF(Inv_E,68,Inv_D)*BU$9</f>
        <v>0</v>
      </c>
      <c r="BV117" s="48" t="n">
        <f aca="false">SUMIF(Inv_E,69,Inv_D)*BV$9</f>
        <v>0</v>
      </c>
      <c r="BW117" s="48" t="n">
        <f aca="false">SUMIF(Inv_E,70,Inv_D)*BW$9</f>
        <v>0</v>
      </c>
      <c r="BX117" s="48" t="n">
        <f aca="false">SUMIF(Inv_E,71,Inv_D)*BX$9</f>
        <v>0</v>
      </c>
      <c r="BY117" s="48" t="n">
        <f aca="false">SUMIF(Inv_E,72,Inv_D)*BY$9</f>
        <v>0</v>
      </c>
      <c r="BZ117" s="48" t="n">
        <f aca="false">SUMIF(Inv_E,73,Inv_D)*BZ$9</f>
        <v>0</v>
      </c>
      <c r="CA117" s="48" t="n">
        <f aca="false">SUMIF(Inv_E,74,Inv_D)*CA$9</f>
        <v>0</v>
      </c>
      <c r="CB117" s="48" t="n">
        <f aca="false">SUMIF(Inv_E,75,Inv_D)*CB$9</f>
        <v>0</v>
      </c>
      <c r="CC117" s="48" t="n">
        <f aca="false">SUMIF(Inv_E,76,Inv_D)*CC$9</f>
        <v>0</v>
      </c>
      <c r="CD117" s="48" t="n">
        <f aca="false">SUMIF(Inv_E,77,Inv_D)*CD$9</f>
        <v>0</v>
      </c>
      <c r="CE117" s="48" t="n">
        <f aca="false">SUMIF(Inv_E,78,Inv_D)*CE$9</f>
        <v>0</v>
      </c>
      <c r="CF117" s="48" t="n">
        <f aca="false">SUMIF(Inv_E,79,Inv_D)*CF$9</f>
        <v>0</v>
      </c>
      <c r="CG117" s="48" t="n">
        <f aca="false">SUMIF(Inv_E,80,Inv_D)*CG$9</f>
        <v>0</v>
      </c>
      <c r="CH117" s="48" t="n">
        <f aca="false">SUMIF(Inv_E,81,Inv_D)*CH$9</f>
        <v>0</v>
      </c>
      <c r="CI117" s="48" t="n">
        <f aca="false">SUMIF(Inv_E,82,Inv_D)*CI$9</f>
        <v>0</v>
      </c>
      <c r="CJ117" s="48" t="n">
        <f aca="false">SUMIF(Inv_E,83,Inv_D)*CJ$9</f>
        <v>0</v>
      </c>
      <c r="CK117" s="48" t="n">
        <f aca="false">SUMIF(Inv_E,84,Inv_D)*CK$9</f>
        <v>0</v>
      </c>
      <c r="CL117" s="48" t="n">
        <f aca="false">SUMIF(Inv_E,85,Inv_D)*CL$9</f>
        <v>0</v>
      </c>
      <c r="CM117" s="48" t="n">
        <f aca="false">SUMIF(Inv_E,86,Inv_D)*CM$9</f>
        <v>0</v>
      </c>
      <c r="CN117" s="48" t="n">
        <f aca="false">SUMIF(Inv_E,87,Inv_D)*CN$9</f>
        <v>0</v>
      </c>
      <c r="CO117" s="48" t="n">
        <f aca="false">SUMIF(Inv_E,88,Inv_D)*CO$9</f>
        <v>0</v>
      </c>
      <c r="CP117" s="48" t="n">
        <f aca="false">SUMIF(Inv_E,89,Inv_D)*CP$9</f>
        <v>0</v>
      </c>
      <c r="CQ117" s="48" t="n">
        <f aca="false">SUMIF(Inv_E,90,Inv_D)*CQ$9</f>
        <v>0</v>
      </c>
      <c r="CR117" s="48" t="n">
        <f aca="false">SUMIF(Inv_E,91,Inv_D)*CR$9</f>
        <v>0</v>
      </c>
      <c r="CS117" s="48" t="n">
        <f aca="false">SUMIF(Inv_E,92,Inv_D)*CS$9</f>
        <v>0</v>
      </c>
      <c r="CT117" s="48" t="n">
        <f aca="false">SUMIF(Inv_E,93,Inv_D)*CT$9</f>
        <v>0</v>
      </c>
      <c r="CU117" s="48" t="n">
        <f aca="false">SUMIF(Inv_E,94,Inv_D)*CU$9</f>
        <v>0</v>
      </c>
      <c r="CV117" s="48" t="n">
        <f aca="false">SUMIF(Inv_E,95,Inv_D)*CV$9</f>
        <v>0</v>
      </c>
      <c r="CW117" s="48" t="n">
        <f aca="false">SUMIF(Inv_E,96,Inv_D)*CW$9</f>
        <v>0</v>
      </c>
      <c r="CX117" s="48" t="n">
        <f aca="false">SUMIF(Inv_E,97,Inv_D)*CX$9</f>
        <v>0</v>
      </c>
      <c r="CY117" s="48" t="n">
        <f aca="false">SUMIF(Inv_E,98,Inv_D)*CY$9</f>
        <v>0</v>
      </c>
      <c r="CZ117" s="48" t="n">
        <f aca="false">SUMIF(Inv_E,99,Inv_D)*CZ$9</f>
        <v>0</v>
      </c>
      <c r="DA117" s="48" t="n">
        <f aca="false">SUMIF(Inv_E,100,Inv_D)*DA$9</f>
        <v>0</v>
      </c>
      <c r="DB117" s="48" t="n">
        <f aca="false">SUMIF(Inv_E,101,Inv_D)*DB$9</f>
        <v>0</v>
      </c>
      <c r="DC117" s="48" t="n">
        <f aca="false">SUMIF(Inv_E,102,Inv_D)*DC$9</f>
        <v>0</v>
      </c>
      <c r="DD117" s="48" t="n">
        <f aca="false">SUMIF(Inv_E,103,Inv_D)*DD$9</f>
        <v>0</v>
      </c>
      <c r="DE117" s="48" t="n">
        <f aca="false">SUMIF(Inv_E,104,Inv_D)*DE$9</f>
        <v>0</v>
      </c>
      <c r="DF117" s="48" t="n">
        <f aca="false">SUMIF(Inv_E,105,Inv_D)*DF$9</f>
        <v>0</v>
      </c>
      <c r="DG117" s="48" t="n">
        <f aca="false">SUMIF(Inv_E,106,Inv_D)*DG$9</f>
        <v>0</v>
      </c>
      <c r="DH117" s="48" t="n">
        <f aca="false">SUMIF(Inv_E,107,Inv_D)*DH$9</f>
        <v>0</v>
      </c>
      <c r="DI117" s="48" t="n">
        <f aca="false">SUMIF(Inv_E,108,Inv_D)*DI$9</f>
        <v>0</v>
      </c>
      <c r="DJ117" s="48" t="n">
        <f aca="false">SUMIF(Inv_E,109,Inv_D)*DJ$9</f>
        <v>0</v>
      </c>
      <c r="DK117" s="48" t="n">
        <f aca="false">SUMIF(Inv_E,110,Inv_D)*DK$9</f>
        <v>0</v>
      </c>
      <c r="DL117" s="48" t="n">
        <f aca="false">SUMIF(Inv_E,111,Inv_D)*DL$9</f>
        <v>0</v>
      </c>
      <c r="DM117" s="48" t="n">
        <f aca="false">SUMIF(Inv_E,112,Inv_D)*DM$9</f>
        <v>0</v>
      </c>
      <c r="DN117" s="48" t="n">
        <f aca="false">SUMIF(Inv_E,113,Inv_D)*DN$9</f>
        <v>0</v>
      </c>
      <c r="DO117" s="48" t="n">
        <f aca="false">SUMIF(Inv_E,114,Inv_D)*DO$9</f>
        <v>0</v>
      </c>
      <c r="DP117" s="48" t="n">
        <f aca="false">SUMIF(Inv_E,115,Inv_D)*DP$9</f>
        <v>0</v>
      </c>
      <c r="DQ117" s="48" t="n">
        <f aca="false">SUMIF(Inv_E,116,Inv_D)*DQ$9</f>
        <v>0</v>
      </c>
      <c r="DR117" s="48" t="n">
        <f aca="false">SUMIF(Inv_E,117,Inv_D)*DR$9</f>
        <v>0</v>
      </c>
      <c r="DS117" s="48" t="n">
        <f aca="false">SUMIF(Inv_E,118,Inv_D)*DS$9</f>
        <v>0</v>
      </c>
      <c r="DT117" s="48" t="n">
        <f aca="false">SUMIF(Inv_E,119,Inv_D)*DT$9</f>
        <v>0</v>
      </c>
      <c r="DU117" s="48" t="n">
        <f aca="false">SUMIF(Inv_E,120,Inv_D)*DU$9</f>
        <v>0</v>
      </c>
      <c r="DV117" s="48" t="n">
        <f aca="false">SUMIF(Inv_E,121,Inv_D)*DV$9</f>
        <v>0</v>
      </c>
      <c r="DW117" s="48" t="n">
        <f aca="false">SUMIF(Inv_E,122,Inv_D)*DW$9</f>
        <v>0</v>
      </c>
      <c r="DX117" s="48" t="n">
        <f aca="false">SUMIF(Inv_E,123,Inv_D)*DX$9</f>
        <v>0</v>
      </c>
      <c r="DY117" s="48" t="n">
        <f aca="false">SUMIF(Inv_E,124,Inv_D)*DY$9</f>
        <v>0</v>
      </c>
      <c r="DZ117" s="48" t="n">
        <f aca="false">SUMIF(Inv_E,125,Inv_D)*DZ$9</f>
        <v>0</v>
      </c>
      <c r="EA117" s="48" t="n">
        <f aca="false">SUMIF(Inv_E,126,Inv_D)*EA$9</f>
        <v>0</v>
      </c>
      <c r="EB117" s="48" t="n">
        <f aca="false">SUMIF(Inv_E,127,Inv_D)*EB$9</f>
        <v>0</v>
      </c>
      <c r="EC117" s="48" t="n">
        <f aca="false">SUMIF(Inv_E,128,Inv_D)*EC$9</f>
        <v>0</v>
      </c>
      <c r="ED117" s="48" t="n">
        <f aca="false">SUMIF(Inv_E,129,Inv_D)*ED$9</f>
        <v>0</v>
      </c>
      <c r="EE117" s="48" t="n">
        <f aca="false">SUMIF(Inv_E,130,Inv_D)*EE$9</f>
        <v>0</v>
      </c>
      <c r="EF117" s="48" t="n">
        <f aca="false">SUMIF(Inv_E,131,Inv_D)*EF$9</f>
        <v>0</v>
      </c>
      <c r="EG117" s="48" t="n">
        <f aca="false">SUMIF(Inv_E,132,Inv_D)*EG$9</f>
        <v>0</v>
      </c>
      <c r="EH117" s="48" t="n">
        <f aca="false">SUMIF(Inv_E,133,Inv_D)*EH$9</f>
        <v>0</v>
      </c>
      <c r="EI117" s="48" t="n">
        <f aca="false">SUMIF(Inv_E,134,Inv_D)*EI$9</f>
        <v>0</v>
      </c>
      <c r="EJ117" s="48" t="n">
        <f aca="false">SUMIF(Inv_E,135,Inv_D)*EJ$9</f>
        <v>0</v>
      </c>
      <c r="EK117" s="48" t="n">
        <f aca="false">SUMIF(Inv_E,136,Inv_D)*EK$9</f>
        <v>0</v>
      </c>
      <c r="EL117" s="48" t="n">
        <f aca="false">SUMIF(Inv_E,137,Inv_D)*EL$9</f>
        <v>0</v>
      </c>
      <c r="EM117" s="48" t="n">
        <f aca="false">SUMIF(Inv_E,138,Inv_D)*EM$9</f>
        <v>0</v>
      </c>
      <c r="EN117" s="48" t="n">
        <f aca="false">SUMIF(Inv_E,139,Inv_D)*EN$9</f>
        <v>0</v>
      </c>
      <c r="EO117" s="48" t="n">
        <f aca="false">SUMIF(Inv_E,140,Inv_D)*EO$9</f>
        <v>0</v>
      </c>
      <c r="EP117" s="48" t="n">
        <f aca="false">SUMIF(Inv_E,141,Inv_D)*EP$9</f>
        <v>0</v>
      </c>
      <c r="EQ117" s="48" t="n">
        <f aca="false">SUMIF(Inv_E,142,Inv_D)*EQ$9</f>
        <v>0</v>
      </c>
      <c r="ER117" s="48" t="n">
        <f aca="false">SUMIF(Inv_E,143,Inv_D)*ER$9</f>
        <v>0</v>
      </c>
      <c r="ES117" s="48" t="n">
        <f aca="false">SUMIF(Inv_E,144,Inv_D)*ES$9</f>
        <v>0</v>
      </c>
    </row>
    <row r="118" customFormat="false" ht="15" hidden="false" customHeight="false" outlineLevel="0" collapsed="false">
      <c r="A118" s="11" t="s">
        <v>1201</v>
      </c>
      <c r="B118" s="15" t="s">
        <v>1202</v>
      </c>
      <c r="C118" s="15" t="s">
        <v>508</v>
      </c>
      <c r="E118" s="54" t="n">
        <f aca="false">INDEX(F118:ES118,1,MIN(144,Fin))</f>
        <v>10000.0000000009</v>
      </c>
      <c r="F118" s="48" t="n">
        <f aca="false">0+F$117-F$103</f>
        <v>649078.072583333</v>
      </c>
      <c r="G118" s="48" t="n">
        <f aca="false">F$118+G$117-G$103</f>
        <v>643112.055166667</v>
      </c>
      <c r="H118" s="48" t="n">
        <f aca="false">G$118+H$117-H$103</f>
        <v>637146.03775</v>
      </c>
      <c r="I118" s="48" t="n">
        <f aca="false">H$118+I$117-I$103</f>
        <v>631180.020333334</v>
      </c>
      <c r="J118" s="48" t="n">
        <f aca="false">I$118+J$117-J$103</f>
        <v>625214.002916667</v>
      </c>
      <c r="K118" s="48" t="n">
        <f aca="false">J$118+K$117-K$103</f>
        <v>619247.9855</v>
      </c>
      <c r="L118" s="48" t="n">
        <f aca="false">K$118+L$117-L$103</f>
        <v>613281.968083334</v>
      </c>
      <c r="M118" s="48" t="n">
        <f aca="false">L$118+M$117-M$103</f>
        <v>607315.950666667</v>
      </c>
      <c r="N118" s="48" t="n">
        <f aca="false">M$118+N$117-N$103</f>
        <v>601349.933250001</v>
      </c>
      <c r="O118" s="48" t="n">
        <f aca="false">N$118+O$117-O$103</f>
        <v>595383.915833334</v>
      </c>
      <c r="P118" s="48" t="n">
        <f aca="false">O$118+P$117-P$103</f>
        <v>589417.898416667</v>
      </c>
      <c r="Q118" s="48" t="n">
        <f aca="false">P$118+Q$117-Q$103</f>
        <v>583451.881000001</v>
      </c>
      <c r="R118" s="48" t="n">
        <f aca="false">Q$118+R$117-R$103</f>
        <v>676652.530250001</v>
      </c>
      <c r="S118" s="48" t="n">
        <f aca="false">R$118+S$117-S$103</f>
        <v>669853.179500001</v>
      </c>
      <c r="T118" s="48" t="n">
        <f aca="false">S$118+T$117-T$103</f>
        <v>663053.828750001</v>
      </c>
      <c r="U118" s="48" t="n">
        <f aca="false">T$118+U$117-U$103</f>
        <v>656254.478000001</v>
      </c>
      <c r="V118" s="48" t="n">
        <f aca="false">U$118+V$117-V$103</f>
        <v>649455.127250001</v>
      </c>
      <c r="W118" s="48" t="n">
        <f aca="false">V$118+W$117-W$103</f>
        <v>642655.776500001</v>
      </c>
      <c r="X118" s="48" t="n">
        <f aca="false">W$118+X$117-X$103</f>
        <v>635856.425750001</v>
      </c>
      <c r="Y118" s="48" t="n">
        <f aca="false">X$118+Y$117-Y$103</f>
        <v>629057.075000001</v>
      </c>
      <c r="Z118" s="48" t="n">
        <f aca="false">Y$118+Z$117-Z$103</f>
        <v>622257.724250001</v>
      </c>
      <c r="AA118" s="48" t="n">
        <f aca="false">Z$118+AA$117-AA$103</f>
        <v>615458.373500001</v>
      </c>
      <c r="AB118" s="48" t="n">
        <f aca="false">AA$118+AB$117-AB$103</f>
        <v>608659.022750001</v>
      </c>
      <c r="AC118" s="48" t="n">
        <f aca="false">AB$118+AC$117-AC$103</f>
        <v>601859.672000001</v>
      </c>
      <c r="AD118" s="48" t="n">
        <f aca="false">AC$118+AD$117-AD$103</f>
        <v>595060.321250001</v>
      </c>
      <c r="AE118" s="48" t="n">
        <f aca="false">AD$118+AE$117-AE$103</f>
        <v>588260.970500001</v>
      </c>
      <c r="AF118" s="48" t="n">
        <f aca="false">AE$118+AF$117-AF$103</f>
        <v>581461.619750001</v>
      </c>
      <c r="AG118" s="48" t="n">
        <f aca="false">AF$118+AG$117-AG$103</f>
        <v>574662.269000001</v>
      </c>
      <c r="AH118" s="48" t="n">
        <f aca="false">AG$118+AH$117-AH$103</f>
        <v>567862.918250001</v>
      </c>
      <c r="AI118" s="48" t="n">
        <f aca="false">AH$118+AI$117-AI$103</f>
        <v>561063.567500001</v>
      </c>
      <c r="AJ118" s="48" t="n">
        <f aca="false">AI$118+AJ$117-AJ$103</f>
        <v>554264.216750001</v>
      </c>
      <c r="AK118" s="48" t="n">
        <f aca="false">AJ$118+AK$117-AK$103</f>
        <v>547464.866000001</v>
      </c>
      <c r="AL118" s="48" t="n">
        <f aca="false">AK$118+AL$117-AL$103</f>
        <v>540665.515250001</v>
      </c>
      <c r="AM118" s="48" t="n">
        <f aca="false">AL$118+AM$117-AM$103</f>
        <v>533866.164500001</v>
      </c>
      <c r="AN118" s="48" t="n">
        <f aca="false">AM$118+AN$117-AN$103</f>
        <v>527066.813750001</v>
      </c>
      <c r="AO118" s="48" t="n">
        <f aca="false">AN$118+AO$117-AO$103</f>
        <v>520267.463000001</v>
      </c>
      <c r="AP118" s="48" t="n">
        <f aca="false">AO$118+AP$117-AP$103</f>
        <v>513468.112250001</v>
      </c>
      <c r="AQ118" s="48" t="n">
        <f aca="false">AP$118+AQ$117-AQ$103</f>
        <v>506668.761500001</v>
      </c>
      <c r="AR118" s="48" t="n">
        <f aca="false">AQ$118+AR$117-AR$103</f>
        <v>499869.410750001</v>
      </c>
      <c r="AS118" s="48" t="n">
        <f aca="false">AR$118+AS$117-AS$103</f>
        <v>493070.060000001</v>
      </c>
      <c r="AT118" s="48" t="n">
        <f aca="false">AS$118+AT$117-AT$103</f>
        <v>486270.709250001</v>
      </c>
      <c r="AU118" s="48" t="n">
        <f aca="false">AT$118+AU$117-AU$103</f>
        <v>479471.358500001</v>
      </c>
      <c r="AV118" s="48" t="n">
        <f aca="false">AU$118+AV$117-AV$103</f>
        <v>472672.007750001</v>
      </c>
      <c r="AW118" s="48" t="n">
        <f aca="false">AV$118+AW$117-AW$103</f>
        <v>465872.657000001</v>
      </c>
      <c r="AX118" s="48" t="n">
        <f aca="false">AW$118+AX$117-AX$103</f>
        <v>459073.306250001</v>
      </c>
      <c r="AY118" s="48" t="n">
        <f aca="false">AX$118+AY$117-AY$103</f>
        <v>452273.955500001</v>
      </c>
      <c r="AZ118" s="48" t="n">
        <f aca="false">AY$118+AZ$117-AZ$103</f>
        <v>445474.604750001</v>
      </c>
      <c r="BA118" s="48" t="n">
        <f aca="false">AZ$118+BA$117-BA$103</f>
        <v>438675.254000001</v>
      </c>
      <c r="BB118" s="48" t="n">
        <f aca="false">BA$118+BB$117-BB$103</f>
        <v>431875.903250001</v>
      </c>
      <c r="BC118" s="48" t="n">
        <f aca="false">BB$118+BC$117-BC$103</f>
        <v>425076.552500001</v>
      </c>
      <c r="BD118" s="48" t="n">
        <f aca="false">BC$118+BD$117-BD$103</f>
        <v>418277.201750001</v>
      </c>
      <c r="BE118" s="48" t="n">
        <f aca="false">BD$118+BE$117-BE$103</f>
        <v>411477.851000001</v>
      </c>
      <c r="BF118" s="48" t="n">
        <f aca="false">BE$118+BF$117-BF$103</f>
        <v>404678.500250001</v>
      </c>
      <c r="BG118" s="48" t="n">
        <f aca="false">BF$118+BG$117-BG$103</f>
        <v>397879.149500001</v>
      </c>
      <c r="BH118" s="48" t="n">
        <f aca="false">BG$118+BH$117-BH$103</f>
        <v>391079.798750001</v>
      </c>
      <c r="BI118" s="48" t="n">
        <f aca="false">BH$118+BI$117-BI$103</f>
        <v>384280.448000001</v>
      </c>
      <c r="BJ118" s="48" t="n">
        <f aca="false">BI$118+BJ$117-BJ$103</f>
        <v>377481.097250001</v>
      </c>
      <c r="BK118" s="48" t="n">
        <f aca="false">BJ$118+BK$117-BK$103</f>
        <v>370681.746500001</v>
      </c>
      <c r="BL118" s="48" t="n">
        <f aca="false">BK$118+BL$117-BL$103</f>
        <v>363882.395750001</v>
      </c>
      <c r="BM118" s="48" t="n">
        <f aca="false">BL$118+BM$117-BM$103</f>
        <v>357083.045000001</v>
      </c>
      <c r="BN118" s="48" t="n">
        <f aca="false">BM$118+BN$117-BN$103</f>
        <v>351298.327583335</v>
      </c>
      <c r="BO118" s="48" t="n">
        <f aca="false">BN$118+BO$117-BO$103</f>
        <v>345513.610166668</v>
      </c>
      <c r="BP118" s="48" t="n">
        <f aca="false">BO$118+BP$117-BP$103</f>
        <v>339728.892750001</v>
      </c>
      <c r="BQ118" s="48" t="n">
        <f aca="false">BP$118+BQ$117-BQ$103</f>
        <v>333944.175333335</v>
      </c>
      <c r="BR118" s="48" t="n">
        <f aca="false">BQ$118+BR$117-BR$103</f>
        <v>328159.457916668</v>
      </c>
      <c r="BS118" s="48" t="n">
        <f aca="false">BR$118+BS$117-BS$103</f>
        <v>322374.740500001</v>
      </c>
      <c r="BT118" s="48" t="n">
        <f aca="false">BS$118+BT$117-BT$103</f>
        <v>316590.023083335</v>
      </c>
      <c r="BU118" s="48" t="n">
        <f aca="false">BT$118+BU$117-BU$103</f>
        <v>310805.305666668</v>
      </c>
      <c r="BV118" s="48" t="n">
        <f aca="false">BU$118+BV$117-BV$103</f>
        <v>305020.588250001</v>
      </c>
      <c r="BW118" s="48" t="n">
        <f aca="false">BV$118+BW$117-BW$103</f>
        <v>299235.870833335</v>
      </c>
      <c r="BX118" s="48" t="n">
        <f aca="false">BW$118+BX$117-BX$103</f>
        <v>293451.153416668</v>
      </c>
      <c r="BY118" s="48" t="n">
        <f aca="false">BX$118+BY$117-BY$103</f>
        <v>287666.436000001</v>
      </c>
      <c r="BZ118" s="48" t="n">
        <f aca="false">BY$118+BZ$117-BZ$103</f>
        <v>281881.718583335</v>
      </c>
      <c r="CA118" s="48" t="n">
        <f aca="false">BZ$118+CA$117-CA$103</f>
        <v>276097.001166668</v>
      </c>
      <c r="CB118" s="48" t="n">
        <f aca="false">CA$118+CB$117-CB$103</f>
        <v>270312.283750001</v>
      </c>
      <c r="CC118" s="48" t="n">
        <f aca="false">CB$118+CC$117-CC$103</f>
        <v>264527.566333335</v>
      </c>
      <c r="CD118" s="48" t="n">
        <f aca="false">CC$118+CD$117-CD$103</f>
        <v>258742.848916668</v>
      </c>
      <c r="CE118" s="48" t="n">
        <f aca="false">CD$118+CE$117-CE$103</f>
        <v>252958.131500001</v>
      </c>
      <c r="CF118" s="48" t="n">
        <f aca="false">CE$118+CF$117-CF$103</f>
        <v>247173.414083335</v>
      </c>
      <c r="CG118" s="48" t="n">
        <f aca="false">CF$118+CG$117-CG$103</f>
        <v>241388.696666668</v>
      </c>
      <c r="CH118" s="48" t="n">
        <f aca="false">CG$118+CH$117-CH$103</f>
        <v>235603.979250001</v>
      </c>
      <c r="CI118" s="48" t="n">
        <f aca="false">CH$118+CI$117-CI$103</f>
        <v>229819.261833334</v>
      </c>
      <c r="CJ118" s="48" t="n">
        <f aca="false">CI$118+CJ$117-CJ$103</f>
        <v>224034.544416668</v>
      </c>
      <c r="CK118" s="48" t="n">
        <f aca="false">CJ$118+CK$117-CK$103</f>
        <v>218249.827000001</v>
      </c>
      <c r="CL118" s="48" t="n">
        <f aca="false">CK$118+CL$117-CL$103</f>
        <v>212465.109583334</v>
      </c>
      <c r="CM118" s="48" t="n">
        <f aca="false">CL$118+CM$117-CM$103</f>
        <v>206680.392166668</v>
      </c>
      <c r="CN118" s="48" t="n">
        <f aca="false">CM$118+CN$117-CN$103</f>
        <v>200895.674750001</v>
      </c>
      <c r="CO118" s="48" t="n">
        <f aca="false">CN$118+CO$117-CO$103</f>
        <v>195110.957333334</v>
      </c>
      <c r="CP118" s="48" t="n">
        <f aca="false">CO$118+CP$117-CP$103</f>
        <v>189326.239916668</v>
      </c>
      <c r="CQ118" s="48" t="n">
        <f aca="false">CP$118+CQ$117-CQ$103</f>
        <v>183541.522500001</v>
      </c>
      <c r="CR118" s="48" t="n">
        <f aca="false">CQ$118+CR$117-CR$103</f>
        <v>177756.805083334</v>
      </c>
      <c r="CS118" s="48" t="n">
        <f aca="false">CR$118+CS$117-CS$103</f>
        <v>171972.087666668</v>
      </c>
      <c r="CT118" s="48" t="n">
        <f aca="false">CS$118+CT$117-CT$103</f>
        <v>166187.370250001</v>
      </c>
      <c r="CU118" s="48" t="n">
        <f aca="false">CT$118+CU$117-CU$103</f>
        <v>160402.652833334</v>
      </c>
      <c r="CV118" s="48" t="n">
        <f aca="false">CU$118+CV$117-CV$103</f>
        <v>154617.935416668</v>
      </c>
      <c r="CW118" s="48" t="n">
        <f aca="false">CV$118+CW$117-CW$103</f>
        <v>148833.218000001</v>
      </c>
      <c r="CX118" s="48" t="n">
        <f aca="false">CW$118+CX$117-CX$103</f>
        <v>143048.500583334</v>
      </c>
      <c r="CY118" s="48" t="n">
        <f aca="false">CX$118+CY$117-CY$103</f>
        <v>137263.783166668</v>
      </c>
      <c r="CZ118" s="48" t="n">
        <f aca="false">CY$118+CZ$117-CZ$103</f>
        <v>131479.065750001</v>
      </c>
      <c r="DA118" s="48" t="n">
        <f aca="false">CZ$118+DA$117-DA$103</f>
        <v>125694.348333334</v>
      </c>
      <c r="DB118" s="48" t="n">
        <f aca="false">DA$118+DB$117-DB$103</f>
        <v>119909.630916668</v>
      </c>
      <c r="DC118" s="48" t="n">
        <f aca="false">DB$118+DC$117-DC$103</f>
        <v>114124.913500001</v>
      </c>
      <c r="DD118" s="48" t="n">
        <f aca="false">DC$118+DD$117-DD$103</f>
        <v>108340.196083334</v>
      </c>
      <c r="DE118" s="48" t="n">
        <f aca="false">DD$118+DE$117-DE$103</f>
        <v>102555.478666668</v>
      </c>
      <c r="DF118" s="48" t="n">
        <f aca="false">DE$118+DF$117-DF$103</f>
        <v>96770.7612500009</v>
      </c>
      <c r="DG118" s="48" t="n">
        <f aca="false">DF$118+DG$117-DG$103</f>
        <v>90986.0438333342</v>
      </c>
      <c r="DH118" s="48" t="n">
        <f aca="false">DG$118+DH$117-DH$103</f>
        <v>85201.3264166676</v>
      </c>
      <c r="DI118" s="48" t="n">
        <f aca="false">DH$118+DI$117-DI$103</f>
        <v>79416.6090000009</v>
      </c>
      <c r="DJ118" s="48" t="n">
        <f aca="false">DI$118+DJ$117-DJ$103</f>
        <v>73631.8915833342</v>
      </c>
      <c r="DK118" s="48" t="n">
        <f aca="false">DJ$118+DK$117-DK$103</f>
        <v>67847.1741666676</v>
      </c>
      <c r="DL118" s="48" t="n">
        <f aca="false">DK$118+DL$117-DL$103</f>
        <v>62062.4567500009</v>
      </c>
      <c r="DM118" s="48" t="n">
        <f aca="false">DL$118+DM$117-DM$103</f>
        <v>56277.7393333342</v>
      </c>
      <c r="DN118" s="48" t="n">
        <f aca="false">DM$118+DN$117-DN$103</f>
        <v>50493.0219166676</v>
      </c>
      <c r="DO118" s="48" t="n">
        <f aca="false">DN$118+DO$117-DO$103</f>
        <v>44708.3045000009</v>
      </c>
      <c r="DP118" s="48" t="n">
        <f aca="false">DO$118+DP$117-DP$103</f>
        <v>38923.5870833342</v>
      </c>
      <c r="DQ118" s="48" t="n">
        <f aca="false">DP$118+DQ$117-DQ$103</f>
        <v>33138.8696666676</v>
      </c>
      <c r="DR118" s="48" t="n">
        <f aca="false">DQ$118+DR$117-DR$103</f>
        <v>27354.1522500009</v>
      </c>
      <c r="DS118" s="48" t="n">
        <f aca="false">DR$118+DS$117-DS$103</f>
        <v>21569.4348333342</v>
      </c>
      <c r="DT118" s="48" t="n">
        <f aca="false">DS$118+DT$117-DT$103</f>
        <v>15784.7174166676</v>
      </c>
      <c r="DU118" s="48" t="n">
        <f aca="false">DT$118+DU$117-DU$103</f>
        <v>10000.0000000009</v>
      </c>
      <c r="DV118" s="48" t="n">
        <f aca="false">DU$118+DV$117-DV$103</f>
        <v>10000.0000000009</v>
      </c>
      <c r="DW118" s="48" t="n">
        <f aca="false">DV$118+DW$117-DW$103</f>
        <v>10000.0000000009</v>
      </c>
      <c r="DX118" s="48" t="n">
        <f aca="false">DW$118+DX$117-DX$103</f>
        <v>10000.0000000009</v>
      </c>
      <c r="DY118" s="48" t="n">
        <f aca="false">DX$118+DY$117-DY$103</f>
        <v>10000.0000000009</v>
      </c>
      <c r="DZ118" s="48" t="n">
        <f aca="false">DY$118+DZ$117-DZ$103</f>
        <v>10000.0000000009</v>
      </c>
      <c r="EA118" s="48" t="n">
        <f aca="false">DZ$118+EA$117-EA$103</f>
        <v>10000.0000000009</v>
      </c>
      <c r="EB118" s="48" t="n">
        <f aca="false">EA$118+EB$117-EB$103</f>
        <v>10000.0000000009</v>
      </c>
      <c r="EC118" s="48" t="n">
        <f aca="false">EB$118+EC$117-EC$103</f>
        <v>10000.0000000009</v>
      </c>
      <c r="ED118" s="48" t="n">
        <f aca="false">EC$118+ED$117-ED$103</f>
        <v>10000.0000000009</v>
      </c>
      <c r="EE118" s="48" t="n">
        <f aca="false">ED$118+EE$117-EE$103</f>
        <v>10000.0000000009</v>
      </c>
      <c r="EF118" s="48" t="n">
        <f aca="false">EE$118+EF$117-EF$103</f>
        <v>10000.0000000009</v>
      </c>
      <c r="EG118" s="48" t="n">
        <f aca="false">EF$118+EG$117-EG$103</f>
        <v>10000.0000000009</v>
      </c>
      <c r="EH118" s="48" t="n">
        <f aca="false">EG$118+EH$117-EH$103</f>
        <v>10000.0000000009</v>
      </c>
      <c r="EI118" s="48" t="n">
        <f aca="false">EH$118+EI$117-EI$103</f>
        <v>10000.0000000009</v>
      </c>
      <c r="EJ118" s="48" t="n">
        <f aca="false">EI$118+EJ$117-EJ$103</f>
        <v>10000.0000000009</v>
      </c>
      <c r="EK118" s="48" t="n">
        <f aca="false">EJ$118+EK$117-EK$103</f>
        <v>10000.0000000009</v>
      </c>
      <c r="EL118" s="48" t="n">
        <f aca="false">EK$118+EL$117-EL$103</f>
        <v>10000.0000000009</v>
      </c>
      <c r="EM118" s="48" t="n">
        <f aca="false">EL$118+EM$117-EM$103</f>
        <v>10000.0000000009</v>
      </c>
      <c r="EN118" s="48" t="n">
        <f aca="false">EM$118+EN$117-EN$103</f>
        <v>10000.0000000009</v>
      </c>
      <c r="EO118" s="48" t="n">
        <f aca="false">EN$118+EO$117-EO$103</f>
        <v>10000.0000000009</v>
      </c>
      <c r="EP118" s="48" t="n">
        <f aca="false">EO$118+EP$117-EP$103</f>
        <v>10000.0000000009</v>
      </c>
      <c r="EQ118" s="48" t="n">
        <f aca="false">EP$118+EQ$117-EQ$103</f>
        <v>10000.0000000009</v>
      </c>
      <c r="ER118" s="48" t="n">
        <f aca="false">EQ$118+ER$117-ER$103</f>
        <v>10000.0000000009</v>
      </c>
      <c r="ES118" s="48" t="n">
        <f aca="false">ER$118+ES$117-ES$103</f>
        <v>10000.0000000009</v>
      </c>
    </row>
    <row r="119" customFormat="false" ht="15" hidden="false" customHeight="false" outlineLevel="0" collapsed="false">
      <c r="A119" s="11" t="s">
        <v>1203</v>
      </c>
      <c r="B119" s="15" t="s">
        <v>1204</v>
      </c>
      <c r="C119" s="15" t="s">
        <v>508</v>
      </c>
      <c r="E119" s="54" t="n">
        <f aca="false">SUM(F119:ES119)</f>
        <v>4509762.51732228</v>
      </c>
      <c r="F119" s="48" t="n">
        <f aca="false">IF(1=Fin,F$113*P_RealCT+F$118*P_RealAF,0)</f>
        <v>0</v>
      </c>
      <c r="G119" s="48" t="n">
        <f aca="false">IF(2=Fin,G$113*P_RealCT+G$118*P_RealAF,0)</f>
        <v>0</v>
      </c>
      <c r="H119" s="48" t="n">
        <f aca="false">IF(3=Fin,H$113*P_RealCT+H$118*P_RealAF,0)</f>
        <v>0</v>
      </c>
      <c r="I119" s="48" t="n">
        <f aca="false">IF(4=Fin,I$113*P_RealCT+I$118*P_RealAF,0)</f>
        <v>0</v>
      </c>
      <c r="J119" s="48" t="n">
        <f aca="false">IF(5=Fin,J$113*P_RealCT+J$118*P_RealAF,0)</f>
        <v>0</v>
      </c>
      <c r="K119" s="48" t="n">
        <f aca="false">IF(6=Fin,K$113*P_RealCT+K$118*P_RealAF,0)</f>
        <v>0</v>
      </c>
      <c r="L119" s="48" t="n">
        <f aca="false">IF(7=Fin,L$113*P_RealCT+L$118*P_RealAF,0)</f>
        <v>0</v>
      </c>
      <c r="M119" s="48" t="n">
        <f aca="false">IF(8=Fin,M$113*P_RealCT+M$118*P_RealAF,0)</f>
        <v>0</v>
      </c>
      <c r="N119" s="48" t="n">
        <f aca="false">IF(9=Fin,N$113*P_RealCT+N$118*P_RealAF,0)</f>
        <v>0</v>
      </c>
      <c r="O119" s="48" t="n">
        <f aca="false">IF(10=Fin,O$113*P_RealCT+O$118*P_RealAF,0)</f>
        <v>0</v>
      </c>
      <c r="P119" s="48" t="n">
        <f aca="false">IF(11=Fin,P$113*P_RealCT+P$118*P_RealAF,0)</f>
        <v>0</v>
      </c>
      <c r="Q119" s="48" t="n">
        <f aca="false">IF(12=Fin,Q$113*P_RealCT+Q$118*P_RealAF,0)</f>
        <v>0</v>
      </c>
      <c r="R119" s="48" t="n">
        <f aca="false">IF(13=Fin,R$113*P_RealCT+R$118*P_RealAF,0)</f>
        <v>0</v>
      </c>
      <c r="S119" s="48" t="n">
        <f aca="false">IF(14=Fin,S$113*P_RealCT+S$118*P_RealAF,0)</f>
        <v>0</v>
      </c>
      <c r="T119" s="48" t="n">
        <f aca="false">IF(15=Fin,T$113*P_RealCT+T$118*P_RealAF,0)</f>
        <v>0</v>
      </c>
      <c r="U119" s="48" t="n">
        <f aca="false">IF(16=Fin,U$113*P_RealCT+U$118*P_RealAF,0)</f>
        <v>0</v>
      </c>
      <c r="V119" s="48" t="n">
        <f aca="false">IF(17=Fin,V$113*P_RealCT+V$118*P_RealAF,0)</f>
        <v>0</v>
      </c>
      <c r="W119" s="48" t="n">
        <f aca="false">IF(18=Fin,W$113*P_RealCT+W$118*P_RealAF,0)</f>
        <v>0</v>
      </c>
      <c r="X119" s="48" t="n">
        <f aca="false">IF(19=Fin,X$113*P_RealCT+X$118*P_RealAF,0)</f>
        <v>0</v>
      </c>
      <c r="Y119" s="48" t="n">
        <f aca="false">IF(20=Fin,Y$113*P_RealCT+Y$118*P_RealAF,0)</f>
        <v>0</v>
      </c>
      <c r="Z119" s="48" t="n">
        <f aca="false">IF(21=Fin,Z$113*P_RealCT+Z$118*P_RealAF,0)</f>
        <v>0</v>
      </c>
      <c r="AA119" s="48" t="n">
        <f aca="false">IF(22=Fin,AA$113*P_RealCT+AA$118*P_RealAF,0)</f>
        <v>0</v>
      </c>
      <c r="AB119" s="48" t="n">
        <f aca="false">IF(23=Fin,AB$113*P_RealCT+AB$118*P_RealAF,0)</f>
        <v>0</v>
      </c>
      <c r="AC119" s="48" t="n">
        <f aca="false">IF(24=Fin,AC$113*P_RealCT+AC$118*P_RealAF,0)</f>
        <v>0</v>
      </c>
      <c r="AD119" s="48" t="n">
        <f aca="false">IF(25=Fin,AD$113*P_RealCT+AD$118*P_RealAF,0)</f>
        <v>0</v>
      </c>
      <c r="AE119" s="48" t="n">
        <f aca="false">IF(26=Fin,AE$113*P_RealCT+AE$118*P_RealAF,0)</f>
        <v>0</v>
      </c>
      <c r="AF119" s="48" t="n">
        <f aca="false">IF(27=Fin,AF$113*P_RealCT+AF$118*P_RealAF,0)</f>
        <v>0</v>
      </c>
      <c r="AG119" s="48" t="n">
        <f aca="false">IF(28=Fin,AG$113*P_RealCT+AG$118*P_RealAF,0)</f>
        <v>0</v>
      </c>
      <c r="AH119" s="48" t="n">
        <f aca="false">IF(29=Fin,AH$113*P_RealCT+AH$118*P_RealAF,0)</f>
        <v>0</v>
      </c>
      <c r="AI119" s="48" t="n">
        <f aca="false">IF(30=Fin,AI$113*P_RealCT+AI$118*P_RealAF,0)</f>
        <v>0</v>
      </c>
      <c r="AJ119" s="48" t="n">
        <f aca="false">IF(31=Fin,AJ$113*P_RealCT+AJ$118*P_RealAF,0)</f>
        <v>0</v>
      </c>
      <c r="AK119" s="48" t="n">
        <f aca="false">IF(32=Fin,AK$113*P_RealCT+AK$118*P_RealAF,0)</f>
        <v>0</v>
      </c>
      <c r="AL119" s="48" t="n">
        <f aca="false">IF(33=Fin,AL$113*P_RealCT+AL$118*P_RealAF,0)</f>
        <v>0</v>
      </c>
      <c r="AM119" s="48" t="n">
        <f aca="false">IF(34=Fin,AM$113*P_RealCT+AM$118*P_RealAF,0)</f>
        <v>0</v>
      </c>
      <c r="AN119" s="48" t="n">
        <f aca="false">IF(35=Fin,AN$113*P_RealCT+AN$118*P_RealAF,0)</f>
        <v>0</v>
      </c>
      <c r="AO119" s="48" t="n">
        <f aca="false">IF(36=Fin,AO$113*P_RealCT+AO$118*P_RealAF,0)</f>
        <v>0</v>
      </c>
      <c r="AP119" s="48" t="n">
        <f aca="false">IF(37=Fin,AP$113*P_RealCT+AP$118*P_RealAF,0)</f>
        <v>0</v>
      </c>
      <c r="AQ119" s="48" t="n">
        <f aca="false">IF(38=Fin,AQ$113*P_RealCT+AQ$118*P_RealAF,0)</f>
        <v>0</v>
      </c>
      <c r="AR119" s="48" t="n">
        <f aca="false">IF(39=Fin,AR$113*P_RealCT+AR$118*P_RealAF,0)</f>
        <v>0</v>
      </c>
      <c r="AS119" s="48" t="n">
        <f aca="false">IF(40=Fin,AS$113*P_RealCT+AS$118*P_RealAF,0)</f>
        <v>0</v>
      </c>
      <c r="AT119" s="48" t="n">
        <f aca="false">IF(41=Fin,AT$113*P_RealCT+AT$118*P_RealAF,0)</f>
        <v>0</v>
      </c>
      <c r="AU119" s="48" t="n">
        <f aca="false">IF(42=Fin,AU$113*P_RealCT+AU$118*P_RealAF,0)</f>
        <v>0</v>
      </c>
      <c r="AV119" s="48" t="n">
        <f aca="false">IF(43=Fin,AV$113*P_RealCT+AV$118*P_RealAF,0)</f>
        <v>0</v>
      </c>
      <c r="AW119" s="48" t="n">
        <f aca="false">IF(44=Fin,AW$113*P_RealCT+AW$118*P_RealAF,0)</f>
        <v>0</v>
      </c>
      <c r="AX119" s="48" t="n">
        <f aca="false">IF(45=Fin,AX$113*P_RealCT+AX$118*P_RealAF,0)</f>
        <v>0</v>
      </c>
      <c r="AY119" s="48" t="n">
        <f aca="false">IF(46=Fin,AY$113*P_RealCT+AY$118*P_RealAF,0)</f>
        <v>0</v>
      </c>
      <c r="AZ119" s="48" t="n">
        <f aca="false">IF(47=Fin,AZ$113*P_RealCT+AZ$118*P_RealAF,0)</f>
        <v>0</v>
      </c>
      <c r="BA119" s="48" t="n">
        <f aca="false">IF(48=Fin,BA$113*P_RealCT+BA$118*P_RealAF,0)</f>
        <v>0</v>
      </c>
      <c r="BB119" s="48" t="n">
        <f aca="false">IF(49=Fin,BB$113*P_RealCT+BB$118*P_RealAF,0)</f>
        <v>0</v>
      </c>
      <c r="BC119" s="48" t="n">
        <f aca="false">IF(50=Fin,BC$113*P_RealCT+BC$118*P_RealAF,0)</f>
        <v>0</v>
      </c>
      <c r="BD119" s="48" t="n">
        <f aca="false">IF(51=Fin,BD$113*P_RealCT+BD$118*P_RealAF,0)</f>
        <v>0</v>
      </c>
      <c r="BE119" s="48" t="n">
        <f aca="false">IF(52=Fin,BE$113*P_RealCT+BE$118*P_RealAF,0)</f>
        <v>0</v>
      </c>
      <c r="BF119" s="48" t="n">
        <f aca="false">IF(53=Fin,BF$113*P_RealCT+BF$118*P_RealAF,0)</f>
        <v>0</v>
      </c>
      <c r="BG119" s="48" t="n">
        <f aca="false">IF(54=Fin,BG$113*P_RealCT+BG$118*P_RealAF,0)</f>
        <v>0</v>
      </c>
      <c r="BH119" s="48" t="n">
        <f aca="false">IF(55=Fin,BH$113*P_RealCT+BH$118*P_RealAF,0)</f>
        <v>0</v>
      </c>
      <c r="BI119" s="48" t="n">
        <f aca="false">IF(56=Fin,BI$113*P_RealCT+BI$118*P_RealAF,0)</f>
        <v>0</v>
      </c>
      <c r="BJ119" s="48" t="n">
        <f aca="false">IF(57=Fin,BJ$113*P_RealCT+BJ$118*P_RealAF,0)</f>
        <v>0</v>
      </c>
      <c r="BK119" s="48" t="n">
        <f aca="false">IF(58=Fin,BK$113*P_RealCT+BK$118*P_RealAF,0)</f>
        <v>0</v>
      </c>
      <c r="BL119" s="48" t="n">
        <f aca="false">IF(59=Fin,BL$113*P_RealCT+BL$118*P_RealAF,0)</f>
        <v>0</v>
      </c>
      <c r="BM119" s="48" t="n">
        <f aca="false">IF(60=Fin,BM$113*P_RealCT+BM$118*P_RealAF,0)</f>
        <v>0</v>
      </c>
      <c r="BN119" s="48" t="n">
        <f aca="false">IF(61=Fin,BN$113*P_RealCT+BN$118*P_RealAF,0)</f>
        <v>0</v>
      </c>
      <c r="BO119" s="48" t="n">
        <f aca="false">IF(62=Fin,BO$113*P_RealCT+BO$118*P_RealAF,0)</f>
        <v>0</v>
      </c>
      <c r="BP119" s="48" t="n">
        <f aca="false">IF(63=Fin,BP$113*P_RealCT+BP$118*P_RealAF,0)</f>
        <v>0</v>
      </c>
      <c r="BQ119" s="48" t="n">
        <f aca="false">IF(64=Fin,BQ$113*P_RealCT+BQ$118*P_RealAF,0)</f>
        <v>0</v>
      </c>
      <c r="BR119" s="48" t="n">
        <f aca="false">IF(65=Fin,BR$113*P_RealCT+BR$118*P_RealAF,0)</f>
        <v>0</v>
      </c>
      <c r="BS119" s="48" t="n">
        <f aca="false">IF(66=Fin,BS$113*P_RealCT+BS$118*P_RealAF,0)</f>
        <v>0</v>
      </c>
      <c r="BT119" s="48" t="n">
        <f aca="false">IF(67=Fin,BT$113*P_RealCT+BT$118*P_RealAF,0)</f>
        <v>0</v>
      </c>
      <c r="BU119" s="48" t="n">
        <f aca="false">IF(68=Fin,BU$113*P_RealCT+BU$118*P_RealAF,0)</f>
        <v>0</v>
      </c>
      <c r="BV119" s="48" t="n">
        <f aca="false">IF(69=Fin,BV$113*P_RealCT+BV$118*P_RealAF,0)</f>
        <v>0</v>
      </c>
      <c r="BW119" s="48" t="n">
        <f aca="false">IF(70=Fin,BW$113*P_RealCT+BW$118*P_RealAF,0)</f>
        <v>0</v>
      </c>
      <c r="BX119" s="48" t="n">
        <f aca="false">IF(71=Fin,BX$113*P_RealCT+BX$118*P_RealAF,0)</f>
        <v>0</v>
      </c>
      <c r="BY119" s="48" t="n">
        <f aca="false">IF(72=Fin,BY$113*P_RealCT+BY$118*P_RealAF,0)</f>
        <v>0</v>
      </c>
      <c r="BZ119" s="48" t="n">
        <f aca="false">IF(73=Fin,BZ$113*P_RealCT+BZ$118*P_RealAF,0)</f>
        <v>0</v>
      </c>
      <c r="CA119" s="48" t="n">
        <f aca="false">IF(74=Fin,CA$113*P_RealCT+CA$118*P_RealAF,0)</f>
        <v>0</v>
      </c>
      <c r="CB119" s="48" t="n">
        <f aca="false">IF(75=Fin,CB$113*P_RealCT+CB$118*P_RealAF,0)</f>
        <v>0</v>
      </c>
      <c r="CC119" s="48" t="n">
        <f aca="false">IF(76=Fin,CC$113*P_RealCT+CC$118*P_RealAF,0)</f>
        <v>0</v>
      </c>
      <c r="CD119" s="48" t="n">
        <f aca="false">IF(77=Fin,CD$113*P_RealCT+CD$118*P_RealAF,0)</f>
        <v>0</v>
      </c>
      <c r="CE119" s="48" t="n">
        <f aca="false">IF(78=Fin,CE$113*P_RealCT+CE$118*P_RealAF,0)</f>
        <v>0</v>
      </c>
      <c r="CF119" s="48" t="n">
        <f aca="false">IF(79=Fin,CF$113*P_RealCT+CF$118*P_RealAF,0)</f>
        <v>0</v>
      </c>
      <c r="CG119" s="48" t="n">
        <f aca="false">IF(80=Fin,CG$113*P_RealCT+CG$118*P_RealAF,0)</f>
        <v>0</v>
      </c>
      <c r="CH119" s="48" t="n">
        <f aca="false">IF(81=Fin,CH$113*P_RealCT+CH$118*P_RealAF,0)</f>
        <v>0</v>
      </c>
      <c r="CI119" s="48" t="n">
        <f aca="false">IF(82=Fin,CI$113*P_RealCT+CI$118*P_RealAF,0)</f>
        <v>0</v>
      </c>
      <c r="CJ119" s="48" t="n">
        <f aca="false">IF(83=Fin,CJ$113*P_RealCT+CJ$118*P_RealAF,0)</f>
        <v>0</v>
      </c>
      <c r="CK119" s="48" t="n">
        <f aca="false">IF(84=Fin,CK$113*P_RealCT+CK$118*P_RealAF,0)</f>
        <v>0</v>
      </c>
      <c r="CL119" s="48" t="n">
        <f aca="false">IF(85=Fin,CL$113*P_RealCT+CL$118*P_RealAF,0)</f>
        <v>0</v>
      </c>
      <c r="CM119" s="48" t="n">
        <f aca="false">IF(86=Fin,CM$113*P_RealCT+CM$118*P_RealAF,0)</f>
        <v>0</v>
      </c>
      <c r="CN119" s="48" t="n">
        <f aca="false">IF(87=Fin,CN$113*P_RealCT+CN$118*P_RealAF,0)</f>
        <v>0</v>
      </c>
      <c r="CO119" s="48" t="n">
        <f aca="false">IF(88=Fin,CO$113*P_RealCT+CO$118*P_RealAF,0)</f>
        <v>0</v>
      </c>
      <c r="CP119" s="48" t="n">
        <f aca="false">IF(89=Fin,CP$113*P_RealCT+CP$118*P_RealAF,0)</f>
        <v>0</v>
      </c>
      <c r="CQ119" s="48" t="n">
        <f aca="false">IF(90=Fin,CQ$113*P_RealCT+CQ$118*P_RealAF,0)</f>
        <v>0</v>
      </c>
      <c r="CR119" s="48" t="n">
        <f aca="false">IF(91=Fin,CR$113*P_RealCT+CR$118*P_RealAF,0)</f>
        <v>0</v>
      </c>
      <c r="CS119" s="48" t="n">
        <f aca="false">IF(92=Fin,CS$113*P_RealCT+CS$118*P_RealAF,0)</f>
        <v>0</v>
      </c>
      <c r="CT119" s="48" t="n">
        <f aca="false">IF(93=Fin,CT$113*P_RealCT+CT$118*P_RealAF,0)</f>
        <v>0</v>
      </c>
      <c r="CU119" s="48" t="n">
        <f aca="false">IF(94=Fin,CU$113*P_RealCT+CU$118*P_RealAF,0)</f>
        <v>0</v>
      </c>
      <c r="CV119" s="48" t="n">
        <f aca="false">IF(95=Fin,CV$113*P_RealCT+CV$118*P_RealAF,0)</f>
        <v>0</v>
      </c>
      <c r="CW119" s="48" t="n">
        <f aca="false">IF(96=Fin,CW$113*P_RealCT+CW$118*P_RealAF,0)</f>
        <v>0</v>
      </c>
      <c r="CX119" s="48" t="n">
        <f aca="false">IF(97=Fin,CX$113*P_RealCT+CX$118*P_RealAF,0)</f>
        <v>0</v>
      </c>
      <c r="CY119" s="48" t="n">
        <f aca="false">IF(98=Fin,CY$113*P_RealCT+CY$118*P_RealAF,0)</f>
        <v>0</v>
      </c>
      <c r="CZ119" s="48" t="n">
        <f aca="false">IF(99=Fin,CZ$113*P_RealCT+CZ$118*P_RealAF,0)</f>
        <v>0</v>
      </c>
      <c r="DA119" s="48" t="n">
        <f aca="false">IF(100=Fin,DA$113*P_RealCT+DA$118*P_RealAF,0)</f>
        <v>0</v>
      </c>
      <c r="DB119" s="48" t="n">
        <f aca="false">IF(101=Fin,DB$113*P_RealCT+DB$118*P_RealAF,0)</f>
        <v>0</v>
      </c>
      <c r="DC119" s="48" t="n">
        <f aca="false">IF(102=Fin,DC$113*P_RealCT+DC$118*P_RealAF,0)</f>
        <v>0</v>
      </c>
      <c r="DD119" s="48" t="n">
        <f aca="false">IF(103=Fin,DD$113*P_RealCT+DD$118*P_RealAF,0)</f>
        <v>0</v>
      </c>
      <c r="DE119" s="48" t="n">
        <f aca="false">IF(104=Fin,DE$113*P_RealCT+DE$118*P_RealAF,0)</f>
        <v>0</v>
      </c>
      <c r="DF119" s="48" t="n">
        <f aca="false">IF(105=Fin,DF$113*P_RealCT+DF$118*P_RealAF,0)</f>
        <v>0</v>
      </c>
      <c r="DG119" s="48" t="n">
        <f aca="false">IF(106=Fin,DG$113*P_RealCT+DG$118*P_RealAF,0)</f>
        <v>0</v>
      </c>
      <c r="DH119" s="48" t="n">
        <f aca="false">IF(107=Fin,DH$113*P_RealCT+DH$118*P_RealAF,0)</f>
        <v>0</v>
      </c>
      <c r="DI119" s="48" t="n">
        <f aca="false">IF(108=Fin,DI$113*P_RealCT+DI$118*P_RealAF,0)</f>
        <v>0</v>
      </c>
      <c r="DJ119" s="48" t="n">
        <f aca="false">IF(109=Fin,DJ$113*P_RealCT+DJ$118*P_RealAF,0)</f>
        <v>0</v>
      </c>
      <c r="DK119" s="48" t="n">
        <f aca="false">IF(110=Fin,DK$113*P_RealCT+DK$118*P_RealAF,0)</f>
        <v>0</v>
      </c>
      <c r="DL119" s="48" t="n">
        <f aca="false">IF(111=Fin,DL$113*P_RealCT+DL$118*P_RealAF,0)</f>
        <v>0</v>
      </c>
      <c r="DM119" s="48" t="n">
        <f aca="false">IF(112=Fin,DM$113*P_RealCT+DM$118*P_RealAF,0)</f>
        <v>0</v>
      </c>
      <c r="DN119" s="48" t="n">
        <f aca="false">IF(113=Fin,DN$113*P_RealCT+DN$118*P_RealAF,0)</f>
        <v>0</v>
      </c>
      <c r="DO119" s="48" t="n">
        <f aca="false">IF(114=Fin,DO$113*P_RealCT+DO$118*P_RealAF,0)</f>
        <v>0</v>
      </c>
      <c r="DP119" s="48" t="n">
        <f aca="false">IF(115=Fin,DP$113*P_RealCT+DP$118*P_RealAF,0)</f>
        <v>0</v>
      </c>
      <c r="DQ119" s="48" t="n">
        <f aca="false">IF(116=Fin,DQ$113*P_RealCT+DQ$118*P_RealAF,0)</f>
        <v>0</v>
      </c>
      <c r="DR119" s="48" t="n">
        <f aca="false">IF(117=Fin,DR$113*P_RealCT+DR$118*P_RealAF,0)</f>
        <v>0</v>
      </c>
      <c r="DS119" s="48" t="n">
        <f aca="false">IF(118=Fin,DS$113*P_RealCT+DS$118*P_RealAF,0)</f>
        <v>0</v>
      </c>
      <c r="DT119" s="48" t="n">
        <f aca="false">IF(119=Fin,DT$113*P_RealCT+DT$118*P_RealAF,0)</f>
        <v>0</v>
      </c>
      <c r="DU119" s="48" t="n">
        <f aca="false">IF(120=Fin,DU$113*P_RealCT+DU$118*P_RealAF,0)</f>
        <v>4509762.51732228</v>
      </c>
      <c r="DV119" s="48" t="n">
        <f aca="false">IF(121=Fin,DV$113*P_RealCT+DV$118*P_RealAF,0)</f>
        <v>0</v>
      </c>
      <c r="DW119" s="48" t="n">
        <f aca="false">IF(122=Fin,DW$113*P_RealCT+DW$118*P_RealAF,0)</f>
        <v>0</v>
      </c>
      <c r="DX119" s="48" t="n">
        <f aca="false">IF(123=Fin,DX$113*P_RealCT+DX$118*P_RealAF,0)</f>
        <v>0</v>
      </c>
      <c r="DY119" s="48" t="n">
        <f aca="false">IF(124=Fin,DY$113*P_RealCT+DY$118*P_RealAF,0)</f>
        <v>0</v>
      </c>
      <c r="DZ119" s="48" t="n">
        <f aca="false">IF(125=Fin,DZ$113*P_RealCT+DZ$118*P_RealAF,0)</f>
        <v>0</v>
      </c>
      <c r="EA119" s="48" t="n">
        <f aca="false">IF(126=Fin,EA$113*P_RealCT+EA$118*P_RealAF,0)</f>
        <v>0</v>
      </c>
      <c r="EB119" s="48" t="n">
        <f aca="false">IF(127=Fin,EB$113*P_RealCT+EB$118*P_RealAF,0)</f>
        <v>0</v>
      </c>
      <c r="EC119" s="48" t="n">
        <f aca="false">IF(128=Fin,EC$113*P_RealCT+EC$118*P_RealAF,0)</f>
        <v>0</v>
      </c>
      <c r="ED119" s="48" t="n">
        <f aca="false">IF(129=Fin,ED$113*P_RealCT+ED$118*P_RealAF,0)</f>
        <v>0</v>
      </c>
      <c r="EE119" s="48" t="n">
        <f aca="false">IF(130=Fin,EE$113*P_RealCT+EE$118*P_RealAF,0)</f>
        <v>0</v>
      </c>
      <c r="EF119" s="48" t="n">
        <f aca="false">IF(131=Fin,EF$113*P_RealCT+EF$118*P_RealAF,0)</f>
        <v>0</v>
      </c>
      <c r="EG119" s="48" t="n">
        <f aca="false">IF(132=Fin,EG$113*P_RealCT+EG$118*P_RealAF,0)</f>
        <v>0</v>
      </c>
      <c r="EH119" s="48" t="n">
        <f aca="false">IF(133=Fin,EH$113*P_RealCT+EH$118*P_RealAF,0)</f>
        <v>0</v>
      </c>
      <c r="EI119" s="48" t="n">
        <f aca="false">IF(134=Fin,EI$113*P_RealCT+EI$118*P_RealAF,0)</f>
        <v>0</v>
      </c>
      <c r="EJ119" s="48" t="n">
        <f aca="false">IF(135=Fin,EJ$113*P_RealCT+EJ$118*P_RealAF,0)</f>
        <v>0</v>
      </c>
      <c r="EK119" s="48" t="n">
        <f aca="false">IF(136=Fin,EK$113*P_RealCT+EK$118*P_RealAF,0)</f>
        <v>0</v>
      </c>
      <c r="EL119" s="48" t="n">
        <f aca="false">IF(137=Fin,EL$113*P_RealCT+EL$118*P_RealAF,0)</f>
        <v>0</v>
      </c>
      <c r="EM119" s="48" t="n">
        <f aca="false">IF(138=Fin,EM$113*P_RealCT+EM$118*P_RealAF,0)</f>
        <v>0</v>
      </c>
      <c r="EN119" s="48" t="n">
        <f aca="false">IF(139=Fin,EN$113*P_RealCT+EN$118*P_RealAF,0)</f>
        <v>0</v>
      </c>
      <c r="EO119" s="48" t="n">
        <f aca="false">IF(140=Fin,EO$113*P_RealCT+EO$118*P_RealAF,0)</f>
        <v>0</v>
      </c>
      <c r="EP119" s="48" t="n">
        <f aca="false">IF(141=Fin,EP$113*P_RealCT+EP$118*P_RealAF,0)</f>
        <v>0</v>
      </c>
      <c r="EQ119" s="48" t="n">
        <f aca="false">IF(142=Fin,EQ$113*P_RealCT+EQ$118*P_RealAF,0)</f>
        <v>0</v>
      </c>
      <c r="ER119" s="48" t="n">
        <f aca="false">IF(143=Fin,ER$113*P_RealCT+ER$118*P_RealAF,0)</f>
        <v>0</v>
      </c>
      <c r="ES119" s="48" t="n">
        <f aca="false">IF(144=Fin,ES$113*P_RealCT+ES$118*P_RealAF,0)</f>
        <v>0</v>
      </c>
    </row>
    <row r="120" customFormat="false" ht="15" hidden="false" customHeight="false" outlineLevel="0" collapsed="false">
      <c r="A120" s="11" t="s">
        <v>1205</v>
      </c>
      <c r="B120" s="67" t="s">
        <v>1206</v>
      </c>
      <c r="C120" s="15" t="s">
        <v>508</v>
      </c>
      <c r="E120" s="54" t="n">
        <f aca="false">SUM(F120:ES120)</f>
        <v>15564459.926261</v>
      </c>
      <c r="F120" s="19" t="n">
        <f aca="false">F$116-F$117+F$119</f>
        <v>-3000610.47688344</v>
      </c>
      <c r="G120" s="19" t="n">
        <f aca="false">G$116-G$117+G$119</f>
        <v>42497.5004755897</v>
      </c>
      <c r="H120" s="19" t="n">
        <f aca="false">H$116-H$117+H$119</f>
        <v>42497.5004755897</v>
      </c>
      <c r="I120" s="19" t="n">
        <f aca="false">I$116-I$117+I$119</f>
        <v>42497.5004755897</v>
      </c>
      <c r="J120" s="19" t="n">
        <f aca="false">J$116-J$117+J$119</f>
        <v>42497.5004755897</v>
      </c>
      <c r="K120" s="19" t="n">
        <f aca="false">K$116-K$117+K$119</f>
        <v>42497.5004755897</v>
      </c>
      <c r="L120" s="19" t="n">
        <f aca="false">L$116-L$117+L$119</f>
        <v>42497.5004755897</v>
      </c>
      <c r="M120" s="19" t="n">
        <f aca="false">M$116-M$117+M$119</f>
        <v>42497.5004755897</v>
      </c>
      <c r="N120" s="19" t="n">
        <f aca="false">N$116-N$117+N$119</f>
        <v>42497.5004755897</v>
      </c>
      <c r="O120" s="19" t="n">
        <f aca="false">O$116-O$117+O$119</f>
        <v>42497.5004755897</v>
      </c>
      <c r="P120" s="19" t="n">
        <f aca="false">P$116-P$117+P$119</f>
        <v>42497.5004755897</v>
      </c>
      <c r="Q120" s="19" t="n">
        <f aca="false">Q$116-Q$117+Q$119</f>
        <v>42497.5004755897</v>
      </c>
      <c r="R120" s="19" t="n">
        <f aca="false">R$116-R$117+R$119</f>
        <v>-674649.041401679</v>
      </c>
      <c r="S120" s="19" t="n">
        <f aca="false">S$116-S$117+S$119</f>
        <v>80496.4029939648</v>
      </c>
      <c r="T120" s="19" t="n">
        <f aca="false">T$116-T$117+T$119</f>
        <v>80496.4029939648</v>
      </c>
      <c r="U120" s="19" t="n">
        <f aca="false">U$116-U$117+U$119</f>
        <v>80496.4029939648</v>
      </c>
      <c r="V120" s="19" t="n">
        <f aca="false">V$116-V$117+V$119</f>
        <v>80496.4029939648</v>
      </c>
      <c r="W120" s="19" t="n">
        <f aca="false">W$116-W$117+W$119</f>
        <v>80496.4029939648</v>
      </c>
      <c r="X120" s="19" t="n">
        <f aca="false">X$116-X$117+X$119</f>
        <v>80496.4029939648</v>
      </c>
      <c r="Y120" s="19" t="n">
        <f aca="false">Y$116-Y$117+Y$119</f>
        <v>80496.4029939648</v>
      </c>
      <c r="Z120" s="19" t="n">
        <f aca="false">Z$116-Z$117+Z$119</f>
        <v>80496.4029939648</v>
      </c>
      <c r="AA120" s="19" t="n">
        <f aca="false">AA$116-AA$117+AA$119</f>
        <v>80496.4029939648</v>
      </c>
      <c r="AB120" s="19" t="n">
        <f aca="false">AB$116-AB$117+AB$119</f>
        <v>80496.4029939648</v>
      </c>
      <c r="AC120" s="19" t="n">
        <f aca="false">AC$116-AC$117+AC$119</f>
        <v>80496.4029939648</v>
      </c>
      <c r="AD120" s="19" t="n">
        <f aca="false">AD$116-AD$117+AD$119</f>
        <v>-550241.899767298</v>
      </c>
      <c r="AE120" s="19" t="n">
        <f aca="false">AE$116-AE$117+AE$119</f>
        <v>117085.030865125</v>
      </c>
      <c r="AF120" s="19" t="n">
        <f aca="false">AF$116-AF$117+AF$119</f>
        <v>117085.030865125</v>
      </c>
      <c r="AG120" s="19" t="n">
        <f aca="false">AG$116-AG$117+AG$119</f>
        <v>117085.030865125</v>
      </c>
      <c r="AH120" s="19" t="n">
        <f aca="false">AH$116-AH$117+AH$119</f>
        <v>117085.030865125</v>
      </c>
      <c r="AI120" s="19" t="n">
        <f aca="false">AI$116-AI$117+AI$119</f>
        <v>117085.030865125</v>
      </c>
      <c r="AJ120" s="19" t="n">
        <f aca="false">AJ$116-AJ$117+AJ$119</f>
        <v>117085.030865125</v>
      </c>
      <c r="AK120" s="19" t="n">
        <f aca="false">AK$116-AK$117+AK$119</f>
        <v>117085.030865125</v>
      </c>
      <c r="AL120" s="19" t="n">
        <f aca="false">AL$116-AL$117+AL$119</f>
        <v>117085.030865125</v>
      </c>
      <c r="AM120" s="19" t="n">
        <f aca="false">AM$116-AM$117+AM$119</f>
        <v>117085.030865125</v>
      </c>
      <c r="AN120" s="19" t="n">
        <f aca="false">AN$116-AN$117+AN$119</f>
        <v>117085.030865125</v>
      </c>
      <c r="AO120" s="19" t="n">
        <f aca="false">AO$116-AO$117+AO$119</f>
        <v>117085.030865125</v>
      </c>
      <c r="AP120" s="19" t="n">
        <f aca="false">AP$116-AP$117+AP$119</f>
        <v>-408915.490053455</v>
      </c>
      <c r="AQ120" s="19" t="n">
        <f aca="false">AQ$116-AQ$117+AQ$119</f>
        <v>149893.579879858</v>
      </c>
      <c r="AR120" s="19" t="n">
        <f aca="false">AR$116-AR$117+AR$119</f>
        <v>149893.579879858</v>
      </c>
      <c r="AS120" s="19" t="n">
        <f aca="false">AS$116-AS$117+AS$119</f>
        <v>149893.579879858</v>
      </c>
      <c r="AT120" s="19" t="n">
        <f aca="false">AT$116-AT$117+AT$119</f>
        <v>149893.579879858</v>
      </c>
      <c r="AU120" s="19" t="n">
        <f aca="false">AU$116-AU$117+AU$119</f>
        <v>149893.579879858</v>
      </c>
      <c r="AV120" s="19" t="n">
        <f aca="false">AV$116-AV$117+AV$119</f>
        <v>149893.579879858</v>
      </c>
      <c r="AW120" s="19" t="n">
        <f aca="false">AW$116-AW$117+AW$119</f>
        <v>149893.579879858</v>
      </c>
      <c r="AX120" s="19" t="n">
        <f aca="false">AX$116-AX$117+AX$119</f>
        <v>149893.579879858</v>
      </c>
      <c r="AY120" s="19" t="n">
        <f aca="false">AY$116-AY$117+AY$119</f>
        <v>149893.579879858</v>
      </c>
      <c r="AZ120" s="19" t="n">
        <f aca="false">AZ$116-AZ$117+AZ$119</f>
        <v>149893.579879858</v>
      </c>
      <c r="BA120" s="19" t="n">
        <f aca="false">BA$116-BA$117+BA$119</f>
        <v>149893.579879858</v>
      </c>
      <c r="BB120" s="19" t="n">
        <f aca="false">BB$116-BB$117+BB$119</f>
        <v>113103.617170514</v>
      </c>
      <c r="BC120" s="19" t="n">
        <f aca="false">BC$116-BC$117+BC$119</f>
        <v>151213.164876374</v>
      </c>
      <c r="BD120" s="19" t="n">
        <f aca="false">BD$116-BD$117+BD$119</f>
        <v>151213.164876374</v>
      </c>
      <c r="BE120" s="19" t="n">
        <f aca="false">BE$116-BE$117+BE$119</f>
        <v>151213.164876374</v>
      </c>
      <c r="BF120" s="19" t="n">
        <f aca="false">BF$116-BF$117+BF$119</f>
        <v>151213.164876374</v>
      </c>
      <c r="BG120" s="19" t="n">
        <f aca="false">BG$116-BG$117+BG$119</f>
        <v>151213.164876374</v>
      </c>
      <c r="BH120" s="19" t="n">
        <f aca="false">BH$116-BH$117+BH$119</f>
        <v>151213.164876374</v>
      </c>
      <c r="BI120" s="19" t="n">
        <f aca="false">BI$116-BI$117+BI$119</f>
        <v>151213.164876374</v>
      </c>
      <c r="BJ120" s="19" t="n">
        <f aca="false">BJ$116-BJ$117+BJ$119</f>
        <v>151213.164876374</v>
      </c>
      <c r="BK120" s="19" t="n">
        <f aca="false">BK$116-BK$117+BK$119</f>
        <v>151213.164876374</v>
      </c>
      <c r="BL120" s="19" t="n">
        <f aca="false">BL$116-BL$117+BL$119</f>
        <v>151213.164876374</v>
      </c>
      <c r="BM120" s="19" t="n">
        <f aca="false">BM$116-BM$117+BM$119</f>
        <v>151213.164876374</v>
      </c>
      <c r="BN120" s="19" t="n">
        <f aca="false">BN$116-BN$117+BN$119</f>
        <v>117575.58532923</v>
      </c>
      <c r="BO120" s="19" t="n">
        <f aca="false">BO$116-BO$117+BO$119</f>
        <v>155300.441797826</v>
      </c>
      <c r="BP120" s="19" t="n">
        <f aca="false">BP$116-BP$117+BP$119</f>
        <v>155300.441797826</v>
      </c>
      <c r="BQ120" s="19" t="n">
        <f aca="false">BQ$116-BQ$117+BQ$119</f>
        <v>155300.441797826</v>
      </c>
      <c r="BR120" s="19" t="n">
        <f aca="false">BR$116-BR$117+BR$119</f>
        <v>155300.441797826</v>
      </c>
      <c r="BS120" s="19" t="n">
        <f aca="false">BS$116-BS$117+BS$119</f>
        <v>155300.441797826</v>
      </c>
      <c r="BT120" s="19" t="n">
        <f aca="false">BT$116-BT$117+BT$119</f>
        <v>155300.441797826</v>
      </c>
      <c r="BU120" s="19" t="n">
        <f aca="false">BU$116-BU$117+BU$119</f>
        <v>155300.441797826</v>
      </c>
      <c r="BV120" s="19" t="n">
        <f aca="false">BV$116-BV$117+BV$119</f>
        <v>155300.441797826</v>
      </c>
      <c r="BW120" s="19" t="n">
        <f aca="false">BW$116-BW$117+BW$119</f>
        <v>155300.441797826</v>
      </c>
      <c r="BX120" s="19" t="n">
        <f aca="false">BX$116-BX$117+BX$119</f>
        <v>155300.441797826</v>
      </c>
      <c r="BY120" s="19" t="n">
        <f aca="false">BY$116-BY$117+BY$119</f>
        <v>155300.441797826</v>
      </c>
      <c r="BZ120" s="19" t="n">
        <f aca="false">BZ$116-BZ$117+BZ$119</f>
        <v>121326.129264619</v>
      </c>
      <c r="CA120" s="19" t="n">
        <f aca="false">CA$116-CA$117+CA$119</f>
        <v>159416.0224894</v>
      </c>
      <c r="CB120" s="19" t="n">
        <f aca="false">CB$116-CB$117+CB$119</f>
        <v>159416.0224894</v>
      </c>
      <c r="CC120" s="19" t="n">
        <f aca="false">CC$116-CC$117+CC$119</f>
        <v>159416.0224894</v>
      </c>
      <c r="CD120" s="19" t="n">
        <f aca="false">CD$116-CD$117+CD$119</f>
        <v>159416.0224894</v>
      </c>
      <c r="CE120" s="19" t="n">
        <f aca="false">CE$116-CE$117+CE$119</f>
        <v>159416.0224894</v>
      </c>
      <c r="CF120" s="19" t="n">
        <f aca="false">CF$116-CF$117+CF$119</f>
        <v>159416.0224894</v>
      </c>
      <c r="CG120" s="19" t="n">
        <f aca="false">CG$116-CG$117+CG$119</f>
        <v>159416.0224894</v>
      </c>
      <c r="CH120" s="19" t="n">
        <f aca="false">CH$116-CH$117+CH$119</f>
        <v>159416.0224894</v>
      </c>
      <c r="CI120" s="19" t="n">
        <f aca="false">CI$116-CI$117+CI$119</f>
        <v>159416.0224894</v>
      </c>
      <c r="CJ120" s="19" t="n">
        <f aca="false">CJ$116-CJ$117+CJ$119</f>
        <v>159416.0224894</v>
      </c>
      <c r="CK120" s="19" t="n">
        <f aca="false">CK$116-CK$117+CK$119</f>
        <v>159416.0224894</v>
      </c>
      <c r="CL120" s="19" t="n">
        <f aca="false">CL$116-CL$117+CL$119</f>
        <v>125101.600851768</v>
      </c>
      <c r="CM120" s="19" t="n">
        <f aca="false">CM$116-CM$117+CM$119</f>
        <v>163559.818546288</v>
      </c>
      <c r="CN120" s="19" t="n">
        <f aca="false">CN$116-CN$117+CN$119</f>
        <v>163559.818546288</v>
      </c>
      <c r="CO120" s="19" t="n">
        <f aca="false">CO$116-CO$117+CO$119</f>
        <v>163559.818546288</v>
      </c>
      <c r="CP120" s="19" t="n">
        <f aca="false">CP$116-CP$117+CP$119</f>
        <v>163559.818546288</v>
      </c>
      <c r="CQ120" s="19" t="n">
        <f aca="false">CQ$116-CQ$117+CQ$119</f>
        <v>163559.818546288</v>
      </c>
      <c r="CR120" s="19" t="n">
        <f aca="false">CR$116-CR$117+CR$119</f>
        <v>163559.818546288</v>
      </c>
      <c r="CS120" s="19" t="n">
        <f aca="false">CS$116-CS$117+CS$119</f>
        <v>163559.818546288</v>
      </c>
      <c r="CT120" s="19" t="n">
        <f aca="false">CT$116-CT$117+CT$119</f>
        <v>163559.818546288</v>
      </c>
      <c r="CU120" s="19" t="n">
        <f aca="false">CU$116-CU$117+CU$119</f>
        <v>163559.818546288</v>
      </c>
      <c r="CV120" s="19" t="n">
        <f aca="false">CV$116-CV$117+CV$119</f>
        <v>163559.818546288</v>
      </c>
      <c r="CW120" s="19" t="n">
        <f aca="false">CW$116-CW$117+CW$119</f>
        <v>163559.818546288</v>
      </c>
      <c r="CX120" s="19" t="n">
        <f aca="false">CX$116-CX$117+CX$119</f>
        <v>128901.877699572</v>
      </c>
      <c r="CY120" s="19" t="n">
        <f aca="false">CY$116-CY$117+CY$119</f>
        <v>167731.729648908</v>
      </c>
      <c r="CZ120" s="19" t="n">
        <f aca="false">CZ$116-CZ$117+CZ$119</f>
        <v>167731.729648908</v>
      </c>
      <c r="DA120" s="19" t="n">
        <f aca="false">DA$116-DA$117+DA$119</f>
        <v>167731.729648908</v>
      </c>
      <c r="DB120" s="19" t="n">
        <f aca="false">DB$116-DB$117+DB$119</f>
        <v>167731.729648908</v>
      </c>
      <c r="DC120" s="19" t="n">
        <f aca="false">DC$116-DC$117+DC$119</f>
        <v>167731.729648908</v>
      </c>
      <c r="DD120" s="19" t="n">
        <f aca="false">DD$116-DD$117+DD$119</f>
        <v>167731.729648908</v>
      </c>
      <c r="DE120" s="19" t="n">
        <f aca="false">DE$116-DE$117+DE$119</f>
        <v>167731.729648908</v>
      </c>
      <c r="DF120" s="19" t="n">
        <f aca="false">DF$116-DF$117+DF$119</f>
        <v>167731.729648908</v>
      </c>
      <c r="DG120" s="19" t="n">
        <f aca="false">DG$116-DG$117+DG$119</f>
        <v>167731.729648908</v>
      </c>
      <c r="DH120" s="19" t="n">
        <f aca="false">DH$116-DH$117+DH$119</f>
        <v>167731.729648908</v>
      </c>
      <c r="DI120" s="19" t="n">
        <f aca="false">DI$116-DI$117+DI$119</f>
        <v>167731.729648908</v>
      </c>
      <c r="DJ120" s="19" t="n">
        <f aca="false">DJ$116-DJ$117+DJ$119</f>
        <v>132726.825156308</v>
      </c>
      <c r="DK120" s="19" t="n">
        <f aca="false">DK$116-DK$117+DK$119</f>
        <v>171931.643115086</v>
      </c>
      <c r="DL120" s="19" t="n">
        <f aca="false">DL$116-DL$117+DL$119</f>
        <v>171931.643115086</v>
      </c>
      <c r="DM120" s="19" t="n">
        <f aca="false">DM$116-DM$117+DM$119</f>
        <v>171931.643115086</v>
      </c>
      <c r="DN120" s="19" t="n">
        <f aca="false">DN$116-DN$117+DN$119</f>
        <v>171931.643115086</v>
      </c>
      <c r="DO120" s="19" t="n">
        <f aca="false">DO$116-DO$117+DO$119</f>
        <v>171931.643115086</v>
      </c>
      <c r="DP120" s="19" t="n">
        <f aca="false">DP$116-DP$117+DP$119</f>
        <v>171931.643115086</v>
      </c>
      <c r="DQ120" s="19" t="n">
        <f aca="false">DQ$116-DQ$117+DQ$119</f>
        <v>171931.643115086</v>
      </c>
      <c r="DR120" s="19" t="n">
        <f aca="false">DR$116-DR$117+DR$119</f>
        <v>171931.643115086</v>
      </c>
      <c r="DS120" s="19" t="n">
        <f aca="false">DS$116-DS$117+DS$119</f>
        <v>171931.643115086</v>
      </c>
      <c r="DT120" s="19" t="n">
        <f aca="false">DT$116-DT$117+DT$119</f>
        <v>171931.643115086</v>
      </c>
      <c r="DU120" s="19" t="n">
        <f aca="false">DU$116-DU$117+DU$119</f>
        <v>4681694.16043737</v>
      </c>
      <c r="DV120" s="19" t="n">
        <f aca="false">DV$116-DV$117+DV$119</f>
        <v>0</v>
      </c>
      <c r="DW120" s="19" t="n">
        <f aca="false">DW$116-DW$117+DW$119</f>
        <v>0</v>
      </c>
      <c r="DX120" s="19" t="n">
        <f aca="false">DX$116-DX$117+DX$119</f>
        <v>0</v>
      </c>
      <c r="DY120" s="19" t="n">
        <f aca="false">DY$116-DY$117+DY$119</f>
        <v>0</v>
      </c>
      <c r="DZ120" s="19" t="n">
        <f aca="false">DZ$116-DZ$117+DZ$119</f>
        <v>0</v>
      </c>
      <c r="EA120" s="19" t="n">
        <f aca="false">EA$116-EA$117+EA$119</f>
        <v>0</v>
      </c>
      <c r="EB120" s="19" t="n">
        <f aca="false">EB$116-EB$117+EB$119</f>
        <v>0</v>
      </c>
      <c r="EC120" s="19" t="n">
        <f aca="false">EC$116-EC$117+EC$119</f>
        <v>0</v>
      </c>
      <c r="ED120" s="19" t="n">
        <f aca="false">ED$116-ED$117+ED$119</f>
        <v>0</v>
      </c>
      <c r="EE120" s="19" t="n">
        <f aca="false">EE$116-EE$117+EE$119</f>
        <v>0</v>
      </c>
      <c r="EF120" s="19" t="n">
        <f aca="false">EF$116-EF$117+EF$119</f>
        <v>0</v>
      </c>
      <c r="EG120" s="19" t="n">
        <f aca="false">EG$116-EG$117+EG$119</f>
        <v>0</v>
      </c>
      <c r="EH120" s="19" t="n">
        <f aca="false">EH$116-EH$117+EH$119</f>
        <v>0</v>
      </c>
      <c r="EI120" s="19" t="n">
        <f aca="false">EI$116-EI$117+EI$119</f>
        <v>0</v>
      </c>
      <c r="EJ120" s="19" t="n">
        <f aca="false">EJ$116-EJ$117+EJ$119</f>
        <v>0</v>
      </c>
      <c r="EK120" s="19" t="n">
        <f aca="false">EK$116-EK$117+EK$119</f>
        <v>0</v>
      </c>
      <c r="EL120" s="19" t="n">
        <f aca="false">EL$116-EL$117+EL$119</f>
        <v>0</v>
      </c>
      <c r="EM120" s="19" t="n">
        <f aca="false">EM$116-EM$117+EM$119</f>
        <v>0</v>
      </c>
      <c r="EN120" s="19" t="n">
        <f aca="false">EN$116-EN$117+EN$119</f>
        <v>0</v>
      </c>
      <c r="EO120" s="19" t="n">
        <f aca="false">EO$116-EO$117+EO$119</f>
        <v>0</v>
      </c>
      <c r="EP120" s="19" t="n">
        <f aca="false">EP$116-EP$117+EP$119</f>
        <v>0</v>
      </c>
      <c r="EQ120" s="19" t="n">
        <f aca="false">EQ$116-EQ$117+EQ$119</f>
        <v>0</v>
      </c>
      <c r="ER120" s="19" t="n">
        <f aca="false">ER$116-ER$117+ER$119</f>
        <v>0</v>
      </c>
      <c r="ES120" s="19" t="n">
        <f aca="false">ES$116-ES$117+ES$119</f>
        <v>0</v>
      </c>
    </row>
    <row r="121" customFormat="false" ht="15" hidden="false" customHeight="false" outlineLevel="0" collapsed="false">
      <c r="A121" s="11" t="s">
        <v>1207</v>
      </c>
      <c r="B121" s="15" t="s">
        <v>1208</v>
      </c>
      <c r="C121" s="15" t="s">
        <v>508</v>
      </c>
      <c r="E121" s="54" t="n">
        <f aca="false">MIN(F121:ES121)</f>
        <v>-3207787.01305363</v>
      </c>
      <c r="F121" s="48" t="n">
        <f aca="false">0+F$116-F$117</f>
        <v>-3000610.47688344</v>
      </c>
      <c r="G121" s="48" t="n">
        <f aca="false">F$121+G$116-G$117</f>
        <v>-2958112.97640785</v>
      </c>
      <c r="H121" s="48" t="n">
        <f aca="false">G$121+H$116-H$117</f>
        <v>-2915615.47593226</v>
      </c>
      <c r="I121" s="48" t="n">
        <f aca="false">H$121+I$116-I$117</f>
        <v>-2873117.97545667</v>
      </c>
      <c r="J121" s="48" t="n">
        <f aca="false">I$121+J$116-J$117</f>
        <v>-2830620.47498108</v>
      </c>
      <c r="K121" s="48" t="n">
        <f aca="false">J$121+K$116-K$117</f>
        <v>-2788122.97450549</v>
      </c>
      <c r="L121" s="48" t="n">
        <f aca="false">K$121+L$116-L$117</f>
        <v>-2745625.4740299</v>
      </c>
      <c r="M121" s="48" t="n">
        <f aca="false">L$121+M$116-M$117</f>
        <v>-2703127.97355431</v>
      </c>
      <c r="N121" s="48" t="n">
        <f aca="false">M$121+N$116-N$117</f>
        <v>-2660630.47307872</v>
      </c>
      <c r="O121" s="48" t="n">
        <f aca="false">N$121+O$116-O$117</f>
        <v>-2618132.97260313</v>
      </c>
      <c r="P121" s="48" t="n">
        <f aca="false">O$121+P$116-P$117</f>
        <v>-2575635.47212754</v>
      </c>
      <c r="Q121" s="48" t="n">
        <f aca="false">P$121+Q$116-Q$117</f>
        <v>-2533137.97165195</v>
      </c>
      <c r="R121" s="48" t="n">
        <f aca="false">Q$121+R$116-R$117</f>
        <v>-3207787.01305363</v>
      </c>
      <c r="S121" s="48" t="n">
        <f aca="false">R$121+S$116-S$117</f>
        <v>-3127290.61005967</v>
      </c>
      <c r="T121" s="48" t="n">
        <f aca="false">S$121+T$116-T$117</f>
        <v>-3046794.2070657</v>
      </c>
      <c r="U121" s="48" t="n">
        <f aca="false">T$121+U$116-U$117</f>
        <v>-2966297.80407174</v>
      </c>
      <c r="V121" s="48" t="n">
        <f aca="false">U$121+V$116-V$117</f>
        <v>-2885801.40107777</v>
      </c>
      <c r="W121" s="48" t="n">
        <f aca="false">V$121+W$116-W$117</f>
        <v>-2805304.99808381</v>
      </c>
      <c r="X121" s="48" t="n">
        <f aca="false">W$121+X$116-X$117</f>
        <v>-2724808.59508984</v>
      </c>
      <c r="Y121" s="48" t="n">
        <f aca="false">X$121+Y$116-Y$117</f>
        <v>-2644312.19209588</v>
      </c>
      <c r="Z121" s="48" t="n">
        <f aca="false">Y$121+Z$116-Z$117</f>
        <v>-2563815.78910191</v>
      </c>
      <c r="AA121" s="48" t="n">
        <f aca="false">Z$121+AA$116-AA$117</f>
        <v>-2483319.38610795</v>
      </c>
      <c r="AB121" s="48" t="n">
        <f aca="false">AA$121+AB$116-AB$117</f>
        <v>-2402822.98311398</v>
      </c>
      <c r="AC121" s="48" t="n">
        <f aca="false">AB$121+AC$116-AC$117</f>
        <v>-2322326.58012002</v>
      </c>
      <c r="AD121" s="48" t="n">
        <f aca="false">AC$121+AD$116-AD$117</f>
        <v>-2872568.47988732</v>
      </c>
      <c r="AE121" s="48" t="n">
        <f aca="false">AD$121+AE$116-AE$117</f>
        <v>-2755483.44902219</v>
      </c>
      <c r="AF121" s="48" t="n">
        <f aca="false">AE$121+AF$116-AF$117</f>
        <v>-2638398.41815707</v>
      </c>
      <c r="AG121" s="48" t="n">
        <f aca="false">AF$121+AG$116-AG$117</f>
        <v>-2521313.38729194</v>
      </c>
      <c r="AH121" s="48" t="n">
        <f aca="false">AG$121+AH$116-AH$117</f>
        <v>-2404228.35642682</v>
      </c>
      <c r="AI121" s="48" t="n">
        <f aca="false">AH$121+AI$116-AI$117</f>
        <v>-2287143.32556169</v>
      </c>
      <c r="AJ121" s="48" t="n">
        <f aca="false">AI$121+AJ$116-AJ$117</f>
        <v>-2170058.29469657</v>
      </c>
      <c r="AK121" s="48" t="n">
        <f aca="false">AJ$121+AK$116-AK$117</f>
        <v>-2052973.26383144</v>
      </c>
      <c r="AL121" s="48" t="n">
        <f aca="false">AK$121+AL$116-AL$117</f>
        <v>-1935888.23296632</v>
      </c>
      <c r="AM121" s="48" t="n">
        <f aca="false">AL$121+AM$116-AM$117</f>
        <v>-1818803.20210119</v>
      </c>
      <c r="AN121" s="48" t="n">
        <f aca="false">AM$121+AN$116-AN$117</f>
        <v>-1701718.17123607</v>
      </c>
      <c r="AO121" s="48" t="n">
        <f aca="false">AN$121+AO$116-AO$117</f>
        <v>-1584633.14037094</v>
      </c>
      <c r="AP121" s="48" t="n">
        <f aca="false">AO$121+AP$116-AP$117</f>
        <v>-1993548.6304244</v>
      </c>
      <c r="AQ121" s="48" t="n">
        <f aca="false">AP$121+AQ$116-AQ$117</f>
        <v>-1843655.05054454</v>
      </c>
      <c r="AR121" s="48" t="n">
        <f aca="false">AQ$121+AR$116-AR$117</f>
        <v>-1693761.47066468</v>
      </c>
      <c r="AS121" s="48" t="n">
        <f aca="false">AR$121+AS$116-AS$117</f>
        <v>-1543867.89078482</v>
      </c>
      <c r="AT121" s="48" t="n">
        <f aca="false">AS$121+AT$116-AT$117</f>
        <v>-1393974.31090497</v>
      </c>
      <c r="AU121" s="48" t="n">
        <f aca="false">AT$121+AU$116-AU$117</f>
        <v>-1244080.73102511</v>
      </c>
      <c r="AV121" s="48" t="n">
        <f aca="false">AU$121+AV$116-AV$117</f>
        <v>-1094187.15114525</v>
      </c>
      <c r="AW121" s="48" t="n">
        <f aca="false">AV$121+AW$116-AW$117</f>
        <v>-944293.571265391</v>
      </c>
      <c r="AX121" s="48" t="n">
        <f aca="false">AW$121+AX$116-AX$117</f>
        <v>-794399.991385533</v>
      </c>
      <c r="AY121" s="48" t="n">
        <f aca="false">AX$121+AY$116-AY$117</f>
        <v>-644506.411505674</v>
      </c>
      <c r="AZ121" s="48" t="n">
        <f aca="false">AY$121+AZ$116-AZ$117</f>
        <v>-494612.831625816</v>
      </c>
      <c r="BA121" s="48" t="n">
        <f aca="false">AZ$121+BA$116-BA$117</f>
        <v>-344719.251745958</v>
      </c>
      <c r="BB121" s="48" t="n">
        <f aca="false">BA$121+BB$116-BB$117</f>
        <v>-231615.634575444</v>
      </c>
      <c r="BC121" s="48" t="n">
        <f aca="false">BB$121+BC$116-BC$117</f>
        <v>-80402.4696990702</v>
      </c>
      <c r="BD121" s="48" t="n">
        <f aca="false">BC$121+BD$116-BD$117</f>
        <v>70810.6951773035</v>
      </c>
      <c r="BE121" s="48" t="n">
        <f aca="false">BD$121+BE$116-BE$117</f>
        <v>222023.860053677</v>
      </c>
      <c r="BF121" s="48" t="n">
        <f aca="false">BE$121+BF$116-BF$117</f>
        <v>373237.024930051</v>
      </c>
      <c r="BG121" s="48" t="n">
        <f aca="false">BF$121+BG$116-BG$117</f>
        <v>524450.189806425</v>
      </c>
      <c r="BH121" s="48" t="n">
        <f aca="false">BG$121+BH$116-BH$117</f>
        <v>675663.354682798</v>
      </c>
      <c r="BI121" s="48" t="n">
        <f aca="false">BH$121+BI$116-BI$117</f>
        <v>826876.519559172</v>
      </c>
      <c r="BJ121" s="48" t="n">
        <f aca="false">BI$121+BJ$116-BJ$117</f>
        <v>978089.684435546</v>
      </c>
      <c r="BK121" s="48" t="n">
        <f aca="false">BJ$121+BK$116-BK$117</f>
        <v>1129302.84931192</v>
      </c>
      <c r="BL121" s="48" t="n">
        <f aca="false">BK$121+BL$116-BL$117</f>
        <v>1280516.01418829</v>
      </c>
      <c r="BM121" s="48" t="n">
        <f aca="false">BL$121+BM$116-BM$117</f>
        <v>1431729.17906467</v>
      </c>
      <c r="BN121" s="48" t="n">
        <f aca="false">BM$121+BN$116-BN$117</f>
        <v>1549304.7643939</v>
      </c>
      <c r="BO121" s="48" t="n">
        <f aca="false">BN$121+BO$116-BO$117</f>
        <v>1704605.20619172</v>
      </c>
      <c r="BP121" s="48" t="n">
        <f aca="false">BO$121+BP$116-BP$117</f>
        <v>1859905.64798955</v>
      </c>
      <c r="BQ121" s="48" t="n">
        <f aca="false">BP$121+BQ$116-BQ$117</f>
        <v>2015206.08978738</v>
      </c>
      <c r="BR121" s="48" t="n">
        <f aca="false">BQ$121+BR$116-BR$117</f>
        <v>2170506.5315852</v>
      </c>
      <c r="BS121" s="48" t="n">
        <f aca="false">BR$121+BS$116-BS$117</f>
        <v>2325806.97338303</v>
      </c>
      <c r="BT121" s="48" t="n">
        <f aca="false">BS$121+BT$116-BT$117</f>
        <v>2481107.41518085</v>
      </c>
      <c r="BU121" s="48" t="n">
        <f aca="false">BT$121+BU$116-BU$117</f>
        <v>2636407.85697868</v>
      </c>
      <c r="BV121" s="48" t="n">
        <f aca="false">BU$121+BV$116-BV$117</f>
        <v>2791708.29877651</v>
      </c>
      <c r="BW121" s="48" t="n">
        <f aca="false">BV$121+BW$116-BW$117</f>
        <v>2947008.74057433</v>
      </c>
      <c r="BX121" s="48" t="n">
        <f aca="false">BW$121+BX$116-BX$117</f>
        <v>3102309.18237216</v>
      </c>
      <c r="BY121" s="48" t="n">
        <f aca="false">BX$121+BY$116-BY$117</f>
        <v>3257609.62416998</v>
      </c>
      <c r="BZ121" s="48" t="n">
        <f aca="false">BY$121+BZ$116-BZ$117</f>
        <v>3378935.7534346</v>
      </c>
      <c r="CA121" s="48" t="n">
        <f aca="false">BZ$121+CA$116-CA$117</f>
        <v>3538351.775924</v>
      </c>
      <c r="CB121" s="48" t="n">
        <f aca="false">CA$121+CB$116-CB$117</f>
        <v>3697767.7984134</v>
      </c>
      <c r="CC121" s="48" t="n">
        <f aca="false">CB$121+CC$116-CC$117</f>
        <v>3857183.8209028</v>
      </c>
      <c r="CD121" s="48" t="n">
        <f aca="false">CC$121+CD$116-CD$117</f>
        <v>4016599.8433922</v>
      </c>
      <c r="CE121" s="48" t="n">
        <f aca="false">CD$121+CE$116-CE$117</f>
        <v>4176015.8658816</v>
      </c>
      <c r="CF121" s="48" t="n">
        <f aca="false">CE$121+CF$116-CF$117</f>
        <v>4335431.888371</v>
      </c>
      <c r="CG121" s="48" t="n">
        <f aca="false">CF$121+CG$116-CG$117</f>
        <v>4494847.9108604</v>
      </c>
      <c r="CH121" s="48" t="n">
        <f aca="false">CG$121+CH$116-CH$117</f>
        <v>4654263.9333498</v>
      </c>
      <c r="CI121" s="48" t="n">
        <f aca="false">CH$121+CI$116-CI$117</f>
        <v>4813679.9558392</v>
      </c>
      <c r="CJ121" s="48" t="n">
        <f aca="false">CI$121+CJ$116-CJ$117</f>
        <v>4973095.9783286</v>
      </c>
      <c r="CK121" s="48" t="n">
        <f aca="false">CJ$121+CK$116-CK$117</f>
        <v>5132512.000818</v>
      </c>
      <c r="CL121" s="48" t="n">
        <f aca="false">CK$121+CL$116-CL$117</f>
        <v>5257613.60166977</v>
      </c>
      <c r="CM121" s="48" t="n">
        <f aca="false">CL$121+CM$116-CM$117</f>
        <v>5421173.42021606</v>
      </c>
      <c r="CN121" s="48" t="n">
        <f aca="false">CM$121+CN$116-CN$117</f>
        <v>5584733.23876234</v>
      </c>
      <c r="CO121" s="48" t="n">
        <f aca="false">CN$121+CO$116-CO$117</f>
        <v>5748293.05730863</v>
      </c>
      <c r="CP121" s="48" t="n">
        <f aca="false">CO$121+CP$116-CP$117</f>
        <v>5911852.87585492</v>
      </c>
      <c r="CQ121" s="48" t="n">
        <f aca="false">CP$121+CQ$116-CQ$117</f>
        <v>6075412.69440121</v>
      </c>
      <c r="CR121" s="48" t="n">
        <f aca="false">CQ$121+CR$116-CR$117</f>
        <v>6238972.51294749</v>
      </c>
      <c r="CS121" s="48" t="n">
        <f aca="false">CR$121+CS$116-CS$117</f>
        <v>6402532.33149378</v>
      </c>
      <c r="CT121" s="48" t="n">
        <f aca="false">CS$121+CT$116-CT$117</f>
        <v>6566092.15004007</v>
      </c>
      <c r="CU121" s="48" t="n">
        <f aca="false">CT$121+CU$116-CU$117</f>
        <v>6729651.96858636</v>
      </c>
      <c r="CV121" s="48" t="n">
        <f aca="false">CU$121+CV$116-CV$117</f>
        <v>6893211.78713264</v>
      </c>
      <c r="CW121" s="48" t="n">
        <f aca="false">CV$121+CW$116-CW$117</f>
        <v>7056771.60567893</v>
      </c>
      <c r="CX121" s="48" t="n">
        <f aca="false">CW$121+CX$116-CX$117</f>
        <v>7185673.4833785</v>
      </c>
      <c r="CY121" s="48" t="n">
        <f aca="false">CX$121+CY$116-CY$117</f>
        <v>7353405.21302741</v>
      </c>
      <c r="CZ121" s="48" t="n">
        <f aca="false">CY$121+CZ$116-CZ$117</f>
        <v>7521136.94267632</v>
      </c>
      <c r="DA121" s="48" t="n">
        <f aca="false">CZ$121+DA$116-DA$117</f>
        <v>7688868.67232523</v>
      </c>
      <c r="DB121" s="48" t="n">
        <f aca="false">DA$121+DB$116-DB$117</f>
        <v>7856600.40197413</v>
      </c>
      <c r="DC121" s="48" t="n">
        <f aca="false">DB$121+DC$116-DC$117</f>
        <v>8024332.13162304</v>
      </c>
      <c r="DD121" s="48" t="n">
        <f aca="false">DC$121+DD$116-DD$117</f>
        <v>8192063.86127195</v>
      </c>
      <c r="DE121" s="48" t="n">
        <f aca="false">DD$121+DE$116-DE$117</f>
        <v>8359795.59092086</v>
      </c>
      <c r="DF121" s="48" t="n">
        <f aca="false">DE$121+DF$116-DF$117</f>
        <v>8527527.32056977</v>
      </c>
      <c r="DG121" s="48" t="n">
        <f aca="false">DF$121+DG$116-DG$117</f>
        <v>8695259.05021867</v>
      </c>
      <c r="DH121" s="48" t="n">
        <f aca="false">DG$121+DH$116-DH$117</f>
        <v>8862990.77986758</v>
      </c>
      <c r="DI121" s="48" t="n">
        <f aca="false">DH$121+DI$116-DI$117</f>
        <v>9030722.50951649</v>
      </c>
      <c r="DJ121" s="48" t="n">
        <f aca="false">DI$121+DJ$116-DJ$117</f>
        <v>9163449.33467279</v>
      </c>
      <c r="DK121" s="48" t="n">
        <f aca="false">DJ$121+DK$116-DK$117</f>
        <v>9335380.97778788</v>
      </c>
      <c r="DL121" s="48" t="n">
        <f aca="false">DK$121+DL$116-DL$117</f>
        <v>9507312.62090297</v>
      </c>
      <c r="DM121" s="48" t="n">
        <f aca="false">DL$121+DM$116-DM$117</f>
        <v>9679244.26401805</v>
      </c>
      <c r="DN121" s="48" t="n">
        <f aca="false">DM$121+DN$116-DN$117</f>
        <v>9851175.90713314</v>
      </c>
      <c r="DO121" s="48" t="n">
        <f aca="false">DN$121+DO$116-DO$117</f>
        <v>10023107.5502482</v>
      </c>
      <c r="DP121" s="48" t="n">
        <f aca="false">DO$121+DP$116-DP$117</f>
        <v>10195039.1933633</v>
      </c>
      <c r="DQ121" s="48" t="n">
        <f aca="false">DP$121+DQ$116-DQ$117</f>
        <v>10366970.8364784</v>
      </c>
      <c r="DR121" s="48" t="n">
        <f aca="false">DQ$121+DR$116-DR$117</f>
        <v>10538902.4795935</v>
      </c>
      <c r="DS121" s="48" t="n">
        <f aca="false">DR$121+DS$116-DS$117</f>
        <v>10710834.1227086</v>
      </c>
      <c r="DT121" s="48" t="n">
        <f aca="false">DS$121+DT$116-DT$117</f>
        <v>10882765.7658237</v>
      </c>
      <c r="DU121" s="48" t="n">
        <f aca="false">DT$121+DU$116-DU$117</f>
        <v>11054697.4089387</v>
      </c>
      <c r="DV121" s="48" t="n">
        <f aca="false">DU$121+DV$116-DV$117</f>
        <v>11054697.4089387</v>
      </c>
      <c r="DW121" s="48" t="n">
        <f aca="false">DV$121+DW$116-DW$117</f>
        <v>11054697.4089387</v>
      </c>
      <c r="DX121" s="48" t="n">
        <f aca="false">DW$121+DX$116-DX$117</f>
        <v>11054697.4089387</v>
      </c>
      <c r="DY121" s="48" t="n">
        <f aca="false">DX$121+DY$116-DY$117</f>
        <v>11054697.4089387</v>
      </c>
      <c r="DZ121" s="48" t="n">
        <f aca="false">DY$121+DZ$116-DZ$117</f>
        <v>11054697.4089387</v>
      </c>
      <c r="EA121" s="48" t="n">
        <f aca="false">DZ$121+EA$116-EA$117</f>
        <v>11054697.4089387</v>
      </c>
      <c r="EB121" s="48" t="n">
        <f aca="false">EA$121+EB$116-EB$117</f>
        <v>11054697.4089387</v>
      </c>
      <c r="EC121" s="48" t="n">
        <f aca="false">EB$121+EC$116-EC$117</f>
        <v>11054697.4089387</v>
      </c>
      <c r="ED121" s="48" t="n">
        <f aca="false">EC$121+ED$116-ED$117</f>
        <v>11054697.4089387</v>
      </c>
      <c r="EE121" s="48" t="n">
        <f aca="false">ED$121+EE$116-EE$117</f>
        <v>11054697.4089387</v>
      </c>
      <c r="EF121" s="48" t="n">
        <f aca="false">EE$121+EF$116-EF$117</f>
        <v>11054697.4089387</v>
      </c>
      <c r="EG121" s="48" t="n">
        <f aca="false">EF$121+EG$116-EG$117</f>
        <v>11054697.4089387</v>
      </c>
      <c r="EH121" s="48" t="n">
        <f aca="false">EG$121+EH$116-EH$117</f>
        <v>11054697.4089387</v>
      </c>
      <c r="EI121" s="48" t="n">
        <f aca="false">EH$121+EI$116-EI$117</f>
        <v>11054697.4089387</v>
      </c>
      <c r="EJ121" s="48" t="n">
        <f aca="false">EI$121+EJ$116-EJ$117</f>
        <v>11054697.4089387</v>
      </c>
      <c r="EK121" s="48" t="n">
        <f aca="false">EJ$121+EK$116-EK$117</f>
        <v>11054697.4089387</v>
      </c>
      <c r="EL121" s="48" t="n">
        <f aca="false">EK$121+EL$116-EL$117</f>
        <v>11054697.4089387</v>
      </c>
      <c r="EM121" s="48" t="n">
        <f aca="false">EL$121+EM$116-EM$117</f>
        <v>11054697.4089387</v>
      </c>
      <c r="EN121" s="48" t="n">
        <f aca="false">EM$121+EN$116-EN$117</f>
        <v>11054697.4089387</v>
      </c>
      <c r="EO121" s="48" t="n">
        <f aca="false">EN$121+EO$116-EO$117</f>
        <v>11054697.4089387</v>
      </c>
      <c r="EP121" s="48" t="n">
        <f aca="false">EO$121+EP$116-EP$117</f>
        <v>11054697.4089387</v>
      </c>
      <c r="EQ121" s="48" t="n">
        <f aca="false">EP$121+EQ$116-EQ$117</f>
        <v>11054697.4089387</v>
      </c>
      <c r="ER121" s="48" t="n">
        <f aca="false">EQ$121+ER$116-ER$117</f>
        <v>11054697.4089387</v>
      </c>
      <c r="ES121" s="48" t="n">
        <f aca="false">ER$121+ES$116-ES$117</f>
        <v>11054697.4089387</v>
      </c>
    </row>
    <row r="122" customFormat="false" ht="15" hidden="false" customHeight="false" outlineLevel="0" collapsed="false">
      <c r="A122" s="13"/>
      <c r="B122" s="12" t="s">
        <v>1209</v>
      </c>
      <c r="C122" s="13"/>
      <c r="D122" s="13"/>
      <c r="E122" s="13"/>
    </row>
    <row r="123" customFormat="false" ht="15" hidden="false" customHeight="false" outlineLevel="0" collapsed="false">
      <c r="A123" s="11" t="s">
        <v>1210</v>
      </c>
      <c r="B123" s="15" t="s">
        <v>1211</v>
      </c>
      <c r="C123" s="15" t="s">
        <v>508</v>
      </c>
      <c r="E123" s="54" t="n">
        <f aca="false">SUM(F123:ES123)</f>
        <v>2791587</v>
      </c>
      <c r="F123" s="48" t="n">
        <f aca="false">IF((1-N(P_L1_Mes)+1)=1,N(P_L1_Monto),0)*F$9</f>
        <v>2791587</v>
      </c>
      <c r="G123" s="48" t="n">
        <f aca="false">IF((2-N(P_L1_Mes)+1)=1,N(P_L1_Monto),0)*G$9</f>
        <v>0</v>
      </c>
      <c r="H123" s="48" t="n">
        <f aca="false">IF((3-N(P_L1_Mes)+1)=1,N(P_L1_Monto),0)*H$9</f>
        <v>0</v>
      </c>
      <c r="I123" s="48" t="n">
        <f aca="false">IF((4-N(P_L1_Mes)+1)=1,N(P_L1_Monto),0)*I$9</f>
        <v>0</v>
      </c>
      <c r="J123" s="48" t="n">
        <f aca="false">IF((5-N(P_L1_Mes)+1)=1,N(P_L1_Monto),0)*J$9</f>
        <v>0</v>
      </c>
      <c r="K123" s="48" t="n">
        <f aca="false">IF((6-N(P_L1_Mes)+1)=1,N(P_L1_Monto),0)*K$9</f>
        <v>0</v>
      </c>
      <c r="L123" s="48" t="n">
        <f aca="false">IF((7-N(P_L1_Mes)+1)=1,N(P_L1_Monto),0)*L$9</f>
        <v>0</v>
      </c>
      <c r="M123" s="48" t="n">
        <f aca="false">IF((8-N(P_L1_Mes)+1)=1,N(P_L1_Monto),0)*M$9</f>
        <v>0</v>
      </c>
      <c r="N123" s="48" t="n">
        <f aca="false">IF((9-N(P_L1_Mes)+1)=1,N(P_L1_Monto),0)*N$9</f>
        <v>0</v>
      </c>
      <c r="O123" s="48" t="n">
        <f aca="false">IF((10-N(P_L1_Mes)+1)=1,N(P_L1_Monto),0)*O$9</f>
        <v>0</v>
      </c>
      <c r="P123" s="48" t="n">
        <f aca="false">IF((11-N(P_L1_Mes)+1)=1,N(P_L1_Monto),0)*P$9</f>
        <v>0</v>
      </c>
      <c r="Q123" s="48" t="n">
        <f aca="false">IF((12-N(P_L1_Mes)+1)=1,N(P_L1_Monto),0)*Q$9</f>
        <v>0</v>
      </c>
      <c r="R123" s="48" t="n">
        <f aca="false">IF((13-N(P_L1_Mes)+1)=1,N(P_L1_Monto),0)*R$9</f>
        <v>0</v>
      </c>
      <c r="S123" s="48" t="n">
        <f aca="false">IF((14-N(P_L1_Mes)+1)=1,N(P_L1_Monto),0)*S$9</f>
        <v>0</v>
      </c>
      <c r="T123" s="48" t="n">
        <f aca="false">IF((15-N(P_L1_Mes)+1)=1,N(P_L1_Monto),0)*T$9</f>
        <v>0</v>
      </c>
      <c r="U123" s="48" t="n">
        <f aca="false">IF((16-N(P_L1_Mes)+1)=1,N(P_L1_Monto),0)*U$9</f>
        <v>0</v>
      </c>
      <c r="V123" s="48" t="n">
        <f aca="false">IF((17-N(P_L1_Mes)+1)=1,N(P_L1_Monto),0)*V$9</f>
        <v>0</v>
      </c>
      <c r="W123" s="48" t="n">
        <f aca="false">IF((18-N(P_L1_Mes)+1)=1,N(P_L1_Monto),0)*W$9</f>
        <v>0</v>
      </c>
      <c r="X123" s="48" t="n">
        <f aca="false">IF((19-N(P_L1_Mes)+1)=1,N(P_L1_Monto),0)*X$9</f>
        <v>0</v>
      </c>
      <c r="Y123" s="48" t="n">
        <f aca="false">IF((20-N(P_L1_Mes)+1)=1,N(P_L1_Monto),0)*Y$9</f>
        <v>0</v>
      </c>
      <c r="Z123" s="48" t="n">
        <f aca="false">IF((21-N(P_L1_Mes)+1)=1,N(P_L1_Monto),0)*Z$9</f>
        <v>0</v>
      </c>
      <c r="AA123" s="48" t="n">
        <f aca="false">IF((22-N(P_L1_Mes)+1)=1,N(P_L1_Monto),0)*AA$9</f>
        <v>0</v>
      </c>
      <c r="AB123" s="48" t="n">
        <f aca="false">IF((23-N(P_L1_Mes)+1)=1,N(P_L1_Monto),0)*AB$9</f>
        <v>0</v>
      </c>
      <c r="AC123" s="48" t="n">
        <f aca="false">IF((24-N(P_L1_Mes)+1)=1,N(P_L1_Monto),0)*AC$9</f>
        <v>0</v>
      </c>
      <c r="AD123" s="48" t="n">
        <f aca="false">IF((25-N(P_L1_Mes)+1)=1,N(P_L1_Monto),0)*AD$9</f>
        <v>0</v>
      </c>
      <c r="AE123" s="48" t="n">
        <f aca="false">IF((26-N(P_L1_Mes)+1)=1,N(P_L1_Monto),0)*AE$9</f>
        <v>0</v>
      </c>
      <c r="AF123" s="48" t="n">
        <f aca="false">IF((27-N(P_L1_Mes)+1)=1,N(P_L1_Monto),0)*AF$9</f>
        <v>0</v>
      </c>
      <c r="AG123" s="48" t="n">
        <f aca="false">IF((28-N(P_L1_Mes)+1)=1,N(P_L1_Monto),0)*AG$9</f>
        <v>0</v>
      </c>
      <c r="AH123" s="48" t="n">
        <f aca="false">IF((29-N(P_L1_Mes)+1)=1,N(P_L1_Monto),0)*AH$9</f>
        <v>0</v>
      </c>
      <c r="AI123" s="48" t="n">
        <f aca="false">IF((30-N(P_L1_Mes)+1)=1,N(P_L1_Monto),0)*AI$9</f>
        <v>0</v>
      </c>
      <c r="AJ123" s="48" t="n">
        <f aca="false">IF((31-N(P_L1_Mes)+1)=1,N(P_L1_Monto),0)*AJ$9</f>
        <v>0</v>
      </c>
      <c r="AK123" s="48" t="n">
        <f aca="false">IF((32-N(P_L1_Mes)+1)=1,N(P_L1_Monto),0)*AK$9</f>
        <v>0</v>
      </c>
      <c r="AL123" s="48" t="n">
        <f aca="false">IF((33-N(P_L1_Mes)+1)=1,N(P_L1_Monto),0)*AL$9</f>
        <v>0</v>
      </c>
      <c r="AM123" s="48" t="n">
        <f aca="false">IF((34-N(P_L1_Mes)+1)=1,N(P_L1_Monto),0)*AM$9</f>
        <v>0</v>
      </c>
      <c r="AN123" s="48" t="n">
        <f aca="false">IF((35-N(P_L1_Mes)+1)=1,N(P_L1_Monto),0)*AN$9</f>
        <v>0</v>
      </c>
      <c r="AO123" s="48" t="n">
        <f aca="false">IF((36-N(P_L1_Mes)+1)=1,N(P_L1_Monto),0)*AO$9</f>
        <v>0</v>
      </c>
      <c r="AP123" s="48" t="n">
        <f aca="false">IF((37-N(P_L1_Mes)+1)=1,N(P_L1_Monto),0)*AP$9</f>
        <v>0</v>
      </c>
      <c r="AQ123" s="48" t="n">
        <f aca="false">IF((38-N(P_L1_Mes)+1)=1,N(P_L1_Monto),0)*AQ$9</f>
        <v>0</v>
      </c>
      <c r="AR123" s="48" t="n">
        <f aca="false">IF((39-N(P_L1_Mes)+1)=1,N(P_L1_Monto),0)*AR$9</f>
        <v>0</v>
      </c>
      <c r="AS123" s="48" t="n">
        <f aca="false">IF((40-N(P_L1_Mes)+1)=1,N(P_L1_Monto),0)*AS$9</f>
        <v>0</v>
      </c>
      <c r="AT123" s="48" t="n">
        <f aca="false">IF((41-N(P_L1_Mes)+1)=1,N(P_L1_Monto),0)*AT$9</f>
        <v>0</v>
      </c>
      <c r="AU123" s="48" t="n">
        <f aca="false">IF((42-N(P_L1_Mes)+1)=1,N(P_L1_Monto),0)*AU$9</f>
        <v>0</v>
      </c>
      <c r="AV123" s="48" t="n">
        <f aca="false">IF((43-N(P_L1_Mes)+1)=1,N(P_L1_Monto),0)*AV$9</f>
        <v>0</v>
      </c>
      <c r="AW123" s="48" t="n">
        <f aca="false">IF((44-N(P_L1_Mes)+1)=1,N(P_L1_Monto),0)*AW$9</f>
        <v>0</v>
      </c>
      <c r="AX123" s="48" t="n">
        <f aca="false">IF((45-N(P_L1_Mes)+1)=1,N(P_L1_Monto),0)*AX$9</f>
        <v>0</v>
      </c>
      <c r="AY123" s="48" t="n">
        <f aca="false">IF((46-N(P_L1_Mes)+1)=1,N(P_L1_Monto),0)*AY$9</f>
        <v>0</v>
      </c>
      <c r="AZ123" s="48" t="n">
        <f aca="false">IF((47-N(P_L1_Mes)+1)=1,N(P_L1_Monto),0)*AZ$9</f>
        <v>0</v>
      </c>
      <c r="BA123" s="48" t="n">
        <f aca="false">IF((48-N(P_L1_Mes)+1)=1,N(P_L1_Monto),0)*BA$9</f>
        <v>0</v>
      </c>
      <c r="BB123" s="48" t="n">
        <f aca="false">IF((49-N(P_L1_Mes)+1)=1,N(P_L1_Monto),0)*BB$9</f>
        <v>0</v>
      </c>
      <c r="BC123" s="48" t="n">
        <f aca="false">IF((50-N(P_L1_Mes)+1)=1,N(P_L1_Monto),0)*BC$9</f>
        <v>0</v>
      </c>
      <c r="BD123" s="48" t="n">
        <f aca="false">IF((51-N(P_L1_Mes)+1)=1,N(P_L1_Monto),0)*BD$9</f>
        <v>0</v>
      </c>
      <c r="BE123" s="48" t="n">
        <f aca="false">IF((52-N(P_L1_Mes)+1)=1,N(P_L1_Monto),0)*BE$9</f>
        <v>0</v>
      </c>
      <c r="BF123" s="48" t="n">
        <f aca="false">IF((53-N(P_L1_Mes)+1)=1,N(P_L1_Monto),0)*BF$9</f>
        <v>0</v>
      </c>
      <c r="BG123" s="48" t="n">
        <f aca="false">IF((54-N(P_L1_Mes)+1)=1,N(P_L1_Monto),0)*BG$9</f>
        <v>0</v>
      </c>
      <c r="BH123" s="48" t="n">
        <f aca="false">IF((55-N(P_L1_Mes)+1)=1,N(P_L1_Monto),0)*BH$9</f>
        <v>0</v>
      </c>
      <c r="BI123" s="48" t="n">
        <f aca="false">IF((56-N(P_L1_Mes)+1)=1,N(P_L1_Monto),0)*BI$9</f>
        <v>0</v>
      </c>
      <c r="BJ123" s="48" t="n">
        <f aca="false">IF((57-N(P_L1_Mes)+1)=1,N(P_L1_Monto),0)*BJ$9</f>
        <v>0</v>
      </c>
      <c r="BK123" s="48" t="n">
        <f aca="false">IF((58-N(P_L1_Mes)+1)=1,N(P_L1_Monto),0)*BK$9</f>
        <v>0</v>
      </c>
      <c r="BL123" s="48" t="n">
        <f aca="false">IF((59-N(P_L1_Mes)+1)=1,N(P_L1_Monto),0)*BL$9</f>
        <v>0</v>
      </c>
      <c r="BM123" s="48" t="n">
        <f aca="false">IF((60-N(P_L1_Mes)+1)=1,N(P_L1_Monto),0)*BM$9</f>
        <v>0</v>
      </c>
      <c r="BN123" s="48" t="n">
        <f aca="false">IF((61-N(P_L1_Mes)+1)=1,N(P_L1_Monto),0)*BN$9</f>
        <v>0</v>
      </c>
      <c r="BO123" s="48" t="n">
        <f aca="false">IF((62-N(P_L1_Mes)+1)=1,N(P_L1_Monto),0)*BO$9</f>
        <v>0</v>
      </c>
      <c r="BP123" s="48" t="n">
        <f aca="false">IF((63-N(P_L1_Mes)+1)=1,N(P_L1_Monto),0)*BP$9</f>
        <v>0</v>
      </c>
      <c r="BQ123" s="48" t="n">
        <f aca="false">IF((64-N(P_L1_Mes)+1)=1,N(P_L1_Monto),0)*BQ$9</f>
        <v>0</v>
      </c>
      <c r="BR123" s="48" t="n">
        <f aca="false">IF((65-N(P_L1_Mes)+1)=1,N(P_L1_Monto),0)*BR$9</f>
        <v>0</v>
      </c>
      <c r="BS123" s="48" t="n">
        <f aca="false">IF((66-N(P_L1_Mes)+1)=1,N(P_L1_Monto),0)*BS$9</f>
        <v>0</v>
      </c>
      <c r="BT123" s="48" t="n">
        <f aca="false">IF((67-N(P_L1_Mes)+1)=1,N(P_L1_Monto),0)*BT$9</f>
        <v>0</v>
      </c>
      <c r="BU123" s="48" t="n">
        <f aca="false">IF((68-N(P_L1_Mes)+1)=1,N(P_L1_Monto),0)*BU$9</f>
        <v>0</v>
      </c>
      <c r="BV123" s="48" t="n">
        <f aca="false">IF((69-N(P_L1_Mes)+1)=1,N(P_L1_Monto),0)*BV$9</f>
        <v>0</v>
      </c>
      <c r="BW123" s="48" t="n">
        <f aca="false">IF((70-N(P_L1_Mes)+1)=1,N(P_L1_Monto),0)*BW$9</f>
        <v>0</v>
      </c>
      <c r="BX123" s="48" t="n">
        <f aca="false">IF((71-N(P_L1_Mes)+1)=1,N(P_L1_Monto),0)*BX$9</f>
        <v>0</v>
      </c>
      <c r="BY123" s="48" t="n">
        <f aca="false">IF((72-N(P_L1_Mes)+1)=1,N(P_L1_Monto),0)*BY$9</f>
        <v>0</v>
      </c>
      <c r="BZ123" s="48" t="n">
        <f aca="false">IF((73-N(P_L1_Mes)+1)=1,N(P_L1_Monto),0)*BZ$9</f>
        <v>0</v>
      </c>
      <c r="CA123" s="48" t="n">
        <f aca="false">IF((74-N(P_L1_Mes)+1)=1,N(P_L1_Monto),0)*CA$9</f>
        <v>0</v>
      </c>
      <c r="CB123" s="48" t="n">
        <f aca="false">IF((75-N(P_L1_Mes)+1)=1,N(P_L1_Monto),0)*CB$9</f>
        <v>0</v>
      </c>
      <c r="CC123" s="48" t="n">
        <f aca="false">IF((76-N(P_L1_Mes)+1)=1,N(P_L1_Monto),0)*CC$9</f>
        <v>0</v>
      </c>
      <c r="CD123" s="48" t="n">
        <f aca="false">IF((77-N(P_L1_Mes)+1)=1,N(P_L1_Monto),0)*CD$9</f>
        <v>0</v>
      </c>
      <c r="CE123" s="48" t="n">
        <f aca="false">IF((78-N(P_L1_Mes)+1)=1,N(P_L1_Monto),0)*CE$9</f>
        <v>0</v>
      </c>
      <c r="CF123" s="48" t="n">
        <f aca="false">IF((79-N(P_L1_Mes)+1)=1,N(P_L1_Monto),0)*CF$9</f>
        <v>0</v>
      </c>
      <c r="CG123" s="48" t="n">
        <f aca="false">IF((80-N(P_L1_Mes)+1)=1,N(P_L1_Monto),0)*CG$9</f>
        <v>0</v>
      </c>
      <c r="CH123" s="48" t="n">
        <f aca="false">IF((81-N(P_L1_Mes)+1)=1,N(P_L1_Monto),0)*CH$9</f>
        <v>0</v>
      </c>
      <c r="CI123" s="48" t="n">
        <f aca="false">IF((82-N(P_L1_Mes)+1)=1,N(P_L1_Monto),0)*CI$9</f>
        <v>0</v>
      </c>
      <c r="CJ123" s="48" t="n">
        <f aca="false">IF((83-N(P_L1_Mes)+1)=1,N(P_L1_Monto),0)*CJ$9</f>
        <v>0</v>
      </c>
      <c r="CK123" s="48" t="n">
        <f aca="false">IF((84-N(P_L1_Mes)+1)=1,N(P_L1_Monto),0)*CK$9</f>
        <v>0</v>
      </c>
      <c r="CL123" s="48" t="n">
        <f aca="false">IF((85-N(P_L1_Mes)+1)=1,N(P_L1_Monto),0)*CL$9</f>
        <v>0</v>
      </c>
      <c r="CM123" s="48" t="n">
        <f aca="false">IF((86-N(P_L1_Mes)+1)=1,N(P_L1_Monto),0)*CM$9</f>
        <v>0</v>
      </c>
      <c r="CN123" s="48" t="n">
        <f aca="false">IF((87-N(P_L1_Mes)+1)=1,N(P_L1_Monto),0)*CN$9</f>
        <v>0</v>
      </c>
      <c r="CO123" s="48" t="n">
        <f aca="false">IF((88-N(P_L1_Mes)+1)=1,N(P_L1_Monto),0)*CO$9</f>
        <v>0</v>
      </c>
      <c r="CP123" s="48" t="n">
        <f aca="false">IF((89-N(P_L1_Mes)+1)=1,N(P_L1_Monto),0)*CP$9</f>
        <v>0</v>
      </c>
      <c r="CQ123" s="48" t="n">
        <f aca="false">IF((90-N(P_L1_Mes)+1)=1,N(P_L1_Monto),0)*CQ$9</f>
        <v>0</v>
      </c>
      <c r="CR123" s="48" t="n">
        <f aca="false">IF((91-N(P_L1_Mes)+1)=1,N(P_L1_Monto),0)*CR$9</f>
        <v>0</v>
      </c>
      <c r="CS123" s="48" t="n">
        <f aca="false">IF((92-N(P_L1_Mes)+1)=1,N(P_L1_Monto),0)*CS$9</f>
        <v>0</v>
      </c>
      <c r="CT123" s="48" t="n">
        <f aca="false">IF((93-N(P_L1_Mes)+1)=1,N(P_L1_Monto),0)*CT$9</f>
        <v>0</v>
      </c>
      <c r="CU123" s="48" t="n">
        <f aca="false">IF((94-N(P_L1_Mes)+1)=1,N(P_L1_Monto),0)*CU$9</f>
        <v>0</v>
      </c>
      <c r="CV123" s="48" t="n">
        <f aca="false">IF((95-N(P_L1_Mes)+1)=1,N(P_L1_Monto),0)*CV$9</f>
        <v>0</v>
      </c>
      <c r="CW123" s="48" t="n">
        <f aca="false">IF((96-N(P_L1_Mes)+1)=1,N(P_L1_Monto),0)*CW$9</f>
        <v>0</v>
      </c>
      <c r="CX123" s="48" t="n">
        <f aca="false">IF((97-N(P_L1_Mes)+1)=1,N(P_L1_Monto),0)*CX$9</f>
        <v>0</v>
      </c>
      <c r="CY123" s="48" t="n">
        <f aca="false">IF((98-N(P_L1_Mes)+1)=1,N(P_L1_Monto),0)*CY$9</f>
        <v>0</v>
      </c>
      <c r="CZ123" s="48" t="n">
        <f aca="false">IF((99-N(P_L1_Mes)+1)=1,N(P_L1_Monto),0)*CZ$9</f>
        <v>0</v>
      </c>
      <c r="DA123" s="48" t="n">
        <f aca="false">IF((100-N(P_L1_Mes)+1)=1,N(P_L1_Monto),0)*DA$9</f>
        <v>0</v>
      </c>
      <c r="DB123" s="48" t="n">
        <f aca="false">IF((101-N(P_L1_Mes)+1)=1,N(P_L1_Monto),0)*DB$9</f>
        <v>0</v>
      </c>
      <c r="DC123" s="48" t="n">
        <f aca="false">IF((102-N(P_L1_Mes)+1)=1,N(P_L1_Monto),0)*DC$9</f>
        <v>0</v>
      </c>
      <c r="DD123" s="48" t="n">
        <f aca="false">IF((103-N(P_L1_Mes)+1)=1,N(P_L1_Monto),0)*DD$9</f>
        <v>0</v>
      </c>
      <c r="DE123" s="48" t="n">
        <f aca="false">IF((104-N(P_L1_Mes)+1)=1,N(P_L1_Monto),0)*DE$9</f>
        <v>0</v>
      </c>
      <c r="DF123" s="48" t="n">
        <f aca="false">IF((105-N(P_L1_Mes)+1)=1,N(P_L1_Monto),0)*DF$9</f>
        <v>0</v>
      </c>
      <c r="DG123" s="48" t="n">
        <f aca="false">IF((106-N(P_L1_Mes)+1)=1,N(P_L1_Monto),0)*DG$9</f>
        <v>0</v>
      </c>
      <c r="DH123" s="48" t="n">
        <f aca="false">IF((107-N(P_L1_Mes)+1)=1,N(P_L1_Monto),0)*DH$9</f>
        <v>0</v>
      </c>
      <c r="DI123" s="48" t="n">
        <f aca="false">IF((108-N(P_L1_Mes)+1)=1,N(P_L1_Monto),0)*DI$9</f>
        <v>0</v>
      </c>
      <c r="DJ123" s="48" t="n">
        <f aca="false">IF((109-N(P_L1_Mes)+1)=1,N(P_L1_Monto),0)*DJ$9</f>
        <v>0</v>
      </c>
      <c r="DK123" s="48" t="n">
        <f aca="false">IF((110-N(P_L1_Mes)+1)=1,N(P_L1_Monto),0)*DK$9</f>
        <v>0</v>
      </c>
      <c r="DL123" s="48" t="n">
        <f aca="false">IF((111-N(P_L1_Mes)+1)=1,N(P_L1_Monto),0)*DL$9</f>
        <v>0</v>
      </c>
      <c r="DM123" s="48" t="n">
        <f aca="false">IF((112-N(P_L1_Mes)+1)=1,N(P_L1_Monto),0)*DM$9</f>
        <v>0</v>
      </c>
      <c r="DN123" s="48" t="n">
        <f aca="false">IF((113-N(P_L1_Mes)+1)=1,N(P_L1_Monto),0)*DN$9</f>
        <v>0</v>
      </c>
      <c r="DO123" s="48" t="n">
        <f aca="false">IF((114-N(P_L1_Mes)+1)=1,N(P_L1_Monto),0)*DO$9</f>
        <v>0</v>
      </c>
      <c r="DP123" s="48" t="n">
        <f aca="false">IF((115-N(P_L1_Mes)+1)=1,N(P_L1_Monto),0)*DP$9</f>
        <v>0</v>
      </c>
      <c r="DQ123" s="48" t="n">
        <f aca="false">IF((116-N(P_L1_Mes)+1)=1,N(P_L1_Monto),0)*DQ$9</f>
        <v>0</v>
      </c>
      <c r="DR123" s="48" t="n">
        <f aca="false">IF((117-N(P_L1_Mes)+1)=1,N(P_L1_Monto),0)*DR$9</f>
        <v>0</v>
      </c>
      <c r="DS123" s="48" t="n">
        <f aca="false">IF((118-N(P_L1_Mes)+1)=1,N(P_L1_Monto),0)*DS$9</f>
        <v>0</v>
      </c>
      <c r="DT123" s="48" t="n">
        <f aca="false">IF((119-N(P_L1_Mes)+1)=1,N(P_L1_Monto),0)*DT$9</f>
        <v>0</v>
      </c>
      <c r="DU123" s="48" t="n">
        <f aca="false">IF((120-N(P_L1_Mes)+1)=1,N(P_L1_Monto),0)*DU$9</f>
        <v>0</v>
      </c>
      <c r="DV123" s="48" t="n">
        <f aca="false">IF((121-N(P_L1_Mes)+1)=1,N(P_L1_Monto),0)*DV$9</f>
        <v>0</v>
      </c>
      <c r="DW123" s="48" t="n">
        <f aca="false">IF((122-N(P_L1_Mes)+1)=1,N(P_L1_Monto),0)*DW$9</f>
        <v>0</v>
      </c>
      <c r="DX123" s="48" t="n">
        <f aca="false">IF((123-N(P_L1_Mes)+1)=1,N(P_L1_Monto),0)*DX$9</f>
        <v>0</v>
      </c>
      <c r="DY123" s="48" t="n">
        <f aca="false">IF((124-N(P_L1_Mes)+1)=1,N(P_L1_Monto),0)*DY$9</f>
        <v>0</v>
      </c>
      <c r="DZ123" s="48" t="n">
        <f aca="false">IF((125-N(P_L1_Mes)+1)=1,N(P_L1_Monto),0)*DZ$9</f>
        <v>0</v>
      </c>
      <c r="EA123" s="48" t="n">
        <f aca="false">IF((126-N(P_L1_Mes)+1)=1,N(P_L1_Monto),0)*EA$9</f>
        <v>0</v>
      </c>
      <c r="EB123" s="48" t="n">
        <f aca="false">IF((127-N(P_L1_Mes)+1)=1,N(P_L1_Monto),0)*EB$9</f>
        <v>0</v>
      </c>
      <c r="EC123" s="48" t="n">
        <f aca="false">IF((128-N(P_L1_Mes)+1)=1,N(P_L1_Monto),0)*EC$9</f>
        <v>0</v>
      </c>
      <c r="ED123" s="48" t="n">
        <f aca="false">IF((129-N(P_L1_Mes)+1)=1,N(P_L1_Monto),0)*ED$9</f>
        <v>0</v>
      </c>
      <c r="EE123" s="48" t="n">
        <f aca="false">IF((130-N(P_L1_Mes)+1)=1,N(P_L1_Monto),0)*EE$9</f>
        <v>0</v>
      </c>
      <c r="EF123" s="48" t="n">
        <f aca="false">IF((131-N(P_L1_Mes)+1)=1,N(P_L1_Monto),0)*EF$9</f>
        <v>0</v>
      </c>
      <c r="EG123" s="48" t="n">
        <f aca="false">IF((132-N(P_L1_Mes)+1)=1,N(P_L1_Monto),0)*EG$9</f>
        <v>0</v>
      </c>
      <c r="EH123" s="48" t="n">
        <f aca="false">IF((133-N(P_L1_Mes)+1)=1,N(P_L1_Monto),0)*EH$9</f>
        <v>0</v>
      </c>
      <c r="EI123" s="48" t="n">
        <f aca="false">IF((134-N(P_L1_Mes)+1)=1,N(P_L1_Monto),0)*EI$9</f>
        <v>0</v>
      </c>
      <c r="EJ123" s="48" t="n">
        <f aca="false">IF((135-N(P_L1_Mes)+1)=1,N(P_L1_Monto),0)*EJ$9</f>
        <v>0</v>
      </c>
      <c r="EK123" s="48" t="n">
        <f aca="false">IF((136-N(P_L1_Mes)+1)=1,N(P_L1_Monto),0)*EK$9</f>
        <v>0</v>
      </c>
      <c r="EL123" s="48" t="n">
        <f aca="false">IF((137-N(P_L1_Mes)+1)=1,N(P_L1_Monto),0)*EL$9</f>
        <v>0</v>
      </c>
      <c r="EM123" s="48" t="n">
        <f aca="false">IF((138-N(P_L1_Mes)+1)=1,N(P_L1_Monto),0)*EM$9</f>
        <v>0</v>
      </c>
      <c r="EN123" s="48" t="n">
        <f aca="false">IF((139-N(P_L1_Mes)+1)=1,N(P_L1_Monto),0)*EN$9</f>
        <v>0</v>
      </c>
      <c r="EO123" s="48" t="n">
        <f aca="false">IF((140-N(P_L1_Mes)+1)=1,N(P_L1_Monto),0)*EO$9</f>
        <v>0</v>
      </c>
      <c r="EP123" s="48" t="n">
        <f aca="false">IF((141-N(P_L1_Mes)+1)=1,N(P_L1_Monto),0)*EP$9</f>
        <v>0</v>
      </c>
      <c r="EQ123" s="48" t="n">
        <f aca="false">IF((142-N(P_L1_Mes)+1)=1,N(P_L1_Monto),0)*EQ$9</f>
        <v>0</v>
      </c>
      <c r="ER123" s="48" t="n">
        <f aca="false">IF((143-N(P_L1_Mes)+1)=1,N(P_L1_Monto),0)*ER$9</f>
        <v>0</v>
      </c>
      <c r="ES123" s="48" t="n">
        <f aca="false">IF((144-N(P_L1_Mes)+1)=1,N(P_L1_Monto),0)*ES$9</f>
        <v>0</v>
      </c>
    </row>
    <row r="124" customFormat="false" ht="15" hidden="false" customHeight="false" outlineLevel="0" collapsed="false">
      <c r="A124" s="11" t="s">
        <v>1212</v>
      </c>
      <c r="B124" s="15" t="s">
        <v>1213</v>
      </c>
      <c r="C124" s="15" t="s">
        <v>508</v>
      </c>
      <c r="E124" s="54" t="n">
        <f aca="false">SUM(F124:ES124)</f>
        <v>739285.57111314</v>
      </c>
      <c r="F124" s="48" t="n">
        <f aca="false">IF((1-N(P_L1_Mes)+1)&gt;=1,IF((1-N(P_L1_Mes)+1)=1,N(P_L1_Monto),0)*N(P_L1_Tasa)/12,0)*F$9</f>
        <v>20936.9025</v>
      </c>
      <c r="G124" s="48" t="n">
        <f aca="false">IF((2-N(P_L1_Mes)+1)&gt;=1,IF((2-N(P_L1_Mes)+1)=1,N(P_L1_Monto),F$126)*N(P_L1_Tasa)/12,0)*G$9</f>
        <v>20936.9025</v>
      </c>
      <c r="H124" s="48" t="n">
        <f aca="false">IF((3-N(P_L1_Mes)+1)&gt;=1,IF((3-N(P_L1_Mes)+1)=1,N(P_L1_Monto),G$126)*N(P_L1_Tasa)/12,0)*H$9</f>
        <v>20936.9025</v>
      </c>
      <c r="I124" s="48" t="n">
        <f aca="false">IF((4-N(P_L1_Mes)+1)&gt;=1,IF((4-N(P_L1_Mes)+1)=1,N(P_L1_Monto),H$126)*N(P_L1_Tasa)/12,0)*I$9</f>
        <v>20936.9025</v>
      </c>
      <c r="J124" s="48" t="n">
        <f aca="false">IF((5-N(P_L1_Mes)+1)&gt;=1,IF((5-N(P_L1_Mes)+1)=1,N(P_L1_Monto),I$126)*N(P_L1_Tasa)/12,0)*J$9</f>
        <v>20936.9025</v>
      </c>
      <c r="K124" s="48" t="n">
        <f aca="false">IF((6-N(P_L1_Mes)+1)&gt;=1,IF((6-N(P_L1_Mes)+1)=1,N(P_L1_Monto),J$126)*N(P_L1_Tasa)/12,0)*K$9</f>
        <v>20936.9025</v>
      </c>
      <c r="L124" s="48" t="n">
        <f aca="false">IF((7-N(P_L1_Mes)+1)&gt;=1,IF((7-N(P_L1_Mes)+1)=1,N(P_L1_Monto),K$126)*N(P_L1_Tasa)/12,0)*L$9</f>
        <v>20936.9025</v>
      </c>
      <c r="M124" s="48" t="n">
        <f aca="false">IF((8-N(P_L1_Mes)+1)&gt;=1,IF((8-N(P_L1_Mes)+1)=1,N(P_L1_Monto),L$126)*N(P_L1_Tasa)/12,0)*M$9</f>
        <v>20620.9777192898</v>
      </c>
      <c r="N124" s="48" t="n">
        <f aca="false">IF((9-N(P_L1_Mes)+1)&gt;=1,IF((9-N(P_L1_Mes)+1)=1,N(P_L1_Monto),M$126)*N(P_L1_Tasa)/12,0)*N$9</f>
        <v>20302.6835027244</v>
      </c>
      <c r="O124" s="48" t="n">
        <f aca="false">IF((10-N(P_L1_Mes)+1)&gt;=1,IF((10-N(P_L1_Mes)+1)=1,N(P_L1_Monto),N$126)*N(P_L1_Tasa)/12,0)*O$9</f>
        <v>19982.0020795346</v>
      </c>
      <c r="P124" s="48" t="n">
        <f aca="false">IF((11-N(P_L1_Mes)+1)&gt;=1,IF((11-N(P_L1_Mes)+1)=1,N(P_L1_Monto),O$126)*N(P_L1_Tasa)/12,0)*P$9</f>
        <v>19658.915545671</v>
      </c>
      <c r="Q124" s="48" t="n">
        <f aca="false">IF((12-N(P_L1_Mes)+1)&gt;=1,IF((12-N(P_L1_Mes)+1)=1,N(P_L1_Monto),P$126)*N(P_L1_Tasa)/12,0)*Q$9</f>
        <v>19333.4058628034</v>
      </c>
      <c r="R124" s="48" t="n">
        <f aca="false">IF((13-N(P_L1_Mes)+1)&gt;=1,IF((13-N(P_L1_Mes)+1)=1,N(P_L1_Monto),Q$126)*N(P_L1_Tasa)/12,0)*R$9</f>
        <v>19005.4548573142</v>
      </c>
      <c r="S124" s="48" t="n">
        <f aca="false">IF((14-N(P_L1_Mes)+1)&gt;=1,IF((14-N(P_L1_Mes)+1)=1,N(P_L1_Monto),R$126)*N(P_L1_Tasa)/12,0)*S$9</f>
        <v>18675.0442192839</v>
      </c>
      <c r="T124" s="48" t="n">
        <f aca="false">IF((15-N(P_L1_Mes)+1)&gt;=1,IF((15-N(P_L1_Mes)+1)=1,N(P_L1_Monto),S$126)*N(P_L1_Tasa)/12,0)*T$9</f>
        <v>18342.1555014684</v>
      </c>
      <c r="U124" s="48" t="n">
        <f aca="false">IF((16-N(P_L1_Mes)+1)&gt;=1,IF((16-N(P_L1_Mes)+1)=1,N(P_L1_Monto),T$126)*N(P_L1_Tasa)/12,0)*U$9</f>
        <v>18006.7701182693</v>
      </c>
      <c r="V124" s="48" t="n">
        <f aca="false">IF((17-N(P_L1_Mes)+1)&gt;=1,IF((17-N(P_L1_Mes)+1)=1,N(P_L1_Monto),U$126)*N(P_L1_Tasa)/12,0)*V$9</f>
        <v>17668.8693446961</v>
      </c>
      <c r="W124" s="48" t="n">
        <f aca="false">IF((18-N(P_L1_Mes)+1)&gt;=1,IF((18-N(P_L1_Mes)+1)=1,N(P_L1_Monto),V$126)*N(P_L1_Tasa)/12,0)*W$9</f>
        <v>17328.4343153212</v>
      </c>
      <c r="X124" s="48" t="n">
        <f aca="false">IF((19-N(P_L1_Mes)+1)&gt;=1,IF((19-N(P_L1_Mes)+1)=1,N(P_L1_Monto),W$126)*N(P_L1_Tasa)/12,0)*X$9</f>
        <v>16985.4460232259</v>
      </c>
      <c r="Y124" s="48" t="n">
        <f aca="false">IF((20-N(P_L1_Mes)+1)&gt;=1,IF((20-N(P_L1_Mes)+1)=1,N(P_L1_Monto),X$126)*N(P_L1_Tasa)/12,0)*Y$9</f>
        <v>16639.88531894</v>
      </c>
      <c r="Z124" s="48" t="n">
        <f aca="false">IF((21-N(P_L1_Mes)+1)&gt;=1,IF((21-N(P_L1_Mes)+1)=1,N(P_L1_Monto),Y$126)*N(P_L1_Tasa)/12,0)*Z$9</f>
        <v>16291.7329093719</v>
      </c>
      <c r="AA124" s="48" t="n">
        <f aca="false">IF((22-N(P_L1_Mes)+1)&gt;=1,IF((22-N(P_L1_Mes)+1)=1,N(P_L1_Monto),Z$126)*N(P_L1_Tasa)/12,0)*AA$9</f>
        <v>15940.969356732</v>
      </c>
      <c r="AB124" s="48" t="n">
        <f aca="false">IF((23-N(P_L1_Mes)+1)&gt;=1,IF((23-N(P_L1_Mes)+1)=1,N(P_L1_Monto),AA$126)*N(P_L1_Tasa)/12,0)*AB$9</f>
        <v>15587.5750774473</v>
      </c>
      <c r="AC124" s="48" t="n">
        <f aca="false">IF((24-N(P_L1_Mes)+1)&gt;=1,IF((24-N(P_L1_Mes)+1)=1,N(P_L1_Monto),AB$126)*N(P_L1_Tasa)/12,0)*AC$9</f>
        <v>15231.530341068</v>
      </c>
      <c r="AD124" s="48" t="n">
        <f aca="false">IF((25-N(P_L1_Mes)+1)&gt;=1,IF((25-N(P_L1_Mes)+1)=1,N(P_L1_Monto),AC$126)*N(P_L1_Tasa)/12,0)*AD$9</f>
        <v>14872.8152691659</v>
      </c>
      <c r="AE124" s="48" t="n">
        <f aca="false">IF((26-N(P_L1_Mes)+1)&gt;=1,IF((26-N(P_L1_Mes)+1)=1,N(P_L1_Monto),AD$126)*N(P_L1_Tasa)/12,0)*AE$9</f>
        <v>14511.4098342245</v>
      </c>
      <c r="AF124" s="48" t="n">
        <f aca="false">IF((27-N(P_L1_Mes)+1)&gt;=1,IF((27-N(P_L1_Mes)+1)=1,N(P_L1_Monto),AE$126)*N(P_L1_Tasa)/12,0)*AF$9</f>
        <v>14147.293858521</v>
      </c>
      <c r="AG124" s="48" t="n">
        <f aca="false">IF((28-N(P_L1_Mes)+1)&gt;=1,IF((28-N(P_L1_Mes)+1)=1,N(P_L1_Monto),AF$126)*N(P_L1_Tasa)/12,0)*AG$9</f>
        <v>13780.4470129997</v>
      </c>
      <c r="AH124" s="48" t="n">
        <f aca="false">IF((29-N(P_L1_Mes)+1)&gt;=1,IF((29-N(P_L1_Mes)+1)=1,N(P_L1_Monto),AG$126)*N(P_L1_Tasa)/12,0)*AH$9</f>
        <v>13410.8488161371</v>
      </c>
      <c r="AI124" s="48" t="n">
        <f aca="false">IF((30-N(P_L1_Mes)+1)&gt;=1,IF((30-N(P_L1_Mes)+1)=1,N(P_L1_Monto),AH$126)*N(P_L1_Tasa)/12,0)*AI$9</f>
        <v>13038.4786327979</v>
      </c>
      <c r="AJ124" s="48" t="n">
        <f aca="false">IF((31-N(P_L1_Mes)+1)&gt;=1,IF((31-N(P_L1_Mes)+1)=1,N(P_L1_Monto),AI$126)*N(P_L1_Tasa)/12,0)*AJ$9</f>
        <v>12663.3156730838</v>
      </c>
      <c r="AK124" s="48" t="n">
        <f aca="false">IF((32-N(P_L1_Mes)+1)&gt;=1,IF((32-N(P_L1_Mes)+1)=1,N(P_L1_Monto),AJ$126)*N(P_L1_Tasa)/12,0)*AK$9</f>
        <v>12285.3389911717</v>
      </c>
      <c r="AL124" s="48" t="n">
        <f aca="false">IF((33-N(P_L1_Mes)+1)&gt;=1,IF((33-N(P_L1_Mes)+1)=1,N(P_L1_Monto),AK$126)*N(P_L1_Tasa)/12,0)*AL$9</f>
        <v>11904.5274841454</v>
      </c>
      <c r="AM124" s="48" t="n">
        <f aca="false">IF((34-N(P_L1_Mes)+1)&gt;=1,IF((34-N(P_L1_Mes)+1)=1,N(P_L1_Monto),AL$126)*N(P_L1_Tasa)/12,0)*AM$9</f>
        <v>11520.8598908163</v>
      </c>
      <c r="AN124" s="48" t="n">
        <f aca="false">IF((35-N(P_L1_Mes)+1)&gt;=1,IF((35-N(P_L1_Mes)+1)=1,N(P_L1_Monto),AM$126)*N(P_L1_Tasa)/12,0)*AN$9</f>
        <v>11134.3147905373</v>
      </c>
      <c r="AO124" s="48" t="n">
        <f aca="false">IF((36-N(P_L1_Mes)+1)&gt;=1,IF((36-N(P_L1_Mes)+1)=1,N(P_L1_Monto),AN$126)*N(P_L1_Tasa)/12,0)*AO$9</f>
        <v>10744.8706020061</v>
      </c>
      <c r="AP124" s="48" t="n">
        <f aca="false">IF((37-N(P_L1_Mes)+1)&gt;=1,IF((37-N(P_L1_Mes)+1)=1,N(P_L1_Monto),AO$126)*N(P_L1_Tasa)/12,0)*AP$9</f>
        <v>10352.505582061</v>
      </c>
      <c r="AQ124" s="48" t="n">
        <f aca="false">IF((38-N(P_L1_Mes)+1)&gt;=1,IF((38-N(P_L1_Mes)+1)=1,N(P_L1_Monto),AP$126)*N(P_L1_Tasa)/12,0)*AQ$9</f>
        <v>9957.19782446632</v>
      </c>
      <c r="AR124" s="48" t="n">
        <f aca="false">IF((39-N(P_L1_Mes)+1)&gt;=1,IF((39-N(P_L1_Mes)+1)=1,N(P_L1_Monto),AQ$126)*N(P_L1_Tasa)/12,0)*AR$9</f>
        <v>9558.92525868966</v>
      </c>
      <c r="AS124" s="48" t="n">
        <f aca="false">IF((40-N(P_L1_Mes)+1)&gt;=1,IF((40-N(P_L1_Mes)+1)=1,N(P_L1_Monto),AR$126)*N(P_L1_Tasa)/12,0)*AS$9</f>
        <v>9157.66564866968</v>
      </c>
      <c r="AT124" s="48" t="n">
        <f aca="false">IF((41-N(P_L1_Mes)+1)&gt;=1,IF((41-N(P_L1_Mes)+1)=1,N(P_L1_Monto),AS$126)*N(P_L1_Tasa)/12,0)*AT$9</f>
        <v>8753.39659157454</v>
      </c>
      <c r="AU124" s="48" t="n">
        <f aca="false">IF((42-N(P_L1_Mes)+1)&gt;=1,IF((42-N(P_L1_Mes)+1)=1,N(P_L1_Monto),AT$126)*N(P_L1_Tasa)/12,0)*AU$9</f>
        <v>8346.09551655119</v>
      </c>
      <c r="AV124" s="48" t="n">
        <f aca="false">IF((43-N(P_L1_Mes)+1)&gt;=1,IF((43-N(P_L1_Mes)+1)=1,N(P_L1_Monto),AU$126)*N(P_L1_Tasa)/12,0)*AV$9</f>
        <v>7935.73968346517</v>
      </c>
      <c r="AW124" s="48" t="n">
        <f aca="false">IF((44-N(P_L1_Mes)+1)&gt;=1,IF((44-N(P_L1_Mes)+1)=1,N(P_L1_Monto),AV$126)*N(P_L1_Tasa)/12,0)*AW$9</f>
        <v>7522.306181631</v>
      </c>
      <c r="AX124" s="48" t="n">
        <f aca="false">IF((45-N(P_L1_Mes)+1)&gt;=1,IF((45-N(P_L1_Mes)+1)=1,N(P_L1_Monto),AW$126)*N(P_L1_Tasa)/12,0)*AX$9</f>
        <v>7105.77192853307</v>
      </c>
      <c r="AY124" s="48" t="n">
        <f aca="false">IF((46-N(P_L1_Mes)+1)&gt;=1,IF((46-N(P_L1_Mes)+1)=1,N(P_L1_Monto),AX$126)*N(P_L1_Tasa)/12,0)*AY$9</f>
        <v>6686.11366853691</v>
      </c>
      <c r="AZ124" s="48" t="n">
        <f aca="false">IF((47-N(P_L1_Mes)+1)&gt;=1,IF((47-N(P_L1_Mes)+1)=1,N(P_L1_Monto),AY$126)*N(P_L1_Tasa)/12,0)*AZ$9</f>
        <v>6263.30797159078</v>
      </c>
      <c r="BA124" s="48" t="n">
        <f aca="false">IF((48-N(P_L1_Mes)+1)&gt;=1,IF((48-N(P_L1_Mes)+1)=1,N(P_L1_Monto),AZ$126)*N(P_L1_Tasa)/12,0)*BA$9</f>
        <v>5837.33123191755</v>
      </c>
      <c r="BB124" s="48" t="n">
        <f aca="false">IF((49-N(P_L1_Mes)+1)&gt;=1,IF((49-N(P_L1_Mes)+1)=1,N(P_L1_Monto),BA$126)*N(P_L1_Tasa)/12,0)*BB$9</f>
        <v>5408.15966669678</v>
      </c>
      <c r="BC124" s="48" t="n">
        <f aca="false">IF((50-N(P_L1_Mes)+1)&gt;=1,IF((50-N(P_L1_Mes)+1)=1,N(P_L1_Monto),BB$126)*N(P_L1_Tasa)/12,0)*BC$9</f>
        <v>4975.76931473684</v>
      </c>
      <c r="BD124" s="48" t="n">
        <f aca="false">IF((51-N(P_L1_Mes)+1)&gt;=1,IF((51-N(P_L1_Mes)+1)=1,N(P_L1_Monto),BC$126)*N(P_L1_Tasa)/12,0)*BD$9</f>
        <v>4540.13603513721</v>
      </c>
      <c r="BE124" s="48" t="n">
        <f aca="false">IF((52-N(P_L1_Mes)+1)&gt;=1,IF((52-N(P_L1_Mes)+1)=1,N(P_L1_Monto),BD$126)*N(P_L1_Tasa)/12,0)*BE$9</f>
        <v>4101.23550594058</v>
      </c>
      <c r="BF124" s="48" t="n">
        <f aca="false">IF((53-N(P_L1_Mes)+1)&gt;=1,IF((53-N(P_L1_Mes)+1)=1,N(P_L1_Monto),BE$126)*N(P_L1_Tasa)/12,0)*BF$9</f>
        <v>3659.04322277498</v>
      </c>
      <c r="BG124" s="48" t="n">
        <f aca="false">IF((54-N(P_L1_Mes)+1)&gt;=1,IF((54-N(P_L1_Mes)+1)=1,N(P_L1_Monto),BF$126)*N(P_L1_Tasa)/12,0)*BG$9</f>
        <v>3213.53449748563</v>
      </c>
      <c r="BH124" s="48" t="n">
        <f aca="false">IF((55-N(P_L1_Mes)+1)&gt;=1,IF((55-N(P_L1_Mes)+1)=1,N(P_L1_Monto),BG$126)*N(P_L1_Tasa)/12,0)*BH$9</f>
        <v>2764.68445675662</v>
      </c>
      <c r="BI124" s="48" t="n">
        <f aca="false">IF((56-N(P_L1_Mes)+1)&gt;=1,IF((56-N(P_L1_Mes)+1)=1,N(P_L1_Monto),BH$126)*N(P_L1_Tasa)/12,0)*BI$9</f>
        <v>2312.46804072213</v>
      </c>
      <c r="BJ124" s="48" t="n">
        <f aca="false">IF((57-N(P_L1_Mes)+1)&gt;=1,IF((57-N(P_L1_Mes)+1)=1,N(P_L1_Monto),BI$126)*N(P_L1_Tasa)/12,0)*BJ$9</f>
        <v>1856.86000156739</v>
      </c>
      <c r="BK124" s="48" t="n">
        <f aca="false">IF((58-N(P_L1_Mes)+1)&gt;=1,IF((58-N(P_L1_Mes)+1)=1,N(P_L1_Monto),BJ$126)*N(P_L1_Tasa)/12,0)*BK$9</f>
        <v>1397.83490211899</v>
      </c>
      <c r="BL124" s="48" t="n">
        <f aca="false">IF((59-N(P_L1_Mes)+1)&gt;=1,IF((59-N(P_L1_Mes)+1)=1,N(P_L1_Monto),BK$126)*N(P_L1_Tasa)/12,0)*BL$9</f>
        <v>935.367114424723</v>
      </c>
      <c r="BM124" s="48" t="n">
        <f aca="false">IF((60-N(P_L1_Mes)+1)&gt;=1,IF((60-N(P_L1_Mes)+1)=1,N(P_L1_Monto),BL$126)*N(P_L1_Tasa)/12,0)*BM$9</f>
        <v>469.43081832275</v>
      </c>
      <c r="BN124" s="48" t="n">
        <f aca="false">IF((61-N(P_L1_Mes)+1)&gt;=1,IF((61-N(P_L1_Mes)+1)=1,N(P_L1_Monto),BM$126)*N(P_L1_Tasa)/12,0)*BN$9</f>
        <v>0</v>
      </c>
      <c r="BO124" s="48" t="n">
        <f aca="false">IF((62-N(P_L1_Mes)+1)&gt;=1,IF((62-N(P_L1_Mes)+1)=1,N(P_L1_Monto),BN$126)*N(P_L1_Tasa)/12,0)*BO$9</f>
        <v>0</v>
      </c>
      <c r="BP124" s="48" t="n">
        <f aca="false">IF((63-N(P_L1_Mes)+1)&gt;=1,IF((63-N(P_L1_Mes)+1)=1,N(P_L1_Monto),BO$126)*N(P_L1_Tasa)/12,0)*BP$9</f>
        <v>0</v>
      </c>
      <c r="BQ124" s="48" t="n">
        <f aca="false">IF((64-N(P_L1_Mes)+1)&gt;=1,IF((64-N(P_L1_Mes)+1)=1,N(P_L1_Monto),BP$126)*N(P_L1_Tasa)/12,0)*BQ$9</f>
        <v>0</v>
      </c>
      <c r="BR124" s="48" t="n">
        <f aca="false">IF((65-N(P_L1_Mes)+1)&gt;=1,IF((65-N(P_L1_Mes)+1)=1,N(P_L1_Monto),BQ$126)*N(P_L1_Tasa)/12,0)*BR$9</f>
        <v>0</v>
      </c>
      <c r="BS124" s="48" t="n">
        <f aca="false">IF((66-N(P_L1_Mes)+1)&gt;=1,IF((66-N(P_L1_Mes)+1)=1,N(P_L1_Monto),BR$126)*N(P_L1_Tasa)/12,0)*BS$9</f>
        <v>0</v>
      </c>
      <c r="BT124" s="48" t="n">
        <f aca="false">IF((67-N(P_L1_Mes)+1)&gt;=1,IF((67-N(P_L1_Mes)+1)=1,N(P_L1_Monto),BS$126)*N(P_L1_Tasa)/12,0)*BT$9</f>
        <v>0</v>
      </c>
      <c r="BU124" s="48" t="n">
        <f aca="false">IF((68-N(P_L1_Mes)+1)&gt;=1,IF((68-N(P_L1_Mes)+1)=1,N(P_L1_Monto),BT$126)*N(P_L1_Tasa)/12,0)*BU$9</f>
        <v>0</v>
      </c>
      <c r="BV124" s="48" t="n">
        <f aca="false">IF((69-N(P_L1_Mes)+1)&gt;=1,IF((69-N(P_L1_Mes)+1)=1,N(P_L1_Monto),BU$126)*N(P_L1_Tasa)/12,0)*BV$9</f>
        <v>0</v>
      </c>
      <c r="BW124" s="48" t="n">
        <f aca="false">IF((70-N(P_L1_Mes)+1)&gt;=1,IF((70-N(P_L1_Mes)+1)=1,N(P_L1_Monto),BV$126)*N(P_L1_Tasa)/12,0)*BW$9</f>
        <v>0</v>
      </c>
      <c r="BX124" s="48" t="n">
        <f aca="false">IF((71-N(P_L1_Mes)+1)&gt;=1,IF((71-N(P_L1_Mes)+1)=1,N(P_L1_Monto),BW$126)*N(P_L1_Tasa)/12,0)*BX$9</f>
        <v>0</v>
      </c>
      <c r="BY124" s="48" t="n">
        <f aca="false">IF((72-N(P_L1_Mes)+1)&gt;=1,IF((72-N(P_L1_Mes)+1)=1,N(P_L1_Monto),BX$126)*N(P_L1_Tasa)/12,0)*BY$9</f>
        <v>0</v>
      </c>
      <c r="BZ124" s="48" t="n">
        <f aca="false">IF((73-N(P_L1_Mes)+1)&gt;=1,IF((73-N(P_L1_Mes)+1)=1,N(P_L1_Monto),BY$126)*N(P_L1_Tasa)/12,0)*BZ$9</f>
        <v>0</v>
      </c>
      <c r="CA124" s="48" t="n">
        <f aca="false">IF((74-N(P_L1_Mes)+1)&gt;=1,IF((74-N(P_L1_Mes)+1)=1,N(P_L1_Monto),BZ$126)*N(P_L1_Tasa)/12,0)*CA$9</f>
        <v>0</v>
      </c>
      <c r="CB124" s="48" t="n">
        <f aca="false">IF((75-N(P_L1_Mes)+1)&gt;=1,IF((75-N(P_L1_Mes)+1)=1,N(P_L1_Monto),CA$126)*N(P_L1_Tasa)/12,0)*CB$9</f>
        <v>0</v>
      </c>
      <c r="CC124" s="48" t="n">
        <f aca="false">IF((76-N(P_L1_Mes)+1)&gt;=1,IF((76-N(P_L1_Mes)+1)=1,N(P_L1_Monto),CB$126)*N(P_L1_Tasa)/12,0)*CC$9</f>
        <v>0</v>
      </c>
      <c r="CD124" s="48" t="n">
        <f aca="false">IF((77-N(P_L1_Mes)+1)&gt;=1,IF((77-N(P_L1_Mes)+1)=1,N(P_L1_Monto),CC$126)*N(P_L1_Tasa)/12,0)*CD$9</f>
        <v>0</v>
      </c>
      <c r="CE124" s="48" t="n">
        <f aca="false">IF((78-N(P_L1_Mes)+1)&gt;=1,IF((78-N(P_L1_Mes)+1)=1,N(P_L1_Monto),CD$126)*N(P_L1_Tasa)/12,0)*CE$9</f>
        <v>0</v>
      </c>
      <c r="CF124" s="48" t="n">
        <f aca="false">IF((79-N(P_L1_Mes)+1)&gt;=1,IF((79-N(P_L1_Mes)+1)=1,N(P_L1_Monto),CE$126)*N(P_L1_Tasa)/12,0)*CF$9</f>
        <v>0</v>
      </c>
      <c r="CG124" s="48" t="n">
        <f aca="false">IF((80-N(P_L1_Mes)+1)&gt;=1,IF((80-N(P_L1_Mes)+1)=1,N(P_L1_Monto),CF$126)*N(P_L1_Tasa)/12,0)*CG$9</f>
        <v>0</v>
      </c>
      <c r="CH124" s="48" t="n">
        <f aca="false">IF((81-N(P_L1_Mes)+1)&gt;=1,IF((81-N(P_L1_Mes)+1)=1,N(P_L1_Monto),CG$126)*N(P_L1_Tasa)/12,0)*CH$9</f>
        <v>0</v>
      </c>
      <c r="CI124" s="48" t="n">
        <f aca="false">IF((82-N(P_L1_Mes)+1)&gt;=1,IF((82-N(P_L1_Mes)+1)=1,N(P_L1_Monto),CH$126)*N(P_L1_Tasa)/12,0)*CI$9</f>
        <v>0</v>
      </c>
      <c r="CJ124" s="48" t="n">
        <f aca="false">IF((83-N(P_L1_Mes)+1)&gt;=1,IF((83-N(P_L1_Mes)+1)=1,N(P_L1_Monto),CI$126)*N(P_L1_Tasa)/12,0)*CJ$9</f>
        <v>0</v>
      </c>
      <c r="CK124" s="48" t="n">
        <f aca="false">IF((84-N(P_L1_Mes)+1)&gt;=1,IF((84-N(P_L1_Mes)+1)=1,N(P_L1_Monto),CJ$126)*N(P_L1_Tasa)/12,0)*CK$9</f>
        <v>0</v>
      </c>
      <c r="CL124" s="48" t="n">
        <f aca="false">IF((85-N(P_L1_Mes)+1)&gt;=1,IF((85-N(P_L1_Mes)+1)=1,N(P_L1_Monto),CK$126)*N(P_L1_Tasa)/12,0)*CL$9</f>
        <v>0</v>
      </c>
      <c r="CM124" s="48" t="n">
        <f aca="false">IF((86-N(P_L1_Mes)+1)&gt;=1,IF((86-N(P_L1_Mes)+1)=1,N(P_L1_Monto),CL$126)*N(P_L1_Tasa)/12,0)*CM$9</f>
        <v>0</v>
      </c>
      <c r="CN124" s="48" t="n">
        <f aca="false">IF((87-N(P_L1_Mes)+1)&gt;=1,IF((87-N(P_L1_Mes)+1)=1,N(P_L1_Monto),CM$126)*N(P_L1_Tasa)/12,0)*CN$9</f>
        <v>0</v>
      </c>
      <c r="CO124" s="48" t="n">
        <f aca="false">IF((88-N(P_L1_Mes)+1)&gt;=1,IF((88-N(P_L1_Mes)+1)=1,N(P_L1_Monto),CN$126)*N(P_L1_Tasa)/12,0)*CO$9</f>
        <v>0</v>
      </c>
      <c r="CP124" s="48" t="n">
        <f aca="false">IF((89-N(P_L1_Mes)+1)&gt;=1,IF((89-N(P_L1_Mes)+1)=1,N(P_L1_Monto),CO$126)*N(P_L1_Tasa)/12,0)*CP$9</f>
        <v>0</v>
      </c>
      <c r="CQ124" s="48" t="n">
        <f aca="false">IF((90-N(P_L1_Mes)+1)&gt;=1,IF((90-N(P_L1_Mes)+1)=1,N(P_L1_Monto),CP$126)*N(P_L1_Tasa)/12,0)*CQ$9</f>
        <v>0</v>
      </c>
      <c r="CR124" s="48" t="n">
        <f aca="false">IF((91-N(P_L1_Mes)+1)&gt;=1,IF((91-N(P_L1_Mes)+1)=1,N(P_L1_Monto),CQ$126)*N(P_L1_Tasa)/12,0)*CR$9</f>
        <v>0</v>
      </c>
      <c r="CS124" s="48" t="n">
        <f aca="false">IF((92-N(P_L1_Mes)+1)&gt;=1,IF((92-N(P_L1_Mes)+1)=1,N(P_L1_Monto),CR$126)*N(P_L1_Tasa)/12,0)*CS$9</f>
        <v>0</v>
      </c>
      <c r="CT124" s="48" t="n">
        <f aca="false">IF((93-N(P_L1_Mes)+1)&gt;=1,IF((93-N(P_L1_Mes)+1)=1,N(P_L1_Monto),CS$126)*N(P_L1_Tasa)/12,0)*CT$9</f>
        <v>0</v>
      </c>
      <c r="CU124" s="48" t="n">
        <f aca="false">IF((94-N(P_L1_Mes)+1)&gt;=1,IF((94-N(P_L1_Mes)+1)=1,N(P_L1_Monto),CT$126)*N(P_L1_Tasa)/12,0)*CU$9</f>
        <v>0</v>
      </c>
      <c r="CV124" s="48" t="n">
        <f aca="false">IF((95-N(P_L1_Mes)+1)&gt;=1,IF((95-N(P_L1_Mes)+1)=1,N(P_L1_Monto),CU$126)*N(P_L1_Tasa)/12,0)*CV$9</f>
        <v>0</v>
      </c>
      <c r="CW124" s="48" t="n">
        <f aca="false">IF((96-N(P_L1_Mes)+1)&gt;=1,IF((96-N(P_L1_Mes)+1)=1,N(P_L1_Monto),CV$126)*N(P_L1_Tasa)/12,0)*CW$9</f>
        <v>0</v>
      </c>
      <c r="CX124" s="48" t="n">
        <f aca="false">IF((97-N(P_L1_Mes)+1)&gt;=1,IF((97-N(P_L1_Mes)+1)=1,N(P_L1_Monto),CW$126)*N(P_L1_Tasa)/12,0)*CX$9</f>
        <v>0</v>
      </c>
      <c r="CY124" s="48" t="n">
        <f aca="false">IF((98-N(P_L1_Mes)+1)&gt;=1,IF((98-N(P_L1_Mes)+1)=1,N(P_L1_Monto),CX$126)*N(P_L1_Tasa)/12,0)*CY$9</f>
        <v>0</v>
      </c>
      <c r="CZ124" s="48" t="n">
        <f aca="false">IF((99-N(P_L1_Mes)+1)&gt;=1,IF((99-N(P_L1_Mes)+1)=1,N(P_L1_Monto),CY$126)*N(P_L1_Tasa)/12,0)*CZ$9</f>
        <v>0</v>
      </c>
      <c r="DA124" s="48" t="n">
        <f aca="false">IF((100-N(P_L1_Mes)+1)&gt;=1,IF((100-N(P_L1_Mes)+1)=1,N(P_L1_Monto),CZ$126)*N(P_L1_Tasa)/12,0)*DA$9</f>
        <v>0</v>
      </c>
      <c r="DB124" s="48" t="n">
        <f aca="false">IF((101-N(P_L1_Mes)+1)&gt;=1,IF((101-N(P_L1_Mes)+1)=1,N(P_L1_Monto),DA$126)*N(P_L1_Tasa)/12,0)*DB$9</f>
        <v>0</v>
      </c>
      <c r="DC124" s="48" t="n">
        <f aca="false">IF((102-N(P_L1_Mes)+1)&gt;=1,IF((102-N(P_L1_Mes)+1)=1,N(P_L1_Monto),DB$126)*N(P_L1_Tasa)/12,0)*DC$9</f>
        <v>0</v>
      </c>
      <c r="DD124" s="48" t="n">
        <f aca="false">IF((103-N(P_L1_Mes)+1)&gt;=1,IF((103-N(P_L1_Mes)+1)=1,N(P_L1_Monto),DC$126)*N(P_L1_Tasa)/12,0)*DD$9</f>
        <v>0</v>
      </c>
      <c r="DE124" s="48" t="n">
        <f aca="false">IF((104-N(P_L1_Mes)+1)&gt;=1,IF((104-N(P_L1_Mes)+1)=1,N(P_L1_Monto),DD$126)*N(P_L1_Tasa)/12,0)*DE$9</f>
        <v>0</v>
      </c>
      <c r="DF124" s="48" t="n">
        <f aca="false">IF((105-N(P_L1_Mes)+1)&gt;=1,IF((105-N(P_L1_Mes)+1)=1,N(P_L1_Monto),DE$126)*N(P_L1_Tasa)/12,0)*DF$9</f>
        <v>0</v>
      </c>
      <c r="DG124" s="48" t="n">
        <f aca="false">IF((106-N(P_L1_Mes)+1)&gt;=1,IF((106-N(P_L1_Mes)+1)=1,N(P_L1_Monto),DF$126)*N(P_L1_Tasa)/12,0)*DG$9</f>
        <v>0</v>
      </c>
      <c r="DH124" s="48" t="n">
        <f aca="false">IF((107-N(P_L1_Mes)+1)&gt;=1,IF((107-N(P_L1_Mes)+1)=1,N(P_L1_Monto),DG$126)*N(P_L1_Tasa)/12,0)*DH$9</f>
        <v>0</v>
      </c>
      <c r="DI124" s="48" t="n">
        <f aca="false">IF((108-N(P_L1_Mes)+1)&gt;=1,IF((108-N(P_L1_Mes)+1)=1,N(P_L1_Monto),DH$126)*N(P_L1_Tasa)/12,0)*DI$9</f>
        <v>0</v>
      </c>
      <c r="DJ124" s="48" t="n">
        <f aca="false">IF((109-N(P_L1_Mes)+1)&gt;=1,IF((109-N(P_L1_Mes)+1)=1,N(P_L1_Monto),DI$126)*N(P_L1_Tasa)/12,0)*DJ$9</f>
        <v>0</v>
      </c>
      <c r="DK124" s="48" t="n">
        <f aca="false">IF((110-N(P_L1_Mes)+1)&gt;=1,IF((110-N(P_L1_Mes)+1)=1,N(P_L1_Monto),DJ$126)*N(P_L1_Tasa)/12,0)*DK$9</f>
        <v>0</v>
      </c>
      <c r="DL124" s="48" t="n">
        <f aca="false">IF((111-N(P_L1_Mes)+1)&gt;=1,IF((111-N(P_L1_Mes)+1)=1,N(P_L1_Monto),DK$126)*N(P_L1_Tasa)/12,0)*DL$9</f>
        <v>0</v>
      </c>
      <c r="DM124" s="48" t="n">
        <f aca="false">IF((112-N(P_L1_Mes)+1)&gt;=1,IF((112-N(P_L1_Mes)+1)=1,N(P_L1_Monto),DL$126)*N(P_L1_Tasa)/12,0)*DM$9</f>
        <v>0</v>
      </c>
      <c r="DN124" s="48" t="n">
        <f aca="false">IF((113-N(P_L1_Mes)+1)&gt;=1,IF((113-N(P_L1_Mes)+1)=1,N(P_L1_Monto),DM$126)*N(P_L1_Tasa)/12,0)*DN$9</f>
        <v>0</v>
      </c>
      <c r="DO124" s="48" t="n">
        <f aca="false">IF((114-N(P_L1_Mes)+1)&gt;=1,IF((114-N(P_L1_Mes)+1)=1,N(P_L1_Monto),DN$126)*N(P_L1_Tasa)/12,0)*DO$9</f>
        <v>0</v>
      </c>
      <c r="DP124" s="48" t="n">
        <f aca="false">IF((115-N(P_L1_Mes)+1)&gt;=1,IF((115-N(P_L1_Mes)+1)=1,N(P_L1_Monto),DO$126)*N(P_L1_Tasa)/12,0)*DP$9</f>
        <v>0</v>
      </c>
      <c r="DQ124" s="48" t="n">
        <f aca="false">IF((116-N(P_L1_Mes)+1)&gt;=1,IF((116-N(P_L1_Mes)+1)=1,N(P_L1_Monto),DP$126)*N(P_L1_Tasa)/12,0)*DQ$9</f>
        <v>0</v>
      </c>
      <c r="DR124" s="48" t="n">
        <f aca="false">IF((117-N(P_L1_Mes)+1)&gt;=1,IF((117-N(P_L1_Mes)+1)=1,N(P_L1_Monto),DQ$126)*N(P_L1_Tasa)/12,0)*DR$9</f>
        <v>0</v>
      </c>
      <c r="DS124" s="48" t="n">
        <f aca="false">IF((118-N(P_L1_Mes)+1)&gt;=1,IF((118-N(P_L1_Mes)+1)=1,N(P_L1_Monto),DR$126)*N(P_L1_Tasa)/12,0)*DS$9</f>
        <v>0</v>
      </c>
      <c r="DT124" s="48" t="n">
        <f aca="false">IF((119-N(P_L1_Mes)+1)&gt;=1,IF((119-N(P_L1_Mes)+1)=1,N(P_L1_Monto),DS$126)*N(P_L1_Tasa)/12,0)*DT$9</f>
        <v>0</v>
      </c>
      <c r="DU124" s="48" t="n">
        <f aca="false">IF((120-N(P_L1_Mes)+1)&gt;=1,IF((120-N(P_L1_Mes)+1)=1,N(P_L1_Monto),DT$126)*N(P_L1_Tasa)/12,0)*DU$9</f>
        <v>0</v>
      </c>
      <c r="DV124" s="48" t="n">
        <f aca="false">IF((121-N(P_L1_Mes)+1)&gt;=1,IF((121-N(P_L1_Mes)+1)=1,N(P_L1_Monto),DU$126)*N(P_L1_Tasa)/12,0)*DV$9</f>
        <v>0</v>
      </c>
      <c r="DW124" s="48" t="n">
        <f aca="false">IF((122-N(P_L1_Mes)+1)&gt;=1,IF((122-N(P_L1_Mes)+1)=1,N(P_L1_Monto),DV$126)*N(P_L1_Tasa)/12,0)*DW$9</f>
        <v>0</v>
      </c>
      <c r="DX124" s="48" t="n">
        <f aca="false">IF((123-N(P_L1_Mes)+1)&gt;=1,IF((123-N(P_L1_Mes)+1)=1,N(P_L1_Monto),DW$126)*N(P_L1_Tasa)/12,0)*DX$9</f>
        <v>0</v>
      </c>
      <c r="DY124" s="48" t="n">
        <f aca="false">IF((124-N(P_L1_Mes)+1)&gt;=1,IF((124-N(P_L1_Mes)+1)=1,N(P_L1_Monto),DX$126)*N(P_L1_Tasa)/12,0)*DY$9</f>
        <v>0</v>
      </c>
      <c r="DZ124" s="48" t="n">
        <f aca="false">IF((125-N(P_L1_Mes)+1)&gt;=1,IF((125-N(P_L1_Mes)+1)=1,N(P_L1_Monto),DY$126)*N(P_L1_Tasa)/12,0)*DZ$9</f>
        <v>0</v>
      </c>
      <c r="EA124" s="48" t="n">
        <f aca="false">IF((126-N(P_L1_Mes)+1)&gt;=1,IF((126-N(P_L1_Mes)+1)=1,N(P_L1_Monto),DZ$126)*N(P_L1_Tasa)/12,0)*EA$9</f>
        <v>0</v>
      </c>
      <c r="EB124" s="48" t="n">
        <f aca="false">IF((127-N(P_L1_Mes)+1)&gt;=1,IF((127-N(P_L1_Mes)+1)=1,N(P_L1_Monto),EA$126)*N(P_L1_Tasa)/12,0)*EB$9</f>
        <v>0</v>
      </c>
      <c r="EC124" s="48" t="n">
        <f aca="false">IF((128-N(P_L1_Mes)+1)&gt;=1,IF((128-N(P_L1_Mes)+1)=1,N(P_L1_Monto),EB$126)*N(P_L1_Tasa)/12,0)*EC$9</f>
        <v>0</v>
      </c>
      <c r="ED124" s="48" t="n">
        <f aca="false">IF((129-N(P_L1_Mes)+1)&gt;=1,IF((129-N(P_L1_Mes)+1)=1,N(P_L1_Monto),EC$126)*N(P_L1_Tasa)/12,0)*ED$9</f>
        <v>0</v>
      </c>
      <c r="EE124" s="48" t="n">
        <f aca="false">IF((130-N(P_L1_Mes)+1)&gt;=1,IF((130-N(P_L1_Mes)+1)=1,N(P_L1_Monto),ED$126)*N(P_L1_Tasa)/12,0)*EE$9</f>
        <v>0</v>
      </c>
      <c r="EF124" s="48" t="n">
        <f aca="false">IF((131-N(P_L1_Mes)+1)&gt;=1,IF((131-N(P_L1_Mes)+1)=1,N(P_L1_Monto),EE$126)*N(P_L1_Tasa)/12,0)*EF$9</f>
        <v>0</v>
      </c>
      <c r="EG124" s="48" t="n">
        <f aca="false">IF((132-N(P_L1_Mes)+1)&gt;=1,IF((132-N(P_L1_Mes)+1)=1,N(P_L1_Monto),EF$126)*N(P_L1_Tasa)/12,0)*EG$9</f>
        <v>0</v>
      </c>
      <c r="EH124" s="48" t="n">
        <f aca="false">IF((133-N(P_L1_Mes)+1)&gt;=1,IF((133-N(P_L1_Mes)+1)=1,N(P_L1_Monto),EG$126)*N(P_L1_Tasa)/12,0)*EH$9</f>
        <v>0</v>
      </c>
      <c r="EI124" s="48" t="n">
        <f aca="false">IF((134-N(P_L1_Mes)+1)&gt;=1,IF((134-N(P_L1_Mes)+1)=1,N(P_L1_Monto),EH$126)*N(P_L1_Tasa)/12,0)*EI$9</f>
        <v>0</v>
      </c>
      <c r="EJ124" s="48" t="n">
        <f aca="false">IF((135-N(P_L1_Mes)+1)&gt;=1,IF((135-N(P_L1_Mes)+1)=1,N(P_L1_Monto),EI$126)*N(P_L1_Tasa)/12,0)*EJ$9</f>
        <v>0</v>
      </c>
      <c r="EK124" s="48" t="n">
        <f aca="false">IF((136-N(P_L1_Mes)+1)&gt;=1,IF((136-N(P_L1_Mes)+1)=1,N(P_L1_Monto),EJ$126)*N(P_L1_Tasa)/12,0)*EK$9</f>
        <v>0</v>
      </c>
      <c r="EL124" s="48" t="n">
        <f aca="false">IF((137-N(P_L1_Mes)+1)&gt;=1,IF((137-N(P_L1_Mes)+1)=1,N(P_L1_Monto),EK$126)*N(P_L1_Tasa)/12,0)*EL$9</f>
        <v>0</v>
      </c>
      <c r="EM124" s="48" t="n">
        <f aca="false">IF((138-N(P_L1_Mes)+1)&gt;=1,IF((138-N(P_L1_Mes)+1)=1,N(P_L1_Monto),EL$126)*N(P_L1_Tasa)/12,0)*EM$9</f>
        <v>0</v>
      </c>
      <c r="EN124" s="48" t="n">
        <f aca="false">IF((139-N(P_L1_Mes)+1)&gt;=1,IF((139-N(P_L1_Mes)+1)=1,N(P_L1_Monto),EM$126)*N(P_L1_Tasa)/12,0)*EN$9</f>
        <v>0</v>
      </c>
      <c r="EO124" s="48" t="n">
        <f aca="false">IF((140-N(P_L1_Mes)+1)&gt;=1,IF((140-N(P_L1_Mes)+1)=1,N(P_L1_Monto),EN$126)*N(P_L1_Tasa)/12,0)*EO$9</f>
        <v>0</v>
      </c>
      <c r="EP124" s="48" t="n">
        <f aca="false">IF((141-N(P_L1_Mes)+1)&gt;=1,IF((141-N(P_L1_Mes)+1)=1,N(P_L1_Monto),EO$126)*N(P_L1_Tasa)/12,0)*EP$9</f>
        <v>0</v>
      </c>
      <c r="EQ124" s="48" t="n">
        <f aca="false">IF((142-N(P_L1_Mes)+1)&gt;=1,IF((142-N(P_L1_Mes)+1)=1,N(P_L1_Monto),EP$126)*N(P_L1_Tasa)/12,0)*EQ$9</f>
        <v>0</v>
      </c>
      <c r="ER124" s="48" t="n">
        <f aca="false">IF((143-N(P_L1_Mes)+1)&gt;=1,IF((143-N(P_L1_Mes)+1)=1,N(P_L1_Monto),EQ$126)*N(P_L1_Tasa)/12,0)*ER$9</f>
        <v>0</v>
      </c>
      <c r="ES124" s="48" t="n">
        <f aca="false">IF((144-N(P_L1_Mes)+1)&gt;=1,IF((144-N(P_L1_Mes)+1)=1,N(P_L1_Monto),ER$126)*N(P_L1_Tasa)/12,0)*ES$9</f>
        <v>0</v>
      </c>
    </row>
    <row r="125" customFormat="false" ht="15" hidden="false" customHeight="false" outlineLevel="0" collapsed="false">
      <c r="A125" s="11" t="s">
        <v>1214</v>
      </c>
      <c r="B125" s="15" t="s">
        <v>1215</v>
      </c>
      <c r="C125" s="15" t="s">
        <v>508</v>
      </c>
      <c r="E125" s="54" t="n">
        <f aca="false">SUM(F125:ES125)</f>
        <v>2791587</v>
      </c>
      <c r="F125" s="48" t="n">
        <f aca="false">IF(AND((1-N(P_L1_Mes)+1)&gt;N(P_L1_Gracia),(1-N(P_L1_Mes)+1)&lt;=N(P_L1_Gracia)+N(P_L1_Cuotas),N(P_L1_Cuotas)&gt;0),IF((1-N(P_L1_Mes)+1)=N(P_L1_Gracia)+N(P_L1_Cuotas),IF((1-N(P_L1_Mes)+1)=1,N(P_L1_Monto),0),PMT(N(P_L1_Tasa)/12,N(P_L1_Cuotas),-N(P_L1_Monto))-F$124),0)*F$9</f>
        <v>0</v>
      </c>
      <c r="G125" s="48" t="n">
        <f aca="false">IF(AND((2-N(P_L1_Mes)+1)&gt;N(P_L1_Gracia),(2-N(P_L1_Mes)+1)&lt;=N(P_L1_Gracia)+N(P_L1_Cuotas),N(P_L1_Cuotas)&gt;0),IF((2-N(P_L1_Mes)+1)=N(P_L1_Gracia)+N(P_L1_Cuotas),IF((2-N(P_L1_Mes)+1)=1,N(P_L1_Monto),F$126),PMT(N(P_L1_Tasa)/12,N(P_L1_Cuotas),-N(P_L1_Monto))-G$124),0)*G$9</f>
        <v>0</v>
      </c>
      <c r="H125" s="48" t="n">
        <f aca="false">IF(AND((3-N(P_L1_Mes)+1)&gt;N(P_L1_Gracia),(3-N(P_L1_Mes)+1)&lt;=N(P_L1_Gracia)+N(P_L1_Cuotas),N(P_L1_Cuotas)&gt;0),IF((3-N(P_L1_Mes)+1)=N(P_L1_Gracia)+N(P_L1_Cuotas),IF((3-N(P_L1_Mes)+1)=1,N(P_L1_Monto),G$126),PMT(N(P_L1_Tasa)/12,N(P_L1_Cuotas),-N(P_L1_Monto))-H$124),0)*H$9</f>
        <v>0</v>
      </c>
      <c r="I125" s="48" t="n">
        <f aca="false">IF(AND((4-N(P_L1_Mes)+1)&gt;N(P_L1_Gracia),(4-N(P_L1_Mes)+1)&lt;=N(P_L1_Gracia)+N(P_L1_Cuotas),N(P_L1_Cuotas)&gt;0),IF((4-N(P_L1_Mes)+1)=N(P_L1_Gracia)+N(P_L1_Cuotas),IF((4-N(P_L1_Mes)+1)=1,N(P_L1_Monto),H$126),PMT(N(P_L1_Tasa)/12,N(P_L1_Cuotas),-N(P_L1_Monto))-I$124),0)*I$9</f>
        <v>0</v>
      </c>
      <c r="J125" s="48" t="n">
        <f aca="false">IF(AND((5-N(P_L1_Mes)+1)&gt;N(P_L1_Gracia),(5-N(P_L1_Mes)+1)&lt;=N(P_L1_Gracia)+N(P_L1_Cuotas),N(P_L1_Cuotas)&gt;0),IF((5-N(P_L1_Mes)+1)=N(P_L1_Gracia)+N(P_L1_Cuotas),IF((5-N(P_L1_Mes)+1)=1,N(P_L1_Monto),I$126),PMT(N(P_L1_Tasa)/12,N(P_L1_Cuotas),-N(P_L1_Monto))-J$124),0)*J$9</f>
        <v>0</v>
      </c>
      <c r="K125" s="48" t="n">
        <f aca="false">IF(AND((6-N(P_L1_Mes)+1)&gt;N(P_L1_Gracia),(6-N(P_L1_Mes)+1)&lt;=N(P_L1_Gracia)+N(P_L1_Cuotas),N(P_L1_Cuotas)&gt;0),IF((6-N(P_L1_Mes)+1)=N(P_L1_Gracia)+N(P_L1_Cuotas),IF((6-N(P_L1_Mes)+1)=1,N(P_L1_Monto),J$126),PMT(N(P_L1_Tasa)/12,N(P_L1_Cuotas),-N(P_L1_Monto))-K$124),0)*K$9</f>
        <v>0</v>
      </c>
      <c r="L125" s="48" t="n">
        <f aca="false">IF(AND((7-N(P_L1_Mes)+1)&gt;N(P_L1_Gracia),(7-N(P_L1_Mes)+1)&lt;=N(P_L1_Gracia)+N(P_L1_Cuotas),N(P_L1_Cuotas)&gt;0),IF((7-N(P_L1_Mes)+1)=N(P_L1_Gracia)+N(P_L1_Cuotas),IF((7-N(P_L1_Mes)+1)=1,N(P_L1_Monto),K$126),PMT(N(P_L1_Tasa)/12,N(P_L1_Cuotas),-N(P_L1_Monto))-L$124),0)*L$9</f>
        <v>42123.3040946878</v>
      </c>
      <c r="M125" s="48" t="n">
        <f aca="false">IF(AND((8-N(P_L1_Mes)+1)&gt;N(P_L1_Gracia),(8-N(P_L1_Mes)+1)&lt;=N(P_L1_Gracia)+N(P_L1_Cuotas),N(P_L1_Cuotas)&gt;0),IF((8-N(P_L1_Mes)+1)=N(P_L1_Gracia)+N(P_L1_Cuotas),IF((8-N(P_L1_Mes)+1)=1,N(P_L1_Monto),L$126),PMT(N(P_L1_Tasa)/12,N(P_L1_Cuotas),-N(P_L1_Monto))-M$124),0)*M$9</f>
        <v>42439.2288753979</v>
      </c>
      <c r="N125" s="48" t="n">
        <f aca="false">IF(AND((9-N(P_L1_Mes)+1)&gt;N(P_L1_Gracia),(9-N(P_L1_Mes)+1)&lt;=N(P_L1_Gracia)+N(P_L1_Cuotas),N(P_L1_Cuotas)&gt;0),IF((9-N(P_L1_Mes)+1)=N(P_L1_Gracia)+N(P_L1_Cuotas),IF((9-N(P_L1_Mes)+1)=1,N(P_L1_Monto),M$126),PMT(N(P_L1_Tasa)/12,N(P_L1_Cuotas),-N(P_L1_Monto))-N$124),0)*N$9</f>
        <v>42757.5230919634</v>
      </c>
      <c r="O125" s="48" t="n">
        <f aca="false">IF(AND((10-N(P_L1_Mes)+1)&gt;N(P_L1_Gracia),(10-N(P_L1_Mes)+1)&lt;=N(P_L1_Gracia)+N(P_L1_Cuotas),N(P_L1_Cuotas)&gt;0),IF((10-N(P_L1_Mes)+1)=N(P_L1_Gracia)+N(P_L1_Cuotas),IF((10-N(P_L1_Mes)+1)=1,N(P_L1_Monto),N$126),PMT(N(P_L1_Tasa)/12,N(P_L1_Cuotas),-N(P_L1_Monto))-O$124),0)*O$9</f>
        <v>43078.2045151531</v>
      </c>
      <c r="P125" s="48" t="n">
        <f aca="false">IF(AND((11-N(P_L1_Mes)+1)&gt;N(P_L1_Gracia),(11-N(P_L1_Mes)+1)&lt;=N(P_L1_Gracia)+N(P_L1_Cuotas),N(P_L1_Cuotas)&gt;0),IF((11-N(P_L1_Mes)+1)=N(P_L1_Gracia)+N(P_L1_Cuotas),IF((11-N(P_L1_Mes)+1)=1,N(P_L1_Monto),O$126),PMT(N(P_L1_Tasa)/12,N(P_L1_Cuotas),-N(P_L1_Monto))-P$124),0)*P$9</f>
        <v>43401.2910490168</v>
      </c>
      <c r="Q125" s="48" t="n">
        <f aca="false">IF(AND((12-N(P_L1_Mes)+1)&gt;N(P_L1_Gracia),(12-N(P_L1_Mes)+1)&lt;=N(P_L1_Gracia)+N(P_L1_Cuotas),N(P_L1_Cuotas)&gt;0),IF((12-N(P_L1_Mes)+1)=N(P_L1_Gracia)+N(P_L1_Cuotas),IF((12-N(P_L1_Mes)+1)=1,N(P_L1_Monto),P$126),PMT(N(P_L1_Tasa)/12,N(P_L1_Cuotas),-N(P_L1_Monto))-Q$124),0)*Q$9</f>
        <v>43726.8007318844</v>
      </c>
      <c r="R125" s="48" t="n">
        <f aca="false">IF(AND((13-N(P_L1_Mes)+1)&gt;N(P_L1_Gracia),(13-N(P_L1_Mes)+1)&lt;=N(P_L1_Gracia)+N(P_L1_Cuotas),N(P_L1_Cuotas)&gt;0),IF((13-N(P_L1_Mes)+1)=N(P_L1_Gracia)+N(P_L1_Cuotas),IF((13-N(P_L1_Mes)+1)=1,N(P_L1_Monto),Q$126),PMT(N(P_L1_Tasa)/12,N(P_L1_Cuotas),-N(P_L1_Monto))-R$124),0)*R$9</f>
        <v>44054.7517373735</v>
      </c>
      <c r="S125" s="48" t="n">
        <f aca="false">IF(AND((14-N(P_L1_Mes)+1)&gt;N(P_L1_Gracia),(14-N(P_L1_Mes)+1)&lt;=N(P_L1_Gracia)+N(P_L1_Cuotas),N(P_L1_Cuotas)&gt;0),IF((14-N(P_L1_Mes)+1)=N(P_L1_Gracia)+N(P_L1_Cuotas),IF((14-N(P_L1_Mes)+1)=1,N(P_L1_Monto),R$126),PMT(N(P_L1_Tasa)/12,N(P_L1_Cuotas),-N(P_L1_Monto))-S$124),0)*S$9</f>
        <v>44385.1623754038</v>
      </c>
      <c r="T125" s="48" t="n">
        <f aca="false">IF(AND((15-N(P_L1_Mes)+1)&gt;N(P_L1_Gracia),(15-N(P_L1_Mes)+1)&lt;=N(P_L1_Gracia)+N(P_L1_Cuotas),N(P_L1_Cuotas)&gt;0),IF((15-N(P_L1_Mes)+1)=N(P_L1_Gracia)+N(P_L1_Cuotas),IF((15-N(P_L1_Mes)+1)=1,N(P_L1_Monto),S$126),PMT(N(P_L1_Tasa)/12,N(P_L1_Cuotas),-N(P_L1_Monto))-T$124),0)*T$9</f>
        <v>44718.0510932194</v>
      </c>
      <c r="U125" s="48" t="n">
        <f aca="false">IF(AND((16-N(P_L1_Mes)+1)&gt;N(P_L1_Gracia),(16-N(P_L1_Mes)+1)&lt;=N(P_L1_Gracia)+N(P_L1_Cuotas),N(P_L1_Cuotas)&gt;0),IF((16-N(P_L1_Mes)+1)=N(P_L1_Gracia)+N(P_L1_Cuotas),IF((16-N(P_L1_Mes)+1)=1,N(P_L1_Monto),T$126),PMT(N(P_L1_Tasa)/12,N(P_L1_Cuotas),-N(P_L1_Monto))-U$124),0)*U$9</f>
        <v>45053.4364764185</v>
      </c>
      <c r="V125" s="48" t="n">
        <f aca="false">IF(AND((17-N(P_L1_Mes)+1)&gt;N(P_L1_Gracia),(17-N(P_L1_Mes)+1)&lt;=N(P_L1_Gracia)+N(P_L1_Cuotas),N(P_L1_Cuotas)&gt;0),IF((17-N(P_L1_Mes)+1)=N(P_L1_Gracia)+N(P_L1_Cuotas),IF((17-N(P_L1_Mes)+1)=1,N(P_L1_Monto),U$126),PMT(N(P_L1_Tasa)/12,N(P_L1_Cuotas),-N(P_L1_Monto))-V$124),0)*V$9</f>
        <v>45391.3372499916</v>
      </c>
      <c r="W125" s="48" t="n">
        <f aca="false">IF(AND((18-N(P_L1_Mes)+1)&gt;N(P_L1_Gracia),(18-N(P_L1_Mes)+1)&lt;=N(P_L1_Gracia)+N(P_L1_Cuotas),N(P_L1_Cuotas)&gt;0),IF((18-N(P_L1_Mes)+1)=N(P_L1_Gracia)+N(P_L1_Cuotas),IF((18-N(P_L1_Mes)+1)=1,N(P_L1_Monto),V$126),PMT(N(P_L1_Tasa)/12,N(P_L1_Cuotas),-N(P_L1_Monto))-W$124),0)*W$9</f>
        <v>45731.7722793666</v>
      </c>
      <c r="X125" s="48" t="n">
        <f aca="false">IF(AND((19-N(P_L1_Mes)+1)&gt;N(P_L1_Gracia),(19-N(P_L1_Mes)+1)&lt;=N(P_L1_Gracia)+N(P_L1_Cuotas),N(P_L1_Cuotas)&gt;0),IF((19-N(P_L1_Mes)+1)=N(P_L1_Gracia)+N(P_L1_Cuotas),IF((19-N(P_L1_Mes)+1)=1,N(P_L1_Monto),W$126),PMT(N(P_L1_Tasa)/12,N(P_L1_Cuotas),-N(P_L1_Monto))-X$124),0)*X$9</f>
        <v>46074.7605714618</v>
      </c>
      <c r="Y125" s="48" t="n">
        <f aca="false">IF(AND((20-N(P_L1_Mes)+1)&gt;N(P_L1_Gracia),(20-N(P_L1_Mes)+1)&lt;=N(P_L1_Gracia)+N(P_L1_Cuotas),N(P_L1_Cuotas)&gt;0),IF((20-N(P_L1_Mes)+1)=N(P_L1_Gracia)+N(P_L1_Cuotas),IF((20-N(P_L1_Mes)+1)=1,N(P_L1_Monto),X$126),PMT(N(P_L1_Tasa)/12,N(P_L1_Cuotas),-N(P_L1_Monto))-Y$124),0)*Y$9</f>
        <v>46420.3212757478</v>
      </c>
      <c r="Z125" s="48" t="n">
        <f aca="false">IF(AND((21-N(P_L1_Mes)+1)&gt;N(P_L1_Gracia),(21-N(P_L1_Mes)+1)&lt;=N(P_L1_Gracia)+N(P_L1_Cuotas),N(P_L1_Cuotas)&gt;0),IF((21-N(P_L1_Mes)+1)=N(P_L1_Gracia)+N(P_L1_Cuotas),IF((21-N(P_L1_Mes)+1)=1,N(P_L1_Monto),Y$126),PMT(N(P_L1_Tasa)/12,N(P_L1_Cuotas),-N(P_L1_Monto))-Z$124),0)*Z$9</f>
        <v>46768.4736853159</v>
      </c>
      <c r="AA125" s="48" t="n">
        <f aca="false">IF(AND((22-N(P_L1_Mes)+1)&gt;N(P_L1_Gracia),(22-N(P_L1_Mes)+1)&lt;=N(P_L1_Gracia)+N(P_L1_Cuotas),N(P_L1_Cuotas)&gt;0),IF((22-N(P_L1_Mes)+1)=N(P_L1_Gracia)+N(P_L1_Cuotas),IF((22-N(P_L1_Mes)+1)=1,N(P_L1_Monto),Z$126),PMT(N(P_L1_Tasa)/12,N(P_L1_Cuotas),-N(P_L1_Monto))-AA$124),0)*AA$9</f>
        <v>47119.2372379558</v>
      </c>
      <c r="AB125" s="48" t="n">
        <f aca="false">IF(AND((23-N(P_L1_Mes)+1)&gt;N(P_L1_Gracia),(23-N(P_L1_Mes)+1)&lt;=N(P_L1_Gracia)+N(P_L1_Cuotas),N(P_L1_Cuotas)&gt;0),IF((23-N(P_L1_Mes)+1)=N(P_L1_Gracia)+N(P_L1_Cuotas),IF((23-N(P_L1_Mes)+1)=1,N(P_L1_Monto),AA$126),PMT(N(P_L1_Tasa)/12,N(P_L1_Cuotas),-N(P_L1_Monto))-AB$124),0)*AB$9</f>
        <v>47472.6315172404</v>
      </c>
      <c r="AC125" s="48" t="n">
        <f aca="false">IF(AND((24-N(P_L1_Mes)+1)&gt;N(P_L1_Gracia),(24-N(P_L1_Mes)+1)&lt;=N(P_L1_Gracia)+N(P_L1_Cuotas),N(P_L1_Cuotas)&gt;0),IF((24-N(P_L1_Mes)+1)=N(P_L1_Gracia)+N(P_L1_Cuotas),IF((24-N(P_L1_Mes)+1)=1,N(P_L1_Monto),AB$126),PMT(N(P_L1_Tasa)/12,N(P_L1_Cuotas),-N(P_L1_Monto))-AC$124),0)*AC$9</f>
        <v>47828.6762536197</v>
      </c>
      <c r="AD125" s="48" t="n">
        <f aca="false">IF(AND((25-N(P_L1_Mes)+1)&gt;N(P_L1_Gracia),(25-N(P_L1_Mes)+1)&lt;=N(P_L1_Gracia)+N(P_L1_Cuotas),N(P_L1_Cuotas)&gt;0),IF((25-N(P_L1_Mes)+1)=N(P_L1_Gracia)+N(P_L1_Cuotas),IF((25-N(P_L1_Mes)+1)=1,N(P_L1_Monto),AC$126),PMT(N(P_L1_Tasa)/12,N(P_L1_Cuotas),-N(P_L1_Monto))-AD$124),0)*AD$9</f>
        <v>48187.3913255219</v>
      </c>
      <c r="AE125" s="48" t="n">
        <f aca="false">IF(AND((26-N(P_L1_Mes)+1)&gt;N(P_L1_Gracia),(26-N(P_L1_Mes)+1)&lt;=N(P_L1_Gracia)+N(P_L1_Cuotas),N(P_L1_Cuotas)&gt;0),IF((26-N(P_L1_Mes)+1)=N(P_L1_Gracia)+N(P_L1_Cuotas),IF((26-N(P_L1_Mes)+1)=1,N(P_L1_Monto),AD$126),PMT(N(P_L1_Tasa)/12,N(P_L1_Cuotas),-N(P_L1_Monto))-AE$124),0)*AE$9</f>
        <v>48548.7967604633</v>
      </c>
      <c r="AF125" s="48" t="n">
        <f aca="false">IF(AND((27-N(P_L1_Mes)+1)&gt;N(P_L1_Gracia),(27-N(P_L1_Mes)+1)&lt;=N(P_L1_Gracia)+N(P_L1_Cuotas),N(P_L1_Cuotas)&gt;0),IF((27-N(P_L1_Mes)+1)=N(P_L1_Gracia)+N(P_L1_Cuotas),IF((27-N(P_L1_Mes)+1)=1,N(P_L1_Monto),AE$126),PMT(N(P_L1_Tasa)/12,N(P_L1_Cuotas),-N(P_L1_Monto))-AF$124),0)*AF$9</f>
        <v>48912.9127361668</v>
      </c>
      <c r="AG125" s="48" t="n">
        <f aca="false">IF(AND((28-N(P_L1_Mes)+1)&gt;N(P_L1_Gracia),(28-N(P_L1_Mes)+1)&lt;=N(P_L1_Gracia)+N(P_L1_Cuotas),N(P_L1_Cuotas)&gt;0),IF((28-N(P_L1_Mes)+1)=N(P_L1_Gracia)+N(P_L1_Cuotas),IF((28-N(P_L1_Mes)+1)=1,N(P_L1_Monto),AF$126),PMT(N(P_L1_Tasa)/12,N(P_L1_Cuotas),-N(P_L1_Monto))-AG$124),0)*AG$9</f>
        <v>49279.759581688</v>
      </c>
      <c r="AH125" s="48" t="n">
        <f aca="false">IF(AND((29-N(P_L1_Mes)+1)&gt;N(P_L1_Gracia),(29-N(P_L1_Mes)+1)&lt;=N(P_L1_Gracia)+N(P_L1_Cuotas),N(P_L1_Cuotas)&gt;0),IF((29-N(P_L1_Mes)+1)=N(P_L1_Gracia)+N(P_L1_Cuotas),IF((29-N(P_L1_Mes)+1)=1,N(P_L1_Monto),AG$126),PMT(N(P_L1_Tasa)/12,N(P_L1_Cuotas),-N(P_L1_Monto))-AH$124),0)*AH$9</f>
        <v>49649.3577785507</v>
      </c>
      <c r="AI125" s="48" t="n">
        <f aca="false">IF(AND((30-N(P_L1_Mes)+1)&gt;N(P_L1_Gracia),(30-N(P_L1_Mes)+1)&lt;=N(P_L1_Gracia)+N(P_L1_Cuotas),N(P_L1_Cuotas)&gt;0),IF((30-N(P_L1_Mes)+1)=N(P_L1_Gracia)+N(P_L1_Cuotas),IF((30-N(P_L1_Mes)+1)=1,N(P_L1_Monto),AH$126),PMT(N(P_L1_Tasa)/12,N(P_L1_Cuotas),-N(P_L1_Monto))-AI$124),0)*AI$9</f>
        <v>50021.7279618898</v>
      </c>
      <c r="AJ125" s="48" t="n">
        <f aca="false">IF(AND((31-N(P_L1_Mes)+1)&gt;N(P_L1_Gracia),(31-N(P_L1_Mes)+1)&lt;=N(P_L1_Gracia)+N(P_L1_Cuotas),N(P_L1_Cuotas)&gt;0),IF((31-N(P_L1_Mes)+1)=N(P_L1_Gracia)+N(P_L1_Cuotas),IF((31-N(P_L1_Mes)+1)=1,N(P_L1_Monto),AI$126),PMT(N(P_L1_Tasa)/12,N(P_L1_Cuotas),-N(P_L1_Monto))-AJ$124),0)*AJ$9</f>
        <v>50396.890921604</v>
      </c>
      <c r="AK125" s="48" t="n">
        <f aca="false">IF(AND((32-N(P_L1_Mes)+1)&gt;N(P_L1_Gracia),(32-N(P_L1_Mes)+1)&lt;=N(P_L1_Gracia)+N(P_L1_Cuotas),N(P_L1_Cuotas)&gt;0),IF((32-N(P_L1_Mes)+1)=N(P_L1_Gracia)+N(P_L1_Cuotas),IF((32-N(P_L1_Mes)+1)=1,N(P_L1_Monto),AJ$126),PMT(N(P_L1_Tasa)/12,N(P_L1_Cuotas),-N(P_L1_Monto))-AK$124),0)*AK$9</f>
        <v>50774.867603516</v>
      </c>
      <c r="AL125" s="48" t="n">
        <f aca="false">IF(AND((33-N(P_L1_Mes)+1)&gt;N(P_L1_Gracia),(33-N(P_L1_Mes)+1)&lt;=N(P_L1_Gracia)+N(P_L1_Cuotas),N(P_L1_Cuotas)&gt;0),IF((33-N(P_L1_Mes)+1)=N(P_L1_Gracia)+N(P_L1_Cuotas),IF((33-N(P_L1_Mes)+1)=1,N(P_L1_Monto),AK$126),PMT(N(P_L1_Tasa)/12,N(P_L1_Cuotas),-N(P_L1_Monto))-AL$124),0)*AL$9</f>
        <v>51155.6791105424</v>
      </c>
      <c r="AM125" s="48" t="n">
        <f aca="false">IF(AND((34-N(P_L1_Mes)+1)&gt;N(P_L1_Gracia),(34-N(P_L1_Mes)+1)&lt;=N(P_L1_Gracia)+N(P_L1_Cuotas),N(P_L1_Cuotas)&gt;0),IF((34-N(P_L1_Mes)+1)=N(P_L1_Gracia)+N(P_L1_Cuotas),IF((34-N(P_L1_Mes)+1)=1,N(P_L1_Monto),AL$126),PMT(N(P_L1_Tasa)/12,N(P_L1_Cuotas),-N(P_L1_Monto))-AM$124),0)*AM$9</f>
        <v>51539.3467038715</v>
      </c>
      <c r="AN125" s="48" t="n">
        <f aca="false">IF(AND((35-N(P_L1_Mes)+1)&gt;N(P_L1_Gracia),(35-N(P_L1_Mes)+1)&lt;=N(P_L1_Gracia)+N(P_L1_Cuotas),N(P_L1_Cuotas)&gt;0),IF((35-N(P_L1_Mes)+1)=N(P_L1_Gracia)+N(P_L1_Cuotas),IF((35-N(P_L1_Mes)+1)=1,N(P_L1_Monto),AM$126),PMT(N(P_L1_Tasa)/12,N(P_L1_Cuotas),-N(P_L1_Monto))-AN$124),0)*AN$9</f>
        <v>51925.8918041505</v>
      </c>
      <c r="AO125" s="48" t="n">
        <f aca="false">IF(AND((36-N(P_L1_Mes)+1)&gt;N(P_L1_Gracia),(36-N(P_L1_Mes)+1)&lt;=N(P_L1_Gracia)+N(P_L1_Cuotas),N(P_L1_Cuotas)&gt;0),IF((36-N(P_L1_Mes)+1)=N(P_L1_Gracia)+N(P_L1_Cuotas),IF((36-N(P_L1_Mes)+1)=1,N(P_L1_Monto),AN$126),PMT(N(P_L1_Tasa)/12,N(P_L1_Cuotas),-N(P_L1_Monto))-AO$124),0)*AO$9</f>
        <v>52315.3359926816</v>
      </c>
      <c r="AP125" s="48" t="n">
        <f aca="false">IF(AND((37-N(P_L1_Mes)+1)&gt;N(P_L1_Gracia),(37-N(P_L1_Mes)+1)&lt;=N(P_L1_Gracia)+N(P_L1_Cuotas),N(P_L1_Cuotas)&gt;0),IF((37-N(P_L1_Mes)+1)=N(P_L1_Gracia)+N(P_L1_Cuotas),IF((37-N(P_L1_Mes)+1)=1,N(P_L1_Monto),AO$126),PMT(N(P_L1_Tasa)/12,N(P_L1_Cuotas),-N(P_L1_Monto))-AP$124),0)*AP$9</f>
        <v>52707.7010126267</v>
      </c>
      <c r="AQ125" s="48" t="n">
        <f aca="false">IF(AND((38-N(P_L1_Mes)+1)&gt;N(P_L1_Gracia),(38-N(P_L1_Mes)+1)&lt;=N(P_L1_Gracia)+N(P_L1_Cuotas),N(P_L1_Cuotas)&gt;0),IF((38-N(P_L1_Mes)+1)=N(P_L1_Gracia)+N(P_L1_Cuotas),IF((38-N(P_L1_Mes)+1)=1,N(P_L1_Monto),AP$126),PMT(N(P_L1_Tasa)/12,N(P_L1_Cuotas),-N(P_L1_Monto))-AQ$124),0)*AQ$9</f>
        <v>53103.0087702214</v>
      </c>
      <c r="AR125" s="48" t="n">
        <f aca="false">IF(AND((39-N(P_L1_Mes)+1)&gt;N(P_L1_Gracia),(39-N(P_L1_Mes)+1)&lt;=N(P_L1_Gracia)+N(P_L1_Cuotas),N(P_L1_Cuotas)&gt;0),IF((39-N(P_L1_Mes)+1)=N(P_L1_Gracia)+N(P_L1_Cuotas),IF((39-N(P_L1_Mes)+1)=1,N(P_L1_Monto),AQ$126),PMT(N(P_L1_Tasa)/12,N(P_L1_Cuotas),-N(P_L1_Monto))-AR$124),0)*AR$9</f>
        <v>53501.2813359981</v>
      </c>
      <c r="AS125" s="48" t="n">
        <f aca="false">IF(AND((40-N(P_L1_Mes)+1)&gt;N(P_L1_Gracia),(40-N(P_L1_Mes)+1)&lt;=N(P_L1_Gracia)+N(P_L1_Cuotas),N(P_L1_Cuotas)&gt;0),IF((40-N(P_L1_Mes)+1)=N(P_L1_Gracia)+N(P_L1_Cuotas),IF((40-N(P_L1_Mes)+1)=1,N(P_L1_Monto),AR$126),PMT(N(P_L1_Tasa)/12,N(P_L1_Cuotas),-N(P_L1_Monto))-AS$124),0)*AS$9</f>
        <v>53902.5409460181</v>
      </c>
      <c r="AT125" s="48" t="n">
        <f aca="false">IF(AND((41-N(P_L1_Mes)+1)&gt;N(P_L1_Gracia),(41-N(P_L1_Mes)+1)&lt;=N(P_L1_Gracia)+N(P_L1_Cuotas),N(P_L1_Cuotas)&gt;0),IF((41-N(P_L1_Mes)+1)=N(P_L1_Gracia)+N(P_L1_Cuotas),IF((41-N(P_L1_Mes)+1)=1,N(P_L1_Monto),AS$126),PMT(N(P_L1_Tasa)/12,N(P_L1_Cuotas),-N(P_L1_Monto))-AT$124),0)*AT$9</f>
        <v>54306.8100031132</v>
      </c>
      <c r="AU125" s="48" t="n">
        <f aca="false">IF(AND((42-N(P_L1_Mes)+1)&gt;N(P_L1_Gracia),(42-N(P_L1_Mes)+1)&lt;=N(P_L1_Gracia)+N(P_L1_Cuotas),N(P_L1_Cuotas)&gt;0),IF((42-N(P_L1_Mes)+1)=N(P_L1_Gracia)+N(P_L1_Cuotas),IF((42-N(P_L1_Mes)+1)=1,N(P_L1_Monto),AT$126),PMT(N(P_L1_Tasa)/12,N(P_L1_Cuotas),-N(P_L1_Monto))-AU$124),0)*AU$9</f>
        <v>54714.1110781366</v>
      </c>
      <c r="AV125" s="48" t="n">
        <f aca="false">IF(AND((43-N(P_L1_Mes)+1)&gt;N(P_L1_Gracia),(43-N(P_L1_Mes)+1)&lt;=N(P_L1_Gracia)+N(P_L1_Cuotas),N(P_L1_Cuotas)&gt;0),IF((43-N(P_L1_Mes)+1)=N(P_L1_Gracia)+N(P_L1_Cuotas),IF((43-N(P_L1_Mes)+1)=1,N(P_L1_Monto),AU$126),PMT(N(P_L1_Tasa)/12,N(P_L1_Cuotas),-N(P_L1_Monto))-AV$124),0)*AV$9</f>
        <v>55124.4669112226</v>
      </c>
      <c r="AW125" s="48" t="n">
        <f aca="false">IF(AND((44-N(P_L1_Mes)+1)&gt;N(P_L1_Gracia),(44-N(P_L1_Mes)+1)&lt;=N(P_L1_Gracia)+N(P_L1_Cuotas),N(P_L1_Cuotas)&gt;0),IF((44-N(P_L1_Mes)+1)=N(P_L1_Gracia)+N(P_L1_Cuotas),IF((44-N(P_L1_Mes)+1)=1,N(P_L1_Monto),AV$126),PMT(N(P_L1_Tasa)/12,N(P_L1_Cuotas),-N(P_L1_Monto))-AW$124),0)*AW$9</f>
        <v>55537.9004130568</v>
      </c>
      <c r="AX125" s="48" t="n">
        <f aca="false">IF(AND((45-N(P_L1_Mes)+1)&gt;N(P_L1_Gracia),(45-N(P_L1_Mes)+1)&lt;=N(P_L1_Gracia)+N(P_L1_Cuotas),N(P_L1_Cuotas)&gt;0),IF((45-N(P_L1_Mes)+1)=N(P_L1_Gracia)+N(P_L1_Cuotas),IF((45-N(P_L1_Mes)+1)=1,N(P_L1_Monto),AW$126),PMT(N(P_L1_Tasa)/12,N(P_L1_Cuotas),-N(P_L1_Monto))-AX$124),0)*AX$9</f>
        <v>55954.4346661547</v>
      </c>
      <c r="AY125" s="48" t="n">
        <f aca="false">IF(AND((46-N(P_L1_Mes)+1)&gt;N(P_L1_Gracia),(46-N(P_L1_Mes)+1)&lt;=N(P_L1_Gracia)+N(P_L1_Cuotas),N(P_L1_Cuotas)&gt;0),IF((46-N(P_L1_Mes)+1)=N(P_L1_Gracia)+N(P_L1_Cuotas),IF((46-N(P_L1_Mes)+1)=1,N(P_L1_Monto),AX$126),PMT(N(P_L1_Tasa)/12,N(P_L1_Cuotas),-N(P_L1_Monto))-AY$124),0)*AY$9</f>
        <v>56374.0929261509</v>
      </c>
      <c r="AZ125" s="48" t="n">
        <f aca="false">IF(AND((47-N(P_L1_Mes)+1)&gt;N(P_L1_Gracia),(47-N(P_L1_Mes)+1)&lt;=N(P_L1_Gracia)+N(P_L1_Cuotas),N(P_L1_Cuotas)&gt;0),IF((47-N(P_L1_Mes)+1)=N(P_L1_Gracia)+N(P_L1_Cuotas),IF((47-N(P_L1_Mes)+1)=1,N(P_L1_Monto),AY$126),PMT(N(P_L1_Tasa)/12,N(P_L1_Cuotas),-N(P_L1_Monto))-AZ$124),0)*AZ$9</f>
        <v>56796.898623097</v>
      </c>
      <c r="BA125" s="48" t="n">
        <f aca="false">IF(AND((48-N(P_L1_Mes)+1)&gt;N(P_L1_Gracia),(48-N(P_L1_Mes)+1)&lt;=N(P_L1_Gracia)+N(P_L1_Cuotas),N(P_L1_Cuotas)&gt;0),IF((48-N(P_L1_Mes)+1)=N(P_L1_Gracia)+N(P_L1_Cuotas),IF((48-N(P_L1_Mes)+1)=1,N(P_L1_Monto),AZ$126),PMT(N(P_L1_Tasa)/12,N(P_L1_Cuotas),-N(P_L1_Monto))-BA$124),0)*BA$9</f>
        <v>57222.8753627702</v>
      </c>
      <c r="BB125" s="48" t="n">
        <f aca="false">IF(AND((49-N(P_L1_Mes)+1)&gt;N(P_L1_Gracia),(49-N(P_L1_Mes)+1)&lt;=N(P_L1_Gracia)+N(P_L1_Cuotas),N(P_L1_Cuotas)&gt;0),IF((49-N(P_L1_Mes)+1)=N(P_L1_Gracia)+N(P_L1_Cuotas),IF((49-N(P_L1_Mes)+1)=1,N(P_L1_Monto),BA$126),PMT(N(P_L1_Tasa)/12,N(P_L1_Cuotas),-N(P_L1_Monto))-BB$124),0)*BB$9</f>
        <v>57652.046927991</v>
      </c>
      <c r="BC125" s="48" t="n">
        <f aca="false">IF(AND((50-N(P_L1_Mes)+1)&gt;N(P_L1_Gracia),(50-N(P_L1_Mes)+1)&lt;=N(P_L1_Gracia)+N(P_L1_Cuotas),N(P_L1_Cuotas)&gt;0),IF((50-N(P_L1_Mes)+1)=N(P_L1_Gracia)+N(P_L1_Cuotas),IF((50-N(P_L1_Mes)+1)=1,N(P_L1_Monto),BB$126),PMT(N(P_L1_Tasa)/12,N(P_L1_Cuotas),-N(P_L1_Monto))-BC$124),0)*BC$9</f>
        <v>58084.4372799509</v>
      </c>
      <c r="BD125" s="48" t="n">
        <f aca="false">IF(AND((51-N(P_L1_Mes)+1)&gt;N(P_L1_Gracia),(51-N(P_L1_Mes)+1)&lt;=N(P_L1_Gracia)+N(P_L1_Cuotas),N(P_L1_Cuotas)&gt;0),IF((51-N(P_L1_Mes)+1)=N(P_L1_Gracia)+N(P_L1_Cuotas),IF((51-N(P_L1_Mes)+1)=1,N(P_L1_Monto),BC$126),PMT(N(P_L1_Tasa)/12,N(P_L1_Cuotas),-N(P_L1_Monto))-BD$124),0)*BD$9</f>
        <v>58520.0705595506</v>
      </c>
      <c r="BE125" s="48" t="n">
        <f aca="false">IF(AND((52-N(P_L1_Mes)+1)&gt;N(P_L1_Gracia),(52-N(P_L1_Mes)+1)&lt;=N(P_L1_Gracia)+N(P_L1_Cuotas),N(P_L1_Cuotas)&gt;0),IF((52-N(P_L1_Mes)+1)=N(P_L1_Gracia)+N(P_L1_Cuotas),IF((52-N(P_L1_Mes)+1)=1,N(P_L1_Monto),BD$126),PMT(N(P_L1_Tasa)/12,N(P_L1_Cuotas),-N(P_L1_Monto))-BE$124),0)*BE$9</f>
        <v>58958.9710887472</v>
      </c>
      <c r="BF125" s="48" t="n">
        <f aca="false">IF(AND((53-N(P_L1_Mes)+1)&gt;N(P_L1_Gracia),(53-N(P_L1_Mes)+1)&lt;=N(P_L1_Gracia)+N(P_L1_Cuotas),N(P_L1_Cuotas)&gt;0),IF((53-N(P_L1_Mes)+1)=N(P_L1_Gracia)+N(P_L1_Cuotas),IF((53-N(P_L1_Mes)+1)=1,N(P_L1_Monto),BE$126),PMT(N(P_L1_Tasa)/12,N(P_L1_Cuotas),-N(P_L1_Monto))-BF$124),0)*BF$9</f>
        <v>59401.1633719128</v>
      </c>
      <c r="BG125" s="48" t="n">
        <f aca="false">IF(AND((54-N(P_L1_Mes)+1)&gt;N(P_L1_Gracia),(54-N(P_L1_Mes)+1)&lt;=N(P_L1_Gracia)+N(P_L1_Cuotas),N(P_L1_Cuotas)&gt;0),IF((54-N(P_L1_Mes)+1)=N(P_L1_Gracia)+N(P_L1_Cuotas),IF((54-N(P_L1_Mes)+1)=1,N(P_L1_Monto),BF$126),PMT(N(P_L1_Tasa)/12,N(P_L1_Cuotas),-N(P_L1_Monto))-BG$124),0)*BG$9</f>
        <v>59846.6720972021</v>
      </c>
      <c r="BH125" s="48" t="n">
        <f aca="false">IF(AND((55-N(P_L1_Mes)+1)&gt;N(P_L1_Gracia),(55-N(P_L1_Mes)+1)&lt;=N(P_L1_Gracia)+N(P_L1_Cuotas),N(P_L1_Cuotas)&gt;0),IF((55-N(P_L1_Mes)+1)=N(P_L1_Gracia)+N(P_L1_Cuotas),IF((55-N(P_L1_Mes)+1)=1,N(P_L1_Monto),BG$126),PMT(N(P_L1_Tasa)/12,N(P_L1_Cuotas),-N(P_L1_Monto))-BH$124),0)*BH$9</f>
        <v>60295.5221379312</v>
      </c>
      <c r="BI125" s="48" t="n">
        <f aca="false">IF(AND((56-N(P_L1_Mes)+1)&gt;N(P_L1_Gracia),(56-N(P_L1_Mes)+1)&lt;=N(P_L1_Gracia)+N(P_L1_Cuotas),N(P_L1_Cuotas)&gt;0),IF((56-N(P_L1_Mes)+1)=N(P_L1_Gracia)+N(P_L1_Cuotas),IF((56-N(P_L1_Mes)+1)=1,N(P_L1_Monto),BH$126),PMT(N(P_L1_Tasa)/12,N(P_L1_Cuotas),-N(P_L1_Monto))-BI$124),0)*BI$9</f>
        <v>60747.7385539656</v>
      </c>
      <c r="BJ125" s="48" t="n">
        <f aca="false">IF(AND((57-N(P_L1_Mes)+1)&gt;N(P_L1_Gracia),(57-N(P_L1_Mes)+1)&lt;=N(P_L1_Gracia)+N(P_L1_Cuotas),N(P_L1_Cuotas)&gt;0),IF((57-N(P_L1_Mes)+1)=N(P_L1_Gracia)+N(P_L1_Cuotas),IF((57-N(P_L1_Mes)+1)=1,N(P_L1_Monto),BI$126),PMT(N(P_L1_Tasa)/12,N(P_L1_Cuotas),-N(P_L1_Monto))-BJ$124),0)*BJ$9</f>
        <v>61203.3465931204</v>
      </c>
      <c r="BK125" s="48" t="n">
        <f aca="false">IF(AND((58-N(P_L1_Mes)+1)&gt;N(P_L1_Gracia),(58-N(P_L1_Mes)+1)&lt;=N(P_L1_Gracia)+N(P_L1_Cuotas),N(P_L1_Cuotas)&gt;0),IF((58-N(P_L1_Mes)+1)=N(P_L1_Gracia)+N(P_L1_Cuotas),IF((58-N(P_L1_Mes)+1)=1,N(P_L1_Monto),BJ$126),PMT(N(P_L1_Tasa)/12,N(P_L1_Cuotas),-N(P_L1_Monto))-BK$124),0)*BK$9</f>
        <v>61662.3716925688</v>
      </c>
      <c r="BL125" s="48" t="n">
        <f aca="false">IF(AND((59-N(P_L1_Mes)+1)&gt;N(P_L1_Gracia),(59-N(P_L1_Mes)+1)&lt;=N(P_L1_Gracia)+N(P_L1_Cuotas),N(P_L1_Cuotas)&gt;0),IF((59-N(P_L1_Mes)+1)=N(P_L1_Gracia)+N(P_L1_Cuotas),IF((59-N(P_L1_Mes)+1)=1,N(P_L1_Monto),BK$126),PMT(N(P_L1_Tasa)/12,N(P_L1_Cuotas),-N(P_L1_Monto))-BL$124),0)*BL$9</f>
        <v>62124.839480263</v>
      </c>
      <c r="BM125" s="48" t="n">
        <f aca="false">IF(AND((60-N(P_L1_Mes)+1)&gt;N(P_L1_Gracia),(60-N(P_L1_Mes)+1)&lt;=N(P_L1_Gracia)+N(P_L1_Cuotas),N(P_L1_Cuotas)&gt;0),IF((60-N(P_L1_Mes)+1)=N(P_L1_Gracia)+N(P_L1_Cuotas),IF((60-N(P_L1_Mes)+1)=1,N(P_L1_Monto),BL$126),PMT(N(P_L1_Tasa)/12,N(P_L1_Cuotas),-N(P_L1_Monto))-BM$124),0)*BM$9</f>
        <v>62590.7757763667</v>
      </c>
      <c r="BN125" s="48" t="n">
        <f aca="false">IF(AND((61-N(P_L1_Mes)+1)&gt;N(P_L1_Gracia),(61-N(P_L1_Mes)+1)&lt;=N(P_L1_Gracia)+N(P_L1_Cuotas),N(P_L1_Cuotas)&gt;0),IF((61-N(P_L1_Mes)+1)=N(P_L1_Gracia)+N(P_L1_Cuotas),IF((61-N(P_L1_Mes)+1)=1,N(P_L1_Monto),BM$126),PMT(N(P_L1_Tasa)/12,N(P_L1_Cuotas),-N(P_L1_Monto))-BN$124),0)*BN$9</f>
        <v>0</v>
      </c>
      <c r="BO125" s="48" t="n">
        <f aca="false">IF(AND((62-N(P_L1_Mes)+1)&gt;N(P_L1_Gracia),(62-N(P_L1_Mes)+1)&lt;=N(P_L1_Gracia)+N(P_L1_Cuotas),N(P_L1_Cuotas)&gt;0),IF((62-N(P_L1_Mes)+1)=N(P_L1_Gracia)+N(P_L1_Cuotas),IF((62-N(P_L1_Mes)+1)=1,N(P_L1_Monto),BN$126),PMT(N(P_L1_Tasa)/12,N(P_L1_Cuotas),-N(P_L1_Monto))-BO$124),0)*BO$9</f>
        <v>0</v>
      </c>
      <c r="BP125" s="48" t="n">
        <f aca="false">IF(AND((63-N(P_L1_Mes)+1)&gt;N(P_L1_Gracia),(63-N(P_L1_Mes)+1)&lt;=N(P_L1_Gracia)+N(P_L1_Cuotas),N(P_L1_Cuotas)&gt;0),IF((63-N(P_L1_Mes)+1)=N(P_L1_Gracia)+N(P_L1_Cuotas),IF((63-N(P_L1_Mes)+1)=1,N(P_L1_Monto),BO$126),PMT(N(P_L1_Tasa)/12,N(P_L1_Cuotas),-N(P_L1_Monto))-BP$124),0)*BP$9</f>
        <v>0</v>
      </c>
      <c r="BQ125" s="48" t="n">
        <f aca="false">IF(AND((64-N(P_L1_Mes)+1)&gt;N(P_L1_Gracia),(64-N(P_L1_Mes)+1)&lt;=N(P_L1_Gracia)+N(P_L1_Cuotas),N(P_L1_Cuotas)&gt;0),IF((64-N(P_L1_Mes)+1)=N(P_L1_Gracia)+N(P_L1_Cuotas),IF((64-N(P_L1_Mes)+1)=1,N(P_L1_Monto),BP$126),PMT(N(P_L1_Tasa)/12,N(P_L1_Cuotas),-N(P_L1_Monto))-BQ$124),0)*BQ$9</f>
        <v>0</v>
      </c>
      <c r="BR125" s="48" t="n">
        <f aca="false">IF(AND((65-N(P_L1_Mes)+1)&gt;N(P_L1_Gracia),(65-N(P_L1_Mes)+1)&lt;=N(P_L1_Gracia)+N(P_L1_Cuotas),N(P_L1_Cuotas)&gt;0),IF((65-N(P_L1_Mes)+1)=N(P_L1_Gracia)+N(P_L1_Cuotas),IF((65-N(P_L1_Mes)+1)=1,N(P_L1_Monto),BQ$126),PMT(N(P_L1_Tasa)/12,N(P_L1_Cuotas),-N(P_L1_Monto))-BR$124),0)*BR$9</f>
        <v>0</v>
      </c>
      <c r="BS125" s="48" t="n">
        <f aca="false">IF(AND((66-N(P_L1_Mes)+1)&gt;N(P_L1_Gracia),(66-N(P_L1_Mes)+1)&lt;=N(P_L1_Gracia)+N(P_L1_Cuotas),N(P_L1_Cuotas)&gt;0),IF((66-N(P_L1_Mes)+1)=N(P_L1_Gracia)+N(P_L1_Cuotas),IF((66-N(P_L1_Mes)+1)=1,N(P_L1_Monto),BR$126),PMT(N(P_L1_Tasa)/12,N(P_L1_Cuotas),-N(P_L1_Monto))-BS$124),0)*BS$9</f>
        <v>0</v>
      </c>
      <c r="BT125" s="48" t="n">
        <f aca="false">IF(AND((67-N(P_L1_Mes)+1)&gt;N(P_L1_Gracia),(67-N(P_L1_Mes)+1)&lt;=N(P_L1_Gracia)+N(P_L1_Cuotas),N(P_L1_Cuotas)&gt;0),IF((67-N(P_L1_Mes)+1)=N(P_L1_Gracia)+N(P_L1_Cuotas),IF((67-N(P_L1_Mes)+1)=1,N(P_L1_Monto),BS$126),PMT(N(P_L1_Tasa)/12,N(P_L1_Cuotas),-N(P_L1_Monto))-BT$124),0)*BT$9</f>
        <v>0</v>
      </c>
      <c r="BU125" s="48" t="n">
        <f aca="false">IF(AND((68-N(P_L1_Mes)+1)&gt;N(P_L1_Gracia),(68-N(P_L1_Mes)+1)&lt;=N(P_L1_Gracia)+N(P_L1_Cuotas),N(P_L1_Cuotas)&gt;0),IF((68-N(P_L1_Mes)+1)=N(P_L1_Gracia)+N(P_L1_Cuotas),IF((68-N(P_L1_Mes)+1)=1,N(P_L1_Monto),BT$126),PMT(N(P_L1_Tasa)/12,N(P_L1_Cuotas),-N(P_L1_Monto))-BU$124),0)*BU$9</f>
        <v>0</v>
      </c>
      <c r="BV125" s="48" t="n">
        <f aca="false">IF(AND((69-N(P_L1_Mes)+1)&gt;N(P_L1_Gracia),(69-N(P_L1_Mes)+1)&lt;=N(P_L1_Gracia)+N(P_L1_Cuotas),N(P_L1_Cuotas)&gt;0),IF((69-N(P_L1_Mes)+1)=N(P_L1_Gracia)+N(P_L1_Cuotas),IF((69-N(P_L1_Mes)+1)=1,N(P_L1_Monto),BU$126),PMT(N(P_L1_Tasa)/12,N(P_L1_Cuotas),-N(P_L1_Monto))-BV$124),0)*BV$9</f>
        <v>0</v>
      </c>
      <c r="BW125" s="48" t="n">
        <f aca="false">IF(AND((70-N(P_L1_Mes)+1)&gt;N(P_L1_Gracia),(70-N(P_L1_Mes)+1)&lt;=N(P_L1_Gracia)+N(P_L1_Cuotas),N(P_L1_Cuotas)&gt;0),IF((70-N(P_L1_Mes)+1)=N(P_L1_Gracia)+N(P_L1_Cuotas),IF((70-N(P_L1_Mes)+1)=1,N(P_L1_Monto),BV$126),PMT(N(P_L1_Tasa)/12,N(P_L1_Cuotas),-N(P_L1_Monto))-BW$124),0)*BW$9</f>
        <v>0</v>
      </c>
      <c r="BX125" s="48" t="n">
        <f aca="false">IF(AND((71-N(P_L1_Mes)+1)&gt;N(P_L1_Gracia),(71-N(P_L1_Mes)+1)&lt;=N(P_L1_Gracia)+N(P_L1_Cuotas),N(P_L1_Cuotas)&gt;0),IF((71-N(P_L1_Mes)+1)=N(P_L1_Gracia)+N(P_L1_Cuotas),IF((71-N(P_L1_Mes)+1)=1,N(P_L1_Monto),BW$126),PMT(N(P_L1_Tasa)/12,N(P_L1_Cuotas),-N(P_L1_Monto))-BX$124),0)*BX$9</f>
        <v>0</v>
      </c>
      <c r="BY125" s="48" t="n">
        <f aca="false">IF(AND((72-N(P_L1_Mes)+1)&gt;N(P_L1_Gracia),(72-N(P_L1_Mes)+1)&lt;=N(P_L1_Gracia)+N(P_L1_Cuotas),N(P_L1_Cuotas)&gt;0),IF((72-N(P_L1_Mes)+1)=N(P_L1_Gracia)+N(P_L1_Cuotas),IF((72-N(P_L1_Mes)+1)=1,N(P_L1_Monto),BX$126),PMT(N(P_L1_Tasa)/12,N(P_L1_Cuotas),-N(P_L1_Monto))-BY$124),0)*BY$9</f>
        <v>0</v>
      </c>
      <c r="BZ125" s="48" t="n">
        <f aca="false">IF(AND((73-N(P_L1_Mes)+1)&gt;N(P_L1_Gracia),(73-N(P_L1_Mes)+1)&lt;=N(P_L1_Gracia)+N(P_L1_Cuotas),N(P_L1_Cuotas)&gt;0),IF((73-N(P_L1_Mes)+1)=N(P_L1_Gracia)+N(P_L1_Cuotas),IF((73-N(P_L1_Mes)+1)=1,N(P_L1_Monto),BY$126),PMT(N(P_L1_Tasa)/12,N(P_L1_Cuotas),-N(P_L1_Monto))-BZ$124),0)*BZ$9</f>
        <v>0</v>
      </c>
      <c r="CA125" s="48" t="n">
        <f aca="false">IF(AND((74-N(P_L1_Mes)+1)&gt;N(P_L1_Gracia),(74-N(P_L1_Mes)+1)&lt;=N(P_L1_Gracia)+N(P_L1_Cuotas),N(P_L1_Cuotas)&gt;0),IF((74-N(P_L1_Mes)+1)=N(P_L1_Gracia)+N(P_L1_Cuotas),IF((74-N(P_L1_Mes)+1)=1,N(P_L1_Monto),BZ$126),PMT(N(P_L1_Tasa)/12,N(P_L1_Cuotas),-N(P_L1_Monto))-CA$124),0)*CA$9</f>
        <v>0</v>
      </c>
      <c r="CB125" s="48" t="n">
        <f aca="false">IF(AND((75-N(P_L1_Mes)+1)&gt;N(P_L1_Gracia),(75-N(P_L1_Mes)+1)&lt;=N(P_L1_Gracia)+N(P_L1_Cuotas),N(P_L1_Cuotas)&gt;0),IF((75-N(P_L1_Mes)+1)=N(P_L1_Gracia)+N(P_L1_Cuotas),IF((75-N(P_L1_Mes)+1)=1,N(P_L1_Monto),CA$126),PMT(N(P_L1_Tasa)/12,N(P_L1_Cuotas),-N(P_L1_Monto))-CB$124),0)*CB$9</f>
        <v>0</v>
      </c>
      <c r="CC125" s="48" t="n">
        <f aca="false">IF(AND((76-N(P_L1_Mes)+1)&gt;N(P_L1_Gracia),(76-N(P_L1_Mes)+1)&lt;=N(P_L1_Gracia)+N(P_L1_Cuotas),N(P_L1_Cuotas)&gt;0),IF((76-N(P_L1_Mes)+1)=N(P_L1_Gracia)+N(P_L1_Cuotas),IF((76-N(P_L1_Mes)+1)=1,N(P_L1_Monto),CB$126),PMT(N(P_L1_Tasa)/12,N(P_L1_Cuotas),-N(P_L1_Monto))-CC$124),0)*CC$9</f>
        <v>0</v>
      </c>
      <c r="CD125" s="48" t="n">
        <f aca="false">IF(AND((77-N(P_L1_Mes)+1)&gt;N(P_L1_Gracia),(77-N(P_L1_Mes)+1)&lt;=N(P_L1_Gracia)+N(P_L1_Cuotas),N(P_L1_Cuotas)&gt;0),IF((77-N(P_L1_Mes)+1)=N(P_L1_Gracia)+N(P_L1_Cuotas),IF((77-N(P_L1_Mes)+1)=1,N(P_L1_Monto),CC$126),PMT(N(P_L1_Tasa)/12,N(P_L1_Cuotas),-N(P_L1_Monto))-CD$124),0)*CD$9</f>
        <v>0</v>
      </c>
      <c r="CE125" s="48" t="n">
        <f aca="false">IF(AND((78-N(P_L1_Mes)+1)&gt;N(P_L1_Gracia),(78-N(P_L1_Mes)+1)&lt;=N(P_L1_Gracia)+N(P_L1_Cuotas),N(P_L1_Cuotas)&gt;0),IF((78-N(P_L1_Mes)+1)=N(P_L1_Gracia)+N(P_L1_Cuotas),IF((78-N(P_L1_Mes)+1)=1,N(P_L1_Monto),CD$126),PMT(N(P_L1_Tasa)/12,N(P_L1_Cuotas),-N(P_L1_Monto))-CE$124),0)*CE$9</f>
        <v>0</v>
      </c>
      <c r="CF125" s="48" t="n">
        <f aca="false">IF(AND((79-N(P_L1_Mes)+1)&gt;N(P_L1_Gracia),(79-N(P_L1_Mes)+1)&lt;=N(P_L1_Gracia)+N(P_L1_Cuotas),N(P_L1_Cuotas)&gt;0),IF((79-N(P_L1_Mes)+1)=N(P_L1_Gracia)+N(P_L1_Cuotas),IF((79-N(P_L1_Mes)+1)=1,N(P_L1_Monto),CE$126),PMT(N(P_L1_Tasa)/12,N(P_L1_Cuotas),-N(P_L1_Monto))-CF$124),0)*CF$9</f>
        <v>0</v>
      </c>
      <c r="CG125" s="48" t="n">
        <f aca="false">IF(AND((80-N(P_L1_Mes)+1)&gt;N(P_L1_Gracia),(80-N(P_L1_Mes)+1)&lt;=N(P_L1_Gracia)+N(P_L1_Cuotas),N(P_L1_Cuotas)&gt;0),IF((80-N(P_L1_Mes)+1)=N(P_L1_Gracia)+N(P_L1_Cuotas),IF((80-N(P_L1_Mes)+1)=1,N(P_L1_Monto),CF$126),PMT(N(P_L1_Tasa)/12,N(P_L1_Cuotas),-N(P_L1_Monto))-CG$124),0)*CG$9</f>
        <v>0</v>
      </c>
      <c r="CH125" s="48" t="n">
        <f aca="false">IF(AND((81-N(P_L1_Mes)+1)&gt;N(P_L1_Gracia),(81-N(P_L1_Mes)+1)&lt;=N(P_L1_Gracia)+N(P_L1_Cuotas),N(P_L1_Cuotas)&gt;0),IF((81-N(P_L1_Mes)+1)=N(P_L1_Gracia)+N(P_L1_Cuotas),IF((81-N(P_L1_Mes)+1)=1,N(P_L1_Monto),CG$126),PMT(N(P_L1_Tasa)/12,N(P_L1_Cuotas),-N(P_L1_Monto))-CH$124),0)*CH$9</f>
        <v>0</v>
      </c>
      <c r="CI125" s="48" t="n">
        <f aca="false">IF(AND((82-N(P_L1_Mes)+1)&gt;N(P_L1_Gracia),(82-N(P_L1_Mes)+1)&lt;=N(P_L1_Gracia)+N(P_L1_Cuotas),N(P_L1_Cuotas)&gt;0),IF((82-N(P_L1_Mes)+1)=N(P_L1_Gracia)+N(P_L1_Cuotas),IF((82-N(P_L1_Mes)+1)=1,N(P_L1_Monto),CH$126),PMT(N(P_L1_Tasa)/12,N(P_L1_Cuotas),-N(P_L1_Monto))-CI$124),0)*CI$9</f>
        <v>0</v>
      </c>
      <c r="CJ125" s="48" t="n">
        <f aca="false">IF(AND((83-N(P_L1_Mes)+1)&gt;N(P_L1_Gracia),(83-N(P_L1_Mes)+1)&lt;=N(P_L1_Gracia)+N(P_L1_Cuotas),N(P_L1_Cuotas)&gt;0),IF((83-N(P_L1_Mes)+1)=N(P_L1_Gracia)+N(P_L1_Cuotas),IF((83-N(P_L1_Mes)+1)=1,N(P_L1_Monto),CI$126),PMT(N(P_L1_Tasa)/12,N(P_L1_Cuotas),-N(P_L1_Monto))-CJ$124),0)*CJ$9</f>
        <v>0</v>
      </c>
      <c r="CK125" s="48" t="n">
        <f aca="false">IF(AND((84-N(P_L1_Mes)+1)&gt;N(P_L1_Gracia),(84-N(P_L1_Mes)+1)&lt;=N(P_L1_Gracia)+N(P_L1_Cuotas),N(P_L1_Cuotas)&gt;0),IF((84-N(P_L1_Mes)+1)=N(P_L1_Gracia)+N(P_L1_Cuotas),IF((84-N(P_L1_Mes)+1)=1,N(P_L1_Monto),CJ$126),PMT(N(P_L1_Tasa)/12,N(P_L1_Cuotas),-N(P_L1_Monto))-CK$124),0)*CK$9</f>
        <v>0</v>
      </c>
      <c r="CL125" s="48" t="n">
        <f aca="false">IF(AND((85-N(P_L1_Mes)+1)&gt;N(P_L1_Gracia),(85-N(P_L1_Mes)+1)&lt;=N(P_L1_Gracia)+N(P_L1_Cuotas),N(P_L1_Cuotas)&gt;0),IF((85-N(P_L1_Mes)+1)=N(P_L1_Gracia)+N(P_L1_Cuotas),IF((85-N(P_L1_Mes)+1)=1,N(P_L1_Monto),CK$126),PMT(N(P_L1_Tasa)/12,N(P_L1_Cuotas),-N(P_L1_Monto))-CL$124),0)*CL$9</f>
        <v>0</v>
      </c>
      <c r="CM125" s="48" t="n">
        <f aca="false">IF(AND((86-N(P_L1_Mes)+1)&gt;N(P_L1_Gracia),(86-N(P_L1_Mes)+1)&lt;=N(P_L1_Gracia)+N(P_L1_Cuotas),N(P_L1_Cuotas)&gt;0),IF((86-N(P_L1_Mes)+1)=N(P_L1_Gracia)+N(P_L1_Cuotas),IF((86-N(P_L1_Mes)+1)=1,N(P_L1_Monto),CL$126),PMT(N(P_L1_Tasa)/12,N(P_L1_Cuotas),-N(P_L1_Monto))-CM$124),0)*CM$9</f>
        <v>0</v>
      </c>
      <c r="CN125" s="48" t="n">
        <f aca="false">IF(AND((87-N(P_L1_Mes)+1)&gt;N(P_L1_Gracia),(87-N(P_L1_Mes)+1)&lt;=N(P_L1_Gracia)+N(P_L1_Cuotas),N(P_L1_Cuotas)&gt;0),IF((87-N(P_L1_Mes)+1)=N(P_L1_Gracia)+N(P_L1_Cuotas),IF((87-N(P_L1_Mes)+1)=1,N(P_L1_Monto),CM$126),PMT(N(P_L1_Tasa)/12,N(P_L1_Cuotas),-N(P_L1_Monto))-CN$124),0)*CN$9</f>
        <v>0</v>
      </c>
      <c r="CO125" s="48" t="n">
        <f aca="false">IF(AND((88-N(P_L1_Mes)+1)&gt;N(P_L1_Gracia),(88-N(P_L1_Mes)+1)&lt;=N(P_L1_Gracia)+N(P_L1_Cuotas),N(P_L1_Cuotas)&gt;0),IF((88-N(P_L1_Mes)+1)=N(P_L1_Gracia)+N(P_L1_Cuotas),IF((88-N(P_L1_Mes)+1)=1,N(P_L1_Monto),CN$126),PMT(N(P_L1_Tasa)/12,N(P_L1_Cuotas),-N(P_L1_Monto))-CO$124),0)*CO$9</f>
        <v>0</v>
      </c>
      <c r="CP125" s="48" t="n">
        <f aca="false">IF(AND((89-N(P_L1_Mes)+1)&gt;N(P_L1_Gracia),(89-N(P_L1_Mes)+1)&lt;=N(P_L1_Gracia)+N(P_L1_Cuotas),N(P_L1_Cuotas)&gt;0),IF((89-N(P_L1_Mes)+1)=N(P_L1_Gracia)+N(P_L1_Cuotas),IF((89-N(P_L1_Mes)+1)=1,N(P_L1_Monto),CO$126),PMT(N(P_L1_Tasa)/12,N(P_L1_Cuotas),-N(P_L1_Monto))-CP$124),0)*CP$9</f>
        <v>0</v>
      </c>
      <c r="CQ125" s="48" t="n">
        <f aca="false">IF(AND((90-N(P_L1_Mes)+1)&gt;N(P_L1_Gracia),(90-N(P_L1_Mes)+1)&lt;=N(P_L1_Gracia)+N(P_L1_Cuotas),N(P_L1_Cuotas)&gt;0),IF((90-N(P_L1_Mes)+1)=N(P_L1_Gracia)+N(P_L1_Cuotas),IF((90-N(P_L1_Mes)+1)=1,N(P_L1_Monto),CP$126),PMT(N(P_L1_Tasa)/12,N(P_L1_Cuotas),-N(P_L1_Monto))-CQ$124),0)*CQ$9</f>
        <v>0</v>
      </c>
      <c r="CR125" s="48" t="n">
        <f aca="false">IF(AND((91-N(P_L1_Mes)+1)&gt;N(P_L1_Gracia),(91-N(P_L1_Mes)+1)&lt;=N(P_L1_Gracia)+N(P_L1_Cuotas),N(P_L1_Cuotas)&gt;0),IF((91-N(P_L1_Mes)+1)=N(P_L1_Gracia)+N(P_L1_Cuotas),IF((91-N(P_L1_Mes)+1)=1,N(P_L1_Monto),CQ$126),PMT(N(P_L1_Tasa)/12,N(P_L1_Cuotas),-N(P_L1_Monto))-CR$124),0)*CR$9</f>
        <v>0</v>
      </c>
      <c r="CS125" s="48" t="n">
        <f aca="false">IF(AND((92-N(P_L1_Mes)+1)&gt;N(P_L1_Gracia),(92-N(P_L1_Mes)+1)&lt;=N(P_L1_Gracia)+N(P_L1_Cuotas),N(P_L1_Cuotas)&gt;0),IF((92-N(P_L1_Mes)+1)=N(P_L1_Gracia)+N(P_L1_Cuotas),IF((92-N(P_L1_Mes)+1)=1,N(P_L1_Monto),CR$126),PMT(N(P_L1_Tasa)/12,N(P_L1_Cuotas),-N(P_L1_Monto))-CS$124),0)*CS$9</f>
        <v>0</v>
      </c>
      <c r="CT125" s="48" t="n">
        <f aca="false">IF(AND((93-N(P_L1_Mes)+1)&gt;N(P_L1_Gracia),(93-N(P_L1_Mes)+1)&lt;=N(P_L1_Gracia)+N(P_L1_Cuotas),N(P_L1_Cuotas)&gt;0),IF((93-N(P_L1_Mes)+1)=N(P_L1_Gracia)+N(P_L1_Cuotas),IF((93-N(P_L1_Mes)+1)=1,N(P_L1_Monto),CS$126),PMT(N(P_L1_Tasa)/12,N(P_L1_Cuotas),-N(P_L1_Monto))-CT$124),0)*CT$9</f>
        <v>0</v>
      </c>
      <c r="CU125" s="48" t="n">
        <f aca="false">IF(AND((94-N(P_L1_Mes)+1)&gt;N(P_L1_Gracia),(94-N(P_L1_Mes)+1)&lt;=N(P_L1_Gracia)+N(P_L1_Cuotas),N(P_L1_Cuotas)&gt;0),IF((94-N(P_L1_Mes)+1)=N(P_L1_Gracia)+N(P_L1_Cuotas),IF((94-N(P_L1_Mes)+1)=1,N(P_L1_Monto),CT$126),PMT(N(P_L1_Tasa)/12,N(P_L1_Cuotas),-N(P_L1_Monto))-CU$124),0)*CU$9</f>
        <v>0</v>
      </c>
      <c r="CV125" s="48" t="n">
        <f aca="false">IF(AND((95-N(P_L1_Mes)+1)&gt;N(P_L1_Gracia),(95-N(P_L1_Mes)+1)&lt;=N(P_L1_Gracia)+N(P_L1_Cuotas),N(P_L1_Cuotas)&gt;0),IF((95-N(P_L1_Mes)+1)=N(P_L1_Gracia)+N(P_L1_Cuotas),IF((95-N(P_L1_Mes)+1)=1,N(P_L1_Monto),CU$126),PMT(N(P_L1_Tasa)/12,N(P_L1_Cuotas),-N(P_L1_Monto))-CV$124),0)*CV$9</f>
        <v>0</v>
      </c>
      <c r="CW125" s="48" t="n">
        <f aca="false">IF(AND((96-N(P_L1_Mes)+1)&gt;N(P_L1_Gracia),(96-N(P_L1_Mes)+1)&lt;=N(P_L1_Gracia)+N(P_L1_Cuotas),N(P_L1_Cuotas)&gt;0),IF((96-N(P_L1_Mes)+1)=N(P_L1_Gracia)+N(P_L1_Cuotas),IF((96-N(P_L1_Mes)+1)=1,N(P_L1_Monto),CV$126),PMT(N(P_L1_Tasa)/12,N(P_L1_Cuotas),-N(P_L1_Monto))-CW$124),0)*CW$9</f>
        <v>0</v>
      </c>
      <c r="CX125" s="48" t="n">
        <f aca="false">IF(AND((97-N(P_L1_Mes)+1)&gt;N(P_L1_Gracia),(97-N(P_L1_Mes)+1)&lt;=N(P_L1_Gracia)+N(P_L1_Cuotas),N(P_L1_Cuotas)&gt;0),IF((97-N(P_L1_Mes)+1)=N(P_L1_Gracia)+N(P_L1_Cuotas),IF((97-N(P_L1_Mes)+1)=1,N(P_L1_Monto),CW$126),PMT(N(P_L1_Tasa)/12,N(P_L1_Cuotas),-N(P_L1_Monto))-CX$124),0)*CX$9</f>
        <v>0</v>
      </c>
      <c r="CY125" s="48" t="n">
        <f aca="false">IF(AND((98-N(P_L1_Mes)+1)&gt;N(P_L1_Gracia),(98-N(P_L1_Mes)+1)&lt;=N(P_L1_Gracia)+N(P_L1_Cuotas),N(P_L1_Cuotas)&gt;0),IF((98-N(P_L1_Mes)+1)=N(P_L1_Gracia)+N(P_L1_Cuotas),IF((98-N(P_L1_Mes)+1)=1,N(P_L1_Monto),CX$126),PMT(N(P_L1_Tasa)/12,N(P_L1_Cuotas),-N(P_L1_Monto))-CY$124),0)*CY$9</f>
        <v>0</v>
      </c>
      <c r="CZ125" s="48" t="n">
        <f aca="false">IF(AND((99-N(P_L1_Mes)+1)&gt;N(P_L1_Gracia),(99-N(P_L1_Mes)+1)&lt;=N(P_L1_Gracia)+N(P_L1_Cuotas),N(P_L1_Cuotas)&gt;0),IF((99-N(P_L1_Mes)+1)=N(P_L1_Gracia)+N(P_L1_Cuotas),IF((99-N(P_L1_Mes)+1)=1,N(P_L1_Monto),CY$126),PMT(N(P_L1_Tasa)/12,N(P_L1_Cuotas),-N(P_L1_Monto))-CZ$124),0)*CZ$9</f>
        <v>0</v>
      </c>
      <c r="DA125" s="48" t="n">
        <f aca="false">IF(AND((100-N(P_L1_Mes)+1)&gt;N(P_L1_Gracia),(100-N(P_L1_Mes)+1)&lt;=N(P_L1_Gracia)+N(P_L1_Cuotas),N(P_L1_Cuotas)&gt;0),IF((100-N(P_L1_Mes)+1)=N(P_L1_Gracia)+N(P_L1_Cuotas),IF((100-N(P_L1_Mes)+1)=1,N(P_L1_Monto),CZ$126),PMT(N(P_L1_Tasa)/12,N(P_L1_Cuotas),-N(P_L1_Monto))-DA$124),0)*DA$9</f>
        <v>0</v>
      </c>
      <c r="DB125" s="48" t="n">
        <f aca="false">IF(AND((101-N(P_L1_Mes)+1)&gt;N(P_L1_Gracia),(101-N(P_L1_Mes)+1)&lt;=N(P_L1_Gracia)+N(P_L1_Cuotas),N(P_L1_Cuotas)&gt;0),IF((101-N(P_L1_Mes)+1)=N(P_L1_Gracia)+N(P_L1_Cuotas),IF((101-N(P_L1_Mes)+1)=1,N(P_L1_Monto),DA$126),PMT(N(P_L1_Tasa)/12,N(P_L1_Cuotas),-N(P_L1_Monto))-DB$124),0)*DB$9</f>
        <v>0</v>
      </c>
      <c r="DC125" s="48" t="n">
        <f aca="false">IF(AND((102-N(P_L1_Mes)+1)&gt;N(P_L1_Gracia),(102-N(P_L1_Mes)+1)&lt;=N(P_L1_Gracia)+N(P_L1_Cuotas),N(P_L1_Cuotas)&gt;0),IF((102-N(P_L1_Mes)+1)=N(P_L1_Gracia)+N(P_L1_Cuotas),IF((102-N(P_L1_Mes)+1)=1,N(P_L1_Monto),DB$126),PMT(N(P_L1_Tasa)/12,N(P_L1_Cuotas),-N(P_L1_Monto))-DC$124),0)*DC$9</f>
        <v>0</v>
      </c>
      <c r="DD125" s="48" t="n">
        <f aca="false">IF(AND((103-N(P_L1_Mes)+1)&gt;N(P_L1_Gracia),(103-N(P_L1_Mes)+1)&lt;=N(P_L1_Gracia)+N(P_L1_Cuotas),N(P_L1_Cuotas)&gt;0),IF((103-N(P_L1_Mes)+1)=N(P_L1_Gracia)+N(P_L1_Cuotas),IF((103-N(P_L1_Mes)+1)=1,N(P_L1_Monto),DC$126),PMT(N(P_L1_Tasa)/12,N(P_L1_Cuotas),-N(P_L1_Monto))-DD$124),0)*DD$9</f>
        <v>0</v>
      </c>
      <c r="DE125" s="48" t="n">
        <f aca="false">IF(AND((104-N(P_L1_Mes)+1)&gt;N(P_L1_Gracia),(104-N(P_L1_Mes)+1)&lt;=N(P_L1_Gracia)+N(P_L1_Cuotas),N(P_L1_Cuotas)&gt;0),IF((104-N(P_L1_Mes)+1)=N(P_L1_Gracia)+N(P_L1_Cuotas),IF((104-N(P_L1_Mes)+1)=1,N(P_L1_Monto),DD$126),PMT(N(P_L1_Tasa)/12,N(P_L1_Cuotas),-N(P_L1_Monto))-DE$124),0)*DE$9</f>
        <v>0</v>
      </c>
      <c r="DF125" s="48" t="n">
        <f aca="false">IF(AND((105-N(P_L1_Mes)+1)&gt;N(P_L1_Gracia),(105-N(P_L1_Mes)+1)&lt;=N(P_L1_Gracia)+N(P_L1_Cuotas),N(P_L1_Cuotas)&gt;0),IF((105-N(P_L1_Mes)+1)=N(P_L1_Gracia)+N(P_L1_Cuotas),IF((105-N(P_L1_Mes)+1)=1,N(P_L1_Monto),DE$126),PMT(N(P_L1_Tasa)/12,N(P_L1_Cuotas),-N(P_L1_Monto))-DF$124),0)*DF$9</f>
        <v>0</v>
      </c>
      <c r="DG125" s="48" t="n">
        <f aca="false">IF(AND((106-N(P_L1_Mes)+1)&gt;N(P_L1_Gracia),(106-N(P_L1_Mes)+1)&lt;=N(P_L1_Gracia)+N(P_L1_Cuotas),N(P_L1_Cuotas)&gt;0),IF((106-N(P_L1_Mes)+1)=N(P_L1_Gracia)+N(P_L1_Cuotas),IF((106-N(P_L1_Mes)+1)=1,N(P_L1_Monto),DF$126),PMT(N(P_L1_Tasa)/12,N(P_L1_Cuotas),-N(P_L1_Monto))-DG$124),0)*DG$9</f>
        <v>0</v>
      </c>
      <c r="DH125" s="48" t="n">
        <f aca="false">IF(AND((107-N(P_L1_Mes)+1)&gt;N(P_L1_Gracia),(107-N(P_L1_Mes)+1)&lt;=N(P_L1_Gracia)+N(P_L1_Cuotas),N(P_L1_Cuotas)&gt;0),IF((107-N(P_L1_Mes)+1)=N(P_L1_Gracia)+N(P_L1_Cuotas),IF((107-N(P_L1_Mes)+1)=1,N(P_L1_Monto),DG$126),PMT(N(P_L1_Tasa)/12,N(P_L1_Cuotas),-N(P_L1_Monto))-DH$124),0)*DH$9</f>
        <v>0</v>
      </c>
      <c r="DI125" s="48" t="n">
        <f aca="false">IF(AND((108-N(P_L1_Mes)+1)&gt;N(P_L1_Gracia),(108-N(P_L1_Mes)+1)&lt;=N(P_L1_Gracia)+N(P_L1_Cuotas),N(P_L1_Cuotas)&gt;0),IF((108-N(P_L1_Mes)+1)=N(P_L1_Gracia)+N(P_L1_Cuotas),IF((108-N(P_L1_Mes)+1)=1,N(P_L1_Monto),DH$126),PMT(N(P_L1_Tasa)/12,N(P_L1_Cuotas),-N(P_L1_Monto))-DI$124),0)*DI$9</f>
        <v>0</v>
      </c>
      <c r="DJ125" s="48" t="n">
        <f aca="false">IF(AND((109-N(P_L1_Mes)+1)&gt;N(P_L1_Gracia),(109-N(P_L1_Mes)+1)&lt;=N(P_L1_Gracia)+N(P_L1_Cuotas),N(P_L1_Cuotas)&gt;0),IF((109-N(P_L1_Mes)+1)=N(P_L1_Gracia)+N(P_L1_Cuotas),IF((109-N(P_L1_Mes)+1)=1,N(P_L1_Monto),DI$126),PMT(N(P_L1_Tasa)/12,N(P_L1_Cuotas),-N(P_L1_Monto))-DJ$124),0)*DJ$9</f>
        <v>0</v>
      </c>
      <c r="DK125" s="48" t="n">
        <f aca="false">IF(AND((110-N(P_L1_Mes)+1)&gt;N(P_L1_Gracia),(110-N(P_L1_Mes)+1)&lt;=N(P_L1_Gracia)+N(P_L1_Cuotas),N(P_L1_Cuotas)&gt;0),IF((110-N(P_L1_Mes)+1)=N(P_L1_Gracia)+N(P_L1_Cuotas),IF((110-N(P_L1_Mes)+1)=1,N(P_L1_Monto),DJ$126),PMT(N(P_L1_Tasa)/12,N(P_L1_Cuotas),-N(P_L1_Monto))-DK$124),0)*DK$9</f>
        <v>0</v>
      </c>
      <c r="DL125" s="48" t="n">
        <f aca="false">IF(AND((111-N(P_L1_Mes)+1)&gt;N(P_L1_Gracia),(111-N(P_L1_Mes)+1)&lt;=N(P_L1_Gracia)+N(P_L1_Cuotas),N(P_L1_Cuotas)&gt;0),IF((111-N(P_L1_Mes)+1)=N(P_L1_Gracia)+N(P_L1_Cuotas),IF((111-N(P_L1_Mes)+1)=1,N(P_L1_Monto),DK$126),PMT(N(P_L1_Tasa)/12,N(P_L1_Cuotas),-N(P_L1_Monto))-DL$124),0)*DL$9</f>
        <v>0</v>
      </c>
      <c r="DM125" s="48" t="n">
        <f aca="false">IF(AND((112-N(P_L1_Mes)+1)&gt;N(P_L1_Gracia),(112-N(P_L1_Mes)+1)&lt;=N(P_L1_Gracia)+N(P_L1_Cuotas),N(P_L1_Cuotas)&gt;0),IF((112-N(P_L1_Mes)+1)=N(P_L1_Gracia)+N(P_L1_Cuotas),IF((112-N(P_L1_Mes)+1)=1,N(P_L1_Monto),DL$126),PMT(N(P_L1_Tasa)/12,N(P_L1_Cuotas),-N(P_L1_Monto))-DM$124),0)*DM$9</f>
        <v>0</v>
      </c>
      <c r="DN125" s="48" t="n">
        <f aca="false">IF(AND((113-N(P_L1_Mes)+1)&gt;N(P_L1_Gracia),(113-N(P_L1_Mes)+1)&lt;=N(P_L1_Gracia)+N(P_L1_Cuotas),N(P_L1_Cuotas)&gt;0),IF((113-N(P_L1_Mes)+1)=N(P_L1_Gracia)+N(P_L1_Cuotas),IF((113-N(P_L1_Mes)+1)=1,N(P_L1_Monto),DM$126),PMT(N(P_L1_Tasa)/12,N(P_L1_Cuotas),-N(P_L1_Monto))-DN$124),0)*DN$9</f>
        <v>0</v>
      </c>
      <c r="DO125" s="48" t="n">
        <f aca="false">IF(AND((114-N(P_L1_Mes)+1)&gt;N(P_L1_Gracia),(114-N(P_L1_Mes)+1)&lt;=N(P_L1_Gracia)+N(P_L1_Cuotas),N(P_L1_Cuotas)&gt;0),IF((114-N(P_L1_Mes)+1)=N(P_L1_Gracia)+N(P_L1_Cuotas),IF((114-N(P_L1_Mes)+1)=1,N(P_L1_Monto),DN$126),PMT(N(P_L1_Tasa)/12,N(P_L1_Cuotas),-N(P_L1_Monto))-DO$124),0)*DO$9</f>
        <v>0</v>
      </c>
      <c r="DP125" s="48" t="n">
        <f aca="false">IF(AND((115-N(P_L1_Mes)+1)&gt;N(P_L1_Gracia),(115-N(P_L1_Mes)+1)&lt;=N(P_L1_Gracia)+N(P_L1_Cuotas),N(P_L1_Cuotas)&gt;0),IF((115-N(P_L1_Mes)+1)=N(P_L1_Gracia)+N(P_L1_Cuotas),IF((115-N(P_L1_Mes)+1)=1,N(P_L1_Monto),DO$126),PMT(N(P_L1_Tasa)/12,N(P_L1_Cuotas),-N(P_L1_Monto))-DP$124),0)*DP$9</f>
        <v>0</v>
      </c>
      <c r="DQ125" s="48" t="n">
        <f aca="false">IF(AND((116-N(P_L1_Mes)+1)&gt;N(P_L1_Gracia),(116-N(P_L1_Mes)+1)&lt;=N(P_L1_Gracia)+N(P_L1_Cuotas),N(P_L1_Cuotas)&gt;0),IF((116-N(P_L1_Mes)+1)=N(P_L1_Gracia)+N(P_L1_Cuotas),IF((116-N(P_L1_Mes)+1)=1,N(P_L1_Monto),DP$126),PMT(N(P_L1_Tasa)/12,N(P_L1_Cuotas),-N(P_L1_Monto))-DQ$124),0)*DQ$9</f>
        <v>0</v>
      </c>
      <c r="DR125" s="48" t="n">
        <f aca="false">IF(AND((117-N(P_L1_Mes)+1)&gt;N(P_L1_Gracia),(117-N(P_L1_Mes)+1)&lt;=N(P_L1_Gracia)+N(P_L1_Cuotas),N(P_L1_Cuotas)&gt;0),IF((117-N(P_L1_Mes)+1)=N(P_L1_Gracia)+N(P_L1_Cuotas),IF((117-N(P_L1_Mes)+1)=1,N(P_L1_Monto),DQ$126),PMT(N(P_L1_Tasa)/12,N(P_L1_Cuotas),-N(P_L1_Monto))-DR$124),0)*DR$9</f>
        <v>0</v>
      </c>
      <c r="DS125" s="48" t="n">
        <f aca="false">IF(AND((118-N(P_L1_Mes)+1)&gt;N(P_L1_Gracia),(118-N(P_L1_Mes)+1)&lt;=N(P_L1_Gracia)+N(P_L1_Cuotas),N(P_L1_Cuotas)&gt;0),IF((118-N(P_L1_Mes)+1)=N(P_L1_Gracia)+N(P_L1_Cuotas),IF((118-N(P_L1_Mes)+1)=1,N(P_L1_Monto),DR$126),PMT(N(P_L1_Tasa)/12,N(P_L1_Cuotas),-N(P_L1_Monto))-DS$124),0)*DS$9</f>
        <v>0</v>
      </c>
      <c r="DT125" s="48" t="n">
        <f aca="false">IF(AND((119-N(P_L1_Mes)+1)&gt;N(P_L1_Gracia),(119-N(P_L1_Mes)+1)&lt;=N(P_L1_Gracia)+N(P_L1_Cuotas),N(P_L1_Cuotas)&gt;0),IF((119-N(P_L1_Mes)+1)=N(P_L1_Gracia)+N(P_L1_Cuotas),IF((119-N(P_L1_Mes)+1)=1,N(P_L1_Monto),DS$126),PMT(N(P_L1_Tasa)/12,N(P_L1_Cuotas),-N(P_L1_Monto))-DT$124),0)*DT$9</f>
        <v>0</v>
      </c>
      <c r="DU125" s="48" t="n">
        <f aca="false">IF(AND((120-N(P_L1_Mes)+1)&gt;N(P_L1_Gracia),(120-N(P_L1_Mes)+1)&lt;=N(P_L1_Gracia)+N(P_L1_Cuotas),N(P_L1_Cuotas)&gt;0),IF((120-N(P_L1_Mes)+1)=N(P_L1_Gracia)+N(P_L1_Cuotas),IF((120-N(P_L1_Mes)+1)=1,N(P_L1_Monto),DT$126),PMT(N(P_L1_Tasa)/12,N(P_L1_Cuotas),-N(P_L1_Monto))-DU$124),0)*DU$9</f>
        <v>0</v>
      </c>
      <c r="DV125" s="48" t="n">
        <f aca="false">IF(AND((121-N(P_L1_Mes)+1)&gt;N(P_L1_Gracia),(121-N(P_L1_Mes)+1)&lt;=N(P_L1_Gracia)+N(P_L1_Cuotas),N(P_L1_Cuotas)&gt;0),IF((121-N(P_L1_Mes)+1)=N(P_L1_Gracia)+N(P_L1_Cuotas),IF((121-N(P_L1_Mes)+1)=1,N(P_L1_Monto),DU$126),PMT(N(P_L1_Tasa)/12,N(P_L1_Cuotas),-N(P_L1_Monto))-DV$124),0)*DV$9</f>
        <v>0</v>
      </c>
      <c r="DW125" s="48" t="n">
        <f aca="false">IF(AND((122-N(P_L1_Mes)+1)&gt;N(P_L1_Gracia),(122-N(P_L1_Mes)+1)&lt;=N(P_L1_Gracia)+N(P_L1_Cuotas),N(P_L1_Cuotas)&gt;0),IF((122-N(P_L1_Mes)+1)=N(P_L1_Gracia)+N(P_L1_Cuotas),IF((122-N(P_L1_Mes)+1)=1,N(P_L1_Monto),DV$126),PMT(N(P_L1_Tasa)/12,N(P_L1_Cuotas),-N(P_L1_Monto))-DW$124),0)*DW$9</f>
        <v>0</v>
      </c>
      <c r="DX125" s="48" t="n">
        <f aca="false">IF(AND((123-N(P_L1_Mes)+1)&gt;N(P_L1_Gracia),(123-N(P_L1_Mes)+1)&lt;=N(P_L1_Gracia)+N(P_L1_Cuotas),N(P_L1_Cuotas)&gt;0),IF((123-N(P_L1_Mes)+1)=N(P_L1_Gracia)+N(P_L1_Cuotas),IF((123-N(P_L1_Mes)+1)=1,N(P_L1_Monto),DW$126),PMT(N(P_L1_Tasa)/12,N(P_L1_Cuotas),-N(P_L1_Monto))-DX$124),0)*DX$9</f>
        <v>0</v>
      </c>
      <c r="DY125" s="48" t="n">
        <f aca="false">IF(AND((124-N(P_L1_Mes)+1)&gt;N(P_L1_Gracia),(124-N(P_L1_Mes)+1)&lt;=N(P_L1_Gracia)+N(P_L1_Cuotas),N(P_L1_Cuotas)&gt;0),IF((124-N(P_L1_Mes)+1)=N(P_L1_Gracia)+N(P_L1_Cuotas),IF((124-N(P_L1_Mes)+1)=1,N(P_L1_Monto),DX$126),PMT(N(P_L1_Tasa)/12,N(P_L1_Cuotas),-N(P_L1_Monto))-DY$124),0)*DY$9</f>
        <v>0</v>
      </c>
      <c r="DZ125" s="48" t="n">
        <f aca="false">IF(AND((125-N(P_L1_Mes)+1)&gt;N(P_L1_Gracia),(125-N(P_L1_Mes)+1)&lt;=N(P_L1_Gracia)+N(P_L1_Cuotas),N(P_L1_Cuotas)&gt;0),IF((125-N(P_L1_Mes)+1)=N(P_L1_Gracia)+N(P_L1_Cuotas),IF((125-N(P_L1_Mes)+1)=1,N(P_L1_Monto),DY$126),PMT(N(P_L1_Tasa)/12,N(P_L1_Cuotas),-N(P_L1_Monto))-DZ$124),0)*DZ$9</f>
        <v>0</v>
      </c>
      <c r="EA125" s="48" t="n">
        <f aca="false">IF(AND((126-N(P_L1_Mes)+1)&gt;N(P_L1_Gracia),(126-N(P_L1_Mes)+1)&lt;=N(P_L1_Gracia)+N(P_L1_Cuotas),N(P_L1_Cuotas)&gt;0),IF((126-N(P_L1_Mes)+1)=N(P_L1_Gracia)+N(P_L1_Cuotas),IF((126-N(P_L1_Mes)+1)=1,N(P_L1_Monto),DZ$126),PMT(N(P_L1_Tasa)/12,N(P_L1_Cuotas),-N(P_L1_Monto))-EA$124),0)*EA$9</f>
        <v>0</v>
      </c>
      <c r="EB125" s="48" t="n">
        <f aca="false">IF(AND((127-N(P_L1_Mes)+1)&gt;N(P_L1_Gracia),(127-N(P_L1_Mes)+1)&lt;=N(P_L1_Gracia)+N(P_L1_Cuotas),N(P_L1_Cuotas)&gt;0),IF((127-N(P_L1_Mes)+1)=N(P_L1_Gracia)+N(P_L1_Cuotas),IF((127-N(P_L1_Mes)+1)=1,N(P_L1_Monto),EA$126),PMT(N(P_L1_Tasa)/12,N(P_L1_Cuotas),-N(P_L1_Monto))-EB$124),0)*EB$9</f>
        <v>0</v>
      </c>
      <c r="EC125" s="48" t="n">
        <f aca="false">IF(AND((128-N(P_L1_Mes)+1)&gt;N(P_L1_Gracia),(128-N(P_L1_Mes)+1)&lt;=N(P_L1_Gracia)+N(P_L1_Cuotas),N(P_L1_Cuotas)&gt;0),IF((128-N(P_L1_Mes)+1)=N(P_L1_Gracia)+N(P_L1_Cuotas),IF((128-N(P_L1_Mes)+1)=1,N(P_L1_Monto),EB$126),PMT(N(P_L1_Tasa)/12,N(P_L1_Cuotas),-N(P_L1_Monto))-EC$124),0)*EC$9</f>
        <v>0</v>
      </c>
      <c r="ED125" s="48" t="n">
        <f aca="false">IF(AND((129-N(P_L1_Mes)+1)&gt;N(P_L1_Gracia),(129-N(P_L1_Mes)+1)&lt;=N(P_L1_Gracia)+N(P_L1_Cuotas),N(P_L1_Cuotas)&gt;0),IF((129-N(P_L1_Mes)+1)=N(P_L1_Gracia)+N(P_L1_Cuotas),IF((129-N(P_L1_Mes)+1)=1,N(P_L1_Monto),EC$126),PMT(N(P_L1_Tasa)/12,N(P_L1_Cuotas),-N(P_L1_Monto))-ED$124),0)*ED$9</f>
        <v>0</v>
      </c>
      <c r="EE125" s="48" t="n">
        <f aca="false">IF(AND((130-N(P_L1_Mes)+1)&gt;N(P_L1_Gracia),(130-N(P_L1_Mes)+1)&lt;=N(P_L1_Gracia)+N(P_L1_Cuotas),N(P_L1_Cuotas)&gt;0),IF((130-N(P_L1_Mes)+1)=N(P_L1_Gracia)+N(P_L1_Cuotas),IF((130-N(P_L1_Mes)+1)=1,N(P_L1_Monto),ED$126),PMT(N(P_L1_Tasa)/12,N(P_L1_Cuotas),-N(P_L1_Monto))-EE$124),0)*EE$9</f>
        <v>0</v>
      </c>
      <c r="EF125" s="48" t="n">
        <f aca="false">IF(AND((131-N(P_L1_Mes)+1)&gt;N(P_L1_Gracia),(131-N(P_L1_Mes)+1)&lt;=N(P_L1_Gracia)+N(P_L1_Cuotas),N(P_L1_Cuotas)&gt;0),IF((131-N(P_L1_Mes)+1)=N(P_L1_Gracia)+N(P_L1_Cuotas),IF((131-N(P_L1_Mes)+1)=1,N(P_L1_Monto),EE$126),PMT(N(P_L1_Tasa)/12,N(P_L1_Cuotas),-N(P_L1_Monto))-EF$124),0)*EF$9</f>
        <v>0</v>
      </c>
      <c r="EG125" s="48" t="n">
        <f aca="false">IF(AND((132-N(P_L1_Mes)+1)&gt;N(P_L1_Gracia),(132-N(P_L1_Mes)+1)&lt;=N(P_L1_Gracia)+N(P_L1_Cuotas),N(P_L1_Cuotas)&gt;0),IF((132-N(P_L1_Mes)+1)=N(P_L1_Gracia)+N(P_L1_Cuotas),IF((132-N(P_L1_Mes)+1)=1,N(P_L1_Monto),EF$126),PMT(N(P_L1_Tasa)/12,N(P_L1_Cuotas),-N(P_L1_Monto))-EG$124),0)*EG$9</f>
        <v>0</v>
      </c>
      <c r="EH125" s="48" t="n">
        <f aca="false">IF(AND((133-N(P_L1_Mes)+1)&gt;N(P_L1_Gracia),(133-N(P_L1_Mes)+1)&lt;=N(P_L1_Gracia)+N(P_L1_Cuotas),N(P_L1_Cuotas)&gt;0),IF((133-N(P_L1_Mes)+1)=N(P_L1_Gracia)+N(P_L1_Cuotas),IF((133-N(P_L1_Mes)+1)=1,N(P_L1_Monto),EG$126),PMT(N(P_L1_Tasa)/12,N(P_L1_Cuotas),-N(P_L1_Monto))-EH$124),0)*EH$9</f>
        <v>0</v>
      </c>
      <c r="EI125" s="48" t="n">
        <f aca="false">IF(AND((134-N(P_L1_Mes)+1)&gt;N(P_L1_Gracia),(134-N(P_L1_Mes)+1)&lt;=N(P_L1_Gracia)+N(P_L1_Cuotas),N(P_L1_Cuotas)&gt;0),IF((134-N(P_L1_Mes)+1)=N(P_L1_Gracia)+N(P_L1_Cuotas),IF((134-N(P_L1_Mes)+1)=1,N(P_L1_Monto),EH$126),PMT(N(P_L1_Tasa)/12,N(P_L1_Cuotas),-N(P_L1_Monto))-EI$124),0)*EI$9</f>
        <v>0</v>
      </c>
      <c r="EJ125" s="48" t="n">
        <f aca="false">IF(AND((135-N(P_L1_Mes)+1)&gt;N(P_L1_Gracia),(135-N(P_L1_Mes)+1)&lt;=N(P_L1_Gracia)+N(P_L1_Cuotas),N(P_L1_Cuotas)&gt;0),IF((135-N(P_L1_Mes)+1)=N(P_L1_Gracia)+N(P_L1_Cuotas),IF((135-N(P_L1_Mes)+1)=1,N(P_L1_Monto),EI$126),PMT(N(P_L1_Tasa)/12,N(P_L1_Cuotas),-N(P_L1_Monto))-EJ$124),0)*EJ$9</f>
        <v>0</v>
      </c>
      <c r="EK125" s="48" t="n">
        <f aca="false">IF(AND((136-N(P_L1_Mes)+1)&gt;N(P_L1_Gracia),(136-N(P_L1_Mes)+1)&lt;=N(P_L1_Gracia)+N(P_L1_Cuotas),N(P_L1_Cuotas)&gt;0),IF((136-N(P_L1_Mes)+1)=N(P_L1_Gracia)+N(P_L1_Cuotas),IF((136-N(P_L1_Mes)+1)=1,N(P_L1_Monto),EJ$126),PMT(N(P_L1_Tasa)/12,N(P_L1_Cuotas),-N(P_L1_Monto))-EK$124),0)*EK$9</f>
        <v>0</v>
      </c>
      <c r="EL125" s="48" t="n">
        <f aca="false">IF(AND((137-N(P_L1_Mes)+1)&gt;N(P_L1_Gracia),(137-N(P_L1_Mes)+1)&lt;=N(P_L1_Gracia)+N(P_L1_Cuotas),N(P_L1_Cuotas)&gt;0),IF((137-N(P_L1_Mes)+1)=N(P_L1_Gracia)+N(P_L1_Cuotas),IF((137-N(P_L1_Mes)+1)=1,N(P_L1_Monto),EK$126),PMT(N(P_L1_Tasa)/12,N(P_L1_Cuotas),-N(P_L1_Monto))-EL$124),0)*EL$9</f>
        <v>0</v>
      </c>
      <c r="EM125" s="48" t="n">
        <f aca="false">IF(AND((138-N(P_L1_Mes)+1)&gt;N(P_L1_Gracia),(138-N(P_L1_Mes)+1)&lt;=N(P_L1_Gracia)+N(P_L1_Cuotas),N(P_L1_Cuotas)&gt;0),IF((138-N(P_L1_Mes)+1)=N(P_L1_Gracia)+N(P_L1_Cuotas),IF((138-N(P_L1_Mes)+1)=1,N(P_L1_Monto),EL$126),PMT(N(P_L1_Tasa)/12,N(P_L1_Cuotas),-N(P_L1_Monto))-EM$124),0)*EM$9</f>
        <v>0</v>
      </c>
      <c r="EN125" s="48" t="n">
        <f aca="false">IF(AND((139-N(P_L1_Mes)+1)&gt;N(P_L1_Gracia),(139-N(P_L1_Mes)+1)&lt;=N(P_L1_Gracia)+N(P_L1_Cuotas),N(P_L1_Cuotas)&gt;0),IF((139-N(P_L1_Mes)+1)=N(P_L1_Gracia)+N(P_L1_Cuotas),IF((139-N(P_L1_Mes)+1)=1,N(P_L1_Monto),EM$126),PMT(N(P_L1_Tasa)/12,N(P_L1_Cuotas),-N(P_L1_Monto))-EN$124),0)*EN$9</f>
        <v>0</v>
      </c>
      <c r="EO125" s="48" t="n">
        <f aca="false">IF(AND((140-N(P_L1_Mes)+1)&gt;N(P_L1_Gracia),(140-N(P_L1_Mes)+1)&lt;=N(P_L1_Gracia)+N(P_L1_Cuotas),N(P_L1_Cuotas)&gt;0),IF((140-N(P_L1_Mes)+1)=N(P_L1_Gracia)+N(P_L1_Cuotas),IF((140-N(P_L1_Mes)+1)=1,N(P_L1_Monto),EN$126),PMT(N(P_L1_Tasa)/12,N(P_L1_Cuotas),-N(P_L1_Monto))-EO$124),0)*EO$9</f>
        <v>0</v>
      </c>
      <c r="EP125" s="48" t="n">
        <f aca="false">IF(AND((141-N(P_L1_Mes)+1)&gt;N(P_L1_Gracia),(141-N(P_L1_Mes)+1)&lt;=N(P_L1_Gracia)+N(P_L1_Cuotas),N(P_L1_Cuotas)&gt;0),IF((141-N(P_L1_Mes)+1)=N(P_L1_Gracia)+N(P_L1_Cuotas),IF((141-N(P_L1_Mes)+1)=1,N(P_L1_Monto),EO$126),PMT(N(P_L1_Tasa)/12,N(P_L1_Cuotas),-N(P_L1_Monto))-EP$124),0)*EP$9</f>
        <v>0</v>
      </c>
      <c r="EQ125" s="48" t="n">
        <f aca="false">IF(AND((142-N(P_L1_Mes)+1)&gt;N(P_L1_Gracia),(142-N(P_L1_Mes)+1)&lt;=N(P_L1_Gracia)+N(P_L1_Cuotas),N(P_L1_Cuotas)&gt;0),IF((142-N(P_L1_Mes)+1)=N(P_L1_Gracia)+N(P_L1_Cuotas),IF((142-N(P_L1_Mes)+1)=1,N(P_L1_Monto),EP$126),PMT(N(P_L1_Tasa)/12,N(P_L1_Cuotas),-N(P_L1_Monto))-EQ$124),0)*EQ$9</f>
        <v>0</v>
      </c>
      <c r="ER125" s="48" t="n">
        <f aca="false">IF(AND((143-N(P_L1_Mes)+1)&gt;N(P_L1_Gracia),(143-N(P_L1_Mes)+1)&lt;=N(P_L1_Gracia)+N(P_L1_Cuotas),N(P_L1_Cuotas)&gt;0),IF((143-N(P_L1_Mes)+1)=N(P_L1_Gracia)+N(P_L1_Cuotas),IF((143-N(P_L1_Mes)+1)=1,N(P_L1_Monto),EQ$126),PMT(N(P_L1_Tasa)/12,N(P_L1_Cuotas),-N(P_L1_Monto))-ER$124),0)*ER$9</f>
        <v>0</v>
      </c>
      <c r="ES125" s="48" t="n">
        <f aca="false">IF(AND((144-N(P_L1_Mes)+1)&gt;N(P_L1_Gracia),(144-N(P_L1_Mes)+1)&lt;=N(P_L1_Gracia)+N(P_L1_Cuotas),N(P_L1_Cuotas)&gt;0),IF((144-N(P_L1_Mes)+1)=N(P_L1_Gracia)+N(P_L1_Cuotas),IF((144-N(P_L1_Mes)+1)=1,N(P_L1_Monto),ER$126),PMT(N(P_L1_Tasa)/12,N(P_L1_Cuotas),-N(P_L1_Monto))-ES$124),0)*ES$9</f>
        <v>0</v>
      </c>
    </row>
    <row r="126" customFormat="false" ht="15" hidden="false" customHeight="false" outlineLevel="0" collapsed="false">
      <c r="A126" s="11" t="s">
        <v>1216</v>
      </c>
      <c r="B126" s="15" t="s">
        <v>1217</v>
      </c>
      <c r="C126" s="15" t="s">
        <v>508</v>
      </c>
      <c r="E126" s="54" t="n">
        <f aca="false">INDEX(F126:ES126,1,MIN(144,Fin))</f>
        <v>0</v>
      </c>
      <c r="F126" s="48" t="n">
        <f aca="false">IF((1-N(P_L1_Mes)+1)&lt;1,0,IF((1-N(P_L1_Mes)+1)=1,N(P_L1_Monto),0)-F$125)</f>
        <v>2791587</v>
      </c>
      <c r="G126" s="48" t="n">
        <f aca="false">IF((2-N(P_L1_Mes)+1)&lt;1,0,IF((2-N(P_L1_Mes)+1)=1,N(P_L1_Monto),F$126)-G$125)</f>
        <v>2791587</v>
      </c>
      <c r="H126" s="48" t="n">
        <f aca="false">IF((3-N(P_L1_Mes)+1)&lt;1,0,IF((3-N(P_L1_Mes)+1)=1,N(P_L1_Monto),G$126)-H$125)</f>
        <v>2791587</v>
      </c>
      <c r="I126" s="48" t="n">
        <f aca="false">IF((4-N(P_L1_Mes)+1)&lt;1,0,IF((4-N(P_L1_Mes)+1)=1,N(P_L1_Monto),H$126)-I$125)</f>
        <v>2791587</v>
      </c>
      <c r="J126" s="48" t="n">
        <f aca="false">IF((5-N(P_L1_Mes)+1)&lt;1,0,IF((5-N(P_L1_Mes)+1)=1,N(P_L1_Monto),I$126)-J$125)</f>
        <v>2791587</v>
      </c>
      <c r="K126" s="48" t="n">
        <f aca="false">IF((6-N(P_L1_Mes)+1)&lt;1,0,IF((6-N(P_L1_Mes)+1)=1,N(P_L1_Monto),J$126)-K$125)</f>
        <v>2791587</v>
      </c>
      <c r="L126" s="48" t="n">
        <f aca="false">IF((7-N(P_L1_Mes)+1)&lt;1,0,IF((7-N(P_L1_Mes)+1)=1,N(P_L1_Monto),K$126)-L$125)</f>
        <v>2749463.69590531</v>
      </c>
      <c r="M126" s="48" t="n">
        <f aca="false">IF((8-N(P_L1_Mes)+1)&lt;1,0,IF((8-N(P_L1_Mes)+1)=1,N(P_L1_Monto),L$126)-M$125)</f>
        <v>2707024.46702991</v>
      </c>
      <c r="N126" s="48" t="n">
        <f aca="false">IF((9-N(P_L1_Mes)+1)&lt;1,0,IF((9-N(P_L1_Mes)+1)=1,N(P_L1_Monto),M$126)-N$125)</f>
        <v>2664266.94393795</v>
      </c>
      <c r="O126" s="48" t="n">
        <f aca="false">IF((10-N(P_L1_Mes)+1)&lt;1,0,IF((10-N(P_L1_Mes)+1)=1,N(P_L1_Monto),N$126)-O$125)</f>
        <v>2621188.7394228</v>
      </c>
      <c r="P126" s="48" t="n">
        <f aca="false">IF((11-N(P_L1_Mes)+1)&lt;1,0,IF((11-N(P_L1_Mes)+1)=1,N(P_L1_Monto),O$126)-P$125)</f>
        <v>2577787.44837378</v>
      </c>
      <c r="Q126" s="48" t="n">
        <f aca="false">IF((12-N(P_L1_Mes)+1)&lt;1,0,IF((12-N(P_L1_Mes)+1)=1,N(P_L1_Monto),P$126)-Q$125)</f>
        <v>2534060.6476419</v>
      </c>
      <c r="R126" s="48" t="n">
        <f aca="false">IF((13-N(P_L1_Mes)+1)&lt;1,0,IF((13-N(P_L1_Mes)+1)=1,N(P_L1_Monto),Q$126)-R$125)</f>
        <v>2490005.89590452</v>
      </c>
      <c r="S126" s="48" t="n">
        <f aca="false">IF((14-N(P_L1_Mes)+1)&lt;1,0,IF((14-N(P_L1_Mes)+1)=1,N(P_L1_Monto),R$126)-S$125)</f>
        <v>2445620.73352912</v>
      </c>
      <c r="T126" s="48" t="n">
        <f aca="false">IF((15-N(P_L1_Mes)+1)&lt;1,0,IF((15-N(P_L1_Mes)+1)=1,N(P_L1_Monto),S$126)-T$125)</f>
        <v>2400902.6824359</v>
      </c>
      <c r="U126" s="48" t="n">
        <f aca="false">IF((16-N(P_L1_Mes)+1)&lt;1,0,IF((16-N(P_L1_Mes)+1)=1,N(P_L1_Monto),T$126)-U$125)</f>
        <v>2355849.24595948</v>
      </c>
      <c r="V126" s="48" t="n">
        <f aca="false">IF((17-N(P_L1_Mes)+1)&lt;1,0,IF((17-N(P_L1_Mes)+1)=1,N(P_L1_Monto),U$126)-V$125)</f>
        <v>2310457.90870949</v>
      </c>
      <c r="W126" s="48" t="n">
        <f aca="false">IF((18-N(P_L1_Mes)+1)&lt;1,0,IF((18-N(P_L1_Mes)+1)=1,N(P_L1_Monto),V$126)-W$125)</f>
        <v>2264726.13643012</v>
      </c>
      <c r="X126" s="48" t="n">
        <f aca="false">IF((19-N(P_L1_Mes)+1)&lt;1,0,IF((19-N(P_L1_Mes)+1)=1,N(P_L1_Monto),W$126)-X$125)</f>
        <v>2218651.37585866</v>
      </c>
      <c r="Y126" s="48" t="n">
        <f aca="false">IF((20-N(P_L1_Mes)+1)&lt;1,0,IF((20-N(P_L1_Mes)+1)=1,N(P_L1_Monto),X$126)-Y$125)</f>
        <v>2172231.05458292</v>
      </c>
      <c r="Z126" s="48" t="n">
        <f aca="false">IF((21-N(P_L1_Mes)+1)&lt;1,0,IF((21-N(P_L1_Mes)+1)=1,N(P_L1_Monto),Y$126)-Z$125)</f>
        <v>2125462.5808976</v>
      </c>
      <c r="AA126" s="48" t="n">
        <f aca="false">IF((22-N(P_L1_Mes)+1)&lt;1,0,IF((22-N(P_L1_Mes)+1)=1,N(P_L1_Monto),Z$126)-AA$125)</f>
        <v>2078343.34365964</v>
      </c>
      <c r="AB126" s="48" t="n">
        <f aca="false">IF((23-N(P_L1_Mes)+1)&lt;1,0,IF((23-N(P_L1_Mes)+1)=1,N(P_L1_Monto),AA$126)-AB$125)</f>
        <v>2030870.7121424</v>
      </c>
      <c r="AC126" s="48" t="n">
        <f aca="false">IF((24-N(P_L1_Mes)+1)&lt;1,0,IF((24-N(P_L1_Mes)+1)=1,N(P_L1_Monto),AB$126)-AC$125)</f>
        <v>1983042.03588878</v>
      </c>
      <c r="AD126" s="48" t="n">
        <f aca="false">IF((25-N(P_L1_Mes)+1)&lt;1,0,IF((25-N(P_L1_Mes)+1)=1,N(P_L1_Monto),AC$126)-AD$125)</f>
        <v>1934854.64456326</v>
      </c>
      <c r="AE126" s="48" t="n">
        <f aca="false">IF((26-N(P_L1_Mes)+1)&lt;1,0,IF((26-N(P_L1_Mes)+1)=1,N(P_L1_Monto),AD$126)-AE$125)</f>
        <v>1886305.8478028</v>
      </c>
      <c r="AF126" s="48" t="n">
        <f aca="false">IF((27-N(P_L1_Mes)+1)&lt;1,0,IF((27-N(P_L1_Mes)+1)=1,N(P_L1_Monto),AE$126)-AF$125)</f>
        <v>1837392.93506663</v>
      </c>
      <c r="AG126" s="48" t="n">
        <f aca="false">IF((28-N(P_L1_Mes)+1)&lt;1,0,IF((28-N(P_L1_Mes)+1)=1,N(P_L1_Monto),AF$126)-AG$125)</f>
        <v>1788113.17548494</v>
      </c>
      <c r="AH126" s="48" t="n">
        <f aca="false">IF((29-N(P_L1_Mes)+1)&lt;1,0,IF((29-N(P_L1_Mes)+1)=1,N(P_L1_Monto),AG$126)-AH$125)</f>
        <v>1738463.81770639</v>
      </c>
      <c r="AI126" s="48" t="n">
        <f aca="false">IF((30-N(P_L1_Mes)+1)&lt;1,0,IF((30-N(P_L1_Mes)+1)=1,N(P_L1_Monto),AH$126)-AI$125)</f>
        <v>1688442.0897445</v>
      </c>
      <c r="AJ126" s="48" t="n">
        <f aca="false">IF((31-N(P_L1_Mes)+1)&lt;1,0,IF((31-N(P_L1_Mes)+1)=1,N(P_L1_Monto),AI$126)-AJ$125)</f>
        <v>1638045.1988229</v>
      </c>
      <c r="AK126" s="48" t="n">
        <f aca="false">IF((32-N(P_L1_Mes)+1)&lt;1,0,IF((32-N(P_L1_Mes)+1)=1,N(P_L1_Monto),AJ$126)-AK$125)</f>
        <v>1587270.33121938</v>
      </c>
      <c r="AL126" s="48" t="n">
        <f aca="false">IF((33-N(P_L1_Mes)+1)&lt;1,0,IF((33-N(P_L1_Mes)+1)=1,N(P_L1_Monto),AK$126)-AL$125)</f>
        <v>1536114.65210884</v>
      </c>
      <c r="AM126" s="48" t="n">
        <f aca="false">IF((34-N(P_L1_Mes)+1)&lt;1,0,IF((34-N(P_L1_Mes)+1)=1,N(P_L1_Monto),AL$126)-AM$125)</f>
        <v>1484575.30540497</v>
      </c>
      <c r="AN126" s="48" t="n">
        <f aca="false">IF((35-N(P_L1_Mes)+1)&lt;1,0,IF((35-N(P_L1_Mes)+1)=1,N(P_L1_Monto),AM$126)-AN$125)</f>
        <v>1432649.41360082</v>
      </c>
      <c r="AO126" s="48" t="n">
        <f aca="false">IF((36-N(P_L1_Mes)+1)&lt;1,0,IF((36-N(P_L1_Mes)+1)=1,N(P_L1_Monto),AN$126)-AO$125)</f>
        <v>1380334.07760814</v>
      </c>
      <c r="AP126" s="48" t="n">
        <f aca="false">IF((37-N(P_L1_Mes)+1)&lt;1,0,IF((37-N(P_L1_Mes)+1)=1,N(P_L1_Monto),AO$126)-AP$125)</f>
        <v>1327626.37659551</v>
      </c>
      <c r="AQ126" s="48" t="n">
        <f aca="false">IF((38-N(P_L1_Mes)+1)&lt;1,0,IF((38-N(P_L1_Mes)+1)=1,N(P_L1_Monto),AP$126)-AQ$125)</f>
        <v>1274523.36782529</v>
      </c>
      <c r="AR126" s="48" t="n">
        <f aca="false">IF((39-N(P_L1_Mes)+1)&lt;1,0,IF((39-N(P_L1_Mes)+1)=1,N(P_L1_Monto),AQ$126)-AR$125)</f>
        <v>1221022.08648929</v>
      </c>
      <c r="AS126" s="48" t="n">
        <f aca="false">IF((40-N(P_L1_Mes)+1)&lt;1,0,IF((40-N(P_L1_Mes)+1)=1,N(P_L1_Monto),AR$126)-AS$125)</f>
        <v>1167119.54554327</v>
      </c>
      <c r="AT126" s="48" t="n">
        <f aca="false">IF((41-N(P_L1_Mes)+1)&lt;1,0,IF((41-N(P_L1_Mes)+1)=1,N(P_L1_Monto),AS$126)-AT$125)</f>
        <v>1112812.73554016</v>
      </c>
      <c r="AU126" s="48" t="n">
        <f aca="false">IF((42-N(P_L1_Mes)+1)&lt;1,0,IF((42-N(P_L1_Mes)+1)=1,N(P_L1_Monto),AT$126)-AU$125)</f>
        <v>1058098.62446202</v>
      </c>
      <c r="AV126" s="48" t="n">
        <f aca="false">IF((43-N(P_L1_Mes)+1)&lt;1,0,IF((43-N(P_L1_Mes)+1)=1,N(P_L1_Monto),AU$126)-AV$125)</f>
        <v>1002974.1575508</v>
      </c>
      <c r="AW126" s="48" t="n">
        <f aca="false">IF((44-N(P_L1_Mes)+1)&lt;1,0,IF((44-N(P_L1_Mes)+1)=1,N(P_L1_Monto),AV$126)-AW$125)</f>
        <v>947436.257137743</v>
      </c>
      <c r="AX126" s="48" t="n">
        <f aca="false">IF((45-N(P_L1_Mes)+1)&lt;1,0,IF((45-N(P_L1_Mes)+1)=1,N(P_L1_Monto),AW$126)-AX$125)</f>
        <v>891481.822471588</v>
      </c>
      <c r="AY126" s="48" t="n">
        <f aca="false">IF((46-N(P_L1_Mes)+1)&lt;1,0,IF((46-N(P_L1_Mes)+1)=1,N(P_L1_Monto),AX$126)-AY$125)</f>
        <v>835107.729545437</v>
      </c>
      <c r="AZ126" s="48" t="n">
        <f aca="false">IF((47-N(P_L1_Mes)+1)&lt;1,0,IF((47-N(P_L1_Mes)+1)=1,N(P_L1_Monto),AY$126)-AZ$125)</f>
        <v>778310.83092234</v>
      </c>
      <c r="BA126" s="48" t="n">
        <f aca="false">IF((48-N(P_L1_Mes)+1)&lt;1,0,IF((48-N(P_L1_Mes)+1)=1,N(P_L1_Monto),AZ$126)-BA$125)</f>
        <v>721087.95555957</v>
      </c>
      <c r="BB126" s="48" t="n">
        <f aca="false">IF((49-N(P_L1_Mes)+1)&lt;1,0,IF((49-N(P_L1_Mes)+1)=1,N(P_L1_Monto),BA$126)-BB$125)</f>
        <v>663435.908631579</v>
      </c>
      <c r="BC126" s="48" t="n">
        <f aca="false">IF((50-N(P_L1_Mes)+1)&lt;1,0,IF((50-N(P_L1_Mes)+1)=1,N(P_L1_Monto),BB$126)-BC$125)</f>
        <v>605351.471351628</v>
      </c>
      <c r="BD126" s="48" t="n">
        <f aca="false">IF((51-N(P_L1_Mes)+1)&lt;1,0,IF((51-N(P_L1_Mes)+1)=1,N(P_L1_Monto),BC$126)-BD$125)</f>
        <v>546831.400792078</v>
      </c>
      <c r="BE126" s="48" t="n">
        <f aca="false">IF((52-N(P_L1_Mes)+1)&lt;1,0,IF((52-N(P_L1_Mes)+1)=1,N(P_L1_Monto),BD$126)-BE$125)</f>
        <v>487872.429703331</v>
      </c>
      <c r="BF126" s="48" t="n">
        <f aca="false">IF((53-N(P_L1_Mes)+1)&lt;1,0,IF((53-N(P_L1_Mes)+1)=1,N(P_L1_Monto),BE$126)-BF$125)</f>
        <v>428471.266331418</v>
      </c>
      <c r="BG126" s="48" t="n">
        <f aca="false">IF((54-N(P_L1_Mes)+1)&lt;1,0,IF((54-N(P_L1_Mes)+1)=1,N(P_L1_Monto),BF$126)-BG$125)</f>
        <v>368624.594234216</v>
      </c>
      <c r="BH126" s="48" t="n">
        <f aca="false">IF((55-N(P_L1_Mes)+1)&lt;1,0,IF((55-N(P_L1_Mes)+1)=1,N(P_L1_Monto),BG$126)-BH$125)</f>
        <v>308329.072096285</v>
      </c>
      <c r="BI126" s="48" t="n">
        <f aca="false">IF((56-N(P_L1_Mes)+1)&lt;1,0,IF((56-N(P_L1_Mes)+1)=1,N(P_L1_Monto),BH$126)-BI$125)</f>
        <v>247581.333542319</v>
      </c>
      <c r="BJ126" s="48" t="n">
        <f aca="false">IF((57-N(P_L1_Mes)+1)&lt;1,0,IF((57-N(P_L1_Mes)+1)=1,N(P_L1_Monto),BI$126)-BJ$125)</f>
        <v>186377.986949199</v>
      </c>
      <c r="BK126" s="48" t="n">
        <f aca="false">IF((58-N(P_L1_Mes)+1)&lt;1,0,IF((58-N(P_L1_Mes)+1)=1,N(P_L1_Monto),BJ$126)-BK$125)</f>
        <v>124715.61525663</v>
      </c>
      <c r="BL126" s="48" t="n">
        <f aca="false">IF((59-N(P_L1_Mes)+1)&lt;1,0,IF((59-N(P_L1_Mes)+1)=1,N(P_L1_Monto),BK$126)-BL$125)</f>
        <v>62590.7757763667</v>
      </c>
      <c r="BM126" s="48" t="n">
        <f aca="false">IF((60-N(P_L1_Mes)+1)&lt;1,0,IF((60-N(P_L1_Mes)+1)=1,N(P_L1_Monto),BL$126)-BM$125)</f>
        <v>0</v>
      </c>
      <c r="BN126" s="48" t="n">
        <f aca="false">IF((61-N(P_L1_Mes)+1)&lt;1,0,IF((61-N(P_L1_Mes)+1)=1,N(P_L1_Monto),BM$126)-BN$125)</f>
        <v>0</v>
      </c>
      <c r="BO126" s="48" t="n">
        <f aca="false">IF((62-N(P_L1_Mes)+1)&lt;1,0,IF((62-N(P_L1_Mes)+1)=1,N(P_L1_Monto),BN$126)-BO$125)</f>
        <v>0</v>
      </c>
      <c r="BP126" s="48" t="n">
        <f aca="false">IF((63-N(P_L1_Mes)+1)&lt;1,0,IF((63-N(P_L1_Mes)+1)=1,N(P_L1_Monto),BO$126)-BP$125)</f>
        <v>0</v>
      </c>
      <c r="BQ126" s="48" t="n">
        <f aca="false">IF((64-N(P_L1_Mes)+1)&lt;1,0,IF((64-N(P_L1_Mes)+1)=1,N(P_L1_Monto),BP$126)-BQ$125)</f>
        <v>0</v>
      </c>
      <c r="BR126" s="48" t="n">
        <f aca="false">IF((65-N(P_L1_Mes)+1)&lt;1,0,IF((65-N(P_L1_Mes)+1)=1,N(P_L1_Monto),BQ$126)-BR$125)</f>
        <v>0</v>
      </c>
      <c r="BS126" s="48" t="n">
        <f aca="false">IF((66-N(P_L1_Mes)+1)&lt;1,0,IF((66-N(P_L1_Mes)+1)=1,N(P_L1_Monto),BR$126)-BS$125)</f>
        <v>0</v>
      </c>
      <c r="BT126" s="48" t="n">
        <f aca="false">IF((67-N(P_L1_Mes)+1)&lt;1,0,IF((67-N(P_L1_Mes)+1)=1,N(P_L1_Monto),BS$126)-BT$125)</f>
        <v>0</v>
      </c>
      <c r="BU126" s="48" t="n">
        <f aca="false">IF((68-N(P_L1_Mes)+1)&lt;1,0,IF((68-N(P_L1_Mes)+1)=1,N(P_L1_Monto),BT$126)-BU$125)</f>
        <v>0</v>
      </c>
      <c r="BV126" s="48" t="n">
        <f aca="false">IF((69-N(P_L1_Mes)+1)&lt;1,0,IF((69-N(P_L1_Mes)+1)=1,N(P_L1_Monto),BU$126)-BV$125)</f>
        <v>0</v>
      </c>
      <c r="BW126" s="48" t="n">
        <f aca="false">IF((70-N(P_L1_Mes)+1)&lt;1,0,IF((70-N(P_L1_Mes)+1)=1,N(P_L1_Monto),BV$126)-BW$125)</f>
        <v>0</v>
      </c>
      <c r="BX126" s="48" t="n">
        <f aca="false">IF((71-N(P_L1_Mes)+1)&lt;1,0,IF((71-N(P_L1_Mes)+1)=1,N(P_L1_Monto),BW$126)-BX$125)</f>
        <v>0</v>
      </c>
      <c r="BY126" s="48" t="n">
        <f aca="false">IF((72-N(P_L1_Mes)+1)&lt;1,0,IF((72-N(P_L1_Mes)+1)=1,N(P_L1_Monto),BX$126)-BY$125)</f>
        <v>0</v>
      </c>
      <c r="BZ126" s="48" t="n">
        <f aca="false">IF((73-N(P_L1_Mes)+1)&lt;1,0,IF((73-N(P_L1_Mes)+1)=1,N(P_L1_Monto),BY$126)-BZ$125)</f>
        <v>0</v>
      </c>
      <c r="CA126" s="48" t="n">
        <f aca="false">IF((74-N(P_L1_Mes)+1)&lt;1,0,IF((74-N(P_L1_Mes)+1)=1,N(P_L1_Monto),BZ$126)-CA$125)</f>
        <v>0</v>
      </c>
      <c r="CB126" s="48" t="n">
        <f aca="false">IF((75-N(P_L1_Mes)+1)&lt;1,0,IF((75-N(P_L1_Mes)+1)=1,N(P_L1_Monto),CA$126)-CB$125)</f>
        <v>0</v>
      </c>
      <c r="CC126" s="48" t="n">
        <f aca="false">IF((76-N(P_L1_Mes)+1)&lt;1,0,IF((76-N(P_L1_Mes)+1)=1,N(P_L1_Monto),CB$126)-CC$125)</f>
        <v>0</v>
      </c>
      <c r="CD126" s="48" t="n">
        <f aca="false">IF((77-N(P_L1_Mes)+1)&lt;1,0,IF((77-N(P_L1_Mes)+1)=1,N(P_L1_Monto),CC$126)-CD$125)</f>
        <v>0</v>
      </c>
      <c r="CE126" s="48" t="n">
        <f aca="false">IF((78-N(P_L1_Mes)+1)&lt;1,0,IF((78-N(P_L1_Mes)+1)=1,N(P_L1_Monto),CD$126)-CE$125)</f>
        <v>0</v>
      </c>
      <c r="CF126" s="48" t="n">
        <f aca="false">IF((79-N(P_L1_Mes)+1)&lt;1,0,IF((79-N(P_L1_Mes)+1)=1,N(P_L1_Monto),CE$126)-CF$125)</f>
        <v>0</v>
      </c>
      <c r="CG126" s="48" t="n">
        <f aca="false">IF((80-N(P_L1_Mes)+1)&lt;1,0,IF((80-N(P_L1_Mes)+1)=1,N(P_L1_Monto),CF$126)-CG$125)</f>
        <v>0</v>
      </c>
      <c r="CH126" s="48" t="n">
        <f aca="false">IF((81-N(P_L1_Mes)+1)&lt;1,0,IF((81-N(P_L1_Mes)+1)=1,N(P_L1_Monto),CG$126)-CH$125)</f>
        <v>0</v>
      </c>
      <c r="CI126" s="48" t="n">
        <f aca="false">IF((82-N(P_L1_Mes)+1)&lt;1,0,IF((82-N(P_L1_Mes)+1)=1,N(P_L1_Monto),CH$126)-CI$125)</f>
        <v>0</v>
      </c>
      <c r="CJ126" s="48" t="n">
        <f aca="false">IF((83-N(P_L1_Mes)+1)&lt;1,0,IF((83-N(P_L1_Mes)+1)=1,N(P_L1_Monto),CI$126)-CJ$125)</f>
        <v>0</v>
      </c>
      <c r="CK126" s="48" t="n">
        <f aca="false">IF((84-N(P_L1_Mes)+1)&lt;1,0,IF((84-N(P_L1_Mes)+1)=1,N(P_L1_Monto),CJ$126)-CK$125)</f>
        <v>0</v>
      </c>
      <c r="CL126" s="48" t="n">
        <f aca="false">IF((85-N(P_L1_Mes)+1)&lt;1,0,IF((85-N(P_L1_Mes)+1)=1,N(P_L1_Monto),CK$126)-CL$125)</f>
        <v>0</v>
      </c>
      <c r="CM126" s="48" t="n">
        <f aca="false">IF((86-N(P_L1_Mes)+1)&lt;1,0,IF((86-N(P_L1_Mes)+1)=1,N(P_L1_Monto),CL$126)-CM$125)</f>
        <v>0</v>
      </c>
      <c r="CN126" s="48" t="n">
        <f aca="false">IF((87-N(P_L1_Mes)+1)&lt;1,0,IF((87-N(P_L1_Mes)+1)=1,N(P_L1_Monto),CM$126)-CN$125)</f>
        <v>0</v>
      </c>
      <c r="CO126" s="48" t="n">
        <f aca="false">IF((88-N(P_L1_Mes)+1)&lt;1,0,IF((88-N(P_L1_Mes)+1)=1,N(P_L1_Monto),CN$126)-CO$125)</f>
        <v>0</v>
      </c>
      <c r="CP126" s="48" t="n">
        <f aca="false">IF((89-N(P_L1_Mes)+1)&lt;1,0,IF((89-N(P_L1_Mes)+1)=1,N(P_L1_Monto),CO$126)-CP$125)</f>
        <v>0</v>
      </c>
      <c r="CQ126" s="48" t="n">
        <f aca="false">IF((90-N(P_L1_Mes)+1)&lt;1,0,IF((90-N(P_L1_Mes)+1)=1,N(P_L1_Monto),CP$126)-CQ$125)</f>
        <v>0</v>
      </c>
      <c r="CR126" s="48" t="n">
        <f aca="false">IF((91-N(P_L1_Mes)+1)&lt;1,0,IF((91-N(P_L1_Mes)+1)=1,N(P_L1_Monto),CQ$126)-CR$125)</f>
        <v>0</v>
      </c>
      <c r="CS126" s="48" t="n">
        <f aca="false">IF((92-N(P_L1_Mes)+1)&lt;1,0,IF((92-N(P_L1_Mes)+1)=1,N(P_L1_Monto),CR$126)-CS$125)</f>
        <v>0</v>
      </c>
      <c r="CT126" s="48" t="n">
        <f aca="false">IF((93-N(P_L1_Mes)+1)&lt;1,0,IF((93-N(P_L1_Mes)+1)=1,N(P_L1_Monto),CS$126)-CT$125)</f>
        <v>0</v>
      </c>
      <c r="CU126" s="48" t="n">
        <f aca="false">IF((94-N(P_L1_Mes)+1)&lt;1,0,IF((94-N(P_L1_Mes)+1)=1,N(P_L1_Monto),CT$126)-CU$125)</f>
        <v>0</v>
      </c>
      <c r="CV126" s="48" t="n">
        <f aca="false">IF((95-N(P_L1_Mes)+1)&lt;1,0,IF((95-N(P_L1_Mes)+1)=1,N(P_L1_Monto),CU$126)-CV$125)</f>
        <v>0</v>
      </c>
      <c r="CW126" s="48" t="n">
        <f aca="false">IF((96-N(P_L1_Mes)+1)&lt;1,0,IF((96-N(P_L1_Mes)+1)=1,N(P_L1_Monto),CV$126)-CW$125)</f>
        <v>0</v>
      </c>
      <c r="CX126" s="48" t="n">
        <f aca="false">IF((97-N(P_L1_Mes)+1)&lt;1,0,IF((97-N(P_L1_Mes)+1)=1,N(P_L1_Monto),CW$126)-CX$125)</f>
        <v>0</v>
      </c>
      <c r="CY126" s="48" t="n">
        <f aca="false">IF((98-N(P_L1_Mes)+1)&lt;1,0,IF((98-N(P_L1_Mes)+1)=1,N(P_L1_Monto),CX$126)-CY$125)</f>
        <v>0</v>
      </c>
      <c r="CZ126" s="48" t="n">
        <f aca="false">IF((99-N(P_L1_Mes)+1)&lt;1,0,IF((99-N(P_L1_Mes)+1)=1,N(P_L1_Monto),CY$126)-CZ$125)</f>
        <v>0</v>
      </c>
      <c r="DA126" s="48" t="n">
        <f aca="false">IF((100-N(P_L1_Mes)+1)&lt;1,0,IF((100-N(P_L1_Mes)+1)=1,N(P_L1_Monto),CZ$126)-DA$125)</f>
        <v>0</v>
      </c>
      <c r="DB126" s="48" t="n">
        <f aca="false">IF((101-N(P_L1_Mes)+1)&lt;1,0,IF((101-N(P_L1_Mes)+1)=1,N(P_L1_Monto),DA$126)-DB$125)</f>
        <v>0</v>
      </c>
      <c r="DC126" s="48" t="n">
        <f aca="false">IF((102-N(P_L1_Mes)+1)&lt;1,0,IF((102-N(P_L1_Mes)+1)=1,N(P_L1_Monto),DB$126)-DC$125)</f>
        <v>0</v>
      </c>
      <c r="DD126" s="48" t="n">
        <f aca="false">IF((103-N(P_L1_Mes)+1)&lt;1,0,IF((103-N(P_L1_Mes)+1)=1,N(P_L1_Monto),DC$126)-DD$125)</f>
        <v>0</v>
      </c>
      <c r="DE126" s="48" t="n">
        <f aca="false">IF((104-N(P_L1_Mes)+1)&lt;1,0,IF((104-N(P_L1_Mes)+1)=1,N(P_L1_Monto),DD$126)-DE$125)</f>
        <v>0</v>
      </c>
      <c r="DF126" s="48" t="n">
        <f aca="false">IF((105-N(P_L1_Mes)+1)&lt;1,0,IF((105-N(P_L1_Mes)+1)=1,N(P_L1_Monto),DE$126)-DF$125)</f>
        <v>0</v>
      </c>
      <c r="DG126" s="48" t="n">
        <f aca="false">IF((106-N(P_L1_Mes)+1)&lt;1,0,IF((106-N(P_L1_Mes)+1)=1,N(P_L1_Monto),DF$126)-DG$125)</f>
        <v>0</v>
      </c>
      <c r="DH126" s="48" t="n">
        <f aca="false">IF((107-N(P_L1_Mes)+1)&lt;1,0,IF((107-N(P_L1_Mes)+1)=1,N(P_L1_Monto),DG$126)-DH$125)</f>
        <v>0</v>
      </c>
      <c r="DI126" s="48" t="n">
        <f aca="false">IF((108-N(P_L1_Mes)+1)&lt;1,0,IF((108-N(P_L1_Mes)+1)=1,N(P_L1_Monto),DH$126)-DI$125)</f>
        <v>0</v>
      </c>
      <c r="DJ126" s="48" t="n">
        <f aca="false">IF((109-N(P_L1_Mes)+1)&lt;1,0,IF((109-N(P_L1_Mes)+1)=1,N(P_L1_Monto),DI$126)-DJ$125)</f>
        <v>0</v>
      </c>
      <c r="DK126" s="48" t="n">
        <f aca="false">IF((110-N(P_L1_Mes)+1)&lt;1,0,IF((110-N(P_L1_Mes)+1)=1,N(P_L1_Monto),DJ$126)-DK$125)</f>
        <v>0</v>
      </c>
      <c r="DL126" s="48" t="n">
        <f aca="false">IF((111-N(P_L1_Mes)+1)&lt;1,0,IF((111-N(P_L1_Mes)+1)=1,N(P_L1_Monto),DK$126)-DL$125)</f>
        <v>0</v>
      </c>
      <c r="DM126" s="48" t="n">
        <f aca="false">IF((112-N(P_L1_Mes)+1)&lt;1,0,IF((112-N(P_L1_Mes)+1)=1,N(P_L1_Monto),DL$126)-DM$125)</f>
        <v>0</v>
      </c>
      <c r="DN126" s="48" t="n">
        <f aca="false">IF((113-N(P_L1_Mes)+1)&lt;1,0,IF((113-N(P_L1_Mes)+1)=1,N(P_L1_Monto),DM$126)-DN$125)</f>
        <v>0</v>
      </c>
      <c r="DO126" s="48" t="n">
        <f aca="false">IF((114-N(P_L1_Mes)+1)&lt;1,0,IF((114-N(P_L1_Mes)+1)=1,N(P_L1_Monto),DN$126)-DO$125)</f>
        <v>0</v>
      </c>
      <c r="DP126" s="48" t="n">
        <f aca="false">IF((115-N(P_L1_Mes)+1)&lt;1,0,IF((115-N(P_L1_Mes)+1)=1,N(P_L1_Monto),DO$126)-DP$125)</f>
        <v>0</v>
      </c>
      <c r="DQ126" s="48" t="n">
        <f aca="false">IF((116-N(P_L1_Mes)+1)&lt;1,0,IF((116-N(P_L1_Mes)+1)=1,N(P_L1_Monto),DP$126)-DQ$125)</f>
        <v>0</v>
      </c>
      <c r="DR126" s="48" t="n">
        <f aca="false">IF((117-N(P_L1_Mes)+1)&lt;1,0,IF((117-N(P_L1_Mes)+1)=1,N(P_L1_Monto),DQ$126)-DR$125)</f>
        <v>0</v>
      </c>
      <c r="DS126" s="48" t="n">
        <f aca="false">IF((118-N(P_L1_Mes)+1)&lt;1,0,IF((118-N(P_L1_Mes)+1)=1,N(P_L1_Monto),DR$126)-DS$125)</f>
        <v>0</v>
      </c>
      <c r="DT126" s="48" t="n">
        <f aca="false">IF((119-N(P_L1_Mes)+1)&lt;1,0,IF((119-N(P_L1_Mes)+1)=1,N(P_L1_Monto),DS$126)-DT$125)</f>
        <v>0</v>
      </c>
      <c r="DU126" s="48" t="n">
        <f aca="false">IF((120-N(P_L1_Mes)+1)&lt;1,0,IF((120-N(P_L1_Mes)+1)=1,N(P_L1_Monto),DT$126)-DU$125)</f>
        <v>0</v>
      </c>
      <c r="DV126" s="48" t="n">
        <f aca="false">IF((121-N(P_L1_Mes)+1)&lt;1,0,IF((121-N(P_L1_Mes)+1)=1,N(P_L1_Monto),DU$126)-DV$125)</f>
        <v>0</v>
      </c>
      <c r="DW126" s="48" t="n">
        <f aca="false">IF((122-N(P_L1_Mes)+1)&lt;1,0,IF((122-N(P_L1_Mes)+1)=1,N(P_L1_Monto),DV$126)-DW$125)</f>
        <v>0</v>
      </c>
      <c r="DX126" s="48" t="n">
        <f aca="false">IF((123-N(P_L1_Mes)+1)&lt;1,0,IF((123-N(P_L1_Mes)+1)=1,N(P_L1_Monto),DW$126)-DX$125)</f>
        <v>0</v>
      </c>
      <c r="DY126" s="48" t="n">
        <f aca="false">IF((124-N(P_L1_Mes)+1)&lt;1,0,IF((124-N(P_L1_Mes)+1)=1,N(P_L1_Monto),DX$126)-DY$125)</f>
        <v>0</v>
      </c>
      <c r="DZ126" s="48" t="n">
        <f aca="false">IF((125-N(P_L1_Mes)+1)&lt;1,0,IF((125-N(P_L1_Mes)+1)=1,N(P_L1_Monto),DY$126)-DZ$125)</f>
        <v>0</v>
      </c>
      <c r="EA126" s="48" t="n">
        <f aca="false">IF((126-N(P_L1_Mes)+1)&lt;1,0,IF((126-N(P_L1_Mes)+1)=1,N(P_L1_Monto),DZ$126)-EA$125)</f>
        <v>0</v>
      </c>
      <c r="EB126" s="48" t="n">
        <f aca="false">IF((127-N(P_L1_Mes)+1)&lt;1,0,IF((127-N(P_L1_Mes)+1)=1,N(P_L1_Monto),EA$126)-EB$125)</f>
        <v>0</v>
      </c>
      <c r="EC126" s="48" t="n">
        <f aca="false">IF((128-N(P_L1_Mes)+1)&lt;1,0,IF((128-N(P_L1_Mes)+1)=1,N(P_L1_Monto),EB$126)-EC$125)</f>
        <v>0</v>
      </c>
      <c r="ED126" s="48" t="n">
        <f aca="false">IF((129-N(P_L1_Mes)+1)&lt;1,0,IF((129-N(P_L1_Mes)+1)=1,N(P_L1_Monto),EC$126)-ED$125)</f>
        <v>0</v>
      </c>
      <c r="EE126" s="48" t="n">
        <f aca="false">IF((130-N(P_L1_Mes)+1)&lt;1,0,IF((130-N(P_L1_Mes)+1)=1,N(P_L1_Monto),ED$126)-EE$125)</f>
        <v>0</v>
      </c>
      <c r="EF126" s="48" t="n">
        <f aca="false">IF((131-N(P_L1_Mes)+1)&lt;1,0,IF((131-N(P_L1_Mes)+1)=1,N(P_L1_Monto),EE$126)-EF$125)</f>
        <v>0</v>
      </c>
      <c r="EG126" s="48" t="n">
        <f aca="false">IF((132-N(P_L1_Mes)+1)&lt;1,0,IF((132-N(P_L1_Mes)+1)=1,N(P_L1_Monto),EF$126)-EG$125)</f>
        <v>0</v>
      </c>
      <c r="EH126" s="48" t="n">
        <f aca="false">IF((133-N(P_L1_Mes)+1)&lt;1,0,IF((133-N(P_L1_Mes)+1)=1,N(P_L1_Monto),EG$126)-EH$125)</f>
        <v>0</v>
      </c>
      <c r="EI126" s="48" t="n">
        <f aca="false">IF((134-N(P_L1_Mes)+1)&lt;1,0,IF((134-N(P_L1_Mes)+1)=1,N(P_L1_Monto),EH$126)-EI$125)</f>
        <v>0</v>
      </c>
      <c r="EJ126" s="48" t="n">
        <f aca="false">IF((135-N(P_L1_Mes)+1)&lt;1,0,IF((135-N(P_L1_Mes)+1)=1,N(P_L1_Monto),EI$126)-EJ$125)</f>
        <v>0</v>
      </c>
      <c r="EK126" s="48" t="n">
        <f aca="false">IF((136-N(P_L1_Mes)+1)&lt;1,0,IF((136-N(P_L1_Mes)+1)=1,N(P_L1_Monto),EJ$126)-EK$125)</f>
        <v>0</v>
      </c>
      <c r="EL126" s="48" t="n">
        <f aca="false">IF((137-N(P_L1_Mes)+1)&lt;1,0,IF((137-N(P_L1_Mes)+1)=1,N(P_L1_Monto),EK$126)-EL$125)</f>
        <v>0</v>
      </c>
      <c r="EM126" s="48" t="n">
        <f aca="false">IF((138-N(P_L1_Mes)+1)&lt;1,0,IF((138-N(P_L1_Mes)+1)=1,N(P_L1_Monto),EL$126)-EM$125)</f>
        <v>0</v>
      </c>
      <c r="EN126" s="48" t="n">
        <f aca="false">IF((139-N(P_L1_Mes)+1)&lt;1,0,IF((139-N(P_L1_Mes)+1)=1,N(P_L1_Monto),EM$126)-EN$125)</f>
        <v>0</v>
      </c>
      <c r="EO126" s="48" t="n">
        <f aca="false">IF((140-N(P_L1_Mes)+1)&lt;1,0,IF((140-N(P_L1_Mes)+1)=1,N(P_L1_Monto),EN$126)-EO$125)</f>
        <v>0</v>
      </c>
      <c r="EP126" s="48" t="n">
        <f aca="false">IF((141-N(P_L1_Mes)+1)&lt;1,0,IF((141-N(P_L1_Mes)+1)=1,N(P_L1_Monto),EO$126)-EP$125)</f>
        <v>0</v>
      </c>
      <c r="EQ126" s="48" t="n">
        <f aca="false">IF((142-N(P_L1_Mes)+1)&lt;1,0,IF((142-N(P_L1_Mes)+1)=1,N(P_L1_Monto),EP$126)-EQ$125)</f>
        <v>0</v>
      </c>
      <c r="ER126" s="48" t="n">
        <f aca="false">IF((143-N(P_L1_Mes)+1)&lt;1,0,IF((143-N(P_L1_Mes)+1)=1,N(P_L1_Monto),EQ$126)-ER$125)</f>
        <v>0</v>
      </c>
      <c r="ES126" s="48" t="n">
        <f aca="false">IF((144-N(P_L1_Mes)+1)&lt;1,0,IF((144-N(P_L1_Mes)+1)=1,N(P_L1_Monto),ER$126)-ES$125)</f>
        <v>0</v>
      </c>
    </row>
    <row r="127" customFormat="false" ht="15" hidden="false" customHeight="false" outlineLevel="0" collapsed="false">
      <c r="A127" s="11" t="s">
        <v>1218</v>
      </c>
      <c r="B127" s="15" t="s">
        <v>1219</v>
      </c>
      <c r="C127" s="15" t="s">
        <v>508</v>
      </c>
      <c r="E127" s="54" t="n">
        <f aca="false">SUM(F127:ES127)</f>
        <v>0</v>
      </c>
      <c r="F127" s="48" t="n">
        <f aca="false">IF((1-N(P_L2_Mes)+1)=1,N(P_L2_Monto),0)*F$9</f>
        <v>0</v>
      </c>
      <c r="G127" s="48" t="n">
        <f aca="false">IF((2-N(P_L2_Mes)+1)=1,N(P_L2_Monto),0)*G$9</f>
        <v>0</v>
      </c>
      <c r="H127" s="48" t="n">
        <f aca="false">IF((3-N(P_L2_Mes)+1)=1,N(P_L2_Monto),0)*H$9</f>
        <v>0</v>
      </c>
      <c r="I127" s="48" t="n">
        <f aca="false">IF((4-N(P_L2_Mes)+1)=1,N(P_L2_Monto),0)*I$9</f>
        <v>0</v>
      </c>
      <c r="J127" s="48" t="n">
        <f aca="false">IF((5-N(P_L2_Mes)+1)=1,N(P_L2_Monto),0)*J$9</f>
        <v>0</v>
      </c>
      <c r="K127" s="48" t="n">
        <f aca="false">IF((6-N(P_L2_Mes)+1)=1,N(P_L2_Monto),0)*K$9</f>
        <v>0</v>
      </c>
      <c r="L127" s="48" t="n">
        <f aca="false">IF((7-N(P_L2_Mes)+1)=1,N(P_L2_Monto),0)*L$9</f>
        <v>0</v>
      </c>
      <c r="M127" s="48" t="n">
        <f aca="false">IF((8-N(P_L2_Mes)+1)=1,N(P_L2_Monto),0)*M$9</f>
        <v>0</v>
      </c>
      <c r="N127" s="48" t="n">
        <f aca="false">IF((9-N(P_L2_Mes)+1)=1,N(P_L2_Monto),0)*N$9</f>
        <v>0</v>
      </c>
      <c r="O127" s="48" t="n">
        <f aca="false">IF((10-N(P_L2_Mes)+1)=1,N(P_L2_Monto),0)*O$9</f>
        <v>0</v>
      </c>
      <c r="P127" s="48" t="n">
        <f aca="false">IF((11-N(P_L2_Mes)+1)=1,N(P_L2_Monto),0)*P$9</f>
        <v>0</v>
      </c>
      <c r="Q127" s="48" t="n">
        <f aca="false">IF((12-N(P_L2_Mes)+1)=1,N(P_L2_Monto),0)*Q$9</f>
        <v>0</v>
      </c>
      <c r="R127" s="48" t="n">
        <f aca="false">IF((13-N(P_L2_Mes)+1)=1,N(P_L2_Monto),0)*R$9</f>
        <v>0</v>
      </c>
      <c r="S127" s="48" t="n">
        <f aca="false">IF((14-N(P_L2_Mes)+1)=1,N(P_L2_Monto),0)*S$9</f>
        <v>0</v>
      </c>
      <c r="T127" s="48" t="n">
        <f aca="false">IF((15-N(P_L2_Mes)+1)=1,N(P_L2_Monto),0)*T$9</f>
        <v>0</v>
      </c>
      <c r="U127" s="48" t="n">
        <f aca="false">IF((16-N(P_L2_Mes)+1)=1,N(P_L2_Monto),0)*U$9</f>
        <v>0</v>
      </c>
      <c r="V127" s="48" t="n">
        <f aca="false">IF((17-N(P_L2_Mes)+1)=1,N(P_L2_Monto),0)*V$9</f>
        <v>0</v>
      </c>
      <c r="W127" s="48" t="n">
        <f aca="false">IF((18-N(P_L2_Mes)+1)=1,N(P_L2_Monto),0)*W$9</f>
        <v>0</v>
      </c>
      <c r="X127" s="48" t="n">
        <f aca="false">IF((19-N(P_L2_Mes)+1)=1,N(P_L2_Monto),0)*X$9</f>
        <v>0</v>
      </c>
      <c r="Y127" s="48" t="n">
        <f aca="false">IF((20-N(P_L2_Mes)+1)=1,N(P_L2_Monto),0)*Y$9</f>
        <v>0</v>
      </c>
      <c r="Z127" s="48" t="n">
        <f aca="false">IF((21-N(P_L2_Mes)+1)=1,N(P_L2_Monto),0)*Z$9</f>
        <v>0</v>
      </c>
      <c r="AA127" s="48" t="n">
        <f aca="false">IF((22-N(P_L2_Mes)+1)=1,N(P_L2_Monto),0)*AA$9</f>
        <v>0</v>
      </c>
      <c r="AB127" s="48" t="n">
        <f aca="false">IF((23-N(P_L2_Mes)+1)=1,N(P_L2_Monto),0)*AB$9</f>
        <v>0</v>
      </c>
      <c r="AC127" s="48" t="n">
        <f aca="false">IF((24-N(P_L2_Mes)+1)=1,N(P_L2_Monto),0)*AC$9</f>
        <v>0</v>
      </c>
      <c r="AD127" s="48" t="n">
        <f aca="false">IF((25-N(P_L2_Mes)+1)=1,N(P_L2_Monto),0)*AD$9</f>
        <v>0</v>
      </c>
      <c r="AE127" s="48" t="n">
        <f aca="false">IF((26-N(P_L2_Mes)+1)=1,N(P_L2_Monto),0)*AE$9</f>
        <v>0</v>
      </c>
      <c r="AF127" s="48" t="n">
        <f aca="false">IF((27-N(P_L2_Mes)+1)=1,N(P_L2_Monto),0)*AF$9</f>
        <v>0</v>
      </c>
      <c r="AG127" s="48" t="n">
        <f aca="false">IF((28-N(P_L2_Mes)+1)=1,N(P_L2_Monto),0)*AG$9</f>
        <v>0</v>
      </c>
      <c r="AH127" s="48" t="n">
        <f aca="false">IF((29-N(P_L2_Mes)+1)=1,N(P_L2_Monto),0)*AH$9</f>
        <v>0</v>
      </c>
      <c r="AI127" s="48" t="n">
        <f aca="false">IF((30-N(P_L2_Mes)+1)=1,N(P_L2_Monto),0)*AI$9</f>
        <v>0</v>
      </c>
      <c r="AJ127" s="48" t="n">
        <f aca="false">IF((31-N(P_L2_Mes)+1)=1,N(P_L2_Monto),0)*AJ$9</f>
        <v>0</v>
      </c>
      <c r="AK127" s="48" t="n">
        <f aca="false">IF((32-N(P_L2_Mes)+1)=1,N(P_L2_Monto),0)*AK$9</f>
        <v>0</v>
      </c>
      <c r="AL127" s="48" t="n">
        <f aca="false">IF((33-N(P_L2_Mes)+1)=1,N(P_L2_Monto),0)*AL$9</f>
        <v>0</v>
      </c>
      <c r="AM127" s="48" t="n">
        <f aca="false">IF((34-N(P_L2_Mes)+1)=1,N(P_L2_Monto),0)*AM$9</f>
        <v>0</v>
      </c>
      <c r="AN127" s="48" t="n">
        <f aca="false">IF((35-N(P_L2_Mes)+1)=1,N(P_L2_Monto),0)*AN$9</f>
        <v>0</v>
      </c>
      <c r="AO127" s="48" t="n">
        <f aca="false">IF((36-N(P_L2_Mes)+1)=1,N(P_L2_Monto),0)*AO$9</f>
        <v>0</v>
      </c>
      <c r="AP127" s="48" t="n">
        <f aca="false">IF((37-N(P_L2_Mes)+1)=1,N(P_L2_Monto),0)*AP$9</f>
        <v>0</v>
      </c>
      <c r="AQ127" s="48" t="n">
        <f aca="false">IF((38-N(P_L2_Mes)+1)=1,N(P_L2_Monto),0)*AQ$9</f>
        <v>0</v>
      </c>
      <c r="AR127" s="48" t="n">
        <f aca="false">IF((39-N(P_L2_Mes)+1)=1,N(P_L2_Monto),0)*AR$9</f>
        <v>0</v>
      </c>
      <c r="AS127" s="48" t="n">
        <f aca="false">IF((40-N(P_L2_Mes)+1)=1,N(P_L2_Monto),0)*AS$9</f>
        <v>0</v>
      </c>
      <c r="AT127" s="48" t="n">
        <f aca="false">IF((41-N(P_L2_Mes)+1)=1,N(P_L2_Monto),0)*AT$9</f>
        <v>0</v>
      </c>
      <c r="AU127" s="48" t="n">
        <f aca="false">IF((42-N(P_L2_Mes)+1)=1,N(P_L2_Monto),0)*AU$9</f>
        <v>0</v>
      </c>
      <c r="AV127" s="48" t="n">
        <f aca="false">IF((43-N(P_L2_Mes)+1)=1,N(P_L2_Monto),0)*AV$9</f>
        <v>0</v>
      </c>
      <c r="AW127" s="48" t="n">
        <f aca="false">IF((44-N(P_L2_Mes)+1)=1,N(P_L2_Monto),0)*AW$9</f>
        <v>0</v>
      </c>
      <c r="AX127" s="48" t="n">
        <f aca="false">IF((45-N(P_L2_Mes)+1)=1,N(P_L2_Monto),0)*AX$9</f>
        <v>0</v>
      </c>
      <c r="AY127" s="48" t="n">
        <f aca="false">IF((46-N(P_L2_Mes)+1)=1,N(P_L2_Monto),0)*AY$9</f>
        <v>0</v>
      </c>
      <c r="AZ127" s="48" t="n">
        <f aca="false">IF((47-N(P_L2_Mes)+1)=1,N(P_L2_Monto),0)*AZ$9</f>
        <v>0</v>
      </c>
      <c r="BA127" s="48" t="n">
        <f aca="false">IF((48-N(P_L2_Mes)+1)=1,N(P_L2_Monto),0)*BA$9</f>
        <v>0</v>
      </c>
      <c r="BB127" s="48" t="n">
        <f aca="false">IF((49-N(P_L2_Mes)+1)=1,N(P_L2_Monto),0)*BB$9</f>
        <v>0</v>
      </c>
      <c r="BC127" s="48" t="n">
        <f aca="false">IF((50-N(P_L2_Mes)+1)=1,N(P_L2_Monto),0)*BC$9</f>
        <v>0</v>
      </c>
      <c r="BD127" s="48" t="n">
        <f aca="false">IF((51-N(P_L2_Mes)+1)=1,N(P_L2_Monto),0)*BD$9</f>
        <v>0</v>
      </c>
      <c r="BE127" s="48" t="n">
        <f aca="false">IF((52-N(P_L2_Mes)+1)=1,N(P_L2_Monto),0)*BE$9</f>
        <v>0</v>
      </c>
      <c r="BF127" s="48" t="n">
        <f aca="false">IF((53-N(P_L2_Mes)+1)=1,N(P_L2_Monto),0)*BF$9</f>
        <v>0</v>
      </c>
      <c r="BG127" s="48" t="n">
        <f aca="false">IF((54-N(P_L2_Mes)+1)=1,N(P_L2_Monto),0)*BG$9</f>
        <v>0</v>
      </c>
      <c r="BH127" s="48" t="n">
        <f aca="false">IF((55-N(P_L2_Mes)+1)=1,N(P_L2_Monto),0)*BH$9</f>
        <v>0</v>
      </c>
      <c r="BI127" s="48" t="n">
        <f aca="false">IF((56-N(P_L2_Mes)+1)=1,N(P_L2_Monto),0)*BI$9</f>
        <v>0</v>
      </c>
      <c r="BJ127" s="48" t="n">
        <f aca="false">IF((57-N(P_L2_Mes)+1)=1,N(P_L2_Monto),0)*BJ$9</f>
        <v>0</v>
      </c>
      <c r="BK127" s="48" t="n">
        <f aca="false">IF((58-N(P_L2_Mes)+1)=1,N(P_L2_Monto),0)*BK$9</f>
        <v>0</v>
      </c>
      <c r="BL127" s="48" t="n">
        <f aca="false">IF((59-N(P_L2_Mes)+1)=1,N(P_L2_Monto),0)*BL$9</f>
        <v>0</v>
      </c>
      <c r="BM127" s="48" t="n">
        <f aca="false">IF((60-N(P_L2_Mes)+1)=1,N(P_L2_Monto),0)*BM$9</f>
        <v>0</v>
      </c>
      <c r="BN127" s="48" t="n">
        <f aca="false">IF((61-N(P_L2_Mes)+1)=1,N(P_L2_Monto),0)*BN$9</f>
        <v>0</v>
      </c>
      <c r="BO127" s="48" t="n">
        <f aca="false">IF((62-N(P_L2_Mes)+1)=1,N(P_L2_Monto),0)*BO$9</f>
        <v>0</v>
      </c>
      <c r="BP127" s="48" t="n">
        <f aca="false">IF((63-N(P_L2_Mes)+1)=1,N(P_L2_Monto),0)*BP$9</f>
        <v>0</v>
      </c>
      <c r="BQ127" s="48" t="n">
        <f aca="false">IF((64-N(P_L2_Mes)+1)=1,N(P_L2_Monto),0)*BQ$9</f>
        <v>0</v>
      </c>
      <c r="BR127" s="48" t="n">
        <f aca="false">IF((65-N(P_L2_Mes)+1)=1,N(P_L2_Monto),0)*BR$9</f>
        <v>0</v>
      </c>
      <c r="BS127" s="48" t="n">
        <f aca="false">IF((66-N(P_L2_Mes)+1)=1,N(P_L2_Monto),0)*BS$9</f>
        <v>0</v>
      </c>
      <c r="BT127" s="48" t="n">
        <f aca="false">IF((67-N(P_L2_Mes)+1)=1,N(P_L2_Monto),0)*BT$9</f>
        <v>0</v>
      </c>
      <c r="BU127" s="48" t="n">
        <f aca="false">IF((68-N(P_L2_Mes)+1)=1,N(P_L2_Monto),0)*BU$9</f>
        <v>0</v>
      </c>
      <c r="BV127" s="48" t="n">
        <f aca="false">IF((69-N(P_L2_Mes)+1)=1,N(P_L2_Monto),0)*BV$9</f>
        <v>0</v>
      </c>
      <c r="BW127" s="48" t="n">
        <f aca="false">IF((70-N(P_L2_Mes)+1)=1,N(P_L2_Monto),0)*BW$9</f>
        <v>0</v>
      </c>
      <c r="BX127" s="48" t="n">
        <f aca="false">IF((71-N(P_L2_Mes)+1)=1,N(P_L2_Monto),0)*BX$9</f>
        <v>0</v>
      </c>
      <c r="BY127" s="48" t="n">
        <f aca="false">IF((72-N(P_L2_Mes)+1)=1,N(P_L2_Monto),0)*BY$9</f>
        <v>0</v>
      </c>
      <c r="BZ127" s="48" t="n">
        <f aca="false">IF((73-N(P_L2_Mes)+1)=1,N(P_L2_Monto),0)*BZ$9</f>
        <v>0</v>
      </c>
      <c r="CA127" s="48" t="n">
        <f aca="false">IF((74-N(P_L2_Mes)+1)=1,N(P_L2_Monto),0)*CA$9</f>
        <v>0</v>
      </c>
      <c r="CB127" s="48" t="n">
        <f aca="false">IF((75-N(P_L2_Mes)+1)=1,N(P_L2_Monto),0)*CB$9</f>
        <v>0</v>
      </c>
      <c r="CC127" s="48" t="n">
        <f aca="false">IF((76-N(P_L2_Mes)+1)=1,N(P_L2_Monto),0)*CC$9</f>
        <v>0</v>
      </c>
      <c r="CD127" s="48" t="n">
        <f aca="false">IF((77-N(P_L2_Mes)+1)=1,N(P_L2_Monto),0)*CD$9</f>
        <v>0</v>
      </c>
      <c r="CE127" s="48" t="n">
        <f aca="false">IF((78-N(P_L2_Mes)+1)=1,N(P_L2_Monto),0)*CE$9</f>
        <v>0</v>
      </c>
      <c r="CF127" s="48" t="n">
        <f aca="false">IF((79-N(P_L2_Mes)+1)=1,N(P_L2_Monto),0)*CF$9</f>
        <v>0</v>
      </c>
      <c r="CG127" s="48" t="n">
        <f aca="false">IF((80-N(P_L2_Mes)+1)=1,N(P_L2_Monto),0)*CG$9</f>
        <v>0</v>
      </c>
      <c r="CH127" s="48" t="n">
        <f aca="false">IF((81-N(P_L2_Mes)+1)=1,N(P_L2_Monto),0)*CH$9</f>
        <v>0</v>
      </c>
      <c r="CI127" s="48" t="n">
        <f aca="false">IF((82-N(P_L2_Mes)+1)=1,N(P_L2_Monto),0)*CI$9</f>
        <v>0</v>
      </c>
      <c r="CJ127" s="48" t="n">
        <f aca="false">IF((83-N(P_L2_Mes)+1)=1,N(P_L2_Monto),0)*CJ$9</f>
        <v>0</v>
      </c>
      <c r="CK127" s="48" t="n">
        <f aca="false">IF((84-N(P_L2_Mes)+1)=1,N(P_L2_Monto),0)*CK$9</f>
        <v>0</v>
      </c>
      <c r="CL127" s="48" t="n">
        <f aca="false">IF((85-N(P_L2_Mes)+1)=1,N(P_L2_Monto),0)*CL$9</f>
        <v>0</v>
      </c>
      <c r="CM127" s="48" t="n">
        <f aca="false">IF((86-N(P_L2_Mes)+1)=1,N(P_L2_Monto),0)*CM$9</f>
        <v>0</v>
      </c>
      <c r="CN127" s="48" t="n">
        <f aca="false">IF((87-N(P_L2_Mes)+1)=1,N(P_L2_Monto),0)*CN$9</f>
        <v>0</v>
      </c>
      <c r="CO127" s="48" t="n">
        <f aca="false">IF((88-N(P_L2_Mes)+1)=1,N(P_L2_Monto),0)*CO$9</f>
        <v>0</v>
      </c>
      <c r="CP127" s="48" t="n">
        <f aca="false">IF((89-N(P_L2_Mes)+1)=1,N(P_L2_Monto),0)*CP$9</f>
        <v>0</v>
      </c>
      <c r="CQ127" s="48" t="n">
        <f aca="false">IF((90-N(P_L2_Mes)+1)=1,N(P_L2_Monto),0)*CQ$9</f>
        <v>0</v>
      </c>
      <c r="CR127" s="48" t="n">
        <f aca="false">IF((91-N(P_L2_Mes)+1)=1,N(P_L2_Monto),0)*CR$9</f>
        <v>0</v>
      </c>
      <c r="CS127" s="48" t="n">
        <f aca="false">IF((92-N(P_L2_Mes)+1)=1,N(P_L2_Monto),0)*CS$9</f>
        <v>0</v>
      </c>
      <c r="CT127" s="48" t="n">
        <f aca="false">IF((93-N(P_L2_Mes)+1)=1,N(P_L2_Monto),0)*CT$9</f>
        <v>0</v>
      </c>
      <c r="CU127" s="48" t="n">
        <f aca="false">IF((94-N(P_L2_Mes)+1)=1,N(P_L2_Monto),0)*CU$9</f>
        <v>0</v>
      </c>
      <c r="CV127" s="48" t="n">
        <f aca="false">IF((95-N(P_L2_Mes)+1)=1,N(P_L2_Monto),0)*CV$9</f>
        <v>0</v>
      </c>
      <c r="CW127" s="48" t="n">
        <f aca="false">IF((96-N(P_L2_Mes)+1)=1,N(P_L2_Monto),0)*CW$9</f>
        <v>0</v>
      </c>
      <c r="CX127" s="48" t="n">
        <f aca="false">IF((97-N(P_L2_Mes)+1)=1,N(P_L2_Monto),0)*CX$9</f>
        <v>0</v>
      </c>
      <c r="CY127" s="48" t="n">
        <f aca="false">IF((98-N(P_L2_Mes)+1)=1,N(P_L2_Monto),0)*CY$9</f>
        <v>0</v>
      </c>
      <c r="CZ127" s="48" t="n">
        <f aca="false">IF((99-N(P_L2_Mes)+1)=1,N(P_L2_Monto),0)*CZ$9</f>
        <v>0</v>
      </c>
      <c r="DA127" s="48" t="n">
        <f aca="false">IF((100-N(P_L2_Mes)+1)=1,N(P_L2_Monto),0)*DA$9</f>
        <v>0</v>
      </c>
      <c r="DB127" s="48" t="n">
        <f aca="false">IF((101-N(P_L2_Mes)+1)=1,N(P_L2_Monto),0)*DB$9</f>
        <v>0</v>
      </c>
      <c r="DC127" s="48" t="n">
        <f aca="false">IF((102-N(P_L2_Mes)+1)=1,N(P_L2_Monto),0)*DC$9</f>
        <v>0</v>
      </c>
      <c r="DD127" s="48" t="n">
        <f aca="false">IF((103-N(P_L2_Mes)+1)=1,N(P_L2_Monto),0)*DD$9</f>
        <v>0</v>
      </c>
      <c r="DE127" s="48" t="n">
        <f aca="false">IF((104-N(P_L2_Mes)+1)=1,N(P_L2_Monto),0)*DE$9</f>
        <v>0</v>
      </c>
      <c r="DF127" s="48" t="n">
        <f aca="false">IF((105-N(P_L2_Mes)+1)=1,N(P_L2_Monto),0)*DF$9</f>
        <v>0</v>
      </c>
      <c r="DG127" s="48" t="n">
        <f aca="false">IF((106-N(P_L2_Mes)+1)=1,N(P_L2_Monto),0)*DG$9</f>
        <v>0</v>
      </c>
      <c r="DH127" s="48" t="n">
        <f aca="false">IF((107-N(P_L2_Mes)+1)=1,N(P_L2_Monto),0)*DH$9</f>
        <v>0</v>
      </c>
      <c r="DI127" s="48" t="n">
        <f aca="false">IF((108-N(P_L2_Mes)+1)=1,N(P_L2_Monto),0)*DI$9</f>
        <v>0</v>
      </c>
      <c r="DJ127" s="48" t="n">
        <f aca="false">IF((109-N(P_L2_Mes)+1)=1,N(P_L2_Monto),0)*DJ$9</f>
        <v>0</v>
      </c>
      <c r="DK127" s="48" t="n">
        <f aca="false">IF((110-N(P_L2_Mes)+1)=1,N(P_L2_Monto),0)*DK$9</f>
        <v>0</v>
      </c>
      <c r="DL127" s="48" t="n">
        <f aca="false">IF((111-N(P_L2_Mes)+1)=1,N(P_L2_Monto),0)*DL$9</f>
        <v>0</v>
      </c>
      <c r="DM127" s="48" t="n">
        <f aca="false">IF((112-N(P_L2_Mes)+1)=1,N(P_L2_Monto),0)*DM$9</f>
        <v>0</v>
      </c>
      <c r="DN127" s="48" t="n">
        <f aca="false">IF((113-N(P_L2_Mes)+1)=1,N(P_L2_Monto),0)*DN$9</f>
        <v>0</v>
      </c>
      <c r="DO127" s="48" t="n">
        <f aca="false">IF((114-N(P_L2_Mes)+1)=1,N(P_L2_Monto),0)*DO$9</f>
        <v>0</v>
      </c>
      <c r="DP127" s="48" t="n">
        <f aca="false">IF((115-N(P_L2_Mes)+1)=1,N(P_L2_Monto),0)*DP$9</f>
        <v>0</v>
      </c>
      <c r="DQ127" s="48" t="n">
        <f aca="false">IF((116-N(P_L2_Mes)+1)=1,N(P_L2_Monto),0)*DQ$9</f>
        <v>0</v>
      </c>
      <c r="DR127" s="48" t="n">
        <f aca="false">IF((117-N(P_L2_Mes)+1)=1,N(P_L2_Monto),0)*DR$9</f>
        <v>0</v>
      </c>
      <c r="DS127" s="48" t="n">
        <f aca="false">IF((118-N(P_L2_Mes)+1)=1,N(P_L2_Monto),0)*DS$9</f>
        <v>0</v>
      </c>
      <c r="DT127" s="48" t="n">
        <f aca="false">IF((119-N(P_L2_Mes)+1)=1,N(P_L2_Monto),0)*DT$9</f>
        <v>0</v>
      </c>
      <c r="DU127" s="48" t="n">
        <f aca="false">IF((120-N(P_L2_Mes)+1)=1,N(P_L2_Monto),0)*DU$9</f>
        <v>0</v>
      </c>
      <c r="DV127" s="48" t="n">
        <f aca="false">IF((121-N(P_L2_Mes)+1)=1,N(P_L2_Monto),0)*DV$9</f>
        <v>0</v>
      </c>
      <c r="DW127" s="48" t="n">
        <f aca="false">IF((122-N(P_L2_Mes)+1)=1,N(P_L2_Monto),0)*DW$9</f>
        <v>0</v>
      </c>
      <c r="DX127" s="48" t="n">
        <f aca="false">IF((123-N(P_L2_Mes)+1)=1,N(P_L2_Monto),0)*DX$9</f>
        <v>0</v>
      </c>
      <c r="DY127" s="48" t="n">
        <f aca="false">IF((124-N(P_L2_Mes)+1)=1,N(P_L2_Monto),0)*DY$9</f>
        <v>0</v>
      </c>
      <c r="DZ127" s="48" t="n">
        <f aca="false">IF((125-N(P_L2_Mes)+1)=1,N(P_L2_Monto),0)*DZ$9</f>
        <v>0</v>
      </c>
      <c r="EA127" s="48" t="n">
        <f aca="false">IF((126-N(P_L2_Mes)+1)=1,N(P_L2_Monto),0)*EA$9</f>
        <v>0</v>
      </c>
      <c r="EB127" s="48" t="n">
        <f aca="false">IF((127-N(P_L2_Mes)+1)=1,N(P_L2_Monto),0)*EB$9</f>
        <v>0</v>
      </c>
      <c r="EC127" s="48" t="n">
        <f aca="false">IF((128-N(P_L2_Mes)+1)=1,N(P_L2_Monto),0)*EC$9</f>
        <v>0</v>
      </c>
      <c r="ED127" s="48" t="n">
        <f aca="false">IF((129-N(P_L2_Mes)+1)=1,N(P_L2_Monto),0)*ED$9</f>
        <v>0</v>
      </c>
      <c r="EE127" s="48" t="n">
        <f aca="false">IF((130-N(P_L2_Mes)+1)=1,N(P_L2_Monto),0)*EE$9</f>
        <v>0</v>
      </c>
      <c r="EF127" s="48" t="n">
        <f aca="false">IF((131-N(P_L2_Mes)+1)=1,N(P_L2_Monto),0)*EF$9</f>
        <v>0</v>
      </c>
      <c r="EG127" s="48" t="n">
        <f aca="false">IF((132-N(P_L2_Mes)+1)=1,N(P_L2_Monto),0)*EG$9</f>
        <v>0</v>
      </c>
      <c r="EH127" s="48" t="n">
        <f aca="false">IF((133-N(P_L2_Mes)+1)=1,N(P_L2_Monto),0)*EH$9</f>
        <v>0</v>
      </c>
      <c r="EI127" s="48" t="n">
        <f aca="false">IF((134-N(P_L2_Mes)+1)=1,N(P_L2_Monto),0)*EI$9</f>
        <v>0</v>
      </c>
      <c r="EJ127" s="48" t="n">
        <f aca="false">IF((135-N(P_L2_Mes)+1)=1,N(P_L2_Monto),0)*EJ$9</f>
        <v>0</v>
      </c>
      <c r="EK127" s="48" t="n">
        <f aca="false">IF((136-N(P_L2_Mes)+1)=1,N(P_L2_Monto),0)*EK$9</f>
        <v>0</v>
      </c>
      <c r="EL127" s="48" t="n">
        <f aca="false">IF((137-N(P_L2_Mes)+1)=1,N(P_L2_Monto),0)*EL$9</f>
        <v>0</v>
      </c>
      <c r="EM127" s="48" t="n">
        <f aca="false">IF((138-N(P_L2_Mes)+1)=1,N(P_L2_Monto),0)*EM$9</f>
        <v>0</v>
      </c>
      <c r="EN127" s="48" t="n">
        <f aca="false">IF((139-N(P_L2_Mes)+1)=1,N(P_L2_Monto),0)*EN$9</f>
        <v>0</v>
      </c>
      <c r="EO127" s="48" t="n">
        <f aca="false">IF((140-N(P_L2_Mes)+1)=1,N(P_L2_Monto),0)*EO$9</f>
        <v>0</v>
      </c>
      <c r="EP127" s="48" t="n">
        <f aca="false">IF((141-N(P_L2_Mes)+1)=1,N(P_L2_Monto),0)*EP$9</f>
        <v>0</v>
      </c>
      <c r="EQ127" s="48" t="n">
        <f aca="false">IF((142-N(P_L2_Mes)+1)=1,N(P_L2_Monto),0)*EQ$9</f>
        <v>0</v>
      </c>
      <c r="ER127" s="48" t="n">
        <f aca="false">IF((143-N(P_L2_Mes)+1)=1,N(P_L2_Monto),0)*ER$9</f>
        <v>0</v>
      </c>
      <c r="ES127" s="48" t="n">
        <f aca="false">IF((144-N(P_L2_Mes)+1)=1,N(P_L2_Monto),0)*ES$9</f>
        <v>0</v>
      </c>
    </row>
    <row r="128" customFormat="false" ht="15" hidden="false" customHeight="false" outlineLevel="0" collapsed="false">
      <c r="A128" s="11" t="s">
        <v>1220</v>
      </c>
      <c r="B128" s="15" t="s">
        <v>1221</v>
      </c>
      <c r="C128" s="15" t="s">
        <v>508</v>
      </c>
      <c r="E128" s="54" t="n">
        <f aca="false">SUM(F128:ES128)</f>
        <v>0</v>
      </c>
      <c r="F128" s="48" t="n">
        <f aca="false">IF((1-N(P_L2_Mes)+1)&gt;=1,IF((1-N(P_L2_Mes)+1)=1,N(P_L2_Monto),0)*N(P_L2_Tasa)/12,0)*F$9</f>
        <v>0</v>
      </c>
      <c r="G128" s="48" t="n">
        <f aca="false">IF((2-N(P_L2_Mes)+1)&gt;=1,IF((2-N(P_L2_Mes)+1)=1,N(P_L2_Monto),F$130)*N(P_L2_Tasa)/12,0)*G$9</f>
        <v>0</v>
      </c>
      <c r="H128" s="48" t="n">
        <f aca="false">IF((3-N(P_L2_Mes)+1)&gt;=1,IF((3-N(P_L2_Mes)+1)=1,N(P_L2_Monto),G$130)*N(P_L2_Tasa)/12,0)*H$9</f>
        <v>0</v>
      </c>
      <c r="I128" s="48" t="n">
        <f aca="false">IF((4-N(P_L2_Mes)+1)&gt;=1,IF((4-N(P_L2_Mes)+1)=1,N(P_L2_Monto),H$130)*N(P_L2_Tasa)/12,0)*I$9</f>
        <v>0</v>
      </c>
      <c r="J128" s="48" t="n">
        <f aca="false">IF((5-N(P_L2_Mes)+1)&gt;=1,IF((5-N(P_L2_Mes)+1)=1,N(P_L2_Monto),I$130)*N(P_L2_Tasa)/12,0)*J$9</f>
        <v>0</v>
      </c>
      <c r="K128" s="48" t="n">
        <f aca="false">IF((6-N(P_L2_Mes)+1)&gt;=1,IF((6-N(P_L2_Mes)+1)=1,N(P_L2_Monto),J$130)*N(P_L2_Tasa)/12,0)*K$9</f>
        <v>0</v>
      </c>
      <c r="L128" s="48" t="n">
        <f aca="false">IF((7-N(P_L2_Mes)+1)&gt;=1,IF((7-N(P_L2_Mes)+1)=1,N(P_L2_Monto),K$130)*N(P_L2_Tasa)/12,0)*L$9</f>
        <v>0</v>
      </c>
      <c r="M128" s="48" t="n">
        <f aca="false">IF((8-N(P_L2_Mes)+1)&gt;=1,IF((8-N(P_L2_Mes)+1)=1,N(P_L2_Monto),L$130)*N(P_L2_Tasa)/12,0)*M$9</f>
        <v>0</v>
      </c>
      <c r="N128" s="48" t="n">
        <f aca="false">IF((9-N(P_L2_Mes)+1)&gt;=1,IF((9-N(P_L2_Mes)+1)=1,N(P_L2_Monto),M$130)*N(P_L2_Tasa)/12,0)*N$9</f>
        <v>0</v>
      </c>
      <c r="O128" s="48" t="n">
        <f aca="false">IF((10-N(P_L2_Mes)+1)&gt;=1,IF((10-N(P_L2_Mes)+1)=1,N(P_L2_Monto),N$130)*N(P_L2_Tasa)/12,0)*O$9</f>
        <v>0</v>
      </c>
      <c r="P128" s="48" t="n">
        <f aca="false">IF((11-N(P_L2_Mes)+1)&gt;=1,IF((11-N(P_L2_Mes)+1)=1,N(P_L2_Monto),O$130)*N(P_L2_Tasa)/12,0)*P$9</f>
        <v>0</v>
      </c>
      <c r="Q128" s="48" t="n">
        <f aca="false">IF((12-N(P_L2_Mes)+1)&gt;=1,IF((12-N(P_L2_Mes)+1)=1,N(P_L2_Monto),P$130)*N(P_L2_Tasa)/12,0)*Q$9</f>
        <v>0</v>
      </c>
      <c r="R128" s="48" t="n">
        <f aca="false">IF((13-N(P_L2_Mes)+1)&gt;=1,IF((13-N(P_L2_Mes)+1)=1,N(P_L2_Monto),Q$130)*N(P_L2_Tasa)/12,0)*R$9</f>
        <v>0</v>
      </c>
      <c r="S128" s="48" t="n">
        <f aca="false">IF((14-N(P_L2_Mes)+1)&gt;=1,IF((14-N(P_L2_Mes)+1)=1,N(P_L2_Monto),R$130)*N(P_L2_Tasa)/12,0)*S$9</f>
        <v>0</v>
      </c>
      <c r="T128" s="48" t="n">
        <f aca="false">IF((15-N(P_L2_Mes)+1)&gt;=1,IF((15-N(P_L2_Mes)+1)=1,N(P_L2_Monto),S$130)*N(P_L2_Tasa)/12,0)*T$9</f>
        <v>0</v>
      </c>
      <c r="U128" s="48" t="n">
        <f aca="false">IF((16-N(P_L2_Mes)+1)&gt;=1,IF((16-N(P_L2_Mes)+1)=1,N(P_L2_Monto),T$130)*N(P_L2_Tasa)/12,0)*U$9</f>
        <v>0</v>
      </c>
      <c r="V128" s="48" t="n">
        <f aca="false">IF((17-N(P_L2_Mes)+1)&gt;=1,IF((17-N(P_L2_Mes)+1)=1,N(P_L2_Monto),U$130)*N(P_L2_Tasa)/12,0)*V$9</f>
        <v>0</v>
      </c>
      <c r="W128" s="48" t="n">
        <f aca="false">IF((18-N(P_L2_Mes)+1)&gt;=1,IF((18-N(P_L2_Mes)+1)=1,N(P_L2_Monto),V$130)*N(P_L2_Tasa)/12,0)*W$9</f>
        <v>0</v>
      </c>
      <c r="X128" s="48" t="n">
        <f aca="false">IF((19-N(P_L2_Mes)+1)&gt;=1,IF((19-N(P_L2_Mes)+1)=1,N(P_L2_Monto),W$130)*N(P_L2_Tasa)/12,0)*X$9</f>
        <v>0</v>
      </c>
      <c r="Y128" s="48" t="n">
        <f aca="false">IF((20-N(P_L2_Mes)+1)&gt;=1,IF((20-N(P_L2_Mes)+1)=1,N(P_L2_Monto),X$130)*N(P_L2_Tasa)/12,0)*Y$9</f>
        <v>0</v>
      </c>
      <c r="Z128" s="48" t="n">
        <f aca="false">IF((21-N(P_L2_Mes)+1)&gt;=1,IF((21-N(P_L2_Mes)+1)=1,N(P_L2_Monto),Y$130)*N(P_L2_Tasa)/12,0)*Z$9</f>
        <v>0</v>
      </c>
      <c r="AA128" s="48" t="n">
        <f aca="false">IF((22-N(P_L2_Mes)+1)&gt;=1,IF((22-N(P_L2_Mes)+1)=1,N(P_L2_Monto),Z$130)*N(P_L2_Tasa)/12,0)*AA$9</f>
        <v>0</v>
      </c>
      <c r="AB128" s="48" t="n">
        <f aca="false">IF((23-N(P_L2_Mes)+1)&gt;=1,IF((23-N(P_L2_Mes)+1)=1,N(P_L2_Monto),AA$130)*N(P_L2_Tasa)/12,0)*AB$9</f>
        <v>0</v>
      </c>
      <c r="AC128" s="48" t="n">
        <f aca="false">IF((24-N(P_L2_Mes)+1)&gt;=1,IF((24-N(P_L2_Mes)+1)=1,N(P_L2_Monto),AB$130)*N(P_L2_Tasa)/12,0)*AC$9</f>
        <v>0</v>
      </c>
      <c r="AD128" s="48" t="n">
        <f aca="false">IF((25-N(P_L2_Mes)+1)&gt;=1,IF((25-N(P_L2_Mes)+1)=1,N(P_L2_Monto),AC$130)*N(P_L2_Tasa)/12,0)*AD$9</f>
        <v>0</v>
      </c>
      <c r="AE128" s="48" t="n">
        <f aca="false">IF((26-N(P_L2_Mes)+1)&gt;=1,IF((26-N(P_L2_Mes)+1)=1,N(P_L2_Monto),AD$130)*N(P_L2_Tasa)/12,0)*AE$9</f>
        <v>0</v>
      </c>
      <c r="AF128" s="48" t="n">
        <f aca="false">IF((27-N(P_L2_Mes)+1)&gt;=1,IF((27-N(P_L2_Mes)+1)=1,N(P_L2_Monto),AE$130)*N(P_L2_Tasa)/12,0)*AF$9</f>
        <v>0</v>
      </c>
      <c r="AG128" s="48" t="n">
        <f aca="false">IF((28-N(P_L2_Mes)+1)&gt;=1,IF((28-N(P_L2_Mes)+1)=1,N(P_L2_Monto),AF$130)*N(P_L2_Tasa)/12,0)*AG$9</f>
        <v>0</v>
      </c>
      <c r="AH128" s="48" t="n">
        <f aca="false">IF((29-N(P_L2_Mes)+1)&gt;=1,IF((29-N(P_L2_Mes)+1)=1,N(P_L2_Monto),AG$130)*N(P_L2_Tasa)/12,0)*AH$9</f>
        <v>0</v>
      </c>
      <c r="AI128" s="48" t="n">
        <f aca="false">IF((30-N(P_L2_Mes)+1)&gt;=1,IF((30-N(P_L2_Mes)+1)=1,N(P_L2_Monto),AH$130)*N(P_L2_Tasa)/12,0)*AI$9</f>
        <v>0</v>
      </c>
      <c r="AJ128" s="48" t="n">
        <f aca="false">IF((31-N(P_L2_Mes)+1)&gt;=1,IF((31-N(P_L2_Mes)+1)=1,N(P_L2_Monto),AI$130)*N(P_L2_Tasa)/12,0)*AJ$9</f>
        <v>0</v>
      </c>
      <c r="AK128" s="48" t="n">
        <f aca="false">IF((32-N(P_L2_Mes)+1)&gt;=1,IF((32-N(P_L2_Mes)+1)=1,N(P_L2_Monto),AJ$130)*N(P_L2_Tasa)/12,0)*AK$9</f>
        <v>0</v>
      </c>
      <c r="AL128" s="48" t="n">
        <f aca="false">IF((33-N(P_L2_Mes)+1)&gt;=1,IF((33-N(P_L2_Mes)+1)=1,N(P_L2_Monto),AK$130)*N(P_L2_Tasa)/12,0)*AL$9</f>
        <v>0</v>
      </c>
      <c r="AM128" s="48" t="n">
        <f aca="false">IF((34-N(P_L2_Mes)+1)&gt;=1,IF((34-N(P_L2_Mes)+1)=1,N(P_L2_Monto),AL$130)*N(P_L2_Tasa)/12,0)*AM$9</f>
        <v>0</v>
      </c>
      <c r="AN128" s="48" t="n">
        <f aca="false">IF((35-N(P_L2_Mes)+1)&gt;=1,IF((35-N(P_L2_Mes)+1)=1,N(P_L2_Monto),AM$130)*N(P_L2_Tasa)/12,0)*AN$9</f>
        <v>0</v>
      </c>
      <c r="AO128" s="48" t="n">
        <f aca="false">IF((36-N(P_L2_Mes)+1)&gt;=1,IF((36-N(P_L2_Mes)+1)=1,N(P_L2_Monto),AN$130)*N(P_L2_Tasa)/12,0)*AO$9</f>
        <v>0</v>
      </c>
      <c r="AP128" s="48" t="n">
        <f aca="false">IF((37-N(P_L2_Mes)+1)&gt;=1,IF((37-N(P_L2_Mes)+1)=1,N(P_L2_Monto),AO$130)*N(P_L2_Tasa)/12,0)*AP$9</f>
        <v>0</v>
      </c>
      <c r="AQ128" s="48" t="n">
        <f aca="false">IF((38-N(P_L2_Mes)+1)&gt;=1,IF((38-N(P_L2_Mes)+1)=1,N(P_L2_Monto),AP$130)*N(P_L2_Tasa)/12,0)*AQ$9</f>
        <v>0</v>
      </c>
      <c r="AR128" s="48" t="n">
        <f aca="false">IF((39-N(P_L2_Mes)+1)&gt;=1,IF((39-N(P_L2_Mes)+1)=1,N(P_L2_Monto),AQ$130)*N(P_L2_Tasa)/12,0)*AR$9</f>
        <v>0</v>
      </c>
      <c r="AS128" s="48" t="n">
        <f aca="false">IF((40-N(P_L2_Mes)+1)&gt;=1,IF((40-N(P_L2_Mes)+1)=1,N(P_L2_Monto),AR$130)*N(P_L2_Tasa)/12,0)*AS$9</f>
        <v>0</v>
      </c>
      <c r="AT128" s="48" t="n">
        <f aca="false">IF((41-N(P_L2_Mes)+1)&gt;=1,IF((41-N(P_L2_Mes)+1)=1,N(P_L2_Monto),AS$130)*N(P_L2_Tasa)/12,0)*AT$9</f>
        <v>0</v>
      </c>
      <c r="AU128" s="48" t="n">
        <f aca="false">IF((42-N(P_L2_Mes)+1)&gt;=1,IF((42-N(P_L2_Mes)+1)=1,N(P_L2_Monto),AT$130)*N(P_L2_Tasa)/12,0)*AU$9</f>
        <v>0</v>
      </c>
      <c r="AV128" s="48" t="n">
        <f aca="false">IF((43-N(P_L2_Mes)+1)&gt;=1,IF((43-N(P_L2_Mes)+1)=1,N(P_L2_Monto),AU$130)*N(P_L2_Tasa)/12,0)*AV$9</f>
        <v>0</v>
      </c>
      <c r="AW128" s="48" t="n">
        <f aca="false">IF((44-N(P_L2_Mes)+1)&gt;=1,IF((44-N(P_L2_Mes)+1)=1,N(P_L2_Monto),AV$130)*N(P_L2_Tasa)/12,0)*AW$9</f>
        <v>0</v>
      </c>
      <c r="AX128" s="48" t="n">
        <f aca="false">IF((45-N(P_L2_Mes)+1)&gt;=1,IF((45-N(P_L2_Mes)+1)=1,N(P_L2_Monto),AW$130)*N(P_L2_Tasa)/12,0)*AX$9</f>
        <v>0</v>
      </c>
      <c r="AY128" s="48" t="n">
        <f aca="false">IF((46-N(P_L2_Mes)+1)&gt;=1,IF((46-N(P_L2_Mes)+1)=1,N(P_L2_Monto),AX$130)*N(P_L2_Tasa)/12,0)*AY$9</f>
        <v>0</v>
      </c>
      <c r="AZ128" s="48" t="n">
        <f aca="false">IF((47-N(P_L2_Mes)+1)&gt;=1,IF((47-N(P_L2_Mes)+1)=1,N(P_L2_Monto),AY$130)*N(P_L2_Tasa)/12,0)*AZ$9</f>
        <v>0</v>
      </c>
      <c r="BA128" s="48" t="n">
        <f aca="false">IF((48-N(P_L2_Mes)+1)&gt;=1,IF((48-N(P_L2_Mes)+1)=1,N(P_L2_Monto),AZ$130)*N(P_L2_Tasa)/12,0)*BA$9</f>
        <v>0</v>
      </c>
      <c r="BB128" s="48" t="n">
        <f aca="false">IF((49-N(P_L2_Mes)+1)&gt;=1,IF((49-N(P_L2_Mes)+1)=1,N(P_L2_Monto),BA$130)*N(P_L2_Tasa)/12,0)*BB$9</f>
        <v>0</v>
      </c>
      <c r="BC128" s="48" t="n">
        <f aca="false">IF((50-N(P_L2_Mes)+1)&gt;=1,IF((50-N(P_L2_Mes)+1)=1,N(P_L2_Monto),BB$130)*N(P_L2_Tasa)/12,0)*BC$9</f>
        <v>0</v>
      </c>
      <c r="BD128" s="48" t="n">
        <f aca="false">IF((51-N(P_L2_Mes)+1)&gt;=1,IF((51-N(P_L2_Mes)+1)=1,N(P_L2_Monto),BC$130)*N(P_L2_Tasa)/12,0)*BD$9</f>
        <v>0</v>
      </c>
      <c r="BE128" s="48" t="n">
        <f aca="false">IF((52-N(P_L2_Mes)+1)&gt;=1,IF((52-N(P_L2_Mes)+1)=1,N(P_L2_Monto),BD$130)*N(P_L2_Tasa)/12,0)*BE$9</f>
        <v>0</v>
      </c>
      <c r="BF128" s="48" t="n">
        <f aca="false">IF((53-N(P_L2_Mes)+1)&gt;=1,IF((53-N(P_L2_Mes)+1)=1,N(P_L2_Monto),BE$130)*N(P_L2_Tasa)/12,0)*BF$9</f>
        <v>0</v>
      </c>
      <c r="BG128" s="48" t="n">
        <f aca="false">IF((54-N(P_L2_Mes)+1)&gt;=1,IF((54-N(P_L2_Mes)+1)=1,N(P_L2_Monto),BF$130)*N(P_L2_Tasa)/12,0)*BG$9</f>
        <v>0</v>
      </c>
      <c r="BH128" s="48" t="n">
        <f aca="false">IF((55-N(P_L2_Mes)+1)&gt;=1,IF((55-N(P_L2_Mes)+1)=1,N(P_L2_Monto),BG$130)*N(P_L2_Tasa)/12,0)*BH$9</f>
        <v>0</v>
      </c>
      <c r="BI128" s="48" t="n">
        <f aca="false">IF((56-N(P_L2_Mes)+1)&gt;=1,IF((56-N(P_L2_Mes)+1)=1,N(P_L2_Monto),BH$130)*N(P_L2_Tasa)/12,0)*BI$9</f>
        <v>0</v>
      </c>
      <c r="BJ128" s="48" t="n">
        <f aca="false">IF((57-N(P_L2_Mes)+1)&gt;=1,IF((57-N(P_L2_Mes)+1)=1,N(P_L2_Monto),BI$130)*N(P_L2_Tasa)/12,0)*BJ$9</f>
        <v>0</v>
      </c>
      <c r="BK128" s="48" t="n">
        <f aca="false">IF((58-N(P_L2_Mes)+1)&gt;=1,IF((58-N(P_L2_Mes)+1)=1,N(P_L2_Monto),BJ$130)*N(P_L2_Tasa)/12,0)*BK$9</f>
        <v>0</v>
      </c>
      <c r="BL128" s="48" t="n">
        <f aca="false">IF((59-N(P_L2_Mes)+1)&gt;=1,IF((59-N(P_L2_Mes)+1)=1,N(P_L2_Monto),BK$130)*N(P_L2_Tasa)/12,0)*BL$9</f>
        <v>0</v>
      </c>
      <c r="BM128" s="48" t="n">
        <f aca="false">IF((60-N(P_L2_Mes)+1)&gt;=1,IF((60-N(P_L2_Mes)+1)=1,N(P_L2_Monto),BL$130)*N(P_L2_Tasa)/12,0)*BM$9</f>
        <v>0</v>
      </c>
      <c r="BN128" s="48" t="n">
        <f aca="false">IF((61-N(P_L2_Mes)+1)&gt;=1,IF((61-N(P_L2_Mes)+1)=1,N(P_L2_Monto),BM$130)*N(P_L2_Tasa)/12,0)*BN$9</f>
        <v>0</v>
      </c>
      <c r="BO128" s="48" t="n">
        <f aca="false">IF((62-N(P_L2_Mes)+1)&gt;=1,IF((62-N(P_L2_Mes)+1)=1,N(P_L2_Monto),BN$130)*N(P_L2_Tasa)/12,0)*BO$9</f>
        <v>0</v>
      </c>
      <c r="BP128" s="48" t="n">
        <f aca="false">IF((63-N(P_L2_Mes)+1)&gt;=1,IF((63-N(P_L2_Mes)+1)=1,N(P_L2_Monto),BO$130)*N(P_L2_Tasa)/12,0)*BP$9</f>
        <v>0</v>
      </c>
      <c r="BQ128" s="48" t="n">
        <f aca="false">IF((64-N(P_L2_Mes)+1)&gt;=1,IF((64-N(P_L2_Mes)+1)=1,N(P_L2_Monto),BP$130)*N(P_L2_Tasa)/12,0)*BQ$9</f>
        <v>0</v>
      </c>
      <c r="BR128" s="48" t="n">
        <f aca="false">IF((65-N(P_L2_Mes)+1)&gt;=1,IF((65-N(P_L2_Mes)+1)=1,N(P_L2_Monto),BQ$130)*N(P_L2_Tasa)/12,0)*BR$9</f>
        <v>0</v>
      </c>
      <c r="BS128" s="48" t="n">
        <f aca="false">IF((66-N(P_L2_Mes)+1)&gt;=1,IF((66-N(P_L2_Mes)+1)=1,N(P_L2_Monto),BR$130)*N(P_L2_Tasa)/12,0)*BS$9</f>
        <v>0</v>
      </c>
      <c r="BT128" s="48" t="n">
        <f aca="false">IF((67-N(P_L2_Mes)+1)&gt;=1,IF((67-N(P_L2_Mes)+1)=1,N(P_L2_Monto),BS$130)*N(P_L2_Tasa)/12,0)*BT$9</f>
        <v>0</v>
      </c>
      <c r="BU128" s="48" t="n">
        <f aca="false">IF((68-N(P_L2_Mes)+1)&gt;=1,IF((68-N(P_L2_Mes)+1)=1,N(P_L2_Monto),BT$130)*N(P_L2_Tasa)/12,0)*BU$9</f>
        <v>0</v>
      </c>
      <c r="BV128" s="48" t="n">
        <f aca="false">IF((69-N(P_L2_Mes)+1)&gt;=1,IF((69-N(P_L2_Mes)+1)=1,N(P_L2_Monto),BU$130)*N(P_L2_Tasa)/12,0)*BV$9</f>
        <v>0</v>
      </c>
      <c r="BW128" s="48" t="n">
        <f aca="false">IF((70-N(P_L2_Mes)+1)&gt;=1,IF((70-N(P_L2_Mes)+1)=1,N(P_L2_Monto),BV$130)*N(P_L2_Tasa)/12,0)*BW$9</f>
        <v>0</v>
      </c>
      <c r="BX128" s="48" t="n">
        <f aca="false">IF((71-N(P_L2_Mes)+1)&gt;=1,IF((71-N(P_L2_Mes)+1)=1,N(P_L2_Monto),BW$130)*N(P_L2_Tasa)/12,0)*BX$9</f>
        <v>0</v>
      </c>
      <c r="BY128" s="48" t="n">
        <f aca="false">IF((72-N(P_L2_Mes)+1)&gt;=1,IF((72-N(P_L2_Mes)+1)=1,N(P_L2_Monto),BX$130)*N(P_L2_Tasa)/12,0)*BY$9</f>
        <v>0</v>
      </c>
      <c r="BZ128" s="48" t="n">
        <f aca="false">IF((73-N(P_L2_Mes)+1)&gt;=1,IF((73-N(P_L2_Mes)+1)=1,N(P_L2_Monto),BY$130)*N(P_L2_Tasa)/12,0)*BZ$9</f>
        <v>0</v>
      </c>
      <c r="CA128" s="48" t="n">
        <f aca="false">IF((74-N(P_L2_Mes)+1)&gt;=1,IF((74-N(P_L2_Mes)+1)=1,N(P_L2_Monto),BZ$130)*N(P_L2_Tasa)/12,0)*CA$9</f>
        <v>0</v>
      </c>
      <c r="CB128" s="48" t="n">
        <f aca="false">IF((75-N(P_L2_Mes)+1)&gt;=1,IF((75-N(P_L2_Mes)+1)=1,N(P_L2_Monto),CA$130)*N(P_L2_Tasa)/12,0)*CB$9</f>
        <v>0</v>
      </c>
      <c r="CC128" s="48" t="n">
        <f aca="false">IF((76-N(P_L2_Mes)+1)&gt;=1,IF((76-N(P_L2_Mes)+1)=1,N(P_L2_Monto),CB$130)*N(P_L2_Tasa)/12,0)*CC$9</f>
        <v>0</v>
      </c>
      <c r="CD128" s="48" t="n">
        <f aca="false">IF((77-N(P_L2_Mes)+1)&gt;=1,IF((77-N(P_L2_Mes)+1)=1,N(P_L2_Monto),CC$130)*N(P_L2_Tasa)/12,0)*CD$9</f>
        <v>0</v>
      </c>
      <c r="CE128" s="48" t="n">
        <f aca="false">IF((78-N(P_L2_Mes)+1)&gt;=1,IF((78-N(P_L2_Mes)+1)=1,N(P_L2_Monto),CD$130)*N(P_L2_Tasa)/12,0)*CE$9</f>
        <v>0</v>
      </c>
      <c r="CF128" s="48" t="n">
        <f aca="false">IF((79-N(P_L2_Mes)+1)&gt;=1,IF((79-N(P_L2_Mes)+1)=1,N(P_L2_Monto),CE$130)*N(P_L2_Tasa)/12,0)*CF$9</f>
        <v>0</v>
      </c>
      <c r="CG128" s="48" t="n">
        <f aca="false">IF((80-N(P_L2_Mes)+1)&gt;=1,IF((80-N(P_L2_Mes)+1)=1,N(P_L2_Monto),CF$130)*N(P_L2_Tasa)/12,0)*CG$9</f>
        <v>0</v>
      </c>
      <c r="CH128" s="48" t="n">
        <f aca="false">IF((81-N(P_L2_Mes)+1)&gt;=1,IF((81-N(P_L2_Mes)+1)=1,N(P_L2_Monto),CG$130)*N(P_L2_Tasa)/12,0)*CH$9</f>
        <v>0</v>
      </c>
      <c r="CI128" s="48" t="n">
        <f aca="false">IF((82-N(P_L2_Mes)+1)&gt;=1,IF((82-N(P_L2_Mes)+1)=1,N(P_L2_Monto),CH$130)*N(P_L2_Tasa)/12,0)*CI$9</f>
        <v>0</v>
      </c>
      <c r="CJ128" s="48" t="n">
        <f aca="false">IF((83-N(P_L2_Mes)+1)&gt;=1,IF((83-N(P_L2_Mes)+1)=1,N(P_L2_Monto),CI$130)*N(P_L2_Tasa)/12,0)*CJ$9</f>
        <v>0</v>
      </c>
      <c r="CK128" s="48" t="n">
        <f aca="false">IF((84-N(P_L2_Mes)+1)&gt;=1,IF((84-N(P_L2_Mes)+1)=1,N(P_L2_Monto),CJ$130)*N(P_L2_Tasa)/12,0)*CK$9</f>
        <v>0</v>
      </c>
      <c r="CL128" s="48" t="n">
        <f aca="false">IF((85-N(P_L2_Mes)+1)&gt;=1,IF((85-N(P_L2_Mes)+1)=1,N(P_L2_Monto),CK$130)*N(P_L2_Tasa)/12,0)*CL$9</f>
        <v>0</v>
      </c>
      <c r="CM128" s="48" t="n">
        <f aca="false">IF((86-N(P_L2_Mes)+1)&gt;=1,IF((86-N(P_L2_Mes)+1)=1,N(P_L2_Monto),CL$130)*N(P_L2_Tasa)/12,0)*CM$9</f>
        <v>0</v>
      </c>
      <c r="CN128" s="48" t="n">
        <f aca="false">IF((87-N(P_L2_Mes)+1)&gt;=1,IF((87-N(P_L2_Mes)+1)=1,N(P_L2_Monto),CM$130)*N(P_L2_Tasa)/12,0)*CN$9</f>
        <v>0</v>
      </c>
      <c r="CO128" s="48" t="n">
        <f aca="false">IF((88-N(P_L2_Mes)+1)&gt;=1,IF((88-N(P_L2_Mes)+1)=1,N(P_L2_Monto),CN$130)*N(P_L2_Tasa)/12,0)*CO$9</f>
        <v>0</v>
      </c>
      <c r="CP128" s="48" t="n">
        <f aca="false">IF((89-N(P_L2_Mes)+1)&gt;=1,IF((89-N(P_L2_Mes)+1)=1,N(P_L2_Monto),CO$130)*N(P_L2_Tasa)/12,0)*CP$9</f>
        <v>0</v>
      </c>
      <c r="CQ128" s="48" t="n">
        <f aca="false">IF((90-N(P_L2_Mes)+1)&gt;=1,IF((90-N(P_L2_Mes)+1)=1,N(P_L2_Monto),CP$130)*N(P_L2_Tasa)/12,0)*CQ$9</f>
        <v>0</v>
      </c>
      <c r="CR128" s="48" t="n">
        <f aca="false">IF((91-N(P_L2_Mes)+1)&gt;=1,IF((91-N(P_L2_Mes)+1)=1,N(P_L2_Monto),CQ$130)*N(P_L2_Tasa)/12,0)*CR$9</f>
        <v>0</v>
      </c>
      <c r="CS128" s="48" t="n">
        <f aca="false">IF((92-N(P_L2_Mes)+1)&gt;=1,IF((92-N(P_L2_Mes)+1)=1,N(P_L2_Monto),CR$130)*N(P_L2_Tasa)/12,0)*CS$9</f>
        <v>0</v>
      </c>
      <c r="CT128" s="48" t="n">
        <f aca="false">IF((93-N(P_L2_Mes)+1)&gt;=1,IF((93-N(P_L2_Mes)+1)=1,N(P_L2_Monto),CS$130)*N(P_L2_Tasa)/12,0)*CT$9</f>
        <v>0</v>
      </c>
      <c r="CU128" s="48" t="n">
        <f aca="false">IF((94-N(P_L2_Mes)+1)&gt;=1,IF((94-N(P_L2_Mes)+1)=1,N(P_L2_Monto),CT$130)*N(P_L2_Tasa)/12,0)*CU$9</f>
        <v>0</v>
      </c>
      <c r="CV128" s="48" t="n">
        <f aca="false">IF((95-N(P_L2_Mes)+1)&gt;=1,IF((95-N(P_L2_Mes)+1)=1,N(P_L2_Monto),CU$130)*N(P_L2_Tasa)/12,0)*CV$9</f>
        <v>0</v>
      </c>
      <c r="CW128" s="48" t="n">
        <f aca="false">IF((96-N(P_L2_Mes)+1)&gt;=1,IF((96-N(P_L2_Mes)+1)=1,N(P_L2_Monto),CV$130)*N(P_L2_Tasa)/12,0)*CW$9</f>
        <v>0</v>
      </c>
      <c r="CX128" s="48" t="n">
        <f aca="false">IF((97-N(P_L2_Mes)+1)&gt;=1,IF((97-N(P_L2_Mes)+1)=1,N(P_L2_Monto),CW$130)*N(P_L2_Tasa)/12,0)*CX$9</f>
        <v>0</v>
      </c>
      <c r="CY128" s="48" t="n">
        <f aca="false">IF((98-N(P_L2_Mes)+1)&gt;=1,IF((98-N(P_L2_Mes)+1)=1,N(P_L2_Monto),CX$130)*N(P_L2_Tasa)/12,0)*CY$9</f>
        <v>0</v>
      </c>
      <c r="CZ128" s="48" t="n">
        <f aca="false">IF((99-N(P_L2_Mes)+1)&gt;=1,IF((99-N(P_L2_Mes)+1)=1,N(P_L2_Monto),CY$130)*N(P_L2_Tasa)/12,0)*CZ$9</f>
        <v>0</v>
      </c>
      <c r="DA128" s="48" t="n">
        <f aca="false">IF((100-N(P_L2_Mes)+1)&gt;=1,IF((100-N(P_L2_Mes)+1)=1,N(P_L2_Monto),CZ$130)*N(P_L2_Tasa)/12,0)*DA$9</f>
        <v>0</v>
      </c>
      <c r="DB128" s="48" t="n">
        <f aca="false">IF((101-N(P_L2_Mes)+1)&gt;=1,IF((101-N(P_L2_Mes)+1)=1,N(P_L2_Monto),DA$130)*N(P_L2_Tasa)/12,0)*DB$9</f>
        <v>0</v>
      </c>
      <c r="DC128" s="48" t="n">
        <f aca="false">IF((102-N(P_L2_Mes)+1)&gt;=1,IF((102-N(P_L2_Mes)+1)=1,N(P_L2_Monto),DB$130)*N(P_L2_Tasa)/12,0)*DC$9</f>
        <v>0</v>
      </c>
      <c r="DD128" s="48" t="n">
        <f aca="false">IF((103-N(P_L2_Mes)+1)&gt;=1,IF((103-N(P_L2_Mes)+1)=1,N(P_L2_Monto),DC$130)*N(P_L2_Tasa)/12,0)*DD$9</f>
        <v>0</v>
      </c>
      <c r="DE128" s="48" t="n">
        <f aca="false">IF((104-N(P_L2_Mes)+1)&gt;=1,IF((104-N(P_L2_Mes)+1)=1,N(P_L2_Monto),DD$130)*N(P_L2_Tasa)/12,0)*DE$9</f>
        <v>0</v>
      </c>
      <c r="DF128" s="48" t="n">
        <f aca="false">IF((105-N(P_L2_Mes)+1)&gt;=1,IF((105-N(P_L2_Mes)+1)=1,N(P_L2_Monto),DE$130)*N(P_L2_Tasa)/12,0)*DF$9</f>
        <v>0</v>
      </c>
      <c r="DG128" s="48" t="n">
        <f aca="false">IF((106-N(P_L2_Mes)+1)&gt;=1,IF((106-N(P_L2_Mes)+1)=1,N(P_L2_Monto),DF$130)*N(P_L2_Tasa)/12,0)*DG$9</f>
        <v>0</v>
      </c>
      <c r="DH128" s="48" t="n">
        <f aca="false">IF((107-N(P_L2_Mes)+1)&gt;=1,IF((107-N(P_L2_Mes)+1)=1,N(P_L2_Monto),DG$130)*N(P_L2_Tasa)/12,0)*DH$9</f>
        <v>0</v>
      </c>
      <c r="DI128" s="48" t="n">
        <f aca="false">IF((108-N(P_L2_Mes)+1)&gt;=1,IF((108-N(P_L2_Mes)+1)=1,N(P_L2_Monto),DH$130)*N(P_L2_Tasa)/12,0)*DI$9</f>
        <v>0</v>
      </c>
      <c r="DJ128" s="48" t="n">
        <f aca="false">IF((109-N(P_L2_Mes)+1)&gt;=1,IF((109-N(P_L2_Mes)+1)=1,N(P_L2_Monto),DI$130)*N(P_L2_Tasa)/12,0)*DJ$9</f>
        <v>0</v>
      </c>
      <c r="DK128" s="48" t="n">
        <f aca="false">IF((110-N(P_L2_Mes)+1)&gt;=1,IF((110-N(P_L2_Mes)+1)=1,N(P_L2_Monto),DJ$130)*N(P_L2_Tasa)/12,0)*DK$9</f>
        <v>0</v>
      </c>
      <c r="DL128" s="48" t="n">
        <f aca="false">IF((111-N(P_L2_Mes)+1)&gt;=1,IF((111-N(P_L2_Mes)+1)=1,N(P_L2_Monto),DK$130)*N(P_L2_Tasa)/12,0)*DL$9</f>
        <v>0</v>
      </c>
      <c r="DM128" s="48" t="n">
        <f aca="false">IF((112-N(P_L2_Mes)+1)&gt;=1,IF((112-N(P_L2_Mes)+1)=1,N(P_L2_Monto),DL$130)*N(P_L2_Tasa)/12,0)*DM$9</f>
        <v>0</v>
      </c>
      <c r="DN128" s="48" t="n">
        <f aca="false">IF((113-N(P_L2_Mes)+1)&gt;=1,IF((113-N(P_L2_Mes)+1)=1,N(P_L2_Monto),DM$130)*N(P_L2_Tasa)/12,0)*DN$9</f>
        <v>0</v>
      </c>
      <c r="DO128" s="48" t="n">
        <f aca="false">IF((114-N(P_L2_Mes)+1)&gt;=1,IF((114-N(P_L2_Mes)+1)=1,N(P_L2_Monto),DN$130)*N(P_L2_Tasa)/12,0)*DO$9</f>
        <v>0</v>
      </c>
      <c r="DP128" s="48" t="n">
        <f aca="false">IF((115-N(P_L2_Mes)+1)&gt;=1,IF((115-N(P_L2_Mes)+1)=1,N(P_L2_Monto),DO$130)*N(P_L2_Tasa)/12,0)*DP$9</f>
        <v>0</v>
      </c>
      <c r="DQ128" s="48" t="n">
        <f aca="false">IF((116-N(P_L2_Mes)+1)&gt;=1,IF((116-N(P_L2_Mes)+1)=1,N(P_L2_Monto),DP$130)*N(P_L2_Tasa)/12,0)*DQ$9</f>
        <v>0</v>
      </c>
      <c r="DR128" s="48" t="n">
        <f aca="false">IF((117-N(P_L2_Mes)+1)&gt;=1,IF((117-N(P_L2_Mes)+1)=1,N(P_L2_Monto),DQ$130)*N(P_L2_Tasa)/12,0)*DR$9</f>
        <v>0</v>
      </c>
      <c r="DS128" s="48" t="n">
        <f aca="false">IF((118-N(P_L2_Mes)+1)&gt;=1,IF((118-N(P_L2_Mes)+1)=1,N(P_L2_Monto),DR$130)*N(P_L2_Tasa)/12,0)*DS$9</f>
        <v>0</v>
      </c>
      <c r="DT128" s="48" t="n">
        <f aca="false">IF((119-N(P_L2_Mes)+1)&gt;=1,IF((119-N(P_L2_Mes)+1)=1,N(P_L2_Monto),DS$130)*N(P_L2_Tasa)/12,0)*DT$9</f>
        <v>0</v>
      </c>
      <c r="DU128" s="48" t="n">
        <f aca="false">IF((120-N(P_L2_Mes)+1)&gt;=1,IF((120-N(P_L2_Mes)+1)=1,N(P_L2_Monto),DT$130)*N(P_L2_Tasa)/12,0)*DU$9</f>
        <v>0</v>
      </c>
      <c r="DV128" s="48" t="n">
        <f aca="false">IF((121-N(P_L2_Mes)+1)&gt;=1,IF((121-N(P_L2_Mes)+1)=1,N(P_L2_Monto),DU$130)*N(P_L2_Tasa)/12,0)*DV$9</f>
        <v>0</v>
      </c>
      <c r="DW128" s="48" t="n">
        <f aca="false">IF((122-N(P_L2_Mes)+1)&gt;=1,IF((122-N(P_L2_Mes)+1)=1,N(P_L2_Monto),DV$130)*N(P_L2_Tasa)/12,0)*DW$9</f>
        <v>0</v>
      </c>
      <c r="DX128" s="48" t="n">
        <f aca="false">IF((123-N(P_L2_Mes)+1)&gt;=1,IF((123-N(P_L2_Mes)+1)=1,N(P_L2_Monto),DW$130)*N(P_L2_Tasa)/12,0)*DX$9</f>
        <v>0</v>
      </c>
      <c r="DY128" s="48" t="n">
        <f aca="false">IF((124-N(P_L2_Mes)+1)&gt;=1,IF((124-N(P_L2_Mes)+1)=1,N(P_L2_Monto),DX$130)*N(P_L2_Tasa)/12,0)*DY$9</f>
        <v>0</v>
      </c>
      <c r="DZ128" s="48" t="n">
        <f aca="false">IF((125-N(P_L2_Mes)+1)&gt;=1,IF((125-N(P_L2_Mes)+1)=1,N(P_L2_Monto),DY$130)*N(P_L2_Tasa)/12,0)*DZ$9</f>
        <v>0</v>
      </c>
      <c r="EA128" s="48" t="n">
        <f aca="false">IF((126-N(P_L2_Mes)+1)&gt;=1,IF((126-N(P_L2_Mes)+1)=1,N(P_L2_Monto),DZ$130)*N(P_L2_Tasa)/12,0)*EA$9</f>
        <v>0</v>
      </c>
      <c r="EB128" s="48" t="n">
        <f aca="false">IF((127-N(P_L2_Mes)+1)&gt;=1,IF((127-N(P_L2_Mes)+1)=1,N(P_L2_Monto),EA$130)*N(P_L2_Tasa)/12,0)*EB$9</f>
        <v>0</v>
      </c>
      <c r="EC128" s="48" t="n">
        <f aca="false">IF((128-N(P_L2_Mes)+1)&gt;=1,IF((128-N(P_L2_Mes)+1)=1,N(P_L2_Monto),EB$130)*N(P_L2_Tasa)/12,0)*EC$9</f>
        <v>0</v>
      </c>
      <c r="ED128" s="48" t="n">
        <f aca="false">IF((129-N(P_L2_Mes)+1)&gt;=1,IF((129-N(P_L2_Mes)+1)=1,N(P_L2_Monto),EC$130)*N(P_L2_Tasa)/12,0)*ED$9</f>
        <v>0</v>
      </c>
      <c r="EE128" s="48" t="n">
        <f aca="false">IF((130-N(P_L2_Mes)+1)&gt;=1,IF((130-N(P_L2_Mes)+1)=1,N(P_L2_Monto),ED$130)*N(P_L2_Tasa)/12,0)*EE$9</f>
        <v>0</v>
      </c>
      <c r="EF128" s="48" t="n">
        <f aca="false">IF((131-N(P_L2_Mes)+1)&gt;=1,IF((131-N(P_L2_Mes)+1)=1,N(P_L2_Monto),EE$130)*N(P_L2_Tasa)/12,0)*EF$9</f>
        <v>0</v>
      </c>
      <c r="EG128" s="48" t="n">
        <f aca="false">IF((132-N(P_L2_Mes)+1)&gt;=1,IF((132-N(P_L2_Mes)+1)=1,N(P_L2_Monto),EF$130)*N(P_L2_Tasa)/12,0)*EG$9</f>
        <v>0</v>
      </c>
      <c r="EH128" s="48" t="n">
        <f aca="false">IF((133-N(P_L2_Mes)+1)&gt;=1,IF((133-N(P_L2_Mes)+1)=1,N(P_L2_Monto),EG$130)*N(P_L2_Tasa)/12,0)*EH$9</f>
        <v>0</v>
      </c>
      <c r="EI128" s="48" t="n">
        <f aca="false">IF((134-N(P_L2_Mes)+1)&gt;=1,IF((134-N(P_L2_Mes)+1)=1,N(P_L2_Monto),EH$130)*N(P_L2_Tasa)/12,0)*EI$9</f>
        <v>0</v>
      </c>
      <c r="EJ128" s="48" t="n">
        <f aca="false">IF((135-N(P_L2_Mes)+1)&gt;=1,IF((135-N(P_L2_Mes)+1)=1,N(P_L2_Monto),EI$130)*N(P_L2_Tasa)/12,0)*EJ$9</f>
        <v>0</v>
      </c>
      <c r="EK128" s="48" t="n">
        <f aca="false">IF((136-N(P_L2_Mes)+1)&gt;=1,IF((136-N(P_L2_Mes)+1)=1,N(P_L2_Monto),EJ$130)*N(P_L2_Tasa)/12,0)*EK$9</f>
        <v>0</v>
      </c>
      <c r="EL128" s="48" t="n">
        <f aca="false">IF((137-N(P_L2_Mes)+1)&gt;=1,IF((137-N(P_L2_Mes)+1)=1,N(P_L2_Monto),EK$130)*N(P_L2_Tasa)/12,0)*EL$9</f>
        <v>0</v>
      </c>
      <c r="EM128" s="48" t="n">
        <f aca="false">IF((138-N(P_L2_Mes)+1)&gt;=1,IF((138-N(P_L2_Mes)+1)=1,N(P_L2_Monto),EL$130)*N(P_L2_Tasa)/12,0)*EM$9</f>
        <v>0</v>
      </c>
      <c r="EN128" s="48" t="n">
        <f aca="false">IF((139-N(P_L2_Mes)+1)&gt;=1,IF((139-N(P_L2_Mes)+1)=1,N(P_L2_Monto),EM$130)*N(P_L2_Tasa)/12,0)*EN$9</f>
        <v>0</v>
      </c>
      <c r="EO128" s="48" t="n">
        <f aca="false">IF((140-N(P_L2_Mes)+1)&gt;=1,IF((140-N(P_L2_Mes)+1)=1,N(P_L2_Monto),EN$130)*N(P_L2_Tasa)/12,0)*EO$9</f>
        <v>0</v>
      </c>
      <c r="EP128" s="48" t="n">
        <f aca="false">IF((141-N(P_L2_Mes)+1)&gt;=1,IF((141-N(P_L2_Mes)+1)=1,N(P_L2_Monto),EO$130)*N(P_L2_Tasa)/12,0)*EP$9</f>
        <v>0</v>
      </c>
      <c r="EQ128" s="48" t="n">
        <f aca="false">IF((142-N(P_L2_Mes)+1)&gt;=1,IF((142-N(P_L2_Mes)+1)=1,N(P_L2_Monto),EP$130)*N(P_L2_Tasa)/12,0)*EQ$9</f>
        <v>0</v>
      </c>
      <c r="ER128" s="48" t="n">
        <f aca="false">IF((143-N(P_L2_Mes)+1)&gt;=1,IF((143-N(P_L2_Mes)+1)=1,N(P_L2_Monto),EQ$130)*N(P_L2_Tasa)/12,0)*ER$9</f>
        <v>0</v>
      </c>
      <c r="ES128" s="48" t="n">
        <f aca="false">IF((144-N(P_L2_Mes)+1)&gt;=1,IF((144-N(P_L2_Mes)+1)=1,N(P_L2_Monto),ER$130)*N(P_L2_Tasa)/12,0)*ES$9</f>
        <v>0</v>
      </c>
    </row>
    <row r="129" customFormat="false" ht="15" hidden="false" customHeight="false" outlineLevel="0" collapsed="false">
      <c r="A129" s="11" t="s">
        <v>1222</v>
      </c>
      <c r="B129" s="15" t="s">
        <v>1223</v>
      </c>
      <c r="C129" s="15" t="s">
        <v>508</v>
      </c>
      <c r="E129" s="54" t="n">
        <f aca="false">SUM(F129:ES129)</f>
        <v>0</v>
      </c>
      <c r="F129" s="48" t="n">
        <f aca="false">IF(AND((1-N(P_L2_Mes)+1)&gt;N(P_L2_Gracia),(1-N(P_L2_Mes)+1)&lt;=N(P_L2_Gracia)+N(P_L2_Cuotas),N(P_L2_Cuotas)&gt;0),IF((1-N(P_L2_Mes)+1)=N(P_L2_Gracia)+N(P_L2_Cuotas),IF((1-N(P_L2_Mes)+1)=1,N(P_L2_Monto),0),PMT(N(P_L2_Tasa)/12,N(P_L2_Cuotas),-N(P_L2_Monto))-F$128),0)*F$9</f>
        <v>0</v>
      </c>
      <c r="G129" s="48" t="n">
        <f aca="false">IF(AND((2-N(P_L2_Mes)+1)&gt;N(P_L2_Gracia),(2-N(P_L2_Mes)+1)&lt;=N(P_L2_Gracia)+N(P_L2_Cuotas),N(P_L2_Cuotas)&gt;0),IF((2-N(P_L2_Mes)+1)=N(P_L2_Gracia)+N(P_L2_Cuotas),IF((2-N(P_L2_Mes)+1)=1,N(P_L2_Monto),F$130),PMT(N(P_L2_Tasa)/12,N(P_L2_Cuotas),-N(P_L2_Monto))-G$128),0)*G$9</f>
        <v>0</v>
      </c>
      <c r="H129" s="48" t="n">
        <f aca="false">IF(AND((3-N(P_L2_Mes)+1)&gt;N(P_L2_Gracia),(3-N(P_L2_Mes)+1)&lt;=N(P_L2_Gracia)+N(P_L2_Cuotas),N(P_L2_Cuotas)&gt;0),IF((3-N(P_L2_Mes)+1)=N(P_L2_Gracia)+N(P_L2_Cuotas),IF((3-N(P_L2_Mes)+1)=1,N(P_L2_Monto),G$130),PMT(N(P_L2_Tasa)/12,N(P_L2_Cuotas),-N(P_L2_Monto))-H$128),0)*H$9</f>
        <v>0</v>
      </c>
      <c r="I129" s="48" t="n">
        <f aca="false">IF(AND((4-N(P_L2_Mes)+1)&gt;N(P_L2_Gracia),(4-N(P_L2_Mes)+1)&lt;=N(P_L2_Gracia)+N(P_L2_Cuotas),N(P_L2_Cuotas)&gt;0),IF((4-N(P_L2_Mes)+1)=N(P_L2_Gracia)+N(P_L2_Cuotas),IF((4-N(P_L2_Mes)+1)=1,N(P_L2_Monto),H$130),PMT(N(P_L2_Tasa)/12,N(P_L2_Cuotas),-N(P_L2_Monto))-I$128),0)*I$9</f>
        <v>0</v>
      </c>
      <c r="J129" s="48" t="n">
        <f aca="false">IF(AND((5-N(P_L2_Mes)+1)&gt;N(P_L2_Gracia),(5-N(P_L2_Mes)+1)&lt;=N(P_L2_Gracia)+N(P_L2_Cuotas),N(P_L2_Cuotas)&gt;0),IF((5-N(P_L2_Mes)+1)=N(P_L2_Gracia)+N(P_L2_Cuotas),IF((5-N(P_L2_Mes)+1)=1,N(P_L2_Monto),I$130),PMT(N(P_L2_Tasa)/12,N(P_L2_Cuotas),-N(P_L2_Monto))-J$128),0)*J$9</f>
        <v>0</v>
      </c>
      <c r="K129" s="48" t="n">
        <f aca="false">IF(AND((6-N(P_L2_Mes)+1)&gt;N(P_L2_Gracia),(6-N(P_L2_Mes)+1)&lt;=N(P_L2_Gracia)+N(P_L2_Cuotas),N(P_L2_Cuotas)&gt;0),IF((6-N(P_L2_Mes)+1)=N(P_L2_Gracia)+N(P_L2_Cuotas),IF((6-N(P_L2_Mes)+1)=1,N(P_L2_Monto),J$130),PMT(N(P_L2_Tasa)/12,N(P_L2_Cuotas),-N(P_L2_Monto))-K$128),0)*K$9</f>
        <v>0</v>
      </c>
      <c r="L129" s="48" t="n">
        <f aca="false">IF(AND((7-N(P_L2_Mes)+1)&gt;N(P_L2_Gracia),(7-N(P_L2_Mes)+1)&lt;=N(P_L2_Gracia)+N(P_L2_Cuotas),N(P_L2_Cuotas)&gt;0),IF((7-N(P_L2_Mes)+1)=N(P_L2_Gracia)+N(P_L2_Cuotas),IF((7-N(P_L2_Mes)+1)=1,N(P_L2_Monto),K$130),PMT(N(P_L2_Tasa)/12,N(P_L2_Cuotas),-N(P_L2_Monto))-L$128),0)*L$9</f>
        <v>0</v>
      </c>
      <c r="M129" s="48" t="n">
        <f aca="false">IF(AND((8-N(P_L2_Mes)+1)&gt;N(P_L2_Gracia),(8-N(P_L2_Mes)+1)&lt;=N(P_L2_Gracia)+N(P_L2_Cuotas),N(P_L2_Cuotas)&gt;0),IF((8-N(P_L2_Mes)+1)=N(P_L2_Gracia)+N(P_L2_Cuotas),IF((8-N(P_L2_Mes)+1)=1,N(P_L2_Monto),L$130),PMT(N(P_L2_Tasa)/12,N(P_L2_Cuotas),-N(P_L2_Monto))-M$128),0)*M$9</f>
        <v>0</v>
      </c>
      <c r="N129" s="48" t="n">
        <f aca="false">IF(AND((9-N(P_L2_Mes)+1)&gt;N(P_L2_Gracia),(9-N(P_L2_Mes)+1)&lt;=N(P_L2_Gracia)+N(P_L2_Cuotas),N(P_L2_Cuotas)&gt;0),IF((9-N(P_L2_Mes)+1)=N(P_L2_Gracia)+N(P_L2_Cuotas),IF((9-N(P_L2_Mes)+1)=1,N(P_L2_Monto),M$130),PMT(N(P_L2_Tasa)/12,N(P_L2_Cuotas),-N(P_L2_Monto))-N$128),0)*N$9</f>
        <v>0</v>
      </c>
      <c r="O129" s="48" t="n">
        <f aca="false">IF(AND((10-N(P_L2_Mes)+1)&gt;N(P_L2_Gracia),(10-N(P_L2_Mes)+1)&lt;=N(P_L2_Gracia)+N(P_L2_Cuotas),N(P_L2_Cuotas)&gt;0),IF((10-N(P_L2_Mes)+1)=N(P_L2_Gracia)+N(P_L2_Cuotas),IF((10-N(P_L2_Mes)+1)=1,N(P_L2_Monto),N$130),PMT(N(P_L2_Tasa)/12,N(P_L2_Cuotas),-N(P_L2_Monto))-O$128),0)*O$9</f>
        <v>0</v>
      </c>
      <c r="P129" s="48" t="n">
        <f aca="false">IF(AND((11-N(P_L2_Mes)+1)&gt;N(P_L2_Gracia),(11-N(P_L2_Mes)+1)&lt;=N(P_L2_Gracia)+N(P_L2_Cuotas),N(P_L2_Cuotas)&gt;0),IF((11-N(P_L2_Mes)+1)=N(P_L2_Gracia)+N(P_L2_Cuotas),IF((11-N(P_L2_Mes)+1)=1,N(P_L2_Monto),O$130),PMT(N(P_L2_Tasa)/12,N(P_L2_Cuotas),-N(P_L2_Monto))-P$128),0)*P$9</f>
        <v>0</v>
      </c>
      <c r="Q129" s="48" t="n">
        <f aca="false">IF(AND((12-N(P_L2_Mes)+1)&gt;N(P_L2_Gracia),(12-N(P_L2_Mes)+1)&lt;=N(P_L2_Gracia)+N(P_L2_Cuotas),N(P_L2_Cuotas)&gt;0),IF((12-N(P_L2_Mes)+1)=N(P_L2_Gracia)+N(P_L2_Cuotas),IF((12-N(P_L2_Mes)+1)=1,N(P_L2_Monto),P$130),PMT(N(P_L2_Tasa)/12,N(P_L2_Cuotas),-N(P_L2_Monto))-Q$128),0)*Q$9</f>
        <v>0</v>
      </c>
      <c r="R129" s="48" t="n">
        <f aca="false">IF(AND((13-N(P_L2_Mes)+1)&gt;N(P_L2_Gracia),(13-N(P_L2_Mes)+1)&lt;=N(P_L2_Gracia)+N(P_L2_Cuotas),N(P_L2_Cuotas)&gt;0),IF((13-N(P_L2_Mes)+1)=N(P_L2_Gracia)+N(P_L2_Cuotas),IF((13-N(P_L2_Mes)+1)=1,N(P_L2_Monto),Q$130),PMT(N(P_L2_Tasa)/12,N(P_L2_Cuotas),-N(P_L2_Monto))-R$128),0)*R$9</f>
        <v>0</v>
      </c>
      <c r="S129" s="48" t="n">
        <f aca="false">IF(AND((14-N(P_L2_Mes)+1)&gt;N(P_L2_Gracia),(14-N(P_L2_Mes)+1)&lt;=N(P_L2_Gracia)+N(P_L2_Cuotas),N(P_L2_Cuotas)&gt;0),IF((14-N(P_L2_Mes)+1)=N(P_L2_Gracia)+N(P_L2_Cuotas),IF((14-N(P_L2_Mes)+1)=1,N(P_L2_Monto),R$130),PMT(N(P_L2_Tasa)/12,N(P_L2_Cuotas),-N(P_L2_Monto))-S$128),0)*S$9</f>
        <v>0</v>
      </c>
      <c r="T129" s="48" t="n">
        <f aca="false">IF(AND((15-N(P_L2_Mes)+1)&gt;N(P_L2_Gracia),(15-N(P_L2_Mes)+1)&lt;=N(P_L2_Gracia)+N(P_L2_Cuotas),N(P_L2_Cuotas)&gt;0),IF((15-N(P_L2_Mes)+1)=N(P_L2_Gracia)+N(P_L2_Cuotas),IF((15-N(P_L2_Mes)+1)=1,N(P_L2_Monto),S$130),PMT(N(P_L2_Tasa)/12,N(P_L2_Cuotas),-N(P_L2_Monto))-T$128),0)*T$9</f>
        <v>0</v>
      </c>
      <c r="U129" s="48" t="n">
        <f aca="false">IF(AND((16-N(P_L2_Mes)+1)&gt;N(P_L2_Gracia),(16-N(P_L2_Mes)+1)&lt;=N(P_L2_Gracia)+N(P_L2_Cuotas),N(P_L2_Cuotas)&gt;0),IF((16-N(P_L2_Mes)+1)=N(P_L2_Gracia)+N(P_L2_Cuotas),IF((16-N(P_L2_Mes)+1)=1,N(P_L2_Monto),T$130),PMT(N(P_L2_Tasa)/12,N(P_L2_Cuotas),-N(P_L2_Monto))-U$128),0)*U$9</f>
        <v>0</v>
      </c>
      <c r="V129" s="48" t="n">
        <f aca="false">IF(AND((17-N(P_L2_Mes)+1)&gt;N(P_L2_Gracia),(17-N(P_L2_Mes)+1)&lt;=N(P_L2_Gracia)+N(P_L2_Cuotas),N(P_L2_Cuotas)&gt;0),IF((17-N(P_L2_Mes)+1)=N(P_L2_Gracia)+N(P_L2_Cuotas),IF((17-N(P_L2_Mes)+1)=1,N(P_L2_Monto),U$130),PMT(N(P_L2_Tasa)/12,N(P_L2_Cuotas),-N(P_L2_Monto))-V$128),0)*V$9</f>
        <v>0</v>
      </c>
      <c r="W129" s="48" t="n">
        <f aca="false">IF(AND((18-N(P_L2_Mes)+1)&gt;N(P_L2_Gracia),(18-N(P_L2_Mes)+1)&lt;=N(P_L2_Gracia)+N(P_L2_Cuotas),N(P_L2_Cuotas)&gt;0),IF((18-N(P_L2_Mes)+1)=N(P_L2_Gracia)+N(P_L2_Cuotas),IF((18-N(P_L2_Mes)+1)=1,N(P_L2_Monto),V$130),PMT(N(P_L2_Tasa)/12,N(P_L2_Cuotas),-N(P_L2_Monto))-W$128),0)*W$9</f>
        <v>0</v>
      </c>
      <c r="X129" s="48" t="n">
        <f aca="false">IF(AND((19-N(P_L2_Mes)+1)&gt;N(P_L2_Gracia),(19-N(P_L2_Mes)+1)&lt;=N(P_L2_Gracia)+N(P_L2_Cuotas),N(P_L2_Cuotas)&gt;0),IF((19-N(P_L2_Mes)+1)=N(P_L2_Gracia)+N(P_L2_Cuotas),IF((19-N(P_L2_Mes)+1)=1,N(P_L2_Monto),W$130),PMT(N(P_L2_Tasa)/12,N(P_L2_Cuotas),-N(P_L2_Monto))-X$128),0)*X$9</f>
        <v>0</v>
      </c>
      <c r="Y129" s="48" t="n">
        <f aca="false">IF(AND((20-N(P_L2_Mes)+1)&gt;N(P_L2_Gracia),(20-N(P_L2_Mes)+1)&lt;=N(P_L2_Gracia)+N(P_L2_Cuotas),N(P_L2_Cuotas)&gt;0),IF((20-N(P_L2_Mes)+1)=N(P_L2_Gracia)+N(P_L2_Cuotas),IF((20-N(P_L2_Mes)+1)=1,N(P_L2_Monto),X$130),PMT(N(P_L2_Tasa)/12,N(P_L2_Cuotas),-N(P_L2_Monto))-Y$128),0)*Y$9</f>
        <v>0</v>
      </c>
      <c r="Z129" s="48" t="n">
        <f aca="false">IF(AND((21-N(P_L2_Mes)+1)&gt;N(P_L2_Gracia),(21-N(P_L2_Mes)+1)&lt;=N(P_L2_Gracia)+N(P_L2_Cuotas),N(P_L2_Cuotas)&gt;0),IF((21-N(P_L2_Mes)+1)=N(P_L2_Gracia)+N(P_L2_Cuotas),IF((21-N(P_L2_Mes)+1)=1,N(P_L2_Monto),Y$130),PMT(N(P_L2_Tasa)/12,N(P_L2_Cuotas),-N(P_L2_Monto))-Z$128),0)*Z$9</f>
        <v>0</v>
      </c>
      <c r="AA129" s="48" t="n">
        <f aca="false">IF(AND((22-N(P_L2_Mes)+1)&gt;N(P_L2_Gracia),(22-N(P_L2_Mes)+1)&lt;=N(P_L2_Gracia)+N(P_L2_Cuotas),N(P_L2_Cuotas)&gt;0),IF((22-N(P_L2_Mes)+1)=N(P_L2_Gracia)+N(P_L2_Cuotas),IF((22-N(P_L2_Mes)+1)=1,N(P_L2_Monto),Z$130),PMT(N(P_L2_Tasa)/12,N(P_L2_Cuotas),-N(P_L2_Monto))-AA$128),0)*AA$9</f>
        <v>0</v>
      </c>
      <c r="AB129" s="48" t="n">
        <f aca="false">IF(AND((23-N(P_L2_Mes)+1)&gt;N(P_L2_Gracia),(23-N(P_L2_Mes)+1)&lt;=N(P_L2_Gracia)+N(P_L2_Cuotas),N(P_L2_Cuotas)&gt;0),IF((23-N(P_L2_Mes)+1)=N(P_L2_Gracia)+N(P_L2_Cuotas),IF((23-N(P_L2_Mes)+1)=1,N(P_L2_Monto),AA$130),PMT(N(P_L2_Tasa)/12,N(P_L2_Cuotas),-N(P_L2_Monto))-AB$128),0)*AB$9</f>
        <v>0</v>
      </c>
      <c r="AC129" s="48" t="n">
        <f aca="false">IF(AND((24-N(P_L2_Mes)+1)&gt;N(P_L2_Gracia),(24-N(P_L2_Mes)+1)&lt;=N(P_L2_Gracia)+N(P_L2_Cuotas),N(P_L2_Cuotas)&gt;0),IF((24-N(P_L2_Mes)+1)=N(P_L2_Gracia)+N(P_L2_Cuotas),IF((24-N(P_L2_Mes)+1)=1,N(P_L2_Monto),AB$130),PMT(N(P_L2_Tasa)/12,N(P_L2_Cuotas),-N(P_L2_Monto))-AC$128),0)*AC$9</f>
        <v>0</v>
      </c>
      <c r="AD129" s="48" t="n">
        <f aca="false">IF(AND((25-N(P_L2_Mes)+1)&gt;N(P_L2_Gracia),(25-N(P_L2_Mes)+1)&lt;=N(P_L2_Gracia)+N(P_L2_Cuotas),N(P_L2_Cuotas)&gt;0),IF((25-N(P_L2_Mes)+1)=N(P_L2_Gracia)+N(P_L2_Cuotas),IF((25-N(P_L2_Mes)+1)=1,N(P_L2_Monto),AC$130),PMT(N(P_L2_Tasa)/12,N(P_L2_Cuotas),-N(P_L2_Monto))-AD$128),0)*AD$9</f>
        <v>0</v>
      </c>
      <c r="AE129" s="48" t="n">
        <f aca="false">IF(AND((26-N(P_L2_Mes)+1)&gt;N(P_L2_Gracia),(26-N(P_L2_Mes)+1)&lt;=N(P_L2_Gracia)+N(P_L2_Cuotas),N(P_L2_Cuotas)&gt;0),IF((26-N(P_L2_Mes)+1)=N(P_L2_Gracia)+N(P_L2_Cuotas),IF((26-N(P_L2_Mes)+1)=1,N(P_L2_Monto),AD$130),PMT(N(P_L2_Tasa)/12,N(P_L2_Cuotas),-N(P_L2_Monto))-AE$128),0)*AE$9</f>
        <v>0</v>
      </c>
      <c r="AF129" s="48" t="n">
        <f aca="false">IF(AND((27-N(P_L2_Mes)+1)&gt;N(P_L2_Gracia),(27-N(P_L2_Mes)+1)&lt;=N(P_L2_Gracia)+N(P_L2_Cuotas),N(P_L2_Cuotas)&gt;0),IF((27-N(P_L2_Mes)+1)=N(P_L2_Gracia)+N(P_L2_Cuotas),IF((27-N(P_L2_Mes)+1)=1,N(P_L2_Monto),AE$130),PMT(N(P_L2_Tasa)/12,N(P_L2_Cuotas),-N(P_L2_Monto))-AF$128),0)*AF$9</f>
        <v>0</v>
      </c>
      <c r="AG129" s="48" t="n">
        <f aca="false">IF(AND((28-N(P_L2_Mes)+1)&gt;N(P_L2_Gracia),(28-N(P_L2_Mes)+1)&lt;=N(P_L2_Gracia)+N(P_L2_Cuotas),N(P_L2_Cuotas)&gt;0),IF((28-N(P_L2_Mes)+1)=N(P_L2_Gracia)+N(P_L2_Cuotas),IF((28-N(P_L2_Mes)+1)=1,N(P_L2_Monto),AF$130),PMT(N(P_L2_Tasa)/12,N(P_L2_Cuotas),-N(P_L2_Monto))-AG$128),0)*AG$9</f>
        <v>0</v>
      </c>
      <c r="AH129" s="48" t="n">
        <f aca="false">IF(AND((29-N(P_L2_Mes)+1)&gt;N(P_L2_Gracia),(29-N(P_L2_Mes)+1)&lt;=N(P_L2_Gracia)+N(P_L2_Cuotas),N(P_L2_Cuotas)&gt;0),IF((29-N(P_L2_Mes)+1)=N(P_L2_Gracia)+N(P_L2_Cuotas),IF((29-N(P_L2_Mes)+1)=1,N(P_L2_Monto),AG$130),PMT(N(P_L2_Tasa)/12,N(P_L2_Cuotas),-N(P_L2_Monto))-AH$128),0)*AH$9</f>
        <v>0</v>
      </c>
      <c r="AI129" s="48" t="n">
        <f aca="false">IF(AND((30-N(P_L2_Mes)+1)&gt;N(P_L2_Gracia),(30-N(P_L2_Mes)+1)&lt;=N(P_L2_Gracia)+N(P_L2_Cuotas),N(P_L2_Cuotas)&gt;0),IF((30-N(P_L2_Mes)+1)=N(P_L2_Gracia)+N(P_L2_Cuotas),IF((30-N(P_L2_Mes)+1)=1,N(P_L2_Monto),AH$130),PMT(N(P_L2_Tasa)/12,N(P_L2_Cuotas),-N(P_L2_Monto))-AI$128),0)*AI$9</f>
        <v>0</v>
      </c>
      <c r="AJ129" s="48" t="n">
        <f aca="false">IF(AND((31-N(P_L2_Mes)+1)&gt;N(P_L2_Gracia),(31-N(P_L2_Mes)+1)&lt;=N(P_L2_Gracia)+N(P_L2_Cuotas),N(P_L2_Cuotas)&gt;0),IF((31-N(P_L2_Mes)+1)=N(P_L2_Gracia)+N(P_L2_Cuotas),IF((31-N(P_L2_Mes)+1)=1,N(P_L2_Monto),AI$130),PMT(N(P_L2_Tasa)/12,N(P_L2_Cuotas),-N(P_L2_Monto))-AJ$128),0)*AJ$9</f>
        <v>0</v>
      </c>
      <c r="AK129" s="48" t="n">
        <f aca="false">IF(AND((32-N(P_L2_Mes)+1)&gt;N(P_L2_Gracia),(32-N(P_L2_Mes)+1)&lt;=N(P_L2_Gracia)+N(P_L2_Cuotas),N(P_L2_Cuotas)&gt;0),IF((32-N(P_L2_Mes)+1)=N(P_L2_Gracia)+N(P_L2_Cuotas),IF((32-N(P_L2_Mes)+1)=1,N(P_L2_Monto),AJ$130),PMT(N(P_L2_Tasa)/12,N(P_L2_Cuotas),-N(P_L2_Monto))-AK$128),0)*AK$9</f>
        <v>0</v>
      </c>
      <c r="AL129" s="48" t="n">
        <f aca="false">IF(AND((33-N(P_L2_Mes)+1)&gt;N(P_L2_Gracia),(33-N(P_L2_Mes)+1)&lt;=N(P_L2_Gracia)+N(P_L2_Cuotas),N(P_L2_Cuotas)&gt;0),IF((33-N(P_L2_Mes)+1)=N(P_L2_Gracia)+N(P_L2_Cuotas),IF((33-N(P_L2_Mes)+1)=1,N(P_L2_Monto),AK$130),PMT(N(P_L2_Tasa)/12,N(P_L2_Cuotas),-N(P_L2_Monto))-AL$128),0)*AL$9</f>
        <v>0</v>
      </c>
      <c r="AM129" s="48" t="n">
        <f aca="false">IF(AND((34-N(P_L2_Mes)+1)&gt;N(P_L2_Gracia),(34-N(P_L2_Mes)+1)&lt;=N(P_L2_Gracia)+N(P_L2_Cuotas),N(P_L2_Cuotas)&gt;0),IF((34-N(P_L2_Mes)+1)=N(P_L2_Gracia)+N(P_L2_Cuotas),IF((34-N(P_L2_Mes)+1)=1,N(P_L2_Monto),AL$130),PMT(N(P_L2_Tasa)/12,N(P_L2_Cuotas),-N(P_L2_Monto))-AM$128),0)*AM$9</f>
        <v>0</v>
      </c>
      <c r="AN129" s="48" t="n">
        <f aca="false">IF(AND((35-N(P_L2_Mes)+1)&gt;N(P_L2_Gracia),(35-N(P_L2_Mes)+1)&lt;=N(P_L2_Gracia)+N(P_L2_Cuotas),N(P_L2_Cuotas)&gt;0),IF((35-N(P_L2_Mes)+1)=N(P_L2_Gracia)+N(P_L2_Cuotas),IF((35-N(P_L2_Mes)+1)=1,N(P_L2_Monto),AM$130),PMT(N(P_L2_Tasa)/12,N(P_L2_Cuotas),-N(P_L2_Monto))-AN$128),0)*AN$9</f>
        <v>0</v>
      </c>
      <c r="AO129" s="48" t="n">
        <f aca="false">IF(AND((36-N(P_L2_Mes)+1)&gt;N(P_L2_Gracia),(36-N(P_L2_Mes)+1)&lt;=N(P_L2_Gracia)+N(P_L2_Cuotas),N(P_L2_Cuotas)&gt;0),IF((36-N(P_L2_Mes)+1)=N(P_L2_Gracia)+N(P_L2_Cuotas),IF((36-N(P_L2_Mes)+1)=1,N(P_L2_Monto),AN$130),PMT(N(P_L2_Tasa)/12,N(P_L2_Cuotas),-N(P_L2_Monto))-AO$128),0)*AO$9</f>
        <v>0</v>
      </c>
      <c r="AP129" s="48" t="n">
        <f aca="false">IF(AND((37-N(P_L2_Mes)+1)&gt;N(P_L2_Gracia),(37-N(P_L2_Mes)+1)&lt;=N(P_L2_Gracia)+N(P_L2_Cuotas),N(P_L2_Cuotas)&gt;0),IF((37-N(P_L2_Mes)+1)=N(P_L2_Gracia)+N(P_L2_Cuotas),IF((37-N(P_L2_Mes)+1)=1,N(P_L2_Monto),AO$130),PMT(N(P_L2_Tasa)/12,N(P_L2_Cuotas),-N(P_L2_Monto))-AP$128),0)*AP$9</f>
        <v>0</v>
      </c>
      <c r="AQ129" s="48" t="n">
        <f aca="false">IF(AND((38-N(P_L2_Mes)+1)&gt;N(P_L2_Gracia),(38-N(P_L2_Mes)+1)&lt;=N(P_L2_Gracia)+N(P_L2_Cuotas),N(P_L2_Cuotas)&gt;0),IF((38-N(P_L2_Mes)+1)=N(P_L2_Gracia)+N(P_L2_Cuotas),IF((38-N(P_L2_Mes)+1)=1,N(P_L2_Monto),AP$130),PMT(N(P_L2_Tasa)/12,N(P_L2_Cuotas),-N(P_L2_Monto))-AQ$128),0)*AQ$9</f>
        <v>0</v>
      </c>
      <c r="AR129" s="48" t="n">
        <f aca="false">IF(AND((39-N(P_L2_Mes)+1)&gt;N(P_L2_Gracia),(39-N(P_L2_Mes)+1)&lt;=N(P_L2_Gracia)+N(P_L2_Cuotas),N(P_L2_Cuotas)&gt;0),IF((39-N(P_L2_Mes)+1)=N(P_L2_Gracia)+N(P_L2_Cuotas),IF((39-N(P_L2_Mes)+1)=1,N(P_L2_Monto),AQ$130),PMT(N(P_L2_Tasa)/12,N(P_L2_Cuotas),-N(P_L2_Monto))-AR$128),0)*AR$9</f>
        <v>0</v>
      </c>
      <c r="AS129" s="48" t="n">
        <f aca="false">IF(AND((40-N(P_L2_Mes)+1)&gt;N(P_L2_Gracia),(40-N(P_L2_Mes)+1)&lt;=N(P_L2_Gracia)+N(P_L2_Cuotas),N(P_L2_Cuotas)&gt;0),IF((40-N(P_L2_Mes)+1)=N(P_L2_Gracia)+N(P_L2_Cuotas),IF((40-N(P_L2_Mes)+1)=1,N(P_L2_Monto),AR$130),PMT(N(P_L2_Tasa)/12,N(P_L2_Cuotas),-N(P_L2_Monto))-AS$128),0)*AS$9</f>
        <v>0</v>
      </c>
      <c r="AT129" s="48" t="n">
        <f aca="false">IF(AND((41-N(P_L2_Mes)+1)&gt;N(P_L2_Gracia),(41-N(P_L2_Mes)+1)&lt;=N(P_L2_Gracia)+N(P_L2_Cuotas),N(P_L2_Cuotas)&gt;0),IF((41-N(P_L2_Mes)+1)=N(P_L2_Gracia)+N(P_L2_Cuotas),IF((41-N(P_L2_Mes)+1)=1,N(P_L2_Monto),AS$130),PMT(N(P_L2_Tasa)/12,N(P_L2_Cuotas),-N(P_L2_Monto))-AT$128),0)*AT$9</f>
        <v>0</v>
      </c>
      <c r="AU129" s="48" t="n">
        <f aca="false">IF(AND((42-N(P_L2_Mes)+1)&gt;N(P_L2_Gracia),(42-N(P_L2_Mes)+1)&lt;=N(P_L2_Gracia)+N(P_L2_Cuotas),N(P_L2_Cuotas)&gt;0),IF((42-N(P_L2_Mes)+1)=N(P_L2_Gracia)+N(P_L2_Cuotas),IF((42-N(P_L2_Mes)+1)=1,N(P_L2_Monto),AT$130),PMT(N(P_L2_Tasa)/12,N(P_L2_Cuotas),-N(P_L2_Monto))-AU$128),0)*AU$9</f>
        <v>0</v>
      </c>
      <c r="AV129" s="48" t="n">
        <f aca="false">IF(AND((43-N(P_L2_Mes)+1)&gt;N(P_L2_Gracia),(43-N(P_L2_Mes)+1)&lt;=N(P_L2_Gracia)+N(P_L2_Cuotas),N(P_L2_Cuotas)&gt;0),IF((43-N(P_L2_Mes)+1)=N(P_L2_Gracia)+N(P_L2_Cuotas),IF((43-N(P_L2_Mes)+1)=1,N(P_L2_Monto),AU$130),PMT(N(P_L2_Tasa)/12,N(P_L2_Cuotas),-N(P_L2_Monto))-AV$128),0)*AV$9</f>
        <v>0</v>
      </c>
      <c r="AW129" s="48" t="n">
        <f aca="false">IF(AND((44-N(P_L2_Mes)+1)&gt;N(P_L2_Gracia),(44-N(P_L2_Mes)+1)&lt;=N(P_L2_Gracia)+N(P_L2_Cuotas),N(P_L2_Cuotas)&gt;0),IF((44-N(P_L2_Mes)+1)=N(P_L2_Gracia)+N(P_L2_Cuotas),IF((44-N(P_L2_Mes)+1)=1,N(P_L2_Monto),AV$130),PMT(N(P_L2_Tasa)/12,N(P_L2_Cuotas),-N(P_L2_Monto))-AW$128),0)*AW$9</f>
        <v>0</v>
      </c>
      <c r="AX129" s="48" t="n">
        <f aca="false">IF(AND((45-N(P_L2_Mes)+1)&gt;N(P_L2_Gracia),(45-N(P_L2_Mes)+1)&lt;=N(P_L2_Gracia)+N(P_L2_Cuotas),N(P_L2_Cuotas)&gt;0),IF((45-N(P_L2_Mes)+1)=N(P_L2_Gracia)+N(P_L2_Cuotas),IF((45-N(P_L2_Mes)+1)=1,N(P_L2_Monto),AW$130),PMT(N(P_L2_Tasa)/12,N(P_L2_Cuotas),-N(P_L2_Monto))-AX$128),0)*AX$9</f>
        <v>0</v>
      </c>
      <c r="AY129" s="48" t="n">
        <f aca="false">IF(AND((46-N(P_L2_Mes)+1)&gt;N(P_L2_Gracia),(46-N(P_L2_Mes)+1)&lt;=N(P_L2_Gracia)+N(P_L2_Cuotas),N(P_L2_Cuotas)&gt;0),IF((46-N(P_L2_Mes)+1)=N(P_L2_Gracia)+N(P_L2_Cuotas),IF((46-N(P_L2_Mes)+1)=1,N(P_L2_Monto),AX$130),PMT(N(P_L2_Tasa)/12,N(P_L2_Cuotas),-N(P_L2_Monto))-AY$128),0)*AY$9</f>
        <v>0</v>
      </c>
      <c r="AZ129" s="48" t="n">
        <f aca="false">IF(AND((47-N(P_L2_Mes)+1)&gt;N(P_L2_Gracia),(47-N(P_L2_Mes)+1)&lt;=N(P_L2_Gracia)+N(P_L2_Cuotas),N(P_L2_Cuotas)&gt;0),IF((47-N(P_L2_Mes)+1)=N(P_L2_Gracia)+N(P_L2_Cuotas),IF((47-N(P_L2_Mes)+1)=1,N(P_L2_Monto),AY$130),PMT(N(P_L2_Tasa)/12,N(P_L2_Cuotas),-N(P_L2_Monto))-AZ$128),0)*AZ$9</f>
        <v>0</v>
      </c>
      <c r="BA129" s="48" t="n">
        <f aca="false">IF(AND((48-N(P_L2_Mes)+1)&gt;N(P_L2_Gracia),(48-N(P_L2_Mes)+1)&lt;=N(P_L2_Gracia)+N(P_L2_Cuotas),N(P_L2_Cuotas)&gt;0),IF((48-N(P_L2_Mes)+1)=N(P_L2_Gracia)+N(P_L2_Cuotas),IF((48-N(P_L2_Mes)+1)=1,N(P_L2_Monto),AZ$130),PMT(N(P_L2_Tasa)/12,N(P_L2_Cuotas),-N(P_L2_Monto))-BA$128),0)*BA$9</f>
        <v>0</v>
      </c>
      <c r="BB129" s="48" t="n">
        <f aca="false">IF(AND((49-N(P_L2_Mes)+1)&gt;N(P_L2_Gracia),(49-N(P_L2_Mes)+1)&lt;=N(P_L2_Gracia)+N(P_L2_Cuotas),N(P_L2_Cuotas)&gt;0),IF((49-N(P_L2_Mes)+1)=N(P_L2_Gracia)+N(P_L2_Cuotas),IF((49-N(P_L2_Mes)+1)=1,N(P_L2_Monto),BA$130),PMT(N(P_L2_Tasa)/12,N(P_L2_Cuotas),-N(P_L2_Monto))-BB$128),0)*BB$9</f>
        <v>0</v>
      </c>
      <c r="BC129" s="48" t="n">
        <f aca="false">IF(AND((50-N(P_L2_Mes)+1)&gt;N(P_L2_Gracia),(50-N(P_L2_Mes)+1)&lt;=N(P_L2_Gracia)+N(P_L2_Cuotas),N(P_L2_Cuotas)&gt;0),IF((50-N(P_L2_Mes)+1)=N(P_L2_Gracia)+N(P_L2_Cuotas),IF((50-N(P_L2_Mes)+1)=1,N(P_L2_Monto),BB$130),PMT(N(P_L2_Tasa)/12,N(P_L2_Cuotas),-N(P_L2_Monto))-BC$128),0)*BC$9</f>
        <v>0</v>
      </c>
      <c r="BD129" s="48" t="n">
        <f aca="false">IF(AND((51-N(P_L2_Mes)+1)&gt;N(P_L2_Gracia),(51-N(P_L2_Mes)+1)&lt;=N(P_L2_Gracia)+N(P_L2_Cuotas),N(P_L2_Cuotas)&gt;0),IF((51-N(P_L2_Mes)+1)=N(P_L2_Gracia)+N(P_L2_Cuotas),IF((51-N(P_L2_Mes)+1)=1,N(P_L2_Monto),BC$130),PMT(N(P_L2_Tasa)/12,N(P_L2_Cuotas),-N(P_L2_Monto))-BD$128),0)*BD$9</f>
        <v>0</v>
      </c>
      <c r="BE129" s="48" t="n">
        <f aca="false">IF(AND((52-N(P_L2_Mes)+1)&gt;N(P_L2_Gracia),(52-N(P_L2_Mes)+1)&lt;=N(P_L2_Gracia)+N(P_L2_Cuotas),N(P_L2_Cuotas)&gt;0),IF((52-N(P_L2_Mes)+1)=N(P_L2_Gracia)+N(P_L2_Cuotas),IF((52-N(P_L2_Mes)+1)=1,N(P_L2_Monto),BD$130),PMT(N(P_L2_Tasa)/12,N(P_L2_Cuotas),-N(P_L2_Monto))-BE$128),0)*BE$9</f>
        <v>0</v>
      </c>
      <c r="BF129" s="48" t="n">
        <f aca="false">IF(AND((53-N(P_L2_Mes)+1)&gt;N(P_L2_Gracia),(53-N(P_L2_Mes)+1)&lt;=N(P_L2_Gracia)+N(P_L2_Cuotas),N(P_L2_Cuotas)&gt;0),IF((53-N(P_L2_Mes)+1)=N(P_L2_Gracia)+N(P_L2_Cuotas),IF((53-N(P_L2_Mes)+1)=1,N(P_L2_Monto),BE$130),PMT(N(P_L2_Tasa)/12,N(P_L2_Cuotas),-N(P_L2_Monto))-BF$128),0)*BF$9</f>
        <v>0</v>
      </c>
      <c r="BG129" s="48" t="n">
        <f aca="false">IF(AND((54-N(P_L2_Mes)+1)&gt;N(P_L2_Gracia),(54-N(P_L2_Mes)+1)&lt;=N(P_L2_Gracia)+N(P_L2_Cuotas),N(P_L2_Cuotas)&gt;0),IF((54-N(P_L2_Mes)+1)=N(P_L2_Gracia)+N(P_L2_Cuotas),IF((54-N(P_L2_Mes)+1)=1,N(P_L2_Monto),BF$130),PMT(N(P_L2_Tasa)/12,N(P_L2_Cuotas),-N(P_L2_Monto))-BG$128),0)*BG$9</f>
        <v>0</v>
      </c>
      <c r="BH129" s="48" t="n">
        <f aca="false">IF(AND((55-N(P_L2_Mes)+1)&gt;N(P_L2_Gracia),(55-N(P_L2_Mes)+1)&lt;=N(P_L2_Gracia)+N(P_L2_Cuotas),N(P_L2_Cuotas)&gt;0),IF((55-N(P_L2_Mes)+1)=N(P_L2_Gracia)+N(P_L2_Cuotas),IF((55-N(P_L2_Mes)+1)=1,N(P_L2_Monto),BG$130),PMT(N(P_L2_Tasa)/12,N(P_L2_Cuotas),-N(P_L2_Monto))-BH$128),0)*BH$9</f>
        <v>0</v>
      </c>
      <c r="BI129" s="48" t="n">
        <f aca="false">IF(AND((56-N(P_L2_Mes)+1)&gt;N(P_L2_Gracia),(56-N(P_L2_Mes)+1)&lt;=N(P_L2_Gracia)+N(P_L2_Cuotas),N(P_L2_Cuotas)&gt;0),IF((56-N(P_L2_Mes)+1)=N(P_L2_Gracia)+N(P_L2_Cuotas),IF((56-N(P_L2_Mes)+1)=1,N(P_L2_Monto),BH$130),PMT(N(P_L2_Tasa)/12,N(P_L2_Cuotas),-N(P_L2_Monto))-BI$128),0)*BI$9</f>
        <v>0</v>
      </c>
      <c r="BJ129" s="48" t="n">
        <f aca="false">IF(AND((57-N(P_L2_Mes)+1)&gt;N(P_L2_Gracia),(57-N(P_L2_Mes)+1)&lt;=N(P_L2_Gracia)+N(P_L2_Cuotas),N(P_L2_Cuotas)&gt;0),IF((57-N(P_L2_Mes)+1)=N(P_L2_Gracia)+N(P_L2_Cuotas),IF((57-N(P_L2_Mes)+1)=1,N(P_L2_Monto),BI$130),PMT(N(P_L2_Tasa)/12,N(P_L2_Cuotas),-N(P_L2_Monto))-BJ$128),0)*BJ$9</f>
        <v>0</v>
      </c>
      <c r="BK129" s="48" t="n">
        <f aca="false">IF(AND((58-N(P_L2_Mes)+1)&gt;N(P_L2_Gracia),(58-N(P_L2_Mes)+1)&lt;=N(P_L2_Gracia)+N(P_L2_Cuotas),N(P_L2_Cuotas)&gt;0),IF((58-N(P_L2_Mes)+1)=N(P_L2_Gracia)+N(P_L2_Cuotas),IF((58-N(P_L2_Mes)+1)=1,N(P_L2_Monto),BJ$130),PMT(N(P_L2_Tasa)/12,N(P_L2_Cuotas),-N(P_L2_Monto))-BK$128),0)*BK$9</f>
        <v>0</v>
      </c>
      <c r="BL129" s="48" t="n">
        <f aca="false">IF(AND((59-N(P_L2_Mes)+1)&gt;N(P_L2_Gracia),(59-N(P_L2_Mes)+1)&lt;=N(P_L2_Gracia)+N(P_L2_Cuotas),N(P_L2_Cuotas)&gt;0),IF((59-N(P_L2_Mes)+1)=N(P_L2_Gracia)+N(P_L2_Cuotas),IF((59-N(P_L2_Mes)+1)=1,N(P_L2_Monto),BK$130),PMT(N(P_L2_Tasa)/12,N(P_L2_Cuotas),-N(P_L2_Monto))-BL$128),0)*BL$9</f>
        <v>0</v>
      </c>
      <c r="BM129" s="48" t="n">
        <f aca="false">IF(AND((60-N(P_L2_Mes)+1)&gt;N(P_L2_Gracia),(60-N(P_L2_Mes)+1)&lt;=N(P_L2_Gracia)+N(P_L2_Cuotas),N(P_L2_Cuotas)&gt;0),IF((60-N(P_L2_Mes)+1)=N(P_L2_Gracia)+N(P_L2_Cuotas),IF((60-N(P_L2_Mes)+1)=1,N(P_L2_Monto),BL$130),PMT(N(P_L2_Tasa)/12,N(P_L2_Cuotas),-N(P_L2_Monto))-BM$128),0)*BM$9</f>
        <v>0</v>
      </c>
      <c r="BN129" s="48" t="n">
        <f aca="false">IF(AND((61-N(P_L2_Mes)+1)&gt;N(P_L2_Gracia),(61-N(P_L2_Mes)+1)&lt;=N(P_L2_Gracia)+N(P_L2_Cuotas),N(P_L2_Cuotas)&gt;0),IF((61-N(P_L2_Mes)+1)=N(P_L2_Gracia)+N(P_L2_Cuotas),IF((61-N(P_L2_Mes)+1)=1,N(P_L2_Monto),BM$130),PMT(N(P_L2_Tasa)/12,N(P_L2_Cuotas),-N(P_L2_Monto))-BN$128),0)*BN$9</f>
        <v>0</v>
      </c>
      <c r="BO129" s="48" t="n">
        <f aca="false">IF(AND((62-N(P_L2_Mes)+1)&gt;N(P_L2_Gracia),(62-N(P_L2_Mes)+1)&lt;=N(P_L2_Gracia)+N(P_L2_Cuotas),N(P_L2_Cuotas)&gt;0),IF((62-N(P_L2_Mes)+1)=N(P_L2_Gracia)+N(P_L2_Cuotas),IF((62-N(P_L2_Mes)+1)=1,N(P_L2_Monto),BN$130),PMT(N(P_L2_Tasa)/12,N(P_L2_Cuotas),-N(P_L2_Monto))-BO$128),0)*BO$9</f>
        <v>0</v>
      </c>
      <c r="BP129" s="48" t="n">
        <f aca="false">IF(AND((63-N(P_L2_Mes)+1)&gt;N(P_L2_Gracia),(63-N(P_L2_Mes)+1)&lt;=N(P_L2_Gracia)+N(P_L2_Cuotas),N(P_L2_Cuotas)&gt;0),IF((63-N(P_L2_Mes)+1)=N(P_L2_Gracia)+N(P_L2_Cuotas),IF((63-N(P_L2_Mes)+1)=1,N(P_L2_Monto),BO$130),PMT(N(P_L2_Tasa)/12,N(P_L2_Cuotas),-N(P_L2_Monto))-BP$128),0)*BP$9</f>
        <v>0</v>
      </c>
      <c r="BQ129" s="48" t="n">
        <f aca="false">IF(AND((64-N(P_L2_Mes)+1)&gt;N(P_L2_Gracia),(64-N(P_L2_Mes)+1)&lt;=N(P_L2_Gracia)+N(P_L2_Cuotas),N(P_L2_Cuotas)&gt;0),IF((64-N(P_L2_Mes)+1)=N(P_L2_Gracia)+N(P_L2_Cuotas),IF((64-N(P_L2_Mes)+1)=1,N(P_L2_Monto),BP$130),PMT(N(P_L2_Tasa)/12,N(P_L2_Cuotas),-N(P_L2_Monto))-BQ$128),0)*BQ$9</f>
        <v>0</v>
      </c>
      <c r="BR129" s="48" t="n">
        <f aca="false">IF(AND((65-N(P_L2_Mes)+1)&gt;N(P_L2_Gracia),(65-N(P_L2_Mes)+1)&lt;=N(P_L2_Gracia)+N(P_L2_Cuotas),N(P_L2_Cuotas)&gt;0),IF((65-N(P_L2_Mes)+1)=N(P_L2_Gracia)+N(P_L2_Cuotas),IF((65-N(P_L2_Mes)+1)=1,N(P_L2_Monto),BQ$130),PMT(N(P_L2_Tasa)/12,N(P_L2_Cuotas),-N(P_L2_Monto))-BR$128),0)*BR$9</f>
        <v>0</v>
      </c>
      <c r="BS129" s="48" t="n">
        <f aca="false">IF(AND((66-N(P_L2_Mes)+1)&gt;N(P_L2_Gracia),(66-N(P_L2_Mes)+1)&lt;=N(P_L2_Gracia)+N(P_L2_Cuotas),N(P_L2_Cuotas)&gt;0),IF((66-N(P_L2_Mes)+1)=N(P_L2_Gracia)+N(P_L2_Cuotas),IF((66-N(P_L2_Mes)+1)=1,N(P_L2_Monto),BR$130),PMT(N(P_L2_Tasa)/12,N(P_L2_Cuotas),-N(P_L2_Monto))-BS$128),0)*BS$9</f>
        <v>0</v>
      </c>
      <c r="BT129" s="48" t="n">
        <f aca="false">IF(AND((67-N(P_L2_Mes)+1)&gt;N(P_L2_Gracia),(67-N(P_L2_Mes)+1)&lt;=N(P_L2_Gracia)+N(P_L2_Cuotas),N(P_L2_Cuotas)&gt;0),IF((67-N(P_L2_Mes)+1)=N(P_L2_Gracia)+N(P_L2_Cuotas),IF((67-N(P_L2_Mes)+1)=1,N(P_L2_Monto),BS$130),PMT(N(P_L2_Tasa)/12,N(P_L2_Cuotas),-N(P_L2_Monto))-BT$128),0)*BT$9</f>
        <v>0</v>
      </c>
      <c r="BU129" s="48" t="n">
        <f aca="false">IF(AND((68-N(P_L2_Mes)+1)&gt;N(P_L2_Gracia),(68-N(P_L2_Mes)+1)&lt;=N(P_L2_Gracia)+N(P_L2_Cuotas),N(P_L2_Cuotas)&gt;0),IF((68-N(P_L2_Mes)+1)=N(P_L2_Gracia)+N(P_L2_Cuotas),IF((68-N(P_L2_Mes)+1)=1,N(P_L2_Monto),BT$130),PMT(N(P_L2_Tasa)/12,N(P_L2_Cuotas),-N(P_L2_Monto))-BU$128),0)*BU$9</f>
        <v>0</v>
      </c>
      <c r="BV129" s="48" t="n">
        <f aca="false">IF(AND((69-N(P_L2_Mes)+1)&gt;N(P_L2_Gracia),(69-N(P_L2_Mes)+1)&lt;=N(P_L2_Gracia)+N(P_L2_Cuotas),N(P_L2_Cuotas)&gt;0),IF((69-N(P_L2_Mes)+1)=N(P_L2_Gracia)+N(P_L2_Cuotas),IF((69-N(P_L2_Mes)+1)=1,N(P_L2_Monto),BU$130),PMT(N(P_L2_Tasa)/12,N(P_L2_Cuotas),-N(P_L2_Monto))-BV$128),0)*BV$9</f>
        <v>0</v>
      </c>
      <c r="BW129" s="48" t="n">
        <f aca="false">IF(AND((70-N(P_L2_Mes)+1)&gt;N(P_L2_Gracia),(70-N(P_L2_Mes)+1)&lt;=N(P_L2_Gracia)+N(P_L2_Cuotas),N(P_L2_Cuotas)&gt;0),IF((70-N(P_L2_Mes)+1)=N(P_L2_Gracia)+N(P_L2_Cuotas),IF((70-N(P_L2_Mes)+1)=1,N(P_L2_Monto),BV$130),PMT(N(P_L2_Tasa)/12,N(P_L2_Cuotas),-N(P_L2_Monto))-BW$128),0)*BW$9</f>
        <v>0</v>
      </c>
      <c r="BX129" s="48" t="n">
        <f aca="false">IF(AND((71-N(P_L2_Mes)+1)&gt;N(P_L2_Gracia),(71-N(P_L2_Mes)+1)&lt;=N(P_L2_Gracia)+N(P_L2_Cuotas),N(P_L2_Cuotas)&gt;0),IF((71-N(P_L2_Mes)+1)=N(P_L2_Gracia)+N(P_L2_Cuotas),IF((71-N(P_L2_Mes)+1)=1,N(P_L2_Monto),BW$130),PMT(N(P_L2_Tasa)/12,N(P_L2_Cuotas),-N(P_L2_Monto))-BX$128),0)*BX$9</f>
        <v>0</v>
      </c>
      <c r="BY129" s="48" t="n">
        <f aca="false">IF(AND((72-N(P_L2_Mes)+1)&gt;N(P_L2_Gracia),(72-N(P_L2_Mes)+1)&lt;=N(P_L2_Gracia)+N(P_L2_Cuotas),N(P_L2_Cuotas)&gt;0),IF((72-N(P_L2_Mes)+1)=N(P_L2_Gracia)+N(P_L2_Cuotas),IF((72-N(P_L2_Mes)+1)=1,N(P_L2_Monto),BX$130),PMT(N(P_L2_Tasa)/12,N(P_L2_Cuotas),-N(P_L2_Monto))-BY$128),0)*BY$9</f>
        <v>0</v>
      </c>
      <c r="BZ129" s="48" t="n">
        <f aca="false">IF(AND((73-N(P_L2_Mes)+1)&gt;N(P_L2_Gracia),(73-N(P_L2_Mes)+1)&lt;=N(P_L2_Gracia)+N(P_L2_Cuotas),N(P_L2_Cuotas)&gt;0),IF((73-N(P_L2_Mes)+1)=N(P_L2_Gracia)+N(P_L2_Cuotas),IF((73-N(P_L2_Mes)+1)=1,N(P_L2_Monto),BY$130),PMT(N(P_L2_Tasa)/12,N(P_L2_Cuotas),-N(P_L2_Monto))-BZ$128),0)*BZ$9</f>
        <v>0</v>
      </c>
      <c r="CA129" s="48" t="n">
        <f aca="false">IF(AND((74-N(P_L2_Mes)+1)&gt;N(P_L2_Gracia),(74-N(P_L2_Mes)+1)&lt;=N(P_L2_Gracia)+N(P_L2_Cuotas),N(P_L2_Cuotas)&gt;0),IF((74-N(P_L2_Mes)+1)=N(P_L2_Gracia)+N(P_L2_Cuotas),IF((74-N(P_L2_Mes)+1)=1,N(P_L2_Monto),BZ$130),PMT(N(P_L2_Tasa)/12,N(P_L2_Cuotas),-N(P_L2_Monto))-CA$128),0)*CA$9</f>
        <v>0</v>
      </c>
      <c r="CB129" s="48" t="n">
        <f aca="false">IF(AND((75-N(P_L2_Mes)+1)&gt;N(P_L2_Gracia),(75-N(P_L2_Mes)+1)&lt;=N(P_L2_Gracia)+N(P_L2_Cuotas),N(P_L2_Cuotas)&gt;0),IF((75-N(P_L2_Mes)+1)=N(P_L2_Gracia)+N(P_L2_Cuotas),IF((75-N(P_L2_Mes)+1)=1,N(P_L2_Monto),CA$130),PMT(N(P_L2_Tasa)/12,N(P_L2_Cuotas),-N(P_L2_Monto))-CB$128),0)*CB$9</f>
        <v>0</v>
      </c>
      <c r="CC129" s="48" t="n">
        <f aca="false">IF(AND((76-N(P_L2_Mes)+1)&gt;N(P_L2_Gracia),(76-N(P_L2_Mes)+1)&lt;=N(P_L2_Gracia)+N(P_L2_Cuotas),N(P_L2_Cuotas)&gt;0),IF((76-N(P_L2_Mes)+1)=N(P_L2_Gracia)+N(P_L2_Cuotas),IF((76-N(P_L2_Mes)+1)=1,N(P_L2_Monto),CB$130),PMT(N(P_L2_Tasa)/12,N(P_L2_Cuotas),-N(P_L2_Monto))-CC$128),0)*CC$9</f>
        <v>0</v>
      </c>
      <c r="CD129" s="48" t="n">
        <f aca="false">IF(AND((77-N(P_L2_Mes)+1)&gt;N(P_L2_Gracia),(77-N(P_L2_Mes)+1)&lt;=N(P_L2_Gracia)+N(P_L2_Cuotas),N(P_L2_Cuotas)&gt;0),IF((77-N(P_L2_Mes)+1)=N(P_L2_Gracia)+N(P_L2_Cuotas),IF((77-N(P_L2_Mes)+1)=1,N(P_L2_Monto),CC$130),PMT(N(P_L2_Tasa)/12,N(P_L2_Cuotas),-N(P_L2_Monto))-CD$128),0)*CD$9</f>
        <v>0</v>
      </c>
      <c r="CE129" s="48" t="n">
        <f aca="false">IF(AND((78-N(P_L2_Mes)+1)&gt;N(P_L2_Gracia),(78-N(P_L2_Mes)+1)&lt;=N(P_L2_Gracia)+N(P_L2_Cuotas),N(P_L2_Cuotas)&gt;0),IF((78-N(P_L2_Mes)+1)=N(P_L2_Gracia)+N(P_L2_Cuotas),IF((78-N(P_L2_Mes)+1)=1,N(P_L2_Monto),CD$130),PMT(N(P_L2_Tasa)/12,N(P_L2_Cuotas),-N(P_L2_Monto))-CE$128),0)*CE$9</f>
        <v>0</v>
      </c>
      <c r="CF129" s="48" t="n">
        <f aca="false">IF(AND((79-N(P_L2_Mes)+1)&gt;N(P_L2_Gracia),(79-N(P_L2_Mes)+1)&lt;=N(P_L2_Gracia)+N(P_L2_Cuotas),N(P_L2_Cuotas)&gt;0),IF((79-N(P_L2_Mes)+1)=N(P_L2_Gracia)+N(P_L2_Cuotas),IF((79-N(P_L2_Mes)+1)=1,N(P_L2_Monto),CE$130),PMT(N(P_L2_Tasa)/12,N(P_L2_Cuotas),-N(P_L2_Monto))-CF$128),0)*CF$9</f>
        <v>0</v>
      </c>
      <c r="CG129" s="48" t="n">
        <f aca="false">IF(AND((80-N(P_L2_Mes)+1)&gt;N(P_L2_Gracia),(80-N(P_L2_Mes)+1)&lt;=N(P_L2_Gracia)+N(P_L2_Cuotas),N(P_L2_Cuotas)&gt;0),IF((80-N(P_L2_Mes)+1)=N(P_L2_Gracia)+N(P_L2_Cuotas),IF((80-N(P_L2_Mes)+1)=1,N(P_L2_Monto),CF$130),PMT(N(P_L2_Tasa)/12,N(P_L2_Cuotas),-N(P_L2_Monto))-CG$128),0)*CG$9</f>
        <v>0</v>
      </c>
      <c r="CH129" s="48" t="n">
        <f aca="false">IF(AND((81-N(P_L2_Mes)+1)&gt;N(P_L2_Gracia),(81-N(P_L2_Mes)+1)&lt;=N(P_L2_Gracia)+N(P_L2_Cuotas),N(P_L2_Cuotas)&gt;0),IF((81-N(P_L2_Mes)+1)=N(P_L2_Gracia)+N(P_L2_Cuotas),IF((81-N(P_L2_Mes)+1)=1,N(P_L2_Monto),CG$130),PMT(N(P_L2_Tasa)/12,N(P_L2_Cuotas),-N(P_L2_Monto))-CH$128),0)*CH$9</f>
        <v>0</v>
      </c>
      <c r="CI129" s="48" t="n">
        <f aca="false">IF(AND((82-N(P_L2_Mes)+1)&gt;N(P_L2_Gracia),(82-N(P_L2_Mes)+1)&lt;=N(P_L2_Gracia)+N(P_L2_Cuotas),N(P_L2_Cuotas)&gt;0),IF((82-N(P_L2_Mes)+1)=N(P_L2_Gracia)+N(P_L2_Cuotas),IF((82-N(P_L2_Mes)+1)=1,N(P_L2_Monto),CH$130),PMT(N(P_L2_Tasa)/12,N(P_L2_Cuotas),-N(P_L2_Monto))-CI$128),0)*CI$9</f>
        <v>0</v>
      </c>
      <c r="CJ129" s="48" t="n">
        <f aca="false">IF(AND((83-N(P_L2_Mes)+1)&gt;N(P_L2_Gracia),(83-N(P_L2_Mes)+1)&lt;=N(P_L2_Gracia)+N(P_L2_Cuotas),N(P_L2_Cuotas)&gt;0),IF((83-N(P_L2_Mes)+1)=N(P_L2_Gracia)+N(P_L2_Cuotas),IF((83-N(P_L2_Mes)+1)=1,N(P_L2_Monto),CI$130),PMT(N(P_L2_Tasa)/12,N(P_L2_Cuotas),-N(P_L2_Monto))-CJ$128),0)*CJ$9</f>
        <v>0</v>
      </c>
      <c r="CK129" s="48" t="n">
        <f aca="false">IF(AND((84-N(P_L2_Mes)+1)&gt;N(P_L2_Gracia),(84-N(P_L2_Mes)+1)&lt;=N(P_L2_Gracia)+N(P_L2_Cuotas),N(P_L2_Cuotas)&gt;0),IF((84-N(P_L2_Mes)+1)=N(P_L2_Gracia)+N(P_L2_Cuotas),IF((84-N(P_L2_Mes)+1)=1,N(P_L2_Monto),CJ$130),PMT(N(P_L2_Tasa)/12,N(P_L2_Cuotas),-N(P_L2_Monto))-CK$128),0)*CK$9</f>
        <v>0</v>
      </c>
      <c r="CL129" s="48" t="n">
        <f aca="false">IF(AND((85-N(P_L2_Mes)+1)&gt;N(P_L2_Gracia),(85-N(P_L2_Mes)+1)&lt;=N(P_L2_Gracia)+N(P_L2_Cuotas),N(P_L2_Cuotas)&gt;0),IF((85-N(P_L2_Mes)+1)=N(P_L2_Gracia)+N(P_L2_Cuotas),IF((85-N(P_L2_Mes)+1)=1,N(P_L2_Monto),CK$130),PMT(N(P_L2_Tasa)/12,N(P_L2_Cuotas),-N(P_L2_Monto))-CL$128),0)*CL$9</f>
        <v>0</v>
      </c>
      <c r="CM129" s="48" t="n">
        <f aca="false">IF(AND((86-N(P_L2_Mes)+1)&gt;N(P_L2_Gracia),(86-N(P_L2_Mes)+1)&lt;=N(P_L2_Gracia)+N(P_L2_Cuotas),N(P_L2_Cuotas)&gt;0),IF((86-N(P_L2_Mes)+1)=N(P_L2_Gracia)+N(P_L2_Cuotas),IF((86-N(P_L2_Mes)+1)=1,N(P_L2_Monto),CL$130),PMT(N(P_L2_Tasa)/12,N(P_L2_Cuotas),-N(P_L2_Monto))-CM$128),0)*CM$9</f>
        <v>0</v>
      </c>
      <c r="CN129" s="48" t="n">
        <f aca="false">IF(AND((87-N(P_L2_Mes)+1)&gt;N(P_L2_Gracia),(87-N(P_L2_Mes)+1)&lt;=N(P_L2_Gracia)+N(P_L2_Cuotas),N(P_L2_Cuotas)&gt;0),IF((87-N(P_L2_Mes)+1)=N(P_L2_Gracia)+N(P_L2_Cuotas),IF((87-N(P_L2_Mes)+1)=1,N(P_L2_Monto),CM$130),PMT(N(P_L2_Tasa)/12,N(P_L2_Cuotas),-N(P_L2_Monto))-CN$128),0)*CN$9</f>
        <v>0</v>
      </c>
      <c r="CO129" s="48" t="n">
        <f aca="false">IF(AND((88-N(P_L2_Mes)+1)&gt;N(P_L2_Gracia),(88-N(P_L2_Mes)+1)&lt;=N(P_L2_Gracia)+N(P_L2_Cuotas),N(P_L2_Cuotas)&gt;0),IF((88-N(P_L2_Mes)+1)=N(P_L2_Gracia)+N(P_L2_Cuotas),IF((88-N(P_L2_Mes)+1)=1,N(P_L2_Monto),CN$130),PMT(N(P_L2_Tasa)/12,N(P_L2_Cuotas),-N(P_L2_Monto))-CO$128),0)*CO$9</f>
        <v>0</v>
      </c>
      <c r="CP129" s="48" t="n">
        <f aca="false">IF(AND((89-N(P_L2_Mes)+1)&gt;N(P_L2_Gracia),(89-N(P_L2_Mes)+1)&lt;=N(P_L2_Gracia)+N(P_L2_Cuotas),N(P_L2_Cuotas)&gt;0),IF((89-N(P_L2_Mes)+1)=N(P_L2_Gracia)+N(P_L2_Cuotas),IF((89-N(P_L2_Mes)+1)=1,N(P_L2_Monto),CO$130),PMT(N(P_L2_Tasa)/12,N(P_L2_Cuotas),-N(P_L2_Monto))-CP$128),0)*CP$9</f>
        <v>0</v>
      </c>
      <c r="CQ129" s="48" t="n">
        <f aca="false">IF(AND((90-N(P_L2_Mes)+1)&gt;N(P_L2_Gracia),(90-N(P_L2_Mes)+1)&lt;=N(P_L2_Gracia)+N(P_L2_Cuotas),N(P_L2_Cuotas)&gt;0),IF((90-N(P_L2_Mes)+1)=N(P_L2_Gracia)+N(P_L2_Cuotas),IF((90-N(P_L2_Mes)+1)=1,N(P_L2_Monto),CP$130),PMT(N(P_L2_Tasa)/12,N(P_L2_Cuotas),-N(P_L2_Monto))-CQ$128),0)*CQ$9</f>
        <v>0</v>
      </c>
      <c r="CR129" s="48" t="n">
        <f aca="false">IF(AND((91-N(P_L2_Mes)+1)&gt;N(P_L2_Gracia),(91-N(P_L2_Mes)+1)&lt;=N(P_L2_Gracia)+N(P_L2_Cuotas),N(P_L2_Cuotas)&gt;0),IF((91-N(P_L2_Mes)+1)=N(P_L2_Gracia)+N(P_L2_Cuotas),IF((91-N(P_L2_Mes)+1)=1,N(P_L2_Monto),CQ$130),PMT(N(P_L2_Tasa)/12,N(P_L2_Cuotas),-N(P_L2_Monto))-CR$128),0)*CR$9</f>
        <v>0</v>
      </c>
      <c r="CS129" s="48" t="n">
        <f aca="false">IF(AND((92-N(P_L2_Mes)+1)&gt;N(P_L2_Gracia),(92-N(P_L2_Mes)+1)&lt;=N(P_L2_Gracia)+N(P_L2_Cuotas),N(P_L2_Cuotas)&gt;0),IF((92-N(P_L2_Mes)+1)=N(P_L2_Gracia)+N(P_L2_Cuotas),IF((92-N(P_L2_Mes)+1)=1,N(P_L2_Monto),CR$130),PMT(N(P_L2_Tasa)/12,N(P_L2_Cuotas),-N(P_L2_Monto))-CS$128),0)*CS$9</f>
        <v>0</v>
      </c>
      <c r="CT129" s="48" t="n">
        <f aca="false">IF(AND((93-N(P_L2_Mes)+1)&gt;N(P_L2_Gracia),(93-N(P_L2_Mes)+1)&lt;=N(P_L2_Gracia)+N(P_L2_Cuotas),N(P_L2_Cuotas)&gt;0),IF((93-N(P_L2_Mes)+1)=N(P_L2_Gracia)+N(P_L2_Cuotas),IF((93-N(P_L2_Mes)+1)=1,N(P_L2_Monto),CS$130),PMT(N(P_L2_Tasa)/12,N(P_L2_Cuotas),-N(P_L2_Monto))-CT$128),0)*CT$9</f>
        <v>0</v>
      </c>
      <c r="CU129" s="48" t="n">
        <f aca="false">IF(AND((94-N(P_L2_Mes)+1)&gt;N(P_L2_Gracia),(94-N(P_L2_Mes)+1)&lt;=N(P_L2_Gracia)+N(P_L2_Cuotas),N(P_L2_Cuotas)&gt;0),IF((94-N(P_L2_Mes)+1)=N(P_L2_Gracia)+N(P_L2_Cuotas),IF((94-N(P_L2_Mes)+1)=1,N(P_L2_Monto),CT$130),PMT(N(P_L2_Tasa)/12,N(P_L2_Cuotas),-N(P_L2_Monto))-CU$128),0)*CU$9</f>
        <v>0</v>
      </c>
      <c r="CV129" s="48" t="n">
        <f aca="false">IF(AND((95-N(P_L2_Mes)+1)&gt;N(P_L2_Gracia),(95-N(P_L2_Mes)+1)&lt;=N(P_L2_Gracia)+N(P_L2_Cuotas),N(P_L2_Cuotas)&gt;0),IF((95-N(P_L2_Mes)+1)=N(P_L2_Gracia)+N(P_L2_Cuotas),IF((95-N(P_L2_Mes)+1)=1,N(P_L2_Monto),CU$130),PMT(N(P_L2_Tasa)/12,N(P_L2_Cuotas),-N(P_L2_Monto))-CV$128),0)*CV$9</f>
        <v>0</v>
      </c>
      <c r="CW129" s="48" t="n">
        <f aca="false">IF(AND((96-N(P_L2_Mes)+1)&gt;N(P_L2_Gracia),(96-N(P_L2_Mes)+1)&lt;=N(P_L2_Gracia)+N(P_L2_Cuotas),N(P_L2_Cuotas)&gt;0),IF((96-N(P_L2_Mes)+1)=N(P_L2_Gracia)+N(P_L2_Cuotas),IF((96-N(P_L2_Mes)+1)=1,N(P_L2_Monto),CV$130),PMT(N(P_L2_Tasa)/12,N(P_L2_Cuotas),-N(P_L2_Monto))-CW$128),0)*CW$9</f>
        <v>0</v>
      </c>
      <c r="CX129" s="48" t="n">
        <f aca="false">IF(AND((97-N(P_L2_Mes)+1)&gt;N(P_L2_Gracia),(97-N(P_L2_Mes)+1)&lt;=N(P_L2_Gracia)+N(P_L2_Cuotas),N(P_L2_Cuotas)&gt;0),IF((97-N(P_L2_Mes)+1)=N(P_L2_Gracia)+N(P_L2_Cuotas),IF((97-N(P_L2_Mes)+1)=1,N(P_L2_Monto),CW$130),PMT(N(P_L2_Tasa)/12,N(P_L2_Cuotas),-N(P_L2_Monto))-CX$128),0)*CX$9</f>
        <v>0</v>
      </c>
      <c r="CY129" s="48" t="n">
        <f aca="false">IF(AND((98-N(P_L2_Mes)+1)&gt;N(P_L2_Gracia),(98-N(P_L2_Mes)+1)&lt;=N(P_L2_Gracia)+N(P_L2_Cuotas),N(P_L2_Cuotas)&gt;0),IF((98-N(P_L2_Mes)+1)=N(P_L2_Gracia)+N(P_L2_Cuotas),IF((98-N(P_L2_Mes)+1)=1,N(P_L2_Monto),CX$130),PMT(N(P_L2_Tasa)/12,N(P_L2_Cuotas),-N(P_L2_Monto))-CY$128),0)*CY$9</f>
        <v>0</v>
      </c>
      <c r="CZ129" s="48" t="n">
        <f aca="false">IF(AND((99-N(P_L2_Mes)+1)&gt;N(P_L2_Gracia),(99-N(P_L2_Mes)+1)&lt;=N(P_L2_Gracia)+N(P_L2_Cuotas),N(P_L2_Cuotas)&gt;0),IF((99-N(P_L2_Mes)+1)=N(P_L2_Gracia)+N(P_L2_Cuotas),IF((99-N(P_L2_Mes)+1)=1,N(P_L2_Monto),CY$130),PMT(N(P_L2_Tasa)/12,N(P_L2_Cuotas),-N(P_L2_Monto))-CZ$128),0)*CZ$9</f>
        <v>0</v>
      </c>
      <c r="DA129" s="48" t="n">
        <f aca="false">IF(AND((100-N(P_L2_Mes)+1)&gt;N(P_L2_Gracia),(100-N(P_L2_Mes)+1)&lt;=N(P_L2_Gracia)+N(P_L2_Cuotas),N(P_L2_Cuotas)&gt;0),IF((100-N(P_L2_Mes)+1)=N(P_L2_Gracia)+N(P_L2_Cuotas),IF((100-N(P_L2_Mes)+1)=1,N(P_L2_Monto),CZ$130),PMT(N(P_L2_Tasa)/12,N(P_L2_Cuotas),-N(P_L2_Monto))-DA$128),0)*DA$9</f>
        <v>0</v>
      </c>
      <c r="DB129" s="48" t="n">
        <f aca="false">IF(AND((101-N(P_L2_Mes)+1)&gt;N(P_L2_Gracia),(101-N(P_L2_Mes)+1)&lt;=N(P_L2_Gracia)+N(P_L2_Cuotas),N(P_L2_Cuotas)&gt;0),IF((101-N(P_L2_Mes)+1)=N(P_L2_Gracia)+N(P_L2_Cuotas),IF((101-N(P_L2_Mes)+1)=1,N(P_L2_Monto),DA$130),PMT(N(P_L2_Tasa)/12,N(P_L2_Cuotas),-N(P_L2_Monto))-DB$128),0)*DB$9</f>
        <v>0</v>
      </c>
      <c r="DC129" s="48" t="n">
        <f aca="false">IF(AND((102-N(P_L2_Mes)+1)&gt;N(P_L2_Gracia),(102-N(P_L2_Mes)+1)&lt;=N(P_L2_Gracia)+N(P_L2_Cuotas),N(P_L2_Cuotas)&gt;0),IF((102-N(P_L2_Mes)+1)=N(P_L2_Gracia)+N(P_L2_Cuotas),IF((102-N(P_L2_Mes)+1)=1,N(P_L2_Monto),DB$130),PMT(N(P_L2_Tasa)/12,N(P_L2_Cuotas),-N(P_L2_Monto))-DC$128),0)*DC$9</f>
        <v>0</v>
      </c>
      <c r="DD129" s="48" t="n">
        <f aca="false">IF(AND((103-N(P_L2_Mes)+1)&gt;N(P_L2_Gracia),(103-N(P_L2_Mes)+1)&lt;=N(P_L2_Gracia)+N(P_L2_Cuotas),N(P_L2_Cuotas)&gt;0),IF((103-N(P_L2_Mes)+1)=N(P_L2_Gracia)+N(P_L2_Cuotas),IF((103-N(P_L2_Mes)+1)=1,N(P_L2_Monto),DC$130),PMT(N(P_L2_Tasa)/12,N(P_L2_Cuotas),-N(P_L2_Monto))-DD$128),0)*DD$9</f>
        <v>0</v>
      </c>
      <c r="DE129" s="48" t="n">
        <f aca="false">IF(AND((104-N(P_L2_Mes)+1)&gt;N(P_L2_Gracia),(104-N(P_L2_Mes)+1)&lt;=N(P_L2_Gracia)+N(P_L2_Cuotas),N(P_L2_Cuotas)&gt;0),IF((104-N(P_L2_Mes)+1)=N(P_L2_Gracia)+N(P_L2_Cuotas),IF((104-N(P_L2_Mes)+1)=1,N(P_L2_Monto),DD$130),PMT(N(P_L2_Tasa)/12,N(P_L2_Cuotas),-N(P_L2_Monto))-DE$128),0)*DE$9</f>
        <v>0</v>
      </c>
      <c r="DF129" s="48" t="n">
        <f aca="false">IF(AND((105-N(P_L2_Mes)+1)&gt;N(P_L2_Gracia),(105-N(P_L2_Mes)+1)&lt;=N(P_L2_Gracia)+N(P_L2_Cuotas),N(P_L2_Cuotas)&gt;0),IF((105-N(P_L2_Mes)+1)=N(P_L2_Gracia)+N(P_L2_Cuotas),IF((105-N(P_L2_Mes)+1)=1,N(P_L2_Monto),DE$130),PMT(N(P_L2_Tasa)/12,N(P_L2_Cuotas),-N(P_L2_Monto))-DF$128),0)*DF$9</f>
        <v>0</v>
      </c>
      <c r="DG129" s="48" t="n">
        <f aca="false">IF(AND((106-N(P_L2_Mes)+1)&gt;N(P_L2_Gracia),(106-N(P_L2_Mes)+1)&lt;=N(P_L2_Gracia)+N(P_L2_Cuotas),N(P_L2_Cuotas)&gt;0),IF((106-N(P_L2_Mes)+1)=N(P_L2_Gracia)+N(P_L2_Cuotas),IF((106-N(P_L2_Mes)+1)=1,N(P_L2_Monto),DF$130),PMT(N(P_L2_Tasa)/12,N(P_L2_Cuotas),-N(P_L2_Monto))-DG$128),0)*DG$9</f>
        <v>0</v>
      </c>
      <c r="DH129" s="48" t="n">
        <f aca="false">IF(AND((107-N(P_L2_Mes)+1)&gt;N(P_L2_Gracia),(107-N(P_L2_Mes)+1)&lt;=N(P_L2_Gracia)+N(P_L2_Cuotas),N(P_L2_Cuotas)&gt;0),IF((107-N(P_L2_Mes)+1)=N(P_L2_Gracia)+N(P_L2_Cuotas),IF((107-N(P_L2_Mes)+1)=1,N(P_L2_Monto),DG$130),PMT(N(P_L2_Tasa)/12,N(P_L2_Cuotas),-N(P_L2_Monto))-DH$128),0)*DH$9</f>
        <v>0</v>
      </c>
      <c r="DI129" s="48" t="n">
        <f aca="false">IF(AND((108-N(P_L2_Mes)+1)&gt;N(P_L2_Gracia),(108-N(P_L2_Mes)+1)&lt;=N(P_L2_Gracia)+N(P_L2_Cuotas),N(P_L2_Cuotas)&gt;0),IF((108-N(P_L2_Mes)+1)=N(P_L2_Gracia)+N(P_L2_Cuotas),IF((108-N(P_L2_Mes)+1)=1,N(P_L2_Monto),DH$130),PMT(N(P_L2_Tasa)/12,N(P_L2_Cuotas),-N(P_L2_Monto))-DI$128),0)*DI$9</f>
        <v>0</v>
      </c>
      <c r="DJ129" s="48" t="n">
        <f aca="false">IF(AND((109-N(P_L2_Mes)+1)&gt;N(P_L2_Gracia),(109-N(P_L2_Mes)+1)&lt;=N(P_L2_Gracia)+N(P_L2_Cuotas),N(P_L2_Cuotas)&gt;0),IF((109-N(P_L2_Mes)+1)=N(P_L2_Gracia)+N(P_L2_Cuotas),IF((109-N(P_L2_Mes)+1)=1,N(P_L2_Monto),DI$130),PMT(N(P_L2_Tasa)/12,N(P_L2_Cuotas),-N(P_L2_Monto))-DJ$128),0)*DJ$9</f>
        <v>0</v>
      </c>
      <c r="DK129" s="48" t="n">
        <f aca="false">IF(AND((110-N(P_L2_Mes)+1)&gt;N(P_L2_Gracia),(110-N(P_L2_Mes)+1)&lt;=N(P_L2_Gracia)+N(P_L2_Cuotas),N(P_L2_Cuotas)&gt;0),IF((110-N(P_L2_Mes)+1)=N(P_L2_Gracia)+N(P_L2_Cuotas),IF((110-N(P_L2_Mes)+1)=1,N(P_L2_Monto),DJ$130),PMT(N(P_L2_Tasa)/12,N(P_L2_Cuotas),-N(P_L2_Monto))-DK$128),0)*DK$9</f>
        <v>0</v>
      </c>
      <c r="DL129" s="48" t="n">
        <f aca="false">IF(AND((111-N(P_L2_Mes)+1)&gt;N(P_L2_Gracia),(111-N(P_L2_Mes)+1)&lt;=N(P_L2_Gracia)+N(P_L2_Cuotas),N(P_L2_Cuotas)&gt;0),IF((111-N(P_L2_Mes)+1)=N(P_L2_Gracia)+N(P_L2_Cuotas),IF((111-N(P_L2_Mes)+1)=1,N(P_L2_Monto),DK$130),PMT(N(P_L2_Tasa)/12,N(P_L2_Cuotas),-N(P_L2_Monto))-DL$128),0)*DL$9</f>
        <v>0</v>
      </c>
      <c r="DM129" s="48" t="n">
        <f aca="false">IF(AND((112-N(P_L2_Mes)+1)&gt;N(P_L2_Gracia),(112-N(P_L2_Mes)+1)&lt;=N(P_L2_Gracia)+N(P_L2_Cuotas),N(P_L2_Cuotas)&gt;0),IF((112-N(P_L2_Mes)+1)=N(P_L2_Gracia)+N(P_L2_Cuotas),IF((112-N(P_L2_Mes)+1)=1,N(P_L2_Monto),DL$130),PMT(N(P_L2_Tasa)/12,N(P_L2_Cuotas),-N(P_L2_Monto))-DM$128),0)*DM$9</f>
        <v>0</v>
      </c>
      <c r="DN129" s="48" t="n">
        <f aca="false">IF(AND((113-N(P_L2_Mes)+1)&gt;N(P_L2_Gracia),(113-N(P_L2_Mes)+1)&lt;=N(P_L2_Gracia)+N(P_L2_Cuotas),N(P_L2_Cuotas)&gt;0),IF((113-N(P_L2_Mes)+1)=N(P_L2_Gracia)+N(P_L2_Cuotas),IF((113-N(P_L2_Mes)+1)=1,N(P_L2_Monto),DM$130),PMT(N(P_L2_Tasa)/12,N(P_L2_Cuotas),-N(P_L2_Monto))-DN$128),0)*DN$9</f>
        <v>0</v>
      </c>
      <c r="DO129" s="48" t="n">
        <f aca="false">IF(AND((114-N(P_L2_Mes)+1)&gt;N(P_L2_Gracia),(114-N(P_L2_Mes)+1)&lt;=N(P_L2_Gracia)+N(P_L2_Cuotas),N(P_L2_Cuotas)&gt;0),IF((114-N(P_L2_Mes)+1)=N(P_L2_Gracia)+N(P_L2_Cuotas),IF((114-N(P_L2_Mes)+1)=1,N(P_L2_Monto),DN$130),PMT(N(P_L2_Tasa)/12,N(P_L2_Cuotas),-N(P_L2_Monto))-DO$128),0)*DO$9</f>
        <v>0</v>
      </c>
      <c r="DP129" s="48" t="n">
        <f aca="false">IF(AND((115-N(P_L2_Mes)+1)&gt;N(P_L2_Gracia),(115-N(P_L2_Mes)+1)&lt;=N(P_L2_Gracia)+N(P_L2_Cuotas),N(P_L2_Cuotas)&gt;0),IF((115-N(P_L2_Mes)+1)=N(P_L2_Gracia)+N(P_L2_Cuotas),IF((115-N(P_L2_Mes)+1)=1,N(P_L2_Monto),DO$130),PMT(N(P_L2_Tasa)/12,N(P_L2_Cuotas),-N(P_L2_Monto))-DP$128),0)*DP$9</f>
        <v>0</v>
      </c>
      <c r="DQ129" s="48" t="n">
        <f aca="false">IF(AND((116-N(P_L2_Mes)+1)&gt;N(P_L2_Gracia),(116-N(P_L2_Mes)+1)&lt;=N(P_L2_Gracia)+N(P_L2_Cuotas),N(P_L2_Cuotas)&gt;0),IF((116-N(P_L2_Mes)+1)=N(P_L2_Gracia)+N(P_L2_Cuotas),IF((116-N(P_L2_Mes)+1)=1,N(P_L2_Monto),DP$130),PMT(N(P_L2_Tasa)/12,N(P_L2_Cuotas),-N(P_L2_Monto))-DQ$128),0)*DQ$9</f>
        <v>0</v>
      </c>
      <c r="DR129" s="48" t="n">
        <f aca="false">IF(AND((117-N(P_L2_Mes)+1)&gt;N(P_L2_Gracia),(117-N(P_L2_Mes)+1)&lt;=N(P_L2_Gracia)+N(P_L2_Cuotas),N(P_L2_Cuotas)&gt;0),IF((117-N(P_L2_Mes)+1)=N(P_L2_Gracia)+N(P_L2_Cuotas),IF((117-N(P_L2_Mes)+1)=1,N(P_L2_Monto),DQ$130),PMT(N(P_L2_Tasa)/12,N(P_L2_Cuotas),-N(P_L2_Monto))-DR$128),0)*DR$9</f>
        <v>0</v>
      </c>
      <c r="DS129" s="48" t="n">
        <f aca="false">IF(AND((118-N(P_L2_Mes)+1)&gt;N(P_L2_Gracia),(118-N(P_L2_Mes)+1)&lt;=N(P_L2_Gracia)+N(P_L2_Cuotas),N(P_L2_Cuotas)&gt;0),IF((118-N(P_L2_Mes)+1)=N(P_L2_Gracia)+N(P_L2_Cuotas),IF((118-N(P_L2_Mes)+1)=1,N(P_L2_Monto),DR$130),PMT(N(P_L2_Tasa)/12,N(P_L2_Cuotas),-N(P_L2_Monto))-DS$128),0)*DS$9</f>
        <v>0</v>
      </c>
      <c r="DT129" s="48" t="n">
        <f aca="false">IF(AND((119-N(P_L2_Mes)+1)&gt;N(P_L2_Gracia),(119-N(P_L2_Mes)+1)&lt;=N(P_L2_Gracia)+N(P_L2_Cuotas),N(P_L2_Cuotas)&gt;0),IF((119-N(P_L2_Mes)+1)=N(P_L2_Gracia)+N(P_L2_Cuotas),IF((119-N(P_L2_Mes)+1)=1,N(P_L2_Monto),DS$130),PMT(N(P_L2_Tasa)/12,N(P_L2_Cuotas),-N(P_L2_Monto))-DT$128),0)*DT$9</f>
        <v>0</v>
      </c>
      <c r="DU129" s="48" t="n">
        <f aca="false">IF(AND((120-N(P_L2_Mes)+1)&gt;N(P_L2_Gracia),(120-N(P_L2_Mes)+1)&lt;=N(P_L2_Gracia)+N(P_L2_Cuotas),N(P_L2_Cuotas)&gt;0),IF((120-N(P_L2_Mes)+1)=N(P_L2_Gracia)+N(P_L2_Cuotas),IF((120-N(P_L2_Mes)+1)=1,N(P_L2_Monto),DT$130),PMT(N(P_L2_Tasa)/12,N(P_L2_Cuotas),-N(P_L2_Monto))-DU$128),0)*DU$9</f>
        <v>0</v>
      </c>
      <c r="DV129" s="48" t="n">
        <f aca="false">IF(AND((121-N(P_L2_Mes)+1)&gt;N(P_L2_Gracia),(121-N(P_L2_Mes)+1)&lt;=N(P_L2_Gracia)+N(P_L2_Cuotas),N(P_L2_Cuotas)&gt;0),IF((121-N(P_L2_Mes)+1)=N(P_L2_Gracia)+N(P_L2_Cuotas),IF((121-N(P_L2_Mes)+1)=1,N(P_L2_Monto),DU$130),PMT(N(P_L2_Tasa)/12,N(P_L2_Cuotas),-N(P_L2_Monto))-DV$128),0)*DV$9</f>
        <v>0</v>
      </c>
      <c r="DW129" s="48" t="n">
        <f aca="false">IF(AND((122-N(P_L2_Mes)+1)&gt;N(P_L2_Gracia),(122-N(P_L2_Mes)+1)&lt;=N(P_L2_Gracia)+N(P_L2_Cuotas),N(P_L2_Cuotas)&gt;0),IF((122-N(P_L2_Mes)+1)=N(P_L2_Gracia)+N(P_L2_Cuotas),IF((122-N(P_L2_Mes)+1)=1,N(P_L2_Monto),DV$130),PMT(N(P_L2_Tasa)/12,N(P_L2_Cuotas),-N(P_L2_Monto))-DW$128),0)*DW$9</f>
        <v>0</v>
      </c>
      <c r="DX129" s="48" t="n">
        <f aca="false">IF(AND((123-N(P_L2_Mes)+1)&gt;N(P_L2_Gracia),(123-N(P_L2_Mes)+1)&lt;=N(P_L2_Gracia)+N(P_L2_Cuotas),N(P_L2_Cuotas)&gt;0),IF((123-N(P_L2_Mes)+1)=N(P_L2_Gracia)+N(P_L2_Cuotas),IF((123-N(P_L2_Mes)+1)=1,N(P_L2_Monto),DW$130),PMT(N(P_L2_Tasa)/12,N(P_L2_Cuotas),-N(P_L2_Monto))-DX$128),0)*DX$9</f>
        <v>0</v>
      </c>
      <c r="DY129" s="48" t="n">
        <f aca="false">IF(AND((124-N(P_L2_Mes)+1)&gt;N(P_L2_Gracia),(124-N(P_L2_Mes)+1)&lt;=N(P_L2_Gracia)+N(P_L2_Cuotas),N(P_L2_Cuotas)&gt;0),IF((124-N(P_L2_Mes)+1)=N(P_L2_Gracia)+N(P_L2_Cuotas),IF((124-N(P_L2_Mes)+1)=1,N(P_L2_Monto),DX$130),PMT(N(P_L2_Tasa)/12,N(P_L2_Cuotas),-N(P_L2_Monto))-DY$128),0)*DY$9</f>
        <v>0</v>
      </c>
      <c r="DZ129" s="48" t="n">
        <f aca="false">IF(AND((125-N(P_L2_Mes)+1)&gt;N(P_L2_Gracia),(125-N(P_L2_Mes)+1)&lt;=N(P_L2_Gracia)+N(P_L2_Cuotas),N(P_L2_Cuotas)&gt;0),IF((125-N(P_L2_Mes)+1)=N(P_L2_Gracia)+N(P_L2_Cuotas),IF((125-N(P_L2_Mes)+1)=1,N(P_L2_Monto),DY$130),PMT(N(P_L2_Tasa)/12,N(P_L2_Cuotas),-N(P_L2_Monto))-DZ$128),0)*DZ$9</f>
        <v>0</v>
      </c>
      <c r="EA129" s="48" t="n">
        <f aca="false">IF(AND((126-N(P_L2_Mes)+1)&gt;N(P_L2_Gracia),(126-N(P_L2_Mes)+1)&lt;=N(P_L2_Gracia)+N(P_L2_Cuotas),N(P_L2_Cuotas)&gt;0),IF((126-N(P_L2_Mes)+1)=N(P_L2_Gracia)+N(P_L2_Cuotas),IF((126-N(P_L2_Mes)+1)=1,N(P_L2_Monto),DZ$130),PMT(N(P_L2_Tasa)/12,N(P_L2_Cuotas),-N(P_L2_Monto))-EA$128),0)*EA$9</f>
        <v>0</v>
      </c>
      <c r="EB129" s="48" t="n">
        <f aca="false">IF(AND((127-N(P_L2_Mes)+1)&gt;N(P_L2_Gracia),(127-N(P_L2_Mes)+1)&lt;=N(P_L2_Gracia)+N(P_L2_Cuotas),N(P_L2_Cuotas)&gt;0),IF((127-N(P_L2_Mes)+1)=N(P_L2_Gracia)+N(P_L2_Cuotas),IF((127-N(P_L2_Mes)+1)=1,N(P_L2_Monto),EA$130),PMT(N(P_L2_Tasa)/12,N(P_L2_Cuotas),-N(P_L2_Monto))-EB$128),0)*EB$9</f>
        <v>0</v>
      </c>
      <c r="EC129" s="48" t="n">
        <f aca="false">IF(AND((128-N(P_L2_Mes)+1)&gt;N(P_L2_Gracia),(128-N(P_L2_Mes)+1)&lt;=N(P_L2_Gracia)+N(P_L2_Cuotas),N(P_L2_Cuotas)&gt;0),IF((128-N(P_L2_Mes)+1)=N(P_L2_Gracia)+N(P_L2_Cuotas),IF((128-N(P_L2_Mes)+1)=1,N(P_L2_Monto),EB$130),PMT(N(P_L2_Tasa)/12,N(P_L2_Cuotas),-N(P_L2_Monto))-EC$128),0)*EC$9</f>
        <v>0</v>
      </c>
      <c r="ED129" s="48" t="n">
        <f aca="false">IF(AND((129-N(P_L2_Mes)+1)&gt;N(P_L2_Gracia),(129-N(P_L2_Mes)+1)&lt;=N(P_L2_Gracia)+N(P_L2_Cuotas),N(P_L2_Cuotas)&gt;0),IF((129-N(P_L2_Mes)+1)=N(P_L2_Gracia)+N(P_L2_Cuotas),IF((129-N(P_L2_Mes)+1)=1,N(P_L2_Monto),EC$130),PMT(N(P_L2_Tasa)/12,N(P_L2_Cuotas),-N(P_L2_Monto))-ED$128),0)*ED$9</f>
        <v>0</v>
      </c>
      <c r="EE129" s="48" t="n">
        <f aca="false">IF(AND((130-N(P_L2_Mes)+1)&gt;N(P_L2_Gracia),(130-N(P_L2_Mes)+1)&lt;=N(P_L2_Gracia)+N(P_L2_Cuotas),N(P_L2_Cuotas)&gt;0),IF((130-N(P_L2_Mes)+1)=N(P_L2_Gracia)+N(P_L2_Cuotas),IF((130-N(P_L2_Mes)+1)=1,N(P_L2_Monto),ED$130),PMT(N(P_L2_Tasa)/12,N(P_L2_Cuotas),-N(P_L2_Monto))-EE$128),0)*EE$9</f>
        <v>0</v>
      </c>
      <c r="EF129" s="48" t="n">
        <f aca="false">IF(AND((131-N(P_L2_Mes)+1)&gt;N(P_L2_Gracia),(131-N(P_L2_Mes)+1)&lt;=N(P_L2_Gracia)+N(P_L2_Cuotas),N(P_L2_Cuotas)&gt;0),IF((131-N(P_L2_Mes)+1)=N(P_L2_Gracia)+N(P_L2_Cuotas),IF((131-N(P_L2_Mes)+1)=1,N(P_L2_Monto),EE$130),PMT(N(P_L2_Tasa)/12,N(P_L2_Cuotas),-N(P_L2_Monto))-EF$128),0)*EF$9</f>
        <v>0</v>
      </c>
      <c r="EG129" s="48" t="n">
        <f aca="false">IF(AND((132-N(P_L2_Mes)+1)&gt;N(P_L2_Gracia),(132-N(P_L2_Mes)+1)&lt;=N(P_L2_Gracia)+N(P_L2_Cuotas),N(P_L2_Cuotas)&gt;0),IF((132-N(P_L2_Mes)+1)=N(P_L2_Gracia)+N(P_L2_Cuotas),IF((132-N(P_L2_Mes)+1)=1,N(P_L2_Monto),EF$130),PMT(N(P_L2_Tasa)/12,N(P_L2_Cuotas),-N(P_L2_Monto))-EG$128),0)*EG$9</f>
        <v>0</v>
      </c>
      <c r="EH129" s="48" t="n">
        <f aca="false">IF(AND((133-N(P_L2_Mes)+1)&gt;N(P_L2_Gracia),(133-N(P_L2_Mes)+1)&lt;=N(P_L2_Gracia)+N(P_L2_Cuotas),N(P_L2_Cuotas)&gt;0),IF((133-N(P_L2_Mes)+1)=N(P_L2_Gracia)+N(P_L2_Cuotas),IF((133-N(P_L2_Mes)+1)=1,N(P_L2_Monto),EG$130),PMT(N(P_L2_Tasa)/12,N(P_L2_Cuotas),-N(P_L2_Monto))-EH$128),0)*EH$9</f>
        <v>0</v>
      </c>
      <c r="EI129" s="48" t="n">
        <f aca="false">IF(AND((134-N(P_L2_Mes)+1)&gt;N(P_L2_Gracia),(134-N(P_L2_Mes)+1)&lt;=N(P_L2_Gracia)+N(P_L2_Cuotas),N(P_L2_Cuotas)&gt;0),IF((134-N(P_L2_Mes)+1)=N(P_L2_Gracia)+N(P_L2_Cuotas),IF((134-N(P_L2_Mes)+1)=1,N(P_L2_Monto),EH$130),PMT(N(P_L2_Tasa)/12,N(P_L2_Cuotas),-N(P_L2_Monto))-EI$128),0)*EI$9</f>
        <v>0</v>
      </c>
      <c r="EJ129" s="48" t="n">
        <f aca="false">IF(AND((135-N(P_L2_Mes)+1)&gt;N(P_L2_Gracia),(135-N(P_L2_Mes)+1)&lt;=N(P_L2_Gracia)+N(P_L2_Cuotas),N(P_L2_Cuotas)&gt;0),IF((135-N(P_L2_Mes)+1)=N(P_L2_Gracia)+N(P_L2_Cuotas),IF((135-N(P_L2_Mes)+1)=1,N(P_L2_Monto),EI$130),PMT(N(P_L2_Tasa)/12,N(P_L2_Cuotas),-N(P_L2_Monto))-EJ$128),0)*EJ$9</f>
        <v>0</v>
      </c>
      <c r="EK129" s="48" t="n">
        <f aca="false">IF(AND((136-N(P_L2_Mes)+1)&gt;N(P_L2_Gracia),(136-N(P_L2_Mes)+1)&lt;=N(P_L2_Gracia)+N(P_L2_Cuotas),N(P_L2_Cuotas)&gt;0),IF((136-N(P_L2_Mes)+1)=N(P_L2_Gracia)+N(P_L2_Cuotas),IF((136-N(P_L2_Mes)+1)=1,N(P_L2_Monto),EJ$130),PMT(N(P_L2_Tasa)/12,N(P_L2_Cuotas),-N(P_L2_Monto))-EK$128),0)*EK$9</f>
        <v>0</v>
      </c>
      <c r="EL129" s="48" t="n">
        <f aca="false">IF(AND((137-N(P_L2_Mes)+1)&gt;N(P_L2_Gracia),(137-N(P_L2_Mes)+1)&lt;=N(P_L2_Gracia)+N(P_L2_Cuotas),N(P_L2_Cuotas)&gt;0),IF((137-N(P_L2_Mes)+1)=N(P_L2_Gracia)+N(P_L2_Cuotas),IF((137-N(P_L2_Mes)+1)=1,N(P_L2_Monto),EK$130),PMT(N(P_L2_Tasa)/12,N(P_L2_Cuotas),-N(P_L2_Monto))-EL$128),0)*EL$9</f>
        <v>0</v>
      </c>
      <c r="EM129" s="48" t="n">
        <f aca="false">IF(AND((138-N(P_L2_Mes)+1)&gt;N(P_L2_Gracia),(138-N(P_L2_Mes)+1)&lt;=N(P_L2_Gracia)+N(P_L2_Cuotas),N(P_L2_Cuotas)&gt;0),IF((138-N(P_L2_Mes)+1)=N(P_L2_Gracia)+N(P_L2_Cuotas),IF((138-N(P_L2_Mes)+1)=1,N(P_L2_Monto),EL$130),PMT(N(P_L2_Tasa)/12,N(P_L2_Cuotas),-N(P_L2_Monto))-EM$128),0)*EM$9</f>
        <v>0</v>
      </c>
      <c r="EN129" s="48" t="n">
        <f aca="false">IF(AND((139-N(P_L2_Mes)+1)&gt;N(P_L2_Gracia),(139-N(P_L2_Mes)+1)&lt;=N(P_L2_Gracia)+N(P_L2_Cuotas),N(P_L2_Cuotas)&gt;0),IF((139-N(P_L2_Mes)+1)=N(P_L2_Gracia)+N(P_L2_Cuotas),IF((139-N(P_L2_Mes)+1)=1,N(P_L2_Monto),EM$130),PMT(N(P_L2_Tasa)/12,N(P_L2_Cuotas),-N(P_L2_Monto))-EN$128),0)*EN$9</f>
        <v>0</v>
      </c>
      <c r="EO129" s="48" t="n">
        <f aca="false">IF(AND((140-N(P_L2_Mes)+1)&gt;N(P_L2_Gracia),(140-N(P_L2_Mes)+1)&lt;=N(P_L2_Gracia)+N(P_L2_Cuotas),N(P_L2_Cuotas)&gt;0),IF((140-N(P_L2_Mes)+1)=N(P_L2_Gracia)+N(P_L2_Cuotas),IF((140-N(P_L2_Mes)+1)=1,N(P_L2_Monto),EN$130),PMT(N(P_L2_Tasa)/12,N(P_L2_Cuotas),-N(P_L2_Monto))-EO$128),0)*EO$9</f>
        <v>0</v>
      </c>
      <c r="EP129" s="48" t="n">
        <f aca="false">IF(AND((141-N(P_L2_Mes)+1)&gt;N(P_L2_Gracia),(141-N(P_L2_Mes)+1)&lt;=N(P_L2_Gracia)+N(P_L2_Cuotas),N(P_L2_Cuotas)&gt;0),IF((141-N(P_L2_Mes)+1)=N(P_L2_Gracia)+N(P_L2_Cuotas),IF((141-N(P_L2_Mes)+1)=1,N(P_L2_Monto),EO$130),PMT(N(P_L2_Tasa)/12,N(P_L2_Cuotas),-N(P_L2_Monto))-EP$128),0)*EP$9</f>
        <v>0</v>
      </c>
      <c r="EQ129" s="48" t="n">
        <f aca="false">IF(AND((142-N(P_L2_Mes)+1)&gt;N(P_L2_Gracia),(142-N(P_L2_Mes)+1)&lt;=N(P_L2_Gracia)+N(P_L2_Cuotas),N(P_L2_Cuotas)&gt;0),IF((142-N(P_L2_Mes)+1)=N(P_L2_Gracia)+N(P_L2_Cuotas),IF((142-N(P_L2_Mes)+1)=1,N(P_L2_Monto),EP$130),PMT(N(P_L2_Tasa)/12,N(P_L2_Cuotas),-N(P_L2_Monto))-EQ$128),0)*EQ$9</f>
        <v>0</v>
      </c>
      <c r="ER129" s="48" t="n">
        <f aca="false">IF(AND((143-N(P_L2_Mes)+1)&gt;N(P_L2_Gracia),(143-N(P_L2_Mes)+1)&lt;=N(P_L2_Gracia)+N(P_L2_Cuotas),N(P_L2_Cuotas)&gt;0),IF((143-N(P_L2_Mes)+1)=N(P_L2_Gracia)+N(P_L2_Cuotas),IF((143-N(P_L2_Mes)+1)=1,N(P_L2_Monto),EQ$130),PMT(N(P_L2_Tasa)/12,N(P_L2_Cuotas),-N(P_L2_Monto))-ER$128),0)*ER$9</f>
        <v>0</v>
      </c>
      <c r="ES129" s="48" t="n">
        <f aca="false">IF(AND((144-N(P_L2_Mes)+1)&gt;N(P_L2_Gracia),(144-N(P_L2_Mes)+1)&lt;=N(P_L2_Gracia)+N(P_L2_Cuotas),N(P_L2_Cuotas)&gt;0),IF((144-N(P_L2_Mes)+1)=N(P_L2_Gracia)+N(P_L2_Cuotas),IF((144-N(P_L2_Mes)+1)=1,N(P_L2_Monto),ER$130),PMT(N(P_L2_Tasa)/12,N(P_L2_Cuotas),-N(P_L2_Monto))-ES$128),0)*ES$9</f>
        <v>0</v>
      </c>
    </row>
    <row r="130" customFormat="false" ht="15" hidden="false" customHeight="false" outlineLevel="0" collapsed="false">
      <c r="A130" s="11" t="s">
        <v>1224</v>
      </c>
      <c r="B130" s="15" t="s">
        <v>1225</v>
      </c>
      <c r="C130" s="15" t="s">
        <v>508</v>
      </c>
      <c r="E130" s="54" t="n">
        <f aca="false">INDEX(F130:ES130,1,MIN(144,Fin))</f>
        <v>0</v>
      </c>
      <c r="F130" s="48" t="n">
        <f aca="false">IF((1-N(P_L2_Mes)+1)&lt;1,0,IF((1-N(P_L2_Mes)+1)=1,N(P_L2_Monto),0)-F$129)</f>
        <v>0</v>
      </c>
      <c r="G130" s="48" t="n">
        <f aca="false">IF((2-N(P_L2_Mes)+1)&lt;1,0,IF((2-N(P_L2_Mes)+1)=1,N(P_L2_Monto),F$130)-G$129)</f>
        <v>0</v>
      </c>
      <c r="H130" s="48" t="n">
        <f aca="false">IF((3-N(P_L2_Mes)+1)&lt;1,0,IF((3-N(P_L2_Mes)+1)=1,N(P_L2_Monto),G$130)-H$129)</f>
        <v>0</v>
      </c>
      <c r="I130" s="48" t="n">
        <f aca="false">IF((4-N(P_L2_Mes)+1)&lt;1,0,IF((4-N(P_L2_Mes)+1)=1,N(P_L2_Monto),H$130)-I$129)</f>
        <v>0</v>
      </c>
      <c r="J130" s="48" t="n">
        <f aca="false">IF((5-N(P_L2_Mes)+1)&lt;1,0,IF((5-N(P_L2_Mes)+1)=1,N(P_L2_Monto),I$130)-J$129)</f>
        <v>0</v>
      </c>
      <c r="K130" s="48" t="n">
        <f aca="false">IF((6-N(P_L2_Mes)+1)&lt;1,0,IF((6-N(P_L2_Mes)+1)=1,N(P_L2_Monto),J$130)-K$129)</f>
        <v>0</v>
      </c>
      <c r="L130" s="48" t="n">
        <f aca="false">IF((7-N(P_L2_Mes)+1)&lt;1,0,IF((7-N(P_L2_Mes)+1)=1,N(P_L2_Monto),K$130)-L$129)</f>
        <v>0</v>
      </c>
      <c r="M130" s="48" t="n">
        <f aca="false">IF((8-N(P_L2_Mes)+1)&lt;1,0,IF((8-N(P_L2_Mes)+1)=1,N(P_L2_Monto),L$130)-M$129)</f>
        <v>0</v>
      </c>
      <c r="N130" s="48" t="n">
        <f aca="false">IF((9-N(P_L2_Mes)+1)&lt;1,0,IF((9-N(P_L2_Mes)+1)=1,N(P_L2_Monto),M$130)-N$129)</f>
        <v>0</v>
      </c>
      <c r="O130" s="48" t="n">
        <f aca="false">IF((10-N(P_L2_Mes)+1)&lt;1,0,IF((10-N(P_L2_Mes)+1)=1,N(P_L2_Monto),N$130)-O$129)</f>
        <v>0</v>
      </c>
      <c r="P130" s="48" t="n">
        <f aca="false">IF((11-N(P_L2_Mes)+1)&lt;1,0,IF((11-N(P_L2_Mes)+1)=1,N(P_L2_Monto),O$130)-P$129)</f>
        <v>0</v>
      </c>
      <c r="Q130" s="48" t="n">
        <f aca="false">IF((12-N(P_L2_Mes)+1)&lt;1,0,IF((12-N(P_L2_Mes)+1)=1,N(P_L2_Monto),P$130)-Q$129)</f>
        <v>0</v>
      </c>
      <c r="R130" s="48" t="n">
        <f aca="false">IF((13-N(P_L2_Mes)+1)&lt;1,0,IF((13-N(P_L2_Mes)+1)=1,N(P_L2_Monto),Q$130)-R$129)</f>
        <v>0</v>
      </c>
      <c r="S130" s="48" t="n">
        <f aca="false">IF((14-N(P_L2_Mes)+1)&lt;1,0,IF((14-N(P_L2_Mes)+1)=1,N(P_L2_Monto),R$130)-S$129)</f>
        <v>0</v>
      </c>
      <c r="T130" s="48" t="n">
        <f aca="false">IF((15-N(P_L2_Mes)+1)&lt;1,0,IF((15-N(P_L2_Mes)+1)=1,N(P_L2_Monto),S$130)-T$129)</f>
        <v>0</v>
      </c>
      <c r="U130" s="48" t="n">
        <f aca="false">IF((16-N(P_L2_Mes)+1)&lt;1,0,IF((16-N(P_L2_Mes)+1)=1,N(P_L2_Monto),T$130)-U$129)</f>
        <v>0</v>
      </c>
      <c r="V130" s="48" t="n">
        <f aca="false">IF((17-N(P_L2_Mes)+1)&lt;1,0,IF((17-N(P_L2_Mes)+1)=1,N(P_L2_Monto),U$130)-V$129)</f>
        <v>0</v>
      </c>
      <c r="W130" s="48" t="n">
        <f aca="false">IF((18-N(P_L2_Mes)+1)&lt;1,0,IF((18-N(P_L2_Mes)+1)=1,N(P_L2_Monto),V$130)-W$129)</f>
        <v>0</v>
      </c>
      <c r="X130" s="48" t="n">
        <f aca="false">IF((19-N(P_L2_Mes)+1)&lt;1,0,IF((19-N(P_L2_Mes)+1)=1,N(P_L2_Monto),W$130)-X$129)</f>
        <v>0</v>
      </c>
      <c r="Y130" s="48" t="n">
        <f aca="false">IF((20-N(P_L2_Mes)+1)&lt;1,0,IF((20-N(P_L2_Mes)+1)=1,N(P_L2_Monto),X$130)-Y$129)</f>
        <v>0</v>
      </c>
      <c r="Z130" s="48" t="n">
        <f aca="false">IF((21-N(P_L2_Mes)+1)&lt;1,0,IF((21-N(P_L2_Mes)+1)=1,N(P_L2_Monto),Y$130)-Z$129)</f>
        <v>0</v>
      </c>
      <c r="AA130" s="48" t="n">
        <f aca="false">IF((22-N(P_L2_Mes)+1)&lt;1,0,IF((22-N(P_L2_Mes)+1)=1,N(P_L2_Monto),Z$130)-AA$129)</f>
        <v>0</v>
      </c>
      <c r="AB130" s="48" t="n">
        <f aca="false">IF((23-N(P_L2_Mes)+1)&lt;1,0,IF((23-N(P_L2_Mes)+1)=1,N(P_L2_Monto),AA$130)-AB$129)</f>
        <v>0</v>
      </c>
      <c r="AC130" s="48" t="n">
        <f aca="false">IF((24-N(P_L2_Mes)+1)&lt;1,0,IF((24-N(P_L2_Mes)+1)=1,N(P_L2_Monto),AB$130)-AC$129)</f>
        <v>0</v>
      </c>
      <c r="AD130" s="48" t="n">
        <f aca="false">IF((25-N(P_L2_Mes)+1)&lt;1,0,IF((25-N(P_L2_Mes)+1)=1,N(P_L2_Monto),AC$130)-AD$129)</f>
        <v>0</v>
      </c>
      <c r="AE130" s="48" t="n">
        <f aca="false">IF((26-N(P_L2_Mes)+1)&lt;1,0,IF((26-N(P_L2_Mes)+1)=1,N(P_L2_Monto),AD$130)-AE$129)</f>
        <v>0</v>
      </c>
      <c r="AF130" s="48" t="n">
        <f aca="false">IF((27-N(P_L2_Mes)+1)&lt;1,0,IF((27-N(P_L2_Mes)+1)=1,N(P_L2_Monto),AE$130)-AF$129)</f>
        <v>0</v>
      </c>
      <c r="AG130" s="48" t="n">
        <f aca="false">IF((28-N(P_L2_Mes)+1)&lt;1,0,IF((28-N(P_L2_Mes)+1)=1,N(P_L2_Monto),AF$130)-AG$129)</f>
        <v>0</v>
      </c>
      <c r="AH130" s="48" t="n">
        <f aca="false">IF((29-N(P_L2_Mes)+1)&lt;1,0,IF((29-N(P_L2_Mes)+1)=1,N(P_L2_Monto),AG$130)-AH$129)</f>
        <v>0</v>
      </c>
      <c r="AI130" s="48" t="n">
        <f aca="false">IF((30-N(P_L2_Mes)+1)&lt;1,0,IF((30-N(P_L2_Mes)+1)=1,N(P_L2_Monto),AH$130)-AI$129)</f>
        <v>0</v>
      </c>
      <c r="AJ130" s="48" t="n">
        <f aca="false">IF((31-N(P_L2_Mes)+1)&lt;1,0,IF((31-N(P_L2_Mes)+1)=1,N(P_L2_Monto),AI$130)-AJ$129)</f>
        <v>0</v>
      </c>
      <c r="AK130" s="48" t="n">
        <f aca="false">IF((32-N(P_L2_Mes)+1)&lt;1,0,IF((32-N(P_L2_Mes)+1)=1,N(P_L2_Monto),AJ$130)-AK$129)</f>
        <v>0</v>
      </c>
      <c r="AL130" s="48" t="n">
        <f aca="false">IF((33-N(P_L2_Mes)+1)&lt;1,0,IF((33-N(P_L2_Mes)+1)=1,N(P_L2_Monto),AK$130)-AL$129)</f>
        <v>0</v>
      </c>
      <c r="AM130" s="48" t="n">
        <f aca="false">IF((34-N(P_L2_Mes)+1)&lt;1,0,IF((34-N(P_L2_Mes)+1)=1,N(P_L2_Monto),AL$130)-AM$129)</f>
        <v>0</v>
      </c>
      <c r="AN130" s="48" t="n">
        <f aca="false">IF((35-N(P_L2_Mes)+1)&lt;1,0,IF((35-N(P_L2_Mes)+1)=1,N(P_L2_Monto),AM$130)-AN$129)</f>
        <v>0</v>
      </c>
      <c r="AO130" s="48" t="n">
        <f aca="false">IF((36-N(P_L2_Mes)+1)&lt;1,0,IF((36-N(P_L2_Mes)+1)=1,N(P_L2_Monto),AN$130)-AO$129)</f>
        <v>0</v>
      </c>
      <c r="AP130" s="48" t="n">
        <f aca="false">IF((37-N(P_L2_Mes)+1)&lt;1,0,IF((37-N(P_L2_Mes)+1)=1,N(P_L2_Monto),AO$130)-AP$129)</f>
        <v>0</v>
      </c>
      <c r="AQ130" s="48" t="n">
        <f aca="false">IF((38-N(P_L2_Mes)+1)&lt;1,0,IF((38-N(P_L2_Mes)+1)=1,N(P_L2_Monto),AP$130)-AQ$129)</f>
        <v>0</v>
      </c>
      <c r="AR130" s="48" t="n">
        <f aca="false">IF((39-N(P_L2_Mes)+1)&lt;1,0,IF((39-N(P_L2_Mes)+1)=1,N(P_L2_Monto),AQ$130)-AR$129)</f>
        <v>0</v>
      </c>
      <c r="AS130" s="48" t="n">
        <f aca="false">IF((40-N(P_L2_Mes)+1)&lt;1,0,IF((40-N(P_L2_Mes)+1)=1,N(P_L2_Monto),AR$130)-AS$129)</f>
        <v>0</v>
      </c>
      <c r="AT130" s="48" t="n">
        <f aca="false">IF((41-N(P_L2_Mes)+1)&lt;1,0,IF((41-N(P_L2_Mes)+1)=1,N(P_L2_Monto),AS$130)-AT$129)</f>
        <v>0</v>
      </c>
      <c r="AU130" s="48" t="n">
        <f aca="false">IF((42-N(P_L2_Mes)+1)&lt;1,0,IF((42-N(P_L2_Mes)+1)=1,N(P_L2_Monto),AT$130)-AU$129)</f>
        <v>0</v>
      </c>
      <c r="AV130" s="48" t="n">
        <f aca="false">IF((43-N(P_L2_Mes)+1)&lt;1,0,IF((43-N(P_L2_Mes)+1)=1,N(P_L2_Monto),AU$130)-AV$129)</f>
        <v>0</v>
      </c>
      <c r="AW130" s="48" t="n">
        <f aca="false">IF((44-N(P_L2_Mes)+1)&lt;1,0,IF((44-N(P_L2_Mes)+1)=1,N(P_L2_Monto),AV$130)-AW$129)</f>
        <v>0</v>
      </c>
      <c r="AX130" s="48" t="n">
        <f aca="false">IF((45-N(P_L2_Mes)+1)&lt;1,0,IF((45-N(P_L2_Mes)+1)=1,N(P_L2_Monto),AW$130)-AX$129)</f>
        <v>0</v>
      </c>
      <c r="AY130" s="48" t="n">
        <f aca="false">IF((46-N(P_L2_Mes)+1)&lt;1,0,IF((46-N(P_L2_Mes)+1)=1,N(P_L2_Monto),AX$130)-AY$129)</f>
        <v>0</v>
      </c>
      <c r="AZ130" s="48" t="n">
        <f aca="false">IF((47-N(P_L2_Mes)+1)&lt;1,0,IF((47-N(P_L2_Mes)+1)=1,N(P_L2_Monto),AY$130)-AZ$129)</f>
        <v>0</v>
      </c>
      <c r="BA130" s="48" t="n">
        <f aca="false">IF((48-N(P_L2_Mes)+1)&lt;1,0,IF((48-N(P_L2_Mes)+1)=1,N(P_L2_Monto),AZ$130)-BA$129)</f>
        <v>0</v>
      </c>
      <c r="BB130" s="48" t="n">
        <f aca="false">IF((49-N(P_L2_Mes)+1)&lt;1,0,IF((49-N(P_L2_Mes)+1)=1,N(P_L2_Monto),BA$130)-BB$129)</f>
        <v>0</v>
      </c>
      <c r="BC130" s="48" t="n">
        <f aca="false">IF((50-N(P_L2_Mes)+1)&lt;1,0,IF((50-N(P_L2_Mes)+1)=1,N(P_L2_Monto),BB$130)-BC$129)</f>
        <v>0</v>
      </c>
      <c r="BD130" s="48" t="n">
        <f aca="false">IF((51-N(P_L2_Mes)+1)&lt;1,0,IF((51-N(P_L2_Mes)+1)=1,N(P_L2_Monto),BC$130)-BD$129)</f>
        <v>0</v>
      </c>
      <c r="BE130" s="48" t="n">
        <f aca="false">IF((52-N(P_L2_Mes)+1)&lt;1,0,IF((52-N(P_L2_Mes)+1)=1,N(P_L2_Monto),BD$130)-BE$129)</f>
        <v>0</v>
      </c>
      <c r="BF130" s="48" t="n">
        <f aca="false">IF((53-N(P_L2_Mes)+1)&lt;1,0,IF((53-N(P_L2_Mes)+1)=1,N(P_L2_Monto),BE$130)-BF$129)</f>
        <v>0</v>
      </c>
      <c r="BG130" s="48" t="n">
        <f aca="false">IF((54-N(P_L2_Mes)+1)&lt;1,0,IF((54-N(P_L2_Mes)+1)=1,N(P_L2_Monto),BF$130)-BG$129)</f>
        <v>0</v>
      </c>
      <c r="BH130" s="48" t="n">
        <f aca="false">IF((55-N(P_L2_Mes)+1)&lt;1,0,IF((55-N(P_L2_Mes)+1)=1,N(P_L2_Monto),BG$130)-BH$129)</f>
        <v>0</v>
      </c>
      <c r="BI130" s="48" t="n">
        <f aca="false">IF((56-N(P_L2_Mes)+1)&lt;1,0,IF((56-N(P_L2_Mes)+1)=1,N(P_L2_Monto),BH$130)-BI$129)</f>
        <v>0</v>
      </c>
      <c r="BJ130" s="48" t="n">
        <f aca="false">IF((57-N(P_L2_Mes)+1)&lt;1,0,IF((57-N(P_L2_Mes)+1)=1,N(P_L2_Monto),BI$130)-BJ$129)</f>
        <v>0</v>
      </c>
      <c r="BK130" s="48" t="n">
        <f aca="false">IF((58-N(P_L2_Mes)+1)&lt;1,0,IF((58-N(P_L2_Mes)+1)=1,N(P_L2_Monto),BJ$130)-BK$129)</f>
        <v>0</v>
      </c>
      <c r="BL130" s="48" t="n">
        <f aca="false">IF((59-N(P_L2_Mes)+1)&lt;1,0,IF((59-N(P_L2_Mes)+1)=1,N(P_L2_Monto),BK$130)-BL$129)</f>
        <v>0</v>
      </c>
      <c r="BM130" s="48" t="n">
        <f aca="false">IF((60-N(P_L2_Mes)+1)&lt;1,0,IF((60-N(P_L2_Mes)+1)=1,N(P_L2_Monto),BL$130)-BM$129)</f>
        <v>0</v>
      </c>
      <c r="BN130" s="48" t="n">
        <f aca="false">IF((61-N(P_L2_Mes)+1)&lt;1,0,IF((61-N(P_L2_Mes)+1)=1,N(P_L2_Monto),BM$130)-BN$129)</f>
        <v>0</v>
      </c>
      <c r="BO130" s="48" t="n">
        <f aca="false">IF((62-N(P_L2_Mes)+1)&lt;1,0,IF((62-N(P_L2_Mes)+1)=1,N(P_L2_Monto),BN$130)-BO$129)</f>
        <v>0</v>
      </c>
      <c r="BP130" s="48" t="n">
        <f aca="false">IF((63-N(P_L2_Mes)+1)&lt;1,0,IF((63-N(P_L2_Mes)+1)=1,N(P_L2_Monto),BO$130)-BP$129)</f>
        <v>0</v>
      </c>
      <c r="BQ130" s="48" t="n">
        <f aca="false">IF((64-N(P_L2_Mes)+1)&lt;1,0,IF((64-N(P_L2_Mes)+1)=1,N(P_L2_Monto),BP$130)-BQ$129)</f>
        <v>0</v>
      </c>
      <c r="BR130" s="48" t="n">
        <f aca="false">IF((65-N(P_L2_Mes)+1)&lt;1,0,IF((65-N(P_L2_Mes)+1)=1,N(P_L2_Monto),BQ$130)-BR$129)</f>
        <v>0</v>
      </c>
      <c r="BS130" s="48" t="n">
        <f aca="false">IF((66-N(P_L2_Mes)+1)&lt;1,0,IF((66-N(P_L2_Mes)+1)=1,N(P_L2_Monto),BR$130)-BS$129)</f>
        <v>0</v>
      </c>
      <c r="BT130" s="48" t="n">
        <f aca="false">IF((67-N(P_L2_Mes)+1)&lt;1,0,IF((67-N(P_L2_Mes)+1)=1,N(P_L2_Monto),BS$130)-BT$129)</f>
        <v>0</v>
      </c>
      <c r="BU130" s="48" t="n">
        <f aca="false">IF((68-N(P_L2_Mes)+1)&lt;1,0,IF((68-N(P_L2_Mes)+1)=1,N(P_L2_Monto),BT$130)-BU$129)</f>
        <v>0</v>
      </c>
      <c r="BV130" s="48" t="n">
        <f aca="false">IF((69-N(P_L2_Mes)+1)&lt;1,0,IF((69-N(P_L2_Mes)+1)=1,N(P_L2_Monto),BU$130)-BV$129)</f>
        <v>0</v>
      </c>
      <c r="BW130" s="48" t="n">
        <f aca="false">IF((70-N(P_L2_Mes)+1)&lt;1,0,IF((70-N(P_L2_Mes)+1)=1,N(P_L2_Monto),BV$130)-BW$129)</f>
        <v>0</v>
      </c>
      <c r="BX130" s="48" t="n">
        <f aca="false">IF((71-N(P_L2_Mes)+1)&lt;1,0,IF((71-N(P_L2_Mes)+1)=1,N(P_L2_Monto),BW$130)-BX$129)</f>
        <v>0</v>
      </c>
      <c r="BY130" s="48" t="n">
        <f aca="false">IF((72-N(P_L2_Mes)+1)&lt;1,0,IF((72-N(P_L2_Mes)+1)=1,N(P_L2_Monto),BX$130)-BY$129)</f>
        <v>0</v>
      </c>
      <c r="BZ130" s="48" t="n">
        <f aca="false">IF((73-N(P_L2_Mes)+1)&lt;1,0,IF((73-N(P_L2_Mes)+1)=1,N(P_L2_Monto),BY$130)-BZ$129)</f>
        <v>0</v>
      </c>
      <c r="CA130" s="48" t="n">
        <f aca="false">IF((74-N(P_L2_Mes)+1)&lt;1,0,IF((74-N(P_L2_Mes)+1)=1,N(P_L2_Monto),BZ$130)-CA$129)</f>
        <v>0</v>
      </c>
      <c r="CB130" s="48" t="n">
        <f aca="false">IF((75-N(P_L2_Mes)+1)&lt;1,0,IF((75-N(P_L2_Mes)+1)=1,N(P_L2_Monto),CA$130)-CB$129)</f>
        <v>0</v>
      </c>
      <c r="CC130" s="48" t="n">
        <f aca="false">IF((76-N(P_L2_Mes)+1)&lt;1,0,IF((76-N(P_L2_Mes)+1)=1,N(P_L2_Monto),CB$130)-CC$129)</f>
        <v>0</v>
      </c>
      <c r="CD130" s="48" t="n">
        <f aca="false">IF((77-N(P_L2_Mes)+1)&lt;1,0,IF((77-N(P_L2_Mes)+1)=1,N(P_L2_Monto),CC$130)-CD$129)</f>
        <v>0</v>
      </c>
      <c r="CE130" s="48" t="n">
        <f aca="false">IF((78-N(P_L2_Mes)+1)&lt;1,0,IF((78-N(P_L2_Mes)+1)=1,N(P_L2_Monto),CD$130)-CE$129)</f>
        <v>0</v>
      </c>
      <c r="CF130" s="48" t="n">
        <f aca="false">IF((79-N(P_L2_Mes)+1)&lt;1,0,IF((79-N(P_L2_Mes)+1)=1,N(P_L2_Monto),CE$130)-CF$129)</f>
        <v>0</v>
      </c>
      <c r="CG130" s="48" t="n">
        <f aca="false">IF((80-N(P_L2_Mes)+1)&lt;1,0,IF((80-N(P_L2_Mes)+1)=1,N(P_L2_Monto),CF$130)-CG$129)</f>
        <v>0</v>
      </c>
      <c r="CH130" s="48" t="n">
        <f aca="false">IF((81-N(P_L2_Mes)+1)&lt;1,0,IF((81-N(P_L2_Mes)+1)=1,N(P_L2_Monto),CG$130)-CH$129)</f>
        <v>0</v>
      </c>
      <c r="CI130" s="48" t="n">
        <f aca="false">IF((82-N(P_L2_Mes)+1)&lt;1,0,IF((82-N(P_L2_Mes)+1)=1,N(P_L2_Monto),CH$130)-CI$129)</f>
        <v>0</v>
      </c>
      <c r="CJ130" s="48" t="n">
        <f aca="false">IF((83-N(P_L2_Mes)+1)&lt;1,0,IF((83-N(P_L2_Mes)+1)=1,N(P_L2_Monto),CI$130)-CJ$129)</f>
        <v>0</v>
      </c>
      <c r="CK130" s="48" t="n">
        <f aca="false">IF((84-N(P_L2_Mes)+1)&lt;1,0,IF((84-N(P_L2_Mes)+1)=1,N(P_L2_Monto),CJ$130)-CK$129)</f>
        <v>0</v>
      </c>
      <c r="CL130" s="48" t="n">
        <f aca="false">IF((85-N(P_L2_Mes)+1)&lt;1,0,IF((85-N(P_L2_Mes)+1)=1,N(P_L2_Monto),CK$130)-CL$129)</f>
        <v>0</v>
      </c>
      <c r="CM130" s="48" t="n">
        <f aca="false">IF((86-N(P_L2_Mes)+1)&lt;1,0,IF((86-N(P_L2_Mes)+1)=1,N(P_L2_Monto),CL$130)-CM$129)</f>
        <v>0</v>
      </c>
      <c r="CN130" s="48" t="n">
        <f aca="false">IF((87-N(P_L2_Mes)+1)&lt;1,0,IF((87-N(P_L2_Mes)+1)=1,N(P_L2_Monto),CM$130)-CN$129)</f>
        <v>0</v>
      </c>
      <c r="CO130" s="48" t="n">
        <f aca="false">IF((88-N(P_L2_Mes)+1)&lt;1,0,IF((88-N(P_L2_Mes)+1)=1,N(P_L2_Monto),CN$130)-CO$129)</f>
        <v>0</v>
      </c>
      <c r="CP130" s="48" t="n">
        <f aca="false">IF((89-N(P_L2_Mes)+1)&lt;1,0,IF((89-N(P_L2_Mes)+1)=1,N(P_L2_Monto),CO$130)-CP$129)</f>
        <v>0</v>
      </c>
      <c r="CQ130" s="48" t="n">
        <f aca="false">IF((90-N(P_L2_Mes)+1)&lt;1,0,IF((90-N(P_L2_Mes)+1)=1,N(P_L2_Monto),CP$130)-CQ$129)</f>
        <v>0</v>
      </c>
      <c r="CR130" s="48" t="n">
        <f aca="false">IF((91-N(P_L2_Mes)+1)&lt;1,0,IF((91-N(P_L2_Mes)+1)=1,N(P_L2_Monto),CQ$130)-CR$129)</f>
        <v>0</v>
      </c>
      <c r="CS130" s="48" t="n">
        <f aca="false">IF((92-N(P_L2_Mes)+1)&lt;1,0,IF((92-N(P_L2_Mes)+1)=1,N(P_L2_Monto),CR$130)-CS$129)</f>
        <v>0</v>
      </c>
      <c r="CT130" s="48" t="n">
        <f aca="false">IF((93-N(P_L2_Mes)+1)&lt;1,0,IF((93-N(P_L2_Mes)+1)=1,N(P_L2_Monto),CS$130)-CT$129)</f>
        <v>0</v>
      </c>
      <c r="CU130" s="48" t="n">
        <f aca="false">IF((94-N(P_L2_Mes)+1)&lt;1,0,IF((94-N(P_L2_Mes)+1)=1,N(P_L2_Monto),CT$130)-CU$129)</f>
        <v>0</v>
      </c>
      <c r="CV130" s="48" t="n">
        <f aca="false">IF((95-N(P_L2_Mes)+1)&lt;1,0,IF((95-N(P_L2_Mes)+1)=1,N(P_L2_Monto),CU$130)-CV$129)</f>
        <v>0</v>
      </c>
      <c r="CW130" s="48" t="n">
        <f aca="false">IF((96-N(P_L2_Mes)+1)&lt;1,0,IF((96-N(P_L2_Mes)+1)=1,N(P_L2_Monto),CV$130)-CW$129)</f>
        <v>0</v>
      </c>
      <c r="CX130" s="48" t="n">
        <f aca="false">IF((97-N(P_L2_Mes)+1)&lt;1,0,IF((97-N(P_L2_Mes)+1)=1,N(P_L2_Monto),CW$130)-CX$129)</f>
        <v>0</v>
      </c>
      <c r="CY130" s="48" t="n">
        <f aca="false">IF((98-N(P_L2_Mes)+1)&lt;1,0,IF((98-N(P_L2_Mes)+1)=1,N(P_L2_Monto),CX$130)-CY$129)</f>
        <v>0</v>
      </c>
      <c r="CZ130" s="48" t="n">
        <f aca="false">IF((99-N(P_L2_Mes)+1)&lt;1,0,IF((99-N(P_L2_Mes)+1)=1,N(P_L2_Monto),CY$130)-CZ$129)</f>
        <v>0</v>
      </c>
      <c r="DA130" s="48" t="n">
        <f aca="false">IF((100-N(P_L2_Mes)+1)&lt;1,0,IF((100-N(P_L2_Mes)+1)=1,N(P_L2_Monto),CZ$130)-DA$129)</f>
        <v>0</v>
      </c>
      <c r="DB130" s="48" t="n">
        <f aca="false">IF((101-N(P_L2_Mes)+1)&lt;1,0,IF((101-N(P_L2_Mes)+1)=1,N(P_L2_Monto),DA$130)-DB$129)</f>
        <v>0</v>
      </c>
      <c r="DC130" s="48" t="n">
        <f aca="false">IF((102-N(P_L2_Mes)+1)&lt;1,0,IF((102-N(P_L2_Mes)+1)=1,N(P_L2_Monto),DB$130)-DC$129)</f>
        <v>0</v>
      </c>
      <c r="DD130" s="48" t="n">
        <f aca="false">IF((103-N(P_L2_Mes)+1)&lt;1,0,IF((103-N(P_L2_Mes)+1)=1,N(P_L2_Monto),DC$130)-DD$129)</f>
        <v>0</v>
      </c>
      <c r="DE130" s="48" t="n">
        <f aca="false">IF((104-N(P_L2_Mes)+1)&lt;1,0,IF((104-N(P_L2_Mes)+1)=1,N(P_L2_Monto),DD$130)-DE$129)</f>
        <v>0</v>
      </c>
      <c r="DF130" s="48" t="n">
        <f aca="false">IF((105-N(P_L2_Mes)+1)&lt;1,0,IF((105-N(P_L2_Mes)+1)=1,N(P_L2_Monto),DE$130)-DF$129)</f>
        <v>0</v>
      </c>
      <c r="DG130" s="48" t="n">
        <f aca="false">IF((106-N(P_L2_Mes)+1)&lt;1,0,IF((106-N(P_L2_Mes)+1)=1,N(P_L2_Monto),DF$130)-DG$129)</f>
        <v>0</v>
      </c>
      <c r="DH130" s="48" t="n">
        <f aca="false">IF((107-N(P_L2_Mes)+1)&lt;1,0,IF((107-N(P_L2_Mes)+1)=1,N(P_L2_Monto),DG$130)-DH$129)</f>
        <v>0</v>
      </c>
      <c r="DI130" s="48" t="n">
        <f aca="false">IF((108-N(P_L2_Mes)+1)&lt;1,0,IF((108-N(P_L2_Mes)+1)=1,N(P_L2_Monto),DH$130)-DI$129)</f>
        <v>0</v>
      </c>
      <c r="DJ130" s="48" t="n">
        <f aca="false">IF((109-N(P_L2_Mes)+1)&lt;1,0,IF((109-N(P_L2_Mes)+1)=1,N(P_L2_Monto),DI$130)-DJ$129)</f>
        <v>0</v>
      </c>
      <c r="DK130" s="48" t="n">
        <f aca="false">IF((110-N(P_L2_Mes)+1)&lt;1,0,IF((110-N(P_L2_Mes)+1)=1,N(P_L2_Monto),DJ$130)-DK$129)</f>
        <v>0</v>
      </c>
      <c r="DL130" s="48" t="n">
        <f aca="false">IF((111-N(P_L2_Mes)+1)&lt;1,0,IF((111-N(P_L2_Mes)+1)=1,N(P_L2_Monto),DK$130)-DL$129)</f>
        <v>0</v>
      </c>
      <c r="DM130" s="48" t="n">
        <f aca="false">IF((112-N(P_L2_Mes)+1)&lt;1,0,IF((112-N(P_L2_Mes)+1)=1,N(P_L2_Monto),DL$130)-DM$129)</f>
        <v>0</v>
      </c>
      <c r="DN130" s="48" t="n">
        <f aca="false">IF((113-N(P_L2_Mes)+1)&lt;1,0,IF((113-N(P_L2_Mes)+1)=1,N(P_L2_Monto),DM$130)-DN$129)</f>
        <v>0</v>
      </c>
      <c r="DO130" s="48" t="n">
        <f aca="false">IF((114-N(P_L2_Mes)+1)&lt;1,0,IF((114-N(P_L2_Mes)+1)=1,N(P_L2_Monto),DN$130)-DO$129)</f>
        <v>0</v>
      </c>
      <c r="DP130" s="48" t="n">
        <f aca="false">IF((115-N(P_L2_Mes)+1)&lt;1,0,IF((115-N(P_L2_Mes)+1)=1,N(P_L2_Monto),DO$130)-DP$129)</f>
        <v>0</v>
      </c>
      <c r="DQ130" s="48" t="n">
        <f aca="false">IF((116-N(P_L2_Mes)+1)&lt;1,0,IF((116-N(P_L2_Mes)+1)=1,N(P_L2_Monto),DP$130)-DQ$129)</f>
        <v>0</v>
      </c>
      <c r="DR130" s="48" t="n">
        <f aca="false">IF((117-N(P_L2_Mes)+1)&lt;1,0,IF((117-N(P_L2_Mes)+1)=1,N(P_L2_Monto),DQ$130)-DR$129)</f>
        <v>0</v>
      </c>
      <c r="DS130" s="48" t="n">
        <f aca="false">IF((118-N(P_L2_Mes)+1)&lt;1,0,IF((118-N(P_L2_Mes)+1)=1,N(P_L2_Monto),DR$130)-DS$129)</f>
        <v>0</v>
      </c>
      <c r="DT130" s="48" t="n">
        <f aca="false">IF((119-N(P_L2_Mes)+1)&lt;1,0,IF((119-N(P_L2_Mes)+1)=1,N(P_L2_Monto),DS$130)-DT$129)</f>
        <v>0</v>
      </c>
      <c r="DU130" s="48" t="n">
        <f aca="false">IF((120-N(P_L2_Mes)+1)&lt;1,0,IF((120-N(P_L2_Mes)+1)=1,N(P_L2_Monto),DT$130)-DU$129)</f>
        <v>0</v>
      </c>
      <c r="DV130" s="48" t="n">
        <f aca="false">IF((121-N(P_L2_Mes)+1)&lt;1,0,IF((121-N(P_L2_Mes)+1)=1,N(P_L2_Monto),DU$130)-DV$129)</f>
        <v>0</v>
      </c>
      <c r="DW130" s="48" t="n">
        <f aca="false">IF((122-N(P_L2_Mes)+1)&lt;1,0,IF((122-N(P_L2_Mes)+1)=1,N(P_L2_Monto),DV$130)-DW$129)</f>
        <v>0</v>
      </c>
      <c r="DX130" s="48" t="n">
        <f aca="false">IF((123-N(P_L2_Mes)+1)&lt;1,0,IF((123-N(P_L2_Mes)+1)=1,N(P_L2_Monto),DW$130)-DX$129)</f>
        <v>0</v>
      </c>
      <c r="DY130" s="48" t="n">
        <f aca="false">IF((124-N(P_L2_Mes)+1)&lt;1,0,IF((124-N(P_L2_Mes)+1)=1,N(P_L2_Monto),DX$130)-DY$129)</f>
        <v>0</v>
      </c>
      <c r="DZ130" s="48" t="n">
        <f aca="false">IF((125-N(P_L2_Mes)+1)&lt;1,0,IF((125-N(P_L2_Mes)+1)=1,N(P_L2_Monto),DY$130)-DZ$129)</f>
        <v>0</v>
      </c>
      <c r="EA130" s="48" t="n">
        <f aca="false">IF((126-N(P_L2_Mes)+1)&lt;1,0,IF((126-N(P_L2_Mes)+1)=1,N(P_L2_Monto),DZ$130)-EA$129)</f>
        <v>0</v>
      </c>
      <c r="EB130" s="48" t="n">
        <f aca="false">IF((127-N(P_L2_Mes)+1)&lt;1,0,IF((127-N(P_L2_Mes)+1)=1,N(P_L2_Monto),EA$130)-EB$129)</f>
        <v>0</v>
      </c>
      <c r="EC130" s="48" t="n">
        <f aca="false">IF((128-N(P_L2_Mes)+1)&lt;1,0,IF((128-N(P_L2_Mes)+1)=1,N(P_L2_Monto),EB$130)-EC$129)</f>
        <v>0</v>
      </c>
      <c r="ED130" s="48" t="n">
        <f aca="false">IF((129-N(P_L2_Mes)+1)&lt;1,0,IF((129-N(P_L2_Mes)+1)=1,N(P_L2_Monto),EC$130)-ED$129)</f>
        <v>0</v>
      </c>
      <c r="EE130" s="48" t="n">
        <f aca="false">IF((130-N(P_L2_Mes)+1)&lt;1,0,IF((130-N(P_L2_Mes)+1)=1,N(P_L2_Monto),ED$130)-EE$129)</f>
        <v>0</v>
      </c>
      <c r="EF130" s="48" t="n">
        <f aca="false">IF((131-N(P_L2_Mes)+1)&lt;1,0,IF((131-N(P_L2_Mes)+1)=1,N(P_L2_Monto),EE$130)-EF$129)</f>
        <v>0</v>
      </c>
      <c r="EG130" s="48" t="n">
        <f aca="false">IF((132-N(P_L2_Mes)+1)&lt;1,0,IF((132-N(P_L2_Mes)+1)=1,N(P_L2_Monto),EF$130)-EG$129)</f>
        <v>0</v>
      </c>
      <c r="EH130" s="48" t="n">
        <f aca="false">IF((133-N(P_L2_Mes)+1)&lt;1,0,IF((133-N(P_L2_Mes)+1)=1,N(P_L2_Monto),EG$130)-EH$129)</f>
        <v>0</v>
      </c>
      <c r="EI130" s="48" t="n">
        <f aca="false">IF((134-N(P_L2_Mes)+1)&lt;1,0,IF((134-N(P_L2_Mes)+1)=1,N(P_L2_Monto),EH$130)-EI$129)</f>
        <v>0</v>
      </c>
      <c r="EJ130" s="48" t="n">
        <f aca="false">IF((135-N(P_L2_Mes)+1)&lt;1,0,IF((135-N(P_L2_Mes)+1)=1,N(P_L2_Monto),EI$130)-EJ$129)</f>
        <v>0</v>
      </c>
      <c r="EK130" s="48" t="n">
        <f aca="false">IF((136-N(P_L2_Mes)+1)&lt;1,0,IF((136-N(P_L2_Mes)+1)=1,N(P_L2_Monto),EJ$130)-EK$129)</f>
        <v>0</v>
      </c>
      <c r="EL130" s="48" t="n">
        <f aca="false">IF((137-N(P_L2_Mes)+1)&lt;1,0,IF((137-N(P_L2_Mes)+1)=1,N(P_L2_Monto),EK$130)-EL$129)</f>
        <v>0</v>
      </c>
      <c r="EM130" s="48" t="n">
        <f aca="false">IF((138-N(P_L2_Mes)+1)&lt;1,0,IF((138-N(P_L2_Mes)+1)=1,N(P_L2_Monto),EL$130)-EM$129)</f>
        <v>0</v>
      </c>
      <c r="EN130" s="48" t="n">
        <f aca="false">IF((139-N(P_L2_Mes)+1)&lt;1,0,IF((139-N(P_L2_Mes)+1)=1,N(P_L2_Monto),EM$130)-EN$129)</f>
        <v>0</v>
      </c>
      <c r="EO130" s="48" t="n">
        <f aca="false">IF((140-N(P_L2_Mes)+1)&lt;1,0,IF((140-N(P_L2_Mes)+1)=1,N(P_L2_Monto),EN$130)-EO$129)</f>
        <v>0</v>
      </c>
      <c r="EP130" s="48" t="n">
        <f aca="false">IF((141-N(P_L2_Mes)+1)&lt;1,0,IF((141-N(P_L2_Mes)+1)=1,N(P_L2_Monto),EO$130)-EP$129)</f>
        <v>0</v>
      </c>
      <c r="EQ130" s="48" t="n">
        <f aca="false">IF((142-N(P_L2_Mes)+1)&lt;1,0,IF((142-N(P_L2_Mes)+1)=1,N(P_L2_Monto),EP$130)-EQ$129)</f>
        <v>0</v>
      </c>
      <c r="ER130" s="48" t="n">
        <f aca="false">IF((143-N(P_L2_Mes)+1)&lt;1,0,IF((143-N(P_L2_Mes)+1)=1,N(P_L2_Monto),EQ$130)-ER$129)</f>
        <v>0</v>
      </c>
      <c r="ES130" s="48" t="n">
        <f aca="false">IF((144-N(P_L2_Mes)+1)&lt;1,0,IF((144-N(P_L2_Mes)+1)=1,N(P_L2_Monto),ER$130)-ES$129)</f>
        <v>0</v>
      </c>
    </row>
    <row r="131" customFormat="false" ht="15" hidden="false" customHeight="false" outlineLevel="0" collapsed="false">
      <c r="A131" s="11" t="s">
        <v>1226</v>
      </c>
      <c r="B131" s="15" t="s">
        <v>1227</v>
      </c>
      <c r="C131" s="15" t="s">
        <v>508</v>
      </c>
      <c r="E131" s="54" t="n">
        <f aca="false">SUM(F131:ES131)</f>
        <v>0</v>
      </c>
      <c r="F131" s="48" t="n">
        <f aca="false">IF((1-N(P_L3_Mes)+1)=1,N(P_L3_Monto),0)*F$9</f>
        <v>0</v>
      </c>
      <c r="G131" s="48" t="n">
        <f aca="false">IF((2-N(P_L3_Mes)+1)=1,N(P_L3_Monto),0)*G$9</f>
        <v>0</v>
      </c>
      <c r="H131" s="48" t="n">
        <f aca="false">IF((3-N(P_L3_Mes)+1)=1,N(P_L3_Monto),0)*H$9</f>
        <v>0</v>
      </c>
      <c r="I131" s="48" t="n">
        <f aca="false">IF((4-N(P_L3_Mes)+1)=1,N(P_L3_Monto),0)*I$9</f>
        <v>0</v>
      </c>
      <c r="J131" s="48" t="n">
        <f aca="false">IF((5-N(P_L3_Mes)+1)=1,N(P_L3_Monto),0)*J$9</f>
        <v>0</v>
      </c>
      <c r="K131" s="48" t="n">
        <f aca="false">IF((6-N(P_L3_Mes)+1)=1,N(P_L3_Monto),0)*K$9</f>
        <v>0</v>
      </c>
      <c r="L131" s="48" t="n">
        <f aca="false">IF((7-N(P_L3_Mes)+1)=1,N(P_L3_Monto),0)*L$9</f>
        <v>0</v>
      </c>
      <c r="M131" s="48" t="n">
        <f aca="false">IF((8-N(P_L3_Mes)+1)=1,N(P_L3_Monto),0)*M$9</f>
        <v>0</v>
      </c>
      <c r="N131" s="48" t="n">
        <f aca="false">IF((9-N(P_L3_Mes)+1)=1,N(P_L3_Monto),0)*N$9</f>
        <v>0</v>
      </c>
      <c r="O131" s="48" t="n">
        <f aca="false">IF((10-N(P_L3_Mes)+1)=1,N(P_L3_Monto),0)*O$9</f>
        <v>0</v>
      </c>
      <c r="P131" s="48" t="n">
        <f aca="false">IF((11-N(P_L3_Mes)+1)=1,N(P_L3_Monto),0)*P$9</f>
        <v>0</v>
      </c>
      <c r="Q131" s="48" t="n">
        <f aca="false">IF((12-N(P_L3_Mes)+1)=1,N(P_L3_Monto),0)*Q$9</f>
        <v>0</v>
      </c>
      <c r="R131" s="48" t="n">
        <f aca="false">IF((13-N(P_L3_Mes)+1)=1,N(P_L3_Monto),0)*R$9</f>
        <v>0</v>
      </c>
      <c r="S131" s="48" t="n">
        <f aca="false">IF((14-N(P_L3_Mes)+1)=1,N(P_L3_Monto),0)*S$9</f>
        <v>0</v>
      </c>
      <c r="T131" s="48" t="n">
        <f aca="false">IF((15-N(P_L3_Mes)+1)=1,N(P_L3_Monto),0)*T$9</f>
        <v>0</v>
      </c>
      <c r="U131" s="48" t="n">
        <f aca="false">IF((16-N(P_L3_Mes)+1)=1,N(P_L3_Monto),0)*U$9</f>
        <v>0</v>
      </c>
      <c r="V131" s="48" t="n">
        <f aca="false">IF((17-N(P_L3_Mes)+1)=1,N(P_L3_Monto),0)*V$9</f>
        <v>0</v>
      </c>
      <c r="W131" s="48" t="n">
        <f aca="false">IF((18-N(P_L3_Mes)+1)=1,N(P_L3_Monto),0)*W$9</f>
        <v>0</v>
      </c>
      <c r="X131" s="48" t="n">
        <f aca="false">IF((19-N(P_L3_Mes)+1)=1,N(P_L3_Monto),0)*X$9</f>
        <v>0</v>
      </c>
      <c r="Y131" s="48" t="n">
        <f aca="false">IF((20-N(P_L3_Mes)+1)=1,N(P_L3_Monto),0)*Y$9</f>
        <v>0</v>
      </c>
      <c r="Z131" s="48" t="n">
        <f aca="false">IF((21-N(P_L3_Mes)+1)=1,N(P_L3_Monto),0)*Z$9</f>
        <v>0</v>
      </c>
      <c r="AA131" s="48" t="n">
        <f aca="false">IF((22-N(P_L3_Mes)+1)=1,N(P_L3_Monto),0)*AA$9</f>
        <v>0</v>
      </c>
      <c r="AB131" s="48" t="n">
        <f aca="false">IF((23-N(P_L3_Mes)+1)=1,N(P_L3_Monto),0)*AB$9</f>
        <v>0</v>
      </c>
      <c r="AC131" s="48" t="n">
        <f aca="false">IF((24-N(P_L3_Mes)+1)=1,N(P_L3_Monto),0)*AC$9</f>
        <v>0</v>
      </c>
      <c r="AD131" s="48" t="n">
        <f aca="false">IF((25-N(P_L3_Mes)+1)=1,N(P_L3_Monto),0)*AD$9</f>
        <v>0</v>
      </c>
      <c r="AE131" s="48" t="n">
        <f aca="false">IF((26-N(P_L3_Mes)+1)=1,N(P_L3_Monto),0)*AE$9</f>
        <v>0</v>
      </c>
      <c r="AF131" s="48" t="n">
        <f aca="false">IF((27-N(P_L3_Mes)+1)=1,N(P_L3_Monto),0)*AF$9</f>
        <v>0</v>
      </c>
      <c r="AG131" s="48" t="n">
        <f aca="false">IF((28-N(P_L3_Mes)+1)=1,N(P_L3_Monto),0)*AG$9</f>
        <v>0</v>
      </c>
      <c r="AH131" s="48" t="n">
        <f aca="false">IF((29-N(P_L3_Mes)+1)=1,N(P_L3_Monto),0)*AH$9</f>
        <v>0</v>
      </c>
      <c r="AI131" s="48" t="n">
        <f aca="false">IF((30-N(P_L3_Mes)+1)=1,N(P_L3_Monto),0)*AI$9</f>
        <v>0</v>
      </c>
      <c r="AJ131" s="48" t="n">
        <f aca="false">IF((31-N(P_L3_Mes)+1)=1,N(P_L3_Monto),0)*AJ$9</f>
        <v>0</v>
      </c>
      <c r="AK131" s="48" t="n">
        <f aca="false">IF((32-N(P_L3_Mes)+1)=1,N(P_L3_Monto),0)*AK$9</f>
        <v>0</v>
      </c>
      <c r="AL131" s="48" t="n">
        <f aca="false">IF((33-N(P_L3_Mes)+1)=1,N(P_L3_Monto),0)*AL$9</f>
        <v>0</v>
      </c>
      <c r="AM131" s="48" t="n">
        <f aca="false">IF((34-N(P_L3_Mes)+1)=1,N(P_L3_Monto),0)*AM$9</f>
        <v>0</v>
      </c>
      <c r="AN131" s="48" t="n">
        <f aca="false">IF((35-N(P_L3_Mes)+1)=1,N(P_L3_Monto),0)*AN$9</f>
        <v>0</v>
      </c>
      <c r="AO131" s="48" t="n">
        <f aca="false">IF((36-N(P_L3_Mes)+1)=1,N(P_L3_Monto),0)*AO$9</f>
        <v>0</v>
      </c>
      <c r="AP131" s="48" t="n">
        <f aca="false">IF((37-N(P_L3_Mes)+1)=1,N(P_L3_Monto),0)*AP$9</f>
        <v>0</v>
      </c>
      <c r="AQ131" s="48" t="n">
        <f aca="false">IF((38-N(P_L3_Mes)+1)=1,N(P_L3_Monto),0)*AQ$9</f>
        <v>0</v>
      </c>
      <c r="AR131" s="48" t="n">
        <f aca="false">IF((39-N(P_L3_Mes)+1)=1,N(P_L3_Monto),0)*AR$9</f>
        <v>0</v>
      </c>
      <c r="AS131" s="48" t="n">
        <f aca="false">IF((40-N(P_L3_Mes)+1)=1,N(P_L3_Monto),0)*AS$9</f>
        <v>0</v>
      </c>
      <c r="AT131" s="48" t="n">
        <f aca="false">IF((41-N(P_L3_Mes)+1)=1,N(P_L3_Monto),0)*AT$9</f>
        <v>0</v>
      </c>
      <c r="AU131" s="48" t="n">
        <f aca="false">IF((42-N(P_L3_Mes)+1)=1,N(P_L3_Monto),0)*AU$9</f>
        <v>0</v>
      </c>
      <c r="AV131" s="48" t="n">
        <f aca="false">IF((43-N(P_L3_Mes)+1)=1,N(P_L3_Monto),0)*AV$9</f>
        <v>0</v>
      </c>
      <c r="AW131" s="48" t="n">
        <f aca="false">IF((44-N(P_L3_Mes)+1)=1,N(P_L3_Monto),0)*AW$9</f>
        <v>0</v>
      </c>
      <c r="AX131" s="48" t="n">
        <f aca="false">IF((45-N(P_L3_Mes)+1)=1,N(P_L3_Monto),0)*AX$9</f>
        <v>0</v>
      </c>
      <c r="AY131" s="48" t="n">
        <f aca="false">IF((46-N(P_L3_Mes)+1)=1,N(P_L3_Monto),0)*AY$9</f>
        <v>0</v>
      </c>
      <c r="AZ131" s="48" t="n">
        <f aca="false">IF((47-N(P_L3_Mes)+1)=1,N(P_L3_Monto),0)*AZ$9</f>
        <v>0</v>
      </c>
      <c r="BA131" s="48" t="n">
        <f aca="false">IF((48-N(P_L3_Mes)+1)=1,N(P_L3_Monto),0)*BA$9</f>
        <v>0</v>
      </c>
      <c r="BB131" s="48" t="n">
        <f aca="false">IF((49-N(P_L3_Mes)+1)=1,N(P_L3_Monto),0)*BB$9</f>
        <v>0</v>
      </c>
      <c r="BC131" s="48" t="n">
        <f aca="false">IF((50-N(P_L3_Mes)+1)=1,N(P_L3_Monto),0)*BC$9</f>
        <v>0</v>
      </c>
      <c r="BD131" s="48" t="n">
        <f aca="false">IF((51-N(P_L3_Mes)+1)=1,N(P_L3_Monto),0)*BD$9</f>
        <v>0</v>
      </c>
      <c r="BE131" s="48" t="n">
        <f aca="false">IF((52-N(P_L3_Mes)+1)=1,N(P_L3_Monto),0)*BE$9</f>
        <v>0</v>
      </c>
      <c r="BF131" s="48" t="n">
        <f aca="false">IF((53-N(P_L3_Mes)+1)=1,N(P_L3_Monto),0)*BF$9</f>
        <v>0</v>
      </c>
      <c r="BG131" s="48" t="n">
        <f aca="false">IF((54-N(P_L3_Mes)+1)=1,N(P_L3_Monto),0)*BG$9</f>
        <v>0</v>
      </c>
      <c r="BH131" s="48" t="n">
        <f aca="false">IF((55-N(P_L3_Mes)+1)=1,N(P_L3_Monto),0)*BH$9</f>
        <v>0</v>
      </c>
      <c r="BI131" s="48" t="n">
        <f aca="false">IF((56-N(P_L3_Mes)+1)=1,N(P_L3_Monto),0)*BI$9</f>
        <v>0</v>
      </c>
      <c r="BJ131" s="48" t="n">
        <f aca="false">IF((57-N(P_L3_Mes)+1)=1,N(P_L3_Monto),0)*BJ$9</f>
        <v>0</v>
      </c>
      <c r="BK131" s="48" t="n">
        <f aca="false">IF((58-N(P_L3_Mes)+1)=1,N(P_L3_Monto),0)*BK$9</f>
        <v>0</v>
      </c>
      <c r="BL131" s="48" t="n">
        <f aca="false">IF((59-N(P_L3_Mes)+1)=1,N(P_L3_Monto),0)*BL$9</f>
        <v>0</v>
      </c>
      <c r="BM131" s="48" t="n">
        <f aca="false">IF((60-N(P_L3_Mes)+1)=1,N(P_L3_Monto),0)*BM$9</f>
        <v>0</v>
      </c>
      <c r="BN131" s="48" t="n">
        <f aca="false">IF((61-N(P_L3_Mes)+1)=1,N(P_L3_Monto),0)*BN$9</f>
        <v>0</v>
      </c>
      <c r="BO131" s="48" t="n">
        <f aca="false">IF((62-N(P_L3_Mes)+1)=1,N(P_L3_Monto),0)*BO$9</f>
        <v>0</v>
      </c>
      <c r="BP131" s="48" t="n">
        <f aca="false">IF((63-N(P_L3_Mes)+1)=1,N(P_L3_Monto),0)*BP$9</f>
        <v>0</v>
      </c>
      <c r="BQ131" s="48" t="n">
        <f aca="false">IF((64-N(P_L3_Mes)+1)=1,N(P_L3_Monto),0)*BQ$9</f>
        <v>0</v>
      </c>
      <c r="BR131" s="48" t="n">
        <f aca="false">IF((65-N(P_L3_Mes)+1)=1,N(P_L3_Monto),0)*BR$9</f>
        <v>0</v>
      </c>
      <c r="BS131" s="48" t="n">
        <f aca="false">IF((66-N(P_L3_Mes)+1)=1,N(P_L3_Monto),0)*BS$9</f>
        <v>0</v>
      </c>
      <c r="BT131" s="48" t="n">
        <f aca="false">IF((67-N(P_L3_Mes)+1)=1,N(P_L3_Monto),0)*BT$9</f>
        <v>0</v>
      </c>
      <c r="BU131" s="48" t="n">
        <f aca="false">IF((68-N(P_L3_Mes)+1)=1,N(P_L3_Monto),0)*BU$9</f>
        <v>0</v>
      </c>
      <c r="BV131" s="48" t="n">
        <f aca="false">IF((69-N(P_L3_Mes)+1)=1,N(P_L3_Monto),0)*BV$9</f>
        <v>0</v>
      </c>
      <c r="BW131" s="48" t="n">
        <f aca="false">IF((70-N(P_L3_Mes)+1)=1,N(P_L3_Monto),0)*BW$9</f>
        <v>0</v>
      </c>
      <c r="BX131" s="48" t="n">
        <f aca="false">IF((71-N(P_L3_Mes)+1)=1,N(P_L3_Monto),0)*BX$9</f>
        <v>0</v>
      </c>
      <c r="BY131" s="48" t="n">
        <f aca="false">IF((72-N(P_L3_Mes)+1)=1,N(P_L3_Monto),0)*BY$9</f>
        <v>0</v>
      </c>
      <c r="BZ131" s="48" t="n">
        <f aca="false">IF((73-N(P_L3_Mes)+1)=1,N(P_L3_Monto),0)*BZ$9</f>
        <v>0</v>
      </c>
      <c r="CA131" s="48" t="n">
        <f aca="false">IF((74-N(P_L3_Mes)+1)=1,N(P_L3_Monto),0)*CA$9</f>
        <v>0</v>
      </c>
      <c r="CB131" s="48" t="n">
        <f aca="false">IF((75-N(P_L3_Mes)+1)=1,N(P_L3_Monto),0)*CB$9</f>
        <v>0</v>
      </c>
      <c r="CC131" s="48" t="n">
        <f aca="false">IF((76-N(P_L3_Mes)+1)=1,N(P_L3_Monto),0)*CC$9</f>
        <v>0</v>
      </c>
      <c r="CD131" s="48" t="n">
        <f aca="false">IF((77-N(P_L3_Mes)+1)=1,N(P_L3_Monto),0)*CD$9</f>
        <v>0</v>
      </c>
      <c r="CE131" s="48" t="n">
        <f aca="false">IF((78-N(P_L3_Mes)+1)=1,N(P_L3_Monto),0)*CE$9</f>
        <v>0</v>
      </c>
      <c r="CF131" s="48" t="n">
        <f aca="false">IF((79-N(P_L3_Mes)+1)=1,N(P_L3_Monto),0)*CF$9</f>
        <v>0</v>
      </c>
      <c r="CG131" s="48" t="n">
        <f aca="false">IF((80-N(P_L3_Mes)+1)=1,N(P_L3_Monto),0)*CG$9</f>
        <v>0</v>
      </c>
      <c r="CH131" s="48" t="n">
        <f aca="false">IF((81-N(P_L3_Mes)+1)=1,N(P_L3_Monto),0)*CH$9</f>
        <v>0</v>
      </c>
      <c r="CI131" s="48" t="n">
        <f aca="false">IF((82-N(P_L3_Mes)+1)=1,N(P_L3_Monto),0)*CI$9</f>
        <v>0</v>
      </c>
      <c r="CJ131" s="48" t="n">
        <f aca="false">IF((83-N(P_L3_Mes)+1)=1,N(P_L3_Monto),0)*CJ$9</f>
        <v>0</v>
      </c>
      <c r="CK131" s="48" t="n">
        <f aca="false">IF((84-N(P_L3_Mes)+1)=1,N(P_L3_Monto),0)*CK$9</f>
        <v>0</v>
      </c>
      <c r="CL131" s="48" t="n">
        <f aca="false">IF((85-N(P_L3_Mes)+1)=1,N(P_L3_Monto),0)*CL$9</f>
        <v>0</v>
      </c>
      <c r="CM131" s="48" t="n">
        <f aca="false">IF((86-N(P_L3_Mes)+1)=1,N(P_L3_Monto),0)*CM$9</f>
        <v>0</v>
      </c>
      <c r="CN131" s="48" t="n">
        <f aca="false">IF((87-N(P_L3_Mes)+1)=1,N(P_L3_Monto),0)*CN$9</f>
        <v>0</v>
      </c>
      <c r="CO131" s="48" t="n">
        <f aca="false">IF((88-N(P_L3_Mes)+1)=1,N(P_L3_Monto),0)*CO$9</f>
        <v>0</v>
      </c>
      <c r="CP131" s="48" t="n">
        <f aca="false">IF((89-N(P_L3_Mes)+1)=1,N(P_L3_Monto),0)*CP$9</f>
        <v>0</v>
      </c>
      <c r="CQ131" s="48" t="n">
        <f aca="false">IF((90-N(P_L3_Mes)+1)=1,N(P_L3_Monto),0)*CQ$9</f>
        <v>0</v>
      </c>
      <c r="CR131" s="48" t="n">
        <f aca="false">IF((91-N(P_L3_Mes)+1)=1,N(P_L3_Monto),0)*CR$9</f>
        <v>0</v>
      </c>
      <c r="CS131" s="48" t="n">
        <f aca="false">IF((92-N(P_L3_Mes)+1)=1,N(P_L3_Monto),0)*CS$9</f>
        <v>0</v>
      </c>
      <c r="CT131" s="48" t="n">
        <f aca="false">IF((93-N(P_L3_Mes)+1)=1,N(P_L3_Monto),0)*CT$9</f>
        <v>0</v>
      </c>
      <c r="CU131" s="48" t="n">
        <f aca="false">IF((94-N(P_L3_Mes)+1)=1,N(P_L3_Monto),0)*CU$9</f>
        <v>0</v>
      </c>
      <c r="CV131" s="48" t="n">
        <f aca="false">IF((95-N(P_L3_Mes)+1)=1,N(P_L3_Monto),0)*CV$9</f>
        <v>0</v>
      </c>
      <c r="CW131" s="48" t="n">
        <f aca="false">IF((96-N(P_L3_Mes)+1)=1,N(P_L3_Monto),0)*CW$9</f>
        <v>0</v>
      </c>
      <c r="CX131" s="48" t="n">
        <f aca="false">IF((97-N(P_L3_Mes)+1)=1,N(P_L3_Monto),0)*CX$9</f>
        <v>0</v>
      </c>
      <c r="CY131" s="48" t="n">
        <f aca="false">IF((98-N(P_L3_Mes)+1)=1,N(P_L3_Monto),0)*CY$9</f>
        <v>0</v>
      </c>
      <c r="CZ131" s="48" t="n">
        <f aca="false">IF((99-N(P_L3_Mes)+1)=1,N(P_L3_Monto),0)*CZ$9</f>
        <v>0</v>
      </c>
      <c r="DA131" s="48" t="n">
        <f aca="false">IF((100-N(P_L3_Mes)+1)=1,N(P_L3_Monto),0)*DA$9</f>
        <v>0</v>
      </c>
      <c r="DB131" s="48" t="n">
        <f aca="false">IF((101-N(P_L3_Mes)+1)=1,N(P_L3_Monto),0)*DB$9</f>
        <v>0</v>
      </c>
      <c r="DC131" s="48" t="n">
        <f aca="false">IF((102-N(P_L3_Mes)+1)=1,N(P_L3_Monto),0)*DC$9</f>
        <v>0</v>
      </c>
      <c r="DD131" s="48" t="n">
        <f aca="false">IF((103-N(P_L3_Mes)+1)=1,N(P_L3_Monto),0)*DD$9</f>
        <v>0</v>
      </c>
      <c r="DE131" s="48" t="n">
        <f aca="false">IF((104-N(P_L3_Mes)+1)=1,N(P_L3_Monto),0)*DE$9</f>
        <v>0</v>
      </c>
      <c r="DF131" s="48" t="n">
        <f aca="false">IF((105-N(P_L3_Mes)+1)=1,N(P_L3_Monto),0)*DF$9</f>
        <v>0</v>
      </c>
      <c r="DG131" s="48" t="n">
        <f aca="false">IF((106-N(P_L3_Mes)+1)=1,N(P_L3_Monto),0)*DG$9</f>
        <v>0</v>
      </c>
      <c r="DH131" s="48" t="n">
        <f aca="false">IF((107-N(P_L3_Mes)+1)=1,N(P_L3_Monto),0)*DH$9</f>
        <v>0</v>
      </c>
      <c r="DI131" s="48" t="n">
        <f aca="false">IF((108-N(P_L3_Mes)+1)=1,N(P_L3_Monto),0)*DI$9</f>
        <v>0</v>
      </c>
      <c r="DJ131" s="48" t="n">
        <f aca="false">IF((109-N(P_L3_Mes)+1)=1,N(P_L3_Monto),0)*DJ$9</f>
        <v>0</v>
      </c>
      <c r="DK131" s="48" t="n">
        <f aca="false">IF((110-N(P_L3_Mes)+1)=1,N(P_L3_Monto),0)*DK$9</f>
        <v>0</v>
      </c>
      <c r="DL131" s="48" t="n">
        <f aca="false">IF((111-N(P_L3_Mes)+1)=1,N(P_L3_Monto),0)*DL$9</f>
        <v>0</v>
      </c>
      <c r="DM131" s="48" t="n">
        <f aca="false">IF((112-N(P_L3_Mes)+1)=1,N(P_L3_Monto),0)*DM$9</f>
        <v>0</v>
      </c>
      <c r="DN131" s="48" t="n">
        <f aca="false">IF((113-N(P_L3_Mes)+1)=1,N(P_L3_Monto),0)*DN$9</f>
        <v>0</v>
      </c>
      <c r="DO131" s="48" t="n">
        <f aca="false">IF((114-N(P_L3_Mes)+1)=1,N(P_L3_Monto),0)*DO$9</f>
        <v>0</v>
      </c>
      <c r="DP131" s="48" t="n">
        <f aca="false">IF((115-N(P_L3_Mes)+1)=1,N(P_L3_Monto),0)*DP$9</f>
        <v>0</v>
      </c>
      <c r="DQ131" s="48" t="n">
        <f aca="false">IF((116-N(P_L3_Mes)+1)=1,N(P_L3_Monto),0)*DQ$9</f>
        <v>0</v>
      </c>
      <c r="DR131" s="48" t="n">
        <f aca="false">IF((117-N(P_L3_Mes)+1)=1,N(P_L3_Monto),0)*DR$9</f>
        <v>0</v>
      </c>
      <c r="DS131" s="48" t="n">
        <f aca="false">IF((118-N(P_L3_Mes)+1)=1,N(P_L3_Monto),0)*DS$9</f>
        <v>0</v>
      </c>
      <c r="DT131" s="48" t="n">
        <f aca="false">IF((119-N(P_L3_Mes)+1)=1,N(P_L3_Monto),0)*DT$9</f>
        <v>0</v>
      </c>
      <c r="DU131" s="48" t="n">
        <f aca="false">IF((120-N(P_L3_Mes)+1)=1,N(P_L3_Monto),0)*DU$9</f>
        <v>0</v>
      </c>
      <c r="DV131" s="48" t="n">
        <f aca="false">IF((121-N(P_L3_Mes)+1)=1,N(P_L3_Monto),0)*DV$9</f>
        <v>0</v>
      </c>
      <c r="DW131" s="48" t="n">
        <f aca="false">IF((122-N(P_L3_Mes)+1)=1,N(P_L3_Monto),0)*DW$9</f>
        <v>0</v>
      </c>
      <c r="DX131" s="48" t="n">
        <f aca="false">IF((123-N(P_L3_Mes)+1)=1,N(P_L3_Monto),0)*DX$9</f>
        <v>0</v>
      </c>
      <c r="DY131" s="48" t="n">
        <f aca="false">IF((124-N(P_L3_Mes)+1)=1,N(P_L3_Monto),0)*DY$9</f>
        <v>0</v>
      </c>
      <c r="DZ131" s="48" t="n">
        <f aca="false">IF((125-N(P_L3_Mes)+1)=1,N(P_L3_Monto),0)*DZ$9</f>
        <v>0</v>
      </c>
      <c r="EA131" s="48" t="n">
        <f aca="false">IF((126-N(P_L3_Mes)+1)=1,N(P_L3_Monto),0)*EA$9</f>
        <v>0</v>
      </c>
      <c r="EB131" s="48" t="n">
        <f aca="false">IF((127-N(P_L3_Mes)+1)=1,N(P_L3_Monto),0)*EB$9</f>
        <v>0</v>
      </c>
      <c r="EC131" s="48" t="n">
        <f aca="false">IF((128-N(P_L3_Mes)+1)=1,N(P_L3_Monto),0)*EC$9</f>
        <v>0</v>
      </c>
      <c r="ED131" s="48" t="n">
        <f aca="false">IF((129-N(P_L3_Mes)+1)=1,N(P_L3_Monto),0)*ED$9</f>
        <v>0</v>
      </c>
      <c r="EE131" s="48" t="n">
        <f aca="false">IF((130-N(P_L3_Mes)+1)=1,N(P_L3_Monto),0)*EE$9</f>
        <v>0</v>
      </c>
      <c r="EF131" s="48" t="n">
        <f aca="false">IF((131-N(P_L3_Mes)+1)=1,N(P_L3_Monto),0)*EF$9</f>
        <v>0</v>
      </c>
      <c r="EG131" s="48" t="n">
        <f aca="false">IF((132-N(P_L3_Mes)+1)=1,N(P_L3_Monto),0)*EG$9</f>
        <v>0</v>
      </c>
      <c r="EH131" s="48" t="n">
        <f aca="false">IF((133-N(P_L3_Mes)+1)=1,N(P_L3_Monto),0)*EH$9</f>
        <v>0</v>
      </c>
      <c r="EI131" s="48" t="n">
        <f aca="false">IF((134-N(P_L3_Mes)+1)=1,N(P_L3_Monto),0)*EI$9</f>
        <v>0</v>
      </c>
      <c r="EJ131" s="48" t="n">
        <f aca="false">IF((135-N(P_L3_Mes)+1)=1,N(P_L3_Monto),0)*EJ$9</f>
        <v>0</v>
      </c>
      <c r="EK131" s="48" t="n">
        <f aca="false">IF((136-N(P_L3_Mes)+1)=1,N(P_L3_Monto),0)*EK$9</f>
        <v>0</v>
      </c>
      <c r="EL131" s="48" t="n">
        <f aca="false">IF((137-N(P_L3_Mes)+1)=1,N(P_L3_Monto),0)*EL$9</f>
        <v>0</v>
      </c>
      <c r="EM131" s="48" t="n">
        <f aca="false">IF((138-N(P_L3_Mes)+1)=1,N(P_L3_Monto),0)*EM$9</f>
        <v>0</v>
      </c>
      <c r="EN131" s="48" t="n">
        <f aca="false">IF((139-N(P_L3_Mes)+1)=1,N(P_L3_Monto),0)*EN$9</f>
        <v>0</v>
      </c>
      <c r="EO131" s="48" t="n">
        <f aca="false">IF((140-N(P_L3_Mes)+1)=1,N(P_L3_Monto),0)*EO$9</f>
        <v>0</v>
      </c>
      <c r="EP131" s="48" t="n">
        <f aca="false">IF((141-N(P_L3_Mes)+1)=1,N(P_L3_Monto),0)*EP$9</f>
        <v>0</v>
      </c>
      <c r="EQ131" s="48" t="n">
        <f aca="false">IF((142-N(P_L3_Mes)+1)=1,N(P_L3_Monto),0)*EQ$9</f>
        <v>0</v>
      </c>
      <c r="ER131" s="48" t="n">
        <f aca="false">IF((143-N(P_L3_Mes)+1)=1,N(P_L3_Monto),0)*ER$9</f>
        <v>0</v>
      </c>
      <c r="ES131" s="48" t="n">
        <f aca="false">IF((144-N(P_L3_Mes)+1)=1,N(P_L3_Monto),0)*ES$9</f>
        <v>0</v>
      </c>
    </row>
    <row r="132" customFormat="false" ht="15" hidden="false" customHeight="false" outlineLevel="0" collapsed="false">
      <c r="A132" s="11" t="s">
        <v>1228</v>
      </c>
      <c r="B132" s="15" t="s">
        <v>1229</v>
      </c>
      <c r="C132" s="15" t="s">
        <v>508</v>
      </c>
      <c r="E132" s="54" t="n">
        <f aca="false">SUM(F132:ES132)</f>
        <v>0</v>
      </c>
      <c r="F132" s="48" t="n">
        <f aca="false">IF((1-N(P_L3_Mes)+1)&gt;=1,IF((1-N(P_L3_Mes)+1)=1,N(P_L3_Monto),0)*N(P_L3_Tasa)/12,0)*F$9</f>
        <v>0</v>
      </c>
      <c r="G132" s="48" t="n">
        <f aca="false">IF((2-N(P_L3_Mes)+1)&gt;=1,IF((2-N(P_L3_Mes)+1)=1,N(P_L3_Monto),F$134)*N(P_L3_Tasa)/12,0)*G$9</f>
        <v>0</v>
      </c>
      <c r="H132" s="48" t="n">
        <f aca="false">IF((3-N(P_L3_Mes)+1)&gt;=1,IF((3-N(P_L3_Mes)+1)=1,N(P_L3_Monto),G$134)*N(P_L3_Tasa)/12,0)*H$9</f>
        <v>0</v>
      </c>
      <c r="I132" s="48" t="n">
        <f aca="false">IF((4-N(P_L3_Mes)+1)&gt;=1,IF((4-N(P_L3_Mes)+1)=1,N(P_L3_Monto),H$134)*N(P_L3_Tasa)/12,0)*I$9</f>
        <v>0</v>
      </c>
      <c r="J132" s="48" t="n">
        <f aca="false">IF((5-N(P_L3_Mes)+1)&gt;=1,IF((5-N(P_L3_Mes)+1)=1,N(P_L3_Monto),I$134)*N(P_L3_Tasa)/12,0)*J$9</f>
        <v>0</v>
      </c>
      <c r="K132" s="48" t="n">
        <f aca="false">IF((6-N(P_L3_Mes)+1)&gt;=1,IF((6-N(P_L3_Mes)+1)=1,N(P_L3_Monto),J$134)*N(P_L3_Tasa)/12,0)*K$9</f>
        <v>0</v>
      </c>
      <c r="L132" s="48" t="n">
        <f aca="false">IF((7-N(P_L3_Mes)+1)&gt;=1,IF((7-N(P_L3_Mes)+1)=1,N(P_L3_Monto),K$134)*N(P_L3_Tasa)/12,0)*L$9</f>
        <v>0</v>
      </c>
      <c r="M132" s="48" t="n">
        <f aca="false">IF((8-N(P_L3_Mes)+1)&gt;=1,IF((8-N(P_L3_Mes)+1)=1,N(P_L3_Monto),L$134)*N(P_L3_Tasa)/12,0)*M$9</f>
        <v>0</v>
      </c>
      <c r="N132" s="48" t="n">
        <f aca="false">IF((9-N(P_L3_Mes)+1)&gt;=1,IF((9-N(P_L3_Mes)+1)=1,N(P_L3_Monto),M$134)*N(P_L3_Tasa)/12,0)*N$9</f>
        <v>0</v>
      </c>
      <c r="O132" s="48" t="n">
        <f aca="false">IF((10-N(P_L3_Mes)+1)&gt;=1,IF((10-N(P_L3_Mes)+1)=1,N(P_L3_Monto),N$134)*N(P_L3_Tasa)/12,0)*O$9</f>
        <v>0</v>
      </c>
      <c r="P132" s="48" t="n">
        <f aca="false">IF((11-N(P_L3_Mes)+1)&gt;=1,IF((11-N(P_L3_Mes)+1)=1,N(P_L3_Monto),O$134)*N(P_L3_Tasa)/12,0)*P$9</f>
        <v>0</v>
      </c>
      <c r="Q132" s="48" t="n">
        <f aca="false">IF((12-N(P_L3_Mes)+1)&gt;=1,IF((12-N(P_L3_Mes)+1)=1,N(P_L3_Monto),P$134)*N(P_L3_Tasa)/12,0)*Q$9</f>
        <v>0</v>
      </c>
      <c r="R132" s="48" t="n">
        <f aca="false">IF((13-N(P_L3_Mes)+1)&gt;=1,IF((13-N(P_L3_Mes)+1)=1,N(P_L3_Monto),Q$134)*N(P_L3_Tasa)/12,0)*R$9</f>
        <v>0</v>
      </c>
      <c r="S132" s="48" t="n">
        <f aca="false">IF((14-N(P_L3_Mes)+1)&gt;=1,IF((14-N(P_L3_Mes)+1)=1,N(P_L3_Monto),R$134)*N(P_L3_Tasa)/12,0)*S$9</f>
        <v>0</v>
      </c>
      <c r="T132" s="48" t="n">
        <f aca="false">IF((15-N(P_L3_Mes)+1)&gt;=1,IF((15-N(P_L3_Mes)+1)=1,N(P_L3_Monto),S$134)*N(P_L3_Tasa)/12,0)*T$9</f>
        <v>0</v>
      </c>
      <c r="U132" s="48" t="n">
        <f aca="false">IF((16-N(P_L3_Mes)+1)&gt;=1,IF((16-N(P_L3_Mes)+1)=1,N(P_L3_Monto),T$134)*N(P_L3_Tasa)/12,0)*U$9</f>
        <v>0</v>
      </c>
      <c r="V132" s="48" t="n">
        <f aca="false">IF((17-N(P_L3_Mes)+1)&gt;=1,IF((17-N(P_L3_Mes)+1)=1,N(P_L3_Monto),U$134)*N(P_L3_Tasa)/12,0)*V$9</f>
        <v>0</v>
      </c>
      <c r="W132" s="48" t="n">
        <f aca="false">IF((18-N(P_L3_Mes)+1)&gt;=1,IF((18-N(P_L3_Mes)+1)=1,N(P_L3_Monto),V$134)*N(P_L3_Tasa)/12,0)*W$9</f>
        <v>0</v>
      </c>
      <c r="X132" s="48" t="n">
        <f aca="false">IF((19-N(P_L3_Mes)+1)&gt;=1,IF((19-N(P_L3_Mes)+1)=1,N(P_L3_Monto),W$134)*N(P_L3_Tasa)/12,0)*X$9</f>
        <v>0</v>
      </c>
      <c r="Y132" s="48" t="n">
        <f aca="false">IF((20-N(P_L3_Mes)+1)&gt;=1,IF((20-N(P_L3_Mes)+1)=1,N(P_L3_Monto),X$134)*N(P_L3_Tasa)/12,0)*Y$9</f>
        <v>0</v>
      </c>
      <c r="Z132" s="48" t="n">
        <f aca="false">IF((21-N(P_L3_Mes)+1)&gt;=1,IF((21-N(P_L3_Mes)+1)=1,N(P_L3_Monto),Y$134)*N(P_L3_Tasa)/12,0)*Z$9</f>
        <v>0</v>
      </c>
      <c r="AA132" s="48" t="n">
        <f aca="false">IF((22-N(P_L3_Mes)+1)&gt;=1,IF((22-N(P_L3_Mes)+1)=1,N(P_L3_Monto),Z$134)*N(P_L3_Tasa)/12,0)*AA$9</f>
        <v>0</v>
      </c>
      <c r="AB132" s="48" t="n">
        <f aca="false">IF((23-N(P_L3_Mes)+1)&gt;=1,IF((23-N(P_L3_Mes)+1)=1,N(P_L3_Monto),AA$134)*N(P_L3_Tasa)/12,0)*AB$9</f>
        <v>0</v>
      </c>
      <c r="AC132" s="48" t="n">
        <f aca="false">IF((24-N(P_L3_Mes)+1)&gt;=1,IF((24-N(P_L3_Mes)+1)=1,N(P_L3_Monto),AB$134)*N(P_L3_Tasa)/12,0)*AC$9</f>
        <v>0</v>
      </c>
      <c r="AD132" s="48" t="n">
        <f aca="false">IF((25-N(P_L3_Mes)+1)&gt;=1,IF((25-N(P_L3_Mes)+1)=1,N(P_L3_Monto),AC$134)*N(P_L3_Tasa)/12,0)*AD$9</f>
        <v>0</v>
      </c>
      <c r="AE132" s="48" t="n">
        <f aca="false">IF((26-N(P_L3_Mes)+1)&gt;=1,IF((26-N(P_L3_Mes)+1)=1,N(P_L3_Monto),AD$134)*N(P_L3_Tasa)/12,0)*AE$9</f>
        <v>0</v>
      </c>
      <c r="AF132" s="48" t="n">
        <f aca="false">IF((27-N(P_L3_Mes)+1)&gt;=1,IF((27-N(P_L3_Mes)+1)=1,N(P_L3_Monto),AE$134)*N(P_L3_Tasa)/12,0)*AF$9</f>
        <v>0</v>
      </c>
      <c r="AG132" s="48" t="n">
        <f aca="false">IF((28-N(P_L3_Mes)+1)&gt;=1,IF((28-N(P_L3_Mes)+1)=1,N(P_L3_Monto),AF$134)*N(P_L3_Tasa)/12,0)*AG$9</f>
        <v>0</v>
      </c>
      <c r="AH132" s="48" t="n">
        <f aca="false">IF((29-N(P_L3_Mes)+1)&gt;=1,IF((29-N(P_L3_Mes)+1)=1,N(P_L3_Monto),AG$134)*N(P_L3_Tasa)/12,0)*AH$9</f>
        <v>0</v>
      </c>
      <c r="AI132" s="48" t="n">
        <f aca="false">IF((30-N(P_L3_Mes)+1)&gt;=1,IF((30-N(P_L3_Mes)+1)=1,N(P_L3_Monto),AH$134)*N(P_L3_Tasa)/12,0)*AI$9</f>
        <v>0</v>
      </c>
      <c r="AJ132" s="48" t="n">
        <f aca="false">IF((31-N(P_L3_Mes)+1)&gt;=1,IF((31-N(P_L3_Mes)+1)=1,N(P_L3_Monto),AI$134)*N(P_L3_Tasa)/12,0)*AJ$9</f>
        <v>0</v>
      </c>
      <c r="AK132" s="48" t="n">
        <f aca="false">IF((32-N(P_L3_Mes)+1)&gt;=1,IF((32-N(P_L3_Mes)+1)=1,N(P_L3_Monto),AJ$134)*N(P_L3_Tasa)/12,0)*AK$9</f>
        <v>0</v>
      </c>
      <c r="AL132" s="48" t="n">
        <f aca="false">IF((33-N(P_L3_Mes)+1)&gt;=1,IF((33-N(P_L3_Mes)+1)=1,N(P_L3_Monto),AK$134)*N(P_L3_Tasa)/12,0)*AL$9</f>
        <v>0</v>
      </c>
      <c r="AM132" s="48" t="n">
        <f aca="false">IF((34-N(P_L3_Mes)+1)&gt;=1,IF((34-N(P_L3_Mes)+1)=1,N(P_L3_Monto),AL$134)*N(P_L3_Tasa)/12,0)*AM$9</f>
        <v>0</v>
      </c>
      <c r="AN132" s="48" t="n">
        <f aca="false">IF((35-N(P_L3_Mes)+1)&gt;=1,IF((35-N(P_L3_Mes)+1)=1,N(P_L3_Monto),AM$134)*N(P_L3_Tasa)/12,0)*AN$9</f>
        <v>0</v>
      </c>
      <c r="AO132" s="48" t="n">
        <f aca="false">IF((36-N(P_L3_Mes)+1)&gt;=1,IF((36-N(P_L3_Mes)+1)=1,N(P_L3_Monto),AN$134)*N(P_L3_Tasa)/12,0)*AO$9</f>
        <v>0</v>
      </c>
      <c r="AP132" s="48" t="n">
        <f aca="false">IF((37-N(P_L3_Mes)+1)&gt;=1,IF((37-N(P_L3_Mes)+1)=1,N(P_L3_Monto),AO$134)*N(P_L3_Tasa)/12,0)*AP$9</f>
        <v>0</v>
      </c>
      <c r="AQ132" s="48" t="n">
        <f aca="false">IF((38-N(P_L3_Mes)+1)&gt;=1,IF((38-N(P_L3_Mes)+1)=1,N(P_L3_Monto),AP$134)*N(P_L3_Tasa)/12,0)*AQ$9</f>
        <v>0</v>
      </c>
      <c r="AR132" s="48" t="n">
        <f aca="false">IF((39-N(P_L3_Mes)+1)&gt;=1,IF((39-N(P_L3_Mes)+1)=1,N(P_L3_Monto),AQ$134)*N(P_L3_Tasa)/12,0)*AR$9</f>
        <v>0</v>
      </c>
      <c r="AS132" s="48" t="n">
        <f aca="false">IF((40-N(P_L3_Mes)+1)&gt;=1,IF((40-N(P_L3_Mes)+1)=1,N(P_L3_Monto),AR$134)*N(P_L3_Tasa)/12,0)*AS$9</f>
        <v>0</v>
      </c>
      <c r="AT132" s="48" t="n">
        <f aca="false">IF((41-N(P_L3_Mes)+1)&gt;=1,IF((41-N(P_L3_Mes)+1)=1,N(P_L3_Monto),AS$134)*N(P_L3_Tasa)/12,0)*AT$9</f>
        <v>0</v>
      </c>
      <c r="AU132" s="48" t="n">
        <f aca="false">IF((42-N(P_L3_Mes)+1)&gt;=1,IF((42-N(P_L3_Mes)+1)=1,N(P_L3_Monto),AT$134)*N(P_L3_Tasa)/12,0)*AU$9</f>
        <v>0</v>
      </c>
      <c r="AV132" s="48" t="n">
        <f aca="false">IF((43-N(P_L3_Mes)+1)&gt;=1,IF((43-N(P_L3_Mes)+1)=1,N(P_L3_Monto),AU$134)*N(P_L3_Tasa)/12,0)*AV$9</f>
        <v>0</v>
      </c>
      <c r="AW132" s="48" t="n">
        <f aca="false">IF((44-N(P_L3_Mes)+1)&gt;=1,IF((44-N(P_L3_Mes)+1)=1,N(P_L3_Monto),AV$134)*N(P_L3_Tasa)/12,0)*AW$9</f>
        <v>0</v>
      </c>
      <c r="AX132" s="48" t="n">
        <f aca="false">IF((45-N(P_L3_Mes)+1)&gt;=1,IF((45-N(P_L3_Mes)+1)=1,N(P_L3_Monto),AW$134)*N(P_L3_Tasa)/12,0)*AX$9</f>
        <v>0</v>
      </c>
      <c r="AY132" s="48" t="n">
        <f aca="false">IF((46-N(P_L3_Mes)+1)&gt;=1,IF((46-N(P_L3_Mes)+1)=1,N(P_L3_Monto),AX$134)*N(P_L3_Tasa)/12,0)*AY$9</f>
        <v>0</v>
      </c>
      <c r="AZ132" s="48" t="n">
        <f aca="false">IF((47-N(P_L3_Mes)+1)&gt;=1,IF((47-N(P_L3_Mes)+1)=1,N(P_L3_Monto),AY$134)*N(P_L3_Tasa)/12,0)*AZ$9</f>
        <v>0</v>
      </c>
      <c r="BA132" s="48" t="n">
        <f aca="false">IF((48-N(P_L3_Mes)+1)&gt;=1,IF((48-N(P_L3_Mes)+1)=1,N(P_L3_Monto),AZ$134)*N(P_L3_Tasa)/12,0)*BA$9</f>
        <v>0</v>
      </c>
      <c r="BB132" s="48" t="n">
        <f aca="false">IF((49-N(P_L3_Mes)+1)&gt;=1,IF((49-N(P_L3_Mes)+1)=1,N(P_L3_Monto),BA$134)*N(P_L3_Tasa)/12,0)*BB$9</f>
        <v>0</v>
      </c>
      <c r="BC132" s="48" t="n">
        <f aca="false">IF((50-N(P_L3_Mes)+1)&gt;=1,IF((50-N(P_L3_Mes)+1)=1,N(P_L3_Monto),BB$134)*N(P_L3_Tasa)/12,0)*BC$9</f>
        <v>0</v>
      </c>
      <c r="BD132" s="48" t="n">
        <f aca="false">IF((51-N(P_L3_Mes)+1)&gt;=1,IF((51-N(P_L3_Mes)+1)=1,N(P_L3_Monto),BC$134)*N(P_L3_Tasa)/12,0)*BD$9</f>
        <v>0</v>
      </c>
      <c r="BE132" s="48" t="n">
        <f aca="false">IF((52-N(P_L3_Mes)+1)&gt;=1,IF((52-N(P_L3_Mes)+1)=1,N(P_L3_Monto),BD$134)*N(P_L3_Tasa)/12,0)*BE$9</f>
        <v>0</v>
      </c>
      <c r="BF132" s="48" t="n">
        <f aca="false">IF((53-N(P_L3_Mes)+1)&gt;=1,IF((53-N(P_L3_Mes)+1)=1,N(P_L3_Monto),BE$134)*N(P_L3_Tasa)/12,0)*BF$9</f>
        <v>0</v>
      </c>
      <c r="BG132" s="48" t="n">
        <f aca="false">IF((54-N(P_L3_Mes)+1)&gt;=1,IF((54-N(P_L3_Mes)+1)=1,N(P_L3_Monto),BF$134)*N(P_L3_Tasa)/12,0)*BG$9</f>
        <v>0</v>
      </c>
      <c r="BH132" s="48" t="n">
        <f aca="false">IF((55-N(P_L3_Mes)+1)&gt;=1,IF((55-N(P_L3_Mes)+1)=1,N(P_L3_Monto),BG$134)*N(P_L3_Tasa)/12,0)*BH$9</f>
        <v>0</v>
      </c>
      <c r="BI132" s="48" t="n">
        <f aca="false">IF((56-N(P_L3_Mes)+1)&gt;=1,IF((56-N(P_L3_Mes)+1)=1,N(P_L3_Monto),BH$134)*N(P_L3_Tasa)/12,0)*BI$9</f>
        <v>0</v>
      </c>
      <c r="BJ132" s="48" t="n">
        <f aca="false">IF((57-N(P_L3_Mes)+1)&gt;=1,IF((57-N(P_L3_Mes)+1)=1,N(P_L3_Monto),BI$134)*N(P_L3_Tasa)/12,0)*BJ$9</f>
        <v>0</v>
      </c>
      <c r="BK132" s="48" t="n">
        <f aca="false">IF((58-N(P_L3_Mes)+1)&gt;=1,IF((58-N(P_L3_Mes)+1)=1,N(P_L3_Monto),BJ$134)*N(P_L3_Tasa)/12,0)*BK$9</f>
        <v>0</v>
      </c>
      <c r="BL132" s="48" t="n">
        <f aca="false">IF((59-N(P_L3_Mes)+1)&gt;=1,IF((59-N(P_L3_Mes)+1)=1,N(P_L3_Monto),BK$134)*N(P_L3_Tasa)/12,0)*BL$9</f>
        <v>0</v>
      </c>
      <c r="BM132" s="48" t="n">
        <f aca="false">IF((60-N(P_L3_Mes)+1)&gt;=1,IF((60-N(P_L3_Mes)+1)=1,N(P_L3_Monto),BL$134)*N(P_L3_Tasa)/12,0)*BM$9</f>
        <v>0</v>
      </c>
      <c r="BN132" s="48" t="n">
        <f aca="false">IF((61-N(P_L3_Mes)+1)&gt;=1,IF((61-N(P_L3_Mes)+1)=1,N(P_L3_Monto),BM$134)*N(P_L3_Tasa)/12,0)*BN$9</f>
        <v>0</v>
      </c>
      <c r="BO132" s="48" t="n">
        <f aca="false">IF((62-N(P_L3_Mes)+1)&gt;=1,IF((62-N(P_L3_Mes)+1)=1,N(P_L3_Monto),BN$134)*N(P_L3_Tasa)/12,0)*BO$9</f>
        <v>0</v>
      </c>
      <c r="BP132" s="48" t="n">
        <f aca="false">IF((63-N(P_L3_Mes)+1)&gt;=1,IF((63-N(P_L3_Mes)+1)=1,N(P_L3_Monto),BO$134)*N(P_L3_Tasa)/12,0)*BP$9</f>
        <v>0</v>
      </c>
      <c r="BQ132" s="48" t="n">
        <f aca="false">IF((64-N(P_L3_Mes)+1)&gt;=1,IF((64-N(P_L3_Mes)+1)=1,N(P_L3_Monto),BP$134)*N(P_L3_Tasa)/12,0)*BQ$9</f>
        <v>0</v>
      </c>
      <c r="BR132" s="48" t="n">
        <f aca="false">IF((65-N(P_L3_Mes)+1)&gt;=1,IF((65-N(P_L3_Mes)+1)=1,N(P_L3_Monto),BQ$134)*N(P_L3_Tasa)/12,0)*BR$9</f>
        <v>0</v>
      </c>
      <c r="BS132" s="48" t="n">
        <f aca="false">IF((66-N(P_L3_Mes)+1)&gt;=1,IF((66-N(P_L3_Mes)+1)=1,N(P_L3_Monto),BR$134)*N(P_L3_Tasa)/12,0)*BS$9</f>
        <v>0</v>
      </c>
      <c r="BT132" s="48" t="n">
        <f aca="false">IF((67-N(P_L3_Mes)+1)&gt;=1,IF((67-N(P_L3_Mes)+1)=1,N(P_L3_Monto),BS$134)*N(P_L3_Tasa)/12,0)*BT$9</f>
        <v>0</v>
      </c>
      <c r="BU132" s="48" t="n">
        <f aca="false">IF((68-N(P_L3_Mes)+1)&gt;=1,IF((68-N(P_L3_Mes)+1)=1,N(P_L3_Monto),BT$134)*N(P_L3_Tasa)/12,0)*BU$9</f>
        <v>0</v>
      </c>
      <c r="BV132" s="48" t="n">
        <f aca="false">IF((69-N(P_L3_Mes)+1)&gt;=1,IF((69-N(P_L3_Mes)+1)=1,N(P_L3_Monto),BU$134)*N(P_L3_Tasa)/12,0)*BV$9</f>
        <v>0</v>
      </c>
      <c r="BW132" s="48" t="n">
        <f aca="false">IF((70-N(P_L3_Mes)+1)&gt;=1,IF((70-N(P_L3_Mes)+1)=1,N(P_L3_Monto),BV$134)*N(P_L3_Tasa)/12,0)*BW$9</f>
        <v>0</v>
      </c>
      <c r="BX132" s="48" t="n">
        <f aca="false">IF((71-N(P_L3_Mes)+1)&gt;=1,IF((71-N(P_L3_Mes)+1)=1,N(P_L3_Monto),BW$134)*N(P_L3_Tasa)/12,0)*BX$9</f>
        <v>0</v>
      </c>
      <c r="BY132" s="48" t="n">
        <f aca="false">IF((72-N(P_L3_Mes)+1)&gt;=1,IF((72-N(P_L3_Mes)+1)=1,N(P_L3_Monto),BX$134)*N(P_L3_Tasa)/12,0)*BY$9</f>
        <v>0</v>
      </c>
      <c r="BZ132" s="48" t="n">
        <f aca="false">IF((73-N(P_L3_Mes)+1)&gt;=1,IF((73-N(P_L3_Mes)+1)=1,N(P_L3_Monto),BY$134)*N(P_L3_Tasa)/12,0)*BZ$9</f>
        <v>0</v>
      </c>
      <c r="CA132" s="48" t="n">
        <f aca="false">IF((74-N(P_L3_Mes)+1)&gt;=1,IF((74-N(P_L3_Mes)+1)=1,N(P_L3_Monto),BZ$134)*N(P_L3_Tasa)/12,0)*CA$9</f>
        <v>0</v>
      </c>
      <c r="CB132" s="48" t="n">
        <f aca="false">IF((75-N(P_L3_Mes)+1)&gt;=1,IF((75-N(P_L3_Mes)+1)=1,N(P_L3_Monto),CA$134)*N(P_L3_Tasa)/12,0)*CB$9</f>
        <v>0</v>
      </c>
      <c r="CC132" s="48" t="n">
        <f aca="false">IF((76-N(P_L3_Mes)+1)&gt;=1,IF((76-N(P_L3_Mes)+1)=1,N(P_L3_Monto),CB$134)*N(P_L3_Tasa)/12,0)*CC$9</f>
        <v>0</v>
      </c>
      <c r="CD132" s="48" t="n">
        <f aca="false">IF((77-N(P_L3_Mes)+1)&gt;=1,IF((77-N(P_L3_Mes)+1)=1,N(P_L3_Monto),CC$134)*N(P_L3_Tasa)/12,0)*CD$9</f>
        <v>0</v>
      </c>
      <c r="CE132" s="48" t="n">
        <f aca="false">IF((78-N(P_L3_Mes)+1)&gt;=1,IF((78-N(P_L3_Mes)+1)=1,N(P_L3_Monto),CD$134)*N(P_L3_Tasa)/12,0)*CE$9</f>
        <v>0</v>
      </c>
      <c r="CF132" s="48" t="n">
        <f aca="false">IF((79-N(P_L3_Mes)+1)&gt;=1,IF((79-N(P_L3_Mes)+1)=1,N(P_L3_Monto),CE$134)*N(P_L3_Tasa)/12,0)*CF$9</f>
        <v>0</v>
      </c>
      <c r="CG132" s="48" t="n">
        <f aca="false">IF((80-N(P_L3_Mes)+1)&gt;=1,IF((80-N(P_L3_Mes)+1)=1,N(P_L3_Monto),CF$134)*N(P_L3_Tasa)/12,0)*CG$9</f>
        <v>0</v>
      </c>
      <c r="CH132" s="48" t="n">
        <f aca="false">IF((81-N(P_L3_Mes)+1)&gt;=1,IF((81-N(P_L3_Mes)+1)=1,N(P_L3_Monto),CG$134)*N(P_L3_Tasa)/12,0)*CH$9</f>
        <v>0</v>
      </c>
      <c r="CI132" s="48" t="n">
        <f aca="false">IF((82-N(P_L3_Mes)+1)&gt;=1,IF((82-N(P_L3_Mes)+1)=1,N(P_L3_Monto),CH$134)*N(P_L3_Tasa)/12,0)*CI$9</f>
        <v>0</v>
      </c>
      <c r="CJ132" s="48" t="n">
        <f aca="false">IF((83-N(P_L3_Mes)+1)&gt;=1,IF((83-N(P_L3_Mes)+1)=1,N(P_L3_Monto),CI$134)*N(P_L3_Tasa)/12,0)*CJ$9</f>
        <v>0</v>
      </c>
      <c r="CK132" s="48" t="n">
        <f aca="false">IF((84-N(P_L3_Mes)+1)&gt;=1,IF((84-N(P_L3_Mes)+1)=1,N(P_L3_Monto),CJ$134)*N(P_L3_Tasa)/12,0)*CK$9</f>
        <v>0</v>
      </c>
      <c r="CL132" s="48" t="n">
        <f aca="false">IF((85-N(P_L3_Mes)+1)&gt;=1,IF((85-N(P_L3_Mes)+1)=1,N(P_L3_Monto),CK$134)*N(P_L3_Tasa)/12,0)*CL$9</f>
        <v>0</v>
      </c>
      <c r="CM132" s="48" t="n">
        <f aca="false">IF((86-N(P_L3_Mes)+1)&gt;=1,IF((86-N(P_L3_Mes)+1)=1,N(P_L3_Monto),CL$134)*N(P_L3_Tasa)/12,0)*CM$9</f>
        <v>0</v>
      </c>
      <c r="CN132" s="48" t="n">
        <f aca="false">IF((87-N(P_L3_Mes)+1)&gt;=1,IF((87-N(P_L3_Mes)+1)=1,N(P_L3_Monto),CM$134)*N(P_L3_Tasa)/12,0)*CN$9</f>
        <v>0</v>
      </c>
      <c r="CO132" s="48" t="n">
        <f aca="false">IF((88-N(P_L3_Mes)+1)&gt;=1,IF((88-N(P_L3_Mes)+1)=1,N(P_L3_Monto),CN$134)*N(P_L3_Tasa)/12,0)*CO$9</f>
        <v>0</v>
      </c>
      <c r="CP132" s="48" t="n">
        <f aca="false">IF((89-N(P_L3_Mes)+1)&gt;=1,IF((89-N(P_L3_Mes)+1)=1,N(P_L3_Monto),CO$134)*N(P_L3_Tasa)/12,0)*CP$9</f>
        <v>0</v>
      </c>
      <c r="CQ132" s="48" t="n">
        <f aca="false">IF((90-N(P_L3_Mes)+1)&gt;=1,IF((90-N(P_L3_Mes)+1)=1,N(P_L3_Monto),CP$134)*N(P_L3_Tasa)/12,0)*CQ$9</f>
        <v>0</v>
      </c>
      <c r="CR132" s="48" t="n">
        <f aca="false">IF((91-N(P_L3_Mes)+1)&gt;=1,IF((91-N(P_L3_Mes)+1)=1,N(P_L3_Monto),CQ$134)*N(P_L3_Tasa)/12,0)*CR$9</f>
        <v>0</v>
      </c>
      <c r="CS132" s="48" t="n">
        <f aca="false">IF((92-N(P_L3_Mes)+1)&gt;=1,IF((92-N(P_L3_Mes)+1)=1,N(P_L3_Monto),CR$134)*N(P_L3_Tasa)/12,0)*CS$9</f>
        <v>0</v>
      </c>
      <c r="CT132" s="48" t="n">
        <f aca="false">IF((93-N(P_L3_Mes)+1)&gt;=1,IF((93-N(P_L3_Mes)+1)=1,N(P_L3_Monto),CS$134)*N(P_L3_Tasa)/12,0)*CT$9</f>
        <v>0</v>
      </c>
      <c r="CU132" s="48" t="n">
        <f aca="false">IF((94-N(P_L3_Mes)+1)&gt;=1,IF((94-N(P_L3_Mes)+1)=1,N(P_L3_Monto),CT$134)*N(P_L3_Tasa)/12,0)*CU$9</f>
        <v>0</v>
      </c>
      <c r="CV132" s="48" t="n">
        <f aca="false">IF((95-N(P_L3_Mes)+1)&gt;=1,IF((95-N(P_L3_Mes)+1)=1,N(P_L3_Monto),CU$134)*N(P_L3_Tasa)/12,0)*CV$9</f>
        <v>0</v>
      </c>
      <c r="CW132" s="48" t="n">
        <f aca="false">IF((96-N(P_L3_Mes)+1)&gt;=1,IF((96-N(P_L3_Mes)+1)=1,N(P_L3_Monto),CV$134)*N(P_L3_Tasa)/12,0)*CW$9</f>
        <v>0</v>
      </c>
      <c r="CX132" s="48" t="n">
        <f aca="false">IF((97-N(P_L3_Mes)+1)&gt;=1,IF((97-N(P_L3_Mes)+1)=1,N(P_L3_Monto),CW$134)*N(P_L3_Tasa)/12,0)*CX$9</f>
        <v>0</v>
      </c>
      <c r="CY132" s="48" t="n">
        <f aca="false">IF((98-N(P_L3_Mes)+1)&gt;=1,IF((98-N(P_L3_Mes)+1)=1,N(P_L3_Monto),CX$134)*N(P_L3_Tasa)/12,0)*CY$9</f>
        <v>0</v>
      </c>
      <c r="CZ132" s="48" t="n">
        <f aca="false">IF((99-N(P_L3_Mes)+1)&gt;=1,IF((99-N(P_L3_Mes)+1)=1,N(P_L3_Monto),CY$134)*N(P_L3_Tasa)/12,0)*CZ$9</f>
        <v>0</v>
      </c>
      <c r="DA132" s="48" t="n">
        <f aca="false">IF((100-N(P_L3_Mes)+1)&gt;=1,IF((100-N(P_L3_Mes)+1)=1,N(P_L3_Monto),CZ$134)*N(P_L3_Tasa)/12,0)*DA$9</f>
        <v>0</v>
      </c>
      <c r="DB132" s="48" t="n">
        <f aca="false">IF((101-N(P_L3_Mes)+1)&gt;=1,IF((101-N(P_L3_Mes)+1)=1,N(P_L3_Monto),DA$134)*N(P_L3_Tasa)/12,0)*DB$9</f>
        <v>0</v>
      </c>
      <c r="DC132" s="48" t="n">
        <f aca="false">IF((102-N(P_L3_Mes)+1)&gt;=1,IF((102-N(P_L3_Mes)+1)=1,N(P_L3_Monto),DB$134)*N(P_L3_Tasa)/12,0)*DC$9</f>
        <v>0</v>
      </c>
      <c r="DD132" s="48" t="n">
        <f aca="false">IF((103-N(P_L3_Mes)+1)&gt;=1,IF((103-N(P_L3_Mes)+1)=1,N(P_L3_Monto),DC$134)*N(P_L3_Tasa)/12,0)*DD$9</f>
        <v>0</v>
      </c>
      <c r="DE132" s="48" t="n">
        <f aca="false">IF((104-N(P_L3_Mes)+1)&gt;=1,IF((104-N(P_L3_Mes)+1)=1,N(P_L3_Monto),DD$134)*N(P_L3_Tasa)/12,0)*DE$9</f>
        <v>0</v>
      </c>
      <c r="DF132" s="48" t="n">
        <f aca="false">IF((105-N(P_L3_Mes)+1)&gt;=1,IF((105-N(P_L3_Mes)+1)=1,N(P_L3_Monto),DE$134)*N(P_L3_Tasa)/12,0)*DF$9</f>
        <v>0</v>
      </c>
      <c r="DG132" s="48" t="n">
        <f aca="false">IF((106-N(P_L3_Mes)+1)&gt;=1,IF((106-N(P_L3_Mes)+1)=1,N(P_L3_Monto),DF$134)*N(P_L3_Tasa)/12,0)*DG$9</f>
        <v>0</v>
      </c>
      <c r="DH132" s="48" t="n">
        <f aca="false">IF((107-N(P_L3_Mes)+1)&gt;=1,IF((107-N(P_L3_Mes)+1)=1,N(P_L3_Monto),DG$134)*N(P_L3_Tasa)/12,0)*DH$9</f>
        <v>0</v>
      </c>
      <c r="DI132" s="48" t="n">
        <f aca="false">IF((108-N(P_L3_Mes)+1)&gt;=1,IF((108-N(P_L3_Mes)+1)=1,N(P_L3_Monto),DH$134)*N(P_L3_Tasa)/12,0)*DI$9</f>
        <v>0</v>
      </c>
      <c r="DJ132" s="48" t="n">
        <f aca="false">IF((109-N(P_L3_Mes)+1)&gt;=1,IF((109-N(P_L3_Mes)+1)=1,N(P_L3_Monto),DI$134)*N(P_L3_Tasa)/12,0)*DJ$9</f>
        <v>0</v>
      </c>
      <c r="DK132" s="48" t="n">
        <f aca="false">IF((110-N(P_L3_Mes)+1)&gt;=1,IF((110-N(P_L3_Mes)+1)=1,N(P_L3_Monto),DJ$134)*N(P_L3_Tasa)/12,0)*DK$9</f>
        <v>0</v>
      </c>
      <c r="DL132" s="48" t="n">
        <f aca="false">IF((111-N(P_L3_Mes)+1)&gt;=1,IF((111-N(P_L3_Mes)+1)=1,N(P_L3_Monto),DK$134)*N(P_L3_Tasa)/12,0)*DL$9</f>
        <v>0</v>
      </c>
      <c r="DM132" s="48" t="n">
        <f aca="false">IF((112-N(P_L3_Mes)+1)&gt;=1,IF((112-N(P_L3_Mes)+1)=1,N(P_L3_Monto),DL$134)*N(P_L3_Tasa)/12,0)*DM$9</f>
        <v>0</v>
      </c>
      <c r="DN132" s="48" t="n">
        <f aca="false">IF((113-N(P_L3_Mes)+1)&gt;=1,IF((113-N(P_L3_Mes)+1)=1,N(P_L3_Monto),DM$134)*N(P_L3_Tasa)/12,0)*DN$9</f>
        <v>0</v>
      </c>
      <c r="DO132" s="48" t="n">
        <f aca="false">IF((114-N(P_L3_Mes)+1)&gt;=1,IF((114-N(P_L3_Mes)+1)=1,N(P_L3_Monto),DN$134)*N(P_L3_Tasa)/12,0)*DO$9</f>
        <v>0</v>
      </c>
      <c r="DP132" s="48" t="n">
        <f aca="false">IF((115-N(P_L3_Mes)+1)&gt;=1,IF((115-N(P_L3_Mes)+1)=1,N(P_L3_Monto),DO$134)*N(P_L3_Tasa)/12,0)*DP$9</f>
        <v>0</v>
      </c>
      <c r="DQ132" s="48" t="n">
        <f aca="false">IF((116-N(P_L3_Mes)+1)&gt;=1,IF((116-N(P_L3_Mes)+1)=1,N(P_L3_Monto),DP$134)*N(P_L3_Tasa)/12,0)*DQ$9</f>
        <v>0</v>
      </c>
      <c r="DR132" s="48" t="n">
        <f aca="false">IF((117-N(P_L3_Mes)+1)&gt;=1,IF((117-N(P_L3_Mes)+1)=1,N(P_L3_Monto),DQ$134)*N(P_L3_Tasa)/12,0)*DR$9</f>
        <v>0</v>
      </c>
      <c r="DS132" s="48" t="n">
        <f aca="false">IF((118-N(P_L3_Mes)+1)&gt;=1,IF((118-N(P_L3_Mes)+1)=1,N(P_L3_Monto),DR$134)*N(P_L3_Tasa)/12,0)*DS$9</f>
        <v>0</v>
      </c>
      <c r="DT132" s="48" t="n">
        <f aca="false">IF((119-N(P_L3_Mes)+1)&gt;=1,IF((119-N(P_L3_Mes)+1)=1,N(P_L3_Monto),DS$134)*N(P_L3_Tasa)/12,0)*DT$9</f>
        <v>0</v>
      </c>
      <c r="DU132" s="48" t="n">
        <f aca="false">IF((120-N(P_L3_Mes)+1)&gt;=1,IF((120-N(P_L3_Mes)+1)=1,N(P_L3_Monto),DT$134)*N(P_L3_Tasa)/12,0)*DU$9</f>
        <v>0</v>
      </c>
      <c r="DV132" s="48" t="n">
        <f aca="false">IF((121-N(P_L3_Mes)+1)&gt;=1,IF((121-N(P_L3_Mes)+1)=1,N(P_L3_Monto),DU$134)*N(P_L3_Tasa)/12,0)*DV$9</f>
        <v>0</v>
      </c>
      <c r="DW132" s="48" t="n">
        <f aca="false">IF((122-N(P_L3_Mes)+1)&gt;=1,IF((122-N(P_L3_Mes)+1)=1,N(P_L3_Monto),DV$134)*N(P_L3_Tasa)/12,0)*DW$9</f>
        <v>0</v>
      </c>
      <c r="DX132" s="48" t="n">
        <f aca="false">IF((123-N(P_L3_Mes)+1)&gt;=1,IF((123-N(P_L3_Mes)+1)=1,N(P_L3_Monto),DW$134)*N(P_L3_Tasa)/12,0)*DX$9</f>
        <v>0</v>
      </c>
      <c r="DY132" s="48" t="n">
        <f aca="false">IF((124-N(P_L3_Mes)+1)&gt;=1,IF((124-N(P_L3_Mes)+1)=1,N(P_L3_Monto),DX$134)*N(P_L3_Tasa)/12,0)*DY$9</f>
        <v>0</v>
      </c>
      <c r="DZ132" s="48" t="n">
        <f aca="false">IF((125-N(P_L3_Mes)+1)&gt;=1,IF((125-N(P_L3_Mes)+1)=1,N(P_L3_Monto),DY$134)*N(P_L3_Tasa)/12,0)*DZ$9</f>
        <v>0</v>
      </c>
      <c r="EA132" s="48" t="n">
        <f aca="false">IF((126-N(P_L3_Mes)+1)&gt;=1,IF((126-N(P_L3_Mes)+1)=1,N(P_L3_Monto),DZ$134)*N(P_L3_Tasa)/12,0)*EA$9</f>
        <v>0</v>
      </c>
      <c r="EB132" s="48" t="n">
        <f aca="false">IF((127-N(P_L3_Mes)+1)&gt;=1,IF((127-N(P_L3_Mes)+1)=1,N(P_L3_Monto),EA$134)*N(P_L3_Tasa)/12,0)*EB$9</f>
        <v>0</v>
      </c>
      <c r="EC132" s="48" t="n">
        <f aca="false">IF((128-N(P_L3_Mes)+1)&gt;=1,IF((128-N(P_L3_Mes)+1)=1,N(P_L3_Monto),EB$134)*N(P_L3_Tasa)/12,0)*EC$9</f>
        <v>0</v>
      </c>
      <c r="ED132" s="48" t="n">
        <f aca="false">IF((129-N(P_L3_Mes)+1)&gt;=1,IF((129-N(P_L3_Mes)+1)=1,N(P_L3_Monto),EC$134)*N(P_L3_Tasa)/12,0)*ED$9</f>
        <v>0</v>
      </c>
      <c r="EE132" s="48" t="n">
        <f aca="false">IF((130-N(P_L3_Mes)+1)&gt;=1,IF((130-N(P_L3_Mes)+1)=1,N(P_L3_Monto),ED$134)*N(P_L3_Tasa)/12,0)*EE$9</f>
        <v>0</v>
      </c>
      <c r="EF132" s="48" t="n">
        <f aca="false">IF((131-N(P_L3_Mes)+1)&gt;=1,IF((131-N(P_L3_Mes)+1)=1,N(P_L3_Monto),EE$134)*N(P_L3_Tasa)/12,0)*EF$9</f>
        <v>0</v>
      </c>
      <c r="EG132" s="48" t="n">
        <f aca="false">IF((132-N(P_L3_Mes)+1)&gt;=1,IF((132-N(P_L3_Mes)+1)=1,N(P_L3_Monto),EF$134)*N(P_L3_Tasa)/12,0)*EG$9</f>
        <v>0</v>
      </c>
      <c r="EH132" s="48" t="n">
        <f aca="false">IF((133-N(P_L3_Mes)+1)&gt;=1,IF((133-N(P_L3_Mes)+1)=1,N(P_L3_Monto),EG$134)*N(P_L3_Tasa)/12,0)*EH$9</f>
        <v>0</v>
      </c>
      <c r="EI132" s="48" t="n">
        <f aca="false">IF((134-N(P_L3_Mes)+1)&gt;=1,IF((134-N(P_L3_Mes)+1)=1,N(P_L3_Monto),EH$134)*N(P_L3_Tasa)/12,0)*EI$9</f>
        <v>0</v>
      </c>
      <c r="EJ132" s="48" t="n">
        <f aca="false">IF((135-N(P_L3_Mes)+1)&gt;=1,IF((135-N(P_L3_Mes)+1)=1,N(P_L3_Monto),EI$134)*N(P_L3_Tasa)/12,0)*EJ$9</f>
        <v>0</v>
      </c>
      <c r="EK132" s="48" t="n">
        <f aca="false">IF((136-N(P_L3_Mes)+1)&gt;=1,IF((136-N(P_L3_Mes)+1)=1,N(P_L3_Monto),EJ$134)*N(P_L3_Tasa)/12,0)*EK$9</f>
        <v>0</v>
      </c>
      <c r="EL132" s="48" t="n">
        <f aca="false">IF((137-N(P_L3_Mes)+1)&gt;=1,IF((137-N(P_L3_Mes)+1)=1,N(P_L3_Monto),EK$134)*N(P_L3_Tasa)/12,0)*EL$9</f>
        <v>0</v>
      </c>
      <c r="EM132" s="48" t="n">
        <f aca="false">IF((138-N(P_L3_Mes)+1)&gt;=1,IF((138-N(P_L3_Mes)+1)=1,N(P_L3_Monto),EL$134)*N(P_L3_Tasa)/12,0)*EM$9</f>
        <v>0</v>
      </c>
      <c r="EN132" s="48" t="n">
        <f aca="false">IF((139-N(P_L3_Mes)+1)&gt;=1,IF((139-N(P_L3_Mes)+1)=1,N(P_L3_Monto),EM$134)*N(P_L3_Tasa)/12,0)*EN$9</f>
        <v>0</v>
      </c>
      <c r="EO132" s="48" t="n">
        <f aca="false">IF((140-N(P_L3_Mes)+1)&gt;=1,IF((140-N(P_L3_Mes)+1)=1,N(P_L3_Monto),EN$134)*N(P_L3_Tasa)/12,0)*EO$9</f>
        <v>0</v>
      </c>
      <c r="EP132" s="48" t="n">
        <f aca="false">IF((141-N(P_L3_Mes)+1)&gt;=1,IF((141-N(P_L3_Mes)+1)=1,N(P_L3_Monto),EO$134)*N(P_L3_Tasa)/12,0)*EP$9</f>
        <v>0</v>
      </c>
      <c r="EQ132" s="48" t="n">
        <f aca="false">IF((142-N(P_L3_Mes)+1)&gt;=1,IF((142-N(P_L3_Mes)+1)=1,N(P_L3_Monto),EP$134)*N(P_L3_Tasa)/12,0)*EQ$9</f>
        <v>0</v>
      </c>
      <c r="ER132" s="48" t="n">
        <f aca="false">IF((143-N(P_L3_Mes)+1)&gt;=1,IF((143-N(P_L3_Mes)+1)=1,N(P_L3_Monto),EQ$134)*N(P_L3_Tasa)/12,0)*ER$9</f>
        <v>0</v>
      </c>
      <c r="ES132" s="48" t="n">
        <f aca="false">IF((144-N(P_L3_Mes)+1)&gt;=1,IF((144-N(P_L3_Mes)+1)=1,N(P_L3_Monto),ER$134)*N(P_L3_Tasa)/12,0)*ES$9</f>
        <v>0</v>
      </c>
    </row>
    <row r="133" customFormat="false" ht="15" hidden="false" customHeight="false" outlineLevel="0" collapsed="false">
      <c r="A133" s="11" t="s">
        <v>1230</v>
      </c>
      <c r="B133" s="15" t="s">
        <v>1231</v>
      </c>
      <c r="C133" s="15" t="s">
        <v>508</v>
      </c>
      <c r="E133" s="54" t="n">
        <f aca="false">SUM(F133:ES133)</f>
        <v>0</v>
      </c>
      <c r="F133" s="48" t="n">
        <f aca="false">IF(AND((1-N(P_L3_Mes)+1)&gt;N(P_L3_Gracia),(1-N(P_L3_Mes)+1)&lt;=N(P_L3_Gracia)+N(P_L3_Cuotas),N(P_L3_Cuotas)&gt;0),IF((1-N(P_L3_Mes)+1)=N(P_L3_Gracia)+N(P_L3_Cuotas),IF((1-N(P_L3_Mes)+1)=1,N(P_L3_Monto),0),PMT(N(P_L3_Tasa)/12,N(P_L3_Cuotas),-N(P_L3_Monto))-F$132),0)*F$9</f>
        <v>0</v>
      </c>
      <c r="G133" s="48" t="n">
        <f aca="false">IF(AND((2-N(P_L3_Mes)+1)&gt;N(P_L3_Gracia),(2-N(P_L3_Mes)+1)&lt;=N(P_L3_Gracia)+N(P_L3_Cuotas),N(P_L3_Cuotas)&gt;0),IF((2-N(P_L3_Mes)+1)=N(P_L3_Gracia)+N(P_L3_Cuotas),IF((2-N(P_L3_Mes)+1)=1,N(P_L3_Monto),F$134),PMT(N(P_L3_Tasa)/12,N(P_L3_Cuotas),-N(P_L3_Monto))-G$132),0)*G$9</f>
        <v>0</v>
      </c>
      <c r="H133" s="48" t="n">
        <f aca="false">IF(AND((3-N(P_L3_Mes)+1)&gt;N(P_L3_Gracia),(3-N(P_L3_Mes)+1)&lt;=N(P_L3_Gracia)+N(P_L3_Cuotas),N(P_L3_Cuotas)&gt;0),IF((3-N(P_L3_Mes)+1)=N(P_L3_Gracia)+N(P_L3_Cuotas),IF((3-N(P_L3_Mes)+1)=1,N(P_L3_Monto),G$134),PMT(N(P_L3_Tasa)/12,N(P_L3_Cuotas),-N(P_L3_Monto))-H$132),0)*H$9</f>
        <v>0</v>
      </c>
      <c r="I133" s="48" t="n">
        <f aca="false">IF(AND((4-N(P_L3_Mes)+1)&gt;N(P_L3_Gracia),(4-N(P_L3_Mes)+1)&lt;=N(P_L3_Gracia)+N(P_L3_Cuotas),N(P_L3_Cuotas)&gt;0),IF((4-N(P_L3_Mes)+1)=N(P_L3_Gracia)+N(P_L3_Cuotas),IF((4-N(P_L3_Mes)+1)=1,N(P_L3_Monto),H$134),PMT(N(P_L3_Tasa)/12,N(P_L3_Cuotas),-N(P_L3_Monto))-I$132),0)*I$9</f>
        <v>0</v>
      </c>
      <c r="J133" s="48" t="n">
        <f aca="false">IF(AND((5-N(P_L3_Mes)+1)&gt;N(P_L3_Gracia),(5-N(P_L3_Mes)+1)&lt;=N(P_L3_Gracia)+N(P_L3_Cuotas),N(P_L3_Cuotas)&gt;0),IF((5-N(P_L3_Mes)+1)=N(P_L3_Gracia)+N(P_L3_Cuotas),IF((5-N(P_L3_Mes)+1)=1,N(P_L3_Monto),I$134),PMT(N(P_L3_Tasa)/12,N(P_L3_Cuotas),-N(P_L3_Monto))-J$132),0)*J$9</f>
        <v>0</v>
      </c>
      <c r="K133" s="48" t="n">
        <f aca="false">IF(AND((6-N(P_L3_Mes)+1)&gt;N(P_L3_Gracia),(6-N(P_L3_Mes)+1)&lt;=N(P_L3_Gracia)+N(P_L3_Cuotas),N(P_L3_Cuotas)&gt;0),IF((6-N(P_L3_Mes)+1)=N(P_L3_Gracia)+N(P_L3_Cuotas),IF((6-N(P_L3_Mes)+1)=1,N(P_L3_Monto),J$134),PMT(N(P_L3_Tasa)/12,N(P_L3_Cuotas),-N(P_L3_Monto))-K$132),0)*K$9</f>
        <v>0</v>
      </c>
      <c r="L133" s="48" t="n">
        <f aca="false">IF(AND((7-N(P_L3_Mes)+1)&gt;N(P_L3_Gracia),(7-N(P_L3_Mes)+1)&lt;=N(P_L3_Gracia)+N(P_L3_Cuotas),N(P_L3_Cuotas)&gt;0),IF((7-N(P_L3_Mes)+1)=N(P_L3_Gracia)+N(P_L3_Cuotas),IF((7-N(P_L3_Mes)+1)=1,N(P_L3_Monto),K$134),PMT(N(P_L3_Tasa)/12,N(P_L3_Cuotas),-N(P_L3_Monto))-L$132),0)*L$9</f>
        <v>0</v>
      </c>
      <c r="M133" s="48" t="n">
        <f aca="false">IF(AND((8-N(P_L3_Mes)+1)&gt;N(P_L3_Gracia),(8-N(P_L3_Mes)+1)&lt;=N(P_L3_Gracia)+N(P_L3_Cuotas),N(P_L3_Cuotas)&gt;0),IF((8-N(P_L3_Mes)+1)=N(P_L3_Gracia)+N(P_L3_Cuotas),IF((8-N(P_L3_Mes)+1)=1,N(P_L3_Monto),L$134),PMT(N(P_L3_Tasa)/12,N(P_L3_Cuotas),-N(P_L3_Monto))-M$132),0)*M$9</f>
        <v>0</v>
      </c>
      <c r="N133" s="48" t="n">
        <f aca="false">IF(AND((9-N(P_L3_Mes)+1)&gt;N(P_L3_Gracia),(9-N(P_L3_Mes)+1)&lt;=N(P_L3_Gracia)+N(P_L3_Cuotas),N(P_L3_Cuotas)&gt;0),IF((9-N(P_L3_Mes)+1)=N(P_L3_Gracia)+N(P_L3_Cuotas),IF((9-N(P_L3_Mes)+1)=1,N(P_L3_Monto),M$134),PMT(N(P_L3_Tasa)/12,N(P_L3_Cuotas),-N(P_L3_Monto))-N$132),0)*N$9</f>
        <v>0</v>
      </c>
      <c r="O133" s="48" t="n">
        <f aca="false">IF(AND((10-N(P_L3_Mes)+1)&gt;N(P_L3_Gracia),(10-N(P_L3_Mes)+1)&lt;=N(P_L3_Gracia)+N(P_L3_Cuotas),N(P_L3_Cuotas)&gt;0),IF((10-N(P_L3_Mes)+1)=N(P_L3_Gracia)+N(P_L3_Cuotas),IF((10-N(P_L3_Mes)+1)=1,N(P_L3_Monto),N$134),PMT(N(P_L3_Tasa)/12,N(P_L3_Cuotas),-N(P_L3_Monto))-O$132),0)*O$9</f>
        <v>0</v>
      </c>
      <c r="P133" s="48" t="n">
        <f aca="false">IF(AND((11-N(P_L3_Mes)+1)&gt;N(P_L3_Gracia),(11-N(P_L3_Mes)+1)&lt;=N(P_L3_Gracia)+N(P_L3_Cuotas),N(P_L3_Cuotas)&gt;0),IF((11-N(P_L3_Mes)+1)=N(P_L3_Gracia)+N(P_L3_Cuotas),IF((11-N(P_L3_Mes)+1)=1,N(P_L3_Monto),O$134),PMT(N(P_L3_Tasa)/12,N(P_L3_Cuotas),-N(P_L3_Monto))-P$132),0)*P$9</f>
        <v>0</v>
      </c>
      <c r="Q133" s="48" t="n">
        <f aca="false">IF(AND((12-N(P_L3_Mes)+1)&gt;N(P_L3_Gracia),(12-N(P_L3_Mes)+1)&lt;=N(P_L3_Gracia)+N(P_L3_Cuotas),N(P_L3_Cuotas)&gt;0),IF((12-N(P_L3_Mes)+1)=N(P_L3_Gracia)+N(P_L3_Cuotas),IF((12-N(P_L3_Mes)+1)=1,N(P_L3_Monto),P$134),PMT(N(P_L3_Tasa)/12,N(P_L3_Cuotas),-N(P_L3_Monto))-Q$132),0)*Q$9</f>
        <v>0</v>
      </c>
      <c r="R133" s="48" t="n">
        <f aca="false">IF(AND((13-N(P_L3_Mes)+1)&gt;N(P_L3_Gracia),(13-N(P_L3_Mes)+1)&lt;=N(P_L3_Gracia)+N(P_L3_Cuotas),N(P_L3_Cuotas)&gt;0),IF((13-N(P_L3_Mes)+1)=N(P_L3_Gracia)+N(P_L3_Cuotas),IF((13-N(P_L3_Mes)+1)=1,N(P_L3_Monto),Q$134),PMT(N(P_L3_Tasa)/12,N(P_L3_Cuotas),-N(P_L3_Monto))-R$132),0)*R$9</f>
        <v>0</v>
      </c>
      <c r="S133" s="48" t="n">
        <f aca="false">IF(AND((14-N(P_L3_Mes)+1)&gt;N(P_L3_Gracia),(14-N(P_L3_Mes)+1)&lt;=N(P_L3_Gracia)+N(P_L3_Cuotas),N(P_L3_Cuotas)&gt;0),IF((14-N(P_L3_Mes)+1)=N(P_L3_Gracia)+N(P_L3_Cuotas),IF((14-N(P_L3_Mes)+1)=1,N(P_L3_Monto),R$134),PMT(N(P_L3_Tasa)/12,N(P_L3_Cuotas),-N(P_L3_Monto))-S$132),0)*S$9</f>
        <v>0</v>
      </c>
      <c r="T133" s="48" t="n">
        <f aca="false">IF(AND((15-N(P_L3_Mes)+1)&gt;N(P_L3_Gracia),(15-N(P_L3_Mes)+1)&lt;=N(P_L3_Gracia)+N(P_L3_Cuotas),N(P_L3_Cuotas)&gt;0),IF((15-N(P_L3_Mes)+1)=N(P_L3_Gracia)+N(P_L3_Cuotas),IF((15-N(P_L3_Mes)+1)=1,N(P_L3_Monto),S$134),PMT(N(P_L3_Tasa)/12,N(P_L3_Cuotas),-N(P_L3_Monto))-T$132),0)*T$9</f>
        <v>0</v>
      </c>
      <c r="U133" s="48" t="n">
        <f aca="false">IF(AND((16-N(P_L3_Mes)+1)&gt;N(P_L3_Gracia),(16-N(P_L3_Mes)+1)&lt;=N(P_L3_Gracia)+N(P_L3_Cuotas),N(P_L3_Cuotas)&gt;0),IF((16-N(P_L3_Mes)+1)=N(P_L3_Gracia)+N(P_L3_Cuotas),IF((16-N(P_L3_Mes)+1)=1,N(P_L3_Monto),T$134),PMT(N(P_L3_Tasa)/12,N(P_L3_Cuotas),-N(P_L3_Monto))-U$132),0)*U$9</f>
        <v>0</v>
      </c>
      <c r="V133" s="48" t="n">
        <f aca="false">IF(AND((17-N(P_L3_Mes)+1)&gt;N(P_L3_Gracia),(17-N(P_L3_Mes)+1)&lt;=N(P_L3_Gracia)+N(P_L3_Cuotas),N(P_L3_Cuotas)&gt;0),IF((17-N(P_L3_Mes)+1)=N(P_L3_Gracia)+N(P_L3_Cuotas),IF((17-N(P_L3_Mes)+1)=1,N(P_L3_Monto),U$134),PMT(N(P_L3_Tasa)/12,N(P_L3_Cuotas),-N(P_L3_Monto))-V$132),0)*V$9</f>
        <v>0</v>
      </c>
      <c r="W133" s="48" t="n">
        <f aca="false">IF(AND((18-N(P_L3_Mes)+1)&gt;N(P_L3_Gracia),(18-N(P_L3_Mes)+1)&lt;=N(P_L3_Gracia)+N(P_L3_Cuotas),N(P_L3_Cuotas)&gt;0),IF((18-N(P_L3_Mes)+1)=N(P_L3_Gracia)+N(P_L3_Cuotas),IF((18-N(P_L3_Mes)+1)=1,N(P_L3_Monto),V$134),PMT(N(P_L3_Tasa)/12,N(P_L3_Cuotas),-N(P_L3_Monto))-W$132),0)*W$9</f>
        <v>0</v>
      </c>
      <c r="X133" s="48" t="n">
        <f aca="false">IF(AND((19-N(P_L3_Mes)+1)&gt;N(P_L3_Gracia),(19-N(P_L3_Mes)+1)&lt;=N(P_L3_Gracia)+N(P_L3_Cuotas),N(P_L3_Cuotas)&gt;0),IF((19-N(P_L3_Mes)+1)=N(P_L3_Gracia)+N(P_L3_Cuotas),IF((19-N(P_L3_Mes)+1)=1,N(P_L3_Monto),W$134),PMT(N(P_L3_Tasa)/12,N(P_L3_Cuotas),-N(P_L3_Monto))-X$132),0)*X$9</f>
        <v>0</v>
      </c>
      <c r="Y133" s="48" t="n">
        <f aca="false">IF(AND((20-N(P_L3_Mes)+1)&gt;N(P_L3_Gracia),(20-N(P_L3_Mes)+1)&lt;=N(P_L3_Gracia)+N(P_L3_Cuotas),N(P_L3_Cuotas)&gt;0),IF((20-N(P_L3_Mes)+1)=N(P_L3_Gracia)+N(P_L3_Cuotas),IF((20-N(P_L3_Mes)+1)=1,N(P_L3_Monto),X$134),PMT(N(P_L3_Tasa)/12,N(P_L3_Cuotas),-N(P_L3_Monto))-Y$132),0)*Y$9</f>
        <v>0</v>
      </c>
      <c r="Z133" s="48" t="n">
        <f aca="false">IF(AND((21-N(P_L3_Mes)+1)&gt;N(P_L3_Gracia),(21-N(P_L3_Mes)+1)&lt;=N(P_L3_Gracia)+N(P_L3_Cuotas),N(P_L3_Cuotas)&gt;0),IF((21-N(P_L3_Mes)+1)=N(P_L3_Gracia)+N(P_L3_Cuotas),IF((21-N(P_L3_Mes)+1)=1,N(P_L3_Monto),Y$134),PMT(N(P_L3_Tasa)/12,N(P_L3_Cuotas),-N(P_L3_Monto))-Z$132),0)*Z$9</f>
        <v>0</v>
      </c>
      <c r="AA133" s="48" t="n">
        <f aca="false">IF(AND((22-N(P_L3_Mes)+1)&gt;N(P_L3_Gracia),(22-N(P_L3_Mes)+1)&lt;=N(P_L3_Gracia)+N(P_L3_Cuotas),N(P_L3_Cuotas)&gt;0),IF((22-N(P_L3_Mes)+1)=N(P_L3_Gracia)+N(P_L3_Cuotas),IF((22-N(P_L3_Mes)+1)=1,N(P_L3_Monto),Z$134),PMT(N(P_L3_Tasa)/12,N(P_L3_Cuotas),-N(P_L3_Monto))-AA$132),0)*AA$9</f>
        <v>0</v>
      </c>
      <c r="AB133" s="48" t="n">
        <f aca="false">IF(AND((23-N(P_L3_Mes)+1)&gt;N(P_L3_Gracia),(23-N(P_L3_Mes)+1)&lt;=N(P_L3_Gracia)+N(P_L3_Cuotas),N(P_L3_Cuotas)&gt;0),IF((23-N(P_L3_Mes)+1)=N(P_L3_Gracia)+N(P_L3_Cuotas),IF((23-N(P_L3_Mes)+1)=1,N(P_L3_Monto),AA$134),PMT(N(P_L3_Tasa)/12,N(P_L3_Cuotas),-N(P_L3_Monto))-AB$132),0)*AB$9</f>
        <v>0</v>
      </c>
      <c r="AC133" s="48" t="n">
        <f aca="false">IF(AND((24-N(P_L3_Mes)+1)&gt;N(P_L3_Gracia),(24-N(P_L3_Mes)+1)&lt;=N(P_L3_Gracia)+N(P_L3_Cuotas),N(P_L3_Cuotas)&gt;0),IF((24-N(P_L3_Mes)+1)=N(P_L3_Gracia)+N(P_L3_Cuotas),IF((24-N(P_L3_Mes)+1)=1,N(P_L3_Monto),AB$134),PMT(N(P_L3_Tasa)/12,N(P_L3_Cuotas),-N(P_L3_Monto))-AC$132),0)*AC$9</f>
        <v>0</v>
      </c>
      <c r="AD133" s="48" t="n">
        <f aca="false">IF(AND((25-N(P_L3_Mes)+1)&gt;N(P_L3_Gracia),(25-N(P_L3_Mes)+1)&lt;=N(P_L3_Gracia)+N(P_L3_Cuotas),N(P_L3_Cuotas)&gt;0),IF((25-N(P_L3_Mes)+1)=N(P_L3_Gracia)+N(P_L3_Cuotas),IF((25-N(P_L3_Mes)+1)=1,N(P_L3_Monto),AC$134),PMT(N(P_L3_Tasa)/12,N(P_L3_Cuotas),-N(P_L3_Monto))-AD$132),0)*AD$9</f>
        <v>0</v>
      </c>
      <c r="AE133" s="48" t="n">
        <f aca="false">IF(AND((26-N(P_L3_Mes)+1)&gt;N(P_L3_Gracia),(26-N(P_L3_Mes)+1)&lt;=N(P_L3_Gracia)+N(P_L3_Cuotas),N(P_L3_Cuotas)&gt;0),IF((26-N(P_L3_Mes)+1)=N(P_L3_Gracia)+N(P_L3_Cuotas),IF((26-N(P_L3_Mes)+1)=1,N(P_L3_Monto),AD$134),PMT(N(P_L3_Tasa)/12,N(P_L3_Cuotas),-N(P_L3_Monto))-AE$132),0)*AE$9</f>
        <v>0</v>
      </c>
      <c r="AF133" s="48" t="n">
        <f aca="false">IF(AND((27-N(P_L3_Mes)+1)&gt;N(P_L3_Gracia),(27-N(P_L3_Mes)+1)&lt;=N(P_L3_Gracia)+N(P_L3_Cuotas),N(P_L3_Cuotas)&gt;0),IF((27-N(P_L3_Mes)+1)=N(P_L3_Gracia)+N(P_L3_Cuotas),IF((27-N(P_L3_Mes)+1)=1,N(P_L3_Monto),AE$134),PMT(N(P_L3_Tasa)/12,N(P_L3_Cuotas),-N(P_L3_Monto))-AF$132),0)*AF$9</f>
        <v>0</v>
      </c>
      <c r="AG133" s="48" t="n">
        <f aca="false">IF(AND((28-N(P_L3_Mes)+1)&gt;N(P_L3_Gracia),(28-N(P_L3_Mes)+1)&lt;=N(P_L3_Gracia)+N(P_L3_Cuotas),N(P_L3_Cuotas)&gt;0),IF((28-N(P_L3_Mes)+1)=N(P_L3_Gracia)+N(P_L3_Cuotas),IF((28-N(P_L3_Mes)+1)=1,N(P_L3_Monto),AF$134),PMT(N(P_L3_Tasa)/12,N(P_L3_Cuotas),-N(P_L3_Monto))-AG$132),0)*AG$9</f>
        <v>0</v>
      </c>
      <c r="AH133" s="48" t="n">
        <f aca="false">IF(AND((29-N(P_L3_Mes)+1)&gt;N(P_L3_Gracia),(29-N(P_L3_Mes)+1)&lt;=N(P_L3_Gracia)+N(P_L3_Cuotas),N(P_L3_Cuotas)&gt;0),IF((29-N(P_L3_Mes)+1)=N(P_L3_Gracia)+N(P_L3_Cuotas),IF((29-N(P_L3_Mes)+1)=1,N(P_L3_Monto),AG$134),PMT(N(P_L3_Tasa)/12,N(P_L3_Cuotas),-N(P_L3_Monto))-AH$132),0)*AH$9</f>
        <v>0</v>
      </c>
      <c r="AI133" s="48" t="n">
        <f aca="false">IF(AND((30-N(P_L3_Mes)+1)&gt;N(P_L3_Gracia),(30-N(P_L3_Mes)+1)&lt;=N(P_L3_Gracia)+N(P_L3_Cuotas),N(P_L3_Cuotas)&gt;0),IF((30-N(P_L3_Mes)+1)=N(P_L3_Gracia)+N(P_L3_Cuotas),IF((30-N(P_L3_Mes)+1)=1,N(P_L3_Monto),AH$134),PMT(N(P_L3_Tasa)/12,N(P_L3_Cuotas),-N(P_L3_Monto))-AI$132),0)*AI$9</f>
        <v>0</v>
      </c>
      <c r="AJ133" s="48" t="n">
        <f aca="false">IF(AND((31-N(P_L3_Mes)+1)&gt;N(P_L3_Gracia),(31-N(P_L3_Mes)+1)&lt;=N(P_L3_Gracia)+N(P_L3_Cuotas),N(P_L3_Cuotas)&gt;0),IF((31-N(P_L3_Mes)+1)=N(P_L3_Gracia)+N(P_L3_Cuotas),IF((31-N(P_L3_Mes)+1)=1,N(P_L3_Monto),AI$134),PMT(N(P_L3_Tasa)/12,N(P_L3_Cuotas),-N(P_L3_Monto))-AJ$132),0)*AJ$9</f>
        <v>0</v>
      </c>
      <c r="AK133" s="48" t="n">
        <f aca="false">IF(AND((32-N(P_L3_Mes)+1)&gt;N(P_L3_Gracia),(32-N(P_L3_Mes)+1)&lt;=N(P_L3_Gracia)+N(P_L3_Cuotas),N(P_L3_Cuotas)&gt;0),IF((32-N(P_L3_Mes)+1)=N(P_L3_Gracia)+N(P_L3_Cuotas),IF((32-N(P_L3_Mes)+1)=1,N(P_L3_Monto),AJ$134),PMT(N(P_L3_Tasa)/12,N(P_L3_Cuotas),-N(P_L3_Monto))-AK$132),0)*AK$9</f>
        <v>0</v>
      </c>
      <c r="AL133" s="48" t="n">
        <f aca="false">IF(AND((33-N(P_L3_Mes)+1)&gt;N(P_L3_Gracia),(33-N(P_L3_Mes)+1)&lt;=N(P_L3_Gracia)+N(P_L3_Cuotas),N(P_L3_Cuotas)&gt;0),IF((33-N(P_L3_Mes)+1)=N(P_L3_Gracia)+N(P_L3_Cuotas),IF((33-N(P_L3_Mes)+1)=1,N(P_L3_Monto),AK$134),PMT(N(P_L3_Tasa)/12,N(P_L3_Cuotas),-N(P_L3_Monto))-AL$132),0)*AL$9</f>
        <v>0</v>
      </c>
      <c r="AM133" s="48" t="n">
        <f aca="false">IF(AND((34-N(P_L3_Mes)+1)&gt;N(P_L3_Gracia),(34-N(P_L3_Mes)+1)&lt;=N(P_L3_Gracia)+N(P_L3_Cuotas),N(P_L3_Cuotas)&gt;0),IF((34-N(P_L3_Mes)+1)=N(P_L3_Gracia)+N(P_L3_Cuotas),IF((34-N(P_L3_Mes)+1)=1,N(P_L3_Monto),AL$134),PMT(N(P_L3_Tasa)/12,N(P_L3_Cuotas),-N(P_L3_Monto))-AM$132),0)*AM$9</f>
        <v>0</v>
      </c>
      <c r="AN133" s="48" t="n">
        <f aca="false">IF(AND((35-N(P_L3_Mes)+1)&gt;N(P_L3_Gracia),(35-N(P_L3_Mes)+1)&lt;=N(P_L3_Gracia)+N(P_L3_Cuotas),N(P_L3_Cuotas)&gt;0),IF((35-N(P_L3_Mes)+1)=N(P_L3_Gracia)+N(P_L3_Cuotas),IF((35-N(P_L3_Mes)+1)=1,N(P_L3_Monto),AM$134),PMT(N(P_L3_Tasa)/12,N(P_L3_Cuotas),-N(P_L3_Monto))-AN$132),0)*AN$9</f>
        <v>0</v>
      </c>
      <c r="AO133" s="48" t="n">
        <f aca="false">IF(AND((36-N(P_L3_Mes)+1)&gt;N(P_L3_Gracia),(36-N(P_L3_Mes)+1)&lt;=N(P_L3_Gracia)+N(P_L3_Cuotas),N(P_L3_Cuotas)&gt;0),IF((36-N(P_L3_Mes)+1)=N(P_L3_Gracia)+N(P_L3_Cuotas),IF((36-N(P_L3_Mes)+1)=1,N(P_L3_Monto),AN$134),PMT(N(P_L3_Tasa)/12,N(P_L3_Cuotas),-N(P_L3_Monto))-AO$132),0)*AO$9</f>
        <v>0</v>
      </c>
      <c r="AP133" s="48" t="n">
        <f aca="false">IF(AND((37-N(P_L3_Mes)+1)&gt;N(P_L3_Gracia),(37-N(P_L3_Mes)+1)&lt;=N(P_L3_Gracia)+N(P_L3_Cuotas),N(P_L3_Cuotas)&gt;0),IF((37-N(P_L3_Mes)+1)=N(P_L3_Gracia)+N(P_L3_Cuotas),IF((37-N(P_L3_Mes)+1)=1,N(P_L3_Monto),AO$134),PMT(N(P_L3_Tasa)/12,N(P_L3_Cuotas),-N(P_L3_Monto))-AP$132),0)*AP$9</f>
        <v>0</v>
      </c>
      <c r="AQ133" s="48" t="n">
        <f aca="false">IF(AND((38-N(P_L3_Mes)+1)&gt;N(P_L3_Gracia),(38-N(P_L3_Mes)+1)&lt;=N(P_L3_Gracia)+N(P_L3_Cuotas),N(P_L3_Cuotas)&gt;0),IF((38-N(P_L3_Mes)+1)=N(P_L3_Gracia)+N(P_L3_Cuotas),IF((38-N(P_L3_Mes)+1)=1,N(P_L3_Monto),AP$134),PMT(N(P_L3_Tasa)/12,N(P_L3_Cuotas),-N(P_L3_Monto))-AQ$132),0)*AQ$9</f>
        <v>0</v>
      </c>
      <c r="AR133" s="48" t="n">
        <f aca="false">IF(AND((39-N(P_L3_Mes)+1)&gt;N(P_L3_Gracia),(39-N(P_L3_Mes)+1)&lt;=N(P_L3_Gracia)+N(P_L3_Cuotas),N(P_L3_Cuotas)&gt;0),IF((39-N(P_L3_Mes)+1)=N(P_L3_Gracia)+N(P_L3_Cuotas),IF((39-N(P_L3_Mes)+1)=1,N(P_L3_Monto),AQ$134),PMT(N(P_L3_Tasa)/12,N(P_L3_Cuotas),-N(P_L3_Monto))-AR$132),0)*AR$9</f>
        <v>0</v>
      </c>
      <c r="AS133" s="48" t="n">
        <f aca="false">IF(AND((40-N(P_L3_Mes)+1)&gt;N(P_L3_Gracia),(40-N(P_L3_Mes)+1)&lt;=N(P_L3_Gracia)+N(P_L3_Cuotas),N(P_L3_Cuotas)&gt;0),IF((40-N(P_L3_Mes)+1)=N(P_L3_Gracia)+N(P_L3_Cuotas),IF((40-N(P_L3_Mes)+1)=1,N(P_L3_Monto),AR$134),PMT(N(P_L3_Tasa)/12,N(P_L3_Cuotas),-N(P_L3_Monto))-AS$132),0)*AS$9</f>
        <v>0</v>
      </c>
      <c r="AT133" s="48" t="n">
        <f aca="false">IF(AND((41-N(P_L3_Mes)+1)&gt;N(P_L3_Gracia),(41-N(P_L3_Mes)+1)&lt;=N(P_L3_Gracia)+N(P_L3_Cuotas),N(P_L3_Cuotas)&gt;0),IF((41-N(P_L3_Mes)+1)=N(P_L3_Gracia)+N(P_L3_Cuotas),IF((41-N(P_L3_Mes)+1)=1,N(P_L3_Monto),AS$134),PMT(N(P_L3_Tasa)/12,N(P_L3_Cuotas),-N(P_L3_Monto))-AT$132),0)*AT$9</f>
        <v>0</v>
      </c>
      <c r="AU133" s="48" t="n">
        <f aca="false">IF(AND((42-N(P_L3_Mes)+1)&gt;N(P_L3_Gracia),(42-N(P_L3_Mes)+1)&lt;=N(P_L3_Gracia)+N(P_L3_Cuotas),N(P_L3_Cuotas)&gt;0),IF((42-N(P_L3_Mes)+1)=N(P_L3_Gracia)+N(P_L3_Cuotas),IF((42-N(P_L3_Mes)+1)=1,N(P_L3_Monto),AT$134),PMT(N(P_L3_Tasa)/12,N(P_L3_Cuotas),-N(P_L3_Monto))-AU$132),0)*AU$9</f>
        <v>0</v>
      </c>
      <c r="AV133" s="48" t="n">
        <f aca="false">IF(AND((43-N(P_L3_Mes)+1)&gt;N(P_L3_Gracia),(43-N(P_L3_Mes)+1)&lt;=N(P_L3_Gracia)+N(P_L3_Cuotas),N(P_L3_Cuotas)&gt;0),IF((43-N(P_L3_Mes)+1)=N(P_L3_Gracia)+N(P_L3_Cuotas),IF((43-N(P_L3_Mes)+1)=1,N(P_L3_Monto),AU$134),PMT(N(P_L3_Tasa)/12,N(P_L3_Cuotas),-N(P_L3_Monto))-AV$132),0)*AV$9</f>
        <v>0</v>
      </c>
      <c r="AW133" s="48" t="n">
        <f aca="false">IF(AND((44-N(P_L3_Mes)+1)&gt;N(P_L3_Gracia),(44-N(P_L3_Mes)+1)&lt;=N(P_L3_Gracia)+N(P_L3_Cuotas),N(P_L3_Cuotas)&gt;0),IF((44-N(P_L3_Mes)+1)=N(P_L3_Gracia)+N(P_L3_Cuotas),IF((44-N(P_L3_Mes)+1)=1,N(P_L3_Monto),AV$134),PMT(N(P_L3_Tasa)/12,N(P_L3_Cuotas),-N(P_L3_Monto))-AW$132),0)*AW$9</f>
        <v>0</v>
      </c>
      <c r="AX133" s="48" t="n">
        <f aca="false">IF(AND((45-N(P_L3_Mes)+1)&gt;N(P_L3_Gracia),(45-N(P_L3_Mes)+1)&lt;=N(P_L3_Gracia)+N(P_L3_Cuotas),N(P_L3_Cuotas)&gt;0),IF((45-N(P_L3_Mes)+1)=N(P_L3_Gracia)+N(P_L3_Cuotas),IF((45-N(P_L3_Mes)+1)=1,N(P_L3_Monto),AW$134),PMT(N(P_L3_Tasa)/12,N(P_L3_Cuotas),-N(P_L3_Monto))-AX$132),0)*AX$9</f>
        <v>0</v>
      </c>
      <c r="AY133" s="48" t="n">
        <f aca="false">IF(AND((46-N(P_L3_Mes)+1)&gt;N(P_L3_Gracia),(46-N(P_L3_Mes)+1)&lt;=N(P_L3_Gracia)+N(P_L3_Cuotas),N(P_L3_Cuotas)&gt;0),IF((46-N(P_L3_Mes)+1)=N(P_L3_Gracia)+N(P_L3_Cuotas),IF((46-N(P_L3_Mes)+1)=1,N(P_L3_Monto),AX$134),PMT(N(P_L3_Tasa)/12,N(P_L3_Cuotas),-N(P_L3_Monto))-AY$132),0)*AY$9</f>
        <v>0</v>
      </c>
      <c r="AZ133" s="48" t="n">
        <f aca="false">IF(AND((47-N(P_L3_Mes)+1)&gt;N(P_L3_Gracia),(47-N(P_L3_Mes)+1)&lt;=N(P_L3_Gracia)+N(P_L3_Cuotas),N(P_L3_Cuotas)&gt;0),IF((47-N(P_L3_Mes)+1)=N(P_L3_Gracia)+N(P_L3_Cuotas),IF((47-N(P_L3_Mes)+1)=1,N(P_L3_Monto),AY$134),PMT(N(P_L3_Tasa)/12,N(P_L3_Cuotas),-N(P_L3_Monto))-AZ$132),0)*AZ$9</f>
        <v>0</v>
      </c>
      <c r="BA133" s="48" t="n">
        <f aca="false">IF(AND((48-N(P_L3_Mes)+1)&gt;N(P_L3_Gracia),(48-N(P_L3_Mes)+1)&lt;=N(P_L3_Gracia)+N(P_L3_Cuotas),N(P_L3_Cuotas)&gt;0),IF((48-N(P_L3_Mes)+1)=N(P_L3_Gracia)+N(P_L3_Cuotas),IF((48-N(P_L3_Mes)+1)=1,N(P_L3_Monto),AZ$134),PMT(N(P_L3_Tasa)/12,N(P_L3_Cuotas),-N(P_L3_Monto))-BA$132),0)*BA$9</f>
        <v>0</v>
      </c>
      <c r="BB133" s="48" t="n">
        <f aca="false">IF(AND((49-N(P_L3_Mes)+1)&gt;N(P_L3_Gracia),(49-N(P_L3_Mes)+1)&lt;=N(P_L3_Gracia)+N(P_L3_Cuotas),N(P_L3_Cuotas)&gt;0),IF((49-N(P_L3_Mes)+1)=N(P_L3_Gracia)+N(P_L3_Cuotas),IF((49-N(P_L3_Mes)+1)=1,N(P_L3_Monto),BA$134),PMT(N(P_L3_Tasa)/12,N(P_L3_Cuotas),-N(P_L3_Monto))-BB$132),0)*BB$9</f>
        <v>0</v>
      </c>
      <c r="BC133" s="48" t="n">
        <f aca="false">IF(AND((50-N(P_L3_Mes)+1)&gt;N(P_L3_Gracia),(50-N(P_L3_Mes)+1)&lt;=N(P_L3_Gracia)+N(P_L3_Cuotas),N(P_L3_Cuotas)&gt;0),IF((50-N(P_L3_Mes)+1)=N(P_L3_Gracia)+N(P_L3_Cuotas),IF((50-N(P_L3_Mes)+1)=1,N(P_L3_Monto),BB$134),PMT(N(P_L3_Tasa)/12,N(P_L3_Cuotas),-N(P_L3_Monto))-BC$132),0)*BC$9</f>
        <v>0</v>
      </c>
      <c r="BD133" s="48" t="n">
        <f aca="false">IF(AND((51-N(P_L3_Mes)+1)&gt;N(P_L3_Gracia),(51-N(P_L3_Mes)+1)&lt;=N(P_L3_Gracia)+N(P_L3_Cuotas),N(P_L3_Cuotas)&gt;0),IF((51-N(P_L3_Mes)+1)=N(P_L3_Gracia)+N(P_L3_Cuotas),IF((51-N(P_L3_Mes)+1)=1,N(P_L3_Monto),BC$134),PMT(N(P_L3_Tasa)/12,N(P_L3_Cuotas),-N(P_L3_Monto))-BD$132),0)*BD$9</f>
        <v>0</v>
      </c>
      <c r="BE133" s="48" t="n">
        <f aca="false">IF(AND((52-N(P_L3_Mes)+1)&gt;N(P_L3_Gracia),(52-N(P_L3_Mes)+1)&lt;=N(P_L3_Gracia)+N(P_L3_Cuotas),N(P_L3_Cuotas)&gt;0),IF((52-N(P_L3_Mes)+1)=N(P_L3_Gracia)+N(P_L3_Cuotas),IF((52-N(P_L3_Mes)+1)=1,N(P_L3_Monto),BD$134),PMT(N(P_L3_Tasa)/12,N(P_L3_Cuotas),-N(P_L3_Monto))-BE$132),0)*BE$9</f>
        <v>0</v>
      </c>
      <c r="BF133" s="48" t="n">
        <f aca="false">IF(AND((53-N(P_L3_Mes)+1)&gt;N(P_L3_Gracia),(53-N(P_L3_Mes)+1)&lt;=N(P_L3_Gracia)+N(P_L3_Cuotas),N(P_L3_Cuotas)&gt;0),IF((53-N(P_L3_Mes)+1)=N(P_L3_Gracia)+N(P_L3_Cuotas),IF((53-N(P_L3_Mes)+1)=1,N(P_L3_Monto),BE$134),PMT(N(P_L3_Tasa)/12,N(P_L3_Cuotas),-N(P_L3_Monto))-BF$132),0)*BF$9</f>
        <v>0</v>
      </c>
      <c r="BG133" s="48" t="n">
        <f aca="false">IF(AND((54-N(P_L3_Mes)+1)&gt;N(P_L3_Gracia),(54-N(P_L3_Mes)+1)&lt;=N(P_L3_Gracia)+N(P_L3_Cuotas),N(P_L3_Cuotas)&gt;0),IF((54-N(P_L3_Mes)+1)=N(P_L3_Gracia)+N(P_L3_Cuotas),IF((54-N(P_L3_Mes)+1)=1,N(P_L3_Monto),BF$134),PMT(N(P_L3_Tasa)/12,N(P_L3_Cuotas),-N(P_L3_Monto))-BG$132),0)*BG$9</f>
        <v>0</v>
      </c>
      <c r="BH133" s="48" t="n">
        <f aca="false">IF(AND((55-N(P_L3_Mes)+1)&gt;N(P_L3_Gracia),(55-N(P_L3_Mes)+1)&lt;=N(P_L3_Gracia)+N(P_L3_Cuotas),N(P_L3_Cuotas)&gt;0),IF((55-N(P_L3_Mes)+1)=N(P_L3_Gracia)+N(P_L3_Cuotas),IF((55-N(P_L3_Mes)+1)=1,N(P_L3_Monto),BG$134),PMT(N(P_L3_Tasa)/12,N(P_L3_Cuotas),-N(P_L3_Monto))-BH$132),0)*BH$9</f>
        <v>0</v>
      </c>
      <c r="BI133" s="48" t="n">
        <f aca="false">IF(AND((56-N(P_L3_Mes)+1)&gt;N(P_L3_Gracia),(56-N(P_L3_Mes)+1)&lt;=N(P_L3_Gracia)+N(P_L3_Cuotas),N(P_L3_Cuotas)&gt;0),IF((56-N(P_L3_Mes)+1)=N(P_L3_Gracia)+N(P_L3_Cuotas),IF((56-N(P_L3_Mes)+1)=1,N(P_L3_Monto),BH$134),PMT(N(P_L3_Tasa)/12,N(P_L3_Cuotas),-N(P_L3_Monto))-BI$132),0)*BI$9</f>
        <v>0</v>
      </c>
      <c r="BJ133" s="48" t="n">
        <f aca="false">IF(AND((57-N(P_L3_Mes)+1)&gt;N(P_L3_Gracia),(57-N(P_L3_Mes)+1)&lt;=N(P_L3_Gracia)+N(P_L3_Cuotas),N(P_L3_Cuotas)&gt;0),IF((57-N(P_L3_Mes)+1)=N(P_L3_Gracia)+N(P_L3_Cuotas),IF((57-N(P_L3_Mes)+1)=1,N(P_L3_Monto),BI$134),PMT(N(P_L3_Tasa)/12,N(P_L3_Cuotas),-N(P_L3_Monto))-BJ$132),0)*BJ$9</f>
        <v>0</v>
      </c>
      <c r="BK133" s="48" t="n">
        <f aca="false">IF(AND((58-N(P_L3_Mes)+1)&gt;N(P_L3_Gracia),(58-N(P_L3_Mes)+1)&lt;=N(P_L3_Gracia)+N(P_L3_Cuotas),N(P_L3_Cuotas)&gt;0),IF((58-N(P_L3_Mes)+1)=N(P_L3_Gracia)+N(P_L3_Cuotas),IF((58-N(P_L3_Mes)+1)=1,N(P_L3_Monto),BJ$134),PMT(N(P_L3_Tasa)/12,N(P_L3_Cuotas),-N(P_L3_Monto))-BK$132),0)*BK$9</f>
        <v>0</v>
      </c>
      <c r="BL133" s="48" t="n">
        <f aca="false">IF(AND((59-N(P_L3_Mes)+1)&gt;N(P_L3_Gracia),(59-N(P_L3_Mes)+1)&lt;=N(P_L3_Gracia)+N(P_L3_Cuotas),N(P_L3_Cuotas)&gt;0),IF((59-N(P_L3_Mes)+1)=N(P_L3_Gracia)+N(P_L3_Cuotas),IF((59-N(P_L3_Mes)+1)=1,N(P_L3_Monto),BK$134),PMT(N(P_L3_Tasa)/12,N(P_L3_Cuotas),-N(P_L3_Monto))-BL$132),0)*BL$9</f>
        <v>0</v>
      </c>
      <c r="BM133" s="48" t="n">
        <f aca="false">IF(AND((60-N(P_L3_Mes)+1)&gt;N(P_L3_Gracia),(60-N(P_L3_Mes)+1)&lt;=N(P_L3_Gracia)+N(P_L3_Cuotas),N(P_L3_Cuotas)&gt;0),IF((60-N(P_L3_Mes)+1)=N(P_L3_Gracia)+N(P_L3_Cuotas),IF((60-N(P_L3_Mes)+1)=1,N(P_L3_Monto),BL$134),PMT(N(P_L3_Tasa)/12,N(P_L3_Cuotas),-N(P_L3_Monto))-BM$132),0)*BM$9</f>
        <v>0</v>
      </c>
      <c r="BN133" s="48" t="n">
        <f aca="false">IF(AND((61-N(P_L3_Mes)+1)&gt;N(P_L3_Gracia),(61-N(P_L3_Mes)+1)&lt;=N(P_L3_Gracia)+N(P_L3_Cuotas),N(P_L3_Cuotas)&gt;0),IF((61-N(P_L3_Mes)+1)=N(P_L3_Gracia)+N(P_L3_Cuotas),IF((61-N(P_L3_Mes)+1)=1,N(P_L3_Monto),BM$134),PMT(N(P_L3_Tasa)/12,N(P_L3_Cuotas),-N(P_L3_Monto))-BN$132),0)*BN$9</f>
        <v>0</v>
      </c>
      <c r="BO133" s="48" t="n">
        <f aca="false">IF(AND((62-N(P_L3_Mes)+1)&gt;N(P_L3_Gracia),(62-N(P_L3_Mes)+1)&lt;=N(P_L3_Gracia)+N(P_L3_Cuotas),N(P_L3_Cuotas)&gt;0),IF((62-N(P_L3_Mes)+1)=N(P_L3_Gracia)+N(P_L3_Cuotas),IF((62-N(P_L3_Mes)+1)=1,N(P_L3_Monto),BN$134),PMT(N(P_L3_Tasa)/12,N(P_L3_Cuotas),-N(P_L3_Monto))-BO$132),0)*BO$9</f>
        <v>0</v>
      </c>
      <c r="BP133" s="48" t="n">
        <f aca="false">IF(AND((63-N(P_L3_Mes)+1)&gt;N(P_L3_Gracia),(63-N(P_L3_Mes)+1)&lt;=N(P_L3_Gracia)+N(P_L3_Cuotas),N(P_L3_Cuotas)&gt;0),IF((63-N(P_L3_Mes)+1)=N(P_L3_Gracia)+N(P_L3_Cuotas),IF((63-N(P_L3_Mes)+1)=1,N(P_L3_Monto),BO$134),PMT(N(P_L3_Tasa)/12,N(P_L3_Cuotas),-N(P_L3_Monto))-BP$132),0)*BP$9</f>
        <v>0</v>
      </c>
      <c r="BQ133" s="48" t="n">
        <f aca="false">IF(AND((64-N(P_L3_Mes)+1)&gt;N(P_L3_Gracia),(64-N(P_L3_Mes)+1)&lt;=N(P_L3_Gracia)+N(P_L3_Cuotas),N(P_L3_Cuotas)&gt;0),IF((64-N(P_L3_Mes)+1)=N(P_L3_Gracia)+N(P_L3_Cuotas),IF((64-N(P_L3_Mes)+1)=1,N(P_L3_Monto),BP$134),PMT(N(P_L3_Tasa)/12,N(P_L3_Cuotas),-N(P_L3_Monto))-BQ$132),0)*BQ$9</f>
        <v>0</v>
      </c>
      <c r="BR133" s="48" t="n">
        <f aca="false">IF(AND((65-N(P_L3_Mes)+1)&gt;N(P_L3_Gracia),(65-N(P_L3_Mes)+1)&lt;=N(P_L3_Gracia)+N(P_L3_Cuotas),N(P_L3_Cuotas)&gt;0),IF((65-N(P_L3_Mes)+1)=N(P_L3_Gracia)+N(P_L3_Cuotas),IF((65-N(P_L3_Mes)+1)=1,N(P_L3_Monto),BQ$134),PMT(N(P_L3_Tasa)/12,N(P_L3_Cuotas),-N(P_L3_Monto))-BR$132),0)*BR$9</f>
        <v>0</v>
      </c>
      <c r="BS133" s="48" t="n">
        <f aca="false">IF(AND((66-N(P_L3_Mes)+1)&gt;N(P_L3_Gracia),(66-N(P_L3_Mes)+1)&lt;=N(P_L3_Gracia)+N(P_L3_Cuotas),N(P_L3_Cuotas)&gt;0),IF((66-N(P_L3_Mes)+1)=N(P_L3_Gracia)+N(P_L3_Cuotas),IF((66-N(P_L3_Mes)+1)=1,N(P_L3_Monto),BR$134),PMT(N(P_L3_Tasa)/12,N(P_L3_Cuotas),-N(P_L3_Monto))-BS$132),0)*BS$9</f>
        <v>0</v>
      </c>
      <c r="BT133" s="48" t="n">
        <f aca="false">IF(AND((67-N(P_L3_Mes)+1)&gt;N(P_L3_Gracia),(67-N(P_L3_Mes)+1)&lt;=N(P_L3_Gracia)+N(P_L3_Cuotas),N(P_L3_Cuotas)&gt;0),IF((67-N(P_L3_Mes)+1)=N(P_L3_Gracia)+N(P_L3_Cuotas),IF((67-N(P_L3_Mes)+1)=1,N(P_L3_Monto),BS$134),PMT(N(P_L3_Tasa)/12,N(P_L3_Cuotas),-N(P_L3_Monto))-BT$132),0)*BT$9</f>
        <v>0</v>
      </c>
      <c r="BU133" s="48" t="n">
        <f aca="false">IF(AND((68-N(P_L3_Mes)+1)&gt;N(P_L3_Gracia),(68-N(P_L3_Mes)+1)&lt;=N(P_L3_Gracia)+N(P_L3_Cuotas),N(P_L3_Cuotas)&gt;0),IF((68-N(P_L3_Mes)+1)=N(P_L3_Gracia)+N(P_L3_Cuotas),IF((68-N(P_L3_Mes)+1)=1,N(P_L3_Monto),BT$134),PMT(N(P_L3_Tasa)/12,N(P_L3_Cuotas),-N(P_L3_Monto))-BU$132),0)*BU$9</f>
        <v>0</v>
      </c>
      <c r="BV133" s="48" t="n">
        <f aca="false">IF(AND((69-N(P_L3_Mes)+1)&gt;N(P_L3_Gracia),(69-N(P_L3_Mes)+1)&lt;=N(P_L3_Gracia)+N(P_L3_Cuotas),N(P_L3_Cuotas)&gt;0),IF((69-N(P_L3_Mes)+1)=N(P_L3_Gracia)+N(P_L3_Cuotas),IF((69-N(P_L3_Mes)+1)=1,N(P_L3_Monto),BU$134),PMT(N(P_L3_Tasa)/12,N(P_L3_Cuotas),-N(P_L3_Monto))-BV$132),0)*BV$9</f>
        <v>0</v>
      </c>
      <c r="BW133" s="48" t="n">
        <f aca="false">IF(AND((70-N(P_L3_Mes)+1)&gt;N(P_L3_Gracia),(70-N(P_L3_Mes)+1)&lt;=N(P_L3_Gracia)+N(P_L3_Cuotas),N(P_L3_Cuotas)&gt;0),IF((70-N(P_L3_Mes)+1)=N(P_L3_Gracia)+N(P_L3_Cuotas),IF((70-N(P_L3_Mes)+1)=1,N(P_L3_Monto),BV$134),PMT(N(P_L3_Tasa)/12,N(P_L3_Cuotas),-N(P_L3_Monto))-BW$132),0)*BW$9</f>
        <v>0</v>
      </c>
      <c r="BX133" s="48" t="n">
        <f aca="false">IF(AND((71-N(P_L3_Mes)+1)&gt;N(P_L3_Gracia),(71-N(P_L3_Mes)+1)&lt;=N(P_L3_Gracia)+N(P_L3_Cuotas),N(P_L3_Cuotas)&gt;0),IF((71-N(P_L3_Mes)+1)=N(P_L3_Gracia)+N(P_L3_Cuotas),IF((71-N(P_L3_Mes)+1)=1,N(P_L3_Monto),BW$134),PMT(N(P_L3_Tasa)/12,N(P_L3_Cuotas),-N(P_L3_Monto))-BX$132),0)*BX$9</f>
        <v>0</v>
      </c>
      <c r="BY133" s="48" t="n">
        <f aca="false">IF(AND((72-N(P_L3_Mes)+1)&gt;N(P_L3_Gracia),(72-N(P_L3_Mes)+1)&lt;=N(P_L3_Gracia)+N(P_L3_Cuotas),N(P_L3_Cuotas)&gt;0),IF((72-N(P_L3_Mes)+1)=N(P_L3_Gracia)+N(P_L3_Cuotas),IF((72-N(P_L3_Mes)+1)=1,N(P_L3_Monto),BX$134),PMT(N(P_L3_Tasa)/12,N(P_L3_Cuotas),-N(P_L3_Monto))-BY$132),0)*BY$9</f>
        <v>0</v>
      </c>
      <c r="BZ133" s="48" t="n">
        <f aca="false">IF(AND((73-N(P_L3_Mes)+1)&gt;N(P_L3_Gracia),(73-N(P_L3_Mes)+1)&lt;=N(P_L3_Gracia)+N(P_L3_Cuotas),N(P_L3_Cuotas)&gt;0),IF((73-N(P_L3_Mes)+1)=N(P_L3_Gracia)+N(P_L3_Cuotas),IF((73-N(P_L3_Mes)+1)=1,N(P_L3_Monto),BY$134),PMT(N(P_L3_Tasa)/12,N(P_L3_Cuotas),-N(P_L3_Monto))-BZ$132),0)*BZ$9</f>
        <v>0</v>
      </c>
      <c r="CA133" s="48" t="n">
        <f aca="false">IF(AND((74-N(P_L3_Mes)+1)&gt;N(P_L3_Gracia),(74-N(P_L3_Mes)+1)&lt;=N(P_L3_Gracia)+N(P_L3_Cuotas),N(P_L3_Cuotas)&gt;0),IF((74-N(P_L3_Mes)+1)=N(P_L3_Gracia)+N(P_L3_Cuotas),IF((74-N(P_L3_Mes)+1)=1,N(P_L3_Monto),BZ$134),PMT(N(P_L3_Tasa)/12,N(P_L3_Cuotas),-N(P_L3_Monto))-CA$132),0)*CA$9</f>
        <v>0</v>
      </c>
      <c r="CB133" s="48" t="n">
        <f aca="false">IF(AND((75-N(P_L3_Mes)+1)&gt;N(P_L3_Gracia),(75-N(P_L3_Mes)+1)&lt;=N(P_L3_Gracia)+N(P_L3_Cuotas),N(P_L3_Cuotas)&gt;0),IF((75-N(P_L3_Mes)+1)=N(P_L3_Gracia)+N(P_L3_Cuotas),IF((75-N(P_L3_Mes)+1)=1,N(P_L3_Monto),CA$134),PMT(N(P_L3_Tasa)/12,N(P_L3_Cuotas),-N(P_L3_Monto))-CB$132),0)*CB$9</f>
        <v>0</v>
      </c>
      <c r="CC133" s="48" t="n">
        <f aca="false">IF(AND((76-N(P_L3_Mes)+1)&gt;N(P_L3_Gracia),(76-N(P_L3_Mes)+1)&lt;=N(P_L3_Gracia)+N(P_L3_Cuotas),N(P_L3_Cuotas)&gt;0),IF((76-N(P_L3_Mes)+1)=N(P_L3_Gracia)+N(P_L3_Cuotas),IF((76-N(P_L3_Mes)+1)=1,N(P_L3_Monto),CB$134),PMT(N(P_L3_Tasa)/12,N(P_L3_Cuotas),-N(P_L3_Monto))-CC$132),0)*CC$9</f>
        <v>0</v>
      </c>
      <c r="CD133" s="48" t="n">
        <f aca="false">IF(AND((77-N(P_L3_Mes)+1)&gt;N(P_L3_Gracia),(77-N(P_L3_Mes)+1)&lt;=N(P_L3_Gracia)+N(P_L3_Cuotas),N(P_L3_Cuotas)&gt;0),IF((77-N(P_L3_Mes)+1)=N(P_L3_Gracia)+N(P_L3_Cuotas),IF((77-N(P_L3_Mes)+1)=1,N(P_L3_Monto),CC$134),PMT(N(P_L3_Tasa)/12,N(P_L3_Cuotas),-N(P_L3_Monto))-CD$132),0)*CD$9</f>
        <v>0</v>
      </c>
      <c r="CE133" s="48" t="n">
        <f aca="false">IF(AND((78-N(P_L3_Mes)+1)&gt;N(P_L3_Gracia),(78-N(P_L3_Mes)+1)&lt;=N(P_L3_Gracia)+N(P_L3_Cuotas),N(P_L3_Cuotas)&gt;0),IF((78-N(P_L3_Mes)+1)=N(P_L3_Gracia)+N(P_L3_Cuotas),IF((78-N(P_L3_Mes)+1)=1,N(P_L3_Monto),CD$134),PMT(N(P_L3_Tasa)/12,N(P_L3_Cuotas),-N(P_L3_Monto))-CE$132),0)*CE$9</f>
        <v>0</v>
      </c>
      <c r="CF133" s="48" t="n">
        <f aca="false">IF(AND((79-N(P_L3_Mes)+1)&gt;N(P_L3_Gracia),(79-N(P_L3_Mes)+1)&lt;=N(P_L3_Gracia)+N(P_L3_Cuotas),N(P_L3_Cuotas)&gt;0),IF((79-N(P_L3_Mes)+1)=N(P_L3_Gracia)+N(P_L3_Cuotas),IF((79-N(P_L3_Mes)+1)=1,N(P_L3_Monto),CE$134),PMT(N(P_L3_Tasa)/12,N(P_L3_Cuotas),-N(P_L3_Monto))-CF$132),0)*CF$9</f>
        <v>0</v>
      </c>
      <c r="CG133" s="48" t="n">
        <f aca="false">IF(AND((80-N(P_L3_Mes)+1)&gt;N(P_L3_Gracia),(80-N(P_L3_Mes)+1)&lt;=N(P_L3_Gracia)+N(P_L3_Cuotas),N(P_L3_Cuotas)&gt;0),IF((80-N(P_L3_Mes)+1)=N(P_L3_Gracia)+N(P_L3_Cuotas),IF((80-N(P_L3_Mes)+1)=1,N(P_L3_Monto),CF$134),PMT(N(P_L3_Tasa)/12,N(P_L3_Cuotas),-N(P_L3_Monto))-CG$132),0)*CG$9</f>
        <v>0</v>
      </c>
      <c r="CH133" s="48" t="n">
        <f aca="false">IF(AND((81-N(P_L3_Mes)+1)&gt;N(P_L3_Gracia),(81-N(P_L3_Mes)+1)&lt;=N(P_L3_Gracia)+N(P_L3_Cuotas),N(P_L3_Cuotas)&gt;0),IF((81-N(P_L3_Mes)+1)=N(P_L3_Gracia)+N(P_L3_Cuotas),IF((81-N(P_L3_Mes)+1)=1,N(P_L3_Monto),CG$134),PMT(N(P_L3_Tasa)/12,N(P_L3_Cuotas),-N(P_L3_Monto))-CH$132),0)*CH$9</f>
        <v>0</v>
      </c>
      <c r="CI133" s="48" t="n">
        <f aca="false">IF(AND((82-N(P_L3_Mes)+1)&gt;N(P_L3_Gracia),(82-N(P_L3_Mes)+1)&lt;=N(P_L3_Gracia)+N(P_L3_Cuotas),N(P_L3_Cuotas)&gt;0),IF((82-N(P_L3_Mes)+1)=N(P_L3_Gracia)+N(P_L3_Cuotas),IF((82-N(P_L3_Mes)+1)=1,N(P_L3_Monto),CH$134),PMT(N(P_L3_Tasa)/12,N(P_L3_Cuotas),-N(P_L3_Monto))-CI$132),0)*CI$9</f>
        <v>0</v>
      </c>
      <c r="CJ133" s="48" t="n">
        <f aca="false">IF(AND((83-N(P_L3_Mes)+1)&gt;N(P_L3_Gracia),(83-N(P_L3_Mes)+1)&lt;=N(P_L3_Gracia)+N(P_L3_Cuotas),N(P_L3_Cuotas)&gt;0),IF((83-N(P_L3_Mes)+1)=N(P_L3_Gracia)+N(P_L3_Cuotas),IF((83-N(P_L3_Mes)+1)=1,N(P_L3_Monto),CI$134),PMT(N(P_L3_Tasa)/12,N(P_L3_Cuotas),-N(P_L3_Monto))-CJ$132),0)*CJ$9</f>
        <v>0</v>
      </c>
      <c r="CK133" s="48" t="n">
        <f aca="false">IF(AND((84-N(P_L3_Mes)+1)&gt;N(P_L3_Gracia),(84-N(P_L3_Mes)+1)&lt;=N(P_L3_Gracia)+N(P_L3_Cuotas),N(P_L3_Cuotas)&gt;0),IF((84-N(P_L3_Mes)+1)=N(P_L3_Gracia)+N(P_L3_Cuotas),IF((84-N(P_L3_Mes)+1)=1,N(P_L3_Monto),CJ$134),PMT(N(P_L3_Tasa)/12,N(P_L3_Cuotas),-N(P_L3_Monto))-CK$132),0)*CK$9</f>
        <v>0</v>
      </c>
      <c r="CL133" s="48" t="n">
        <f aca="false">IF(AND((85-N(P_L3_Mes)+1)&gt;N(P_L3_Gracia),(85-N(P_L3_Mes)+1)&lt;=N(P_L3_Gracia)+N(P_L3_Cuotas),N(P_L3_Cuotas)&gt;0),IF((85-N(P_L3_Mes)+1)=N(P_L3_Gracia)+N(P_L3_Cuotas),IF((85-N(P_L3_Mes)+1)=1,N(P_L3_Monto),CK$134),PMT(N(P_L3_Tasa)/12,N(P_L3_Cuotas),-N(P_L3_Monto))-CL$132),0)*CL$9</f>
        <v>0</v>
      </c>
      <c r="CM133" s="48" t="n">
        <f aca="false">IF(AND((86-N(P_L3_Mes)+1)&gt;N(P_L3_Gracia),(86-N(P_L3_Mes)+1)&lt;=N(P_L3_Gracia)+N(P_L3_Cuotas),N(P_L3_Cuotas)&gt;0),IF((86-N(P_L3_Mes)+1)=N(P_L3_Gracia)+N(P_L3_Cuotas),IF((86-N(P_L3_Mes)+1)=1,N(P_L3_Monto),CL$134),PMT(N(P_L3_Tasa)/12,N(P_L3_Cuotas),-N(P_L3_Monto))-CM$132),0)*CM$9</f>
        <v>0</v>
      </c>
      <c r="CN133" s="48" t="n">
        <f aca="false">IF(AND((87-N(P_L3_Mes)+1)&gt;N(P_L3_Gracia),(87-N(P_L3_Mes)+1)&lt;=N(P_L3_Gracia)+N(P_L3_Cuotas),N(P_L3_Cuotas)&gt;0),IF((87-N(P_L3_Mes)+1)=N(P_L3_Gracia)+N(P_L3_Cuotas),IF((87-N(P_L3_Mes)+1)=1,N(P_L3_Monto),CM$134),PMT(N(P_L3_Tasa)/12,N(P_L3_Cuotas),-N(P_L3_Monto))-CN$132),0)*CN$9</f>
        <v>0</v>
      </c>
      <c r="CO133" s="48" t="n">
        <f aca="false">IF(AND((88-N(P_L3_Mes)+1)&gt;N(P_L3_Gracia),(88-N(P_L3_Mes)+1)&lt;=N(P_L3_Gracia)+N(P_L3_Cuotas),N(P_L3_Cuotas)&gt;0),IF((88-N(P_L3_Mes)+1)=N(P_L3_Gracia)+N(P_L3_Cuotas),IF((88-N(P_L3_Mes)+1)=1,N(P_L3_Monto),CN$134),PMT(N(P_L3_Tasa)/12,N(P_L3_Cuotas),-N(P_L3_Monto))-CO$132),0)*CO$9</f>
        <v>0</v>
      </c>
      <c r="CP133" s="48" t="n">
        <f aca="false">IF(AND((89-N(P_L3_Mes)+1)&gt;N(P_L3_Gracia),(89-N(P_L3_Mes)+1)&lt;=N(P_L3_Gracia)+N(P_L3_Cuotas),N(P_L3_Cuotas)&gt;0),IF((89-N(P_L3_Mes)+1)=N(P_L3_Gracia)+N(P_L3_Cuotas),IF((89-N(P_L3_Mes)+1)=1,N(P_L3_Monto),CO$134),PMT(N(P_L3_Tasa)/12,N(P_L3_Cuotas),-N(P_L3_Monto))-CP$132),0)*CP$9</f>
        <v>0</v>
      </c>
      <c r="CQ133" s="48" t="n">
        <f aca="false">IF(AND((90-N(P_L3_Mes)+1)&gt;N(P_L3_Gracia),(90-N(P_L3_Mes)+1)&lt;=N(P_L3_Gracia)+N(P_L3_Cuotas),N(P_L3_Cuotas)&gt;0),IF((90-N(P_L3_Mes)+1)=N(P_L3_Gracia)+N(P_L3_Cuotas),IF((90-N(P_L3_Mes)+1)=1,N(P_L3_Monto),CP$134),PMT(N(P_L3_Tasa)/12,N(P_L3_Cuotas),-N(P_L3_Monto))-CQ$132),0)*CQ$9</f>
        <v>0</v>
      </c>
      <c r="CR133" s="48" t="n">
        <f aca="false">IF(AND((91-N(P_L3_Mes)+1)&gt;N(P_L3_Gracia),(91-N(P_L3_Mes)+1)&lt;=N(P_L3_Gracia)+N(P_L3_Cuotas),N(P_L3_Cuotas)&gt;0),IF((91-N(P_L3_Mes)+1)=N(P_L3_Gracia)+N(P_L3_Cuotas),IF((91-N(P_L3_Mes)+1)=1,N(P_L3_Monto),CQ$134),PMT(N(P_L3_Tasa)/12,N(P_L3_Cuotas),-N(P_L3_Monto))-CR$132),0)*CR$9</f>
        <v>0</v>
      </c>
      <c r="CS133" s="48" t="n">
        <f aca="false">IF(AND((92-N(P_L3_Mes)+1)&gt;N(P_L3_Gracia),(92-N(P_L3_Mes)+1)&lt;=N(P_L3_Gracia)+N(P_L3_Cuotas),N(P_L3_Cuotas)&gt;0),IF((92-N(P_L3_Mes)+1)=N(P_L3_Gracia)+N(P_L3_Cuotas),IF((92-N(P_L3_Mes)+1)=1,N(P_L3_Monto),CR$134),PMT(N(P_L3_Tasa)/12,N(P_L3_Cuotas),-N(P_L3_Monto))-CS$132),0)*CS$9</f>
        <v>0</v>
      </c>
      <c r="CT133" s="48" t="n">
        <f aca="false">IF(AND((93-N(P_L3_Mes)+1)&gt;N(P_L3_Gracia),(93-N(P_L3_Mes)+1)&lt;=N(P_L3_Gracia)+N(P_L3_Cuotas),N(P_L3_Cuotas)&gt;0),IF((93-N(P_L3_Mes)+1)=N(P_L3_Gracia)+N(P_L3_Cuotas),IF((93-N(P_L3_Mes)+1)=1,N(P_L3_Monto),CS$134),PMT(N(P_L3_Tasa)/12,N(P_L3_Cuotas),-N(P_L3_Monto))-CT$132),0)*CT$9</f>
        <v>0</v>
      </c>
      <c r="CU133" s="48" t="n">
        <f aca="false">IF(AND((94-N(P_L3_Mes)+1)&gt;N(P_L3_Gracia),(94-N(P_L3_Mes)+1)&lt;=N(P_L3_Gracia)+N(P_L3_Cuotas),N(P_L3_Cuotas)&gt;0),IF((94-N(P_L3_Mes)+1)=N(P_L3_Gracia)+N(P_L3_Cuotas),IF((94-N(P_L3_Mes)+1)=1,N(P_L3_Monto),CT$134),PMT(N(P_L3_Tasa)/12,N(P_L3_Cuotas),-N(P_L3_Monto))-CU$132),0)*CU$9</f>
        <v>0</v>
      </c>
      <c r="CV133" s="48" t="n">
        <f aca="false">IF(AND((95-N(P_L3_Mes)+1)&gt;N(P_L3_Gracia),(95-N(P_L3_Mes)+1)&lt;=N(P_L3_Gracia)+N(P_L3_Cuotas),N(P_L3_Cuotas)&gt;0),IF((95-N(P_L3_Mes)+1)=N(P_L3_Gracia)+N(P_L3_Cuotas),IF((95-N(P_L3_Mes)+1)=1,N(P_L3_Monto),CU$134),PMT(N(P_L3_Tasa)/12,N(P_L3_Cuotas),-N(P_L3_Monto))-CV$132),0)*CV$9</f>
        <v>0</v>
      </c>
      <c r="CW133" s="48" t="n">
        <f aca="false">IF(AND((96-N(P_L3_Mes)+1)&gt;N(P_L3_Gracia),(96-N(P_L3_Mes)+1)&lt;=N(P_L3_Gracia)+N(P_L3_Cuotas),N(P_L3_Cuotas)&gt;0),IF((96-N(P_L3_Mes)+1)=N(P_L3_Gracia)+N(P_L3_Cuotas),IF((96-N(P_L3_Mes)+1)=1,N(P_L3_Monto),CV$134),PMT(N(P_L3_Tasa)/12,N(P_L3_Cuotas),-N(P_L3_Monto))-CW$132),0)*CW$9</f>
        <v>0</v>
      </c>
      <c r="CX133" s="48" t="n">
        <f aca="false">IF(AND((97-N(P_L3_Mes)+1)&gt;N(P_L3_Gracia),(97-N(P_L3_Mes)+1)&lt;=N(P_L3_Gracia)+N(P_L3_Cuotas),N(P_L3_Cuotas)&gt;0),IF((97-N(P_L3_Mes)+1)=N(P_L3_Gracia)+N(P_L3_Cuotas),IF((97-N(P_L3_Mes)+1)=1,N(P_L3_Monto),CW$134),PMT(N(P_L3_Tasa)/12,N(P_L3_Cuotas),-N(P_L3_Monto))-CX$132),0)*CX$9</f>
        <v>0</v>
      </c>
      <c r="CY133" s="48" t="n">
        <f aca="false">IF(AND((98-N(P_L3_Mes)+1)&gt;N(P_L3_Gracia),(98-N(P_L3_Mes)+1)&lt;=N(P_L3_Gracia)+N(P_L3_Cuotas),N(P_L3_Cuotas)&gt;0),IF((98-N(P_L3_Mes)+1)=N(P_L3_Gracia)+N(P_L3_Cuotas),IF((98-N(P_L3_Mes)+1)=1,N(P_L3_Monto),CX$134),PMT(N(P_L3_Tasa)/12,N(P_L3_Cuotas),-N(P_L3_Monto))-CY$132),0)*CY$9</f>
        <v>0</v>
      </c>
      <c r="CZ133" s="48" t="n">
        <f aca="false">IF(AND((99-N(P_L3_Mes)+1)&gt;N(P_L3_Gracia),(99-N(P_L3_Mes)+1)&lt;=N(P_L3_Gracia)+N(P_L3_Cuotas),N(P_L3_Cuotas)&gt;0),IF((99-N(P_L3_Mes)+1)=N(P_L3_Gracia)+N(P_L3_Cuotas),IF((99-N(P_L3_Mes)+1)=1,N(P_L3_Monto),CY$134),PMT(N(P_L3_Tasa)/12,N(P_L3_Cuotas),-N(P_L3_Monto))-CZ$132),0)*CZ$9</f>
        <v>0</v>
      </c>
      <c r="DA133" s="48" t="n">
        <f aca="false">IF(AND((100-N(P_L3_Mes)+1)&gt;N(P_L3_Gracia),(100-N(P_L3_Mes)+1)&lt;=N(P_L3_Gracia)+N(P_L3_Cuotas),N(P_L3_Cuotas)&gt;0),IF((100-N(P_L3_Mes)+1)=N(P_L3_Gracia)+N(P_L3_Cuotas),IF((100-N(P_L3_Mes)+1)=1,N(P_L3_Monto),CZ$134),PMT(N(P_L3_Tasa)/12,N(P_L3_Cuotas),-N(P_L3_Monto))-DA$132),0)*DA$9</f>
        <v>0</v>
      </c>
      <c r="DB133" s="48" t="n">
        <f aca="false">IF(AND((101-N(P_L3_Mes)+1)&gt;N(P_L3_Gracia),(101-N(P_L3_Mes)+1)&lt;=N(P_L3_Gracia)+N(P_L3_Cuotas),N(P_L3_Cuotas)&gt;0),IF((101-N(P_L3_Mes)+1)=N(P_L3_Gracia)+N(P_L3_Cuotas),IF((101-N(P_L3_Mes)+1)=1,N(P_L3_Monto),DA$134),PMT(N(P_L3_Tasa)/12,N(P_L3_Cuotas),-N(P_L3_Monto))-DB$132),0)*DB$9</f>
        <v>0</v>
      </c>
      <c r="DC133" s="48" t="n">
        <f aca="false">IF(AND((102-N(P_L3_Mes)+1)&gt;N(P_L3_Gracia),(102-N(P_L3_Mes)+1)&lt;=N(P_L3_Gracia)+N(P_L3_Cuotas),N(P_L3_Cuotas)&gt;0),IF((102-N(P_L3_Mes)+1)=N(P_L3_Gracia)+N(P_L3_Cuotas),IF((102-N(P_L3_Mes)+1)=1,N(P_L3_Monto),DB$134),PMT(N(P_L3_Tasa)/12,N(P_L3_Cuotas),-N(P_L3_Monto))-DC$132),0)*DC$9</f>
        <v>0</v>
      </c>
      <c r="DD133" s="48" t="n">
        <f aca="false">IF(AND((103-N(P_L3_Mes)+1)&gt;N(P_L3_Gracia),(103-N(P_L3_Mes)+1)&lt;=N(P_L3_Gracia)+N(P_L3_Cuotas),N(P_L3_Cuotas)&gt;0),IF((103-N(P_L3_Mes)+1)=N(P_L3_Gracia)+N(P_L3_Cuotas),IF((103-N(P_L3_Mes)+1)=1,N(P_L3_Monto),DC$134),PMT(N(P_L3_Tasa)/12,N(P_L3_Cuotas),-N(P_L3_Monto))-DD$132),0)*DD$9</f>
        <v>0</v>
      </c>
      <c r="DE133" s="48" t="n">
        <f aca="false">IF(AND((104-N(P_L3_Mes)+1)&gt;N(P_L3_Gracia),(104-N(P_L3_Mes)+1)&lt;=N(P_L3_Gracia)+N(P_L3_Cuotas),N(P_L3_Cuotas)&gt;0),IF((104-N(P_L3_Mes)+1)=N(P_L3_Gracia)+N(P_L3_Cuotas),IF((104-N(P_L3_Mes)+1)=1,N(P_L3_Monto),DD$134),PMT(N(P_L3_Tasa)/12,N(P_L3_Cuotas),-N(P_L3_Monto))-DE$132),0)*DE$9</f>
        <v>0</v>
      </c>
      <c r="DF133" s="48" t="n">
        <f aca="false">IF(AND((105-N(P_L3_Mes)+1)&gt;N(P_L3_Gracia),(105-N(P_L3_Mes)+1)&lt;=N(P_L3_Gracia)+N(P_L3_Cuotas),N(P_L3_Cuotas)&gt;0),IF((105-N(P_L3_Mes)+1)=N(P_L3_Gracia)+N(P_L3_Cuotas),IF((105-N(P_L3_Mes)+1)=1,N(P_L3_Monto),DE$134),PMT(N(P_L3_Tasa)/12,N(P_L3_Cuotas),-N(P_L3_Monto))-DF$132),0)*DF$9</f>
        <v>0</v>
      </c>
      <c r="DG133" s="48" t="n">
        <f aca="false">IF(AND((106-N(P_L3_Mes)+1)&gt;N(P_L3_Gracia),(106-N(P_L3_Mes)+1)&lt;=N(P_L3_Gracia)+N(P_L3_Cuotas),N(P_L3_Cuotas)&gt;0),IF((106-N(P_L3_Mes)+1)=N(P_L3_Gracia)+N(P_L3_Cuotas),IF((106-N(P_L3_Mes)+1)=1,N(P_L3_Monto),DF$134),PMT(N(P_L3_Tasa)/12,N(P_L3_Cuotas),-N(P_L3_Monto))-DG$132),0)*DG$9</f>
        <v>0</v>
      </c>
      <c r="DH133" s="48" t="n">
        <f aca="false">IF(AND((107-N(P_L3_Mes)+1)&gt;N(P_L3_Gracia),(107-N(P_L3_Mes)+1)&lt;=N(P_L3_Gracia)+N(P_L3_Cuotas),N(P_L3_Cuotas)&gt;0),IF((107-N(P_L3_Mes)+1)=N(P_L3_Gracia)+N(P_L3_Cuotas),IF((107-N(P_L3_Mes)+1)=1,N(P_L3_Monto),DG$134),PMT(N(P_L3_Tasa)/12,N(P_L3_Cuotas),-N(P_L3_Monto))-DH$132),0)*DH$9</f>
        <v>0</v>
      </c>
      <c r="DI133" s="48" t="n">
        <f aca="false">IF(AND((108-N(P_L3_Mes)+1)&gt;N(P_L3_Gracia),(108-N(P_L3_Mes)+1)&lt;=N(P_L3_Gracia)+N(P_L3_Cuotas),N(P_L3_Cuotas)&gt;0),IF((108-N(P_L3_Mes)+1)=N(P_L3_Gracia)+N(P_L3_Cuotas),IF((108-N(P_L3_Mes)+1)=1,N(P_L3_Monto),DH$134),PMT(N(P_L3_Tasa)/12,N(P_L3_Cuotas),-N(P_L3_Monto))-DI$132),0)*DI$9</f>
        <v>0</v>
      </c>
      <c r="DJ133" s="48" t="n">
        <f aca="false">IF(AND((109-N(P_L3_Mes)+1)&gt;N(P_L3_Gracia),(109-N(P_L3_Mes)+1)&lt;=N(P_L3_Gracia)+N(P_L3_Cuotas),N(P_L3_Cuotas)&gt;0),IF((109-N(P_L3_Mes)+1)=N(P_L3_Gracia)+N(P_L3_Cuotas),IF((109-N(P_L3_Mes)+1)=1,N(P_L3_Monto),DI$134),PMT(N(P_L3_Tasa)/12,N(P_L3_Cuotas),-N(P_L3_Monto))-DJ$132),0)*DJ$9</f>
        <v>0</v>
      </c>
      <c r="DK133" s="48" t="n">
        <f aca="false">IF(AND((110-N(P_L3_Mes)+1)&gt;N(P_L3_Gracia),(110-N(P_L3_Mes)+1)&lt;=N(P_L3_Gracia)+N(P_L3_Cuotas),N(P_L3_Cuotas)&gt;0),IF((110-N(P_L3_Mes)+1)=N(P_L3_Gracia)+N(P_L3_Cuotas),IF((110-N(P_L3_Mes)+1)=1,N(P_L3_Monto),DJ$134),PMT(N(P_L3_Tasa)/12,N(P_L3_Cuotas),-N(P_L3_Monto))-DK$132),0)*DK$9</f>
        <v>0</v>
      </c>
      <c r="DL133" s="48" t="n">
        <f aca="false">IF(AND((111-N(P_L3_Mes)+1)&gt;N(P_L3_Gracia),(111-N(P_L3_Mes)+1)&lt;=N(P_L3_Gracia)+N(P_L3_Cuotas),N(P_L3_Cuotas)&gt;0),IF((111-N(P_L3_Mes)+1)=N(P_L3_Gracia)+N(P_L3_Cuotas),IF((111-N(P_L3_Mes)+1)=1,N(P_L3_Monto),DK$134),PMT(N(P_L3_Tasa)/12,N(P_L3_Cuotas),-N(P_L3_Monto))-DL$132),0)*DL$9</f>
        <v>0</v>
      </c>
      <c r="DM133" s="48" t="n">
        <f aca="false">IF(AND((112-N(P_L3_Mes)+1)&gt;N(P_L3_Gracia),(112-N(P_L3_Mes)+1)&lt;=N(P_L3_Gracia)+N(P_L3_Cuotas),N(P_L3_Cuotas)&gt;0),IF((112-N(P_L3_Mes)+1)=N(P_L3_Gracia)+N(P_L3_Cuotas),IF((112-N(P_L3_Mes)+1)=1,N(P_L3_Monto),DL$134),PMT(N(P_L3_Tasa)/12,N(P_L3_Cuotas),-N(P_L3_Monto))-DM$132),0)*DM$9</f>
        <v>0</v>
      </c>
      <c r="DN133" s="48" t="n">
        <f aca="false">IF(AND((113-N(P_L3_Mes)+1)&gt;N(P_L3_Gracia),(113-N(P_L3_Mes)+1)&lt;=N(P_L3_Gracia)+N(P_L3_Cuotas),N(P_L3_Cuotas)&gt;0),IF((113-N(P_L3_Mes)+1)=N(P_L3_Gracia)+N(P_L3_Cuotas),IF((113-N(P_L3_Mes)+1)=1,N(P_L3_Monto),DM$134),PMT(N(P_L3_Tasa)/12,N(P_L3_Cuotas),-N(P_L3_Monto))-DN$132),0)*DN$9</f>
        <v>0</v>
      </c>
      <c r="DO133" s="48" t="n">
        <f aca="false">IF(AND((114-N(P_L3_Mes)+1)&gt;N(P_L3_Gracia),(114-N(P_L3_Mes)+1)&lt;=N(P_L3_Gracia)+N(P_L3_Cuotas),N(P_L3_Cuotas)&gt;0),IF((114-N(P_L3_Mes)+1)=N(P_L3_Gracia)+N(P_L3_Cuotas),IF((114-N(P_L3_Mes)+1)=1,N(P_L3_Monto),DN$134),PMT(N(P_L3_Tasa)/12,N(P_L3_Cuotas),-N(P_L3_Monto))-DO$132),0)*DO$9</f>
        <v>0</v>
      </c>
      <c r="DP133" s="48" t="n">
        <f aca="false">IF(AND((115-N(P_L3_Mes)+1)&gt;N(P_L3_Gracia),(115-N(P_L3_Mes)+1)&lt;=N(P_L3_Gracia)+N(P_L3_Cuotas),N(P_L3_Cuotas)&gt;0),IF((115-N(P_L3_Mes)+1)=N(P_L3_Gracia)+N(P_L3_Cuotas),IF((115-N(P_L3_Mes)+1)=1,N(P_L3_Monto),DO$134),PMT(N(P_L3_Tasa)/12,N(P_L3_Cuotas),-N(P_L3_Monto))-DP$132),0)*DP$9</f>
        <v>0</v>
      </c>
      <c r="DQ133" s="48" t="n">
        <f aca="false">IF(AND((116-N(P_L3_Mes)+1)&gt;N(P_L3_Gracia),(116-N(P_L3_Mes)+1)&lt;=N(P_L3_Gracia)+N(P_L3_Cuotas),N(P_L3_Cuotas)&gt;0),IF((116-N(P_L3_Mes)+1)=N(P_L3_Gracia)+N(P_L3_Cuotas),IF((116-N(P_L3_Mes)+1)=1,N(P_L3_Monto),DP$134),PMT(N(P_L3_Tasa)/12,N(P_L3_Cuotas),-N(P_L3_Monto))-DQ$132),0)*DQ$9</f>
        <v>0</v>
      </c>
      <c r="DR133" s="48" t="n">
        <f aca="false">IF(AND((117-N(P_L3_Mes)+1)&gt;N(P_L3_Gracia),(117-N(P_L3_Mes)+1)&lt;=N(P_L3_Gracia)+N(P_L3_Cuotas),N(P_L3_Cuotas)&gt;0),IF((117-N(P_L3_Mes)+1)=N(P_L3_Gracia)+N(P_L3_Cuotas),IF((117-N(P_L3_Mes)+1)=1,N(P_L3_Monto),DQ$134),PMT(N(P_L3_Tasa)/12,N(P_L3_Cuotas),-N(P_L3_Monto))-DR$132),0)*DR$9</f>
        <v>0</v>
      </c>
      <c r="DS133" s="48" t="n">
        <f aca="false">IF(AND((118-N(P_L3_Mes)+1)&gt;N(P_L3_Gracia),(118-N(P_L3_Mes)+1)&lt;=N(P_L3_Gracia)+N(P_L3_Cuotas),N(P_L3_Cuotas)&gt;0),IF((118-N(P_L3_Mes)+1)=N(P_L3_Gracia)+N(P_L3_Cuotas),IF((118-N(P_L3_Mes)+1)=1,N(P_L3_Monto),DR$134),PMT(N(P_L3_Tasa)/12,N(P_L3_Cuotas),-N(P_L3_Monto))-DS$132),0)*DS$9</f>
        <v>0</v>
      </c>
      <c r="DT133" s="48" t="n">
        <f aca="false">IF(AND((119-N(P_L3_Mes)+1)&gt;N(P_L3_Gracia),(119-N(P_L3_Mes)+1)&lt;=N(P_L3_Gracia)+N(P_L3_Cuotas),N(P_L3_Cuotas)&gt;0),IF((119-N(P_L3_Mes)+1)=N(P_L3_Gracia)+N(P_L3_Cuotas),IF((119-N(P_L3_Mes)+1)=1,N(P_L3_Monto),DS$134),PMT(N(P_L3_Tasa)/12,N(P_L3_Cuotas),-N(P_L3_Monto))-DT$132),0)*DT$9</f>
        <v>0</v>
      </c>
      <c r="DU133" s="48" t="n">
        <f aca="false">IF(AND((120-N(P_L3_Mes)+1)&gt;N(P_L3_Gracia),(120-N(P_L3_Mes)+1)&lt;=N(P_L3_Gracia)+N(P_L3_Cuotas),N(P_L3_Cuotas)&gt;0),IF((120-N(P_L3_Mes)+1)=N(P_L3_Gracia)+N(P_L3_Cuotas),IF((120-N(P_L3_Mes)+1)=1,N(P_L3_Monto),DT$134),PMT(N(P_L3_Tasa)/12,N(P_L3_Cuotas),-N(P_L3_Monto))-DU$132),0)*DU$9</f>
        <v>0</v>
      </c>
      <c r="DV133" s="48" t="n">
        <f aca="false">IF(AND((121-N(P_L3_Mes)+1)&gt;N(P_L3_Gracia),(121-N(P_L3_Mes)+1)&lt;=N(P_L3_Gracia)+N(P_L3_Cuotas),N(P_L3_Cuotas)&gt;0),IF((121-N(P_L3_Mes)+1)=N(P_L3_Gracia)+N(P_L3_Cuotas),IF((121-N(P_L3_Mes)+1)=1,N(P_L3_Monto),DU$134),PMT(N(P_L3_Tasa)/12,N(P_L3_Cuotas),-N(P_L3_Monto))-DV$132),0)*DV$9</f>
        <v>0</v>
      </c>
      <c r="DW133" s="48" t="n">
        <f aca="false">IF(AND((122-N(P_L3_Mes)+1)&gt;N(P_L3_Gracia),(122-N(P_L3_Mes)+1)&lt;=N(P_L3_Gracia)+N(P_L3_Cuotas),N(P_L3_Cuotas)&gt;0),IF((122-N(P_L3_Mes)+1)=N(P_L3_Gracia)+N(P_L3_Cuotas),IF((122-N(P_L3_Mes)+1)=1,N(P_L3_Monto),DV$134),PMT(N(P_L3_Tasa)/12,N(P_L3_Cuotas),-N(P_L3_Monto))-DW$132),0)*DW$9</f>
        <v>0</v>
      </c>
      <c r="DX133" s="48" t="n">
        <f aca="false">IF(AND((123-N(P_L3_Mes)+1)&gt;N(P_L3_Gracia),(123-N(P_L3_Mes)+1)&lt;=N(P_L3_Gracia)+N(P_L3_Cuotas),N(P_L3_Cuotas)&gt;0),IF((123-N(P_L3_Mes)+1)=N(P_L3_Gracia)+N(P_L3_Cuotas),IF((123-N(P_L3_Mes)+1)=1,N(P_L3_Monto),DW$134),PMT(N(P_L3_Tasa)/12,N(P_L3_Cuotas),-N(P_L3_Monto))-DX$132),0)*DX$9</f>
        <v>0</v>
      </c>
      <c r="DY133" s="48" t="n">
        <f aca="false">IF(AND((124-N(P_L3_Mes)+1)&gt;N(P_L3_Gracia),(124-N(P_L3_Mes)+1)&lt;=N(P_L3_Gracia)+N(P_L3_Cuotas),N(P_L3_Cuotas)&gt;0),IF((124-N(P_L3_Mes)+1)=N(P_L3_Gracia)+N(P_L3_Cuotas),IF((124-N(P_L3_Mes)+1)=1,N(P_L3_Monto),DX$134),PMT(N(P_L3_Tasa)/12,N(P_L3_Cuotas),-N(P_L3_Monto))-DY$132),0)*DY$9</f>
        <v>0</v>
      </c>
      <c r="DZ133" s="48" t="n">
        <f aca="false">IF(AND((125-N(P_L3_Mes)+1)&gt;N(P_L3_Gracia),(125-N(P_L3_Mes)+1)&lt;=N(P_L3_Gracia)+N(P_L3_Cuotas),N(P_L3_Cuotas)&gt;0),IF((125-N(P_L3_Mes)+1)=N(P_L3_Gracia)+N(P_L3_Cuotas),IF((125-N(P_L3_Mes)+1)=1,N(P_L3_Monto),DY$134),PMT(N(P_L3_Tasa)/12,N(P_L3_Cuotas),-N(P_L3_Monto))-DZ$132),0)*DZ$9</f>
        <v>0</v>
      </c>
      <c r="EA133" s="48" t="n">
        <f aca="false">IF(AND((126-N(P_L3_Mes)+1)&gt;N(P_L3_Gracia),(126-N(P_L3_Mes)+1)&lt;=N(P_L3_Gracia)+N(P_L3_Cuotas),N(P_L3_Cuotas)&gt;0),IF((126-N(P_L3_Mes)+1)=N(P_L3_Gracia)+N(P_L3_Cuotas),IF((126-N(P_L3_Mes)+1)=1,N(P_L3_Monto),DZ$134),PMT(N(P_L3_Tasa)/12,N(P_L3_Cuotas),-N(P_L3_Monto))-EA$132),0)*EA$9</f>
        <v>0</v>
      </c>
      <c r="EB133" s="48" t="n">
        <f aca="false">IF(AND((127-N(P_L3_Mes)+1)&gt;N(P_L3_Gracia),(127-N(P_L3_Mes)+1)&lt;=N(P_L3_Gracia)+N(P_L3_Cuotas),N(P_L3_Cuotas)&gt;0),IF((127-N(P_L3_Mes)+1)=N(P_L3_Gracia)+N(P_L3_Cuotas),IF((127-N(P_L3_Mes)+1)=1,N(P_L3_Monto),EA$134),PMT(N(P_L3_Tasa)/12,N(P_L3_Cuotas),-N(P_L3_Monto))-EB$132),0)*EB$9</f>
        <v>0</v>
      </c>
      <c r="EC133" s="48" t="n">
        <f aca="false">IF(AND((128-N(P_L3_Mes)+1)&gt;N(P_L3_Gracia),(128-N(P_L3_Mes)+1)&lt;=N(P_L3_Gracia)+N(P_L3_Cuotas),N(P_L3_Cuotas)&gt;0),IF((128-N(P_L3_Mes)+1)=N(P_L3_Gracia)+N(P_L3_Cuotas),IF((128-N(P_L3_Mes)+1)=1,N(P_L3_Monto),EB$134),PMT(N(P_L3_Tasa)/12,N(P_L3_Cuotas),-N(P_L3_Monto))-EC$132),0)*EC$9</f>
        <v>0</v>
      </c>
      <c r="ED133" s="48" t="n">
        <f aca="false">IF(AND((129-N(P_L3_Mes)+1)&gt;N(P_L3_Gracia),(129-N(P_L3_Mes)+1)&lt;=N(P_L3_Gracia)+N(P_L3_Cuotas),N(P_L3_Cuotas)&gt;0),IF((129-N(P_L3_Mes)+1)=N(P_L3_Gracia)+N(P_L3_Cuotas),IF((129-N(P_L3_Mes)+1)=1,N(P_L3_Monto),EC$134),PMT(N(P_L3_Tasa)/12,N(P_L3_Cuotas),-N(P_L3_Monto))-ED$132),0)*ED$9</f>
        <v>0</v>
      </c>
      <c r="EE133" s="48" t="n">
        <f aca="false">IF(AND((130-N(P_L3_Mes)+1)&gt;N(P_L3_Gracia),(130-N(P_L3_Mes)+1)&lt;=N(P_L3_Gracia)+N(P_L3_Cuotas),N(P_L3_Cuotas)&gt;0),IF((130-N(P_L3_Mes)+1)=N(P_L3_Gracia)+N(P_L3_Cuotas),IF((130-N(P_L3_Mes)+1)=1,N(P_L3_Monto),ED$134),PMT(N(P_L3_Tasa)/12,N(P_L3_Cuotas),-N(P_L3_Monto))-EE$132),0)*EE$9</f>
        <v>0</v>
      </c>
      <c r="EF133" s="48" t="n">
        <f aca="false">IF(AND((131-N(P_L3_Mes)+1)&gt;N(P_L3_Gracia),(131-N(P_L3_Mes)+1)&lt;=N(P_L3_Gracia)+N(P_L3_Cuotas),N(P_L3_Cuotas)&gt;0),IF((131-N(P_L3_Mes)+1)=N(P_L3_Gracia)+N(P_L3_Cuotas),IF((131-N(P_L3_Mes)+1)=1,N(P_L3_Monto),EE$134),PMT(N(P_L3_Tasa)/12,N(P_L3_Cuotas),-N(P_L3_Monto))-EF$132),0)*EF$9</f>
        <v>0</v>
      </c>
      <c r="EG133" s="48" t="n">
        <f aca="false">IF(AND((132-N(P_L3_Mes)+1)&gt;N(P_L3_Gracia),(132-N(P_L3_Mes)+1)&lt;=N(P_L3_Gracia)+N(P_L3_Cuotas),N(P_L3_Cuotas)&gt;0),IF((132-N(P_L3_Mes)+1)=N(P_L3_Gracia)+N(P_L3_Cuotas),IF((132-N(P_L3_Mes)+1)=1,N(P_L3_Monto),EF$134),PMT(N(P_L3_Tasa)/12,N(P_L3_Cuotas),-N(P_L3_Monto))-EG$132),0)*EG$9</f>
        <v>0</v>
      </c>
      <c r="EH133" s="48" t="n">
        <f aca="false">IF(AND((133-N(P_L3_Mes)+1)&gt;N(P_L3_Gracia),(133-N(P_L3_Mes)+1)&lt;=N(P_L3_Gracia)+N(P_L3_Cuotas),N(P_L3_Cuotas)&gt;0),IF((133-N(P_L3_Mes)+1)=N(P_L3_Gracia)+N(P_L3_Cuotas),IF((133-N(P_L3_Mes)+1)=1,N(P_L3_Monto),EG$134),PMT(N(P_L3_Tasa)/12,N(P_L3_Cuotas),-N(P_L3_Monto))-EH$132),0)*EH$9</f>
        <v>0</v>
      </c>
      <c r="EI133" s="48" t="n">
        <f aca="false">IF(AND((134-N(P_L3_Mes)+1)&gt;N(P_L3_Gracia),(134-N(P_L3_Mes)+1)&lt;=N(P_L3_Gracia)+N(P_L3_Cuotas),N(P_L3_Cuotas)&gt;0),IF((134-N(P_L3_Mes)+1)=N(P_L3_Gracia)+N(P_L3_Cuotas),IF((134-N(P_L3_Mes)+1)=1,N(P_L3_Monto),EH$134),PMT(N(P_L3_Tasa)/12,N(P_L3_Cuotas),-N(P_L3_Monto))-EI$132),0)*EI$9</f>
        <v>0</v>
      </c>
      <c r="EJ133" s="48" t="n">
        <f aca="false">IF(AND((135-N(P_L3_Mes)+1)&gt;N(P_L3_Gracia),(135-N(P_L3_Mes)+1)&lt;=N(P_L3_Gracia)+N(P_L3_Cuotas),N(P_L3_Cuotas)&gt;0),IF((135-N(P_L3_Mes)+1)=N(P_L3_Gracia)+N(P_L3_Cuotas),IF((135-N(P_L3_Mes)+1)=1,N(P_L3_Monto),EI$134),PMT(N(P_L3_Tasa)/12,N(P_L3_Cuotas),-N(P_L3_Monto))-EJ$132),0)*EJ$9</f>
        <v>0</v>
      </c>
      <c r="EK133" s="48" t="n">
        <f aca="false">IF(AND((136-N(P_L3_Mes)+1)&gt;N(P_L3_Gracia),(136-N(P_L3_Mes)+1)&lt;=N(P_L3_Gracia)+N(P_L3_Cuotas),N(P_L3_Cuotas)&gt;0),IF((136-N(P_L3_Mes)+1)=N(P_L3_Gracia)+N(P_L3_Cuotas),IF((136-N(P_L3_Mes)+1)=1,N(P_L3_Monto),EJ$134),PMT(N(P_L3_Tasa)/12,N(P_L3_Cuotas),-N(P_L3_Monto))-EK$132),0)*EK$9</f>
        <v>0</v>
      </c>
      <c r="EL133" s="48" t="n">
        <f aca="false">IF(AND((137-N(P_L3_Mes)+1)&gt;N(P_L3_Gracia),(137-N(P_L3_Mes)+1)&lt;=N(P_L3_Gracia)+N(P_L3_Cuotas),N(P_L3_Cuotas)&gt;0),IF((137-N(P_L3_Mes)+1)=N(P_L3_Gracia)+N(P_L3_Cuotas),IF((137-N(P_L3_Mes)+1)=1,N(P_L3_Monto),EK$134),PMT(N(P_L3_Tasa)/12,N(P_L3_Cuotas),-N(P_L3_Monto))-EL$132),0)*EL$9</f>
        <v>0</v>
      </c>
      <c r="EM133" s="48" t="n">
        <f aca="false">IF(AND((138-N(P_L3_Mes)+1)&gt;N(P_L3_Gracia),(138-N(P_L3_Mes)+1)&lt;=N(P_L3_Gracia)+N(P_L3_Cuotas),N(P_L3_Cuotas)&gt;0),IF((138-N(P_L3_Mes)+1)=N(P_L3_Gracia)+N(P_L3_Cuotas),IF((138-N(P_L3_Mes)+1)=1,N(P_L3_Monto),EL$134),PMT(N(P_L3_Tasa)/12,N(P_L3_Cuotas),-N(P_L3_Monto))-EM$132),0)*EM$9</f>
        <v>0</v>
      </c>
      <c r="EN133" s="48" t="n">
        <f aca="false">IF(AND((139-N(P_L3_Mes)+1)&gt;N(P_L3_Gracia),(139-N(P_L3_Mes)+1)&lt;=N(P_L3_Gracia)+N(P_L3_Cuotas),N(P_L3_Cuotas)&gt;0),IF((139-N(P_L3_Mes)+1)=N(P_L3_Gracia)+N(P_L3_Cuotas),IF((139-N(P_L3_Mes)+1)=1,N(P_L3_Monto),EM$134),PMT(N(P_L3_Tasa)/12,N(P_L3_Cuotas),-N(P_L3_Monto))-EN$132),0)*EN$9</f>
        <v>0</v>
      </c>
      <c r="EO133" s="48" t="n">
        <f aca="false">IF(AND((140-N(P_L3_Mes)+1)&gt;N(P_L3_Gracia),(140-N(P_L3_Mes)+1)&lt;=N(P_L3_Gracia)+N(P_L3_Cuotas),N(P_L3_Cuotas)&gt;0),IF((140-N(P_L3_Mes)+1)=N(P_L3_Gracia)+N(P_L3_Cuotas),IF((140-N(P_L3_Mes)+1)=1,N(P_L3_Monto),EN$134),PMT(N(P_L3_Tasa)/12,N(P_L3_Cuotas),-N(P_L3_Monto))-EO$132),0)*EO$9</f>
        <v>0</v>
      </c>
      <c r="EP133" s="48" t="n">
        <f aca="false">IF(AND((141-N(P_L3_Mes)+1)&gt;N(P_L3_Gracia),(141-N(P_L3_Mes)+1)&lt;=N(P_L3_Gracia)+N(P_L3_Cuotas),N(P_L3_Cuotas)&gt;0),IF((141-N(P_L3_Mes)+1)=N(P_L3_Gracia)+N(P_L3_Cuotas),IF((141-N(P_L3_Mes)+1)=1,N(P_L3_Monto),EO$134),PMT(N(P_L3_Tasa)/12,N(P_L3_Cuotas),-N(P_L3_Monto))-EP$132),0)*EP$9</f>
        <v>0</v>
      </c>
      <c r="EQ133" s="48" t="n">
        <f aca="false">IF(AND((142-N(P_L3_Mes)+1)&gt;N(P_L3_Gracia),(142-N(P_L3_Mes)+1)&lt;=N(P_L3_Gracia)+N(P_L3_Cuotas),N(P_L3_Cuotas)&gt;0),IF((142-N(P_L3_Mes)+1)=N(P_L3_Gracia)+N(P_L3_Cuotas),IF((142-N(P_L3_Mes)+1)=1,N(P_L3_Monto),EP$134),PMT(N(P_L3_Tasa)/12,N(P_L3_Cuotas),-N(P_L3_Monto))-EQ$132),0)*EQ$9</f>
        <v>0</v>
      </c>
      <c r="ER133" s="48" t="n">
        <f aca="false">IF(AND((143-N(P_L3_Mes)+1)&gt;N(P_L3_Gracia),(143-N(P_L3_Mes)+1)&lt;=N(P_L3_Gracia)+N(P_L3_Cuotas),N(P_L3_Cuotas)&gt;0),IF((143-N(P_L3_Mes)+1)=N(P_L3_Gracia)+N(P_L3_Cuotas),IF((143-N(P_L3_Mes)+1)=1,N(P_L3_Monto),EQ$134),PMT(N(P_L3_Tasa)/12,N(P_L3_Cuotas),-N(P_L3_Monto))-ER$132),0)*ER$9</f>
        <v>0</v>
      </c>
      <c r="ES133" s="48" t="n">
        <f aca="false">IF(AND((144-N(P_L3_Mes)+1)&gt;N(P_L3_Gracia),(144-N(P_L3_Mes)+1)&lt;=N(P_L3_Gracia)+N(P_L3_Cuotas),N(P_L3_Cuotas)&gt;0),IF((144-N(P_L3_Mes)+1)=N(P_L3_Gracia)+N(P_L3_Cuotas),IF((144-N(P_L3_Mes)+1)=1,N(P_L3_Monto),ER$134),PMT(N(P_L3_Tasa)/12,N(P_L3_Cuotas),-N(P_L3_Monto))-ES$132),0)*ES$9</f>
        <v>0</v>
      </c>
    </row>
    <row r="134" customFormat="false" ht="15" hidden="false" customHeight="false" outlineLevel="0" collapsed="false">
      <c r="A134" s="11" t="s">
        <v>1232</v>
      </c>
      <c r="B134" s="15" t="s">
        <v>1233</v>
      </c>
      <c r="C134" s="15" t="s">
        <v>508</v>
      </c>
      <c r="E134" s="54" t="n">
        <f aca="false">INDEX(F134:ES134,1,MIN(144,Fin))</f>
        <v>0</v>
      </c>
      <c r="F134" s="48" t="n">
        <f aca="false">IF((1-N(P_L3_Mes)+1)&lt;1,0,IF((1-N(P_L3_Mes)+1)=1,N(P_L3_Monto),0)-F$133)</f>
        <v>0</v>
      </c>
      <c r="G134" s="48" t="n">
        <f aca="false">IF((2-N(P_L3_Mes)+1)&lt;1,0,IF((2-N(P_L3_Mes)+1)=1,N(P_L3_Monto),F$134)-G$133)</f>
        <v>0</v>
      </c>
      <c r="H134" s="48" t="n">
        <f aca="false">IF((3-N(P_L3_Mes)+1)&lt;1,0,IF((3-N(P_L3_Mes)+1)=1,N(P_L3_Monto),G$134)-H$133)</f>
        <v>0</v>
      </c>
      <c r="I134" s="48" t="n">
        <f aca="false">IF((4-N(P_L3_Mes)+1)&lt;1,0,IF((4-N(P_L3_Mes)+1)=1,N(P_L3_Monto),H$134)-I$133)</f>
        <v>0</v>
      </c>
      <c r="J134" s="48" t="n">
        <f aca="false">IF((5-N(P_L3_Mes)+1)&lt;1,0,IF((5-N(P_L3_Mes)+1)=1,N(P_L3_Monto),I$134)-J$133)</f>
        <v>0</v>
      </c>
      <c r="K134" s="48" t="n">
        <f aca="false">IF((6-N(P_L3_Mes)+1)&lt;1,0,IF((6-N(P_L3_Mes)+1)=1,N(P_L3_Monto),J$134)-K$133)</f>
        <v>0</v>
      </c>
      <c r="L134" s="48" t="n">
        <f aca="false">IF((7-N(P_L3_Mes)+1)&lt;1,0,IF((7-N(P_L3_Mes)+1)=1,N(P_L3_Monto),K$134)-L$133)</f>
        <v>0</v>
      </c>
      <c r="M134" s="48" t="n">
        <f aca="false">IF((8-N(P_L3_Mes)+1)&lt;1,0,IF((8-N(P_L3_Mes)+1)=1,N(P_L3_Monto),L$134)-M$133)</f>
        <v>0</v>
      </c>
      <c r="N134" s="48" t="n">
        <f aca="false">IF((9-N(P_L3_Mes)+1)&lt;1,0,IF((9-N(P_L3_Mes)+1)=1,N(P_L3_Monto),M$134)-N$133)</f>
        <v>0</v>
      </c>
      <c r="O134" s="48" t="n">
        <f aca="false">IF((10-N(P_L3_Mes)+1)&lt;1,0,IF((10-N(P_L3_Mes)+1)=1,N(P_L3_Monto),N$134)-O$133)</f>
        <v>0</v>
      </c>
      <c r="P134" s="48" t="n">
        <f aca="false">IF((11-N(P_L3_Mes)+1)&lt;1,0,IF((11-N(P_L3_Mes)+1)=1,N(P_L3_Monto),O$134)-P$133)</f>
        <v>0</v>
      </c>
      <c r="Q134" s="48" t="n">
        <f aca="false">IF((12-N(P_L3_Mes)+1)&lt;1,0,IF((12-N(P_L3_Mes)+1)=1,N(P_L3_Monto),P$134)-Q$133)</f>
        <v>0</v>
      </c>
      <c r="R134" s="48" t="n">
        <f aca="false">IF((13-N(P_L3_Mes)+1)&lt;1,0,IF((13-N(P_L3_Mes)+1)=1,N(P_L3_Monto),Q$134)-R$133)</f>
        <v>0</v>
      </c>
      <c r="S134" s="48" t="n">
        <f aca="false">IF((14-N(P_L3_Mes)+1)&lt;1,0,IF((14-N(P_L3_Mes)+1)=1,N(P_L3_Monto),R$134)-S$133)</f>
        <v>0</v>
      </c>
      <c r="T134" s="48" t="n">
        <f aca="false">IF((15-N(P_L3_Mes)+1)&lt;1,0,IF((15-N(P_L3_Mes)+1)=1,N(P_L3_Monto),S$134)-T$133)</f>
        <v>0</v>
      </c>
      <c r="U134" s="48" t="n">
        <f aca="false">IF((16-N(P_L3_Mes)+1)&lt;1,0,IF((16-N(P_L3_Mes)+1)=1,N(P_L3_Monto),T$134)-U$133)</f>
        <v>0</v>
      </c>
      <c r="V134" s="48" t="n">
        <f aca="false">IF((17-N(P_L3_Mes)+1)&lt;1,0,IF((17-N(P_L3_Mes)+1)=1,N(P_L3_Monto),U$134)-V$133)</f>
        <v>0</v>
      </c>
      <c r="W134" s="48" t="n">
        <f aca="false">IF((18-N(P_L3_Mes)+1)&lt;1,0,IF((18-N(P_L3_Mes)+1)=1,N(P_L3_Monto),V$134)-W$133)</f>
        <v>0</v>
      </c>
      <c r="X134" s="48" t="n">
        <f aca="false">IF((19-N(P_L3_Mes)+1)&lt;1,0,IF((19-N(P_L3_Mes)+1)=1,N(P_L3_Monto),W$134)-X$133)</f>
        <v>0</v>
      </c>
      <c r="Y134" s="48" t="n">
        <f aca="false">IF((20-N(P_L3_Mes)+1)&lt;1,0,IF((20-N(P_L3_Mes)+1)=1,N(P_L3_Monto),X$134)-Y$133)</f>
        <v>0</v>
      </c>
      <c r="Z134" s="48" t="n">
        <f aca="false">IF((21-N(P_L3_Mes)+1)&lt;1,0,IF((21-N(P_L3_Mes)+1)=1,N(P_L3_Monto),Y$134)-Z$133)</f>
        <v>0</v>
      </c>
      <c r="AA134" s="48" t="n">
        <f aca="false">IF((22-N(P_L3_Mes)+1)&lt;1,0,IF((22-N(P_L3_Mes)+1)=1,N(P_L3_Monto),Z$134)-AA$133)</f>
        <v>0</v>
      </c>
      <c r="AB134" s="48" t="n">
        <f aca="false">IF((23-N(P_L3_Mes)+1)&lt;1,0,IF((23-N(P_L3_Mes)+1)=1,N(P_L3_Monto),AA$134)-AB$133)</f>
        <v>0</v>
      </c>
      <c r="AC134" s="48" t="n">
        <f aca="false">IF((24-N(P_L3_Mes)+1)&lt;1,0,IF((24-N(P_L3_Mes)+1)=1,N(P_L3_Monto),AB$134)-AC$133)</f>
        <v>0</v>
      </c>
      <c r="AD134" s="48" t="n">
        <f aca="false">IF((25-N(P_L3_Mes)+1)&lt;1,0,IF((25-N(P_L3_Mes)+1)=1,N(P_L3_Monto),AC$134)-AD$133)</f>
        <v>0</v>
      </c>
      <c r="AE134" s="48" t="n">
        <f aca="false">IF((26-N(P_L3_Mes)+1)&lt;1,0,IF((26-N(P_L3_Mes)+1)=1,N(P_L3_Monto),AD$134)-AE$133)</f>
        <v>0</v>
      </c>
      <c r="AF134" s="48" t="n">
        <f aca="false">IF((27-N(P_L3_Mes)+1)&lt;1,0,IF((27-N(P_L3_Mes)+1)=1,N(P_L3_Monto),AE$134)-AF$133)</f>
        <v>0</v>
      </c>
      <c r="AG134" s="48" t="n">
        <f aca="false">IF((28-N(P_L3_Mes)+1)&lt;1,0,IF((28-N(P_L3_Mes)+1)=1,N(P_L3_Monto),AF$134)-AG$133)</f>
        <v>0</v>
      </c>
      <c r="AH134" s="48" t="n">
        <f aca="false">IF((29-N(P_L3_Mes)+1)&lt;1,0,IF((29-N(P_L3_Mes)+1)=1,N(P_L3_Monto),AG$134)-AH$133)</f>
        <v>0</v>
      </c>
      <c r="AI134" s="48" t="n">
        <f aca="false">IF((30-N(P_L3_Mes)+1)&lt;1,0,IF((30-N(P_L3_Mes)+1)=1,N(P_L3_Monto),AH$134)-AI$133)</f>
        <v>0</v>
      </c>
      <c r="AJ134" s="48" t="n">
        <f aca="false">IF((31-N(P_L3_Mes)+1)&lt;1,0,IF((31-N(P_L3_Mes)+1)=1,N(P_L3_Monto),AI$134)-AJ$133)</f>
        <v>0</v>
      </c>
      <c r="AK134" s="48" t="n">
        <f aca="false">IF((32-N(P_L3_Mes)+1)&lt;1,0,IF((32-N(P_L3_Mes)+1)=1,N(P_L3_Monto),AJ$134)-AK$133)</f>
        <v>0</v>
      </c>
      <c r="AL134" s="48" t="n">
        <f aca="false">IF((33-N(P_L3_Mes)+1)&lt;1,0,IF((33-N(P_L3_Mes)+1)=1,N(P_L3_Monto),AK$134)-AL$133)</f>
        <v>0</v>
      </c>
      <c r="AM134" s="48" t="n">
        <f aca="false">IF((34-N(P_L3_Mes)+1)&lt;1,0,IF((34-N(P_L3_Mes)+1)=1,N(P_L3_Monto),AL$134)-AM$133)</f>
        <v>0</v>
      </c>
      <c r="AN134" s="48" t="n">
        <f aca="false">IF((35-N(P_L3_Mes)+1)&lt;1,0,IF((35-N(P_L3_Mes)+1)=1,N(P_L3_Monto),AM$134)-AN$133)</f>
        <v>0</v>
      </c>
      <c r="AO134" s="48" t="n">
        <f aca="false">IF((36-N(P_L3_Mes)+1)&lt;1,0,IF((36-N(P_L3_Mes)+1)=1,N(P_L3_Monto),AN$134)-AO$133)</f>
        <v>0</v>
      </c>
      <c r="AP134" s="48" t="n">
        <f aca="false">IF((37-N(P_L3_Mes)+1)&lt;1,0,IF((37-N(P_L3_Mes)+1)=1,N(P_L3_Monto),AO$134)-AP$133)</f>
        <v>0</v>
      </c>
      <c r="AQ134" s="48" t="n">
        <f aca="false">IF((38-N(P_L3_Mes)+1)&lt;1,0,IF((38-N(P_L3_Mes)+1)=1,N(P_L3_Monto),AP$134)-AQ$133)</f>
        <v>0</v>
      </c>
      <c r="AR134" s="48" t="n">
        <f aca="false">IF((39-N(P_L3_Mes)+1)&lt;1,0,IF((39-N(P_L3_Mes)+1)=1,N(P_L3_Monto),AQ$134)-AR$133)</f>
        <v>0</v>
      </c>
      <c r="AS134" s="48" t="n">
        <f aca="false">IF((40-N(P_L3_Mes)+1)&lt;1,0,IF((40-N(P_L3_Mes)+1)=1,N(P_L3_Monto),AR$134)-AS$133)</f>
        <v>0</v>
      </c>
      <c r="AT134" s="48" t="n">
        <f aca="false">IF((41-N(P_L3_Mes)+1)&lt;1,0,IF((41-N(P_L3_Mes)+1)=1,N(P_L3_Monto),AS$134)-AT$133)</f>
        <v>0</v>
      </c>
      <c r="AU134" s="48" t="n">
        <f aca="false">IF((42-N(P_L3_Mes)+1)&lt;1,0,IF((42-N(P_L3_Mes)+1)=1,N(P_L3_Monto),AT$134)-AU$133)</f>
        <v>0</v>
      </c>
      <c r="AV134" s="48" t="n">
        <f aca="false">IF((43-N(P_L3_Mes)+1)&lt;1,0,IF((43-N(P_L3_Mes)+1)=1,N(P_L3_Monto),AU$134)-AV$133)</f>
        <v>0</v>
      </c>
      <c r="AW134" s="48" t="n">
        <f aca="false">IF((44-N(P_L3_Mes)+1)&lt;1,0,IF((44-N(P_L3_Mes)+1)=1,N(P_L3_Monto),AV$134)-AW$133)</f>
        <v>0</v>
      </c>
      <c r="AX134" s="48" t="n">
        <f aca="false">IF((45-N(P_L3_Mes)+1)&lt;1,0,IF((45-N(P_L3_Mes)+1)=1,N(P_L3_Monto),AW$134)-AX$133)</f>
        <v>0</v>
      </c>
      <c r="AY134" s="48" t="n">
        <f aca="false">IF((46-N(P_L3_Mes)+1)&lt;1,0,IF((46-N(P_L3_Mes)+1)=1,N(P_L3_Monto),AX$134)-AY$133)</f>
        <v>0</v>
      </c>
      <c r="AZ134" s="48" t="n">
        <f aca="false">IF((47-N(P_L3_Mes)+1)&lt;1,0,IF((47-N(P_L3_Mes)+1)=1,N(P_L3_Monto),AY$134)-AZ$133)</f>
        <v>0</v>
      </c>
      <c r="BA134" s="48" t="n">
        <f aca="false">IF((48-N(P_L3_Mes)+1)&lt;1,0,IF((48-N(P_L3_Mes)+1)=1,N(P_L3_Monto),AZ$134)-BA$133)</f>
        <v>0</v>
      </c>
      <c r="BB134" s="48" t="n">
        <f aca="false">IF((49-N(P_L3_Mes)+1)&lt;1,0,IF((49-N(P_L3_Mes)+1)=1,N(P_L3_Monto),BA$134)-BB$133)</f>
        <v>0</v>
      </c>
      <c r="BC134" s="48" t="n">
        <f aca="false">IF((50-N(P_L3_Mes)+1)&lt;1,0,IF((50-N(P_L3_Mes)+1)=1,N(P_L3_Monto),BB$134)-BC$133)</f>
        <v>0</v>
      </c>
      <c r="BD134" s="48" t="n">
        <f aca="false">IF((51-N(P_L3_Mes)+1)&lt;1,0,IF((51-N(P_L3_Mes)+1)=1,N(P_L3_Monto),BC$134)-BD$133)</f>
        <v>0</v>
      </c>
      <c r="BE134" s="48" t="n">
        <f aca="false">IF((52-N(P_L3_Mes)+1)&lt;1,0,IF((52-N(P_L3_Mes)+1)=1,N(P_L3_Monto),BD$134)-BE$133)</f>
        <v>0</v>
      </c>
      <c r="BF134" s="48" t="n">
        <f aca="false">IF((53-N(P_L3_Mes)+1)&lt;1,0,IF((53-N(P_L3_Mes)+1)=1,N(P_L3_Monto),BE$134)-BF$133)</f>
        <v>0</v>
      </c>
      <c r="BG134" s="48" t="n">
        <f aca="false">IF((54-N(P_L3_Mes)+1)&lt;1,0,IF((54-N(P_L3_Mes)+1)=1,N(P_L3_Monto),BF$134)-BG$133)</f>
        <v>0</v>
      </c>
      <c r="BH134" s="48" t="n">
        <f aca="false">IF((55-N(P_L3_Mes)+1)&lt;1,0,IF((55-N(P_L3_Mes)+1)=1,N(P_L3_Monto),BG$134)-BH$133)</f>
        <v>0</v>
      </c>
      <c r="BI134" s="48" t="n">
        <f aca="false">IF((56-N(P_L3_Mes)+1)&lt;1,0,IF((56-N(P_L3_Mes)+1)=1,N(P_L3_Monto),BH$134)-BI$133)</f>
        <v>0</v>
      </c>
      <c r="BJ134" s="48" t="n">
        <f aca="false">IF((57-N(P_L3_Mes)+1)&lt;1,0,IF((57-N(P_L3_Mes)+1)=1,N(P_L3_Monto),BI$134)-BJ$133)</f>
        <v>0</v>
      </c>
      <c r="BK134" s="48" t="n">
        <f aca="false">IF((58-N(P_L3_Mes)+1)&lt;1,0,IF((58-N(P_L3_Mes)+1)=1,N(P_L3_Monto),BJ$134)-BK$133)</f>
        <v>0</v>
      </c>
      <c r="BL134" s="48" t="n">
        <f aca="false">IF((59-N(P_L3_Mes)+1)&lt;1,0,IF((59-N(P_L3_Mes)+1)=1,N(P_L3_Monto),BK$134)-BL$133)</f>
        <v>0</v>
      </c>
      <c r="BM134" s="48" t="n">
        <f aca="false">IF((60-N(P_L3_Mes)+1)&lt;1,0,IF((60-N(P_L3_Mes)+1)=1,N(P_L3_Monto),BL$134)-BM$133)</f>
        <v>0</v>
      </c>
      <c r="BN134" s="48" t="n">
        <f aca="false">IF((61-N(P_L3_Mes)+1)&lt;1,0,IF((61-N(P_L3_Mes)+1)=1,N(P_L3_Monto),BM$134)-BN$133)</f>
        <v>0</v>
      </c>
      <c r="BO134" s="48" t="n">
        <f aca="false">IF((62-N(P_L3_Mes)+1)&lt;1,0,IF((62-N(P_L3_Mes)+1)=1,N(P_L3_Monto),BN$134)-BO$133)</f>
        <v>0</v>
      </c>
      <c r="BP134" s="48" t="n">
        <f aca="false">IF((63-N(P_L3_Mes)+1)&lt;1,0,IF((63-N(P_L3_Mes)+1)=1,N(P_L3_Monto),BO$134)-BP$133)</f>
        <v>0</v>
      </c>
      <c r="BQ134" s="48" t="n">
        <f aca="false">IF((64-N(P_L3_Mes)+1)&lt;1,0,IF((64-N(P_L3_Mes)+1)=1,N(P_L3_Monto),BP$134)-BQ$133)</f>
        <v>0</v>
      </c>
      <c r="BR134" s="48" t="n">
        <f aca="false">IF((65-N(P_L3_Mes)+1)&lt;1,0,IF((65-N(P_L3_Mes)+1)=1,N(P_L3_Monto),BQ$134)-BR$133)</f>
        <v>0</v>
      </c>
      <c r="BS134" s="48" t="n">
        <f aca="false">IF((66-N(P_L3_Mes)+1)&lt;1,0,IF((66-N(P_L3_Mes)+1)=1,N(P_L3_Monto),BR$134)-BS$133)</f>
        <v>0</v>
      </c>
      <c r="BT134" s="48" t="n">
        <f aca="false">IF((67-N(P_L3_Mes)+1)&lt;1,0,IF((67-N(P_L3_Mes)+1)=1,N(P_L3_Monto),BS$134)-BT$133)</f>
        <v>0</v>
      </c>
      <c r="BU134" s="48" t="n">
        <f aca="false">IF((68-N(P_L3_Mes)+1)&lt;1,0,IF((68-N(P_L3_Mes)+1)=1,N(P_L3_Monto),BT$134)-BU$133)</f>
        <v>0</v>
      </c>
      <c r="BV134" s="48" t="n">
        <f aca="false">IF((69-N(P_L3_Mes)+1)&lt;1,0,IF((69-N(P_L3_Mes)+1)=1,N(P_L3_Monto),BU$134)-BV$133)</f>
        <v>0</v>
      </c>
      <c r="BW134" s="48" t="n">
        <f aca="false">IF((70-N(P_L3_Mes)+1)&lt;1,0,IF((70-N(P_L3_Mes)+1)=1,N(P_L3_Monto),BV$134)-BW$133)</f>
        <v>0</v>
      </c>
      <c r="BX134" s="48" t="n">
        <f aca="false">IF((71-N(P_L3_Mes)+1)&lt;1,0,IF((71-N(P_L3_Mes)+1)=1,N(P_L3_Monto),BW$134)-BX$133)</f>
        <v>0</v>
      </c>
      <c r="BY134" s="48" t="n">
        <f aca="false">IF((72-N(P_L3_Mes)+1)&lt;1,0,IF((72-N(P_L3_Mes)+1)=1,N(P_L3_Monto),BX$134)-BY$133)</f>
        <v>0</v>
      </c>
      <c r="BZ134" s="48" t="n">
        <f aca="false">IF((73-N(P_L3_Mes)+1)&lt;1,0,IF((73-N(P_L3_Mes)+1)=1,N(P_L3_Monto),BY$134)-BZ$133)</f>
        <v>0</v>
      </c>
      <c r="CA134" s="48" t="n">
        <f aca="false">IF((74-N(P_L3_Mes)+1)&lt;1,0,IF((74-N(P_L3_Mes)+1)=1,N(P_L3_Monto),BZ$134)-CA$133)</f>
        <v>0</v>
      </c>
      <c r="CB134" s="48" t="n">
        <f aca="false">IF((75-N(P_L3_Mes)+1)&lt;1,0,IF((75-N(P_L3_Mes)+1)=1,N(P_L3_Monto),CA$134)-CB$133)</f>
        <v>0</v>
      </c>
      <c r="CC134" s="48" t="n">
        <f aca="false">IF((76-N(P_L3_Mes)+1)&lt;1,0,IF((76-N(P_L3_Mes)+1)=1,N(P_L3_Monto),CB$134)-CC$133)</f>
        <v>0</v>
      </c>
      <c r="CD134" s="48" t="n">
        <f aca="false">IF((77-N(P_L3_Mes)+1)&lt;1,0,IF((77-N(P_L3_Mes)+1)=1,N(P_L3_Monto),CC$134)-CD$133)</f>
        <v>0</v>
      </c>
      <c r="CE134" s="48" t="n">
        <f aca="false">IF((78-N(P_L3_Mes)+1)&lt;1,0,IF((78-N(P_L3_Mes)+1)=1,N(P_L3_Monto),CD$134)-CE$133)</f>
        <v>0</v>
      </c>
      <c r="CF134" s="48" t="n">
        <f aca="false">IF((79-N(P_L3_Mes)+1)&lt;1,0,IF((79-N(P_L3_Mes)+1)=1,N(P_L3_Monto),CE$134)-CF$133)</f>
        <v>0</v>
      </c>
      <c r="CG134" s="48" t="n">
        <f aca="false">IF((80-N(P_L3_Mes)+1)&lt;1,0,IF((80-N(P_L3_Mes)+1)=1,N(P_L3_Monto),CF$134)-CG$133)</f>
        <v>0</v>
      </c>
      <c r="CH134" s="48" t="n">
        <f aca="false">IF((81-N(P_L3_Mes)+1)&lt;1,0,IF((81-N(P_L3_Mes)+1)=1,N(P_L3_Monto),CG$134)-CH$133)</f>
        <v>0</v>
      </c>
      <c r="CI134" s="48" t="n">
        <f aca="false">IF((82-N(P_L3_Mes)+1)&lt;1,0,IF((82-N(P_L3_Mes)+1)=1,N(P_L3_Monto),CH$134)-CI$133)</f>
        <v>0</v>
      </c>
      <c r="CJ134" s="48" t="n">
        <f aca="false">IF((83-N(P_L3_Mes)+1)&lt;1,0,IF((83-N(P_L3_Mes)+1)=1,N(P_L3_Monto),CI$134)-CJ$133)</f>
        <v>0</v>
      </c>
      <c r="CK134" s="48" t="n">
        <f aca="false">IF((84-N(P_L3_Mes)+1)&lt;1,0,IF((84-N(P_L3_Mes)+1)=1,N(P_L3_Monto),CJ$134)-CK$133)</f>
        <v>0</v>
      </c>
      <c r="CL134" s="48" t="n">
        <f aca="false">IF((85-N(P_L3_Mes)+1)&lt;1,0,IF((85-N(P_L3_Mes)+1)=1,N(P_L3_Monto),CK$134)-CL$133)</f>
        <v>0</v>
      </c>
      <c r="CM134" s="48" t="n">
        <f aca="false">IF((86-N(P_L3_Mes)+1)&lt;1,0,IF((86-N(P_L3_Mes)+1)=1,N(P_L3_Monto),CL$134)-CM$133)</f>
        <v>0</v>
      </c>
      <c r="CN134" s="48" t="n">
        <f aca="false">IF((87-N(P_L3_Mes)+1)&lt;1,0,IF((87-N(P_L3_Mes)+1)=1,N(P_L3_Monto),CM$134)-CN$133)</f>
        <v>0</v>
      </c>
      <c r="CO134" s="48" t="n">
        <f aca="false">IF((88-N(P_L3_Mes)+1)&lt;1,0,IF((88-N(P_L3_Mes)+1)=1,N(P_L3_Monto),CN$134)-CO$133)</f>
        <v>0</v>
      </c>
      <c r="CP134" s="48" t="n">
        <f aca="false">IF((89-N(P_L3_Mes)+1)&lt;1,0,IF((89-N(P_L3_Mes)+1)=1,N(P_L3_Monto),CO$134)-CP$133)</f>
        <v>0</v>
      </c>
      <c r="CQ134" s="48" t="n">
        <f aca="false">IF((90-N(P_L3_Mes)+1)&lt;1,0,IF((90-N(P_L3_Mes)+1)=1,N(P_L3_Monto),CP$134)-CQ$133)</f>
        <v>0</v>
      </c>
      <c r="CR134" s="48" t="n">
        <f aca="false">IF((91-N(P_L3_Mes)+1)&lt;1,0,IF((91-N(P_L3_Mes)+1)=1,N(P_L3_Monto),CQ$134)-CR$133)</f>
        <v>0</v>
      </c>
      <c r="CS134" s="48" t="n">
        <f aca="false">IF((92-N(P_L3_Mes)+1)&lt;1,0,IF((92-N(P_L3_Mes)+1)=1,N(P_L3_Monto),CR$134)-CS$133)</f>
        <v>0</v>
      </c>
      <c r="CT134" s="48" t="n">
        <f aca="false">IF((93-N(P_L3_Mes)+1)&lt;1,0,IF((93-N(P_L3_Mes)+1)=1,N(P_L3_Monto),CS$134)-CT$133)</f>
        <v>0</v>
      </c>
      <c r="CU134" s="48" t="n">
        <f aca="false">IF((94-N(P_L3_Mes)+1)&lt;1,0,IF((94-N(P_L3_Mes)+1)=1,N(P_L3_Monto),CT$134)-CU$133)</f>
        <v>0</v>
      </c>
      <c r="CV134" s="48" t="n">
        <f aca="false">IF((95-N(P_L3_Mes)+1)&lt;1,0,IF((95-N(P_L3_Mes)+1)=1,N(P_L3_Monto),CU$134)-CV$133)</f>
        <v>0</v>
      </c>
      <c r="CW134" s="48" t="n">
        <f aca="false">IF((96-N(P_L3_Mes)+1)&lt;1,0,IF((96-N(P_L3_Mes)+1)=1,N(P_L3_Monto),CV$134)-CW$133)</f>
        <v>0</v>
      </c>
      <c r="CX134" s="48" t="n">
        <f aca="false">IF((97-N(P_L3_Mes)+1)&lt;1,0,IF((97-N(P_L3_Mes)+1)=1,N(P_L3_Monto),CW$134)-CX$133)</f>
        <v>0</v>
      </c>
      <c r="CY134" s="48" t="n">
        <f aca="false">IF((98-N(P_L3_Mes)+1)&lt;1,0,IF((98-N(P_L3_Mes)+1)=1,N(P_L3_Monto),CX$134)-CY$133)</f>
        <v>0</v>
      </c>
      <c r="CZ134" s="48" t="n">
        <f aca="false">IF((99-N(P_L3_Mes)+1)&lt;1,0,IF((99-N(P_L3_Mes)+1)=1,N(P_L3_Monto),CY$134)-CZ$133)</f>
        <v>0</v>
      </c>
      <c r="DA134" s="48" t="n">
        <f aca="false">IF((100-N(P_L3_Mes)+1)&lt;1,0,IF((100-N(P_L3_Mes)+1)=1,N(P_L3_Monto),CZ$134)-DA$133)</f>
        <v>0</v>
      </c>
      <c r="DB134" s="48" t="n">
        <f aca="false">IF((101-N(P_L3_Mes)+1)&lt;1,0,IF((101-N(P_L3_Mes)+1)=1,N(P_L3_Monto),DA$134)-DB$133)</f>
        <v>0</v>
      </c>
      <c r="DC134" s="48" t="n">
        <f aca="false">IF((102-N(P_L3_Mes)+1)&lt;1,0,IF((102-N(P_L3_Mes)+1)=1,N(P_L3_Monto),DB$134)-DC$133)</f>
        <v>0</v>
      </c>
      <c r="DD134" s="48" t="n">
        <f aca="false">IF((103-N(P_L3_Mes)+1)&lt;1,0,IF((103-N(P_L3_Mes)+1)=1,N(P_L3_Monto),DC$134)-DD$133)</f>
        <v>0</v>
      </c>
      <c r="DE134" s="48" t="n">
        <f aca="false">IF((104-N(P_L3_Mes)+1)&lt;1,0,IF((104-N(P_L3_Mes)+1)=1,N(P_L3_Monto),DD$134)-DE$133)</f>
        <v>0</v>
      </c>
      <c r="DF134" s="48" t="n">
        <f aca="false">IF((105-N(P_L3_Mes)+1)&lt;1,0,IF((105-N(P_L3_Mes)+1)=1,N(P_L3_Monto),DE$134)-DF$133)</f>
        <v>0</v>
      </c>
      <c r="DG134" s="48" t="n">
        <f aca="false">IF((106-N(P_L3_Mes)+1)&lt;1,0,IF((106-N(P_L3_Mes)+1)=1,N(P_L3_Monto),DF$134)-DG$133)</f>
        <v>0</v>
      </c>
      <c r="DH134" s="48" t="n">
        <f aca="false">IF((107-N(P_L3_Mes)+1)&lt;1,0,IF((107-N(P_L3_Mes)+1)=1,N(P_L3_Monto),DG$134)-DH$133)</f>
        <v>0</v>
      </c>
      <c r="DI134" s="48" t="n">
        <f aca="false">IF((108-N(P_L3_Mes)+1)&lt;1,0,IF((108-N(P_L3_Mes)+1)=1,N(P_L3_Monto),DH$134)-DI$133)</f>
        <v>0</v>
      </c>
      <c r="DJ134" s="48" t="n">
        <f aca="false">IF((109-N(P_L3_Mes)+1)&lt;1,0,IF((109-N(P_L3_Mes)+1)=1,N(P_L3_Monto),DI$134)-DJ$133)</f>
        <v>0</v>
      </c>
      <c r="DK134" s="48" t="n">
        <f aca="false">IF((110-N(P_L3_Mes)+1)&lt;1,0,IF((110-N(P_L3_Mes)+1)=1,N(P_L3_Monto),DJ$134)-DK$133)</f>
        <v>0</v>
      </c>
      <c r="DL134" s="48" t="n">
        <f aca="false">IF((111-N(P_L3_Mes)+1)&lt;1,0,IF((111-N(P_L3_Mes)+1)=1,N(P_L3_Monto),DK$134)-DL$133)</f>
        <v>0</v>
      </c>
      <c r="DM134" s="48" t="n">
        <f aca="false">IF((112-N(P_L3_Mes)+1)&lt;1,0,IF((112-N(P_L3_Mes)+1)=1,N(P_L3_Monto),DL$134)-DM$133)</f>
        <v>0</v>
      </c>
      <c r="DN134" s="48" t="n">
        <f aca="false">IF((113-N(P_L3_Mes)+1)&lt;1,0,IF((113-N(P_L3_Mes)+1)=1,N(P_L3_Monto),DM$134)-DN$133)</f>
        <v>0</v>
      </c>
      <c r="DO134" s="48" t="n">
        <f aca="false">IF((114-N(P_L3_Mes)+1)&lt;1,0,IF((114-N(P_L3_Mes)+1)=1,N(P_L3_Monto),DN$134)-DO$133)</f>
        <v>0</v>
      </c>
      <c r="DP134" s="48" t="n">
        <f aca="false">IF((115-N(P_L3_Mes)+1)&lt;1,0,IF((115-N(P_L3_Mes)+1)=1,N(P_L3_Monto),DO$134)-DP$133)</f>
        <v>0</v>
      </c>
      <c r="DQ134" s="48" t="n">
        <f aca="false">IF((116-N(P_L3_Mes)+1)&lt;1,0,IF((116-N(P_L3_Mes)+1)=1,N(P_L3_Monto),DP$134)-DQ$133)</f>
        <v>0</v>
      </c>
      <c r="DR134" s="48" t="n">
        <f aca="false">IF((117-N(P_L3_Mes)+1)&lt;1,0,IF((117-N(P_L3_Mes)+1)=1,N(P_L3_Monto),DQ$134)-DR$133)</f>
        <v>0</v>
      </c>
      <c r="DS134" s="48" t="n">
        <f aca="false">IF((118-N(P_L3_Mes)+1)&lt;1,0,IF((118-N(P_L3_Mes)+1)=1,N(P_L3_Monto),DR$134)-DS$133)</f>
        <v>0</v>
      </c>
      <c r="DT134" s="48" t="n">
        <f aca="false">IF((119-N(P_L3_Mes)+1)&lt;1,0,IF((119-N(P_L3_Mes)+1)=1,N(P_L3_Monto),DS$134)-DT$133)</f>
        <v>0</v>
      </c>
      <c r="DU134" s="48" t="n">
        <f aca="false">IF((120-N(P_L3_Mes)+1)&lt;1,0,IF((120-N(P_L3_Mes)+1)=1,N(P_L3_Monto),DT$134)-DU$133)</f>
        <v>0</v>
      </c>
      <c r="DV134" s="48" t="n">
        <f aca="false">IF((121-N(P_L3_Mes)+1)&lt;1,0,IF((121-N(P_L3_Mes)+1)=1,N(P_L3_Monto),DU$134)-DV$133)</f>
        <v>0</v>
      </c>
      <c r="DW134" s="48" t="n">
        <f aca="false">IF((122-N(P_L3_Mes)+1)&lt;1,0,IF((122-N(P_L3_Mes)+1)=1,N(P_L3_Monto),DV$134)-DW$133)</f>
        <v>0</v>
      </c>
      <c r="DX134" s="48" t="n">
        <f aca="false">IF((123-N(P_L3_Mes)+1)&lt;1,0,IF((123-N(P_L3_Mes)+1)=1,N(P_L3_Monto),DW$134)-DX$133)</f>
        <v>0</v>
      </c>
      <c r="DY134" s="48" t="n">
        <f aca="false">IF((124-N(P_L3_Mes)+1)&lt;1,0,IF((124-N(P_L3_Mes)+1)=1,N(P_L3_Monto),DX$134)-DY$133)</f>
        <v>0</v>
      </c>
      <c r="DZ134" s="48" t="n">
        <f aca="false">IF((125-N(P_L3_Mes)+1)&lt;1,0,IF((125-N(P_L3_Mes)+1)=1,N(P_L3_Monto),DY$134)-DZ$133)</f>
        <v>0</v>
      </c>
      <c r="EA134" s="48" t="n">
        <f aca="false">IF((126-N(P_L3_Mes)+1)&lt;1,0,IF((126-N(P_L3_Mes)+1)=1,N(P_L3_Monto),DZ$134)-EA$133)</f>
        <v>0</v>
      </c>
      <c r="EB134" s="48" t="n">
        <f aca="false">IF((127-N(P_L3_Mes)+1)&lt;1,0,IF((127-N(P_L3_Mes)+1)=1,N(P_L3_Monto),EA$134)-EB$133)</f>
        <v>0</v>
      </c>
      <c r="EC134" s="48" t="n">
        <f aca="false">IF((128-N(P_L3_Mes)+1)&lt;1,0,IF((128-N(P_L3_Mes)+1)=1,N(P_L3_Monto),EB$134)-EC$133)</f>
        <v>0</v>
      </c>
      <c r="ED134" s="48" t="n">
        <f aca="false">IF((129-N(P_L3_Mes)+1)&lt;1,0,IF((129-N(P_L3_Mes)+1)=1,N(P_L3_Monto),EC$134)-ED$133)</f>
        <v>0</v>
      </c>
      <c r="EE134" s="48" t="n">
        <f aca="false">IF((130-N(P_L3_Mes)+1)&lt;1,0,IF((130-N(P_L3_Mes)+1)=1,N(P_L3_Monto),ED$134)-EE$133)</f>
        <v>0</v>
      </c>
      <c r="EF134" s="48" t="n">
        <f aca="false">IF((131-N(P_L3_Mes)+1)&lt;1,0,IF((131-N(P_L3_Mes)+1)=1,N(P_L3_Monto),EE$134)-EF$133)</f>
        <v>0</v>
      </c>
      <c r="EG134" s="48" t="n">
        <f aca="false">IF((132-N(P_L3_Mes)+1)&lt;1,0,IF((132-N(P_L3_Mes)+1)=1,N(P_L3_Monto),EF$134)-EG$133)</f>
        <v>0</v>
      </c>
      <c r="EH134" s="48" t="n">
        <f aca="false">IF((133-N(P_L3_Mes)+1)&lt;1,0,IF((133-N(P_L3_Mes)+1)=1,N(P_L3_Monto),EG$134)-EH$133)</f>
        <v>0</v>
      </c>
      <c r="EI134" s="48" t="n">
        <f aca="false">IF((134-N(P_L3_Mes)+1)&lt;1,0,IF((134-N(P_L3_Mes)+1)=1,N(P_L3_Monto),EH$134)-EI$133)</f>
        <v>0</v>
      </c>
      <c r="EJ134" s="48" t="n">
        <f aca="false">IF((135-N(P_L3_Mes)+1)&lt;1,0,IF((135-N(P_L3_Mes)+1)=1,N(P_L3_Monto),EI$134)-EJ$133)</f>
        <v>0</v>
      </c>
      <c r="EK134" s="48" t="n">
        <f aca="false">IF((136-N(P_L3_Mes)+1)&lt;1,0,IF((136-N(P_L3_Mes)+1)=1,N(P_L3_Monto),EJ$134)-EK$133)</f>
        <v>0</v>
      </c>
      <c r="EL134" s="48" t="n">
        <f aca="false">IF((137-N(P_L3_Mes)+1)&lt;1,0,IF((137-N(P_L3_Mes)+1)=1,N(P_L3_Monto),EK$134)-EL$133)</f>
        <v>0</v>
      </c>
      <c r="EM134" s="48" t="n">
        <f aca="false">IF((138-N(P_L3_Mes)+1)&lt;1,0,IF((138-N(P_L3_Mes)+1)=1,N(P_L3_Monto),EL$134)-EM$133)</f>
        <v>0</v>
      </c>
      <c r="EN134" s="48" t="n">
        <f aca="false">IF((139-N(P_L3_Mes)+1)&lt;1,0,IF((139-N(P_L3_Mes)+1)=1,N(P_L3_Monto),EM$134)-EN$133)</f>
        <v>0</v>
      </c>
      <c r="EO134" s="48" t="n">
        <f aca="false">IF((140-N(P_L3_Mes)+1)&lt;1,0,IF((140-N(P_L3_Mes)+1)=1,N(P_L3_Monto),EN$134)-EO$133)</f>
        <v>0</v>
      </c>
      <c r="EP134" s="48" t="n">
        <f aca="false">IF((141-N(P_L3_Mes)+1)&lt;1,0,IF((141-N(P_L3_Mes)+1)=1,N(P_L3_Monto),EO$134)-EP$133)</f>
        <v>0</v>
      </c>
      <c r="EQ134" s="48" t="n">
        <f aca="false">IF((142-N(P_L3_Mes)+1)&lt;1,0,IF((142-N(P_L3_Mes)+1)=1,N(P_L3_Monto),EP$134)-EQ$133)</f>
        <v>0</v>
      </c>
      <c r="ER134" s="48" t="n">
        <f aca="false">IF((143-N(P_L3_Mes)+1)&lt;1,0,IF((143-N(P_L3_Mes)+1)=1,N(P_L3_Monto),EQ$134)-ER$133)</f>
        <v>0</v>
      </c>
      <c r="ES134" s="48" t="n">
        <f aca="false">IF((144-N(P_L3_Mes)+1)&lt;1,0,IF((144-N(P_L3_Mes)+1)=1,N(P_L3_Monto),ER$134)-ES$133)</f>
        <v>0</v>
      </c>
    </row>
    <row r="135" customFormat="false" ht="15" hidden="false" customHeight="false" outlineLevel="0" collapsed="false">
      <c r="A135" s="13"/>
      <c r="B135" s="12" t="s">
        <v>1234</v>
      </c>
      <c r="C135" s="13"/>
      <c r="D135" s="13"/>
      <c r="E135" s="13"/>
    </row>
    <row r="136" customFormat="false" ht="15" hidden="false" customHeight="false" outlineLevel="0" collapsed="false">
      <c r="A136" s="11" t="s">
        <v>1235</v>
      </c>
      <c r="B136" s="15" t="s">
        <v>1236</v>
      </c>
      <c r="C136" s="15" t="s">
        <v>508</v>
      </c>
      <c r="E136" s="54" t="n">
        <f aca="false">SUM(F136:ES136)</f>
        <v>2791587</v>
      </c>
      <c r="F136" s="48" t="n">
        <f aca="false">F$123+F$127+F$131</f>
        <v>2791587</v>
      </c>
      <c r="G136" s="48" t="n">
        <f aca="false">G$123+G$127+G$131</f>
        <v>0</v>
      </c>
      <c r="H136" s="48" t="n">
        <f aca="false">H$123+H$127+H$131</f>
        <v>0</v>
      </c>
      <c r="I136" s="48" t="n">
        <f aca="false">I$123+I$127+I$131</f>
        <v>0</v>
      </c>
      <c r="J136" s="48" t="n">
        <f aca="false">J$123+J$127+J$131</f>
        <v>0</v>
      </c>
      <c r="K136" s="48" t="n">
        <f aca="false">K$123+K$127+K$131</f>
        <v>0</v>
      </c>
      <c r="L136" s="48" t="n">
        <f aca="false">L$123+L$127+L$131</f>
        <v>0</v>
      </c>
      <c r="M136" s="48" t="n">
        <f aca="false">M$123+M$127+M$131</f>
        <v>0</v>
      </c>
      <c r="N136" s="48" t="n">
        <f aca="false">N$123+N$127+N$131</f>
        <v>0</v>
      </c>
      <c r="O136" s="48" t="n">
        <f aca="false">O$123+O$127+O$131</f>
        <v>0</v>
      </c>
      <c r="P136" s="48" t="n">
        <f aca="false">P$123+P$127+P$131</f>
        <v>0</v>
      </c>
      <c r="Q136" s="48" t="n">
        <f aca="false">Q$123+Q$127+Q$131</f>
        <v>0</v>
      </c>
      <c r="R136" s="48" t="n">
        <f aca="false">R$123+R$127+R$131</f>
        <v>0</v>
      </c>
      <c r="S136" s="48" t="n">
        <f aca="false">S$123+S$127+S$131</f>
        <v>0</v>
      </c>
      <c r="T136" s="48" t="n">
        <f aca="false">T$123+T$127+T$131</f>
        <v>0</v>
      </c>
      <c r="U136" s="48" t="n">
        <f aca="false">U$123+U$127+U$131</f>
        <v>0</v>
      </c>
      <c r="V136" s="48" t="n">
        <f aca="false">V$123+V$127+V$131</f>
        <v>0</v>
      </c>
      <c r="W136" s="48" t="n">
        <f aca="false">W$123+W$127+W$131</f>
        <v>0</v>
      </c>
      <c r="X136" s="48" t="n">
        <f aca="false">X$123+X$127+X$131</f>
        <v>0</v>
      </c>
      <c r="Y136" s="48" t="n">
        <f aca="false">Y$123+Y$127+Y$131</f>
        <v>0</v>
      </c>
      <c r="Z136" s="48" t="n">
        <f aca="false">Z$123+Z$127+Z$131</f>
        <v>0</v>
      </c>
      <c r="AA136" s="48" t="n">
        <f aca="false">AA$123+AA$127+AA$131</f>
        <v>0</v>
      </c>
      <c r="AB136" s="48" t="n">
        <f aca="false">AB$123+AB$127+AB$131</f>
        <v>0</v>
      </c>
      <c r="AC136" s="48" t="n">
        <f aca="false">AC$123+AC$127+AC$131</f>
        <v>0</v>
      </c>
      <c r="AD136" s="48" t="n">
        <f aca="false">AD$123+AD$127+AD$131</f>
        <v>0</v>
      </c>
      <c r="AE136" s="48" t="n">
        <f aca="false">AE$123+AE$127+AE$131</f>
        <v>0</v>
      </c>
      <c r="AF136" s="48" t="n">
        <f aca="false">AF$123+AF$127+AF$131</f>
        <v>0</v>
      </c>
      <c r="AG136" s="48" t="n">
        <f aca="false">AG$123+AG$127+AG$131</f>
        <v>0</v>
      </c>
      <c r="AH136" s="48" t="n">
        <f aca="false">AH$123+AH$127+AH$131</f>
        <v>0</v>
      </c>
      <c r="AI136" s="48" t="n">
        <f aca="false">AI$123+AI$127+AI$131</f>
        <v>0</v>
      </c>
      <c r="AJ136" s="48" t="n">
        <f aca="false">AJ$123+AJ$127+AJ$131</f>
        <v>0</v>
      </c>
      <c r="AK136" s="48" t="n">
        <f aca="false">AK$123+AK$127+AK$131</f>
        <v>0</v>
      </c>
      <c r="AL136" s="48" t="n">
        <f aca="false">AL$123+AL$127+AL$131</f>
        <v>0</v>
      </c>
      <c r="AM136" s="48" t="n">
        <f aca="false">AM$123+AM$127+AM$131</f>
        <v>0</v>
      </c>
      <c r="AN136" s="48" t="n">
        <f aca="false">AN$123+AN$127+AN$131</f>
        <v>0</v>
      </c>
      <c r="AO136" s="48" t="n">
        <f aca="false">AO$123+AO$127+AO$131</f>
        <v>0</v>
      </c>
      <c r="AP136" s="48" t="n">
        <f aca="false">AP$123+AP$127+AP$131</f>
        <v>0</v>
      </c>
      <c r="AQ136" s="48" t="n">
        <f aca="false">AQ$123+AQ$127+AQ$131</f>
        <v>0</v>
      </c>
      <c r="AR136" s="48" t="n">
        <f aca="false">AR$123+AR$127+AR$131</f>
        <v>0</v>
      </c>
      <c r="AS136" s="48" t="n">
        <f aca="false">AS$123+AS$127+AS$131</f>
        <v>0</v>
      </c>
      <c r="AT136" s="48" t="n">
        <f aca="false">AT$123+AT$127+AT$131</f>
        <v>0</v>
      </c>
      <c r="AU136" s="48" t="n">
        <f aca="false">AU$123+AU$127+AU$131</f>
        <v>0</v>
      </c>
      <c r="AV136" s="48" t="n">
        <f aca="false">AV$123+AV$127+AV$131</f>
        <v>0</v>
      </c>
      <c r="AW136" s="48" t="n">
        <f aca="false">AW$123+AW$127+AW$131</f>
        <v>0</v>
      </c>
      <c r="AX136" s="48" t="n">
        <f aca="false">AX$123+AX$127+AX$131</f>
        <v>0</v>
      </c>
      <c r="AY136" s="48" t="n">
        <f aca="false">AY$123+AY$127+AY$131</f>
        <v>0</v>
      </c>
      <c r="AZ136" s="48" t="n">
        <f aca="false">AZ$123+AZ$127+AZ$131</f>
        <v>0</v>
      </c>
      <c r="BA136" s="48" t="n">
        <f aca="false">BA$123+BA$127+BA$131</f>
        <v>0</v>
      </c>
      <c r="BB136" s="48" t="n">
        <f aca="false">BB$123+BB$127+BB$131</f>
        <v>0</v>
      </c>
      <c r="BC136" s="48" t="n">
        <f aca="false">BC$123+BC$127+BC$131</f>
        <v>0</v>
      </c>
      <c r="BD136" s="48" t="n">
        <f aca="false">BD$123+BD$127+BD$131</f>
        <v>0</v>
      </c>
      <c r="BE136" s="48" t="n">
        <f aca="false">BE$123+BE$127+BE$131</f>
        <v>0</v>
      </c>
      <c r="BF136" s="48" t="n">
        <f aca="false">BF$123+BF$127+BF$131</f>
        <v>0</v>
      </c>
      <c r="BG136" s="48" t="n">
        <f aca="false">BG$123+BG$127+BG$131</f>
        <v>0</v>
      </c>
      <c r="BH136" s="48" t="n">
        <f aca="false">BH$123+BH$127+BH$131</f>
        <v>0</v>
      </c>
      <c r="BI136" s="48" t="n">
        <f aca="false">BI$123+BI$127+BI$131</f>
        <v>0</v>
      </c>
      <c r="BJ136" s="48" t="n">
        <f aca="false">BJ$123+BJ$127+BJ$131</f>
        <v>0</v>
      </c>
      <c r="BK136" s="48" t="n">
        <f aca="false">BK$123+BK$127+BK$131</f>
        <v>0</v>
      </c>
      <c r="BL136" s="48" t="n">
        <f aca="false">BL$123+BL$127+BL$131</f>
        <v>0</v>
      </c>
      <c r="BM136" s="48" t="n">
        <f aca="false">BM$123+BM$127+BM$131</f>
        <v>0</v>
      </c>
      <c r="BN136" s="48" t="n">
        <f aca="false">BN$123+BN$127+BN$131</f>
        <v>0</v>
      </c>
      <c r="BO136" s="48" t="n">
        <f aca="false">BO$123+BO$127+BO$131</f>
        <v>0</v>
      </c>
      <c r="BP136" s="48" t="n">
        <f aca="false">BP$123+BP$127+BP$131</f>
        <v>0</v>
      </c>
      <c r="BQ136" s="48" t="n">
        <f aca="false">BQ$123+BQ$127+BQ$131</f>
        <v>0</v>
      </c>
      <c r="BR136" s="48" t="n">
        <f aca="false">BR$123+BR$127+BR$131</f>
        <v>0</v>
      </c>
      <c r="BS136" s="48" t="n">
        <f aca="false">BS$123+BS$127+BS$131</f>
        <v>0</v>
      </c>
      <c r="BT136" s="48" t="n">
        <f aca="false">BT$123+BT$127+BT$131</f>
        <v>0</v>
      </c>
      <c r="BU136" s="48" t="n">
        <f aca="false">BU$123+BU$127+BU$131</f>
        <v>0</v>
      </c>
      <c r="BV136" s="48" t="n">
        <f aca="false">BV$123+BV$127+BV$131</f>
        <v>0</v>
      </c>
      <c r="BW136" s="48" t="n">
        <f aca="false">BW$123+BW$127+BW$131</f>
        <v>0</v>
      </c>
      <c r="BX136" s="48" t="n">
        <f aca="false">BX$123+BX$127+BX$131</f>
        <v>0</v>
      </c>
      <c r="BY136" s="48" t="n">
        <f aca="false">BY$123+BY$127+BY$131</f>
        <v>0</v>
      </c>
      <c r="BZ136" s="48" t="n">
        <f aca="false">BZ$123+BZ$127+BZ$131</f>
        <v>0</v>
      </c>
      <c r="CA136" s="48" t="n">
        <f aca="false">CA$123+CA$127+CA$131</f>
        <v>0</v>
      </c>
      <c r="CB136" s="48" t="n">
        <f aca="false">CB$123+CB$127+CB$131</f>
        <v>0</v>
      </c>
      <c r="CC136" s="48" t="n">
        <f aca="false">CC$123+CC$127+CC$131</f>
        <v>0</v>
      </c>
      <c r="CD136" s="48" t="n">
        <f aca="false">CD$123+CD$127+CD$131</f>
        <v>0</v>
      </c>
      <c r="CE136" s="48" t="n">
        <f aca="false">CE$123+CE$127+CE$131</f>
        <v>0</v>
      </c>
      <c r="CF136" s="48" t="n">
        <f aca="false">CF$123+CF$127+CF$131</f>
        <v>0</v>
      </c>
      <c r="CG136" s="48" t="n">
        <f aca="false">CG$123+CG$127+CG$131</f>
        <v>0</v>
      </c>
      <c r="CH136" s="48" t="n">
        <f aca="false">CH$123+CH$127+CH$131</f>
        <v>0</v>
      </c>
      <c r="CI136" s="48" t="n">
        <f aca="false">CI$123+CI$127+CI$131</f>
        <v>0</v>
      </c>
      <c r="CJ136" s="48" t="n">
        <f aca="false">CJ$123+CJ$127+CJ$131</f>
        <v>0</v>
      </c>
      <c r="CK136" s="48" t="n">
        <f aca="false">CK$123+CK$127+CK$131</f>
        <v>0</v>
      </c>
      <c r="CL136" s="48" t="n">
        <f aca="false">CL$123+CL$127+CL$131</f>
        <v>0</v>
      </c>
      <c r="CM136" s="48" t="n">
        <f aca="false">CM$123+CM$127+CM$131</f>
        <v>0</v>
      </c>
      <c r="CN136" s="48" t="n">
        <f aca="false">CN$123+CN$127+CN$131</f>
        <v>0</v>
      </c>
      <c r="CO136" s="48" t="n">
        <f aca="false">CO$123+CO$127+CO$131</f>
        <v>0</v>
      </c>
      <c r="CP136" s="48" t="n">
        <f aca="false">CP$123+CP$127+CP$131</f>
        <v>0</v>
      </c>
      <c r="CQ136" s="48" t="n">
        <f aca="false">CQ$123+CQ$127+CQ$131</f>
        <v>0</v>
      </c>
      <c r="CR136" s="48" t="n">
        <f aca="false">CR$123+CR$127+CR$131</f>
        <v>0</v>
      </c>
      <c r="CS136" s="48" t="n">
        <f aca="false">CS$123+CS$127+CS$131</f>
        <v>0</v>
      </c>
      <c r="CT136" s="48" t="n">
        <f aca="false">CT$123+CT$127+CT$131</f>
        <v>0</v>
      </c>
      <c r="CU136" s="48" t="n">
        <f aca="false">CU$123+CU$127+CU$131</f>
        <v>0</v>
      </c>
      <c r="CV136" s="48" t="n">
        <f aca="false">CV$123+CV$127+CV$131</f>
        <v>0</v>
      </c>
      <c r="CW136" s="48" t="n">
        <f aca="false">CW$123+CW$127+CW$131</f>
        <v>0</v>
      </c>
      <c r="CX136" s="48" t="n">
        <f aca="false">CX$123+CX$127+CX$131</f>
        <v>0</v>
      </c>
      <c r="CY136" s="48" t="n">
        <f aca="false">CY$123+CY$127+CY$131</f>
        <v>0</v>
      </c>
      <c r="CZ136" s="48" t="n">
        <f aca="false">CZ$123+CZ$127+CZ$131</f>
        <v>0</v>
      </c>
      <c r="DA136" s="48" t="n">
        <f aca="false">DA$123+DA$127+DA$131</f>
        <v>0</v>
      </c>
      <c r="DB136" s="48" t="n">
        <f aca="false">DB$123+DB$127+DB$131</f>
        <v>0</v>
      </c>
      <c r="DC136" s="48" t="n">
        <f aca="false">DC$123+DC$127+DC$131</f>
        <v>0</v>
      </c>
      <c r="DD136" s="48" t="n">
        <f aca="false">DD$123+DD$127+DD$131</f>
        <v>0</v>
      </c>
      <c r="DE136" s="48" t="n">
        <f aca="false">DE$123+DE$127+DE$131</f>
        <v>0</v>
      </c>
      <c r="DF136" s="48" t="n">
        <f aca="false">DF$123+DF$127+DF$131</f>
        <v>0</v>
      </c>
      <c r="DG136" s="48" t="n">
        <f aca="false">DG$123+DG$127+DG$131</f>
        <v>0</v>
      </c>
      <c r="DH136" s="48" t="n">
        <f aca="false">DH$123+DH$127+DH$131</f>
        <v>0</v>
      </c>
      <c r="DI136" s="48" t="n">
        <f aca="false">DI$123+DI$127+DI$131</f>
        <v>0</v>
      </c>
      <c r="DJ136" s="48" t="n">
        <f aca="false">DJ$123+DJ$127+DJ$131</f>
        <v>0</v>
      </c>
      <c r="DK136" s="48" t="n">
        <f aca="false">DK$123+DK$127+DK$131</f>
        <v>0</v>
      </c>
      <c r="DL136" s="48" t="n">
        <f aca="false">DL$123+DL$127+DL$131</f>
        <v>0</v>
      </c>
      <c r="DM136" s="48" t="n">
        <f aca="false">DM$123+DM$127+DM$131</f>
        <v>0</v>
      </c>
      <c r="DN136" s="48" t="n">
        <f aca="false">DN$123+DN$127+DN$131</f>
        <v>0</v>
      </c>
      <c r="DO136" s="48" t="n">
        <f aca="false">DO$123+DO$127+DO$131</f>
        <v>0</v>
      </c>
      <c r="DP136" s="48" t="n">
        <f aca="false">DP$123+DP$127+DP$131</f>
        <v>0</v>
      </c>
      <c r="DQ136" s="48" t="n">
        <f aca="false">DQ$123+DQ$127+DQ$131</f>
        <v>0</v>
      </c>
      <c r="DR136" s="48" t="n">
        <f aca="false">DR$123+DR$127+DR$131</f>
        <v>0</v>
      </c>
      <c r="DS136" s="48" t="n">
        <f aca="false">DS$123+DS$127+DS$131</f>
        <v>0</v>
      </c>
      <c r="DT136" s="48" t="n">
        <f aca="false">DT$123+DT$127+DT$131</f>
        <v>0</v>
      </c>
      <c r="DU136" s="48" t="n">
        <f aca="false">DU$123+DU$127+DU$131</f>
        <v>0</v>
      </c>
      <c r="DV136" s="48" t="n">
        <f aca="false">DV$123+DV$127+DV$131</f>
        <v>0</v>
      </c>
      <c r="DW136" s="48" t="n">
        <f aca="false">DW$123+DW$127+DW$131</f>
        <v>0</v>
      </c>
      <c r="DX136" s="48" t="n">
        <f aca="false">DX$123+DX$127+DX$131</f>
        <v>0</v>
      </c>
      <c r="DY136" s="48" t="n">
        <f aca="false">DY$123+DY$127+DY$131</f>
        <v>0</v>
      </c>
      <c r="DZ136" s="48" t="n">
        <f aca="false">DZ$123+DZ$127+DZ$131</f>
        <v>0</v>
      </c>
      <c r="EA136" s="48" t="n">
        <f aca="false">EA$123+EA$127+EA$131</f>
        <v>0</v>
      </c>
      <c r="EB136" s="48" t="n">
        <f aca="false">EB$123+EB$127+EB$131</f>
        <v>0</v>
      </c>
      <c r="EC136" s="48" t="n">
        <f aca="false">EC$123+EC$127+EC$131</f>
        <v>0</v>
      </c>
      <c r="ED136" s="48" t="n">
        <f aca="false">ED$123+ED$127+ED$131</f>
        <v>0</v>
      </c>
      <c r="EE136" s="48" t="n">
        <f aca="false">EE$123+EE$127+EE$131</f>
        <v>0</v>
      </c>
      <c r="EF136" s="48" t="n">
        <f aca="false">EF$123+EF$127+EF$131</f>
        <v>0</v>
      </c>
      <c r="EG136" s="48" t="n">
        <f aca="false">EG$123+EG$127+EG$131</f>
        <v>0</v>
      </c>
      <c r="EH136" s="48" t="n">
        <f aca="false">EH$123+EH$127+EH$131</f>
        <v>0</v>
      </c>
      <c r="EI136" s="48" t="n">
        <f aca="false">EI$123+EI$127+EI$131</f>
        <v>0</v>
      </c>
      <c r="EJ136" s="48" t="n">
        <f aca="false">EJ$123+EJ$127+EJ$131</f>
        <v>0</v>
      </c>
      <c r="EK136" s="48" t="n">
        <f aca="false">EK$123+EK$127+EK$131</f>
        <v>0</v>
      </c>
      <c r="EL136" s="48" t="n">
        <f aca="false">EL$123+EL$127+EL$131</f>
        <v>0</v>
      </c>
      <c r="EM136" s="48" t="n">
        <f aca="false">EM$123+EM$127+EM$131</f>
        <v>0</v>
      </c>
      <c r="EN136" s="48" t="n">
        <f aca="false">EN$123+EN$127+EN$131</f>
        <v>0</v>
      </c>
      <c r="EO136" s="48" t="n">
        <f aca="false">EO$123+EO$127+EO$131</f>
        <v>0</v>
      </c>
      <c r="EP136" s="48" t="n">
        <f aca="false">EP$123+EP$127+EP$131</f>
        <v>0</v>
      </c>
      <c r="EQ136" s="48" t="n">
        <f aca="false">EQ$123+EQ$127+EQ$131</f>
        <v>0</v>
      </c>
      <c r="ER136" s="48" t="n">
        <f aca="false">ER$123+ER$127+ER$131</f>
        <v>0</v>
      </c>
      <c r="ES136" s="48" t="n">
        <f aca="false">ES$123+ES$127+ES$131</f>
        <v>0</v>
      </c>
    </row>
    <row r="137" customFormat="false" ht="15" hidden="false" customHeight="false" outlineLevel="0" collapsed="false">
      <c r="A137" s="11" t="s">
        <v>1237</v>
      </c>
      <c r="B137" s="15" t="s">
        <v>1238</v>
      </c>
      <c r="C137" s="15" t="s">
        <v>508</v>
      </c>
      <c r="E137" s="54" t="n">
        <f aca="false">SUM(F137:ES137)</f>
        <v>2791587</v>
      </c>
      <c r="F137" s="48" t="n">
        <f aca="false">MAX(0,MIN(0-0+F$136,F$125+F$129+F$133))</f>
        <v>0</v>
      </c>
      <c r="G137" s="48" t="n">
        <f aca="false">MAX(0,MIN(F$148-F$145+G$136,G$125+G$129+G$133))</f>
        <v>0</v>
      </c>
      <c r="H137" s="48" t="n">
        <f aca="false">MAX(0,MIN(G$148-G$145+H$136,H$125+H$129+H$133))</f>
        <v>0</v>
      </c>
      <c r="I137" s="48" t="n">
        <f aca="false">MAX(0,MIN(H$148-H$145+I$136,I$125+I$129+I$133))</f>
        <v>0</v>
      </c>
      <c r="J137" s="48" t="n">
        <f aca="false">MAX(0,MIN(I$148-I$145+J$136,J$125+J$129+J$133))</f>
        <v>0</v>
      </c>
      <c r="K137" s="48" t="n">
        <f aca="false">MAX(0,MIN(J$148-J$145+K$136,K$125+K$129+K$133))</f>
        <v>0</v>
      </c>
      <c r="L137" s="48" t="n">
        <f aca="false">MAX(0,MIN(K$148-K$145+L$136,L$125+L$129+L$133))</f>
        <v>42123.3040946878</v>
      </c>
      <c r="M137" s="48" t="n">
        <f aca="false">MAX(0,MIN(L$148-L$145+M$136,M$125+M$129+M$133))</f>
        <v>42439.2288753979</v>
      </c>
      <c r="N137" s="48" t="n">
        <f aca="false">MAX(0,MIN(M$148-M$145+N$136,N$125+N$129+N$133))</f>
        <v>42757.5230919634</v>
      </c>
      <c r="O137" s="48" t="n">
        <f aca="false">MAX(0,MIN(N$148-N$145+O$136,O$125+O$129+O$133))</f>
        <v>43078.2045151531</v>
      </c>
      <c r="P137" s="48" t="n">
        <f aca="false">MAX(0,MIN(O$148-O$145+P$136,P$125+P$129+P$133))</f>
        <v>43401.2910490168</v>
      </c>
      <c r="Q137" s="48" t="n">
        <f aca="false">MAX(0,MIN(P$148-P$145+Q$136,Q$125+Q$129+Q$133))</f>
        <v>43726.8007318844</v>
      </c>
      <c r="R137" s="48" t="n">
        <f aca="false">MAX(0,MIN(Q$148-Q$145+R$136,R$125+R$129+R$133))</f>
        <v>44054.7517373735</v>
      </c>
      <c r="S137" s="48" t="n">
        <f aca="false">MAX(0,MIN(R$148-R$145+S$136,S$125+S$129+S$133))</f>
        <v>44385.1623754038</v>
      </c>
      <c r="T137" s="48" t="n">
        <f aca="false">MAX(0,MIN(S$148-S$145+T$136,T$125+T$129+T$133))</f>
        <v>44718.0510932194</v>
      </c>
      <c r="U137" s="48" t="n">
        <f aca="false">MAX(0,MIN(T$148-T$145+U$136,U$125+U$129+U$133))</f>
        <v>45053.4364764185</v>
      </c>
      <c r="V137" s="48" t="n">
        <f aca="false">MAX(0,MIN(U$148-U$145+V$136,V$125+V$129+V$133))</f>
        <v>45391.3372499916</v>
      </c>
      <c r="W137" s="48" t="n">
        <f aca="false">MAX(0,MIN(V$148-V$145+W$136,W$125+W$129+W$133))</f>
        <v>45731.7722793666</v>
      </c>
      <c r="X137" s="48" t="n">
        <f aca="false">MAX(0,MIN(W$148-W$145+X$136,X$125+X$129+X$133))</f>
        <v>46074.7605714618</v>
      </c>
      <c r="Y137" s="48" t="n">
        <f aca="false">MAX(0,MIN(X$148-X$145+Y$136,Y$125+Y$129+Y$133))</f>
        <v>46420.3212757478</v>
      </c>
      <c r="Z137" s="48" t="n">
        <f aca="false">MAX(0,MIN(Y$148-Y$145+Z$136,Z$125+Z$129+Z$133))</f>
        <v>46768.4736853159</v>
      </c>
      <c r="AA137" s="48" t="n">
        <f aca="false">MAX(0,MIN(Z$148-Z$145+AA$136,AA$125+AA$129+AA$133))</f>
        <v>47119.2372379558</v>
      </c>
      <c r="AB137" s="48" t="n">
        <f aca="false">MAX(0,MIN(AA$148-AA$145+AB$136,AB$125+AB$129+AB$133))</f>
        <v>47472.6315172404</v>
      </c>
      <c r="AC137" s="48" t="n">
        <f aca="false">MAX(0,MIN(AB$148-AB$145+AC$136,AC$125+AC$129+AC$133))</f>
        <v>47828.6762536197</v>
      </c>
      <c r="AD137" s="48" t="n">
        <f aca="false">MAX(0,MIN(AC$148-AC$145+AD$136,AD$125+AD$129+AD$133))</f>
        <v>48187.3913255219</v>
      </c>
      <c r="AE137" s="48" t="n">
        <f aca="false">MAX(0,MIN(AD$148-AD$145+AE$136,AE$125+AE$129+AE$133))</f>
        <v>48548.7967604633</v>
      </c>
      <c r="AF137" s="48" t="n">
        <f aca="false">MAX(0,MIN(AE$148-AE$145+AF$136,AF$125+AF$129+AF$133))</f>
        <v>48912.9127361668</v>
      </c>
      <c r="AG137" s="48" t="n">
        <f aca="false">MAX(0,MIN(AF$148-AF$145+AG$136,AG$125+AG$129+AG$133))</f>
        <v>49279.759581688</v>
      </c>
      <c r="AH137" s="48" t="n">
        <f aca="false">MAX(0,MIN(AG$148-AG$145+AH$136,AH$125+AH$129+AH$133))</f>
        <v>49649.3577785507</v>
      </c>
      <c r="AI137" s="48" t="n">
        <f aca="false">MAX(0,MIN(AH$148-AH$145+AI$136,AI$125+AI$129+AI$133))</f>
        <v>50021.7279618898</v>
      </c>
      <c r="AJ137" s="48" t="n">
        <f aca="false">MAX(0,MIN(AI$148-AI$145+AJ$136,AJ$125+AJ$129+AJ$133))</f>
        <v>50396.890921604</v>
      </c>
      <c r="AK137" s="48" t="n">
        <f aca="false">MAX(0,MIN(AJ$148-AJ$145+AK$136,AK$125+AK$129+AK$133))</f>
        <v>50774.867603516</v>
      </c>
      <c r="AL137" s="48" t="n">
        <f aca="false">MAX(0,MIN(AK$148-AK$145+AL$136,AL$125+AL$129+AL$133))</f>
        <v>51155.6791105424</v>
      </c>
      <c r="AM137" s="48" t="n">
        <f aca="false">MAX(0,MIN(AL$148-AL$145+AM$136,AM$125+AM$129+AM$133))</f>
        <v>51539.3467038715</v>
      </c>
      <c r="AN137" s="48" t="n">
        <f aca="false">MAX(0,MIN(AM$148-AM$145+AN$136,AN$125+AN$129+AN$133))</f>
        <v>51925.8918041505</v>
      </c>
      <c r="AO137" s="48" t="n">
        <f aca="false">MAX(0,MIN(AN$148-AN$145+AO$136,AO$125+AO$129+AO$133))</f>
        <v>52315.3359926816</v>
      </c>
      <c r="AP137" s="48" t="n">
        <f aca="false">MAX(0,MIN(AO$148-AO$145+AP$136,AP$125+AP$129+AP$133))</f>
        <v>52707.7010126267</v>
      </c>
      <c r="AQ137" s="48" t="n">
        <f aca="false">MAX(0,MIN(AP$148-AP$145+AQ$136,AQ$125+AQ$129+AQ$133))</f>
        <v>53103.0087702214</v>
      </c>
      <c r="AR137" s="48" t="n">
        <f aca="false">MAX(0,MIN(AQ$148-AQ$145+AR$136,AR$125+AR$129+AR$133))</f>
        <v>53501.2813359981</v>
      </c>
      <c r="AS137" s="48" t="n">
        <f aca="false">MAX(0,MIN(AR$148-AR$145+AS$136,AS$125+AS$129+AS$133))</f>
        <v>53902.5409460181</v>
      </c>
      <c r="AT137" s="48" t="n">
        <f aca="false">MAX(0,MIN(AS$148-AS$145+AT$136,AT$125+AT$129+AT$133))</f>
        <v>54306.8100031132</v>
      </c>
      <c r="AU137" s="48" t="n">
        <f aca="false">MAX(0,MIN(AT$148-AT$145+AU$136,AU$125+AU$129+AU$133))</f>
        <v>54714.1110781366</v>
      </c>
      <c r="AV137" s="48" t="n">
        <f aca="false">MAX(0,MIN(AU$148-AU$145+AV$136,AV$125+AV$129+AV$133))</f>
        <v>55124.4669112226</v>
      </c>
      <c r="AW137" s="48" t="n">
        <f aca="false">MAX(0,MIN(AV$148-AV$145+AW$136,AW$125+AW$129+AW$133))</f>
        <v>55537.9004130568</v>
      </c>
      <c r="AX137" s="48" t="n">
        <f aca="false">MAX(0,MIN(AW$148-AW$145+AX$136,AX$125+AX$129+AX$133))</f>
        <v>55954.4346661547</v>
      </c>
      <c r="AY137" s="48" t="n">
        <f aca="false">MAX(0,MIN(AX$148-AX$145+AY$136,AY$125+AY$129+AY$133))</f>
        <v>56374.0929261509</v>
      </c>
      <c r="AZ137" s="48" t="n">
        <f aca="false">MAX(0,MIN(AY$148-AY$145+AZ$136,AZ$125+AZ$129+AZ$133))</f>
        <v>56796.898623097</v>
      </c>
      <c r="BA137" s="48" t="n">
        <f aca="false">MAX(0,MIN(AZ$148-AZ$145+BA$136,BA$125+BA$129+BA$133))</f>
        <v>57222.8753627702</v>
      </c>
      <c r="BB137" s="48" t="n">
        <f aca="false">MAX(0,MIN(BA$148-BA$145+BB$136,BB$125+BB$129+BB$133))</f>
        <v>57652.046927991</v>
      </c>
      <c r="BC137" s="48" t="n">
        <f aca="false">MAX(0,MIN(BB$148-BB$145+BC$136,BC$125+BC$129+BC$133))</f>
        <v>58084.4372799509</v>
      </c>
      <c r="BD137" s="48" t="n">
        <f aca="false">MAX(0,MIN(BC$148-BC$145+BD$136,BD$125+BD$129+BD$133))</f>
        <v>58520.0705595506</v>
      </c>
      <c r="BE137" s="48" t="n">
        <f aca="false">MAX(0,MIN(BD$148-BD$145+BE$136,BE$125+BE$129+BE$133))</f>
        <v>58958.9710887472</v>
      </c>
      <c r="BF137" s="48" t="n">
        <f aca="false">MAX(0,MIN(BE$148-BE$145+BF$136,BF$125+BF$129+BF$133))</f>
        <v>59401.1633719128</v>
      </c>
      <c r="BG137" s="48" t="n">
        <f aca="false">MAX(0,MIN(BF$148-BF$145+BG$136,BG$125+BG$129+BG$133))</f>
        <v>59846.6720972021</v>
      </c>
      <c r="BH137" s="48" t="n">
        <f aca="false">MAX(0,MIN(BG$148-BG$145+BH$136,BH$125+BH$129+BH$133))</f>
        <v>60295.5221379312</v>
      </c>
      <c r="BI137" s="48" t="n">
        <f aca="false">MAX(0,MIN(BH$148-BH$145+BI$136,BI$125+BI$129+BI$133))</f>
        <v>60747.7385539656</v>
      </c>
      <c r="BJ137" s="48" t="n">
        <f aca="false">MAX(0,MIN(BI$148-BI$145+BJ$136,BJ$125+BJ$129+BJ$133))</f>
        <v>61203.3465931204</v>
      </c>
      <c r="BK137" s="48" t="n">
        <f aca="false">MAX(0,MIN(BJ$148-BJ$145+BK$136,BK$125+BK$129+BK$133))</f>
        <v>61662.3716925688</v>
      </c>
      <c r="BL137" s="48" t="n">
        <f aca="false">MAX(0,MIN(BK$148-BK$145+BL$136,BL$125+BL$129+BL$133))</f>
        <v>62124.839480263</v>
      </c>
      <c r="BM137" s="48" t="n">
        <f aca="false">MAX(0,MIN(BL$148-BL$145+BM$136,BM$125+BM$129+BM$133))</f>
        <v>62590.7757763667</v>
      </c>
      <c r="BN137" s="48" t="n">
        <f aca="false">MAX(0,MIN(BM$148-BM$145+BN$136,BN$125+BN$129+BN$133))</f>
        <v>0</v>
      </c>
      <c r="BO137" s="48" t="n">
        <f aca="false">MAX(0,MIN(BN$148-BN$145+BO$136,BO$125+BO$129+BO$133))</f>
        <v>0</v>
      </c>
      <c r="BP137" s="48" t="n">
        <f aca="false">MAX(0,MIN(BO$148-BO$145+BP$136,BP$125+BP$129+BP$133))</f>
        <v>0</v>
      </c>
      <c r="BQ137" s="48" t="n">
        <f aca="false">MAX(0,MIN(BP$148-BP$145+BQ$136,BQ$125+BQ$129+BQ$133))</f>
        <v>0</v>
      </c>
      <c r="BR137" s="48" t="n">
        <f aca="false">MAX(0,MIN(BQ$148-BQ$145+BR$136,BR$125+BR$129+BR$133))</f>
        <v>0</v>
      </c>
      <c r="BS137" s="48" t="n">
        <f aca="false">MAX(0,MIN(BR$148-BR$145+BS$136,BS$125+BS$129+BS$133))</f>
        <v>0</v>
      </c>
      <c r="BT137" s="48" t="n">
        <f aca="false">MAX(0,MIN(BS$148-BS$145+BT$136,BT$125+BT$129+BT$133))</f>
        <v>0</v>
      </c>
      <c r="BU137" s="48" t="n">
        <f aca="false">MAX(0,MIN(BT$148-BT$145+BU$136,BU$125+BU$129+BU$133))</f>
        <v>0</v>
      </c>
      <c r="BV137" s="48" t="n">
        <f aca="false">MAX(0,MIN(BU$148-BU$145+BV$136,BV$125+BV$129+BV$133))</f>
        <v>0</v>
      </c>
      <c r="BW137" s="48" t="n">
        <f aca="false">MAX(0,MIN(BV$148-BV$145+BW$136,BW$125+BW$129+BW$133))</f>
        <v>0</v>
      </c>
      <c r="BX137" s="48" t="n">
        <f aca="false">MAX(0,MIN(BW$148-BW$145+BX$136,BX$125+BX$129+BX$133))</f>
        <v>0</v>
      </c>
      <c r="BY137" s="48" t="n">
        <f aca="false">MAX(0,MIN(BX$148-BX$145+BY$136,BY$125+BY$129+BY$133))</f>
        <v>0</v>
      </c>
      <c r="BZ137" s="48" t="n">
        <f aca="false">MAX(0,MIN(BY$148-BY$145+BZ$136,BZ$125+BZ$129+BZ$133))</f>
        <v>0</v>
      </c>
      <c r="CA137" s="48" t="n">
        <f aca="false">MAX(0,MIN(BZ$148-BZ$145+CA$136,CA$125+CA$129+CA$133))</f>
        <v>0</v>
      </c>
      <c r="CB137" s="48" t="n">
        <f aca="false">MAX(0,MIN(CA$148-CA$145+CB$136,CB$125+CB$129+CB$133))</f>
        <v>0</v>
      </c>
      <c r="CC137" s="48" t="n">
        <f aca="false">MAX(0,MIN(CB$148-CB$145+CC$136,CC$125+CC$129+CC$133))</f>
        <v>0</v>
      </c>
      <c r="CD137" s="48" t="n">
        <f aca="false">MAX(0,MIN(CC$148-CC$145+CD$136,CD$125+CD$129+CD$133))</f>
        <v>0</v>
      </c>
      <c r="CE137" s="48" t="n">
        <f aca="false">MAX(0,MIN(CD$148-CD$145+CE$136,CE$125+CE$129+CE$133))</f>
        <v>0</v>
      </c>
      <c r="CF137" s="48" t="n">
        <f aca="false">MAX(0,MIN(CE$148-CE$145+CF$136,CF$125+CF$129+CF$133))</f>
        <v>0</v>
      </c>
      <c r="CG137" s="48" t="n">
        <f aca="false">MAX(0,MIN(CF$148-CF$145+CG$136,CG$125+CG$129+CG$133))</f>
        <v>0</v>
      </c>
      <c r="CH137" s="48" t="n">
        <f aca="false">MAX(0,MIN(CG$148-CG$145+CH$136,CH$125+CH$129+CH$133))</f>
        <v>0</v>
      </c>
      <c r="CI137" s="48" t="n">
        <f aca="false">MAX(0,MIN(CH$148-CH$145+CI$136,CI$125+CI$129+CI$133))</f>
        <v>0</v>
      </c>
      <c r="CJ137" s="48" t="n">
        <f aca="false">MAX(0,MIN(CI$148-CI$145+CJ$136,CJ$125+CJ$129+CJ$133))</f>
        <v>0</v>
      </c>
      <c r="CK137" s="48" t="n">
        <f aca="false">MAX(0,MIN(CJ$148-CJ$145+CK$136,CK$125+CK$129+CK$133))</f>
        <v>0</v>
      </c>
      <c r="CL137" s="48" t="n">
        <f aca="false">MAX(0,MIN(CK$148-CK$145+CL$136,CL$125+CL$129+CL$133))</f>
        <v>0</v>
      </c>
      <c r="CM137" s="48" t="n">
        <f aca="false">MAX(0,MIN(CL$148-CL$145+CM$136,CM$125+CM$129+CM$133))</f>
        <v>0</v>
      </c>
      <c r="CN137" s="48" t="n">
        <f aca="false">MAX(0,MIN(CM$148-CM$145+CN$136,CN$125+CN$129+CN$133))</f>
        <v>0</v>
      </c>
      <c r="CO137" s="48" t="n">
        <f aca="false">MAX(0,MIN(CN$148-CN$145+CO$136,CO$125+CO$129+CO$133))</f>
        <v>0</v>
      </c>
      <c r="CP137" s="48" t="n">
        <f aca="false">MAX(0,MIN(CO$148-CO$145+CP$136,CP$125+CP$129+CP$133))</f>
        <v>0</v>
      </c>
      <c r="CQ137" s="48" t="n">
        <f aca="false">MAX(0,MIN(CP$148-CP$145+CQ$136,CQ$125+CQ$129+CQ$133))</f>
        <v>0</v>
      </c>
      <c r="CR137" s="48" t="n">
        <f aca="false">MAX(0,MIN(CQ$148-CQ$145+CR$136,CR$125+CR$129+CR$133))</f>
        <v>0</v>
      </c>
      <c r="CS137" s="48" t="n">
        <f aca="false">MAX(0,MIN(CR$148-CR$145+CS$136,CS$125+CS$129+CS$133))</f>
        <v>0</v>
      </c>
      <c r="CT137" s="48" t="n">
        <f aca="false">MAX(0,MIN(CS$148-CS$145+CT$136,CT$125+CT$129+CT$133))</f>
        <v>0</v>
      </c>
      <c r="CU137" s="48" t="n">
        <f aca="false">MAX(0,MIN(CT$148-CT$145+CU$136,CU$125+CU$129+CU$133))</f>
        <v>0</v>
      </c>
      <c r="CV137" s="48" t="n">
        <f aca="false">MAX(0,MIN(CU$148-CU$145+CV$136,CV$125+CV$129+CV$133))</f>
        <v>0</v>
      </c>
      <c r="CW137" s="48" t="n">
        <f aca="false">MAX(0,MIN(CV$148-CV$145+CW$136,CW$125+CW$129+CW$133))</f>
        <v>0</v>
      </c>
      <c r="CX137" s="48" t="n">
        <f aca="false">MAX(0,MIN(CW$148-CW$145+CX$136,CX$125+CX$129+CX$133))</f>
        <v>0</v>
      </c>
      <c r="CY137" s="48" t="n">
        <f aca="false">MAX(0,MIN(CX$148-CX$145+CY$136,CY$125+CY$129+CY$133))</f>
        <v>0</v>
      </c>
      <c r="CZ137" s="48" t="n">
        <f aca="false">MAX(0,MIN(CY$148-CY$145+CZ$136,CZ$125+CZ$129+CZ$133))</f>
        <v>0</v>
      </c>
      <c r="DA137" s="48" t="n">
        <f aca="false">MAX(0,MIN(CZ$148-CZ$145+DA$136,DA$125+DA$129+DA$133))</f>
        <v>0</v>
      </c>
      <c r="DB137" s="48" t="n">
        <f aca="false">MAX(0,MIN(DA$148-DA$145+DB$136,DB$125+DB$129+DB$133))</f>
        <v>0</v>
      </c>
      <c r="DC137" s="48" t="n">
        <f aca="false">MAX(0,MIN(DB$148-DB$145+DC$136,DC$125+DC$129+DC$133))</f>
        <v>0</v>
      </c>
      <c r="DD137" s="48" t="n">
        <f aca="false">MAX(0,MIN(DC$148-DC$145+DD$136,DD$125+DD$129+DD$133))</f>
        <v>0</v>
      </c>
      <c r="DE137" s="48" t="n">
        <f aca="false">MAX(0,MIN(DD$148-DD$145+DE$136,DE$125+DE$129+DE$133))</f>
        <v>0</v>
      </c>
      <c r="DF137" s="48" t="n">
        <f aca="false">MAX(0,MIN(DE$148-DE$145+DF$136,DF$125+DF$129+DF$133))</f>
        <v>0</v>
      </c>
      <c r="DG137" s="48" t="n">
        <f aca="false">MAX(0,MIN(DF$148-DF$145+DG$136,DG$125+DG$129+DG$133))</f>
        <v>0</v>
      </c>
      <c r="DH137" s="48" t="n">
        <f aca="false">MAX(0,MIN(DG$148-DG$145+DH$136,DH$125+DH$129+DH$133))</f>
        <v>0</v>
      </c>
      <c r="DI137" s="48" t="n">
        <f aca="false">MAX(0,MIN(DH$148-DH$145+DI$136,DI$125+DI$129+DI$133))</f>
        <v>0</v>
      </c>
      <c r="DJ137" s="48" t="n">
        <f aca="false">MAX(0,MIN(DI$148-DI$145+DJ$136,DJ$125+DJ$129+DJ$133))</f>
        <v>0</v>
      </c>
      <c r="DK137" s="48" t="n">
        <f aca="false">MAX(0,MIN(DJ$148-DJ$145+DK$136,DK$125+DK$129+DK$133))</f>
        <v>0</v>
      </c>
      <c r="DL137" s="48" t="n">
        <f aca="false">MAX(0,MIN(DK$148-DK$145+DL$136,DL$125+DL$129+DL$133))</f>
        <v>0</v>
      </c>
      <c r="DM137" s="48" t="n">
        <f aca="false">MAX(0,MIN(DL$148-DL$145+DM$136,DM$125+DM$129+DM$133))</f>
        <v>0</v>
      </c>
      <c r="DN137" s="48" t="n">
        <f aca="false">MAX(0,MIN(DM$148-DM$145+DN$136,DN$125+DN$129+DN$133))</f>
        <v>0</v>
      </c>
      <c r="DO137" s="48" t="n">
        <f aca="false">MAX(0,MIN(DN$148-DN$145+DO$136,DO$125+DO$129+DO$133))</f>
        <v>0</v>
      </c>
      <c r="DP137" s="48" t="n">
        <f aca="false">MAX(0,MIN(DO$148-DO$145+DP$136,DP$125+DP$129+DP$133))</f>
        <v>0</v>
      </c>
      <c r="DQ137" s="48" t="n">
        <f aca="false">MAX(0,MIN(DP$148-DP$145+DQ$136,DQ$125+DQ$129+DQ$133))</f>
        <v>0</v>
      </c>
      <c r="DR137" s="48" t="n">
        <f aca="false">MAX(0,MIN(DQ$148-DQ$145+DR$136,DR$125+DR$129+DR$133))</f>
        <v>0</v>
      </c>
      <c r="DS137" s="48" t="n">
        <f aca="false">MAX(0,MIN(DR$148-DR$145+DS$136,DS$125+DS$129+DS$133))</f>
        <v>0</v>
      </c>
      <c r="DT137" s="48" t="n">
        <f aca="false">MAX(0,MIN(DS$148-DS$145+DT$136,DT$125+DT$129+DT$133))</f>
        <v>0</v>
      </c>
      <c r="DU137" s="48" t="n">
        <f aca="false">MAX(0,MIN(DT$148-DT$145+DU$136,DU$125+DU$129+DU$133))</f>
        <v>0</v>
      </c>
      <c r="DV137" s="48" t="n">
        <f aca="false">MAX(0,MIN(DU$148-DU$145+DV$136,DV$125+DV$129+DV$133))</f>
        <v>0</v>
      </c>
      <c r="DW137" s="48" t="n">
        <f aca="false">MAX(0,MIN(DV$148-DV$145+DW$136,DW$125+DW$129+DW$133))</f>
        <v>0</v>
      </c>
      <c r="DX137" s="48" t="n">
        <f aca="false">MAX(0,MIN(DW$148-DW$145+DX$136,DX$125+DX$129+DX$133))</f>
        <v>0</v>
      </c>
      <c r="DY137" s="48" t="n">
        <f aca="false">MAX(0,MIN(DX$148-DX$145+DY$136,DY$125+DY$129+DY$133))</f>
        <v>0</v>
      </c>
      <c r="DZ137" s="48" t="n">
        <f aca="false">MAX(0,MIN(DY$148-DY$145+DZ$136,DZ$125+DZ$129+DZ$133))</f>
        <v>0</v>
      </c>
      <c r="EA137" s="48" t="n">
        <f aca="false">MAX(0,MIN(DZ$148-DZ$145+EA$136,EA$125+EA$129+EA$133))</f>
        <v>0</v>
      </c>
      <c r="EB137" s="48" t="n">
        <f aca="false">MAX(0,MIN(EA$148-EA$145+EB$136,EB$125+EB$129+EB$133))</f>
        <v>0</v>
      </c>
      <c r="EC137" s="48" t="n">
        <f aca="false">MAX(0,MIN(EB$148-EB$145+EC$136,EC$125+EC$129+EC$133))</f>
        <v>0</v>
      </c>
      <c r="ED137" s="48" t="n">
        <f aca="false">MAX(0,MIN(EC$148-EC$145+ED$136,ED$125+ED$129+ED$133))</f>
        <v>0</v>
      </c>
      <c r="EE137" s="48" t="n">
        <f aca="false">MAX(0,MIN(ED$148-ED$145+EE$136,EE$125+EE$129+EE$133))</f>
        <v>0</v>
      </c>
      <c r="EF137" s="48" t="n">
        <f aca="false">MAX(0,MIN(EE$148-EE$145+EF$136,EF$125+EF$129+EF$133))</f>
        <v>0</v>
      </c>
      <c r="EG137" s="48" t="n">
        <f aca="false">MAX(0,MIN(EF$148-EF$145+EG$136,EG$125+EG$129+EG$133))</f>
        <v>0</v>
      </c>
      <c r="EH137" s="48" t="n">
        <f aca="false">MAX(0,MIN(EG$148-EG$145+EH$136,EH$125+EH$129+EH$133))</f>
        <v>0</v>
      </c>
      <c r="EI137" s="48" t="n">
        <f aca="false">MAX(0,MIN(EH$148-EH$145+EI$136,EI$125+EI$129+EI$133))</f>
        <v>0</v>
      </c>
      <c r="EJ137" s="48" t="n">
        <f aca="false">MAX(0,MIN(EI$148-EI$145+EJ$136,EJ$125+EJ$129+EJ$133))</f>
        <v>0</v>
      </c>
      <c r="EK137" s="48" t="n">
        <f aca="false">MAX(0,MIN(EJ$148-EJ$145+EK$136,EK$125+EK$129+EK$133))</f>
        <v>0</v>
      </c>
      <c r="EL137" s="48" t="n">
        <f aca="false">MAX(0,MIN(EK$148-EK$145+EL$136,EL$125+EL$129+EL$133))</f>
        <v>0</v>
      </c>
      <c r="EM137" s="48" t="n">
        <f aca="false">MAX(0,MIN(EL$148-EL$145+EM$136,EM$125+EM$129+EM$133))</f>
        <v>0</v>
      </c>
      <c r="EN137" s="48" t="n">
        <f aca="false">MAX(0,MIN(EM$148-EM$145+EN$136,EN$125+EN$129+EN$133))</f>
        <v>0</v>
      </c>
      <c r="EO137" s="48" t="n">
        <f aca="false">MAX(0,MIN(EN$148-EN$145+EO$136,EO$125+EO$129+EO$133))</f>
        <v>0</v>
      </c>
      <c r="EP137" s="48" t="n">
        <f aca="false">MAX(0,MIN(EO$148-EO$145+EP$136,EP$125+EP$129+EP$133))</f>
        <v>0</v>
      </c>
      <c r="EQ137" s="48" t="n">
        <f aca="false">MAX(0,MIN(EP$148-EP$145+EQ$136,EQ$125+EQ$129+EQ$133))</f>
        <v>0</v>
      </c>
      <c r="ER137" s="48" t="n">
        <f aca="false">MAX(0,MIN(EQ$148-EQ$145+ER$136,ER$125+ER$129+ER$133))</f>
        <v>0</v>
      </c>
      <c r="ES137" s="48" t="n">
        <f aca="false">MAX(0,MIN(ER$148-ER$145+ES$136,ES$125+ES$129+ES$133))</f>
        <v>0</v>
      </c>
    </row>
    <row r="138" customFormat="false" ht="15" hidden="false" customHeight="false" outlineLevel="0" collapsed="false">
      <c r="A138" s="11" t="s">
        <v>1239</v>
      </c>
      <c r="B138" s="15" t="s">
        <v>1240</v>
      </c>
      <c r="C138" s="15" t="s">
        <v>508</v>
      </c>
      <c r="E138" s="54" t="n">
        <f aca="false">SUM(F138:ES138)</f>
        <v>1139710</v>
      </c>
      <c r="F138" s="48" t="n">
        <f aca="false">SUMIF(Ap_MesO,1,Ap_MontoO)*F$9</f>
        <v>767782</v>
      </c>
      <c r="G138" s="48" t="n">
        <f aca="false">SUMIF(Ap_MesO,2,Ap_MontoO)*G$9</f>
        <v>0</v>
      </c>
      <c r="H138" s="48" t="n">
        <f aca="false">SUMIF(Ap_MesO,3,Ap_MontoO)*H$9</f>
        <v>0</v>
      </c>
      <c r="I138" s="48" t="n">
        <f aca="false">SUMIF(Ap_MesO,4,Ap_MontoO)*I$9</f>
        <v>0</v>
      </c>
      <c r="J138" s="48" t="n">
        <f aca="false">SUMIF(Ap_MesO,5,Ap_MontoO)*J$9</f>
        <v>0</v>
      </c>
      <c r="K138" s="48" t="n">
        <f aca="false">SUMIF(Ap_MesO,6,Ap_MontoO)*K$9</f>
        <v>0</v>
      </c>
      <c r="L138" s="48" t="n">
        <f aca="false">SUMIF(Ap_MesO,7,Ap_MontoO)*L$9</f>
        <v>0</v>
      </c>
      <c r="M138" s="48" t="n">
        <f aca="false">SUMIF(Ap_MesO,8,Ap_MontoO)*M$9</f>
        <v>0</v>
      </c>
      <c r="N138" s="48" t="n">
        <f aca="false">SUMIF(Ap_MesO,9,Ap_MontoO)*N$9</f>
        <v>0</v>
      </c>
      <c r="O138" s="48" t="n">
        <f aca="false">SUMIF(Ap_MesO,10,Ap_MontoO)*O$9</f>
        <v>0</v>
      </c>
      <c r="P138" s="48" t="n">
        <f aca="false">SUMIF(Ap_MesO,11,Ap_MontoO)*P$9</f>
        <v>0</v>
      </c>
      <c r="Q138" s="48" t="n">
        <f aca="false">SUMIF(Ap_MesO,12,Ap_MontoO)*Q$9</f>
        <v>0</v>
      </c>
      <c r="R138" s="48" t="n">
        <f aca="false">SUMIF(Ap_MesO,13,Ap_MontoO)*R$9</f>
        <v>371928</v>
      </c>
      <c r="S138" s="48" t="n">
        <f aca="false">SUMIF(Ap_MesO,14,Ap_MontoO)*S$9</f>
        <v>0</v>
      </c>
      <c r="T138" s="48" t="n">
        <f aca="false">SUMIF(Ap_MesO,15,Ap_MontoO)*T$9</f>
        <v>0</v>
      </c>
      <c r="U138" s="48" t="n">
        <f aca="false">SUMIF(Ap_MesO,16,Ap_MontoO)*U$9</f>
        <v>0</v>
      </c>
      <c r="V138" s="48" t="n">
        <f aca="false">SUMIF(Ap_MesO,17,Ap_MontoO)*V$9</f>
        <v>0</v>
      </c>
      <c r="W138" s="48" t="n">
        <f aca="false">SUMIF(Ap_MesO,18,Ap_MontoO)*W$9</f>
        <v>0</v>
      </c>
      <c r="X138" s="48" t="n">
        <f aca="false">SUMIF(Ap_MesO,19,Ap_MontoO)*X$9</f>
        <v>0</v>
      </c>
      <c r="Y138" s="48" t="n">
        <f aca="false">SUMIF(Ap_MesO,20,Ap_MontoO)*Y$9</f>
        <v>0</v>
      </c>
      <c r="Z138" s="48" t="n">
        <f aca="false">SUMIF(Ap_MesO,21,Ap_MontoO)*Z$9</f>
        <v>0</v>
      </c>
      <c r="AA138" s="48" t="n">
        <f aca="false">SUMIF(Ap_MesO,22,Ap_MontoO)*AA$9</f>
        <v>0</v>
      </c>
      <c r="AB138" s="48" t="n">
        <f aca="false">SUMIF(Ap_MesO,23,Ap_MontoO)*AB$9</f>
        <v>0</v>
      </c>
      <c r="AC138" s="48" t="n">
        <f aca="false">SUMIF(Ap_MesO,24,Ap_MontoO)*AC$9</f>
        <v>0</v>
      </c>
      <c r="AD138" s="48" t="n">
        <f aca="false">SUMIF(Ap_MesO,25,Ap_MontoO)*AD$9</f>
        <v>0</v>
      </c>
      <c r="AE138" s="48" t="n">
        <f aca="false">SUMIF(Ap_MesO,26,Ap_MontoO)*AE$9</f>
        <v>0</v>
      </c>
      <c r="AF138" s="48" t="n">
        <f aca="false">SUMIF(Ap_MesO,27,Ap_MontoO)*AF$9</f>
        <v>0</v>
      </c>
      <c r="AG138" s="48" t="n">
        <f aca="false">SUMIF(Ap_MesO,28,Ap_MontoO)*AG$9</f>
        <v>0</v>
      </c>
      <c r="AH138" s="48" t="n">
        <f aca="false">SUMIF(Ap_MesO,29,Ap_MontoO)*AH$9</f>
        <v>0</v>
      </c>
      <c r="AI138" s="48" t="n">
        <f aca="false">SUMIF(Ap_MesO,30,Ap_MontoO)*AI$9</f>
        <v>0</v>
      </c>
      <c r="AJ138" s="48" t="n">
        <f aca="false">SUMIF(Ap_MesO,31,Ap_MontoO)*AJ$9</f>
        <v>0</v>
      </c>
      <c r="AK138" s="48" t="n">
        <f aca="false">SUMIF(Ap_MesO,32,Ap_MontoO)*AK$9</f>
        <v>0</v>
      </c>
      <c r="AL138" s="48" t="n">
        <f aca="false">SUMIF(Ap_MesO,33,Ap_MontoO)*AL$9</f>
        <v>0</v>
      </c>
      <c r="AM138" s="48" t="n">
        <f aca="false">SUMIF(Ap_MesO,34,Ap_MontoO)*AM$9</f>
        <v>0</v>
      </c>
      <c r="AN138" s="48" t="n">
        <f aca="false">SUMIF(Ap_MesO,35,Ap_MontoO)*AN$9</f>
        <v>0</v>
      </c>
      <c r="AO138" s="48" t="n">
        <f aca="false">SUMIF(Ap_MesO,36,Ap_MontoO)*AO$9</f>
        <v>0</v>
      </c>
      <c r="AP138" s="48" t="n">
        <f aca="false">SUMIF(Ap_MesO,37,Ap_MontoO)*AP$9</f>
        <v>0</v>
      </c>
      <c r="AQ138" s="48" t="n">
        <f aca="false">SUMIF(Ap_MesO,38,Ap_MontoO)*AQ$9</f>
        <v>0</v>
      </c>
      <c r="AR138" s="48" t="n">
        <f aca="false">SUMIF(Ap_MesO,39,Ap_MontoO)*AR$9</f>
        <v>0</v>
      </c>
      <c r="AS138" s="48" t="n">
        <f aca="false">SUMIF(Ap_MesO,40,Ap_MontoO)*AS$9</f>
        <v>0</v>
      </c>
      <c r="AT138" s="48" t="n">
        <f aca="false">SUMIF(Ap_MesO,41,Ap_MontoO)*AT$9</f>
        <v>0</v>
      </c>
      <c r="AU138" s="48" t="n">
        <f aca="false">SUMIF(Ap_MesO,42,Ap_MontoO)*AU$9</f>
        <v>0</v>
      </c>
      <c r="AV138" s="48" t="n">
        <f aca="false">SUMIF(Ap_MesO,43,Ap_MontoO)*AV$9</f>
        <v>0</v>
      </c>
      <c r="AW138" s="48" t="n">
        <f aca="false">SUMIF(Ap_MesO,44,Ap_MontoO)*AW$9</f>
        <v>0</v>
      </c>
      <c r="AX138" s="48" t="n">
        <f aca="false">SUMIF(Ap_MesO,45,Ap_MontoO)*AX$9</f>
        <v>0</v>
      </c>
      <c r="AY138" s="48" t="n">
        <f aca="false">SUMIF(Ap_MesO,46,Ap_MontoO)*AY$9</f>
        <v>0</v>
      </c>
      <c r="AZ138" s="48" t="n">
        <f aca="false">SUMIF(Ap_MesO,47,Ap_MontoO)*AZ$9</f>
        <v>0</v>
      </c>
      <c r="BA138" s="48" t="n">
        <f aca="false">SUMIF(Ap_MesO,48,Ap_MontoO)*BA$9</f>
        <v>0</v>
      </c>
      <c r="BB138" s="48" t="n">
        <f aca="false">SUMIF(Ap_MesO,49,Ap_MontoO)*BB$9</f>
        <v>0</v>
      </c>
      <c r="BC138" s="48" t="n">
        <f aca="false">SUMIF(Ap_MesO,50,Ap_MontoO)*BC$9</f>
        <v>0</v>
      </c>
      <c r="BD138" s="48" t="n">
        <f aca="false">SUMIF(Ap_MesO,51,Ap_MontoO)*BD$9</f>
        <v>0</v>
      </c>
      <c r="BE138" s="48" t="n">
        <f aca="false">SUMIF(Ap_MesO,52,Ap_MontoO)*BE$9</f>
        <v>0</v>
      </c>
      <c r="BF138" s="48" t="n">
        <f aca="false">SUMIF(Ap_MesO,53,Ap_MontoO)*BF$9</f>
        <v>0</v>
      </c>
      <c r="BG138" s="48" t="n">
        <f aca="false">SUMIF(Ap_MesO,54,Ap_MontoO)*BG$9</f>
        <v>0</v>
      </c>
      <c r="BH138" s="48" t="n">
        <f aca="false">SUMIF(Ap_MesO,55,Ap_MontoO)*BH$9</f>
        <v>0</v>
      </c>
      <c r="BI138" s="48" t="n">
        <f aca="false">SUMIF(Ap_MesO,56,Ap_MontoO)*BI$9</f>
        <v>0</v>
      </c>
      <c r="BJ138" s="48" t="n">
        <f aca="false">SUMIF(Ap_MesO,57,Ap_MontoO)*BJ$9</f>
        <v>0</v>
      </c>
      <c r="BK138" s="48" t="n">
        <f aca="false">SUMIF(Ap_MesO,58,Ap_MontoO)*BK$9</f>
        <v>0</v>
      </c>
      <c r="BL138" s="48" t="n">
        <f aca="false">SUMIF(Ap_MesO,59,Ap_MontoO)*BL$9</f>
        <v>0</v>
      </c>
      <c r="BM138" s="48" t="n">
        <f aca="false">SUMIF(Ap_MesO,60,Ap_MontoO)*BM$9</f>
        <v>0</v>
      </c>
      <c r="BN138" s="48" t="n">
        <f aca="false">SUMIF(Ap_MesO,61,Ap_MontoO)*BN$9</f>
        <v>0</v>
      </c>
      <c r="BO138" s="48" t="n">
        <f aca="false">SUMIF(Ap_MesO,62,Ap_MontoO)*BO$9</f>
        <v>0</v>
      </c>
      <c r="BP138" s="48" t="n">
        <f aca="false">SUMIF(Ap_MesO,63,Ap_MontoO)*BP$9</f>
        <v>0</v>
      </c>
      <c r="BQ138" s="48" t="n">
        <f aca="false">SUMIF(Ap_MesO,64,Ap_MontoO)*BQ$9</f>
        <v>0</v>
      </c>
      <c r="BR138" s="48" t="n">
        <f aca="false">SUMIF(Ap_MesO,65,Ap_MontoO)*BR$9</f>
        <v>0</v>
      </c>
      <c r="BS138" s="48" t="n">
        <f aca="false">SUMIF(Ap_MesO,66,Ap_MontoO)*BS$9</f>
        <v>0</v>
      </c>
      <c r="BT138" s="48" t="n">
        <f aca="false">SUMIF(Ap_MesO,67,Ap_MontoO)*BT$9</f>
        <v>0</v>
      </c>
      <c r="BU138" s="48" t="n">
        <f aca="false">SUMIF(Ap_MesO,68,Ap_MontoO)*BU$9</f>
        <v>0</v>
      </c>
      <c r="BV138" s="48" t="n">
        <f aca="false">SUMIF(Ap_MesO,69,Ap_MontoO)*BV$9</f>
        <v>0</v>
      </c>
      <c r="BW138" s="48" t="n">
        <f aca="false">SUMIF(Ap_MesO,70,Ap_MontoO)*BW$9</f>
        <v>0</v>
      </c>
      <c r="BX138" s="48" t="n">
        <f aca="false">SUMIF(Ap_MesO,71,Ap_MontoO)*BX$9</f>
        <v>0</v>
      </c>
      <c r="BY138" s="48" t="n">
        <f aca="false">SUMIF(Ap_MesO,72,Ap_MontoO)*BY$9</f>
        <v>0</v>
      </c>
      <c r="BZ138" s="48" t="n">
        <f aca="false">SUMIF(Ap_MesO,73,Ap_MontoO)*BZ$9</f>
        <v>0</v>
      </c>
      <c r="CA138" s="48" t="n">
        <f aca="false">SUMIF(Ap_MesO,74,Ap_MontoO)*CA$9</f>
        <v>0</v>
      </c>
      <c r="CB138" s="48" t="n">
        <f aca="false">SUMIF(Ap_MesO,75,Ap_MontoO)*CB$9</f>
        <v>0</v>
      </c>
      <c r="CC138" s="48" t="n">
        <f aca="false">SUMIF(Ap_MesO,76,Ap_MontoO)*CC$9</f>
        <v>0</v>
      </c>
      <c r="CD138" s="48" t="n">
        <f aca="false">SUMIF(Ap_MesO,77,Ap_MontoO)*CD$9</f>
        <v>0</v>
      </c>
      <c r="CE138" s="48" t="n">
        <f aca="false">SUMIF(Ap_MesO,78,Ap_MontoO)*CE$9</f>
        <v>0</v>
      </c>
      <c r="CF138" s="48" t="n">
        <f aca="false">SUMIF(Ap_MesO,79,Ap_MontoO)*CF$9</f>
        <v>0</v>
      </c>
      <c r="CG138" s="48" t="n">
        <f aca="false">SUMIF(Ap_MesO,80,Ap_MontoO)*CG$9</f>
        <v>0</v>
      </c>
      <c r="CH138" s="48" t="n">
        <f aca="false">SUMIF(Ap_MesO,81,Ap_MontoO)*CH$9</f>
        <v>0</v>
      </c>
      <c r="CI138" s="48" t="n">
        <f aca="false">SUMIF(Ap_MesO,82,Ap_MontoO)*CI$9</f>
        <v>0</v>
      </c>
      <c r="CJ138" s="48" t="n">
        <f aca="false">SUMIF(Ap_MesO,83,Ap_MontoO)*CJ$9</f>
        <v>0</v>
      </c>
      <c r="CK138" s="48" t="n">
        <f aca="false">SUMIF(Ap_MesO,84,Ap_MontoO)*CK$9</f>
        <v>0</v>
      </c>
      <c r="CL138" s="48" t="n">
        <f aca="false">SUMIF(Ap_MesO,85,Ap_MontoO)*CL$9</f>
        <v>0</v>
      </c>
      <c r="CM138" s="48" t="n">
        <f aca="false">SUMIF(Ap_MesO,86,Ap_MontoO)*CM$9</f>
        <v>0</v>
      </c>
      <c r="CN138" s="48" t="n">
        <f aca="false">SUMIF(Ap_MesO,87,Ap_MontoO)*CN$9</f>
        <v>0</v>
      </c>
      <c r="CO138" s="48" t="n">
        <f aca="false">SUMIF(Ap_MesO,88,Ap_MontoO)*CO$9</f>
        <v>0</v>
      </c>
      <c r="CP138" s="48" t="n">
        <f aca="false">SUMIF(Ap_MesO,89,Ap_MontoO)*CP$9</f>
        <v>0</v>
      </c>
      <c r="CQ138" s="48" t="n">
        <f aca="false">SUMIF(Ap_MesO,90,Ap_MontoO)*CQ$9</f>
        <v>0</v>
      </c>
      <c r="CR138" s="48" t="n">
        <f aca="false">SUMIF(Ap_MesO,91,Ap_MontoO)*CR$9</f>
        <v>0</v>
      </c>
      <c r="CS138" s="48" t="n">
        <f aca="false">SUMIF(Ap_MesO,92,Ap_MontoO)*CS$9</f>
        <v>0</v>
      </c>
      <c r="CT138" s="48" t="n">
        <f aca="false">SUMIF(Ap_MesO,93,Ap_MontoO)*CT$9</f>
        <v>0</v>
      </c>
      <c r="CU138" s="48" t="n">
        <f aca="false">SUMIF(Ap_MesO,94,Ap_MontoO)*CU$9</f>
        <v>0</v>
      </c>
      <c r="CV138" s="48" t="n">
        <f aca="false">SUMIF(Ap_MesO,95,Ap_MontoO)*CV$9</f>
        <v>0</v>
      </c>
      <c r="CW138" s="48" t="n">
        <f aca="false">SUMIF(Ap_MesO,96,Ap_MontoO)*CW$9</f>
        <v>0</v>
      </c>
      <c r="CX138" s="48" t="n">
        <f aca="false">SUMIF(Ap_MesO,97,Ap_MontoO)*CX$9</f>
        <v>0</v>
      </c>
      <c r="CY138" s="48" t="n">
        <f aca="false">SUMIF(Ap_MesO,98,Ap_MontoO)*CY$9</f>
        <v>0</v>
      </c>
      <c r="CZ138" s="48" t="n">
        <f aca="false">SUMIF(Ap_MesO,99,Ap_MontoO)*CZ$9</f>
        <v>0</v>
      </c>
      <c r="DA138" s="48" t="n">
        <f aca="false">SUMIF(Ap_MesO,100,Ap_MontoO)*DA$9</f>
        <v>0</v>
      </c>
      <c r="DB138" s="48" t="n">
        <f aca="false">SUMIF(Ap_MesO,101,Ap_MontoO)*DB$9</f>
        <v>0</v>
      </c>
      <c r="DC138" s="48" t="n">
        <f aca="false">SUMIF(Ap_MesO,102,Ap_MontoO)*DC$9</f>
        <v>0</v>
      </c>
      <c r="DD138" s="48" t="n">
        <f aca="false">SUMIF(Ap_MesO,103,Ap_MontoO)*DD$9</f>
        <v>0</v>
      </c>
      <c r="DE138" s="48" t="n">
        <f aca="false">SUMIF(Ap_MesO,104,Ap_MontoO)*DE$9</f>
        <v>0</v>
      </c>
      <c r="DF138" s="48" t="n">
        <f aca="false">SUMIF(Ap_MesO,105,Ap_MontoO)*DF$9</f>
        <v>0</v>
      </c>
      <c r="DG138" s="48" t="n">
        <f aca="false">SUMIF(Ap_MesO,106,Ap_MontoO)*DG$9</f>
        <v>0</v>
      </c>
      <c r="DH138" s="48" t="n">
        <f aca="false">SUMIF(Ap_MesO,107,Ap_MontoO)*DH$9</f>
        <v>0</v>
      </c>
      <c r="DI138" s="48" t="n">
        <f aca="false">SUMIF(Ap_MesO,108,Ap_MontoO)*DI$9</f>
        <v>0</v>
      </c>
      <c r="DJ138" s="48" t="n">
        <f aca="false">SUMIF(Ap_MesO,109,Ap_MontoO)*DJ$9</f>
        <v>0</v>
      </c>
      <c r="DK138" s="48" t="n">
        <f aca="false">SUMIF(Ap_MesO,110,Ap_MontoO)*DK$9</f>
        <v>0</v>
      </c>
      <c r="DL138" s="48" t="n">
        <f aca="false">SUMIF(Ap_MesO,111,Ap_MontoO)*DL$9</f>
        <v>0</v>
      </c>
      <c r="DM138" s="48" t="n">
        <f aca="false">SUMIF(Ap_MesO,112,Ap_MontoO)*DM$9</f>
        <v>0</v>
      </c>
      <c r="DN138" s="48" t="n">
        <f aca="false">SUMIF(Ap_MesO,113,Ap_MontoO)*DN$9</f>
        <v>0</v>
      </c>
      <c r="DO138" s="48" t="n">
        <f aca="false">SUMIF(Ap_MesO,114,Ap_MontoO)*DO$9</f>
        <v>0</v>
      </c>
      <c r="DP138" s="48" t="n">
        <f aca="false">SUMIF(Ap_MesO,115,Ap_MontoO)*DP$9</f>
        <v>0</v>
      </c>
      <c r="DQ138" s="48" t="n">
        <f aca="false">SUMIF(Ap_MesO,116,Ap_MontoO)*DQ$9</f>
        <v>0</v>
      </c>
      <c r="DR138" s="48" t="n">
        <f aca="false">SUMIF(Ap_MesO,117,Ap_MontoO)*DR$9</f>
        <v>0</v>
      </c>
      <c r="DS138" s="48" t="n">
        <f aca="false">SUMIF(Ap_MesO,118,Ap_MontoO)*DS$9</f>
        <v>0</v>
      </c>
      <c r="DT138" s="48" t="n">
        <f aca="false">SUMIF(Ap_MesO,119,Ap_MontoO)*DT$9</f>
        <v>0</v>
      </c>
      <c r="DU138" s="48" t="n">
        <f aca="false">SUMIF(Ap_MesO,120,Ap_MontoO)*DU$9</f>
        <v>0</v>
      </c>
      <c r="DV138" s="48" t="n">
        <f aca="false">SUMIF(Ap_MesO,121,Ap_MontoO)*DV$9</f>
        <v>0</v>
      </c>
      <c r="DW138" s="48" t="n">
        <f aca="false">SUMIF(Ap_MesO,122,Ap_MontoO)*DW$9</f>
        <v>0</v>
      </c>
      <c r="DX138" s="48" t="n">
        <f aca="false">SUMIF(Ap_MesO,123,Ap_MontoO)*DX$9</f>
        <v>0</v>
      </c>
      <c r="DY138" s="48" t="n">
        <f aca="false">SUMIF(Ap_MesO,124,Ap_MontoO)*DY$9</f>
        <v>0</v>
      </c>
      <c r="DZ138" s="48" t="n">
        <f aca="false">SUMIF(Ap_MesO,125,Ap_MontoO)*DZ$9</f>
        <v>0</v>
      </c>
      <c r="EA138" s="48" t="n">
        <f aca="false">SUMIF(Ap_MesO,126,Ap_MontoO)*EA$9</f>
        <v>0</v>
      </c>
      <c r="EB138" s="48" t="n">
        <f aca="false">SUMIF(Ap_MesO,127,Ap_MontoO)*EB$9</f>
        <v>0</v>
      </c>
      <c r="EC138" s="48" t="n">
        <f aca="false">SUMIF(Ap_MesO,128,Ap_MontoO)*EC$9</f>
        <v>0</v>
      </c>
      <c r="ED138" s="48" t="n">
        <f aca="false">SUMIF(Ap_MesO,129,Ap_MontoO)*ED$9</f>
        <v>0</v>
      </c>
      <c r="EE138" s="48" t="n">
        <f aca="false">SUMIF(Ap_MesO,130,Ap_MontoO)*EE$9</f>
        <v>0</v>
      </c>
      <c r="EF138" s="48" t="n">
        <f aca="false">SUMIF(Ap_MesO,131,Ap_MontoO)*EF$9</f>
        <v>0</v>
      </c>
      <c r="EG138" s="48" t="n">
        <f aca="false">SUMIF(Ap_MesO,132,Ap_MontoO)*EG$9</f>
        <v>0</v>
      </c>
      <c r="EH138" s="48" t="n">
        <f aca="false">SUMIF(Ap_MesO,133,Ap_MontoO)*EH$9</f>
        <v>0</v>
      </c>
      <c r="EI138" s="48" t="n">
        <f aca="false">SUMIF(Ap_MesO,134,Ap_MontoO)*EI$9</f>
        <v>0</v>
      </c>
      <c r="EJ138" s="48" t="n">
        <f aca="false">SUMIF(Ap_MesO,135,Ap_MontoO)*EJ$9</f>
        <v>0</v>
      </c>
      <c r="EK138" s="48" t="n">
        <f aca="false">SUMIF(Ap_MesO,136,Ap_MontoO)*EK$9</f>
        <v>0</v>
      </c>
      <c r="EL138" s="48" t="n">
        <f aca="false">SUMIF(Ap_MesO,137,Ap_MontoO)*EL$9</f>
        <v>0</v>
      </c>
      <c r="EM138" s="48" t="n">
        <f aca="false">SUMIF(Ap_MesO,138,Ap_MontoO)*EM$9</f>
        <v>0</v>
      </c>
      <c r="EN138" s="48" t="n">
        <f aca="false">SUMIF(Ap_MesO,139,Ap_MontoO)*EN$9</f>
        <v>0</v>
      </c>
      <c r="EO138" s="48" t="n">
        <f aca="false">SUMIF(Ap_MesO,140,Ap_MontoO)*EO$9</f>
        <v>0</v>
      </c>
      <c r="EP138" s="48" t="n">
        <f aca="false">SUMIF(Ap_MesO,141,Ap_MontoO)*EP$9</f>
        <v>0</v>
      </c>
      <c r="EQ138" s="48" t="n">
        <f aca="false">SUMIF(Ap_MesO,142,Ap_MontoO)*EQ$9</f>
        <v>0</v>
      </c>
      <c r="ER138" s="48" t="n">
        <f aca="false">SUMIF(Ap_MesO,143,Ap_MontoO)*ER$9</f>
        <v>0</v>
      </c>
      <c r="ES138" s="48" t="n">
        <f aca="false">SUMIF(Ap_MesO,144,Ap_MontoO)*ES$9</f>
        <v>0</v>
      </c>
    </row>
    <row r="139" customFormat="false" ht="15" hidden="false" customHeight="false" outlineLevel="0" collapsed="false">
      <c r="A139" s="11" t="s">
        <v>1241</v>
      </c>
      <c r="B139" s="15" t="s">
        <v>1242</v>
      </c>
      <c r="C139" s="15" t="s">
        <v>1057</v>
      </c>
      <c r="F139" s="34" t="n">
        <f aca="false">IF(AND(N(P_LC_Lim)&gt;0,1&gt;=MAX(1,N(P_LC_Desde)),1&lt;=IF(N(P_LC_Hasta)=0,Fin,N(P_LC_Hasta))),1,0)</f>
        <v>0</v>
      </c>
      <c r="G139" s="34" t="n">
        <f aca="false">IF(AND(N(P_LC_Lim)&gt;0,2&gt;=MAX(1,N(P_LC_Desde)),2&lt;=IF(N(P_LC_Hasta)=0,Fin,N(P_LC_Hasta))),1,0)</f>
        <v>0</v>
      </c>
      <c r="H139" s="34" t="n">
        <f aca="false">IF(AND(N(P_LC_Lim)&gt;0,3&gt;=MAX(1,N(P_LC_Desde)),3&lt;=IF(N(P_LC_Hasta)=0,Fin,N(P_LC_Hasta))),1,0)</f>
        <v>0</v>
      </c>
      <c r="I139" s="34" t="n">
        <f aca="false">IF(AND(N(P_LC_Lim)&gt;0,4&gt;=MAX(1,N(P_LC_Desde)),4&lt;=IF(N(P_LC_Hasta)=0,Fin,N(P_LC_Hasta))),1,0)</f>
        <v>0</v>
      </c>
      <c r="J139" s="34" t="n">
        <f aca="false">IF(AND(N(P_LC_Lim)&gt;0,5&gt;=MAX(1,N(P_LC_Desde)),5&lt;=IF(N(P_LC_Hasta)=0,Fin,N(P_LC_Hasta))),1,0)</f>
        <v>0</v>
      </c>
      <c r="K139" s="34" t="n">
        <f aca="false">IF(AND(N(P_LC_Lim)&gt;0,6&gt;=MAX(1,N(P_LC_Desde)),6&lt;=IF(N(P_LC_Hasta)=0,Fin,N(P_LC_Hasta))),1,0)</f>
        <v>0</v>
      </c>
      <c r="L139" s="34" t="n">
        <f aca="false">IF(AND(N(P_LC_Lim)&gt;0,7&gt;=MAX(1,N(P_LC_Desde)),7&lt;=IF(N(P_LC_Hasta)=0,Fin,N(P_LC_Hasta))),1,0)</f>
        <v>0</v>
      </c>
      <c r="M139" s="34" t="n">
        <f aca="false">IF(AND(N(P_LC_Lim)&gt;0,8&gt;=MAX(1,N(P_LC_Desde)),8&lt;=IF(N(P_LC_Hasta)=0,Fin,N(P_LC_Hasta))),1,0)</f>
        <v>0</v>
      </c>
      <c r="N139" s="34" t="n">
        <f aca="false">IF(AND(N(P_LC_Lim)&gt;0,9&gt;=MAX(1,N(P_LC_Desde)),9&lt;=IF(N(P_LC_Hasta)=0,Fin,N(P_LC_Hasta))),1,0)</f>
        <v>0</v>
      </c>
      <c r="O139" s="34" t="n">
        <f aca="false">IF(AND(N(P_LC_Lim)&gt;0,10&gt;=MAX(1,N(P_LC_Desde)),10&lt;=IF(N(P_LC_Hasta)=0,Fin,N(P_LC_Hasta))),1,0)</f>
        <v>0</v>
      </c>
      <c r="P139" s="34" t="n">
        <f aca="false">IF(AND(N(P_LC_Lim)&gt;0,11&gt;=MAX(1,N(P_LC_Desde)),11&lt;=IF(N(P_LC_Hasta)=0,Fin,N(P_LC_Hasta))),1,0)</f>
        <v>0</v>
      </c>
      <c r="Q139" s="34" t="n">
        <f aca="false">IF(AND(N(P_LC_Lim)&gt;0,12&gt;=MAX(1,N(P_LC_Desde)),12&lt;=IF(N(P_LC_Hasta)=0,Fin,N(P_LC_Hasta))),1,0)</f>
        <v>0</v>
      </c>
      <c r="R139" s="34" t="n">
        <f aca="false">IF(AND(N(P_LC_Lim)&gt;0,13&gt;=MAX(1,N(P_LC_Desde)),13&lt;=IF(N(P_LC_Hasta)=0,Fin,N(P_LC_Hasta))),1,0)</f>
        <v>0</v>
      </c>
      <c r="S139" s="34" t="n">
        <f aca="false">IF(AND(N(P_LC_Lim)&gt;0,14&gt;=MAX(1,N(P_LC_Desde)),14&lt;=IF(N(P_LC_Hasta)=0,Fin,N(P_LC_Hasta))),1,0)</f>
        <v>0</v>
      </c>
      <c r="T139" s="34" t="n">
        <f aca="false">IF(AND(N(P_LC_Lim)&gt;0,15&gt;=MAX(1,N(P_LC_Desde)),15&lt;=IF(N(P_LC_Hasta)=0,Fin,N(P_LC_Hasta))),1,0)</f>
        <v>0</v>
      </c>
      <c r="U139" s="34" t="n">
        <f aca="false">IF(AND(N(P_LC_Lim)&gt;0,16&gt;=MAX(1,N(P_LC_Desde)),16&lt;=IF(N(P_LC_Hasta)=0,Fin,N(P_LC_Hasta))),1,0)</f>
        <v>0</v>
      </c>
      <c r="V139" s="34" t="n">
        <f aca="false">IF(AND(N(P_LC_Lim)&gt;0,17&gt;=MAX(1,N(P_LC_Desde)),17&lt;=IF(N(P_LC_Hasta)=0,Fin,N(P_LC_Hasta))),1,0)</f>
        <v>0</v>
      </c>
      <c r="W139" s="34" t="n">
        <f aca="false">IF(AND(N(P_LC_Lim)&gt;0,18&gt;=MAX(1,N(P_LC_Desde)),18&lt;=IF(N(P_LC_Hasta)=0,Fin,N(P_LC_Hasta))),1,0)</f>
        <v>0</v>
      </c>
      <c r="X139" s="34" t="n">
        <f aca="false">IF(AND(N(P_LC_Lim)&gt;0,19&gt;=MAX(1,N(P_LC_Desde)),19&lt;=IF(N(P_LC_Hasta)=0,Fin,N(P_LC_Hasta))),1,0)</f>
        <v>0</v>
      </c>
      <c r="Y139" s="34" t="n">
        <f aca="false">IF(AND(N(P_LC_Lim)&gt;0,20&gt;=MAX(1,N(P_LC_Desde)),20&lt;=IF(N(P_LC_Hasta)=0,Fin,N(P_LC_Hasta))),1,0)</f>
        <v>0</v>
      </c>
      <c r="Z139" s="34" t="n">
        <f aca="false">IF(AND(N(P_LC_Lim)&gt;0,21&gt;=MAX(1,N(P_LC_Desde)),21&lt;=IF(N(P_LC_Hasta)=0,Fin,N(P_LC_Hasta))),1,0)</f>
        <v>0</v>
      </c>
      <c r="AA139" s="34" t="n">
        <f aca="false">IF(AND(N(P_LC_Lim)&gt;0,22&gt;=MAX(1,N(P_LC_Desde)),22&lt;=IF(N(P_LC_Hasta)=0,Fin,N(P_LC_Hasta))),1,0)</f>
        <v>0</v>
      </c>
      <c r="AB139" s="34" t="n">
        <f aca="false">IF(AND(N(P_LC_Lim)&gt;0,23&gt;=MAX(1,N(P_LC_Desde)),23&lt;=IF(N(P_LC_Hasta)=0,Fin,N(P_LC_Hasta))),1,0)</f>
        <v>0</v>
      </c>
      <c r="AC139" s="34" t="n">
        <f aca="false">IF(AND(N(P_LC_Lim)&gt;0,24&gt;=MAX(1,N(P_LC_Desde)),24&lt;=IF(N(P_LC_Hasta)=0,Fin,N(P_LC_Hasta))),1,0)</f>
        <v>0</v>
      </c>
      <c r="AD139" s="34" t="n">
        <f aca="false">IF(AND(N(P_LC_Lim)&gt;0,25&gt;=MAX(1,N(P_LC_Desde)),25&lt;=IF(N(P_LC_Hasta)=0,Fin,N(P_LC_Hasta))),1,0)</f>
        <v>0</v>
      </c>
      <c r="AE139" s="34" t="n">
        <f aca="false">IF(AND(N(P_LC_Lim)&gt;0,26&gt;=MAX(1,N(P_LC_Desde)),26&lt;=IF(N(P_LC_Hasta)=0,Fin,N(P_LC_Hasta))),1,0)</f>
        <v>0</v>
      </c>
      <c r="AF139" s="34" t="n">
        <f aca="false">IF(AND(N(P_LC_Lim)&gt;0,27&gt;=MAX(1,N(P_LC_Desde)),27&lt;=IF(N(P_LC_Hasta)=0,Fin,N(P_LC_Hasta))),1,0)</f>
        <v>0</v>
      </c>
      <c r="AG139" s="34" t="n">
        <f aca="false">IF(AND(N(P_LC_Lim)&gt;0,28&gt;=MAX(1,N(P_LC_Desde)),28&lt;=IF(N(P_LC_Hasta)=0,Fin,N(P_LC_Hasta))),1,0)</f>
        <v>0</v>
      </c>
      <c r="AH139" s="34" t="n">
        <f aca="false">IF(AND(N(P_LC_Lim)&gt;0,29&gt;=MAX(1,N(P_LC_Desde)),29&lt;=IF(N(P_LC_Hasta)=0,Fin,N(P_LC_Hasta))),1,0)</f>
        <v>0</v>
      </c>
      <c r="AI139" s="34" t="n">
        <f aca="false">IF(AND(N(P_LC_Lim)&gt;0,30&gt;=MAX(1,N(P_LC_Desde)),30&lt;=IF(N(P_LC_Hasta)=0,Fin,N(P_LC_Hasta))),1,0)</f>
        <v>0</v>
      </c>
      <c r="AJ139" s="34" t="n">
        <f aca="false">IF(AND(N(P_LC_Lim)&gt;0,31&gt;=MAX(1,N(P_LC_Desde)),31&lt;=IF(N(P_LC_Hasta)=0,Fin,N(P_LC_Hasta))),1,0)</f>
        <v>0</v>
      </c>
      <c r="AK139" s="34" t="n">
        <f aca="false">IF(AND(N(P_LC_Lim)&gt;0,32&gt;=MAX(1,N(P_LC_Desde)),32&lt;=IF(N(P_LC_Hasta)=0,Fin,N(P_LC_Hasta))),1,0)</f>
        <v>0</v>
      </c>
      <c r="AL139" s="34" t="n">
        <f aca="false">IF(AND(N(P_LC_Lim)&gt;0,33&gt;=MAX(1,N(P_LC_Desde)),33&lt;=IF(N(P_LC_Hasta)=0,Fin,N(P_LC_Hasta))),1,0)</f>
        <v>0</v>
      </c>
      <c r="AM139" s="34" t="n">
        <f aca="false">IF(AND(N(P_LC_Lim)&gt;0,34&gt;=MAX(1,N(P_LC_Desde)),34&lt;=IF(N(P_LC_Hasta)=0,Fin,N(P_LC_Hasta))),1,0)</f>
        <v>0</v>
      </c>
      <c r="AN139" s="34" t="n">
        <f aca="false">IF(AND(N(P_LC_Lim)&gt;0,35&gt;=MAX(1,N(P_LC_Desde)),35&lt;=IF(N(P_LC_Hasta)=0,Fin,N(P_LC_Hasta))),1,0)</f>
        <v>0</v>
      </c>
      <c r="AO139" s="34" t="n">
        <f aca="false">IF(AND(N(P_LC_Lim)&gt;0,36&gt;=MAX(1,N(P_LC_Desde)),36&lt;=IF(N(P_LC_Hasta)=0,Fin,N(P_LC_Hasta))),1,0)</f>
        <v>0</v>
      </c>
      <c r="AP139" s="34" t="n">
        <f aca="false">IF(AND(N(P_LC_Lim)&gt;0,37&gt;=MAX(1,N(P_LC_Desde)),37&lt;=IF(N(P_LC_Hasta)=0,Fin,N(P_LC_Hasta))),1,0)</f>
        <v>0</v>
      </c>
      <c r="AQ139" s="34" t="n">
        <f aca="false">IF(AND(N(P_LC_Lim)&gt;0,38&gt;=MAX(1,N(P_LC_Desde)),38&lt;=IF(N(P_LC_Hasta)=0,Fin,N(P_LC_Hasta))),1,0)</f>
        <v>0</v>
      </c>
      <c r="AR139" s="34" t="n">
        <f aca="false">IF(AND(N(P_LC_Lim)&gt;0,39&gt;=MAX(1,N(P_LC_Desde)),39&lt;=IF(N(P_LC_Hasta)=0,Fin,N(P_LC_Hasta))),1,0)</f>
        <v>0</v>
      </c>
      <c r="AS139" s="34" t="n">
        <f aca="false">IF(AND(N(P_LC_Lim)&gt;0,40&gt;=MAX(1,N(P_LC_Desde)),40&lt;=IF(N(P_LC_Hasta)=0,Fin,N(P_LC_Hasta))),1,0)</f>
        <v>0</v>
      </c>
      <c r="AT139" s="34" t="n">
        <f aca="false">IF(AND(N(P_LC_Lim)&gt;0,41&gt;=MAX(1,N(P_LC_Desde)),41&lt;=IF(N(P_LC_Hasta)=0,Fin,N(P_LC_Hasta))),1,0)</f>
        <v>0</v>
      </c>
      <c r="AU139" s="34" t="n">
        <f aca="false">IF(AND(N(P_LC_Lim)&gt;0,42&gt;=MAX(1,N(P_LC_Desde)),42&lt;=IF(N(P_LC_Hasta)=0,Fin,N(P_LC_Hasta))),1,0)</f>
        <v>0</v>
      </c>
      <c r="AV139" s="34" t="n">
        <f aca="false">IF(AND(N(P_LC_Lim)&gt;0,43&gt;=MAX(1,N(P_LC_Desde)),43&lt;=IF(N(P_LC_Hasta)=0,Fin,N(P_LC_Hasta))),1,0)</f>
        <v>0</v>
      </c>
      <c r="AW139" s="34" t="n">
        <f aca="false">IF(AND(N(P_LC_Lim)&gt;0,44&gt;=MAX(1,N(P_LC_Desde)),44&lt;=IF(N(P_LC_Hasta)=0,Fin,N(P_LC_Hasta))),1,0)</f>
        <v>0</v>
      </c>
      <c r="AX139" s="34" t="n">
        <f aca="false">IF(AND(N(P_LC_Lim)&gt;0,45&gt;=MAX(1,N(P_LC_Desde)),45&lt;=IF(N(P_LC_Hasta)=0,Fin,N(P_LC_Hasta))),1,0)</f>
        <v>0</v>
      </c>
      <c r="AY139" s="34" t="n">
        <f aca="false">IF(AND(N(P_LC_Lim)&gt;0,46&gt;=MAX(1,N(P_LC_Desde)),46&lt;=IF(N(P_LC_Hasta)=0,Fin,N(P_LC_Hasta))),1,0)</f>
        <v>0</v>
      </c>
      <c r="AZ139" s="34" t="n">
        <f aca="false">IF(AND(N(P_LC_Lim)&gt;0,47&gt;=MAX(1,N(P_LC_Desde)),47&lt;=IF(N(P_LC_Hasta)=0,Fin,N(P_LC_Hasta))),1,0)</f>
        <v>0</v>
      </c>
      <c r="BA139" s="34" t="n">
        <f aca="false">IF(AND(N(P_LC_Lim)&gt;0,48&gt;=MAX(1,N(P_LC_Desde)),48&lt;=IF(N(P_LC_Hasta)=0,Fin,N(P_LC_Hasta))),1,0)</f>
        <v>0</v>
      </c>
      <c r="BB139" s="34" t="n">
        <f aca="false">IF(AND(N(P_LC_Lim)&gt;0,49&gt;=MAX(1,N(P_LC_Desde)),49&lt;=IF(N(P_LC_Hasta)=0,Fin,N(P_LC_Hasta))),1,0)</f>
        <v>0</v>
      </c>
      <c r="BC139" s="34" t="n">
        <f aca="false">IF(AND(N(P_LC_Lim)&gt;0,50&gt;=MAX(1,N(P_LC_Desde)),50&lt;=IF(N(P_LC_Hasta)=0,Fin,N(P_LC_Hasta))),1,0)</f>
        <v>0</v>
      </c>
      <c r="BD139" s="34" t="n">
        <f aca="false">IF(AND(N(P_LC_Lim)&gt;0,51&gt;=MAX(1,N(P_LC_Desde)),51&lt;=IF(N(P_LC_Hasta)=0,Fin,N(P_LC_Hasta))),1,0)</f>
        <v>0</v>
      </c>
      <c r="BE139" s="34" t="n">
        <f aca="false">IF(AND(N(P_LC_Lim)&gt;0,52&gt;=MAX(1,N(P_LC_Desde)),52&lt;=IF(N(P_LC_Hasta)=0,Fin,N(P_LC_Hasta))),1,0)</f>
        <v>0</v>
      </c>
      <c r="BF139" s="34" t="n">
        <f aca="false">IF(AND(N(P_LC_Lim)&gt;0,53&gt;=MAX(1,N(P_LC_Desde)),53&lt;=IF(N(P_LC_Hasta)=0,Fin,N(P_LC_Hasta))),1,0)</f>
        <v>0</v>
      </c>
      <c r="BG139" s="34" t="n">
        <f aca="false">IF(AND(N(P_LC_Lim)&gt;0,54&gt;=MAX(1,N(P_LC_Desde)),54&lt;=IF(N(P_LC_Hasta)=0,Fin,N(P_LC_Hasta))),1,0)</f>
        <v>0</v>
      </c>
      <c r="BH139" s="34" t="n">
        <f aca="false">IF(AND(N(P_LC_Lim)&gt;0,55&gt;=MAX(1,N(P_LC_Desde)),55&lt;=IF(N(P_LC_Hasta)=0,Fin,N(P_LC_Hasta))),1,0)</f>
        <v>0</v>
      </c>
      <c r="BI139" s="34" t="n">
        <f aca="false">IF(AND(N(P_LC_Lim)&gt;0,56&gt;=MAX(1,N(P_LC_Desde)),56&lt;=IF(N(P_LC_Hasta)=0,Fin,N(P_LC_Hasta))),1,0)</f>
        <v>0</v>
      </c>
      <c r="BJ139" s="34" t="n">
        <f aca="false">IF(AND(N(P_LC_Lim)&gt;0,57&gt;=MAX(1,N(P_LC_Desde)),57&lt;=IF(N(P_LC_Hasta)=0,Fin,N(P_LC_Hasta))),1,0)</f>
        <v>0</v>
      </c>
      <c r="BK139" s="34" t="n">
        <f aca="false">IF(AND(N(P_LC_Lim)&gt;0,58&gt;=MAX(1,N(P_LC_Desde)),58&lt;=IF(N(P_LC_Hasta)=0,Fin,N(P_LC_Hasta))),1,0)</f>
        <v>0</v>
      </c>
      <c r="BL139" s="34" t="n">
        <f aca="false">IF(AND(N(P_LC_Lim)&gt;0,59&gt;=MAX(1,N(P_LC_Desde)),59&lt;=IF(N(P_LC_Hasta)=0,Fin,N(P_LC_Hasta))),1,0)</f>
        <v>0</v>
      </c>
      <c r="BM139" s="34" t="n">
        <f aca="false">IF(AND(N(P_LC_Lim)&gt;0,60&gt;=MAX(1,N(P_LC_Desde)),60&lt;=IF(N(P_LC_Hasta)=0,Fin,N(P_LC_Hasta))),1,0)</f>
        <v>0</v>
      </c>
      <c r="BN139" s="34" t="n">
        <f aca="false">IF(AND(N(P_LC_Lim)&gt;0,61&gt;=MAX(1,N(P_LC_Desde)),61&lt;=IF(N(P_LC_Hasta)=0,Fin,N(P_LC_Hasta))),1,0)</f>
        <v>0</v>
      </c>
      <c r="BO139" s="34" t="n">
        <f aca="false">IF(AND(N(P_LC_Lim)&gt;0,62&gt;=MAX(1,N(P_LC_Desde)),62&lt;=IF(N(P_LC_Hasta)=0,Fin,N(P_LC_Hasta))),1,0)</f>
        <v>0</v>
      </c>
      <c r="BP139" s="34" t="n">
        <f aca="false">IF(AND(N(P_LC_Lim)&gt;0,63&gt;=MAX(1,N(P_LC_Desde)),63&lt;=IF(N(P_LC_Hasta)=0,Fin,N(P_LC_Hasta))),1,0)</f>
        <v>0</v>
      </c>
      <c r="BQ139" s="34" t="n">
        <f aca="false">IF(AND(N(P_LC_Lim)&gt;0,64&gt;=MAX(1,N(P_LC_Desde)),64&lt;=IF(N(P_LC_Hasta)=0,Fin,N(P_LC_Hasta))),1,0)</f>
        <v>0</v>
      </c>
      <c r="BR139" s="34" t="n">
        <f aca="false">IF(AND(N(P_LC_Lim)&gt;0,65&gt;=MAX(1,N(P_LC_Desde)),65&lt;=IF(N(P_LC_Hasta)=0,Fin,N(P_LC_Hasta))),1,0)</f>
        <v>0</v>
      </c>
      <c r="BS139" s="34" t="n">
        <f aca="false">IF(AND(N(P_LC_Lim)&gt;0,66&gt;=MAX(1,N(P_LC_Desde)),66&lt;=IF(N(P_LC_Hasta)=0,Fin,N(P_LC_Hasta))),1,0)</f>
        <v>0</v>
      </c>
      <c r="BT139" s="34" t="n">
        <f aca="false">IF(AND(N(P_LC_Lim)&gt;0,67&gt;=MAX(1,N(P_LC_Desde)),67&lt;=IF(N(P_LC_Hasta)=0,Fin,N(P_LC_Hasta))),1,0)</f>
        <v>0</v>
      </c>
      <c r="BU139" s="34" t="n">
        <f aca="false">IF(AND(N(P_LC_Lim)&gt;0,68&gt;=MAX(1,N(P_LC_Desde)),68&lt;=IF(N(P_LC_Hasta)=0,Fin,N(P_LC_Hasta))),1,0)</f>
        <v>0</v>
      </c>
      <c r="BV139" s="34" t="n">
        <f aca="false">IF(AND(N(P_LC_Lim)&gt;0,69&gt;=MAX(1,N(P_LC_Desde)),69&lt;=IF(N(P_LC_Hasta)=0,Fin,N(P_LC_Hasta))),1,0)</f>
        <v>0</v>
      </c>
      <c r="BW139" s="34" t="n">
        <f aca="false">IF(AND(N(P_LC_Lim)&gt;0,70&gt;=MAX(1,N(P_LC_Desde)),70&lt;=IF(N(P_LC_Hasta)=0,Fin,N(P_LC_Hasta))),1,0)</f>
        <v>0</v>
      </c>
      <c r="BX139" s="34" t="n">
        <f aca="false">IF(AND(N(P_LC_Lim)&gt;0,71&gt;=MAX(1,N(P_LC_Desde)),71&lt;=IF(N(P_LC_Hasta)=0,Fin,N(P_LC_Hasta))),1,0)</f>
        <v>0</v>
      </c>
      <c r="BY139" s="34" t="n">
        <f aca="false">IF(AND(N(P_LC_Lim)&gt;0,72&gt;=MAX(1,N(P_LC_Desde)),72&lt;=IF(N(P_LC_Hasta)=0,Fin,N(P_LC_Hasta))),1,0)</f>
        <v>0</v>
      </c>
      <c r="BZ139" s="34" t="n">
        <f aca="false">IF(AND(N(P_LC_Lim)&gt;0,73&gt;=MAX(1,N(P_LC_Desde)),73&lt;=IF(N(P_LC_Hasta)=0,Fin,N(P_LC_Hasta))),1,0)</f>
        <v>0</v>
      </c>
      <c r="CA139" s="34" t="n">
        <f aca="false">IF(AND(N(P_LC_Lim)&gt;0,74&gt;=MAX(1,N(P_LC_Desde)),74&lt;=IF(N(P_LC_Hasta)=0,Fin,N(P_LC_Hasta))),1,0)</f>
        <v>0</v>
      </c>
      <c r="CB139" s="34" t="n">
        <f aca="false">IF(AND(N(P_LC_Lim)&gt;0,75&gt;=MAX(1,N(P_LC_Desde)),75&lt;=IF(N(P_LC_Hasta)=0,Fin,N(P_LC_Hasta))),1,0)</f>
        <v>0</v>
      </c>
      <c r="CC139" s="34" t="n">
        <f aca="false">IF(AND(N(P_LC_Lim)&gt;0,76&gt;=MAX(1,N(P_LC_Desde)),76&lt;=IF(N(P_LC_Hasta)=0,Fin,N(P_LC_Hasta))),1,0)</f>
        <v>0</v>
      </c>
      <c r="CD139" s="34" t="n">
        <f aca="false">IF(AND(N(P_LC_Lim)&gt;0,77&gt;=MAX(1,N(P_LC_Desde)),77&lt;=IF(N(P_LC_Hasta)=0,Fin,N(P_LC_Hasta))),1,0)</f>
        <v>0</v>
      </c>
      <c r="CE139" s="34" t="n">
        <f aca="false">IF(AND(N(P_LC_Lim)&gt;0,78&gt;=MAX(1,N(P_LC_Desde)),78&lt;=IF(N(P_LC_Hasta)=0,Fin,N(P_LC_Hasta))),1,0)</f>
        <v>0</v>
      </c>
      <c r="CF139" s="34" t="n">
        <f aca="false">IF(AND(N(P_LC_Lim)&gt;0,79&gt;=MAX(1,N(P_LC_Desde)),79&lt;=IF(N(P_LC_Hasta)=0,Fin,N(P_LC_Hasta))),1,0)</f>
        <v>0</v>
      </c>
      <c r="CG139" s="34" t="n">
        <f aca="false">IF(AND(N(P_LC_Lim)&gt;0,80&gt;=MAX(1,N(P_LC_Desde)),80&lt;=IF(N(P_LC_Hasta)=0,Fin,N(P_LC_Hasta))),1,0)</f>
        <v>0</v>
      </c>
      <c r="CH139" s="34" t="n">
        <f aca="false">IF(AND(N(P_LC_Lim)&gt;0,81&gt;=MAX(1,N(P_LC_Desde)),81&lt;=IF(N(P_LC_Hasta)=0,Fin,N(P_LC_Hasta))),1,0)</f>
        <v>0</v>
      </c>
      <c r="CI139" s="34" t="n">
        <f aca="false">IF(AND(N(P_LC_Lim)&gt;0,82&gt;=MAX(1,N(P_LC_Desde)),82&lt;=IF(N(P_LC_Hasta)=0,Fin,N(P_LC_Hasta))),1,0)</f>
        <v>0</v>
      </c>
      <c r="CJ139" s="34" t="n">
        <f aca="false">IF(AND(N(P_LC_Lim)&gt;0,83&gt;=MAX(1,N(P_LC_Desde)),83&lt;=IF(N(P_LC_Hasta)=0,Fin,N(P_LC_Hasta))),1,0)</f>
        <v>0</v>
      </c>
      <c r="CK139" s="34" t="n">
        <f aca="false">IF(AND(N(P_LC_Lim)&gt;0,84&gt;=MAX(1,N(P_LC_Desde)),84&lt;=IF(N(P_LC_Hasta)=0,Fin,N(P_LC_Hasta))),1,0)</f>
        <v>0</v>
      </c>
      <c r="CL139" s="34" t="n">
        <f aca="false">IF(AND(N(P_LC_Lim)&gt;0,85&gt;=MAX(1,N(P_LC_Desde)),85&lt;=IF(N(P_LC_Hasta)=0,Fin,N(P_LC_Hasta))),1,0)</f>
        <v>0</v>
      </c>
      <c r="CM139" s="34" t="n">
        <f aca="false">IF(AND(N(P_LC_Lim)&gt;0,86&gt;=MAX(1,N(P_LC_Desde)),86&lt;=IF(N(P_LC_Hasta)=0,Fin,N(P_LC_Hasta))),1,0)</f>
        <v>0</v>
      </c>
      <c r="CN139" s="34" t="n">
        <f aca="false">IF(AND(N(P_LC_Lim)&gt;0,87&gt;=MAX(1,N(P_LC_Desde)),87&lt;=IF(N(P_LC_Hasta)=0,Fin,N(P_LC_Hasta))),1,0)</f>
        <v>0</v>
      </c>
      <c r="CO139" s="34" t="n">
        <f aca="false">IF(AND(N(P_LC_Lim)&gt;0,88&gt;=MAX(1,N(P_LC_Desde)),88&lt;=IF(N(P_LC_Hasta)=0,Fin,N(P_LC_Hasta))),1,0)</f>
        <v>0</v>
      </c>
      <c r="CP139" s="34" t="n">
        <f aca="false">IF(AND(N(P_LC_Lim)&gt;0,89&gt;=MAX(1,N(P_LC_Desde)),89&lt;=IF(N(P_LC_Hasta)=0,Fin,N(P_LC_Hasta))),1,0)</f>
        <v>0</v>
      </c>
      <c r="CQ139" s="34" t="n">
        <f aca="false">IF(AND(N(P_LC_Lim)&gt;0,90&gt;=MAX(1,N(P_LC_Desde)),90&lt;=IF(N(P_LC_Hasta)=0,Fin,N(P_LC_Hasta))),1,0)</f>
        <v>0</v>
      </c>
      <c r="CR139" s="34" t="n">
        <f aca="false">IF(AND(N(P_LC_Lim)&gt;0,91&gt;=MAX(1,N(P_LC_Desde)),91&lt;=IF(N(P_LC_Hasta)=0,Fin,N(P_LC_Hasta))),1,0)</f>
        <v>0</v>
      </c>
      <c r="CS139" s="34" t="n">
        <f aca="false">IF(AND(N(P_LC_Lim)&gt;0,92&gt;=MAX(1,N(P_LC_Desde)),92&lt;=IF(N(P_LC_Hasta)=0,Fin,N(P_LC_Hasta))),1,0)</f>
        <v>0</v>
      </c>
      <c r="CT139" s="34" t="n">
        <f aca="false">IF(AND(N(P_LC_Lim)&gt;0,93&gt;=MAX(1,N(P_LC_Desde)),93&lt;=IF(N(P_LC_Hasta)=0,Fin,N(P_LC_Hasta))),1,0)</f>
        <v>0</v>
      </c>
      <c r="CU139" s="34" t="n">
        <f aca="false">IF(AND(N(P_LC_Lim)&gt;0,94&gt;=MAX(1,N(P_LC_Desde)),94&lt;=IF(N(P_LC_Hasta)=0,Fin,N(P_LC_Hasta))),1,0)</f>
        <v>0</v>
      </c>
      <c r="CV139" s="34" t="n">
        <f aca="false">IF(AND(N(P_LC_Lim)&gt;0,95&gt;=MAX(1,N(P_LC_Desde)),95&lt;=IF(N(P_LC_Hasta)=0,Fin,N(P_LC_Hasta))),1,0)</f>
        <v>0</v>
      </c>
      <c r="CW139" s="34" t="n">
        <f aca="false">IF(AND(N(P_LC_Lim)&gt;0,96&gt;=MAX(1,N(P_LC_Desde)),96&lt;=IF(N(P_LC_Hasta)=0,Fin,N(P_LC_Hasta))),1,0)</f>
        <v>0</v>
      </c>
      <c r="CX139" s="34" t="n">
        <f aca="false">IF(AND(N(P_LC_Lim)&gt;0,97&gt;=MAX(1,N(P_LC_Desde)),97&lt;=IF(N(P_LC_Hasta)=0,Fin,N(P_LC_Hasta))),1,0)</f>
        <v>0</v>
      </c>
      <c r="CY139" s="34" t="n">
        <f aca="false">IF(AND(N(P_LC_Lim)&gt;0,98&gt;=MAX(1,N(P_LC_Desde)),98&lt;=IF(N(P_LC_Hasta)=0,Fin,N(P_LC_Hasta))),1,0)</f>
        <v>0</v>
      </c>
      <c r="CZ139" s="34" t="n">
        <f aca="false">IF(AND(N(P_LC_Lim)&gt;0,99&gt;=MAX(1,N(P_LC_Desde)),99&lt;=IF(N(P_LC_Hasta)=0,Fin,N(P_LC_Hasta))),1,0)</f>
        <v>0</v>
      </c>
      <c r="DA139" s="34" t="n">
        <f aca="false">IF(AND(N(P_LC_Lim)&gt;0,100&gt;=MAX(1,N(P_LC_Desde)),100&lt;=IF(N(P_LC_Hasta)=0,Fin,N(P_LC_Hasta))),1,0)</f>
        <v>0</v>
      </c>
      <c r="DB139" s="34" t="n">
        <f aca="false">IF(AND(N(P_LC_Lim)&gt;0,101&gt;=MAX(1,N(P_LC_Desde)),101&lt;=IF(N(P_LC_Hasta)=0,Fin,N(P_LC_Hasta))),1,0)</f>
        <v>0</v>
      </c>
      <c r="DC139" s="34" t="n">
        <f aca="false">IF(AND(N(P_LC_Lim)&gt;0,102&gt;=MAX(1,N(P_LC_Desde)),102&lt;=IF(N(P_LC_Hasta)=0,Fin,N(P_LC_Hasta))),1,0)</f>
        <v>0</v>
      </c>
      <c r="DD139" s="34" t="n">
        <f aca="false">IF(AND(N(P_LC_Lim)&gt;0,103&gt;=MAX(1,N(P_LC_Desde)),103&lt;=IF(N(P_LC_Hasta)=0,Fin,N(P_LC_Hasta))),1,0)</f>
        <v>0</v>
      </c>
      <c r="DE139" s="34" t="n">
        <f aca="false">IF(AND(N(P_LC_Lim)&gt;0,104&gt;=MAX(1,N(P_LC_Desde)),104&lt;=IF(N(P_LC_Hasta)=0,Fin,N(P_LC_Hasta))),1,0)</f>
        <v>0</v>
      </c>
      <c r="DF139" s="34" t="n">
        <f aca="false">IF(AND(N(P_LC_Lim)&gt;0,105&gt;=MAX(1,N(P_LC_Desde)),105&lt;=IF(N(P_LC_Hasta)=0,Fin,N(P_LC_Hasta))),1,0)</f>
        <v>0</v>
      </c>
      <c r="DG139" s="34" t="n">
        <f aca="false">IF(AND(N(P_LC_Lim)&gt;0,106&gt;=MAX(1,N(P_LC_Desde)),106&lt;=IF(N(P_LC_Hasta)=0,Fin,N(P_LC_Hasta))),1,0)</f>
        <v>0</v>
      </c>
      <c r="DH139" s="34" t="n">
        <f aca="false">IF(AND(N(P_LC_Lim)&gt;0,107&gt;=MAX(1,N(P_LC_Desde)),107&lt;=IF(N(P_LC_Hasta)=0,Fin,N(P_LC_Hasta))),1,0)</f>
        <v>0</v>
      </c>
      <c r="DI139" s="34" t="n">
        <f aca="false">IF(AND(N(P_LC_Lim)&gt;0,108&gt;=MAX(1,N(P_LC_Desde)),108&lt;=IF(N(P_LC_Hasta)=0,Fin,N(P_LC_Hasta))),1,0)</f>
        <v>0</v>
      </c>
      <c r="DJ139" s="34" t="n">
        <f aca="false">IF(AND(N(P_LC_Lim)&gt;0,109&gt;=MAX(1,N(P_LC_Desde)),109&lt;=IF(N(P_LC_Hasta)=0,Fin,N(P_LC_Hasta))),1,0)</f>
        <v>0</v>
      </c>
      <c r="DK139" s="34" t="n">
        <f aca="false">IF(AND(N(P_LC_Lim)&gt;0,110&gt;=MAX(1,N(P_LC_Desde)),110&lt;=IF(N(P_LC_Hasta)=0,Fin,N(P_LC_Hasta))),1,0)</f>
        <v>0</v>
      </c>
      <c r="DL139" s="34" t="n">
        <f aca="false">IF(AND(N(P_LC_Lim)&gt;0,111&gt;=MAX(1,N(P_LC_Desde)),111&lt;=IF(N(P_LC_Hasta)=0,Fin,N(P_LC_Hasta))),1,0)</f>
        <v>0</v>
      </c>
      <c r="DM139" s="34" t="n">
        <f aca="false">IF(AND(N(P_LC_Lim)&gt;0,112&gt;=MAX(1,N(P_LC_Desde)),112&lt;=IF(N(P_LC_Hasta)=0,Fin,N(P_LC_Hasta))),1,0)</f>
        <v>0</v>
      </c>
      <c r="DN139" s="34" t="n">
        <f aca="false">IF(AND(N(P_LC_Lim)&gt;0,113&gt;=MAX(1,N(P_LC_Desde)),113&lt;=IF(N(P_LC_Hasta)=0,Fin,N(P_LC_Hasta))),1,0)</f>
        <v>0</v>
      </c>
      <c r="DO139" s="34" t="n">
        <f aca="false">IF(AND(N(P_LC_Lim)&gt;0,114&gt;=MAX(1,N(P_LC_Desde)),114&lt;=IF(N(P_LC_Hasta)=0,Fin,N(P_LC_Hasta))),1,0)</f>
        <v>0</v>
      </c>
      <c r="DP139" s="34" t="n">
        <f aca="false">IF(AND(N(P_LC_Lim)&gt;0,115&gt;=MAX(1,N(P_LC_Desde)),115&lt;=IF(N(P_LC_Hasta)=0,Fin,N(P_LC_Hasta))),1,0)</f>
        <v>0</v>
      </c>
      <c r="DQ139" s="34" t="n">
        <f aca="false">IF(AND(N(P_LC_Lim)&gt;0,116&gt;=MAX(1,N(P_LC_Desde)),116&lt;=IF(N(P_LC_Hasta)=0,Fin,N(P_LC_Hasta))),1,0)</f>
        <v>0</v>
      </c>
      <c r="DR139" s="34" t="n">
        <f aca="false">IF(AND(N(P_LC_Lim)&gt;0,117&gt;=MAX(1,N(P_LC_Desde)),117&lt;=IF(N(P_LC_Hasta)=0,Fin,N(P_LC_Hasta))),1,0)</f>
        <v>0</v>
      </c>
      <c r="DS139" s="34" t="n">
        <f aca="false">IF(AND(N(P_LC_Lim)&gt;0,118&gt;=MAX(1,N(P_LC_Desde)),118&lt;=IF(N(P_LC_Hasta)=0,Fin,N(P_LC_Hasta))),1,0)</f>
        <v>0</v>
      </c>
      <c r="DT139" s="34" t="n">
        <f aca="false">IF(AND(N(P_LC_Lim)&gt;0,119&gt;=MAX(1,N(P_LC_Desde)),119&lt;=IF(N(P_LC_Hasta)=0,Fin,N(P_LC_Hasta))),1,0)</f>
        <v>0</v>
      </c>
      <c r="DU139" s="34" t="n">
        <f aca="false">IF(AND(N(P_LC_Lim)&gt;0,120&gt;=MAX(1,N(P_LC_Desde)),120&lt;=IF(N(P_LC_Hasta)=0,Fin,N(P_LC_Hasta))),1,0)</f>
        <v>0</v>
      </c>
      <c r="DV139" s="34" t="n">
        <f aca="false">IF(AND(N(P_LC_Lim)&gt;0,121&gt;=MAX(1,N(P_LC_Desde)),121&lt;=IF(N(P_LC_Hasta)=0,Fin,N(P_LC_Hasta))),1,0)</f>
        <v>0</v>
      </c>
      <c r="DW139" s="34" t="n">
        <f aca="false">IF(AND(N(P_LC_Lim)&gt;0,122&gt;=MAX(1,N(P_LC_Desde)),122&lt;=IF(N(P_LC_Hasta)=0,Fin,N(P_LC_Hasta))),1,0)</f>
        <v>0</v>
      </c>
      <c r="DX139" s="34" t="n">
        <f aca="false">IF(AND(N(P_LC_Lim)&gt;0,123&gt;=MAX(1,N(P_LC_Desde)),123&lt;=IF(N(P_LC_Hasta)=0,Fin,N(P_LC_Hasta))),1,0)</f>
        <v>0</v>
      </c>
      <c r="DY139" s="34" t="n">
        <f aca="false">IF(AND(N(P_LC_Lim)&gt;0,124&gt;=MAX(1,N(P_LC_Desde)),124&lt;=IF(N(P_LC_Hasta)=0,Fin,N(P_LC_Hasta))),1,0)</f>
        <v>0</v>
      </c>
      <c r="DZ139" s="34" t="n">
        <f aca="false">IF(AND(N(P_LC_Lim)&gt;0,125&gt;=MAX(1,N(P_LC_Desde)),125&lt;=IF(N(P_LC_Hasta)=0,Fin,N(P_LC_Hasta))),1,0)</f>
        <v>0</v>
      </c>
      <c r="EA139" s="34" t="n">
        <f aca="false">IF(AND(N(P_LC_Lim)&gt;0,126&gt;=MAX(1,N(P_LC_Desde)),126&lt;=IF(N(P_LC_Hasta)=0,Fin,N(P_LC_Hasta))),1,0)</f>
        <v>0</v>
      </c>
      <c r="EB139" s="34" t="n">
        <f aca="false">IF(AND(N(P_LC_Lim)&gt;0,127&gt;=MAX(1,N(P_LC_Desde)),127&lt;=IF(N(P_LC_Hasta)=0,Fin,N(P_LC_Hasta))),1,0)</f>
        <v>0</v>
      </c>
      <c r="EC139" s="34" t="n">
        <f aca="false">IF(AND(N(P_LC_Lim)&gt;0,128&gt;=MAX(1,N(P_LC_Desde)),128&lt;=IF(N(P_LC_Hasta)=0,Fin,N(P_LC_Hasta))),1,0)</f>
        <v>0</v>
      </c>
      <c r="ED139" s="34" t="n">
        <f aca="false">IF(AND(N(P_LC_Lim)&gt;0,129&gt;=MAX(1,N(P_LC_Desde)),129&lt;=IF(N(P_LC_Hasta)=0,Fin,N(P_LC_Hasta))),1,0)</f>
        <v>0</v>
      </c>
      <c r="EE139" s="34" t="n">
        <f aca="false">IF(AND(N(P_LC_Lim)&gt;0,130&gt;=MAX(1,N(P_LC_Desde)),130&lt;=IF(N(P_LC_Hasta)=0,Fin,N(P_LC_Hasta))),1,0)</f>
        <v>0</v>
      </c>
      <c r="EF139" s="34" t="n">
        <f aca="false">IF(AND(N(P_LC_Lim)&gt;0,131&gt;=MAX(1,N(P_LC_Desde)),131&lt;=IF(N(P_LC_Hasta)=0,Fin,N(P_LC_Hasta))),1,0)</f>
        <v>0</v>
      </c>
      <c r="EG139" s="34" t="n">
        <f aca="false">IF(AND(N(P_LC_Lim)&gt;0,132&gt;=MAX(1,N(P_LC_Desde)),132&lt;=IF(N(P_LC_Hasta)=0,Fin,N(P_LC_Hasta))),1,0)</f>
        <v>0</v>
      </c>
      <c r="EH139" s="34" t="n">
        <f aca="false">IF(AND(N(P_LC_Lim)&gt;0,133&gt;=MAX(1,N(P_LC_Desde)),133&lt;=IF(N(P_LC_Hasta)=0,Fin,N(P_LC_Hasta))),1,0)</f>
        <v>0</v>
      </c>
      <c r="EI139" s="34" t="n">
        <f aca="false">IF(AND(N(P_LC_Lim)&gt;0,134&gt;=MAX(1,N(P_LC_Desde)),134&lt;=IF(N(P_LC_Hasta)=0,Fin,N(P_LC_Hasta))),1,0)</f>
        <v>0</v>
      </c>
      <c r="EJ139" s="34" t="n">
        <f aca="false">IF(AND(N(P_LC_Lim)&gt;0,135&gt;=MAX(1,N(P_LC_Desde)),135&lt;=IF(N(P_LC_Hasta)=0,Fin,N(P_LC_Hasta))),1,0)</f>
        <v>0</v>
      </c>
      <c r="EK139" s="34" t="n">
        <f aca="false">IF(AND(N(P_LC_Lim)&gt;0,136&gt;=MAX(1,N(P_LC_Desde)),136&lt;=IF(N(P_LC_Hasta)=0,Fin,N(P_LC_Hasta))),1,0)</f>
        <v>0</v>
      </c>
      <c r="EL139" s="34" t="n">
        <f aca="false">IF(AND(N(P_LC_Lim)&gt;0,137&gt;=MAX(1,N(P_LC_Desde)),137&lt;=IF(N(P_LC_Hasta)=0,Fin,N(P_LC_Hasta))),1,0)</f>
        <v>0</v>
      </c>
      <c r="EM139" s="34" t="n">
        <f aca="false">IF(AND(N(P_LC_Lim)&gt;0,138&gt;=MAX(1,N(P_LC_Desde)),138&lt;=IF(N(P_LC_Hasta)=0,Fin,N(P_LC_Hasta))),1,0)</f>
        <v>0</v>
      </c>
      <c r="EN139" s="34" t="n">
        <f aca="false">IF(AND(N(P_LC_Lim)&gt;0,139&gt;=MAX(1,N(P_LC_Desde)),139&lt;=IF(N(P_LC_Hasta)=0,Fin,N(P_LC_Hasta))),1,0)</f>
        <v>0</v>
      </c>
      <c r="EO139" s="34" t="n">
        <f aca="false">IF(AND(N(P_LC_Lim)&gt;0,140&gt;=MAX(1,N(P_LC_Desde)),140&lt;=IF(N(P_LC_Hasta)=0,Fin,N(P_LC_Hasta))),1,0)</f>
        <v>0</v>
      </c>
      <c r="EP139" s="34" t="n">
        <f aca="false">IF(AND(N(P_LC_Lim)&gt;0,141&gt;=MAX(1,N(P_LC_Desde)),141&lt;=IF(N(P_LC_Hasta)=0,Fin,N(P_LC_Hasta))),1,0)</f>
        <v>0</v>
      </c>
      <c r="EQ139" s="34" t="n">
        <f aca="false">IF(AND(N(P_LC_Lim)&gt;0,142&gt;=MAX(1,N(P_LC_Desde)),142&lt;=IF(N(P_LC_Hasta)=0,Fin,N(P_LC_Hasta))),1,0)</f>
        <v>0</v>
      </c>
      <c r="ER139" s="34" t="n">
        <f aca="false">IF(AND(N(P_LC_Lim)&gt;0,143&gt;=MAX(1,N(P_LC_Desde)),143&lt;=IF(N(P_LC_Hasta)=0,Fin,N(P_LC_Hasta))),1,0)</f>
        <v>0</v>
      </c>
      <c r="ES139" s="34" t="n">
        <f aca="false">IF(AND(N(P_LC_Lim)&gt;0,144&gt;=MAX(1,N(P_LC_Desde)),144&lt;=IF(N(P_LC_Hasta)=0,Fin,N(P_LC_Hasta))),1,0)</f>
        <v>0</v>
      </c>
    </row>
    <row r="140" customFormat="false" ht="15" hidden="false" customHeight="false" outlineLevel="0" collapsed="false">
      <c r="A140" s="11" t="s">
        <v>1243</v>
      </c>
      <c r="B140" s="15" t="s">
        <v>1244</v>
      </c>
      <c r="C140" s="15" t="s">
        <v>508</v>
      </c>
      <c r="E140" s="54" t="n">
        <f aca="false">SUM(F140:ES140)</f>
        <v>0</v>
      </c>
      <c r="F140" s="48" t="n">
        <f aca="false">0*N(P_LC_Tasa)/12*F$9</f>
        <v>0</v>
      </c>
      <c r="G140" s="48" t="n">
        <f aca="false">F$145*N(P_LC_Tasa)/12*G$9</f>
        <v>0</v>
      </c>
      <c r="H140" s="48" t="n">
        <f aca="false">G$145*N(P_LC_Tasa)/12*H$9</f>
        <v>0</v>
      </c>
      <c r="I140" s="48" t="n">
        <f aca="false">H$145*N(P_LC_Tasa)/12*I$9</f>
        <v>0</v>
      </c>
      <c r="J140" s="48" t="n">
        <f aca="false">I$145*N(P_LC_Tasa)/12*J$9</f>
        <v>0</v>
      </c>
      <c r="K140" s="48" t="n">
        <f aca="false">J$145*N(P_LC_Tasa)/12*K$9</f>
        <v>0</v>
      </c>
      <c r="L140" s="48" t="n">
        <f aca="false">K$145*N(P_LC_Tasa)/12*L$9</f>
        <v>0</v>
      </c>
      <c r="M140" s="48" t="n">
        <f aca="false">L$145*N(P_LC_Tasa)/12*M$9</f>
        <v>0</v>
      </c>
      <c r="N140" s="48" t="n">
        <f aca="false">M$145*N(P_LC_Tasa)/12*N$9</f>
        <v>0</v>
      </c>
      <c r="O140" s="48" t="n">
        <f aca="false">N$145*N(P_LC_Tasa)/12*O$9</f>
        <v>0</v>
      </c>
      <c r="P140" s="48" t="n">
        <f aca="false">O$145*N(P_LC_Tasa)/12*P$9</f>
        <v>0</v>
      </c>
      <c r="Q140" s="48" t="n">
        <f aca="false">P$145*N(P_LC_Tasa)/12*Q$9</f>
        <v>0</v>
      </c>
      <c r="R140" s="48" t="n">
        <f aca="false">Q$145*N(P_LC_Tasa)/12*R$9</f>
        <v>0</v>
      </c>
      <c r="S140" s="48" t="n">
        <f aca="false">R$145*N(P_LC_Tasa)/12*S$9</f>
        <v>0</v>
      </c>
      <c r="T140" s="48" t="n">
        <f aca="false">S$145*N(P_LC_Tasa)/12*T$9</f>
        <v>0</v>
      </c>
      <c r="U140" s="48" t="n">
        <f aca="false">T$145*N(P_LC_Tasa)/12*U$9</f>
        <v>0</v>
      </c>
      <c r="V140" s="48" t="n">
        <f aca="false">U$145*N(P_LC_Tasa)/12*V$9</f>
        <v>0</v>
      </c>
      <c r="W140" s="48" t="n">
        <f aca="false">V$145*N(P_LC_Tasa)/12*W$9</f>
        <v>0</v>
      </c>
      <c r="X140" s="48" t="n">
        <f aca="false">W$145*N(P_LC_Tasa)/12*X$9</f>
        <v>0</v>
      </c>
      <c r="Y140" s="48" t="n">
        <f aca="false">X$145*N(P_LC_Tasa)/12*Y$9</f>
        <v>0</v>
      </c>
      <c r="Z140" s="48" t="n">
        <f aca="false">Y$145*N(P_LC_Tasa)/12*Z$9</f>
        <v>0</v>
      </c>
      <c r="AA140" s="48" t="n">
        <f aca="false">Z$145*N(P_LC_Tasa)/12*AA$9</f>
        <v>0</v>
      </c>
      <c r="AB140" s="48" t="n">
        <f aca="false">AA$145*N(P_LC_Tasa)/12*AB$9</f>
        <v>0</v>
      </c>
      <c r="AC140" s="48" t="n">
        <f aca="false">AB$145*N(P_LC_Tasa)/12*AC$9</f>
        <v>0</v>
      </c>
      <c r="AD140" s="48" t="n">
        <f aca="false">AC$145*N(P_LC_Tasa)/12*AD$9</f>
        <v>0</v>
      </c>
      <c r="AE140" s="48" t="n">
        <f aca="false">AD$145*N(P_LC_Tasa)/12*AE$9</f>
        <v>0</v>
      </c>
      <c r="AF140" s="48" t="n">
        <f aca="false">AE$145*N(P_LC_Tasa)/12*AF$9</f>
        <v>0</v>
      </c>
      <c r="AG140" s="48" t="n">
        <f aca="false">AF$145*N(P_LC_Tasa)/12*AG$9</f>
        <v>0</v>
      </c>
      <c r="AH140" s="48" t="n">
        <f aca="false">AG$145*N(P_LC_Tasa)/12*AH$9</f>
        <v>0</v>
      </c>
      <c r="AI140" s="48" t="n">
        <f aca="false">AH$145*N(P_LC_Tasa)/12*AI$9</f>
        <v>0</v>
      </c>
      <c r="AJ140" s="48" t="n">
        <f aca="false">AI$145*N(P_LC_Tasa)/12*AJ$9</f>
        <v>0</v>
      </c>
      <c r="AK140" s="48" t="n">
        <f aca="false">AJ$145*N(P_LC_Tasa)/12*AK$9</f>
        <v>0</v>
      </c>
      <c r="AL140" s="48" t="n">
        <f aca="false">AK$145*N(P_LC_Tasa)/12*AL$9</f>
        <v>0</v>
      </c>
      <c r="AM140" s="48" t="n">
        <f aca="false">AL$145*N(P_LC_Tasa)/12*AM$9</f>
        <v>0</v>
      </c>
      <c r="AN140" s="48" t="n">
        <f aca="false">AM$145*N(P_LC_Tasa)/12*AN$9</f>
        <v>0</v>
      </c>
      <c r="AO140" s="48" t="n">
        <f aca="false">AN$145*N(P_LC_Tasa)/12*AO$9</f>
        <v>0</v>
      </c>
      <c r="AP140" s="48" t="n">
        <f aca="false">AO$145*N(P_LC_Tasa)/12*AP$9</f>
        <v>0</v>
      </c>
      <c r="AQ140" s="48" t="n">
        <f aca="false">AP$145*N(P_LC_Tasa)/12*AQ$9</f>
        <v>0</v>
      </c>
      <c r="AR140" s="48" t="n">
        <f aca="false">AQ$145*N(P_LC_Tasa)/12*AR$9</f>
        <v>0</v>
      </c>
      <c r="AS140" s="48" t="n">
        <f aca="false">AR$145*N(P_LC_Tasa)/12*AS$9</f>
        <v>0</v>
      </c>
      <c r="AT140" s="48" t="n">
        <f aca="false">AS$145*N(P_LC_Tasa)/12*AT$9</f>
        <v>0</v>
      </c>
      <c r="AU140" s="48" t="n">
        <f aca="false">AT$145*N(P_LC_Tasa)/12*AU$9</f>
        <v>0</v>
      </c>
      <c r="AV140" s="48" t="n">
        <f aca="false">AU$145*N(P_LC_Tasa)/12*AV$9</f>
        <v>0</v>
      </c>
      <c r="AW140" s="48" t="n">
        <f aca="false">AV$145*N(P_LC_Tasa)/12*AW$9</f>
        <v>0</v>
      </c>
      <c r="AX140" s="48" t="n">
        <f aca="false">AW$145*N(P_LC_Tasa)/12*AX$9</f>
        <v>0</v>
      </c>
      <c r="AY140" s="48" t="n">
        <f aca="false">AX$145*N(P_LC_Tasa)/12*AY$9</f>
        <v>0</v>
      </c>
      <c r="AZ140" s="48" t="n">
        <f aca="false">AY$145*N(P_LC_Tasa)/12*AZ$9</f>
        <v>0</v>
      </c>
      <c r="BA140" s="48" t="n">
        <f aca="false">AZ$145*N(P_LC_Tasa)/12*BA$9</f>
        <v>0</v>
      </c>
      <c r="BB140" s="48" t="n">
        <f aca="false">BA$145*N(P_LC_Tasa)/12*BB$9</f>
        <v>0</v>
      </c>
      <c r="BC140" s="48" t="n">
        <f aca="false">BB$145*N(P_LC_Tasa)/12*BC$9</f>
        <v>0</v>
      </c>
      <c r="BD140" s="48" t="n">
        <f aca="false">BC$145*N(P_LC_Tasa)/12*BD$9</f>
        <v>0</v>
      </c>
      <c r="BE140" s="48" t="n">
        <f aca="false">BD$145*N(P_LC_Tasa)/12*BE$9</f>
        <v>0</v>
      </c>
      <c r="BF140" s="48" t="n">
        <f aca="false">BE$145*N(P_LC_Tasa)/12*BF$9</f>
        <v>0</v>
      </c>
      <c r="BG140" s="48" t="n">
        <f aca="false">BF$145*N(P_LC_Tasa)/12*BG$9</f>
        <v>0</v>
      </c>
      <c r="BH140" s="48" t="n">
        <f aca="false">BG$145*N(P_LC_Tasa)/12*BH$9</f>
        <v>0</v>
      </c>
      <c r="BI140" s="48" t="n">
        <f aca="false">BH$145*N(P_LC_Tasa)/12*BI$9</f>
        <v>0</v>
      </c>
      <c r="BJ140" s="48" t="n">
        <f aca="false">BI$145*N(P_LC_Tasa)/12*BJ$9</f>
        <v>0</v>
      </c>
      <c r="BK140" s="48" t="n">
        <f aca="false">BJ$145*N(P_LC_Tasa)/12*BK$9</f>
        <v>0</v>
      </c>
      <c r="BL140" s="48" t="n">
        <f aca="false">BK$145*N(P_LC_Tasa)/12*BL$9</f>
        <v>0</v>
      </c>
      <c r="BM140" s="48" t="n">
        <f aca="false">BL$145*N(P_LC_Tasa)/12*BM$9</f>
        <v>0</v>
      </c>
      <c r="BN140" s="48" t="n">
        <f aca="false">BM$145*N(P_LC_Tasa)/12*BN$9</f>
        <v>0</v>
      </c>
      <c r="BO140" s="48" t="n">
        <f aca="false">BN$145*N(P_LC_Tasa)/12*BO$9</f>
        <v>0</v>
      </c>
      <c r="BP140" s="48" t="n">
        <f aca="false">BO$145*N(P_LC_Tasa)/12*BP$9</f>
        <v>0</v>
      </c>
      <c r="BQ140" s="48" t="n">
        <f aca="false">BP$145*N(P_LC_Tasa)/12*BQ$9</f>
        <v>0</v>
      </c>
      <c r="BR140" s="48" t="n">
        <f aca="false">BQ$145*N(P_LC_Tasa)/12*BR$9</f>
        <v>0</v>
      </c>
      <c r="BS140" s="48" t="n">
        <f aca="false">BR$145*N(P_LC_Tasa)/12*BS$9</f>
        <v>0</v>
      </c>
      <c r="BT140" s="48" t="n">
        <f aca="false">BS$145*N(P_LC_Tasa)/12*BT$9</f>
        <v>0</v>
      </c>
      <c r="BU140" s="48" t="n">
        <f aca="false">BT$145*N(P_LC_Tasa)/12*BU$9</f>
        <v>0</v>
      </c>
      <c r="BV140" s="48" t="n">
        <f aca="false">BU$145*N(P_LC_Tasa)/12*BV$9</f>
        <v>0</v>
      </c>
      <c r="BW140" s="48" t="n">
        <f aca="false">BV$145*N(P_LC_Tasa)/12*BW$9</f>
        <v>0</v>
      </c>
      <c r="BX140" s="48" t="n">
        <f aca="false">BW$145*N(P_LC_Tasa)/12*BX$9</f>
        <v>0</v>
      </c>
      <c r="BY140" s="48" t="n">
        <f aca="false">BX$145*N(P_LC_Tasa)/12*BY$9</f>
        <v>0</v>
      </c>
      <c r="BZ140" s="48" t="n">
        <f aca="false">BY$145*N(P_LC_Tasa)/12*BZ$9</f>
        <v>0</v>
      </c>
      <c r="CA140" s="48" t="n">
        <f aca="false">BZ$145*N(P_LC_Tasa)/12*CA$9</f>
        <v>0</v>
      </c>
      <c r="CB140" s="48" t="n">
        <f aca="false">CA$145*N(P_LC_Tasa)/12*CB$9</f>
        <v>0</v>
      </c>
      <c r="CC140" s="48" t="n">
        <f aca="false">CB$145*N(P_LC_Tasa)/12*CC$9</f>
        <v>0</v>
      </c>
      <c r="CD140" s="48" t="n">
        <f aca="false">CC$145*N(P_LC_Tasa)/12*CD$9</f>
        <v>0</v>
      </c>
      <c r="CE140" s="48" t="n">
        <f aca="false">CD$145*N(P_LC_Tasa)/12*CE$9</f>
        <v>0</v>
      </c>
      <c r="CF140" s="48" t="n">
        <f aca="false">CE$145*N(P_LC_Tasa)/12*CF$9</f>
        <v>0</v>
      </c>
      <c r="CG140" s="48" t="n">
        <f aca="false">CF$145*N(P_LC_Tasa)/12*CG$9</f>
        <v>0</v>
      </c>
      <c r="CH140" s="48" t="n">
        <f aca="false">CG$145*N(P_LC_Tasa)/12*CH$9</f>
        <v>0</v>
      </c>
      <c r="CI140" s="48" t="n">
        <f aca="false">CH$145*N(P_LC_Tasa)/12*CI$9</f>
        <v>0</v>
      </c>
      <c r="CJ140" s="48" t="n">
        <f aca="false">CI$145*N(P_LC_Tasa)/12*CJ$9</f>
        <v>0</v>
      </c>
      <c r="CK140" s="48" t="n">
        <f aca="false">CJ$145*N(P_LC_Tasa)/12*CK$9</f>
        <v>0</v>
      </c>
      <c r="CL140" s="48" t="n">
        <f aca="false">CK$145*N(P_LC_Tasa)/12*CL$9</f>
        <v>0</v>
      </c>
      <c r="CM140" s="48" t="n">
        <f aca="false">CL$145*N(P_LC_Tasa)/12*CM$9</f>
        <v>0</v>
      </c>
      <c r="CN140" s="48" t="n">
        <f aca="false">CM$145*N(P_LC_Tasa)/12*CN$9</f>
        <v>0</v>
      </c>
      <c r="CO140" s="48" t="n">
        <f aca="false">CN$145*N(P_LC_Tasa)/12*CO$9</f>
        <v>0</v>
      </c>
      <c r="CP140" s="48" t="n">
        <f aca="false">CO$145*N(P_LC_Tasa)/12*CP$9</f>
        <v>0</v>
      </c>
      <c r="CQ140" s="48" t="n">
        <f aca="false">CP$145*N(P_LC_Tasa)/12*CQ$9</f>
        <v>0</v>
      </c>
      <c r="CR140" s="48" t="n">
        <f aca="false">CQ$145*N(P_LC_Tasa)/12*CR$9</f>
        <v>0</v>
      </c>
      <c r="CS140" s="48" t="n">
        <f aca="false">CR$145*N(P_LC_Tasa)/12*CS$9</f>
        <v>0</v>
      </c>
      <c r="CT140" s="48" t="n">
        <f aca="false">CS$145*N(P_LC_Tasa)/12*CT$9</f>
        <v>0</v>
      </c>
      <c r="CU140" s="48" t="n">
        <f aca="false">CT$145*N(P_LC_Tasa)/12*CU$9</f>
        <v>0</v>
      </c>
      <c r="CV140" s="48" t="n">
        <f aca="false">CU$145*N(P_LC_Tasa)/12*CV$9</f>
        <v>0</v>
      </c>
      <c r="CW140" s="48" t="n">
        <f aca="false">CV$145*N(P_LC_Tasa)/12*CW$9</f>
        <v>0</v>
      </c>
      <c r="CX140" s="48" t="n">
        <f aca="false">CW$145*N(P_LC_Tasa)/12*CX$9</f>
        <v>0</v>
      </c>
      <c r="CY140" s="48" t="n">
        <f aca="false">CX$145*N(P_LC_Tasa)/12*CY$9</f>
        <v>0</v>
      </c>
      <c r="CZ140" s="48" t="n">
        <f aca="false">CY$145*N(P_LC_Tasa)/12*CZ$9</f>
        <v>0</v>
      </c>
      <c r="DA140" s="48" t="n">
        <f aca="false">CZ$145*N(P_LC_Tasa)/12*DA$9</f>
        <v>0</v>
      </c>
      <c r="DB140" s="48" t="n">
        <f aca="false">DA$145*N(P_LC_Tasa)/12*DB$9</f>
        <v>0</v>
      </c>
      <c r="DC140" s="48" t="n">
        <f aca="false">DB$145*N(P_LC_Tasa)/12*DC$9</f>
        <v>0</v>
      </c>
      <c r="DD140" s="48" t="n">
        <f aca="false">DC$145*N(P_LC_Tasa)/12*DD$9</f>
        <v>0</v>
      </c>
      <c r="DE140" s="48" t="n">
        <f aca="false">DD$145*N(P_LC_Tasa)/12*DE$9</f>
        <v>0</v>
      </c>
      <c r="DF140" s="48" t="n">
        <f aca="false">DE$145*N(P_LC_Tasa)/12*DF$9</f>
        <v>0</v>
      </c>
      <c r="DG140" s="48" t="n">
        <f aca="false">DF$145*N(P_LC_Tasa)/12*DG$9</f>
        <v>0</v>
      </c>
      <c r="DH140" s="48" t="n">
        <f aca="false">DG$145*N(P_LC_Tasa)/12*DH$9</f>
        <v>0</v>
      </c>
      <c r="DI140" s="48" t="n">
        <f aca="false">DH$145*N(P_LC_Tasa)/12*DI$9</f>
        <v>0</v>
      </c>
      <c r="DJ140" s="48" t="n">
        <f aca="false">DI$145*N(P_LC_Tasa)/12*DJ$9</f>
        <v>0</v>
      </c>
      <c r="DK140" s="48" t="n">
        <f aca="false">DJ$145*N(P_LC_Tasa)/12*DK$9</f>
        <v>0</v>
      </c>
      <c r="DL140" s="48" t="n">
        <f aca="false">DK$145*N(P_LC_Tasa)/12*DL$9</f>
        <v>0</v>
      </c>
      <c r="DM140" s="48" t="n">
        <f aca="false">DL$145*N(P_LC_Tasa)/12*DM$9</f>
        <v>0</v>
      </c>
      <c r="DN140" s="48" t="n">
        <f aca="false">DM$145*N(P_LC_Tasa)/12*DN$9</f>
        <v>0</v>
      </c>
      <c r="DO140" s="48" t="n">
        <f aca="false">DN$145*N(P_LC_Tasa)/12*DO$9</f>
        <v>0</v>
      </c>
      <c r="DP140" s="48" t="n">
        <f aca="false">DO$145*N(P_LC_Tasa)/12*DP$9</f>
        <v>0</v>
      </c>
      <c r="DQ140" s="48" t="n">
        <f aca="false">DP$145*N(P_LC_Tasa)/12*DQ$9</f>
        <v>0</v>
      </c>
      <c r="DR140" s="48" t="n">
        <f aca="false">DQ$145*N(P_LC_Tasa)/12*DR$9</f>
        <v>0</v>
      </c>
      <c r="DS140" s="48" t="n">
        <f aca="false">DR$145*N(P_LC_Tasa)/12*DS$9</f>
        <v>0</v>
      </c>
      <c r="DT140" s="48" t="n">
        <f aca="false">DS$145*N(P_LC_Tasa)/12*DT$9</f>
        <v>0</v>
      </c>
      <c r="DU140" s="48" t="n">
        <f aca="false">DT$145*N(P_LC_Tasa)/12*DU$9</f>
        <v>0</v>
      </c>
      <c r="DV140" s="48" t="n">
        <f aca="false">DU$145*N(P_LC_Tasa)/12*DV$9</f>
        <v>0</v>
      </c>
      <c r="DW140" s="48" t="n">
        <f aca="false">DV$145*N(P_LC_Tasa)/12*DW$9</f>
        <v>0</v>
      </c>
      <c r="DX140" s="48" t="n">
        <f aca="false">DW$145*N(P_LC_Tasa)/12*DX$9</f>
        <v>0</v>
      </c>
      <c r="DY140" s="48" t="n">
        <f aca="false">DX$145*N(P_LC_Tasa)/12*DY$9</f>
        <v>0</v>
      </c>
      <c r="DZ140" s="48" t="n">
        <f aca="false">DY$145*N(P_LC_Tasa)/12*DZ$9</f>
        <v>0</v>
      </c>
      <c r="EA140" s="48" t="n">
        <f aca="false">DZ$145*N(P_LC_Tasa)/12*EA$9</f>
        <v>0</v>
      </c>
      <c r="EB140" s="48" t="n">
        <f aca="false">EA$145*N(P_LC_Tasa)/12*EB$9</f>
        <v>0</v>
      </c>
      <c r="EC140" s="48" t="n">
        <f aca="false">EB$145*N(P_LC_Tasa)/12*EC$9</f>
        <v>0</v>
      </c>
      <c r="ED140" s="48" t="n">
        <f aca="false">EC$145*N(P_LC_Tasa)/12*ED$9</f>
        <v>0</v>
      </c>
      <c r="EE140" s="48" t="n">
        <f aca="false">ED$145*N(P_LC_Tasa)/12*EE$9</f>
        <v>0</v>
      </c>
      <c r="EF140" s="48" t="n">
        <f aca="false">EE$145*N(P_LC_Tasa)/12*EF$9</f>
        <v>0</v>
      </c>
      <c r="EG140" s="48" t="n">
        <f aca="false">EF$145*N(P_LC_Tasa)/12*EG$9</f>
        <v>0</v>
      </c>
      <c r="EH140" s="48" t="n">
        <f aca="false">EG$145*N(P_LC_Tasa)/12*EH$9</f>
        <v>0</v>
      </c>
      <c r="EI140" s="48" t="n">
        <f aca="false">EH$145*N(P_LC_Tasa)/12*EI$9</f>
        <v>0</v>
      </c>
      <c r="EJ140" s="48" t="n">
        <f aca="false">EI$145*N(P_LC_Tasa)/12*EJ$9</f>
        <v>0</v>
      </c>
      <c r="EK140" s="48" t="n">
        <f aca="false">EJ$145*N(P_LC_Tasa)/12*EK$9</f>
        <v>0</v>
      </c>
      <c r="EL140" s="48" t="n">
        <f aca="false">EK$145*N(P_LC_Tasa)/12*EL$9</f>
        <v>0</v>
      </c>
      <c r="EM140" s="48" t="n">
        <f aca="false">EL$145*N(P_LC_Tasa)/12*EM$9</f>
        <v>0</v>
      </c>
      <c r="EN140" s="48" t="n">
        <f aca="false">EM$145*N(P_LC_Tasa)/12*EN$9</f>
        <v>0</v>
      </c>
      <c r="EO140" s="48" t="n">
        <f aca="false">EN$145*N(P_LC_Tasa)/12*EO$9</f>
        <v>0</v>
      </c>
      <c r="EP140" s="48" t="n">
        <f aca="false">EO$145*N(P_LC_Tasa)/12*EP$9</f>
        <v>0</v>
      </c>
      <c r="EQ140" s="48" t="n">
        <f aca="false">EP$145*N(P_LC_Tasa)/12*EQ$9</f>
        <v>0</v>
      </c>
      <c r="ER140" s="48" t="n">
        <f aca="false">EQ$145*N(P_LC_Tasa)/12*ER$9</f>
        <v>0</v>
      </c>
      <c r="ES140" s="48" t="n">
        <f aca="false">ER$145*N(P_LC_Tasa)/12*ES$9</f>
        <v>0</v>
      </c>
    </row>
    <row r="141" customFormat="false" ht="15" hidden="false" customHeight="false" outlineLevel="0" collapsed="false">
      <c r="A141" s="11" t="s">
        <v>1245</v>
      </c>
      <c r="B141" s="15" t="s">
        <v>1246</v>
      </c>
      <c r="C141" s="15" t="s">
        <v>508</v>
      </c>
      <c r="E141" s="54" t="n">
        <f aca="false">MIN(F141:ES141)</f>
        <v>-311740.118672618</v>
      </c>
      <c r="F141" s="48" t="n">
        <f aca="false">0+F$116-F$117+F$136-F$137-F$105*F$9+F$138</f>
        <v>535727.93036656</v>
      </c>
      <c r="G141" s="48" t="n">
        <f aca="false">F$154+G$116-G$117+G$136-G$137-G$105*G$9+G$138</f>
        <v>555194.83809215</v>
      </c>
      <c r="H141" s="48" t="n">
        <f aca="false">G$154+H$116-H$117+H$136-H$137-H$105*H$9+H$138</f>
        <v>574661.745817739</v>
      </c>
      <c r="I141" s="48" t="n">
        <f aca="false">H$154+I$116-I$117+I$136-I$137-I$105*I$9+I$138</f>
        <v>594128.653543329</v>
      </c>
      <c r="J141" s="48" t="n">
        <f aca="false">I$154+J$116-J$117+J$136-J$137-J$105*J$9+J$138</f>
        <v>613595.561268919</v>
      </c>
      <c r="K141" s="48" t="n">
        <f aca="false">J$154+K$116-K$117+K$136-K$137-K$105*K$9+K$138</f>
        <v>633062.468994509</v>
      </c>
      <c r="L141" s="48" t="n">
        <f aca="false">K$154+L$116-L$117+L$136-L$137-L$105*L$9+L$138</f>
        <v>610406.072625411</v>
      </c>
      <c r="M141" s="48" t="n">
        <f aca="false">L$154+M$116-M$117+M$136-M$137-M$105*M$9+M$138</f>
        <v>587781.268734384</v>
      </c>
      <c r="N141" s="48" t="n">
        <f aca="false">M$154+N$116-N$117+N$136-N$137-N$105*N$9+N$138</f>
        <v>565188.294265013</v>
      </c>
      <c r="O141" s="48" t="n">
        <f aca="false">N$154+O$116-O$117+O$136-O$137-O$105*O$9+O$138</f>
        <v>542627.387937962</v>
      </c>
      <c r="P141" s="48" t="n">
        <f aca="false">O$154+P$116-P$117+P$136-P$137-P$105*P$9+P$138</f>
        <v>520098.790264297</v>
      </c>
      <c r="Q141" s="48" t="n">
        <f aca="false">P$154+Q$116-Q$117+Q$136-Q$137-Q$105*Q$9+Q$138</f>
        <v>497602.743558918</v>
      </c>
      <c r="R141" s="48" t="n">
        <f aca="false">Q$154+R$116-R$117+R$136-R$137-R$105*R$9+R$138</f>
        <v>129920.95007682</v>
      </c>
      <c r="S141" s="48" t="n">
        <f aca="false">R$154+S$116-S$117+S$136-S$137-S$105*S$9+S$138</f>
        <v>145489.642054168</v>
      </c>
      <c r="T141" s="48" t="n">
        <f aca="false">S$154+T$116-T$117+T$136-T$137-T$105*T$9+T$138</f>
        <v>161091.622903299</v>
      </c>
      <c r="U141" s="48" t="n">
        <f aca="false">T$154+U$116-U$117+U$136-U$137-U$105*U$9+U$138</f>
        <v>176727.142290749</v>
      </c>
      <c r="V141" s="48" t="n">
        <f aca="false">U$154+V$116-V$117+V$136-V$137-V$105*V$9+V$138</f>
        <v>192396.451755556</v>
      </c>
      <c r="W141" s="48" t="n">
        <f aca="false">V$154+W$116-W$117+W$136-W$137-W$105*W$9+W$138</f>
        <v>208099.804723301</v>
      </c>
      <c r="X141" s="48" t="n">
        <f aca="false">W$154+X$116-X$117+X$136-X$137-X$105*X$9+X$138</f>
        <v>223837.456520255</v>
      </c>
      <c r="Y141" s="48" t="n">
        <f aca="false">X$154+Y$116-Y$117+Y$136-Y$137-Y$105*Y$9+Y$138</f>
        <v>239609.664387639</v>
      </c>
      <c r="Z141" s="48" t="n">
        <f aca="false">Y$154+Z$116-Z$117+Z$136-Z$137-Z$105*Z$9+Z$138</f>
        <v>255416.687495978</v>
      </c>
      <c r="AA141" s="48" t="n">
        <f aca="false">Z$154+AA$116-AA$117+AA$136-AA$137-AA$105*AA$9+AA$138</f>
        <v>271258.786959582</v>
      </c>
      <c r="AB141" s="48" t="n">
        <f aca="false">AA$154+AB$116-AB$117+AB$136-AB$137-AB$105*AB$9+AB$138</f>
        <v>287136.225851114</v>
      </c>
      <c r="AC141" s="48" t="n">
        <f aca="false">AB$154+AC$116-AC$117+AC$136-AC$137-AC$105*AC$9+AC$138</f>
        <v>303049.269216285</v>
      </c>
      <c r="AD141" s="48" t="n">
        <f aca="false">AC$154+AD$116-AD$117+AD$136-AD$137-AD$105*AD$9+AD$138</f>
        <v>-311740.118672618</v>
      </c>
      <c r="AE141" s="48" t="n">
        <f aca="false">AD$154+AE$116-AE$117+AE$136-AE$137-AE$105*AE$9+AE$138</f>
        <v>-259166.435385603</v>
      </c>
      <c r="AF141" s="48" t="n">
        <f aca="false">AE$154+AF$116-AF$117+AF$136-AF$137-AF$105*AF$9+AF$138</f>
        <v>-206556.340501018</v>
      </c>
      <c r="AG141" s="48" t="n">
        <f aca="false">AF$154+AG$116-AG$117+AG$136-AG$137-AG$105*AG$9+AG$138</f>
        <v>-153909.560931882</v>
      </c>
      <c r="AH141" s="48" t="n">
        <f aca="false">AG$154+AH$116-AH$117+AH$136-AH$137-AH$105*AH$9+AH$138</f>
        <v>-101225.821543058</v>
      </c>
      <c r="AI141" s="48" t="n">
        <f aca="false">AH$154+AI$116-AI$117+AI$136-AI$137-AI$105*AI$9+AI$138</f>
        <v>-48504.8451359012</v>
      </c>
      <c r="AJ141" s="48" t="n">
        <f aca="false">AI$154+AJ$116-AJ$117+AJ$136-AJ$137-AJ$105*AJ$9+AJ$138</f>
        <v>4253.64756722731</v>
      </c>
      <c r="AK141" s="48" t="n">
        <f aca="false">AJ$154+AK$116-AK$117+AK$136-AK$137-AK$105*AK$9+AK$138</f>
        <v>57049.9379385471</v>
      </c>
      <c r="AL141" s="48" t="n">
        <f aca="false">AK$154+AL$116-AL$117+AL$136-AL$137-AL$105*AL$9+AL$138</f>
        <v>109884.309460569</v>
      </c>
      <c r="AM141" s="48" t="n">
        <f aca="false">AL$154+AM$116-AM$117+AM$136-AM$137-AM$105*AM$9+AM$138</f>
        <v>162757.047741925</v>
      </c>
      <c r="AN141" s="48" t="n">
        <f aca="false">AM$154+AN$116-AN$117+AN$136-AN$137-AN$105*AN$9+AN$138</f>
        <v>215668.440533308</v>
      </c>
      <c r="AO141" s="48" t="n">
        <f aca="false">AN$154+AO$116-AO$117+AO$136-AO$137-AO$105*AO$9+AO$138</f>
        <v>268618.777743544</v>
      </c>
      <c r="AP141" s="48" t="n">
        <f aca="false">AO$154+AP$116-AP$117+AP$136-AP$137-AP$105*AP$9+AP$138</f>
        <v>-204392.169462804</v>
      </c>
      <c r="AQ141" s="48" t="n">
        <f aca="false">AP$154+AQ$116-AQ$117+AQ$136-AQ$137-AQ$105*AQ$9+AQ$138</f>
        <v>-118554.51596008</v>
      </c>
      <c r="AR141" s="48" t="n">
        <f aca="false">AQ$154+AR$116-AR$117+AR$136-AR$137-AR$105*AR$9+AR$138</f>
        <v>-32677.0352007788</v>
      </c>
      <c r="AS141" s="48" t="n">
        <f aca="false">AR$154+AS$116-AS$117+AS$136-AS$137-AS$105*AS$9+AS$138</f>
        <v>53240.5715195248</v>
      </c>
      <c r="AT141" s="48" t="n">
        <f aca="false">AS$154+AT$116-AT$117+AT$136-AT$137-AT$105*AT$9+AT$138</f>
        <v>139198.605145538</v>
      </c>
      <c r="AU141" s="48" t="n">
        <f aca="false">AT$154+AU$116-AU$117+AU$136-AU$137-AU$105*AU$9+AU$138</f>
        <v>225197.368879053</v>
      </c>
      <c r="AV141" s="48" t="n">
        <f aca="false">AU$154+AV$116-AV$117+AV$136-AV$137-AV$105*AV$9+AV$138</f>
        <v>311237.168195877</v>
      </c>
      <c r="AW141" s="48" t="n">
        <f aca="false">AV$154+AW$116-AW$117+AW$136-AW$137-AW$105*AW$9+AW$138</f>
        <v>397318.310862885</v>
      </c>
      <c r="AX141" s="48" t="n">
        <f aca="false">AW$154+AX$116-AX$117+AX$136-AX$137-AX$105*AX$9+AX$138</f>
        <v>483441.106955202</v>
      </c>
      <c r="AY141" s="48" t="n">
        <f aca="false">AX$154+AY$116-AY$117+AY$136-AY$137-AY$105*AY$9+AY$138</f>
        <v>569605.868873519</v>
      </c>
      <c r="AZ141" s="48" t="n">
        <f aca="false">AY$154+AZ$116-AZ$117+AZ$136-AZ$137-AZ$105*AZ$9+AZ$138</f>
        <v>655812.91136153</v>
      </c>
      <c r="BA141" s="48" t="n">
        <f aca="false">AZ$154+BA$116-BA$117+BA$136-BA$137-BA$105*BA$9+BA$138</f>
        <v>742062.551523509</v>
      </c>
      <c r="BB141" s="48" t="n">
        <f aca="false">BA$154+BB$116-BB$117+BB$136-BB$137-BB$105*BB$9+BB$138</f>
        <v>791565.146132666</v>
      </c>
      <c r="BC141" s="48" t="n">
        <f aca="false">BB$154+BC$116-BC$117+BC$136-BC$137-BC$105*BC$9+BC$138</f>
        <v>879220.527482878</v>
      </c>
      <c r="BD141" s="48" t="n">
        <f aca="false">BC$154+BD$116-BD$117+BD$136-BD$137-BD$105*BD$9+BD$138</f>
        <v>966919.47216105</v>
      </c>
      <c r="BE141" s="48" t="n">
        <f aca="false">BD$154+BE$116-BE$117+BE$136-BE$137-BE$105*BE$9+BE$138</f>
        <v>1054662.30689214</v>
      </c>
      <c r="BF141" s="48" t="n">
        <f aca="false">BE$154+BF$116-BF$117+BF$136-BF$137-BF$105*BF$9+BF$138</f>
        <v>337495.982470628</v>
      </c>
      <c r="BG141" s="48" t="n">
        <f aca="false">BF$154+BG$116-BG$117+BG$136-BG$137-BG$105*BG$9+BG$138</f>
        <v>425327.587302565</v>
      </c>
      <c r="BH141" s="48" t="n">
        <f aca="false">BG$154+BH$116-BH$117+BH$136-BH$137-BH$105*BH$9+BH$138</f>
        <v>513204.077138576</v>
      </c>
      <c r="BI141" s="48" t="n">
        <f aca="false">BH$154+BI$116-BI$117+BI$136-BI$137-BI$105*BI$9+BI$138</f>
        <v>601125.788616189</v>
      </c>
      <c r="BJ141" s="48" t="n">
        <f aca="false">BI$154+BJ$116-BJ$117+BJ$136-BJ$137-BJ$105*BJ$9+BJ$138</f>
        <v>689093.060897719</v>
      </c>
      <c r="BK141" s="48" t="n">
        <f aca="false">BJ$154+BK$116-BK$117+BK$136-BK$137-BK$105*BK$9+BK$138</f>
        <v>777106.235689193</v>
      </c>
      <c r="BL141" s="48" t="n">
        <f aca="false">BK$154+BL$116-BL$117+BL$136-BL$137-BL$105*BL$9+BL$138</f>
        <v>865165.657259436</v>
      </c>
      <c r="BM141" s="48" t="n">
        <f aca="false">BL$154+BM$116-BM$117+BM$136-BM$137-BM$105*BM$9+BM$138</f>
        <v>953271.672459288</v>
      </c>
      <c r="BN141" s="48" t="n">
        <f aca="false">BM$154+BN$116-BN$117+BN$136-BN$137-BN$105*BN$9+BN$138</f>
        <v>1070847.25778852</v>
      </c>
      <c r="BO141" s="48" t="n">
        <f aca="false">BN$154+BO$116-BO$117+BO$136-BO$137-BO$105*BO$9+BO$138</f>
        <v>1226147.69958634</v>
      </c>
      <c r="BP141" s="48" t="n">
        <f aca="false">BO$154+BP$116-BP$117+BP$136-BP$137-BP$105*BP$9+BP$138</f>
        <v>1381448.14138417</v>
      </c>
      <c r="BQ141" s="48" t="n">
        <f aca="false">BP$154+BQ$116-BQ$117+BQ$136-BQ$137-BQ$105*BQ$9+BQ$138</f>
        <v>1536748.583182</v>
      </c>
      <c r="BR141" s="48" t="n">
        <f aca="false">BQ$154+BR$116-BR$117+BR$136-BR$137-BR$105*BR$9+BR$138</f>
        <v>228122.480611604</v>
      </c>
      <c r="BS141" s="48" t="n">
        <f aca="false">BR$154+BS$116-BS$117+BS$136-BS$137-BS$105*BS$9+BS$138</f>
        <v>383422.92240943</v>
      </c>
      <c r="BT141" s="48" t="n">
        <f aca="false">BS$154+BT$116-BT$117+BT$136-BT$137-BT$105*BT$9+BT$138</f>
        <v>538723.364207257</v>
      </c>
      <c r="BU141" s="48" t="n">
        <f aca="false">BT$154+BU$116-BU$117+BU$136-BU$137-BU$105*BU$9+BU$138</f>
        <v>694023.806005083</v>
      </c>
      <c r="BV141" s="48" t="n">
        <f aca="false">BU$154+BV$116-BV$117+BV$136-BV$137-BV$105*BV$9+BV$138</f>
        <v>849324.247802909</v>
      </c>
      <c r="BW141" s="48" t="n">
        <f aca="false">BV$154+BW$116-BW$117+BW$136-BW$137-BW$105*BW$9+BW$138</f>
        <v>1004624.68960073</v>
      </c>
      <c r="BX141" s="48" t="n">
        <f aca="false">BW$154+BX$116-BX$117+BX$136-BX$137-BX$105*BX$9+BX$138</f>
        <v>1159925.13139856</v>
      </c>
      <c r="BY141" s="48" t="n">
        <f aca="false">BX$154+BY$116-BY$117+BY$136-BY$137-BY$105*BY$9+BY$138</f>
        <v>1315225.57319639</v>
      </c>
      <c r="BZ141" s="48" t="n">
        <f aca="false">BY$154+BZ$116-BZ$117+BZ$136-BZ$137-BZ$105*BZ$9+BZ$138</f>
        <v>1436551.70246101</v>
      </c>
      <c r="CA141" s="48" t="n">
        <f aca="false">BZ$154+CA$116-CA$117+CA$136-CA$137-CA$105*CA$9+CA$138</f>
        <v>1595967.72495041</v>
      </c>
      <c r="CB141" s="48" t="n">
        <f aca="false">CA$154+CB$116-CB$117+CB$136-CB$137-CB$105*CB$9+CB$138</f>
        <v>1755383.74743981</v>
      </c>
      <c r="CC141" s="48" t="n">
        <f aca="false">CB$154+CC$116-CC$117+CC$136-CC$137-CC$105*CC$9+CC$138</f>
        <v>1914799.76992921</v>
      </c>
      <c r="CD141" s="48" t="n">
        <f aca="false">CC$154+CD$116-CD$117+CD$136-CD$137-CD$105*CD$9+CD$138</f>
        <v>280027.099844691</v>
      </c>
      <c r="CE141" s="48" t="n">
        <f aca="false">CD$154+CE$116-CE$117+CE$136-CE$137-CE$105*CE$9+CE$138</f>
        <v>439443.122334091</v>
      </c>
      <c r="CF141" s="48" t="n">
        <f aca="false">CE$154+CF$116-CF$117+CF$136-CF$137-CF$105*CF$9+CF$138</f>
        <v>598859.144823491</v>
      </c>
      <c r="CG141" s="48" t="n">
        <f aca="false">CF$154+CG$116-CG$117+CG$136-CG$137-CG$105*CG$9+CG$138</f>
        <v>758275.167312891</v>
      </c>
      <c r="CH141" s="48" t="n">
        <f aca="false">CG$154+CH$116-CH$117+CH$136-CH$137-CH$105*CH$9+CH$138</f>
        <v>917691.18980229</v>
      </c>
      <c r="CI141" s="48" t="n">
        <f aca="false">CH$154+CI$116-CI$117+CI$136-CI$137-CI$105*CI$9+CI$138</f>
        <v>1077107.21229169</v>
      </c>
      <c r="CJ141" s="48" t="n">
        <f aca="false">CI$154+CJ$116-CJ$117+CJ$136-CJ$137-CJ$105*CJ$9+CJ$138</f>
        <v>1236523.23478109</v>
      </c>
      <c r="CK141" s="48" t="n">
        <f aca="false">CJ$154+CK$116-CK$117+CK$136-CK$137-CK$105*CK$9+CK$138</f>
        <v>1395939.25727049</v>
      </c>
      <c r="CL141" s="48" t="n">
        <f aca="false">CK$154+CL$116-CL$117+CL$136-CL$137-CL$105*CL$9+CL$138</f>
        <v>1521040.85812226</v>
      </c>
      <c r="CM141" s="48" t="n">
        <f aca="false">CL$154+CM$116-CM$117+CM$136-CM$137-CM$105*CM$9+CM$138</f>
        <v>1684600.67666855</v>
      </c>
      <c r="CN141" s="48" t="n">
        <f aca="false">CM$154+CN$116-CN$117+CN$136-CN$137-CN$105*CN$9+CN$138</f>
        <v>1848160.49521483</v>
      </c>
      <c r="CO141" s="48" t="n">
        <f aca="false">CN$154+CO$116-CO$117+CO$136-CO$137-CO$105*CO$9+CO$138</f>
        <v>2011720.31376112</v>
      </c>
      <c r="CP141" s="48" t="n">
        <f aca="false">CO$154+CP$116-CP$117+CP$136-CP$137-CP$105*CP$9+CP$138</f>
        <v>331704.47143461</v>
      </c>
      <c r="CQ141" s="48" t="n">
        <f aca="false">CP$154+CQ$116-CQ$117+CQ$136-CQ$137-CQ$105*CQ$9+CQ$138</f>
        <v>495264.289980898</v>
      </c>
      <c r="CR141" s="48" t="n">
        <f aca="false">CQ$154+CR$116-CR$117+CR$136-CR$137-CR$105*CR$9+CR$138</f>
        <v>658824.108527185</v>
      </c>
      <c r="CS141" s="48" t="n">
        <f aca="false">CR$154+CS$116-CS$117+CS$136-CS$137-CS$105*CS$9+CS$138</f>
        <v>822383.927073473</v>
      </c>
      <c r="CT141" s="48" t="n">
        <f aca="false">CS$154+CT$116-CT$117+CT$136-CT$137-CT$105*CT$9+CT$138</f>
        <v>985943.74561976</v>
      </c>
      <c r="CU141" s="48" t="n">
        <f aca="false">CT$154+CU$116-CU$117+CU$136-CU$137-CU$105*CU$9+CU$138</f>
        <v>1149503.56416605</v>
      </c>
      <c r="CV141" s="48" t="n">
        <f aca="false">CU$154+CV$116-CV$117+CV$136-CV$137-CV$105*CV$9+CV$138</f>
        <v>1313063.38271234</v>
      </c>
      <c r="CW141" s="48" t="n">
        <f aca="false">CV$154+CW$116-CW$117+CW$136-CW$137-CW$105*CW$9+CW$138</f>
        <v>1476623.20125862</v>
      </c>
      <c r="CX141" s="48" t="n">
        <f aca="false">CW$154+CX$116-CX$117+CX$136-CX$137-CX$105*CX$9+CX$138</f>
        <v>1605525.07895819</v>
      </c>
      <c r="CY141" s="48" t="n">
        <f aca="false">CX$154+CY$116-CY$117+CY$136-CY$137-CY$105*CY$9+CY$138</f>
        <v>1773256.8086071</v>
      </c>
      <c r="CZ141" s="48" t="n">
        <f aca="false">CY$154+CZ$116-CZ$117+CZ$136-CZ$137-CZ$105*CZ$9+CZ$138</f>
        <v>1940988.53825601</v>
      </c>
      <c r="DA141" s="48" t="n">
        <f aca="false">CZ$154+DA$116-DA$117+DA$136-DA$137-DA$105*DA$9+DA$138</f>
        <v>2108720.26790492</v>
      </c>
      <c r="DB141" s="48" t="n">
        <f aca="false">DA$154+DB$116-DB$117+DB$136-DB$137-DB$105*DB$9+DB$138</f>
        <v>383150.783998375</v>
      </c>
      <c r="DC141" s="48" t="n">
        <f aca="false">DB$154+DC$116-DC$117+DC$136-DC$137-DC$105*DC$9+DC$138</f>
        <v>550882.513647283</v>
      </c>
      <c r="DD141" s="48" t="n">
        <f aca="false">DC$154+DD$116-DD$117+DD$136-DD$137-DD$105*DD$9+DD$138</f>
        <v>718614.24329619</v>
      </c>
      <c r="DE141" s="48" t="n">
        <f aca="false">DD$154+DE$116-DE$117+DE$136-DE$137-DE$105*DE$9+DE$138</f>
        <v>886345.972945098</v>
      </c>
      <c r="DF141" s="48" t="n">
        <f aca="false">DE$154+DF$116-DF$117+DF$136-DF$137-DF$105*DF$9+DF$138</f>
        <v>1054077.70259401</v>
      </c>
      <c r="DG141" s="48" t="n">
        <f aca="false">DF$154+DG$116-DG$117+DG$136-DG$137-DG$105*DG$9+DG$138</f>
        <v>1221809.43224291</v>
      </c>
      <c r="DH141" s="48" t="n">
        <f aca="false">DG$154+DH$116-DH$117+DH$136-DH$137-DH$105*DH$9+DH$138</f>
        <v>1389541.16189182</v>
      </c>
      <c r="DI141" s="48" t="n">
        <f aca="false">DH$154+DI$116-DI$117+DI$136-DI$137-DI$105*DI$9+DI$138</f>
        <v>1557272.89154073</v>
      </c>
      <c r="DJ141" s="48" t="n">
        <f aca="false">DI$154+DJ$116-DJ$117+DJ$136-DJ$137-DJ$105*DJ$9+DJ$138</f>
        <v>1689999.71669704</v>
      </c>
      <c r="DK141" s="48" t="n">
        <f aca="false">DJ$154+DK$116-DK$117+DK$136-DK$137-DK$105*DK$9+DK$138</f>
        <v>1861931.35981212</v>
      </c>
      <c r="DL141" s="48" t="n">
        <f aca="false">DK$154+DL$116-DL$117+DL$136-DL$137-DL$105*DL$9+DL$138</f>
        <v>2033863.00292721</v>
      </c>
      <c r="DM141" s="48" t="n">
        <f aca="false">DL$154+DM$116-DM$117+DM$136-DM$137-DM$105*DM$9+DM$138</f>
        <v>2205794.64604229</v>
      </c>
      <c r="DN141" s="48" t="n">
        <f aca="false">DM$154+DN$116-DN$117+DN$136-DN$137-DN$105*DN$9+DN$138</f>
        <v>434362.142370491</v>
      </c>
      <c r="DO141" s="48" t="n">
        <f aca="false">DN$154+DO$116-DO$117+DO$136-DO$137-DO$105*DO$9+DO$138</f>
        <v>606293.785485577</v>
      </c>
      <c r="DP141" s="48" t="n">
        <f aca="false">DO$154+DP$116-DP$117+DP$136-DP$137-DP$105*DP$9+DP$138</f>
        <v>778225.428600663</v>
      </c>
      <c r="DQ141" s="48" t="n">
        <f aca="false">DP$154+DQ$116-DQ$117+DQ$136-DQ$137-DQ$105*DQ$9+DQ$138</f>
        <v>950157.071715749</v>
      </c>
      <c r="DR141" s="48" t="n">
        <f aca="false">DQ$154+DR$116-DR$117+DR$136-DR$137-DR$105*DR$9+DR$138</f>
        <v>1122088.71483084</v>
      </c>
      <c r="DS141" s="48" t="n">
        <f aca="false">DR$154+DS$116-DS$117+DS$136-DS$137-DS$105*DS$9+DS$138</f>
        <v>1294020.35794592</v>
      </c>
      <c r="DT141" s="48" t="n">
        <f aca="false">DS$154+DT$116-DT$117+DT$136-DT$137-DT$105*DT$9+DT$138</f>
        <v>1465952.00106101</v>
      </c>
      <c r="DU141" s="48" t="n">
        <f aca="false">DT$154+DU$116-DU$117+DU$136-DU$137-DU$105*DU$9+DU$138</f>
        <v>1637883.64417609</v>
      </c>
      <c r="DV141" s="48" t="n">
        <f aca="false">DU$154+DV$116-DV$117+DV$136-DV$137-DV$105*DV$9+DV$138</f>
        <v>1637883.64417609</v>
      </c>
      <c r="DW141" s="48" t="n">
        <f aca="false">DV$154+DW$116-DW$117+DW$136-DW$137-DW$105*DW$9+DW$138</f>
        <v>1637883.64417609</v>
      </c>
      <c r="DX141" s="48" t="n">
        <f aca="false">DW$154+DX$116-DX$117+DX$136-DX$137-DX$105*DX$9+DX$138</f>
        <v>1637883.64417609</v>
      </c>
      <c r="DY141" s="48" t="n">
        <f aca="false">DX$154+DY$116-DY$117+DY$136-DY$137-DY$105*DY$9+DY$138</f>
        <v>1637883.64417609</v>
      </c>
      <c r="DZ141" s="48" t="n">
        <f aca="false">DY$154+DZ$116-DZ$117+DZ$136-DZ$137-DZ$105*DZ$9+DZ$138</f>
        <v>1637883.64417609</v>
      </c>
      <c r="EA141" s="48" t="n">
        <f aca="false">DZ$154+EA$116-EA$117+EA$136-EA$137-EA$105*EA$9+EA$138</f>
        <v>1637883.64417609</v>
      </c>
      <c r="EB141" s="48" t="n">
        <f aca="false">EA$154+EB$116-EB$117+EB$136-EB$137-EB$105*EB$9+EB$138</f>
        <v>1637883.64417609</v>
      </c>
      <c r="EC141" s="48" t="n">
        <f aca="false">EB$154+EC$116-EC$117+EC$136-EC$137-EC$105*EC$9+EC$138</f>
        <v>1637883.64417609</v>
      </c>
      <c r="ED141" s="48" t="n">
        <f aca="false">EC$154+ED$116-ED$117+ED$136-ED$137-ED$105*ED$9+ED$138</f>
        <v>1637883.64417609</v>
      </c>
      <c r="EE141" s="48" t="n">
        <f aca="false">ED$154+EE$116-EE$117+EE$136-EE$137-EE$105*EE$9+EE$138</f>
        <v>1637883.64417609</v>
      </c>
      <c r="EF141" s="48" t="n">
        <f aca="false">EE$154+EF$116-EF$117+EF$136-EF$137-EF$105*EF$9+EF$138</f>
        <v>1637883.64417609</v>
      </c>
      <c r="EG141" s="48" t="n">
        <f aca="false">EF$154+EG$116-EG$117+EG$136-EG$137-EG$105*EG$9+EG$138</f>
        <v>1637883.64417609</v>
      </c>
      <c r="EH141" s="48" t="n">
        <f aca="false">EG$154+EH$116-EH$117+EH$136-EH$137-EH$105*EH$9+EH$138</f>
        <v>1637883.64417609</v>
      </c>
      <c r="EI141" s="48" t="n">
        <f aca="false">EH$154+EI$116-EI$117+EI$136-EI$137-EI$105*EI$9+EI$138</f>
        <v>1637883.64417609</v>
      </c>
      <c r="EJ141" s="48" t="n">
        <f aca="false">EI$154+EJ$116-EJ$117+EJ$136-EJ$137-EJ$105*EJ$9+EJ$138</f>
        <v>1637883.64417609</v>
      </c>
      <c r="EK141" s="48" t="n">
        <f aca="false">EJ$154+EK$116-EK$117+EK$136-EK$137-EK$105*EK$9+EK$138</f>
        <v>1637883.64417609</v>
      </c>
      <c r="EL141" s="48" t="n">
        <f aca="false">EK$154+EL$116-EL$117+EL$136-EL$137-EL$105*EL$9+EL$138</f>
        <v>1637883.64417609</v>
      </c>
      <c r="EM141" s="48" t="n">
        <f aca="false">EL$154+EM$116-EM$117+EM$136-EM$137-EM$105*EM$9+EM$138</f>
        <v>1637883.64417609</v>
      </c>
      <c r="EN141" s="48" t="n">
        <f aca="false">EM$154+EN$116-EN$117+EN$136-EN$137-EN$105*EN$9+EN$138</f>
        <v>1637883.64417609</v>
      </c>
      <c r="EO141" s="48" t="n">
        <f aca="false">EN$154+EO$116-EO$117+EO$136-EO$137-EO$105*EO$9+EO$138</f>
        <v>1637883.64417609</v>
      </c>
      <c r="EP141" s="48" t="n">
        <f aca="false">EO$154+EP$116-EP$117+EP$136-EP$137-EP$105*EP$9+EP$138</f>
        <v>1637883.64417609</v>
      </c>
      <c r="EQ141" s="48" t="n">
        <f aca="false">EP$154+EQ$116-EQ$117+EQ$136-EQ$137-EQ$105*EQ$9+EQ$138</f>
        <v>1637883.64417609</v>
      </c>
      <c r="ER141" s="48" t="n">
        <f aca="false">EQ$154+ER$116-ER$117+ER$136-ER$137-ER$105*ER$9+ER$138</f>
        <v>1637883.64417609</v>
      </c>
      <c r="ES141" s="48" t="n">
        <f aca="false">ER$154+ES$116-ES$117+ES$136-ES$137-ES$105*ES$9+ES$138</f>
        <v>1637883.64417609</v>
      </c>
    </row>
    <row r="142" customFormat="false" ht="15" hidden="false" customHeight="false" outlineLevel="0" collapsed="false">
      <c r="A142" s="11" t="s">
        <v>1247</v>
      </c>
      <c r="B142" s="15" t="s">
        <v>422</v>
      </c>
      <c r="C142" s="15" t="s">
        <v>508</v>
      </c>
      <c r="F142" s="48" t="n">
        <f aca="false">F$71*P_CajaMin/DiasMes*F$9</f>
        <v>39863.0136986301</v>
      </c>
      <c r="G142" s="48" t="n">
        <f aca="false">G$71*P_CajaMin/DiasMes*G$9</f>
        <v>39863.0136986301</v>
      </c>
      <c r="H142" s="48" t="n">
        <f aca="false">H$71*P_CajaMin/DiasMes*H$9</f>
        <v>39863.0136986301</v>
      </c>
      <c r="I142" s="48" t="n">
        <f aca="false">I$71*P_CajaMin/DiasMes*I$9</f>
        <v>39863.0136986301</v>
      </c>
      <c r="J142" s="48" t="n">
        <f aca="false">J$71*P_CajaMin/DiasMes*J$9</f>
        <v>39863.0136986301</v>
      </c>
      <c r="K142" s="48" t="n">
        <f aca="false">K$71*P_CajaMin/DiasMes*K$9</f>
        <v>39863.0136986301</v>
      </c>
      <c r="L142" s="48" t="n">
        <f aca="false">L$71*P_CajaMin/DiasMes*L$9</f>
        <v>39863.0136986301</v>
      </c>
      <c r="M142" s="48" t="n">
        <f aca="false">M$71*P_CajaMin/DiasMes*M$9</f>
        <v>39863.0136986301</v>
      </c>
      <c r="N142" s="48" t="n">
        <f aca="false">N$71*P_CajaMin/DiasMes*N$9</f>
        <v>39863.0136986301</v>
      </c>
      <c r="O142" s="48" t="n">
        <f aca="false">O$71*P_CajaMin/DiasMes*O$9</f>
        <v>39863.0136986301</v>
      </c>
      <c r="P142" s="48" t="n">
        <f aca="false">P$71*P_CajaMin/DiasMes*P$9</f>
        <v>39863.0136986301</v>
      </c>
      <c r="Q142" s="48" t="n">
        <f aca="false">Q$71*P_CajaMin/DiasMes*Q$9</f>
        <v>39863.0136986301</v>
      </c>
      <c r="R142" s="48" t="n">
        <f aca="false">R$71*P_CajaMin/DiasMes*R$9</f>
        <v>50804.3835616438</v>
      </c>
      <c r="S142" s="48" t="n">
        <f aca="false">S$71*P_CajaMin/DiasMes*S$9</f>
        <v>50804.3835616438</v>
      </c>
      <c r="T142" s="48" t="n">
        <f aca="false">T$71*P_CajaMin/DiasMes*T$9</f>
        <v>50804.3835616438</v>
      </c>
      <c r="U142" s="48" t="n">
        <f aca="false">U$71*P_CajaMin/DiasMes*U$9</f>
        <v>50804.3835616438</v>
      </c>
      <c r="V142" s="48" t="n">
        <f aca="false">V$71*P_CajaMin/DiasMes*V$9</f>
        <v>50804.3835616438</v>
      </c>
      <c r="W142" s="48" t="n">
        <f aca="false">W$71*P_CajaMin/DiasMes*W$9</f>
        <v>50804.3835616438</v>
      </c>
      <c r="X142" s="48" t="n">
        <f aca="false">X$71*P_CajaMin/DiasMes*X$9</f>
        <v>50804.3835616438</v>
      </c>
      <c r="Y142" s="48" t="n">
        <f aca="false">Y$71*P_CajaMin/DiasMes*Y$9</f>
        <v>50804.3835616438</v>
      </c>
      <c r="Z142" s="48" t="n">
        <f aca="false">Z$71*P_CajaMin/DiasMes*Z$9</f>
        <v>50804.3835616438</v>
      </c>
      <c r="AA142" s="48" t="n">
        <f aca="false">AA$71*P_CajaMin/DiasMes*AA$9</f>
        <v>50804.3835616438</v>
      </c>
      <c r="AB142" s="48" t="n">
        <f aca="false">AB$71*P_CajaMin/DiasMes*AB$9</f>
        <v>50804.3835616438</v>
      </c>
      <c r="AC142" s="48" t="n">
        <f aca="false">AC$71*P_CajaMin/DiasMes*AC$9</f>
        <v>50804.3835616438</v>
      </c>
      <c r="AD142" s="48" t="n">
        <f aca="false">AD$71*P_CajaMin/DiasMes*AD$9</f>
        <v>61960.5945205479</v>
      </c>
      <c r="AE142" s="48" t="n">
        <f aca="false">AE$71*P_CajaMin/DiasMes*AE$9</f>
        <v>61960.5945205479</v>
      </c>
      <c r="AF142" s="48" t="n">
        <f aca="false">AF$71*P_CajaMin/DiasMes*AF$9</f>
        <v>61960.5945205479</v>
      </c>
      <c r="AG142" s="48" t="n">
        <f aca="false">AG$71*P_CajaMin/DiasMes*AG$9</f>
        <v>61960.5945205479</v>
      </c>
      <c r="AH142" s="48" t="n">
        <f aca="false">AH$71*P_CajaMin/DiasMes*AH$9</f>
        <v>61960.5945205479</v>
      </c>
      <c r="AI142" s="48" t="n">
        <f aca="false">AI$71*P_CajaMin/DiasMes*AI$9</f>
        <v>61960.5945205479</v>
      </c>
      <c r="AJ142" s="48" t="n">
        <f aca="false">AJ$71*P_CajaMin/DiasMes*AJ$9</f>
        <v>61960.5945205479</v>
      </c>
      <c r="AK142" s="48" t="n">
        <f aca="false">AK$71*P_CajaMin/DiasMes*AK$9</f>
        <v>61960.5945205479</v>
      </c>
      <c r="AL142" s="48" t="n">
        <f aca="false">AL$71*P_CajaMin/DiasMes*AL$9</f>
        <v>61960.5945205479</v>
      </c>
      <c r="AM142" s="48" t="n">
        <f aca="false">AM$71*P_CajaMin/DiasMes*AM$9</f>
        <v>61960.5945205479</v>
      </c>
      <c r="AN142" s="48" t="n">
        <f aca="false">AN$71*P_CajaMin/DiasMes*AN$9</f>
        <v>61960.5945205479</v>
      </c>
      <c r="AO142" s="48" t="n">
        <f aca="false">AO$71*P_CajaMin/DiasMes*AO$9</f>
        <v>61960.5945205479</v>
      </c>
      <c r="AP142" s="48" t="n">
        <f aca="false">AP$71*P_CajaMin/DiasMes*AP$9</f>
        <v>71387.1569589041</v>
      </c>
      <c r="AQ142" s="48" t="n">
        <f aca="false">AQ$71*P_CajaMin/DiasMes*AQ$9</f>
        <v>71387.1569589041</v>
      </c>
      <c r="AR142" s="48" t="n">
        <f aca="false">AR$71*P_CajaMin/DiasMes*AR$9</f>
        <v>71387.1569589041</v>
      </c>
      <c r="AS142" s="48" t="n">
        <f aca="false">AS$71*P_CajaMin/DiasMes*AS$9</f>
        <v>71387.1569589041</v>
      </c>
      <c r="AT142" s="48" t="n">
        <f aca="false">AT$71*P_CajaMin/DiasMes*AT$9</f>
        <v>71387.1569589041</v>
      </c>
      <c r="AU142" s="48" t="n">
        <f aca="false">AU$71*P_CajaMin/DiasMes*AU$9</f>
        <v>71387.1569589041</v>
      </c>
      <c r="AV142" s="48" t="n">
        <f aca="false">AV$71*P_CajaMin/DiasMes*AV$9</f>
        <v>71387.1569589041</v>
      </c>
      <c r="AW142" s="48" t="n">
        <f aca="false">AW$71*P_CajaMin/DiasMes*AW$9</f>
        <v>71387.1569589041</v>
      </c>
      <c r="AX142" s="48" t="n">
        <f aca="false">AX$71*P_CajaMin/DiasMes*AX$9</f>
        <v>71387.1569589041</v>
      </c>
      <c r="AY142" s="48" t="n">
        <f aca="false">AY$71*P_CajaMin/DiasMes*AY$9</f>
        <v>71387.1569589041</v>
      </c>
      <c r="AZ142" s="48" t="n">
        <f aca="false">AZ$71*P_CajaMin/DiasMes*AZ$9</f>
        <v>71387.1569589041</v>
      </c>
      <c r="BA142" s="48" t="n">
        <f aca="false">BA$71*P_CajaMin/DiasMes*BA$9</f>
        <v>71387.1569589041</v>
      </c>
      <c r="BB142" s="48" t="n">
        <f aca="false">BB$71*P_CajaMin/DiasMes*BB$9</f>
        <v>72101.0285284932</v>
      </c>
      <c r="BC142" s="48" t="n">
        <f aca="false">BC$71*P_CajaMin/DiasMes*BC$9</f>
        <v>72101.0285284932</v>
      </c>
      <c r="BD142" s="48" t="n">
        <f aca="false">BD$71*P_CajaMin/DiasMes*BD$9</f>
        <v>72101.0285284932</v>
      </c>
      <c r="BE142" s="48" t="n">
        <f aca="false">BE$71*P_CajaMin/DiasMes*BE$9</f>
        <v>72101.0285284932</v>
      </c>
      <c r="BF142" s="48" t="n">
        <f aca="false">BF$71*P_CajaMin/DiasMes*BF$9</f>
        <v>72101.0285284932</v>
      </c>
      <c r="BG142" s="48" t="n">
        <f aca="false">BG$71*P_CajaMin/DiasMes*BG$9</f>
        <v>72101.0285284932</v>
      </c>
      <c r="BH142" s="48" t="n">
        <f aca="false">BH$71*P_CajaMin/DiasMes*BH$9</f>
        <v>72101.0285284932</v>
      </c>
      <c r="BI142" s="48" t="n">
        <f aca="false">BI$71*P_CajaMin/DiasMes*BI$9</f>
        <v>72101.0285284932</v>
      </c>
      <c r="BJ142" s="48" t="n">
        <f aca="false">BJ$71*P_CajaMin/DiasMes*BJ$9</f>
        <v>72101.0285284932</v>
      </c>
      <c r="BK142" s="48" t="n">
        <f aca="false">BK$71*P_CajaMin/DiasMes*BK$9</f>
        <v>72101.0285284932</v>
      </c>
      <c r="BL142" s="48" t="n">
        <f aca="false">BL$71*P_CajaMin/DiasMes*BL$9</f>
        <v>72101.0285284932</v>
      </c>
      <c r="BM142" s="48" t="n">
        <f aca="false">BM$71*P_CajaMin/DiasMes*BM$9</f>
        <v>72101.0285284932</v>
      </c>
      <c r="BN142" s="48" t="n">
        <f aca="false">BN$71*P_CajaMin/DiasMes*BN$9</f>
        <v>72822.0388137781</v>
      </c>
      <c r="BO142" s="48" t="n">
        <f aca="false">BO$71*P_CajaMin/DiasMes*BO$9</f>
        <v>72822.0388137781</v>
      </c>
      <c r="BP142" s="48" t="n">
        <f aca="false">BP$71*P_CajaMin/DiasMes*BP$9</f>
        <v>72822.0388137781</v>
      </c>
      <c r="BQ142" s="48" t="n">
        <f aca="false">BQ$71*P_CajaMin/DiasMes*BQ$9</f>
        <v>72822.0388137781</v>
      </c>
      <c r="BR142" s="48" t="n">
        <f aca="false">BR$71*P_CajaMin/DiasMes*BR$9</f>
        <v>72822.0388137781</v>
      </c>
      <c r="BS142" s="48" t="n">
        <f aca="false">BS$71*P_CajaMin/DiasMes*BS$9</f>
        <v>72822.0388137781</v>
      </c>
      <c r="BT142" s="48" t="n">
        <f aca="false">BT$71*P_CajaMin/DiasMes*BT$9</f>
        <v>72822.0388137781</v>
      </c>
      <c r="BU142" s="48" t="n">
        <f aca="false">BU$71*P_CajaMin/DiasMes*BU$9</f>
        <v>72822.0388137781</v>
      </c>
      <c r="BV142" s="48" t="n">
        <f aca="false">BV$71*P_CajaMin/DiasMes*BV$9</f>
        <v>72822.0388137781</v>
      </c>
      <c r="BW142" s="48" t="n">
        <f aca="false">BW$71*P_CajaMin/DiasMes*BW$9</f>
        <v>72822.0388137781</v>
      </c>
      <c r="BX142" s="48" t="n">
        <f aca="false">BX$71*P_CajaMin/DiasMes*BX$9</f>
        <v>72822.0388137781</v>
      </c>
      <c r="BY142" s="48" t="n">
        <f aca="false">BY$71*P_CajaMin/DiasMes*BY$9</f>
        <v>72822.0388137781</v>
      </c>
      <c r="BZ142" s="48" t="n">
        <f aca="false">BZ$71*P_CajaMin/DiasMes*BZ$9</f>
        <v>73550.2592019159</v>
      </c>
      <c r="CA142" s="48" t="n">
        <f aca="false">CA$71*P_CajaMin/DiasMes*CA$9</f>
        <v>73550.2592019159</v>
      </c>
      <c r="CB142" s="48" t="n">
        <f aca="false">CB$71*P_CajaMin/DiasMes*CB$9</f>
        <v>73550.2592019159</v>
      </c>
      <c r="CC142" s="48" t="n">
        <f aca="false">CC$71*P_CajaMin/DiasMes*CC$9</f>
        <v>73550.2592019159</v>
      </c>
      <c r="CD142" s="48" t="n">
        <f aca="false">CD$71*P_CajaMin/DiasMes*CD$9</f>
        <v>73550.2592019159</v>
      </c>
      <c r="CE142" s="48" t="n">
        <f aca="false">CE$71*P_CajaMin/DiasMes*CE$9</f>
        <v>73550.2592019159</v>
      </c>
      <c r="CF142" s="48" t="n">
        <f aca="false">CF$71*P_CajaMin/DiasMes*CF$9</f>
        <v>73550.2592019159</v>
      </c>
      <c r="CG142" s="48" t="n">
        <f aca="false">CG$71*P_CajaMin/DiasMes*CG$9</f>
        <v>73550.2592019159</v>
      </c>
      <c r="CH142" s="48" t="n">
        <f aca="false">CH$71*P_CajaMin/DiasMes*CH$9</f>
        <v>73550.2592019159</v>
      </c>
      <c r="CI142" s="48" t="n">
        <f aca="false">CI$71*P_CajaMin/DiasMes*CI$9</f>
        <v>73550.2592019159</v>
      </c>
      <c r="CJ142" s="48" t="n">
        <f aca="false">CJ$71*P_CajaMin/DiasMes*CJ$9</f>
        <v>73550.2592019159</v>
      </c>
      <c r="CK142" s="48" t="n">
        <f aca="false">CK$71*P_CajaMin/DiasMes*CK$9</f>
        <v>73550.2592019159</v>
      </c>
      <c r="CL142" s="48" t="n">
        <f aca="false">CL$71*P_CajaMin/DiasMes*CL$9</f>
        <v>74285.761793935</v>
      </c>
      <c r="CM142" s="48" t="n">
        <f aca="false">CM$71*P_CajaMin/DiasMes*CM$9</f>
        <v>74285.761793935</v>
      </c>
      <c r="CN142" s="48" t="n">
        <f aca="false">CN$71*P_CajaMin/DiasMes*CN$9</f>
        <v>74285.761793935</v>
      </c>
      <c r="CO142" s="48" t="n">
        <f aca="false">CO$71*P_CajaMin/DiasMes*CO$9</f>
        <v>74285.761793935</v>
      </c>
      <c r="CP142" s="48" t="n">
        <f aca="false">CP$71*P_CajaMin/DiasMes*CP$9</f>
        <v>74285.761793935</v>
      </c>
      <c r="CQ142" s="48" t="n">
        <f aca="false">CQ$71*P_CajaMin/DiasMes*CQ$9</f>
        <v>74285.761793935</v>
      </c>
      <c r="CR142" s="48" t="n">
        <f aca="false">CR$71*P_CajaMin/DiasMes*CR$9</f>
        <v>74285.761793935</v>
      </c>
      <c r="CS142" s="48" t="n">
        <f aca="false">CS$71*P_CajaMin/DiasMes*CS$9</f>
        <v>74285.761793935</v>
      </c>
      <c r="CT142" s="48" t="n">
        <f aca="false">CT$71*P_CajaMin/DiasMes*CT$9</f>
        <v>74285.761793935</v>
      </c>
      <c r="CU142" s="48" t="n">
        <f aca="false">CU$71*P_CajaMin/DiasMes*CU$9</f>
        <v>74285.761793935</v>
      </c>
      <c r="CV142" s="48" t="n">
        <f aca="false">CV$71*P_CajaMin/DiasMes*CV$9</f>
        <v>74285.761793935</v>
      </c>
      <c r="CW142" s="48" t="n">
        <f aca="false">CW$71*P_CajaMin/DiasMes*CW$9</f>
        <v>74285.761793935</v>
      </c>
      <c r="CX142" s="48" t="n">
        <f aca="false">CX$71*P_CajaMin/DiasMes*CX$9</f>
        <v>75028.6194118744</v>
      </c>
      <c r="CY142" s="48" t="n">
        <f aca="false">CY$71*P_CajaMin/DiasMes*CY$9</f>
        <v>75028.6194118744</v>
      </c>
      <c r="CZ142" s="48" t="n">
        <f aca="false">CZ$71*P_CajaMin/DiasMes*CZ$9</f>
        <v>75028.6194118744</v>
      </c>
      <c r="DA142" s="48" t="n">
        <f aca="false">DA$71*P_CajaMin/DiasMes*DA$9</f>
        <v>75028.6194118744</v>
      </c>
      <c r="DB142" s="48" t="n">
        <f aca="false">DB$71*P_CajaMin/DiasMes*DB$9</f>
        <v>75028.6194118744</v>
      </c>
      <c r="DC142" s="48" t="n">
        <f aca="false">DC$71*P_CajaMin/DiasMes*DC$9</f>
        <v>75028.6194118744</v>
      </c>
      <c r="DD142" s="48" t="n">
        <f aca="false">DD$71*P_CajaMin/DiasMes*DD$9</f>
        <v>75028.6194118744</v>
      </c>
      <c r="DE142" s="48" t="n">
        <f aca="false">DE$71*P_CajaMin/DiasMes*DE$9</f>
        <v>75028.6194118744</v>
      </c>
      <c r="DF142" s="48" t="n">
        <f aca="false">DF$71*P_CajaMin/DiasMes*DF$9</f>
        <v>75028.6194118744</v>
      </c>
      <c r="DG142" s="48" t="n">
        <f aca="false">DG$71*P_CajaMin/DiasMes*DG$9</f>
        <v>75028.6194118744</v>
      </c>
      <c r="DH142" s="48" t="n">
        <f aca="false">DH$71*P_CajaMin/DiasMes*DH$9</f>
        <v>75028.6194118744</v>
      </c>
      <c r="DI142" s="48" t="n">
        <f aca="false">DI$71*P_CajaMin/DiasMes*DI$9</f>
        <v>75028.6194118744</v>
      </c>
      <c r="DJ142" s="48" t="n">
        <f aca="false">DJ$71*P_CajaMin/DiasMes*DJ$9</f>
        <v>75778.9056059931</v>
      </c>
      <c r="DK142" s="48" t="n">
        <f aca="false">DK$71*P_CajaMin/DiasMes*DK$9</f>
        <v>75778.9056059931</v>
      </c>
      <c r="DL142" s="48" t="n">
        <f aca="false">DL$71*P_CajaMin/DiasMes*DL$9</f>
        <v>75778.9056059931</v>
      </c>
      <c r="DM142" s="48" t="n">
        <f aca="false">DM$71*P_CajaMin/DiasMes*DM$9</f>
        <v>75778.9056059931</v>
      </c>
      <c r="DN142" s="48" t="n">
        <f aca="false">DN$71*P_CajaMin/DiasMes*DN$9</f>
        <v>75778.9056059931</v>
      </c>
      <c r="DO142" s="48" t="n">
        <f aca="false">DO$71*P_CajaMin/DiasMes*DO$9</f>
        <v>75778.9056059931</v>
      </c>
      <c r="DP142" s="48" t="n">
        <f aca="false">DP$71*P_CajaMin/DiasMes*DP$9</f>
        <v>75778.9056059931</v>
      </c>
      <c r="DQ142" s="48" t="n">
        <f aca="false">DQ$71*P_CajaMin/DiasMes*DQ$9</f>
        <v>75778.9056059931</v>
      </c>
      <c r="DR142" s="48" t="n">
        <f aca="false">DR$71*P_CajaMin/DiasMes*DR$9</f>
        <v>75778.9056059931</v>
      </c>
      <c r="DS142" s="48" t="n">
        <f aca="false">DS$71*P_CajaMin/DiasMes*DS$9</f>
        <v>75778.9056059931</v>
      </c>
      <c r="DT142" s="48" t="n">
        <f aca="false">DT$71*P_CajaMin/DiasMes*DT$9</f>
        <v>75778.9056059931</v>
      </c>
      <c r="DU142" s="48" t="n">
        <f aca="false">DU$71*P_CajaMin/DiasMes*DU$9</f>
        <v>75778.9056059931</v>
      </c>
      <c r="DV142" s="48" t="n">
        <f aca="false">DV$71*P_CajaMin/DiasMes*DV$9</f>
        <v>0</v>
      </c>
      <c r="DW142" s="48" t="n">
        <f aca="false">DW$71*P_CajaMin/DiasMes*DW$9</f>
        <v>0</v>
      </c>
      <c r="DX142" s="48" t="n">
        <f aca="false">DX$71*P_CajaMin/DiasMes*DX$9</f>
        <v>0</v>
      </c>
      <c r="DY142" s="48" t="n">
        <f aca="false">DY$71*P_CajaMin/DiasMes*DY$9</f>
        <v>0</v>
      </c>
      <c r="DZ142" s="48" t="n">
        <f aca="false">DZ$71*P_CajaMin/DiasMes*DZ$9</f>
        <v>0</v>
      </c>
      <c r="EA142" s="48" t="n">
        <f aca="false">EA$71*P_CajaMin/DiasMes*EA$9</f>
        <v>0</v>
      </c>
      <c r="EB142" s="48" t="n">
        <f aca="false">EB$71*P_CajaMin/DiasMes*EB$9</f>
        <v>0</v>
      </c>
      <c r="EC142" s="48" t="n">
        <f aca="false">EC$71*P_CajaMin/DiasMes*EC$9</f>
        <v>0</v>
      </c>
      <c r="ED142" s="48" t="n">
        <f aca="false">ED$71*P_CajaMin/DiasMes*ED$9</f>
        <v>0</v>
      </c>
      <c r="EE142" s="48" t="n">
        <f aca="false">EE$71*P_CajaMin/DiasMes*EE$9</f>
        <v>0</v>
      </c>
      <c r="EF142" s="48" t="n">
        <f aca="false">EF$71*P_CajaMin/DiasMes*EF$9</f>
        <v>0</v>
      </c>
      <c r="EG142" s="48" t="n">
        <f aca="false">EG$71*P_CajaMin/DiasMes*EG$9</f>
        <v>0</v>
      </c>
      <c r="EH142" s="48" t="n">
        <f aca="false">EH$71*P_CajaMin/DiasMes*EH$9</f>
        <v>0</v>
      </c>
      <c r="EI142" s="48" t="n">
        <f aca="false">EI$71*P_CajaMin/DiasMes*EI$9</f>
        <v>0</v>
      </c>
      <c r="EJ142" s="48" t="n">
        <f aca="false">EJ$71*P_CajaMin/DiasMes*EJ$9</f>
        <v>0</v>
      </c>
      <c r="EK142" s="48" t="n">
        <f aca="false">EK$71*P_CajaMin/DiasMes*EK$9</f>
        <v>0</v>
      </c>
      <c r="EL142" s="48" t="n">
        <f aca="false">EL$71*P_CajaMin/DiasMes*EL$9</f>
        <v>0</v>
      </c>
      <c r="EM142" s="48" t="n">
        <f aca="false">EM$71*P_CajaMin/DiasMes*EM$9</f>
        <v>0</v>
      </c>
      <c r="EN142" s="48" t="n">
        <f aca="false">EN$71*P_CajaMin/DiasMes*EN$9</f>
        <v>0</v>
      </c>
      <c r="EO142" s="48" t="n">
        <f aca="false">EO$71*P_CajaMin/DiasMes*EO$9</f>
        <v>0</v>
      </c>
      <c r="EP142" s="48" t="n">
        <f aca="false">EP$71*P_CajaMin/DiasMes*EP$9</f>
        <v>0</v>
      </c>
      <c r="EQ142" s="48" t="n">
        <f aca="false">EQ$71*P_CajaMin/DiasMes*EQ$9</f>
        <v>0</v>
      </c>
      <c r="ER142" s="48" t="n">
        <f aca="false">ER$71*P_CajaMin/DiasMes*ER$9</f>
        <v>0</v>
      </c>
      <c r="ES142" s="48" t="n">
        <f aca="false">ES$71*P_CajaMin/DiasMes*ES$9</f>
        <v>0</v>
      </c>
    </row>
    <row r="143" customFormat="false" ht="15" hidden="false" customHeight="false" outlineLevel="0" collapsed="false">
      <c r="A143" s="11" t="s">
        <v>1248</v>
      </c>
      <c r="B143" s="15" t="s">
        <v>1249</v>
      </c>
      <c r="C143" s="15" t="s">
        <v>508</v>
      </c>
      <c r="E143" s="54" t="n">
        <f aca="false">SUM(F143:ES143)</f>
        <v>0</v>
      </c>
      <c r="F143" s="48" t="n">
        <f aca="false">IF(F$139=1,MIN(MAX(0,N(P_LC_Lim)-0),MAX(0,F$142-F$141)),0)*F$9</f>
        <v>0</v>
      </c>
      <c r="G143" s="48" t="n">
        <f aca="false">IF(G$139=1,MIN(MAX(0,N(P_LC_Lim)-F$145),MAX(0,G$142-G$141)),0)*G$9</f>
        <v>0</v>
      </c>
      <c r="H143" s="48" t="n">
        <f aca="false">IF(H$139=1,MIN(MAX(0,N(P_LC_Lim)-G$145),MAX(0,H$142-H$141)),0)*H$9</f>
        <v>0</v>
      </c>
      <c r="I143" s="48" t="n">
        <f aca="false">IF(I$139=1,MIN(MAX(0,N(P_LC_Lim)-H$145),MAX(0,I$142-I$141)),0)*I$9</f>
        <v>0</v>
      </c>
      <c r="J143" s="48" t="n">
        <f aca="false">IF(J$139=1,MIN(MAX(0,N(P_LC_Lim)-I$145),MAX(0,J$142-J$141)),0)*J$9</f>
        <v>0</v>
      </c>
      <c r="K143" s="48" t="n">
        <f aca="false">IF(K$139=1,MIN(MAX(0,N(P_LC_Lim)-J$145),MAX(0,K$142-K$141)),0)*K$9</f>
        <v>0</v>
      </c>
      <c r="L143" s="48" t="n">
        <f aca="false">IF(L$139=1,MIN(MAX(0,N(P_LC_Lim)-K$145),MAX(0,L$142-L$141)),0)*L$9</f>
        <v>0</v>
      </c>
      <c r="M143" s="48" t="n">
        <f aca="false">IF(M$139=1,MIN(MAX(0,N(P_LC_Lim)-L$145),MAX(0,M$142-M$141)),0)*M$9</f>
        <v>0</v>
      </c>
      <c r="N143" s="48" t="n">
        <f aca="false">IF(N$139=1,MIN(MAX(0,N(P_LC_Lim)-M$145),MAX(0,N$142-N$141)),0)*N$9</f>
        <v>0</v>
      </c>
      <c r="O143" s="48" t="n">
        <f aca="false">IF(O$139=1,MIN(MAX(0,N(P_LC_Lim)-N$145),MAX(0,O$142-O$141)),0)*O$9</f>
        <v>0</v>
      </c>
      <c r="P143" s="48" t="n">
        <f aca="false">IF(P$139=1,MIN(MAX(0,N(P_LC_Lim)-O$145),MAX(0,P$142-P$141)),0)*P$9</f>
        <v>0</v>
      </c>
      <c r="Q143" s="48" t="n">
        <f aca="false">IF(Q$139=1,MIN(MAX(0,N(P_LC_Lim)-P$145),MAX(0,Q$142-Q$141)),0)*Q$9</f>
        <v>0</v>
      </c>
      <c r="R143" s="48" t="n">
        <f aca="false">IF(R$139=1,MIN(MAX(0,N(P_LC_Lim)-Q$145),MAX(0,R$142-R$141)),0)*R$9</f>
        <v>0</v>
      </c>
      <c r="S143" s="48" t="n">
        <f aca="false">IF(S$139=1,MIN(MAX(0,N(P_LC_Lim)-R$145),MAX(0,S$142-S$141)),0)*S$9</f>
        <v>0</v>
      </c>
      <c r="T143" s="48" t="n">
        <f aca="false">IF(T$139=1,MIN(MAX(0,N(P_LC_Lim)-S$145),MAX(0,T$142-T$141)),0)*T$9</f>
        <v>0</v>
      </c>
      <c r="U143" s="48" t="n">
        <f aca="false">IF(U$139=1,MIN(MAX(0,N(P_LC_Lim)-T$145),MAX(0,U$142-U$141)),0)*U$9</f>
        <v>0</v>
      </c>
      <c r="V143" s="48" t="n">
        <f aca="false">IF(V$139=1,MIN(MAX(0,N(P_LC_Lim)-U$145),MAX(0,V$142-V$141)),0)*V$9</f>
        <v>0</v>
      </c>
      <c r="W143" s="48" t="n">
        <f aca="false">IF(W$139=1,MIN(MAX(0,N(P_LC_Lim)-V$145),MAX(0,W$142-W$141)),0)*W$9</f>
        <v>0</v>
      </c>
      <c r="X143" s="48" t="n">
        <f aca="false">IF(X$139=1,MIN(MAX(0,N(P_LC_Lim)-W$145),MAX(0,X$142-X$141)),0)*X$9</f>
        <v>0</v>
      </c>
      <c r="Y143" s="48" t="n">
        <f aca="false">IF(Y$139=1,MIN(MAX(0,N(P_LC_Lim)-X$145),MAX(0,Y$142-Y$141)),0)*Y$9</f>
        <v>0</v>
      </c>
      <c r="Z143" s="48" t="n">
        <f aca="false">IF(Z$139=1,MIN(MAX(0,N(P_LC_Lim)-Y$145),MAX(0,Z$142-Z$141)),0)*Z$9</f>
        <v>0</v>
      </c>
      <c r="AA143" s="48" t="n">
        <f aca="false">IF(AA$139=1,MIN(MAX(0,N(P_LC_Lim)-Z$145),MAX(0,AA$142-AA$141)),0)*AA$9</f>
        <v>0</v>
      </c>
      <c r="AB143" s="48" t="n">
        <f aca="false">IF(AB$139=1,MIN(MAX(0,N(P_LC_Lim)-AA$145),MAX(0,AB$142-AB$141)),0)*AB$9</f>
        <v>0</v>
      </c>
      <c r="AC143" s="48" t="n">
        <f aca="false">IF(AC$139=1,MIN(MAX(0,N(P_LC_Lim)-AB$145),MAX(0,AC$142-AC$141)),0)*AC$9</f>
        <v>0</v>
      </c>
      <c r="AD143" s="48" t="n">
        <f aca="false">IF(AD$139=1,MIN(MAX(0,N(P_LC_Lim)-AC$145),MAX(0,AD$142-AD$141)),0)*AD$9</f>
        <v>0</v>
      </c>
      <c r="AE143" s="48" t="n">
        <f aca="false">IF(AE$139=1,MIN(MAX(0,N(P_LC_Lim)-AD$145),MAX(0,AE$142-AE$141)),0)*AE$9</f>
        <v>0</v>
      </c>
      <c r="AF143" s="48" t="n">
        <f aca="false">IF(AF$139=1,MIN(MAX(0,N(P_LC_Lim)-AE$145),MAX(0,AF$142-AF$141)),0)*AF$9</f>
        <v>0</v>
      </c>
      <c r="AG143" s="48" t="n">
        <f aca="false">IF(AG$139=1,MIN(MAX(0,N(P_LC_Lim)-AF$145),MAX(0,AG$142-AG$141)),0)*AG$9</f>
        <v>0</v>
      </c>
      <c r="AH143" s="48" t="n">
        <f aca="false">IF(AH$139=1,MIN(MAX(0,N(P_LC_Lim)-AG$145),MAX(0,AH$142-AH$141)),0)*AH$9</f>
        <v>0</v>
      </c>
      <c r="AI143" s="48" t="n">
        <f aca="false">IF(AI$139=1,MIN(MAX(0,N(P_LC_Lim)-AH$145),MAX(0,AI$142-AI$141)),0)*AI$9</f>
        <v>0</v>
      </c>
      <c r="AJ143" s="48" t="n">
        <f aca="false">IF(AJ$139=1,MIN(MAX(0,N(P_LC_Lim)-AI$145),MAX(0,AJ$142-AJ$141)),0)*AJ$9</f>
        <v>0</v>
      </c>
      <c r="AK143" s="48" t="n">
        <f aca="false">IF(AK$139=1,MIN(MAX(0,N(P_LC_Lim)-AJ$145),MAX(0,AK$142-AK$141)),0)*AK$9</f>
        <v>0</v>
      </c>
      <c r="AL143" s="48" t="n">
        <f aca="false">IF(AL$139=1,MIN(MAX(0,N(P_LC_Lim)-AK$145),MAX(0,AL$142-AL$141)),0)*AL$9</f>
        <v>0</v>
      </c>
      <c r="AM143" s="48" t="n">
        <f aca="false">IF(AM$139=1,MIN(MAX(0,N(P_LC_Lim)-AL$145),MAX(0,AM$142-AM$141)),0)*AM$9</f>
        <v>0</v>
      </c>
      <c r="AN143" s="48" t="n">
        <f aca="false">IF(AN$139=1,MIN(MAX(0,N(P_LC_Lim)-AM$145),MAX(0,AN$142-AN$141)),0)*AN$9</f>
        <v>0</v>
      </c>
      <c r="AO143" s="48" t="n">
        <f aca="false">IF(AO$139=1,MIN(MAX(0,N(P_LC_Lim)-AN$145),MAX(0,AO$142-AO$141)),0)*AO$9</f>
        <v>0</v>
      </c>
      <c r="AP143" s="48" t="n">
        <f aca="false">IF(AP$139=1,MIN(MAX(0,N(P_LC_Lim)-AO$145),MAX(0,AP$142-AP$141)),0)*AP$9</f>
        <v>0</v>
      </c>
      <c r="AQ143" s="48" t="n">
        <f aca="false">IF(AQ$139=1,MIN(MAX(0,N(P_LC_Lim)-AP$145),MAX(0,AQ$142-AQ$141)),0)*AQ$9</f>
        <v>0</v>
      </c>
      <c r="AR143" s="48" t="n">
        <f aca="false">IF(AR$139=1,MIN(MAX(0,N(P_LC_Lim)-AQ$145),MAX(0,AR$142-AR$141)),0)*AR$9</f>
        <v>0</v>
      </c>
      <c r="AS143" s="48" t="n">
        <f aca="false">IF(AS$139=1,MIN(MAX(0,N(P_LC_Lim)-AR$145),MAX(0,AS$142-AS$141)),0)*AS$9</f>
        <v>0</v>
      </c>
      <c r="AT143" s="48" t="n">
        <f aca="false">IF(AT$139=1,MIN(MAX(0,N(P_LC_Lim)-AS$145),MAX(0,AT$142-AT$141)),0)*AT$9</f>
        <v>0</v>
      </c>
      <c r="AU143" s="48" t="n">
        <f aca="false">IF(AU$139=1,MIN(MAX(0,N(P_LC_Lim)-AT$145),MAX(0,AU$142-AU$141)),0)*AU$9</f>
        <v>0</v>
      </c>
      <c r="AV143" s="48" t="n">
        <f aca="false">IF(AV$139=1,MIN(MAX(0,N(P_LC_Lim)-AU$145),MAX(0,AV$142-AV$141)),0)*AV$9</f>
        <v>0</v>
      </c>
      <c r="AW143" s="48" t="n">
        <f aca="false">IF(AW$139=1,MIN(MAX(0,N(P_LC_Lim)-AV$145),MAX(0,AW$142-AW$141)),0)*AW$9</f>
        <v>0</v>
      </c>
      <c r="AX143" s="48" t="n">
        <f aca="false">IF(AX$139=1,MIN(MAX(0,N(P_LC_Lim)-AW$145),MAX(0,AX$142-AX$141)),0)*AX$9</f>
        <v>0</v>
      </c>
      <c r="AY143" s="48" t="n">
        <f aca="false">IF(AY$139=1,MIN(MAX(0,N(P_LC_Lim)-AX$145),MAX(0,AY$142-AY$141)),0)*AY$9</f>
        <v>0</v>
      </c>
      <c r="AZ143" s="48" t="n">
        <f aca="false">IF(AZ$139=1,MIN(MAX(0,N(P_LC_Lim)-AY$145),MAX(0,AZ$142-AZ$141)),0)*AZ$9</f>
        <v>0</v>
      </c>
      <c r="BA143" s="48" t="n">
        <f aca="false">IF(BA$139=1,MIN(MAX(0,N(P_LC_Lim)-AZ$145),MAX(0,BA$142-BA$141)),0)*BA$9</f>
        <v>0</v>
      </c>
      <c r="BB143" s="48" t="n">
        <f aca="false">IF(BB$139=1,MIN(MAX(0,N(P_LC_Lim)-BA$145),MAX(0,BB$142-BB$141)),0)*BB$9</f>
        <v>0</v>
      </c>
      <c r="BC143" s="48" t="n">
        <f aca="false">IF(BC$139=1,MIN(MAX(0,N(P_LC_Lim)-BB$145),MAX(0,BC$142-BC$141)),0)*BC$9</f>
        <v>0</v>
      </c>
      <c r="BD143" s="48" t="n">
        <f aca="false">IF(BD$139=1,MIN(MAX(0,N(P_LC_Lim)-BC$145),MAX(0,BD$142-BD$141)),0)*BD$9</f>
        <v>0</v>
      </c>
      <c r="BE143" s="48" t="n">
        <f aca="false">IF(BE$139=1,MIN(MAX(0,N(P_LC_Lim)-BD$145),MAX(0,BE$142-BE$141)),0)*BE$9</f>
        <v>0</v>
      </c>
      <c r="BF143" s="48" t="n">
        <f aca="false">IF(BF$139=1,MIN(MAX(0,N(P_LC_Lim)-BE$145),MAX(0,BF$142-BF$141)),0)*BF$9</f>
        <v>0</v>
      </c>
      <c r="BG143" s="48" t="n">
        <f aca="false">IF(BG$139=1,MIN(MAX(0,N(P_LC_Lim)-BF$145),MAX(0,BG$142-BG$141)),0)*BG$9</f>
        <v>0</v>
      </c>
      <c r="BH143" s="48" t="n">
        <f aca="false">IF(BH$139=1,MIN(MAX(0,N(P_LC_Lim)-BG$145),MAX(0,BH$142-BH$141)),0)*BH$9</f>
        <v>0</v>
      </c>
      <c r="BI143" s="48" t="n">
        <f aca="false">IF(BI$139=1,MIN(MAX(0,N(P_LC_Lim)-BH$145),MAX(0,BI$142-BI$141)),0)*BI$9</f>
        <v>0</v>
      </c>
      <c r="BJ143" s="48" t="n">
        <f aca="false">IF(BJ$139=1,MIN(MAX(0,N(P_LC_Lim)-BI$145),MAX(0,BJ$142-BJ$141)),0)*BJ$9</f>
        <v>0</v>
      </c>
      <c r="BK143" s="48" t="n">
        <f aca="false">IF(BK$139=1,MIN(MAX(0,N(P_LC_Lim)-BJ$145),MAX(0,BK$142-BK$141)),0)*BK$9</f>
        <v>0</v>
      </c>
      <c r="BL143" s="48" t="n">
        <f aca="false">IF(BL$139=1,MIN(MAX(0,N(P_LC_Lim)-BK$145),MAX(0,BL$142-BL$141)),0)*BL$9</f>
        <v>0</v>
      </c>
      <c r="BM143" s="48" t="n">
        <f aca="false">IF(BM$139=1,MIN(MAX(0,N(P_LC_Lim)-BL$145),MAX(0,BM$142-BM$141)),0)*BM$9</f>
        <v>0</v>
      </c>
      <c r="BN143" s="48" t="n">
        <f aca="false">IF(BN$139=1,MIN(MAX(0,N(P_LC_Lim)-BM$145),MAX(0,BN$142-BN$141)),0)*BN$9</f>
        <v>0</v>
      </c>
      <c r="BO143" s="48" t="n">
        <f aca="false">IF(BO$139=1,MIN(MAX(0,N(P_LC_Lim)-BN$145),MAX(0,BO$142-BO$141)),0)*BO$9</f>
        <v>0</v>
      </c>
      <c r="BP143" s="48" t="n">
        <f aca="false">IF(BP$139=1,MIN(MAX(0,N(P_LC_Lim)-BO$145),MAX(0,BP$142-BP$141)),0)*BP$9</f>
        <v>0</v>
      </c>
      <c r="BQ143" s="48" t="n">
        <f aca="false">IF(BQ$139=1,MIN(MAX(0,N(P_LC_Lim)-BP$145),MAX(0,BQ$142-BQ$141)),0)*BQ$9</f>
        <v>0</v>
      </c>
      <c r="BR143" s="48" t="n">
        <f aca="false">IF(BR$139=1,MIN(MAX(0,N(P_LC_Lim)-BQ$145),MAX(0,BR$142-BR$141)),0)*BR$9</f>
        <v>0</v>
      </c>
      <c r="BS143" s="48" t="n">
        <f aca="false">IF(BS$139=1,MIN(MAX(0,N(P_LC_Lim)-BR$145),MAX(0,BS$142-BS$141)),0)*BS$9</f>
        <v>0</v>
      </c>
      <c r="BT143" s="48" t="n">
        <f aca="false">IF(BT$139=1,MIN(MAX(0,N(P_LC_Lim)-BS$145),MAX(0,BT$142-BT$141)),0)*BT$9</f>
        <v>0</v>
      </c>
      <c r="BU143" s="48" t="n">
        <f aca="false">IF(BU$139=1,MIN(MAX(0,N(P_LC_Lim)-BT$145),MAX(0,BU$142-BU$141)),0)*BU$9</f>
        <v>0</v>
      </c>
      <c r="BV143" s="48" t="n">
        <f aca="false">IF(BV$139=1,MIN(MAX(0,N(P_LC_Lim)-BU$145),MAX(0,BV$142-BV$141)),0)*BV$9</f>
        <v>0</v>
      </c>
      <c r="BW143" s="48" t="n">
        <f aca="false">IF(BW$139=1,MIN(MAX(0,N(P_LC_Lim)-BV$145),MAX(0,BW$142-BW$141)),0)*BW$9</f>
        <v>0</v>
      </c>
      <c r="BX143" s="48" t="n">
        <f aca="false">IF(BX$139=1,MIN(MAX(0,N(P_LC_Lim)-BW$145),MAX(0,BX$142-BX$141)),0)*BX$9</f>
        <v>0</v>
      </c>
      <c r="BY143" s="48" t="n">
        <f aca="false">IF(BY$139=1,MIN(MAX(0,N(P_LC_Lim)-BX$145),MAX(0,BY$142-BY$141)),0)*BY$9</f>
        <v>0</v>
      </c>
      <c r="BZ143" s="48" t="n">
        <f aca="false">IF(BZ$139=1,MIN(MAX(0,N(P_LC_Lim)-BY$145),MAX(0,BZ$142-BZ$141)),0)*BZ$9</f>
        <v>0</v>
      </c>
      <c r="CA143" s="48" t="n">
        <f aca="false">IF(CA$139=1,MIN(MAX(0,N(P_LC_Lim)-BZ$145),MAX(0,CA$142-CA$141)),0)*CA$9</f>
        <v>0</v>
      </c>
      <c r="CB143" s="48" t="n">
        <f aca="false">IF(CB$139=1,MIN(MAX(0,N(P_LC_Lim)-CA$145),MAX(0,CB$142-CB$141)),0)*CB$9</f>
        <v>0</v>
      </c>
      <c r="CC143" s="48" t="n">
        <f aca="false">IF(CC$139=1,MIN(MAX(0,N(P_LC_Lim)-CB$145),MAX(0,CC$142-CC$141)),0)*CC$9</f>
        <v>0</v>
      </c>
      <c r="CD143" s="48" t="n">
        <f aca="false">IF(CD$139=1,MIN(MAX(0,N(P_LC_Lim)-CC$145),MAX(0,CD$142-CD$141)),0)*CD$9</f>
        <v>0</v>
      </c>
      <c r="CE143" s="48" t="n">
        <f aca="false">IF(CE$139=1,MIN(MAX(0,N(P_LC_Lim)-CD$145),MAX(0,CE$142-CE$141)),0)*CE$9</f>
        <v>0</v>
      </c>
      <c r="CF143" s="48" t="n">
        <f aca="false">IF(CF$139=1,MIN(MAX(0,N(P_LC_Lim)-CE$145),MAX(0,CF$142-CF$141)),0)*CF$9</f>
        <v>0</v>
      </c>
      <c r="CG143" s="48" t="n">
        <f aca="false">IF(CG$139=1,MIN(MAX(0,N(P_LC_Lim)-CF$145),MAX(0,CG$142-CG$141)),0)*CG$9</f>
        <v>0</v>
      </c>
      <c r="CH143" s="48" t="n">
        <f aca="false">IF(CH$139=1,MIN(MAX(0,N(P_LC_Lim)-CG$145),MAX(0,CH$142-CH$141)),0)*CH$9</f>
        <v>0</v>
      </c>
      <c r="CI143" s="48" t="n">
        <f aca="false">IF(CI$139=1,MIN(MAX(0,N(P_LC_Lim)-CH$145),MAX(0,CI$142-CI$141)),0)*CI$9</f>
        <v>0</v>
      </c>
      <c r="CJ143" s="48" t="n">
        <f aca="false">IF(CJ$139=1,MIN(MAX(0,N(P_LC_Lim)-CI$145),MAX(0,CJ$142-CJ$141)),0)*CJ$9</f>
        <v>0</v>
      </c>
      <c r="CK143" s="48" t="n">
        <f aca="false">IF(CK$139=1,MIN(MAX(0,N(P_LC_Lim)-CJ$145),MAX(0,CK$142-CK$141)),0)*CK$9</f>
        <v>0</v>
      </c>
      <c r="CL143" s="48" t="n">
        <f aca="false">IF(CL$139=1,MIN(MAX(0,N(P_LC_Lim)-CK$145),MAX(0,CL$142-CL$141)),0)*CL$9</f>
        <v>0</v>
      </c>
      <c r="CM143" s="48" t="n">
        <f aca="false">IF(CM$139=1,MIN(MAX(0,N(P_LC_Lim)-CL$145),MAX(0,CM$142-CM$141)),0)*CM$9</f>
        <v>0</v>
      </c>
      <c r="CN143" s="48" t="n">
        <f aca="false">IF(CN$139=1,MIN(MAX(0,N(P_LC_Lim)-CM$145),MAX(0,CN$142-CN$141)),0)*CN$9</f>
        <v>0</v>
      </c>
      <c r="CO143" s="48" t="n">
        <f aca="false">IF(CO$139=1,MIN(MAX(0,N(P_LC_Lim)-CN$145),MAX(0,CO$142-CO$141)),0)*CO$9</f>
        <v>0</v>
      </c>
      <c r="CP143" s="48" t="n">
        <f aca="false">IF(CP$139=1,MIN(MAX(0,N(P_LC_Lim)-CO$145),MAX(0,CP$142-CP$141)),0)*CP$9</f>
        <v>0</v>
      </c>
      <c r="CQ143" s="48" t="n">
        <f aca="false">IF(CQ$139=1,MIN(MAX(0,N(P_LC_Lim)-CP$145),MAX(0,CQ$142-CQ$141)),0)*CQ$9</f>
        <v>0</v>
      </c>
      <c r="CR143" s="48" t="n">
        <f aca="false">IF(CR$139=1,MIN(MAX(0,N(P_LC_Lim)-CQ$145),MAX(0,CR$142-CR$141)),0)*CR$9</f>
        <v>0</v>
      </c>
      <c r="CS143" s="48" t="n">
        <f aca="false">IF(CS$139=1,MIN(MAX(0,N(P_LC_Lim)-CR$145),MAX(0,CS$142-CS$141)),0)*CS$9</f>
        <v>0</v>
      </c>
      <c r="CT143" s="48" t="n">
        <f aca="false">IF(CT$139=1,MIN(MAX(0,N(P_LC_Lim)-CS$145),MAX(0,CT$142-CT$141)),0)*CT$9</f>
        <v>0</v>
      </c>
      <c r="CU143" s="48" t="n">
        <f aca="false">IF(CU$139=1,MIN(MAX(0,N(P_LC_Lim)-CT$145),MAX(0,CU$142-CU$141)),0)*CU$9</f>
        <v>0</v>
      </c>
      <c r="CV143" s="48" t="n">
        <f aca="false">IF(CV$139=1,MIN(MAX(0,N(P_LC_Lim)-CU$145),MAX(0,CV$142-CV$141)),0)*CV$9</f>
        <v>0</v>
      </c>
      <c r="CW143" s="48" t="n">
        <f aca="false">IF(CW$139=1,MIN(MAX(0,N(P_LC_Lim)-CV$145),MAX(0,CW$142-CW$141)),0)*CW$9</f>
        <v>0</v>
      </c>
      <c r="CX143" s="48" t="n">
        <f aca="false">IF(CX$139=1,MIN(MAX(0,N(P_LC_Lim)-CW$145),MAX(0,CX$142-CX$141)),0)*CX$9</f>
        <v>0</v>
      </c>
      <c r="CY143" s="48" t="n">
        <f aca="false">IF(CY$139=1,MIN(MAX(0,N(P_LC_Lim)-CX$145),MAX(0,CY$142-CY$141)),0)*CY$9</f>
        <v>0</v>
      </c>
      <c r="CZ143" s="48" t="n">
        <f aca="false">IF(CZ$139=1,MIN(MAX(0,N(P_LC_Lim)-CY$145),MAX(0,CZ$142-CZ$141)),0)*CZ$9</f>
        <v>0</v>
      </c>
      <c r="DA143" s="48" t="n">
        <f aca="false">IF(DA$139=1,MIN(MAX(0,N(P_LC_Lim)-CZ$145),MAX(0,DA$142-DA$141)),0)*DA$9</f>
        <v>0</v>
      </c>
      <c r="DB143" s="48" t="n">
        <f aca="false">IF(DB$139=1,MIN(MAX(0,N(P_LC_Lim)-DA$145),MAX(0,DB$142-DB$141)),0)*DB$9</f>
        <v>0</v>
      </c>
      <c r="DC143" s="48" t="n">
        <f aca="false">IF(DC$139=1,MIN(MAX(0,N(P_LC_Lim)-DB$145),MAX(0,DC$142-DC$141)),0)*DC$9</f>
        <v>0</v>
      </c>
      <c r="DD143" s="48" t="n">
        <f aca="false">IF(DD$139=1,MIN(MAX(0,N(P_LC_Lim)-DC$145),MAX(0,DD$142-DD$141)),0)*DD$9</f>
        <v>0</v>
      </c>
      <c r="DE143" s="48" t="n">
        <f aca="false">IF(DE$139=1,MIN(MAX(0,N(P_LC_Lim)-DD$145),MAX(0,DE$142-DE$141)),0)*DE$9</f>
        <v>0</v>
      </c>
      <c r="DF143" s="48" t="n">
        <f aca="false">IF(DF$139=1,MIN(MAX(0,N(P_LC_Lim)-DE$145),MAX(0,DF$142-DF$141)),0)*DF$9</f>
        <v>0</v>
      </c>
      <c r="DG143" s="48" t="n">
        <f aca="false">IF(DG$139=1,MIN(MAX(0,N(P_LC_Lim)-DF$145),MAX(0,DG$142-DG$141)),0)*DG$9</f>
        <v>0</v>
      </c>
      <c r="DH143" s="48" t="n">
        <f aca="false">IF(DH$139=1,MIN(MAX(0,N(P_LC_Lim)-DG$145),MAX(0,DH$142-DH$141)),0)*DH$9</f>
        <v>0</v>
      </c>
      <c r="DI143" s="48" t="n">
        <f aca="false">IF(DI$139=1,MIN(MAX(0,N(P_LC_Lim)-DH$145),MAX(0,DI$142-DI$141)),0)*DI$9</f>
        <v>0</v>
      </c>
      <c r="DJ143" s="48" t="n">
        <f aca="false">IF(DJ$139=1,MIN(MAX(0,N(P_LC_Lim)-DI$145),MAX(0,DJ$142-DJ$141)),0)*DJ$9</f>
        <v>0</v>
      </c>
      <c r="DK143" s="48" t="n">
        <f aca="false">IF(DK$139=1,MIN(MAX(0,N(P_LC_Lim)-DJ$145),MAX(0,DK$142-DK$141)),0)*DK$9</f>
        <v>0</v>
      </c>
      <c r="DL143" s="48" t="n">
        <f aca="false">IF(DL$139=1,MIN(MAX(0,N(P_LC_Lim)-DK$145),MAX(0,DL$142-DL$141)),0)*DL$9</f>
        <v>0</v>
      </c>
      <c r="DM143" s="48" t="n">
        <f aca="false">IF(DM$139=1,MIN(MAX(0,N(P_LC_Lim)-DL$145),MAX(0,DM$142-DM$141)),0)*DM$9</f>
        <v>0</v>
      </c>
      <c r="DN143" s="48" t="n">
        <f aca="false">IF(DN$139=1,MIN(MAX(0,N(P_LC_Lim)-DM$145),MAX(0,DN$142-DN$141)),0)*DN$9</f>
        <v>0</v>
      </c>
      <c r="DO143" s="48" t="n">
        <f aca="false">IF(DO$139=1,MIN(MAX(0,N(P_LC_Lim)-DN$145),MAX(0,DO$142-DO$141)),0)*DO$9</f>
        <v>0</v>
      </c>
      <c r="DP143" s="48" t="n">
        <f aca="false">IF(DP$139=1,MIN(MAX(0,N(P_LC_Lim)-DO$145),MAX(0,DP$142-DP$141)),0)*DP$9</f>
        <v>0</v>
      </c>
      <c r="DQ143" s="48" t="n">
        <f aca="false">IF(DQ$139=1,MIN(MAX(0,N(P_LC_Lim)-DP$145),MAX(0,DQ$142-DQ$141)),0)*DQ$9</f>
        <v>0</v>
      </c>
      <c r="DR143" s="48" t="n">
        <f aca="false">IF(DR$139=1,MIN(MAX(0,N(P_LC_Lim)-DQ$145),MAX(0,DR$142-DR$141)),0)*DR$9</f>
        <v>0</v>
      </c>
      <c r="DS143" s="48" t="n">
        <f aca="false">IF(DS$139=1,MIN(MAX(0,N(P_LC_Lim)-DR$145),MAX(0,DS$142-DS$141)),0)*DS$9</f>
        <v>0</v>
      </c>
      <c r="DT143" s="48" t="n">
        <f aca="false">IF(DT$139=1,MIN(MAX(0,N(P_LC_Lim)-DS$145),MAX(0,DT$142-DT$141)),0)*DT$9</f>
        <v>0</v>
      </c>
      <c r="DU143" s="48" t="n">
        <f aca="false">IF(DU$139=1,MIN(MAX(0,N(P_LC_Lim)-DT$145),MAX(0,DU$142-DU$141)),0)*DU$9</f>
        <v>0</v>
      </c>
      <c r="DV143" s="48" t="n">
        <f aca="false">IF(DV$139=1,MIN(MAX(0,N(P_LC_Lim)-DU$145),MAX(0,DV$142-DV$141)),0)*DV$9</f>
        <v>0</v>
      </c>
      <c r="DW143" s="48" t="n">
        <f aca="false">IF(DW$139=1,MIN(MAX(0,N(P_LC_Lim)-DV$145),MAX(0,DW$142-DW$141)),0)*DW$9</f>
        <v>0</v>
      </c>
      <c r="DX143" s="48" t="n">
        <f aca="false">IF(DX$139=1,MIN(MAX(0,N(P_LC_Lim)-DW$145),MAX(0,DX$142-DX$141)),0)*DX$9</f>
        <v>0</v>
      </c>
      <c r="DY143" s="48" t="n">
        <f aca="false">IF(DY$139=1,MIN(MAX(0,N(P_LC_Lim)-DX$145),MAX(0,DY$142-DY$141)),0)*DY$9</f>
        <v>0</v>
      </c>
      <c r="DZ143" s="48" t="n">
        <f aca="false">IF(DZ$139=1,MIN(MAX(0,N(P_LC_Lim)-DY$145),MAX(0,DZ$142-DZ$141)),0)*DZ$9</f>
        <v>0</v>
      </c>
      <c r="EA143" s="48" t="n">
        <f aca="false">IF(EA$139=1,MIN(MAX(0,N(P_LC_Lim)-DZ$145),MAX(0,EA$142-EA$141)),0)*EA$9</f>
        <v>0</v>
      </c>
      <c r="EB143" s="48" t="n">
        <f aca="false">IF(EB$139=1,MIN(MAX(0,N(P_LC_Lim)-EA$145),MAX(0,EB$142-EB$141)),0)*EB$9</f>
        <v>0</v>
      </c>
      <c r="EC143" s="48" t="n">
        <f aca="false">IF(EC$139=1,MIN(MAX(0,N(P_LC_Lim)-EB$145),MAX(0,EC$142-EC$141)),0)*EC$9</f>
        <v>0</v>
      </c>
      <c r="ED143" s="48" t="n">
        <f aca="false">IF(ED$139=1,MIN(MAX(0,N(P_LC_Lim)-EC$145),MAX(0,ED$142-ED$141)),0)*ED$9</f>
        <v>0</v>
      </c>
      <c r="EE143" s="48" t="n">
        <f aca="false">IF(EE$139=1,MIN(MAX(0,N(P_LC_Lim)-ED$145),MAX(0,EE$142-EE$141)),0)*EE$9</f>
        <v>0</v>
      </c>
      <c r="EF143" s="48" t="n">
        <f aca="false">IF(EF$139=1,MIN(MAX(0,N(P_LC_Lim)-EE$145),MAX(0,EF$142-EF$141)),0)*EF$9</f>
        <v>0</v>
      </c>
      <c r="EG143" s="48" t="n">
        <f aca="false">IF(EG$139=1,MIN(MAX(0,N(P_LC_Lim)-EF$145),MAX(0,EG$142-EG$141)),0)*EG$9</f>
        <v>0</v>
      </c>
      <c r="EH143" s="48" t="n">
        <f aca="false">IF(EH$139=1,MIN(MAX(0,N(P_LC_Lim)-EG$145),MAX(0,EH$142-EH$141)),0)*EH$9</f>
        <v>0</v>
      </c>
      <c r="EI143" s="48" t="n">
        <f aca="false">IF(EI$139=1,MIN(MAX(0,N(P_LC_Lim)-EH$145),MAX(0,EI$142-EI$141)),0)*EI$9</f>
        <v>0</v>
      </c>
      <c r="EJ143" s="48" t="n">
        <f aca="false">IF(EJ$139=1,MIN(MAX(0,N(P_LC_Lim)-EI$145),MAX(0,EJ$142-EJ$141)),0)*EJ$9</f>
        <v>0</v>
      </c>
      <c r="EK143" s="48" t="n">
        <f aca="false">IF(EK$139=1,MIN(MAX(0,N(P_LC_Lim)-EJ$145),MAX(0,EK$142-EK$141)),0)*EK$9</f>
        <v>0</v>
      </c>
      <c r="EL143" s="48" t="n">
        <f aca="false">IF(EL$139=1,MIN(MAX(0,N(P_LC_Lim)-EK$145),MAX(0,EL$142-EL$141)),0)*EL$9</f>
        <v>0</v>
      </c>
      <c r="EM143" s="48" t="n">
        <f aca="false">IF(EM$139=1,MIN(MAX(0,N(P_LC_Lim)-EL$145),MAX(0,EM$142-EM$141)),0)*EM$9</f>
        <v>0</v>
      </c>
      <c r="EN143" s="48" t="n">
        <f aca="false">IF(EN$139=1,MIN(MAX(0,N(P_LC_Lim)-EM$145),MAX(0,EN$142-EN$141)),0)*EN$9</f>
        <v>0</v>
      </c>
      <c r="EO143" s="48" t="n">
        <f aca="false">IF(EO$139=1,MIN(MAX(0,N(P_LC_Lim)-EN$145),MAX(0,EO$142-EO$141)),0)*EO$9</f>
        <v>0</v>
      </c>
      <c r="EP143" s="48" t="n">
        <f aca="false">IF(EP$139=1,MIN(MAX(0,N(P_LC_Lim)-EO$145),MAX(0,EP$142-EP$141)),0)*EP$9</f>
        <v>0</v>
      </c>
      <c r="EQ143" s="48" t="n">
        <f aca="false">IF(EQ$139=1,MIN(MAX(0,N(P_LC_Lim)-EP$145),MAX(0,EQ$142-EQ$141)),0)*EQ$9</f>
        <v>0</v>
      </c>
      <c r="ER143" s="48" t="n">
        <f aca="false">IF(ER$139=1,MIN(MAX(0,N(P_LC_Lim)-EQ$145),MAX(0,ER$142-ER$141)),0)*ER$9</f>
        <v>0</v>
      </c>
      <c r="ES143" s="48" t="n">
        <f aca="false">IF(ES$139=1,MIN(MAX(0,N(P_LC_Lim)-ER$145),MAX(0,ES$142-ES$141)),0)*ES$9</f>
        <v>0</v>
      </c>
    </row>
    <row r="144" customFormat="false" ht="15" hidden="false" customHeight="false" outlineLevel="0" collapsed="false">
      <c r="A144" s="11" t="s">
        <v>1250</v>
      </c>
      <c r="B144" s="15" t="s">
        <v>1251</v>
      </c>
      <c r="C144" s="15" t="s">
        <v>508</v>
      </c>
      <c r="E144" s="54" t="n">
        <f aca="false">SUM(F144:ES144)</f>
        <v>0</v>
      </c>
      <c r="F144" s="48" t="n">
        <f aca="false">IF(F$139=1,MIN(0,MAX(0,F$141-F$142)),0)*F$9</f>
        <v>0</v>
      </c>
      <c r="G144" s="48" t="n">
        <f aca="false">IF(G$139=1,MIN(F$145,MAX(0,G$141-G$142)),F$145)*G$9</f>
        <v>0</v>
      </c>
      <c r="H144" s="48" t="n">
        <f aca="false">IF(H$139=1,MIN(G$145,MAX(0,H$141-H$142)),G$145)*H$9</f>
        <v>0</v>
      </c>
      <c r="I144" s="48" t="n">
        <f aca="false">IF(I$139=1,MIN(H$145,MAX(0,I$141-I$142)),H$145)*I$9</f>
        <v>0</v>
      </c>
      <c r="J144" s="48" t="n">
        <f aca="false">IF(J$139=1,MIN(I$145,MAX(0,J$141-J$142)),I$145)*J$9</f>
        <v>0</v>
      </c>
      <c r="K144" s="48" t="n">
        <f aca="false">IF(K$139=1,MIN(J$145,MAX(0,K$141-K$142)),J$145)*K$9</f>
        <v>0</v>
      </c>
      <c r="L144" s="48" t="n">
        <f aca="false">IF(L$139=1,MIN(K$145,MAX(0,L$141-L$142)),K$145)*L$9</f>
        <v>0</v>
      </c>
      <c r="M144" s="48" t="n">
        <f aca="false">IF(M$139=1,MIN(L$145,MAX(0,M$141-M$142)),L$145)*M$9</f>
        <v>0</v>
      </c>
      <c r="N144" s="48" t="n">
        <f aca="false">IF(N$139=1,MIN(M$145,MAX(0,N$141-N$142)),M$145)*N$9</f>
        <v>0</v>
      </c>
      <c r="O144" s="48" t="n">
        <f aca="false">IF(O$139=1,MIN(N$145,MAX(0,O$141-O$142)),N$145)*O$9</f>
        <v>0</v>
      </c>
      <c r="P144" s="48" t="n">
        <f aca="false">IF(P$139=1,MIN(O$145,MAX(0,P$141-P$142)),O$145)*P$9</f>
        <v>0</v>
      </c>
      <c r="Q144" s="48" t="n">
        <f aca="false">IF(Q$139=1,MIN(P$145,MAX(0,Q$141-Q$142)),P$145)*Q$9</f>
        <v>0</v>
      </c>
      <c r="R144" s="48" t="n">
        <f aca="false">IF(R$139=1,MIN(Q$145,MAX(0,R$141-R$142)),Q$145)*R$9</f>
        <v>0</v>
      </c>
      <c r="S144" s="48" t="n">
        <f aca="false">IF(S$139=1,MIN(R$145,MAX(0,S$141-S$142)),R$145)*S$9</f>
        <v>0</v>
      </c>
      <c r="T144" s="48" t="n">
        <f aca="false">IF(T$139=1,MIN(S$145,MAX(0,T$141-T$142)),S$145)*T$9</f>
        <v>0</v>
      </c>
      <c r="U144" s="48" t="n">
        <f aca="false">IF(U$139=1,MIN(T$145,MAX(0,U$141-U$142)),T$145)*U$9</f>
        <v>0</v>
      </c>
      <c r="V144" s="48" t="n">
        <f aca="false">IF(V$139=1,MIN(U$145,MAX(0,V$141-V$142)),U$145)*V$9</f>
        <v>0</v>
      </c>
      <c r="W144" s="48" t="n">
        <f aca="false">IF(W$139=1,MIN(V$145,MAX(0,W$141-W$142)),V$145)*W$9</f>
        <v>0</v>
      </c>
      <c r="X144" s="48" t="n">
        <f aca="false">IF(X$139=1,MIN(W$145,MAX(0,X$141-X$142)),W$145)*X$9</f>
        <v>0</v>
      </c>
      <c r="Y144" s="48" t="n">
        <f aca="false">IF(Y$139=1,MIN(X$145,MAX(0,Y$141-Y$142)),X$145)*Y$9</f>
        <v>0</v>
      </c>
      <c r="Z144" s="48" t="n">
        <f aca="false">IF(Z$139=1,MIN(Y$145,MAX(0,Z$141-Z$142)),Y$145)*Z$9</f>
        <v>0</v>
      </c>
      <c r="AA144" s="48" t="n">
        <f aca="false">IF(AA$139=1,MIN(Z$145,MAX(0,AA$141-AA$142)),Z$145)*AA$9</f>
        <v>0</v>
      </c>
      <c r="AB144" s="48" t="n">
        <f aca="false">IF(AB$139=1,MIN(AA$145,MAX(0,AB$141-AB$142)),AA$145)*AB$9</f>
        <v>0</v>
      </c>
      <c r="AC144" s="48" t="n">
        <f aca="false">IF(AC$139=1,MIN(AB$145,MAX(0,AC$141-AC$142)),AB$145)*AC$9</f>
        <v>0</v>
      </c>
      <c r="AD144" s="48" t="n">
        <f aca="false">IF(AD$139=1,MIN(AC$145,MAX(0,AD$141-AD$142)),AC$145)*AD$9</f>
        <v>0</v>
      </c>
      <c r="AE144" s="48" t="n">
        <f aca="false">IF(AE$139=1,MIN(AD$145,MAX(0,AE$141-AE$142)),AD$145)*AE$9</f>
        <v>0</v>
      </c>
      <c r="AF144" s="48" t="n">
        <f aca="false">IF(AF$139=1,MIN(AE$145,MAX(0,AF$141-AF$142)),AE$145)*AF$9</f>
        <v>0</v>
      </c>
      <c r="AG144" s="48" t="n">
        <f aca="false">IF(AG$139=1,MIN(AF$145,MAX(0,AG$141-AG$142)),AF$145)*AG$9</f>
        <v>0</v>
      </c>
      <c r="AH144" s="48" t="n">
        <f aca="false">IF(AH$139=1,MIN(AG$145,MAX(0,AH$141-AH$142)),AG$145)*AH$9</f>
        <v>0</v>
      </c>
      <c r="AI144" s="48" t="n">
        <f aca="false">IF(AI$139=1,MIN(AH$145,MAX(0,AI$141-AI$142)),AH$145)*AI$9</f>
        <v>0</v>
      </c>
      <c r="AJ144" s="48" t="n">
        <f aca="false">IF(AJ$139=1,MIN(AI$145,MAX(0,AJ$141-AJ$142)),AI$145)*AJ$9</f>
        <v>0</v>
      </c>
      <c r="AK144" s="48" t="n">
        <f aca="false">IF(AK$139=1,MIN(AJ$145,MAX(0,AK$141-AK$142)),AJ$145)*AK$9</f>
        <v>0</v>
      </c>
      <c r="AL144" s="48" t="n">
        <f aca="false">IF(AL$139=1,MIN(AK$145,MAX(0,AL$141-AL$142)),AK$145)*AL$9</f>
        <v>0</v>
      </c>
      <c r="AM144" s="48" t="n">
        <f aca="false">IF(AM$139=1,MIN(AL$145,MAX(0,AM$141-AM$142)),AL$145)*AM$9</f>
        <v>0</v>
      </c>
      <c r="AN144" s="48" t="n">
        <f aca="false">IF(AN$139=1,MIN(AM$145,MAX(0,AN$141-AN$142)),AM$145)*AN$9</f>
        <v>0</v>
      </c>
      <c r="AO144" s="48" t="n">
        <f aca="false">IF(AO$139=1,MIN(AN$145,MAX(0,AO$141-AO$142)),AN$145)*AO$9</f>
        <v>0</v>
      </c>
      <c r="AP144" s="48" t="n">
        <f aca="false">IF(AP$139=1,MIN(AO$145,MAX(0,AP$141-AP$142)),AO$145)*AP$9</f>
        <v>0</v>
      </c>
      <c r="AQ144" s="48" t="n">
        <f aca="false">IF(AQ$139=1,MIN(AP$145,MAX(0,AQ$141-AQ$142)),AP$145)*AQ$9</f>
        <v>0</v>
      </c>
      <c r="AR144" s="48" t="n">
        <f aca="false">IF(AR$139=1,MIN(AQ$145,MAX(0,AR$141-AR$142)),AQ$145)*AR$9</f>
        <v>0</v>
      </c>
      <c r="AS144" s="48" t="n">
        <f aca="false">IF(AS$139=1,MIN(AR$145,MAX(0,AS$141-AS$142)),AR$145)*AS$9</f>
        <v>0</v>
      </c>
      <c r="AT144" s="48" t="n">
        <f aca="false">IF(AT$139=1,MIN(AS$145,MAX(0,AT$141-AT$142)),AS$145)*AT$9</f>
        <v>0</v>
      </c>
      <c r="AU144" s="48" t="n">
        <f aca="false">IF(AU$139=1,MIN(AT$145,MAX(0,AU$141-AU$142)),AT$145)*AU$9</f>
        <v>0</v>
      </c>
      <c r="AV144" s="48" t="n">
        <f aca="false">IF(AV$139=1,MIN(AU$145,MAX(0,AV$141-AV$142)),AU$145)*AV$9</f>
        <v>0</v>
      </c>
      <c r="AW144" s="48" t="n">
        <f aca="false">IF(AW$139=1,MIN(AV$145,MAX(0,AW$141-AW$142)),AV$145)*AW$9</f>
        <v>0</v>
      </c>
      <c r="AX144" s="48" t="n">
        <f aca="false">IF(AX$139=1,MIN(AW$145,MAX(0,AX$141-AX$142)),AW$145)*AX$9</f>
        <v>0</v>
      </c>
      <c r="AY144" s="48" t="n">
        <f aca="false">IF(AY$139=1,MIN(AX$145,MAX(0,AY$141-AY$142)),AX$145)*AY$9</f>
        <v>0</v>
      </c>
      <c r="AZ144" s="48" t="n">
        <f aca="false">IF(AZ$139=1,MIN(AY$145,MAX(0,AZ$141-AZ$142)),AY$145)*AZ$9</f>
        <v>0</v>
      </c>
      <c r="BA144" s="48" t="n">
        <f aca="false">IF(BA$139=1,MIN(AZ$145,MAX(0,BA$141-BA$142)),AZ$145)*BA$9</f>
        <v>0</v>
      </c>
      <c r="BB144" s="48" t="n">
        <f aca="false">IF(BB$139=1,MIN(BA$145,MAX(0,BB$141-BB$142)),BA$145)*BB$9</f>
        <v>0</v>
      </c>
      <c r="BC144" s="48" t="n">
        <f aca="false">IF(BC$139=1,MIN(BB$145,MAX(0,BC$141-BC$142)),BB$145)*BC$9</f>
        <v>0</v>
      </c>
      <c r="BD144" s="48" t="n">
        <f aca="false">IF(BD$139=1,MIN(BC$145,MAX(0,BD$141-BD$142)),BC$145)*BD$9</f>
        <v>0</v>
      </c>
      <c r="BE144" s="48" t="n">
        <f aca="false">IF(BE$139=1,MIN(BD$145,MAX(0,BE$141-BE$142)),BD$145)*BE$9</f>
        <v>0</v>
      </c>
      <c r="BF144" s="48" t="n">
        <f aca="false">IF(BF$139=1,MIN(BE$145,MAX(0,BF$141-BF$142)),BE$145)*BF$9</f>
        <v>0</v>
      </c>
      <c r="BG144" s="48" t="n">
        <f aca="false">IF(BG$139=1,MIN(BF$145,MAX(0,BG$141-BG$142)),BF$145)*BG$9</f>
        <v>0</v>
      </c>
      <c r="BH144" s="48" t="n">
        <f aca="false">IF(BH$139=1,MIN(BG$145,MAX(0,BH$141-BH$142)),BG$145)*BH$9</f>
        <v>0</v>
      </c>
      <c r="BI144" s="48" t="n">
        <f aca="false">IF(BI$139=1,MIN(BH$145,MAX(0,BI$141-BI$142)),BH$145)*BI$9</f>
        <v>0</v>
      </c>
      <c r="BJ144" s="48" t="n">
        <f aca="false">IF(BJ$139=1,MIN(BI$145,MAX(0,BJ$141-BJ$142)),BI$145)*BJ$9</f>
        <v>0</v>
      </c>
      <c r="BK144" s="48" t="n">
        <f aca="false">IF(BK$139=1,MIN(BJ$145,MAX(0,BK$141-BK$142)),BJ$145)*BK$9</f>
        <v>0</v>
      </c>
      <c r="BL144" s="48" t="n">
        <f aca="false">IF(BL$139=1,MIN(BK$145,MAX(0,BL$141-BL$142)),BK$145)*BL$9</f>
        <v>0</v>
      </c>
      <c r="BM144" s="48" t="n">
        <f aca="false">IF(BM$139=1,MIN(BL$145,MAX(0,BM$141-BM$142)),BL$145)*BM$9</f>
        <v>0</v>
      </c>
      <c r="BN144" s="48" t="n">
        <f aca="false">IF(BN$139=1,MIN(BM$145,MAX(0,BN$141-BN$142)),BM$145)*BN$9</f>
        <v>0</v>
      </c>
      <c r="BO144" s="48" t="n">
        <f aca="false">IF(BO$139=1,MIN(BN$145,MAX(0,BO$141-BO$142)),BN$145)*BO$9</f>
        <v>0</v>
      </c>
      <c r="BP144" s="48" t="n">
        <f aca="false">IF(BP$139=1,MIN(BO$145,MAX(0,BP$141-BP$142)),BO$145)*BP$9</f>
        <v>0</v>
      </c>
      <c r="BQ144" s="48" t="n">
        <f aca="false">IF(BQ$139=1,MIN(BP$145,MAX(0,BQ$141-BQ$142)),BP$145)*BQ$9</f>
        <v>0</v>
      </c>
      <c r="BR144" s="48" t="n">
        <f aca="false">IF(BR$139=1,MIN(BQ$145,MAX(0,BR$141-BR$142)),BQ$145)*BR$9</f>
        <v>0</v>
      </c>
      <c r="BS144" s="48" t="n">
        <f aca="false">IF(BS$139=1,MIN(BR$145,MAX(0,BS$141-BS$142)),BR$145)*BS$9</f>
        <v>0</v>
      </c>
      <c r="BT144" s="48" t="n">
        <f aca="false">IF(BT$139=1,MIN(BS$145,MAX(0,BT$141-BT$142)),BS$145)*BT$9</f>
        <v>0</v>
      </c>
      <c r="BU144" s="48" t="n">
        <f aca="false">IF(BU$139=1,MIN(BT$145,MAX(0,BU$141-BU$142)),BT$145)*BU$9</f>
        <v>0</v>
      </c>
      <c r="BV144" s="48" t="n">
        <f aca="false">IF(BV$139=1,MIN(BU$145,MAX(0,BV$141-BV$142)),BU$145)*BV$9</f>
        <v>0</v>
      </c>
      <c r="BW144" s="48" t="n">
        <f aca="false">IF(BW$139=1,MIN(BV$145,MAX(0,BW$141-BW$142)),BV$145)*BW$9</f>
        <v>0</v>
      </c>
      <c r="BX144" s="48" t="n">
        <f aca="false">IF(BX$139=1,MIN(BW$145,MAX(0,BX$141-BX$142)),BW$145)*BX$9</f>
        <v>0</v>
      </c>
      <c r="BY144" s="48" t="n">
        <f aca="false">IF(BY$139=1,MIN(BX$145,MAX(0,BY$141-BY$142)),BX$145)*BY$9</f>
        <v>0</v>
      </c>
      <c r="BZ144" s="48" t="n">
        <f aca="false">IF(BZ$139=1,MIN(BY$145,MAX(0,BZ$141-BZ$142)),BY$145)*BZ$9</f>
        <v>0</v>
      </c>
      <c r="CA144" s="48" t="n">
        <f aca="false">IF(CA$139=1,MIN(BZ$145,MAX(0,CA$141-CA$142)),BZ$145)*CA$9</f>
        <v>0</v>
      </c>
      <c r="CB144" s="48" t="n">
        <f aca="false">IF(CB$139=1,MIN(CA$145,MAX(0,CB$141-CB$142)),CA$145)*CB$9</f>
        <v>0</v>
      </c>
      <c r="CC144" s="48" t="n">
        <f aca="false">IF(CC$139=1,MIN(CB$145,MAX(0,CC$141-CC$142)),CB$145)*CC$9</f>
        <v>0</v>
      </c>
      <c r="CD144" s="48" t="n">
        <f aca="false">IF(CD$139=1,MIN(CC$145,MAX(0,CD$141-CD$142)),CC$145)*CD$9</f>
        <v>0</v>
      </c>
      <c r="CE144" s="48" t="n">
        <f aca="false">IF(CE$139=1,MIN(CD$145,MAX(0,CE$141-CE$142)),CD$145)*CE$9</f>
        <v>0</v>
      </c>
      <c r="CF144" s="48" t="n">
        <f aca="false">IF(CF$139=1,MIN(CE$145,MAX(0,CF$141-CF$142)),CE$145)*CF$9</f>
        <v>0</v>
      </c>
      <c r="CG144" s="48" t="n">
        <f aca="false">IF(CG$139=1,MIN(CF$145,MAX(0,CG$141-CG$142)),CF$145)*CG$9</f>
        <v>0</v>
      </c>
      <c r="CH144" s="48" t="n">
        <f aca="false">IF(CH$139=1,MIN(CG$145,MAX(0,CH$141-CH$142)),CG$145)*CH$9</f>
        <v>0</v>
      </c>
      <c r="CI144" s="48" t="n">
        <f aca="false">IF(CI$139=1,MIN(CH$145,MAX(0,CI$141-CI$142)),CH$145)*CI$9</f>
        <v>0</v>
      </c>
      <c r="CJ144" s="48" t="n">
        <f aca="false">IF(CJ$139=1,MIN(CI$145,MAX(0,CJ$141-CJ$142)),CI$145)*CJ$9</f>
        <v>0</v>
      </c>
      <c r="CK144" s="48" t="n">
        <f aca="false">IF(CK$139=1,MIN(CJ$145,MAX(0,CK$141-CK$142)),CJ$145)*CK$9</f>
        <v>0</v>
      </c>
      <c r="CL144" s="48" t="n">
        <f aca="false">IF(CL$139=1,MIN(CK$145,MAX(0,CL$141-CL$142)),CK$145)*CL$9</f>
        <v>0</v>
      </c>
      <c r="CM144" s="48" t="n">
        <f aca="false">IF(CM$139=1,MIN(CL$145,MAX(0,CM$141-CM$142)),CL$145)*CM$9</f>
        <v>0</v>
      </c>
      <c r="CN144" s="48" t="n">
        <f aca="false">IF(CN$139=1,MIN(CM$145,MAX(0,CN$141-CN$142)),CM$145)*CN$9</f>
        <v>0</v>
      </c>
      <c r="CO144" s="48" t="n">
        <f aca="false">IF(CO$139=1,MIN(CN$145,MAX(0,CO$141-CO$142)),CN$145)*CO$9</f>
        <v>0</v>
      </c>
      <c r="CP144" s="48" t="n">
        <f aca="false">IF(CP$139=1,MIN(CO$145,MAX(0,CP$141-CP$142)),CO$145)*CP$9</f>
        <v>0</v>
      </c>
      <c r="CQ144" s="48" t="n">
        <f aca="false">IF(CQ$139=1,MIN(CP$145,MAX(0,CQ$141-CQ$142)),CP$145)*CQ$9</f>
        <v>0</v>
      </c>
      <c r="CR144" s="48" t="n">
        <f aca="false">IF(CR$139=1,MIN(CQ$145,MAX(0,CR$141-CR$142)),CQ$145)*CR$9</f>
        <v>0</v>
      </c>
      <c r="CS144" s="48" t="n">
        <f aca="false">IF(CS$139=1,MIN(CR$145,MAX(0,CS$141-CS$142)),CR$145)*CS$9</f>
        <v>0</v>
      </c>
      <c r="CT144" s="48" t="n">
        <f aca="false">IF(CT$139=1,MIN(CS$145,MAX(0,CT$141-CT$142)),CS$145)*CT$9</f>
        <v>0</v>
      </c>
      <c r="CU144" s="48" t="n">
        <f aca="false">IF(CU$139=1,MIN(CT$145,MAX(0,CU$141-CU$142)),CT$145)*CU$9</f>
        <v>0</v>
      </c>
      <c r="CV144" s="48" t="n">
        <f aca="false">IF(CV$139=1,MIN(CU$145,MAX(0,CV$141-CV$142)),CU$145)*CV$9</f>
        <v>0</v>
      </c>
      <c r="CW144" s="48" t="n">
        <f aca="false">IF(CW$139=1,MIN(CV$145,MAX(0,CW$141-CW$142)),CV$145)*CW$9</f>
        <v>0</v>
      </c>
      <c r="CX144" s="48" t="n">
        <f aca="false">IF(CX$139=1,MIN(CW$145,MAX(0,CX$141-CX$142)),CW$145)*CX$9</f>
        <v>0</v>
      </c>
      <c r="CY144" s="48" t="n">
        <f aca="false">IF(CY$139=1,MIN(CX$145,MAX(0,CY$141-CY$142)),CX$145)*CY$9</f>
        <v>0</v>
      </c>
      <c r="CZ144" s="48" t="n">
        <f aca="false">IF(CZ$139=1,MIN(CY$145,MAX(0,CZ$141-CZ$142)),CY$145)*CZ$9</f>
        <v>0</v>
      </c>
      <c r="DA144" s="48" t="n">
        <f aca="false">IF(DA$139=1,MIN(CZ$145,MAX(0,DA$141-DA$142)),CZ$145)*DA$9</f>
        <v>0</v>
      </c>
      <c r="DB144" s="48" t="n">
        <f aca="false">IF(DB$139=1,MIN(DA$145,MAX(0,DB$141-DB$142)),DA$145)*DB$9</f>
        <v>0</v>
      </c>
      <c r="DC144" s="48" t="n">
        <f aca="false">IF(DC$139=1,MIN(DB$145,MAX(0,DC$141-DC$142)),DB$145)*DC$9</f>
        <v>0</v>
      </c>
      <c r="DD144" s="48" t="n">
        <f aca="false">IF(DD$139=1,MIN(DC$145,MAX(0,DD$141-DD$142)),DC$145)*DD$9</f>
        <v>0</v>
      </c>
      <c r="DE144" s="48" t="n">
        <f aca="false">IF(DE$139=1,MIN(DD$145,MAX(0,DE$141-DE$142)),DD$145)*DE$9</f>
        <v>0</v>
      </c>
      <c r="DF144" s="48" t="n">
        <f aca="false">IF(DF$139=1,MIN(DE$145,MAX(0,DF$141-DF$142)),DE$145)*DF$9</f>
        <v>0</v>
      </c>
      <c r="DG144" s="48" t="n">
        <f aca="false">IF(DG$139=1,MIN(DF$145,MAX(0,DG$141-DG$142)),DF$145)*DG$9</f>
        <v>0</v>
      </c>
      <c r="DH144" s="48" t="n">
        <f aca="false">IF(DH$139=1,MIN(DG$145,MAX(0,DH$141-DH$142)),DG$145)*DH$9</f>
        <v>0</v>
      </c>
      <c r="DI144" s="48" t="n">
        <f aca="false">IF(DI$139=1,MIN(DH$145,MAX(0,DI$141-DI$142)),DH$145)*DI$9</f>
        <v>0</v>
      </c>
      <c r="DJ144" s="48" t="n">
        <f aca="false">IF(DJ$139=1,MIN(DI$145,MAX(0,DJ$141-DJ$142)),DI$145)*DJ$9</f>
        <v>0</v>
      </c>
      <c r="DK144" s="48" t="n">
        <f aca="false">IF(DK$139=1,MIN(DJ$145,MAX(0,DK$141-DK$142)),DJ$145)*DK$9</f>
        <v>0</v>
      </c>
      <c r="DL144" s="48" t="n">
        <f aca="false">IF(DL$139=1,MIN(DK$145,MAX(0,DL$141-DL$142)),DK$145)*DL$9</f>
        <v>0</v>
      </c>
      <c r="DM144" s="48" t="n">
        <f aca="false">IF(DM$139=1,MIN(DL$145,MAX(0,DM$141-DM$142)),DL$145)*DM$9</f>
        <v>0</v>
      </c>
      <c r="DN144" s="48" t="n">
        <f aca="false">IF(DN$139=1,MIN(DM$145,MAX(0,DN$141-DN$142)),DM$145)*DN$9</f>
        <v>0</v>
      </c>
      <c r="DO144" s="48" t="n">
        <f aca="false">IF(DO$139=1,MIN(DN$145,MAX(0,DO$141-DO$142)),DN$145)*DO$9</f>
        <v>0</v>
      </c>
      <c r="DP144" s="48" t="n">
        <f aca="false">IF(DP$139=1,MIN(DO$145,MAX(0,DP$141-DP$142)),DO$145)*DP$9</f>
        <v>0</v>
      </c>
      <c r="DQ144" s="48" t="n">
        <f aca="false">IF(DQ$139=1,MIN(DP$145,MAX(0,DQ$141-DQ$142)),DP$145)*DQ$9</f>
        <v>0</v>
      </c>
      <c r="DR144" s="48" t="n">
        <f aca="false">IF(DR$139=1,MIN(DQ$145,MAX(0,DR$141-DR$142)),DQ$145)*DR$9</f>
        <v>0</v>
      </c>
      <c r="DS144" s="48" t="n">
        <f aca="false">IF(DS$139=1,MIN(DR$145,MAX(0,DS$141-DS$142)),DR$145)*DS$9</f>
        <v>0</v>
      </c>
      <c r="DT144" s="48" t="n">
        <f aca="false">IF(DT$139=1,MIN(DS$145,MAX(0,DT$141-DT$142)),DS$145)*DT$9</f>
        <v>0</v>
      </c>
      <c r="DU144" s="48" t="n">
        <f aca="false">IF(DU$139=1,MIN(DT$145,MAX(0,DU$141-DU$142)),DT$145)*DU$9</f>
        <v>0</v>
      </c>
      <c r="DV144" s="48" t="n">
        <f aca="false">IF(DV$139=1,MIN(DU$145,MAX(0,DV$141-DV$142)),DU$145)*DV$9</f>
        <v>0</v>
      </c>
      <c r="DW144" s="48" t="n">
        <f aca="false">IF(DW$139=1,MIN(DV$145,MAX(0,DW$141-DW$142)),DV$145)*DW$9</f>
        <v>0</v>
      </c>
      <c r="DX144" s="48" t="n">
        <f aca="false">IF(DX$139=1,MIN(DW$145,MAX(0,DX$141-DX$142)),DW$145)*DX$9</f>
        <v>0</v>
      </c>
      <c r="DY144" s="48" t="n">
        <f aca="false">IF(DY$139=1,MIN(DX$145,MAX(0,DY$141-DY$142)),DX$145)*DY$9</f>
        <v>0</v>
      </c>
      <c r="DZ144" s="48" t="n">
        <f aca="false">IF(DZ$139=1,MIN(DY$145,MAX(0,DZ$141-DZ$142)),DY$145)*DZ$9</f>
        <v>0</v>
      </c>
      <c r="EA144" s="48" t="n">
        <f aca="false">IF(EA$139=1,MIN(DZ$145,MAX(0,EA$141-EA$142)),DZ$145)*EA$9</f>
        <v>0</v>
      </c>
      <c r="EB144" s="48" t="n">
        <f aca="false">IF(EB$139=1,MIN(EA$145,MAX(0,EB$141-EB$142)),EA$145)*EB$9</f>
        <v>0</v>
      </c>
      <c r="EC144" s="48" t="n">
        <f aca="false">IF(EC$139=1,MIN(EB$145,MAX(0,EC$141-EC$142)),EB$145)*EC$9</f>
        <v>0</v>
      </c>
      <c r="ED144" s="48" t="n">
        <f aca="false">IF(ED$139=1,MIN(EC$145,MAX(0,ED$141-ED$142)),EC$145)*ED$9</f>
        <v>0</v>
      </c>
      <c r="EE144" s="48" t="n">
        <f aca="false">IF(EE$139=1,MIN(ED$145,MAX(0,EE$141-EE$142)),ED$145)*EE$9</f>
        <v>0</v>
      </c>
      <c r="EF144" s="48" t="n">
        <f aca="false">IF(EF$139=1,MIN(EE$145,MAX(0,EF$141-EF$142)),EE$145)*EF$9</f>
        <v>0</v>
      </c>
      <c r="EG144" s="48" t="n">
        <f aca="false">IF(EG$139=1,MIN(EF$145,MAX(0,EG$141-EG$142)),EF$145)*EG$9</f>
        <v>0</v>
      </c>
      <c r="EH144" s="48" t="n">
        <f aca="false">IF(EH$139=1,MIN(EG$145,MAX(0,EH$141-EH$142)),EG$145)*EH$9</f>
        <v>0</v>
      </c>
      <c r="EI144" s="48" t="n">
        <f aca="false">IF(EI$139=1,MIN(EH$145,MAX(0,EI$141-EI$142)),EH$145)*EI$9</f>
        <v>0</v>
      </c>
      <c r="EJ144" s="48" t="n">
        <f aca="false">IF(EJ$139=1,MIN(EI$145,MAX(0,EJ$141-EJ$142)),EI$145)*EJ$9</f>
        <v>0</v>
      </c>
      <c r="EK144" s="48" t="n">
        <f aca="false">IF(EK$139=1,MIN(EJ$145,MAX(0,EK$141-EK$142)),EJ$145)*EK$9</f>
        <v>0</v>
      </c>
      <c r="EL144" s="48" t="n">
        <f aca="false">IF(EL$139=1,MIN(EK$145,MAX(0,EL$141-EL$142)),EK$145)*EL$9</f>
        <v>0</v>
      </c>
      <c r="EM144" s="48" t="n">
        <f aca="false">IF(EM$139=1,MIN(EL$145,MAX(0,EM$141-EM$142)),EL$145)*EM$9</f>
        <v>0</v>
      </c>
      <c r="EN144" s="48" t="n">
        <f aca="false">IF(EN$139=1,MIN(EM$145,MAX(0,EN$141-EN$142)),EM$145)*EN$9</f>
        <v>0</v>
      </c>
      <c r="EO144" s="48" t="n">
        <f aca="false">IF(EO$139=1,MIN(EN$145,MAX(0,EO$141-EO$142)),EN$145)*EO$9</f>
        <v>0</v>
      </c>
      <c r="EP144" s="48" t="n">
        <f aca="false">IF(EP$139=1,MIN(EO$145,MAX(0,EP$141-EP$142)),EO$145)*EP$9</f>
        <v>0</v>
      </c>
      <c r="EQ144" s="48" t="n">
        <f aca="false">IF(EQ$139=1,MIN(EP$145,MAX(0,EQ$141-EQ$142)),EP$145)*EQ$9</f>
        <v>0</v>
      </c>
      <c r="ER144" s="48" t="n">
        <f aca="false">IF(ER$139=1,MIN(EQ$145,MAX(0,ER$141-ER$142)),EQ$145)*ER$9</f>
        <v>0</v>
      </c>
      <c r="ES144" s="48" t="n">
        <f aca="false">IF(ES$139=1,MIN(ER$145,MAX(0,ES$141-ES$142)),ER$145)*ES$9</f>
        <v>0</v>
      </c>
    </row>
    <row r="145" customFormat="false" ht="15" hidden="false" customHeight="false" outlineLevel="0" collapsed="false">
      <c r="A145" s="11" t="s">
        <v>1252</v>
      </c>
      <c r="B145" s="15" t="s">
        <v>1253</v>
      </c>
      <c r="C145" s="15" t="s">
        <v>508</v>
      </c>
      <c r="E145" s="54" t="n">
        <f aca="false">MAX(F145:ES145)</f>
        <v>0</v>
      </c>
      <c r="F145" s="48" t="n">
        <f aca="false">0+F$143-F$144</f>
        <v>0</v>
      </c>
      <c r="G145" s="48" t="n">
        <f aca="false">F$145+G$143-G$144</f>
        <v>0</v>
      </c>
      <c r="H145" s="48" t="n">
        <f aca="false">G$145+H$143-H$144</f>
        <v>0</v>
      </c>
      <c r="I145" s="48" t="n">
        <f aca="false">H$145+I$143-I$144</f>
        <v>0</v>
      </c>
      <c r="J145" s="48" t="n">
        <f aca="false">I$145+J$143-J$144</f>
        <v>0</v>
      </c>
      <c r="K145" s="48" t="n">
        <f aca="false">J$145+K$143-K$144</f>
        <v>0</v>
      </c>
      <c r="L145" s="48" t="n">
        <f aca="false">K$145+L$143-L$144</f>
        <v>0</v>
      </c>
      <c r="M145" s="48" t="n">
        <f aca="false">L$145+M$143-M$144</f>
        <v>0</v>
      </c>
      <c r="N145" s="48" t="n">
        <f aca="false">M$145+N$143-N$144</f>
        <v>0</v>
      </c>
      <c r="O145" s="48" t="n">
        <f aca="false">N$145+O$143-O$144</f>
        <v>0</v>
      </c>
      <c r="P145" s="48" t="n">
        <f aca="false">O$145+P$143-P$144</f>
        <v>0</v>
      </c>
      <c r="Q145" s="48" t="n">
        <f aca="false">P$145+Q$143-Q$144</f>
        <v>0</v>
      </c>
      <c r="R145" s="48" t="n">
        <f aca="false">Q$145+R$143-R$144</f>
        <v>0</v>
      </c>
      <c r="S145" s="48" t="n">
        <f aca="false">R$145+S$143-S$144</f>
        <v>0</v>
      </c>
      <c r="T145" s="48" t="n">
        <f aca="false">S$145+T$143-T$144</f>
        <v>0</v>
      </c>
      <c r="U145" s="48" t="n">
        <f aca="false">T$145+U$143-U$144</f>
        <v>0</v>
      </c>
      <c r="V145" s="48" t="n">
        <f aca="false">U$145+V$143-V$144</f>
        <v>0</v>
      </c>
      <c r="W145" s="48" t="n">
        <f aca="false">V$145+W$143-W$144</f>
        <v>0</v>
      </c>
      <c r="X145" s="48" t="n">
        <f aca="false">W$145+X$143-X$144</f>
        <v>0</v>
      </c>
      <c r="Y145" s="48" t="n">
        <f aca="false">X$145+Y$143-Y$144</f>
        <v>0</v>
      </c>
      <c r="Z145" s="48" t="n">
        <f aca="false">Y$145+Z$143-Z$144</f>
        <v>0</v>
      </c>
      <c r="AA145" s="48" t="n">
        <f aca="false">Z$145+AA$143-AA$144</f>
        <v>0</v>
      </c>
      <c r="AB145" s="48" t="n">
        <f aca="false">AA$145+AB$143-AB$144</f>
        <v>0</v>
      </c>
      <c r="AC145" s="48" t="n">
        <f aca="false">AB$145+AC$143-AC$144</f>
        <v>0</v>
      </c>
      <c r="AD145" s="48" t="n">
        <f aca="false">AC$145+AD$143-AD$144</f>
        <v>0</v>
      </c>
      <c r="AE145" s="48" t="n">
        <f aca="false">AD$145+AE$143-AE$144</f>
        <v>0</v>
      </c>
      <c r="AF145" s="48" t="n">
        <f aca="false">AE$145+AF$143-AF$144</f>
        <v>0</v>
      </c>
      <c r="AG145" s="48" t="n">
        <f aca="false">AF$145+AG$143-AG$144</f>
        <v>0</v>
      </c>
      <c r="AH145" s="48" t="n">
        <f aca="false">AG$145+AH$143-AH$144</f>
        <v>0</v>
      </c>
      <c r="AI145" s="48" t="n">
        <f aca="false">AH$145+AI$143-AI$144</f>
        <v>0</v>
      </c>
      <c r="AJ145" s="48" t="n">
        <f aca="false">AI$145+AJ$143-AJ$144</f>
        <v>0</v>
      </c>
      <c r="AK145" s="48" t="n">
        <f aca="false">AJ$145+AK$143-AK$144</f>
        <v>0</v>
      </c>
      <c r="AL145" s="48" t="n">
        <f aca="false">AK$145+AL$143-AL$144</f>
        <v>0</v>
      </c>
      <c r="AM145" s="48" t="n">
        <f aca="false">AL$145+AM$143-AM$144</f>
        <v>0</v>
      </c>
      <c r="AN145" s="48" t="n">
        <f aca="false">AM$145+AN$143-AN$144</f>
        <v>0</v>
      </c>
      <c r="AO145" s="48" t="n">
        <f aca="false">AN$145+AO$143-AO$144</f>
        <v>0</v>
      </c>
      <c r="AP145" s="48" t="n">
        <f aca="false">AO$145+AP$143-AP$144</f>
        <v>0</v>
      </c>
      <c r="AQ145" s="48" t="n">
        <f aca="false">AP$145+AQ$143-AQ$144</f>
        <v>0</v>
      </c>
      <c r="AR145" s="48" t="n">
        <f aca="false">AQ$145+AR$143-AR$144</f>
        <v>0</v>
      </c>
      <c r="AS145" s="48" t="n">
        <f aca="false">AR$145+AS$143-AS$144</f>
        <v>0</v>
      </c>
      <c r="AT145" s="48" t="n">
        <f aca="false">AS$145+AT$143-AT$144</f>
        <v>0</v>
      </c>
      <c r="AU145" s="48" t="n">
        <f aca="false">AT$145+AU$143-AU$144</f>
        <v>0</v>
      </c>
      <c r="AV145" s="48" t="n">
        <f aca="false">AU$145+AV$143-AV$144</f>
        <v>0</v>
      </c>
      <c r="AW145" s="48" t="n">
        <f aca="false">AV$145+AW$143-AW$144</f>
        <v>0</v>
      </c>
      <c r="AX145" s="48" t="n">
        <f aca="false">AW$145+AX$143-AX$144</f>
        <v>0</v>
      </c>
      <c r="AY145" s="48" t="n">
        <f aca="false">AX$145+AY$143-AY$144</f>
        <v>0</v>
      </c>
      <c r="AZ145" s="48" t="n">
        <f aca="false">AY$145+AZ$143-AZ$144</f>
        <v>0</v>
      </c>
      <c r="BA145" s="48" t="n">
        <f aca="false">AZ$145+BA$143-BA$144</f>
        <v>0</v>
      </c>
      <c r="BB145" s="48" t="n">
        <f aca="false">BA$145+BB$143-BB$144</f>
        <v>0</v>
      </c>
      <c r="BC145" s="48" t="n">
        <f aca="false">BB$145+BC$143-BC$144</f>
        <v>0</v>
      </c>
      <c r="BD145" s="48" t="n">
        <f aca="false">BC$145+BD$143-BD$144</f>
        <v>0</v>
      </c>
      <c r="BE145" s="48" t="n">
        <f aca="false">BD$145+BE$143-BE$144</f>
        <v>0</v>
      </c>
      <c r="BF145" s="48" t="n">
        <f aca="false">BE$145+BF$143-BF$144</f>
        <v>0</v>
      </c>
      <c r="BG145" s="48" t="n">
        <f aca="false">BF$145+BG$143-BG$144</f>
        <v>0</v>
      </c>
      <c r="BH145" s="48" t="n">
        <f aca="false">BG$145+BH$143-BH$144</f>
        <v>0</v>
      </c>
      <c r="BI145" s="48" t="n">
        <f aca="false">BH$145+BI$143-BI$144</f>
        <v>0</v>
      </c>
      <c r="BJ145" s="48" t="n">
        <f aca="false">BI$145+BJ$143-BJ$144</f>
        <v>0</v>
      </c>
      <c r="BK145" s="48" t="n">
        <f aca="false">BJ$145+BK$143-BK$144</f>
        <v>0</v>
      </c>
      <c r="BL145" s="48" t="n">
        <f aca="false">BK$145+BL$143-BL$144</f>
        <v>0</v>
      </c>
      <c r="BM145" s="48" t="n">
        <f aca="false">BL$145+BM$143-BM$144</f>
        <v>0</v>
      </c>
      <c r="BN145" s="48" t="n">
        <f aca="false">BM$145+BN$143-BN$144</f>
        <v>0</v>
      </c>
      <c r="BO145" s="48" t="n">
        <f aca="false">BN$145+BO$143-BO$144</f>
        <v>0</v>
      </c>
      <c r="BP145" s="48" t="n">
        <f aca="false">BO$145+BP$143-BP$144</f>
        <v>0</v>
      </c>
      <c r="BQ145" s="48" t="n">
        <f aca="false">BP$145+BQ$143-BQ$144</f>
        <v>0</v>
      </c>
      <c r="BR145" s="48" t="n">
        <f aca="false">BQ$145+BR$143-BR$144</f>
        <v>0</v>
      </c>
      <c r="BS145" s="48" t="n">
        <f aca="false">BR$145+BS$143-BS$144</f>
        <v>0</v>
      </c>
      <c r="BT145" s="48" t="n">
        <f aca="false">BS$145+BT$143-BT$144</f>
        <v>0</v>
      </c>
      <c r="BU145" s="48" t="n">
        <f aca="false">BT$145+BU$143-BU$144</f>
        <v>0</v>
      </c>
      <c r="BV145" s="48" t="n">
        <f aca="false">BU$145+BV$143-BV$144</f>
        <v>0</v>
      </c>
      <c r="BW145" s="48" t="n">
        <f aca="false">BV$145+BW$143-BW$144</f>
        <v>0</v>
      </c>
      <c r="BX145" s="48" t="n">
        <f aca="false">BW$145+BX$143-BX$144</f>
        <v>0</v>
      </c>
      <c r="BY145" s="48" t="n">
        <f aca="false">BX$145+BY$143-BY$144</f>
        <v>0</v>
      </c>
      <c r="BZ145" s="48" t="n">
        <f aca="false">BY$145+BZ$143-BZ$144</f>
        <v>0</v>
      </c>
      <c r="CA145" s="48" t="n">
        <f aca="false">BZ$145+CA$143-CA$144</f>
        <v>0</v>
      </c>
      <c r="CB145" s="48" t="n">
        <f aca="false">CA$145+CB$143-CB$144</f>
        <v>0</v>
      </c>
      <c r="CC145" s="48" t="n">
        <f aca="false">CB$145+CC$143-CC$144</f>
        <v>0</v>
      </c>
      <c r="CD145" s="48" t="n">
        <f aca="false">CC$145+CD$143-CD$144</f>
        <v>0</v>
      </c>
      <c r="CE145" s="48" t="n">
        <f aca="false">CD$145+CE$143-CE$144</f>
        <v>0</v>
      </c>
      <c r="CF145" s="48" t="n">
        <f aca="false">CE$145+CF$143-CF$144</f>
        <v>0</v>
      </c>
      <c r="CG145" s="48" t="n">
        <f aca="false">CF$145+CG$143-CG$144</f>
        <v>0</v>
      </c>
      <c r="CH145" s="48" t="n">
        <f aca="false">CG$145+CH$143-CH$144</f>
        <v>0</v>
      </c>
      <c r="CI145" s="48" t="n">
        <f aca="false">CH$145+CI$143-CI$144</f>
        <v>0</v>
      </c>
      <c r="CJ145" s="48" t="n">
        <f aca="false">CI$145+CJ$143-CJ$144</f>
        <v>0</v>
      </c>
      <c r="CK145" s="48" t="n">
        <f aca="false">CJ$145+CK$143-CK$144</f>
        <v>0</v>
      </c>
      <c r="CL145" s="48" t="n">
        <f aca="false">CK$145+CL$143-CL$144</f>
        <v>0</v>
      </c>
      <c r="CM145" s="48" t="n">
        <f aca="false">CL$145+CM$143-CM$144</f>
        <v>0</v>
      </c>
      <c r="CN145" s="48" t="n">
        <f aca="false">CM$145+CN$143-CN$144</f>
        <v>0</v>
      </c>
      <c r="CO145" s="48" t="n">
        <f aca="false">CN$145+CO$143-CO$144</f>
        <v>0</v>
      </c>
      <c r="CP145" s="48" t="n">
        <f aca="false">CO$145+CP$143-CP$144</f>
        <v>0</v>
      </c>
      <c r="CQ145" s="48" t="n">
        <f aca="false">CP$145+CQ$143-CQ$144</f>
        <v>0</v>
      </c>
      <c r="CR145" s="48" t="n">
        <f aca="false">CQ$145+CR$143-CR$144</f>
        <v>0</v>
      </c>
      <c r="CS145" s="48" t="n">
        <f aca="false">CR$145+CS$143-CS$144</f>
        <v>0</v>
      </c>
      <c r="CT145" s="48" t="n">
        <f aca="false">CS$145+CT$143-CT$144</f>
        <v>0</v>
      </c>
      <c r="CU145" s="48" t="n">
        <f aca="false">CT$145+CU$143-CU$144</f>
        <v>0</v>
      </c>
      <c r="CV145" s="48" t="n">
        <f aca="false">CU$145+CV$143-CV$144</f>
        <v>0</v>
      </c>
      <c r="CW145" s="48" t="n">
        <f aca="false">CV$145+CW$143-CW$144</f>
        <v>0</v>
      </c>
      <c r="CX145" s="48" t="n">
        <f aca="false">CW$145+CX$143-CX$144</f>
        <v>0</v>
      </c>
      <c r="CY145" s="48" t="n">
        <f aca="false">CX$145+CY$143-CY$144</f>
        <v>0</v>
      </c>
      <c r="CZ145" s="48" t="n">
        <f aca="false">CY$145+CZ$143-CZ$144</f>
        <v>0</v>
      </c>
      <c r="DA145" s="48" t="n">
        <f aca="false">CZ$145+DA$143-DA$144</f>
        <v>0</v>
      </c>
      <c r="DB145" s="48" t="n">
        <f aca="false">DA$145+DB$143-DB$144</f>
        <v>0</v>
      </c>
      <c r="DC145" s="48" t="n">
        <f aca="false">DB$145+DC$143-DC$144</f>
        <v>0</v>
      </c>
      <c r="DD145" s="48" t="n">
        <f aca="false">DC$145+DD$143-DD$144</f>
        <v>0</v>
      </c>
      <c r="DE145" s="48" t="n">
        <f aca="false">DD$145+DE$143-DE$144</f>
        <v>0</v>
      </c>
      <c r="DF145" s="48" t="n">
        <f aca="false">DE$145+DF$143-DF$144</f>
        <v>0</v>
      </c>
      <c r="DG145" s="48" t="n">
        <f aca="false">DF$145+DG$143-DG$144</f>
        <v>0</v>
      </c>
      <c r="DH145" s="48" t="n">
        <f aca="false">DG$145+DH$143-DH$144</f>
        <v>0</v>
      </c>
      <c r="DI145" s="48" t="n">
        <f aca="false">DH$145+DI$143-DI$144</f>
        <v>0</v>
      </c>
      <c r="DJ145" s="48" t="n">
        <f aca="false">DI$145+DJ$143-DJ$144</f>
        <v>0</v>
      </c>
      <c r="DK145" s="48" t="n">
        <f aca="false">DJ$145+DK$143-DK$144</f>
        <v>0</v>
      </c>
      <c r="DL145" s="48" t="n">
        <f aca="false">DK$145+DL$143-DL$144</f>
        <v>0</v>
      </c>
      <c r="DM145" s="48" t="n">
        <f aca="false">DL$145+DM$143-DM$144</f>
        <v>0</v>
      </c>
      <c r="DN145" s="48" t="n">
        <f aca="false">DM$145+DN$143-DN$144</f>
        <v>0</v>
      </c>
      <c r="DO145" s="48" t="n">
        <f aca="false">DN$145+DO$143-DO$144</f>
        <v>0</v>
      </c>
      <c r="DP145" s="48" t="n">
        <f aca="false">DO$145+DP$143-DP$144</f>
        <v>0</v>
      </c>
      <c r="DQ145" s="48" t="n">
        <f aca="false">DP$145+DQ$143-DQ$144</f>
        <v>0</v>
      </c>
      <c r="DR145" s="48" t="n">
        <f aca="false">DQ$145+DR$143-DR$144</f>
        <v>0</v>
      </c>
      <c r="DS145" s="48" t="n">
        <f aca="false">DR$145+DS$143-DS$144</f>
        <v>0</v>
      </c>
      <c r="DT145" s="48" t="n">
        <f aca="false">DS$145+DT$143-DT$144</f>
        <v>0</v>
      </c>
      <c r="DU145" s="48" t="n">
        <f aca="false">DT$145+DU$143-DU$144</f>
        <v>0</v>
      </c>
      <c r="DV145" s="48" t="n">
        <f aca="false">DU$145+DV$143-DV$144</f>
        <v>0</v>
      </c>
      <c r="DW145" s="48" t="n">
        <f aca="false">DV$145+DW$143-DW$144</f>
        <v>0</v>
      </c>
      <c r="DX145" s="48" t="n">
        <f aca="false">DW$145+DX$143-DX$144</f>
        <v>0</v>
      </c>
      <c r="DY145" s="48" t="n">
        <f aca="false">DX$145+DY$143-DY$144</f>
        <v>0</v>
      </c>
      <c r="DZ145" s="48" t="n">
        <f aca="false">DY$145+DZ$143-DZ$144</f>
        <v>0</v>
      </c>
      <c r="EA145" s="48" t="n">
        <f aca="false">DZ$145+EA$143-EA$144</f>
        <v>0</v>
      </c>
      <c r="EB145" s="48" t="n">
        <f aca="false">EA$145+EB$143-EB$144</f>
        <v>0</v>
      </c>
      <c r="EC145" s="48" t="n">
        <f aca="false">EB$145+EC$143-EC$144</f>
        <v>0</v>
      </c>
      <c r="ED145" s="48" t="n">
        <f aca="false">EC$145+ED$143-ED$144</f>
        <v>0</v>
      </c>
      <c r="EE145" s="48" t="n">
        <f aca="false">ED$145+EE$143-EE$144</f>
        <v>0</v>
      </c>
      <c r="EF145" s="48" t="n">
        <f aca="false">EE$145+EF$143-EF$144</f>
        <v>0</v>
      </c>
      <c r="EG145" s="48" t="n">
        <f aca="false">EF$145+EG$143-EG$144</f>
        <v>0</v>
      </c>
      <c r="EH145" s="48" t="n">
        <f aca="false">EG$145+EH$143-EH$144</f>
        <v>0</v>
      </c>
      <c r="EI145" s="48" t="n">
        <f aca="false">EH$145+EI$143-EI$144</f>
        <v>0</v>
      </c>
      <c r="EJ145" s="48" t="n">
        <f aca="false">EI$145+EJ$143-EJ$144</f>
        <v>0</v>
      </c>
      <c r="EK145" s="48" t="n">
        <f aca="false">EJ$145+EK$143-EK$144</f>
        <v>0</v>
      </c>
      <c r="EL145" s="48" t="n">
        <f aca="false">EK$145+EL$143-EL$144</f>
        <v>0</v>
      </c>
      <c r="EM145" s="48" t="n">
        <f aca="false">EL$145+EM$143-EM$144</f>
        <v>0</v>
      </c>
      <c r="EN145" s="48" t="n">
        <f aca="false">EM$145+EN$143-EN$144</f>
        <v>0</v>
      </c>
      <c r="EO145" s="48" t="n">
        <f aca="false">EN$145+EO$143-EO$144</f>
        <v>0</v>
      </c>
      <c r="EP145" s="48" t="n">
        <f aca="false">EO$145+EP$143-EP$144</f>
        <v>0</v>
      </c>
      <c r="EQ145" s="48" t="n">
        <f aca="false">EP$145+EQ$143-EQ$144</f>
        <v>0</v>
      </c>
      <c r="ER145" s="48" t="n">
        <f aca="false">EQ$145+ER$143-ER$144</f>
        <v>0</v>
      </c>
      <c r="ES145" s="48" t="n">
        <f aca="false">ER$145+ES$143-ES$144</f>
        <v>0</v>
      </c>
    </row>
    <row r="146" customFormat="false" ht="15" hidden="false" customHeight="false" outlineLevel="0" collapsed="false">
      <c r="A146" s="11" t="s">
        <v>1254</v>
      </c>
      <c r="B146" s="15" t="s">
        <v>1255</v>
      </c>
      <c r="C146" s="15" t="s">
        <v>508</v>
      </c>
      <c r="E146" s="54" t="n">
        <f aca="false">SUM(F146:ES146)</f>
        <v>2791587</v>
      </c>
      <c r="F146" s="48" t="n">
        <f aca="false">F$136+F$143</f>
        <v>2791587</v>
      </c>
      <c r="G146" s="48" t="n">
        <f aca="false">G$136+G$143</f>
        <v>0</v>
      </c>
      <c r="H146" s="48" t="n">
        <f aca="false">H$136+H$143</f>
        <v>0</v>
      </c>
      <c r="I146" s="48" t="n">
        <f aca="false">I$136+I$143</f>
        <v>0</v>
      </c>
      <c r="J146" s="48" t="n">
        <f aca="false">J$136+J$143</f>
        <v>0</v>
      </c>
      <c r="K146" s="48" t="n">
        <f aca="false">K$136+K$143</f>
        <v>0</v>
      </c>
      <c r="L146" s="48" t="n">
        <f aca="false">L$136+L$143</f>
        <v>0</v>
      </c>
      <c r="M146" s="48" t="n">
        <f aca="false">M$136+M$143</f>
        <v>0</v>
      </c>
      <c r="N146" s="48" t="n">
        <f aca="false">N$136+N$143</f>
        <v>0</v>
      </c>
      <c r="O146" s="48" t="n">
        <f aca="false">O$136+O$143</f>
        <v>0</v>
      </c>
      <c r="P146" s="48" t="n">
        <f aca="false">P$136+P$143</f>
        <v>0</v>
      </c>
      <c r="Q146" s="48" t="n">
        <f aca="false">Q$136+Q$143</f>
        <v>0</v>
      </c>
      <c r="R146" s="48" t="n">
        <f aca="false">R$136+R$143</f>
        <v>0</v>
      </c>
      <c r="S146" s="48" t="n">
        <f aca="false">S$136+S$143</f>
        <v>0</v>
      </c>
      <c r="T146" s="48" t="n">
        <f aca="false">T$136+T$143</f>
        <v>0</v>
      </c>
      <c r="U146" s="48" t="n">
        <f aca="false">U$136+U$143</f>
        <v>0</v>
      </c>
      <c r="V146" s="48" t="n">
        <f aca="false">V$136+V$143</f>
        <v>0</v>
      </c>
      <c r="W146" s="48" t="n">
        <f aca="false">W$136+W$143</f>
        <v>0</v>
      </c>
      <c r="X146" s="48" t="n">
        <f aca="false">X$136+X$143</f>
        <v>0</v>
      </c>
      <c r="Y146" s="48" t="n">
        <f aca="false">Y$136+Y$143</f>
        <v>0</v>
      </c>
      <c r="Z146" s="48" t="n">
        <f aca="false">Z$136+Z$143</f>
        <v>0</v>
      </c>
      <c r="AA146" s="48" t="n">
        <f aca="false">AA$136+AA$143</f>
        <v>0</v>
      </c>
      <c r="AB146" s="48" t="n">
        <f aca="false">AB$136+AB$143</f>
        <v>0</v>
      </c>
      <c r="AC146" s="48" t="n">
        <f aca="false">AC$136+AC$143</f>
        <v>0</v>
      </c>
      <c r="AD146" s="48" t="n">
        <f aca="false">AD$136+AD$143</f>
        <v>0</v>
      </c>
      <c r="AE146" s="48" t="n">
        <f aca="false">AE$136+AE$143</f>
        <v>0</v>
      </c>
      <c r="AF146" s="48" t="n">
        <f aca="false">AF$136+AF$143</f>
        <v>0</v>
      </c>
      <c r="AG146" s="48" t="n">
        <f aca="false">AG$136+AG$143</f>
        <v>0</v>
      </c>
      <c r="AH146" s="48" t="n">
        <f aca="false">AH$136+AH$143</f>
        <v>0</v>
      </c>
      <c r="AI146" s="48" t="n">
        <f aca="false">AI$136+AI$143</f>
        <v>0</v>
      </c>
      <c r="AJ146" s="48" t="n">
        <f aca="false">AJ$136+AJ$143</f>
        <v>0</v>
      </c>
      <c r="AK146" s="48" t="n">
        <f aca="false">AK$136+AK$143</f>
        <v>0</v>
      </c>
      <c r="AL146" s="48" t="n">
        <f aca="false">AL$136+AL$143</f>
        <v>0</v>
      </c>
      <c r="AM146" s="48" t="n">
        <f aca="false">AM$136+AM$143</f>
        <v>0</v>
      </c>
      <c r="AN146" s="48" t="n">
        <f aca="false">AN$136+AN$143</f>
        <v>0</v>
      </c>
      <c r="AO146" s="48" t="n">
        <f aca="false">AO$136+AO$143</f>
        <v>0</v>
      </c>
      <c r="AP146" s="48" t="n">
        <f aca="false">AP$136+AP$143</f>
        <v>0</v>
      </c>
      <c r="AQ146" s="48" t="n">
        <f aca="false">AQ$136+AQ$143</f>
        <v>0</v>
      </c>
      <c r="AR146" s="48" t="n">
        <f aca="false">AR$136+AR$143</f>
        <v>0</v>
      </c>
      <c r="AS146" s="48" t="n">
        <f aca="false">AS$136+AS$143</f>
        <v>0</v>
      </c>
      <c r="AT146" s="48" t="n">
        <f aca="false">AT$136+AT$143</f>
        <v>0</v>
      </c>
      <c r="AU146" s="48" t="n">
        <f aca="false">AU$136+AU$143</f>
        <v>0</v>
      </c>
      <c r="AV146" s="48" t="n">
        <f aca="false">AV$136+AV$143</f>
        <v>0</v>
      </c>
      <c r="AW146" s="48" t="n">
        <f aca="false">AW$136+AW$143</f>
        <v>0</v>
      </c>
      <c r="AX146" s="48" t="n">
        <f aca="false">AX$136+AX$143</f>
        <v>0</v>
      </c>
      <c r="AY146" s="48" t="n">
        <f aca="false">AY$136+AY$143</f>
        <v>0</v>
      </c>
      <c r="AZ146" s="48" t="n">
        <f aca="false">AZ$136+AZ$143</f>
        <v>0</v>
      </c>
      <c r="BA146" s="48" t="n">
        <f aca="false">BA$136+BA$143</f>
        <v>0</v>
      </c>
      <c r="BB146" s="48" t="n">
        <f aca="false">BB$136+BB$143</f>
        <v>0</v>
      </c>
      <c r="BC146" s="48" t="n">
        <f aca="false">BC$136+BC$143</f>
        <v>0</v>
      </c>
      <c r="BD146" s="48" t="n">
        <f aca="false">BD$136+BD$143</f>
        <v>0</v>
      </c>
      <c r="BE146" s="48" t="n">
        <f aca="false">BE$136+BE$143</f>
        <v>0</v>
      </c>
      <c r="BF146" s="48" t="n">
        <f aca="false">BF$136+BF$143</f>
        <v>0</v>
      </c>
      <c r="BG146" s="48" t="n">
        <f aca="false">BG$136+BG$143</f>
        <v>0</v>
      </c>
      <c r="BH146" s="48" t="n">
        <f aca="false">BH$136+BH$143</f>
        <v>0</v>
      </c>
      <c r="BI146" s="48" t="n">
        <f aca="false">BI$136+BI$143</f>
        <v>0</v>
      </c>
      <c r="BJ146" s="48" t="n">
        <f aca="false">BJ$136+BJ$143</f>
        <v>0</v>
      </c>
      <c r="BK146" s="48" t="n">
        <f aca="false">BK$136+BK$143</f>
        <v>0</v>
      </c>
      <c r="BL146" s="48" t="n">
        <f aca="false">BL$136+BL$143</f>
        <v>0</v>
      </c>
      <c r="BM146" s="48" t="n">
        <f aca="false">BM$136+BM$143</f>
        <v>0</v>
      </c>
      <c r="BN146" s="48" t="n">
        <f aca="false">BN$136+BN$143</f>
        <v>0</v>
      </c>
      <c r="BO146" s="48" t="n">
        <f aca="false">BO$136+BO$143</f>
        <v>0</v>
      </c>
      <c r="BP146" s="48" t="n">
        <f aca="false">BP$136+BP$143</f>
        <v>0</v>
      </c>
      <c r="BQ146" s="48" t="n">
        <f aca="false">BQ$136+BQ$143</f>
        <v>0</v>
      </c>
      <c r="BR146" s="48" t="n">
        <f aca="false">BR$136+BR$143</f>
        <v>0</v>
      </c>
      <c r="BS146" s="48" t="n">
        <f aca="false">BS$136+BS$143</f>
        <v>0</v>
      </c>
      <c r="BT146" s="48" t="n">
        <f aca="false">BT$136+BT$143</f>
        <v>0</v>
      </c>
      <c r="BU146" s="48" t="n">
        <f aca="false">BU$136+BU$143</f>
        <v>0</v>
      </c>
      <c r="BV146" s="48" t="n">
        <f aca="false">BV$136+BV$143</f>
        <v>0</v>
      </c>
      <c r="BW146" s="48" t="n">
        <f aca="false">BW$136+BW$143</f>
        <v>0</v>
      </c>
      <c r="BX146" s="48" t="n">
        <f aca="false">BX$136+BX$143</f>
        <v>0</v>
      </c>
      <c r="BY146" s="48" t="n">
        <f aca="false">BY$136+BY$143</f>
        <v>0</v>
      </c>
      <c r="BZ146" s="48" t="n">
        <f aca="false">BZ$136+BZ$143</f>
        <v>0</v>
      </c>
      <c r="CA146" s="48" t="n">
        <f aca="false">CA$136+CA$143</f>
        <v>0</v>
      </c>
      <c r="CB146" s="48" t="n">
        <f aca="false">CB$136+CB$143</f>
        <v>0</v>
      </c>
      <c r="CC146" s="48" t="n">
        <f aca="false">CC$136+CC$143</f>
        <v>0</v>
      </c>
      <c r="CD146" s="48" t="n">
        <f aca="false">CD$136+CD$143</f>
        <v>0</v>
      </c>
      <c r="CE146" s="48" t="n">
        <f aca="false">CE$136+CE$143</f>
        <v>0</v>
      </c>
      <c r="CF146" s="48" t="n">
        <f aca="false">CF$136+CF$143</f>
        <v>0</v>
      </c>
      <c r="CG146" s="48" t="n">
        <f aca="false">CG$136+CG$143</f>
        <v>0</v>
      </c>
      <c r="CH146" s="48" t="n">
        <f aca="false">CH$136+CH$143</f>
        <v>0</v>
      </c>
      <c r="CI146" s="48" t="n">
        <f aca="false">CI$136+CI$143</f>
        <v>0</v>
      </c>
      <c r="CJ146" s="48" t="n">
        <f aca="false">CJ$136+CJ$143</f>
        <v>0</v>
      </c>
      <c r="CK146" s="48" t="n">
        <f aca="false">CK$136+CK$143</f>
        <v>0</v>
      </c>
      <c r="CL146" s="48" t="n">
        <f aca="false">CL$136+CL$143</f>
        <v>0</v>
      </c>
      <c r="CM146" s="48" t="n">
        <f aca="false">CM$136+CM$143</f>
        <v>0</v>
      </c>
      <c r="CN146" s="48" t="n">
        <f aca="false">CN$136+CN$143</f>
        <v>0</v>
      </c>
      <c r="CO146" s="48" t="n">
        <f aca="false">CO$136+CO$143</f>
        <v>0</v>
      </c>
      <c r="CP146" s="48" t="n">
        <f aca="false">CP$136+CP$143</f>
        <v>0</v>
      </c>
      <c r="CQ146" s="48" t="n">
        <f aca="false">CQ$136+CQ$143</f>
        <v>0</v>
      </c>
      <c r="CR146" s="48" t="n">
        <f aca="false">CR$136+CR$143</f>
        <v>0</v>
      </c>
      <c r="CS146" s="48" t="n">
        <f aca="false">CS$136+CS$143</f>
        <v>0</v>
      </c>
      <c r="CT146" s="48" t="n">
        <f aca="false">CT$136+CT$143</f>
        <v>0</v>
      </c>
      <c r="CU146" s="48" t="n">
        <f aca="false">CU$136+CU$143</f>
        <v>0</v>
      </c>
      <c r="CV146" s="48" t="n">
        <f aca="false">CV$136+CV$143</f>
        <v>0</v>
      </c>
      <c r="CW146" s="48" t="n">
        <f aca="false">CW$136+CW$143</f>
        <v>0</v>
      </c>
      <c r="CX146" s="48" t="n">
        <f aca="false">CX$136+CX$143</f>
        <v>0</v>
      </c>
      <c r="CY146" s="48" t="n">
        <f aca="false">CY$136+CY$143</f>
        <v>0</v>
      </c>
      <c r="CZ146" s="48" t="n">
        <f aca="false">CZ$136+CZ$143</f>
        <v>0</v>
      </c>
      <c r="DA146" s="48" t="n">
        <f aca="false">DA$136+DA$143</f>
        <v>0</v>
      </c>
      <c r="DB146" s="48" t="n">
        <f aca="false">DB$136+DB$143</f>
        <v>0</v>
      </c>
      <c r="DC146" s="48" t="n">
        <f aca="false">DC$136+DC$143</f>
        <v>0</v>
      </c>
      <c r="DD146" s="48" t="n">
        <f aca="false">DD$136+DD$143</f>
        <v>0</v>
      </c>
      <c r="DE146" s="48" t="n">
        <f aca="false">DE$136+DE$143</f>
        <v>0</v>
      </c>
      <c r="DF146" s="48" t="n">
        <f aca="false">DF$136+DF$143</f>
        <v>0</v>
      </c>
      <c r="DG146" s="48" t="n">
        <f aca="false">DG$136+DG$143</f>
        <v>0</v>
      </c>
      <c r="DH146" s="48" t="n">
        <f aca="false">DH$136+DH$143</f>
        <v>0</v>
      </c>
      <c r="DI146" s="48" t="n">
        <f aca="false">DI$136+DI$143</f>
        <v>0</v>
      </c>
      <c r="DJ146" s="48" t="n">
        <f aca="false">DJ$136+DJ$143</f>
        <v>0</v>
      </c>
      <c r="DK146" s="48" t="n">
        <f aca="false">DK$136+DK$143</f>
        <v>0</v>
      </c>
      <c r="DL146" s="48" t="n">
        <f aca="false">DL$136+DL$143</f>
        <v>0</v>
      </c>
      <c r="DM146" s="48" t="n">
        <f aca="false">DM$136+DM$143</f>
        <v>0</v>
      </c>
      <c r="DN146" s="48" t="n">
        <f aca="false">DN$136+DN$143</f>
        <v>0</v>
      </c>
      <c r="DO146" s="48" t="n">
        <f aca="false">DO$136+DO$143</f>
        <v>0</v>
      </c>
      <c r="DP146" s="48" t="n">
        <f aca="false">DP$136+DP$143</f>
        <v>0</v>
      </c>
      <c r="DQ146" s="48" t="n">
        <f aca="false">DQ$136+DQ$143</f>
        <v>0</v>
      </c>
      <c r="DR146" s="48" t="n">
        <f aca="false">DR$136+DR$143</f>
        <v>0</v>
      </c>
      <c r="DS146" s="48" t="n">
        <f aca="false">DS$136+DS$143</f>
        <v>0</v>
      </c>
      <c r="DT146" s="48" t="n">
        <f aca="false">DT$136+DT$143</f>
        <v>0</v>
      </c>
      <c r="DU146" s="48" t="n">
        <f aca="false">DU$136+DU$143</f>
        <v>0</v>
      </c>
      <c r="DV146" s="48" t="n">
        <f aca="false">DV$136+DV$143</f>
        <v>0</v>
      </c>
      <c r="DW146" s="48" t="n">
        <f aca="false">DW$136+DW$143</f>
        <v>0</v>
      </c>
      <c r="DX146" s="48" t="n">
        <f aca="false">DX$136+DX$143</f>
        <v>0</v>
      </c>
      <c r="DY146" s="48" t="n">
        <f aca="false">DY$136+DY$143</f>
        <v>0</v>
      </c>
      <c r="DZ146" s="48" t="n">
        <f aca="false">DZ$136+DZ$143</f>
        <v>0</v>
      </c>
      <c r="EA146" s="48" t="n">
        <f aca="false">EA$136+EA$143</f>
        <v>0</v>
      </c>
      <c r="EB146" s="48" t="n">
        <f aca="false">EB$136+EB$143</f>
        <v>0</v>
      </c>
      <c r="EC146" s="48" t="n">
        <f aca="false">EC$136+EC$143</f>
        <v>0</v>
      </c>
      <c r="ED146" s="48" t="n">
        <f aca="false">ED$136+ED$143</f>
        <v>0</v>
      </c>
      <c r="EE146" s="48" t="n">
        <f aca="false">EE$136+EE$143</f>
        <v>0</v>
      </c>
      <c r="EF146" s="48" t="n">
        <f aca="false">EF$136+EF$143</f>
        <v>0</v>
      </c>
      <c r="EG146" s="48" t="n">
        <f aca="false">EG$136+EG$143</f>
        <v>0</v>
      </c>
      <c r="EH146" s="48" t="n">
        <f aca="false">EH$136+EH$143</f>
        <v>0</v>
      </c>
      <c r="EI146" s="48" t="n">
        <f aca="false">EI$136+EI$143</f>
        <v>0</v>
      </c>
      <c r="EJ146" s="48" t="n">
        <f aca="false">EJ$136+EJ$143</f>
        <v>0</v>
      </c>
      <c r="EK146" s="48" t="n">
        <f aca="false">EK$136+EK$143</f>
        <v>0</v>
      </c>
      <c r="EL146" s="48" t="n">
        <f aca="false">EL$136+EL$143</f>
        <v>0</v>
      </c>
      <c r="EM146" s="48" t="n">
        <f aca="false">EM$136+EM$143</f>
        <v>0</v>
      </c>
      <c r="EN146" s="48" t="n">
        <f aca="false">EN$136+EN$143</f>
        <v>0</v>
      </c>
      <c r="EO146" s="48" t="n">
        <f aca="false">EO$136+EO$143</f>
        <v>0</v>
      </c>
      <c r="EP146" s="48" t="n">
        <f aca="false">EP$136+EP$143</f>
        <v>0</v>
      </c>
      <c r="EQ146" s="48" t="n">
        <f aca="false">EQ$136+EQ$143</f>
        <v>0</v>
      </c>
      <c r="ER146" s="48" t="n">
        <f aca="false">ER$136+ER$143</f>
        <v>0</v>
      </c>
      <c r="ES146" s="48" t="n">
        <f aca="false">ES$136+ES$143</f>
        <v>0</v>
      </c>
    </row>
    <row r="147" customFormat="false" ht="15" hidden="false" customHeight="false" outlineLevel="0" collapsed="false">
      <c r="A147" s="11" t="s">
        <v>1256</v>
      </c>
      <c r="B147" s="15" t="s">
        <v>1257</v>
      </c>
      <c r="C147" s="15" t="s">
        <v>508</v>
      </c>
      <c r="E147" s="54" t="n">
        <f aca="false">SUM(F147:ES147)</f>
        <v>2791587</v>
      </c>
      <c r="F147" s="48" t="n">
        <f aca="false">F$137+F$144</f>
        <v>0</v>
      </c>
      <c r="G147" s="48" t="n">
        <f aca="false">G$137+G$144</f>
        <v>0</v>
      </c>
      <c r="H147" s="48" t="n">
        <f aca="false">H$137+H$144</f>
        <v>0</v>
      </c>
      <c r="I147" s="48" t="n">
        <f aca="false">I$137+I$144</f>
        <v>0</v>
      </c>
      <c r="J147" s="48" t="n">
        <f aca="false">J$137+J$144</f>
        <v>0</v>
      </c>
      <c r="K147" s="48" t="n">
        <f aca="false">K$137+K$144</f>
        <v>0</v>
      </c>
      <c r="L147" s="48" t="n">
        <f aca="false">L$137+L$144</f>
        <v>42123.3040946878</v>
      </c>
      <c r="M147" s="48" t="n">
        <f aca="false">M$137+M$144</f>
        <v>42439.2288753979</v>
      </c>
      <c r="N147" s="48" t="n">
        <f aca="false">N$137+N$144</f>
        <v>42757.5230919634</v>
      </c>
      <c r="O147" s="48" t="n">
        <f aca="false">O$137+O$144</f>
        <v>43078.2045151531</v>
      </c>
      <c r="P147" s="48" t="n">
        <f aca="false">P$137+P$144</f>
        <v>43401.2910490168</v>
      </c>
      <c r="Q147" s="48" t="n">
        <f aca="false">Q$137+Q$144</f>
        <v>43726.8007318844</v>
      </c>
      <c r="R147" s="48" t="n">
        <f aca="false">R$137+R$144</f>
        <v>44054.7517373735</v>
      </c>
      <c r="S147" s="48" t="n">
        <f aca="false">S$137+S$144</f>
        <v>44385.1623754038</v>
      </c>
      <c r="T147" s="48" t="n">
        <f aca="false">T$137+T$144</f>
        <v>44718.0510932194</v>
      </c>
      <c r="U147" s="48" t="n">
        <f aca="false">U$137+U$144</f>
        <v>45053.4364764185</v>
      </c>
      <c r="V147" s="48" t="n">
        <f aca="false">V$137+V$144</f>
        <v>45391.3372499916</v>
      </c>
      <c r="W147" s="48" t="n">
        <f aca="false">W$137+W$144</f>
        <v>45731.7722793666</v>
      </c>
      <c r="X147" s="48" t="n">
        <f aca="false">X$137+X$144</f>
        <v>46074.7605714618</v>
      </c>
      <c r="Y147" s="48" t="n">
        <f aca="false">Y$137+Y$144</f>
        <v>46420.3212757478</v>
      </c>
      <c r="Z147" s="48" t="n">
        <f aca="false">Z$137+Z$144</f>
        <v>46768.4736853159</v>
      </c>
      <c r="AA147" s="48" t="n">
        <f aca="false">AA$137+AA$144</f>
        <v>47119.2372379558</v>
      </c>
      <c r="AB147" s="48" t="n">
        <f aca="false">AB$137+AB$144</f>
        <v>47472.6315172404</v>
      </c>
      <c r="AC147" s="48" t="n">
        <f aca="false">AC$137+AC$144</f>
        <v>47828.6762536197</v>
      </c>
      <c r="AD147" s="48" t="n">
        <f aca="false">AD$137+AD$144</f>
        <v>48187.3913255219</v>
      </c>
      <c r="AE147" s="48" t="n">
        <f aca="false">AE$137+AE$144</f>
        <v>48548.7967604633</v>
      </c>
      <c r="AF147" s="48" t="n">
        <f aca="false">AF$137+AF$144</f>
        <v>48912.9127361668</v>
      </c>
      <c r="AG147" s="48" t="n">
        <f aca="false">AG$137+AG$144</f>
        <v>49279.759581688</v>
      </c>
      <c r="AH147" s="48" t="n">
        <f aca="false">AH$137+AH$144</f>
        <v>49649.3577785507</v>
      </c>
      <c r="AI147" s="48" t="n">
        <f aca="false">AI$137+AI$144</f>
        <v>50021.7279618898</v>
      </c>
      <c r="AJ147" s="48" t="n">
        <f aca="false">AJ$137+AJ$144</f>
        <v>50396.890921604</v>
      </c>
      <c r="AK147" s="48" t="n">
        <f aca="false">AK$137+AK$144</f>
        <v>50774.867603516</v>
      </c>
      <c r="AL147" s="48" t="n">
        <f aca="false">AL$137+AL$144</f>
        <v>51155.6791105424</v>
      </c>
      <c r="AM147" s="48" t="n">
        <f aca="false">AM$137+AM$144</f>
        <v>51539.3467038715</v>
      </c>
      <c r="AN147" s="48" t="n">
        <f aca="false">AN$137+AN$144</f>
        <v>51925.8918041505</v>
      </c>
      <c r="AO147" s="48" t="n">
        <f aca="false">AO$137+AO$144</f>
        <v>52315.3359926816</v>
      </c>
      <c r="AP147" s="48" t="n">
        <f aca="false">AP$137+AP$144</f>
        <v>52707.7010126267</v>
      </c>
      <c r="AQ147" s="48" t="n">
        <f aca="false">AQ$137+AQ$144</f>
        <v>53103.0087702214</v>
      </c>
      <c r="AR147" s="48" t="n">
        <f aca="false">AR$137+AR$144</f>
        <v>53501.2813359981</v>
      </c>
      <c r="AS147" s="48" t="n">
        <f aca="false">AS$137+AS$144</f>
        <v>53902.5409460181</v>
      </c>
      <c r="AT147" s="48" t="n">
        <f aca="false">AT$137+AT$144</f>
        <v>54306.8100031132</v>
      </c>
      <c r="AU147" s="48" t="n">
        <f aca="false">AU$137+AU$144</f>
        <v>54714.1110781366</v>
      </c>
      <c r="AV147" s="48" t="n">
        <f aca="false">AV$137+AV$144</f>
        <v>55124.4669112226</v>
      </c>
      <c r="AW147" s="48" t="n">
        <f aca="false">AW$137+AW$144</f>
        <v>55537.9004130568</v>
      </c>
      <c r="AX147" s="48" t="n">
        <f aca="false">AX$137+AX$144</f>
        <v>55954.4346661547</v>
      </c>
      <c r="AY147" s="48" t="n">
        <f aca="false">AY$137+AY$144</f>
        <v>56374.0929261509</v>
      </c>
      <c r="AZ147" s="48" t="n">
        <f aca="false">AZ$137+AZ$144</f>
        <v>56796.898623097</v>
      </c>
      <c r="BA147" s="48" t="n">
        <f aca="false">BA$137+BA$144</f>
        <v>57222.8753627702</v>
      </c>
      <c r="BB147" s="48" t="n">
        <f aca="false">BB$137+BB$144</f>
        <v>57652.046927991</v>
      </c>
      <c r="BC147" s="48" t="n">
        <f aca="false">BC$137+BC$144</f>
        <v>58084.4372799509</v>
      </c>
      <c r="BD147" s="48" t="n">
        <f aca="false">BD$137+BD$144</f>
        <v>58520.0705595506</v>
      </c>
      <c r="BE147" s="48" t="n">
        <f aca="false">BE$137+BE$144</f>
        <v>58958.9710887472</v>
      </c>
      <c r="BF147" s="48" t="n">
        <f aca="false">BF$137+BF$144</f>
        <v>59401.1633719128</v>
      </c>
      <c r="BG147" s="48" t="n">
        <f aca="false">BG$137+BG$144</f>
        <v>59846.6720972021</v>
      </c>
      <c r="BH147" s="48" t="n">
        <f aca="false">BH$137+BH$144</f>
        <v>60295.5221379312</v>
      </c>
      <c r="BI147" s="48" t="n">
        <f aca="false">BI$137+BI$144</f>
        <v>60747.7385539656</v>
      </c>
      <c r="BJ147" s="48" t="n">
        <f aca="false">BJ$137+BJ$144</f>
        <v>61203.3465931204</v>
      </c>
      <c r="BK147" s="48" t="n">
        <f aca="false">BK$137+BK$144</f>
        <v>61662.3716925688</v>
      </c>
      <c r="BL147" s="48" t="n">
        <f aca="false">BL$137+BL$144</f>
        <v>62124.839480263</v>
      </c>
      <c r="BM147" s="48" t="n">
        <f aca="false">BM$137+BM$144</f>
        <v>62590.7757763667</v>
      </c>
      <c r="BN147" s="48" t="n">
        <f aca="false">BN$137+BN$144</f>
        <v>0</v>
      </c>
      <c r="BO147" s="48" t="n">
        <f aca="false">BO$137+BO$144</f>
        <v>0</v>
      </c>
      <c r="BP147" s="48" t="n">
        <f aca="false">BP$137+BP$144</f>
        <v>0</v>
      </c>
      <c r="BQ147" s="48" t="n">
        <f aca="false">BQ$137+BQ$144</f>
        <v>0</v>
      </c>
      <c r="BR147" s="48" t="n">
        <f aca="false">BR$137+BR$144</f>
        <v>0</v>
      </c>
      <c r="BS147" s="48" t="n">
        <f aca="false">BS$137+BS$144</f>
        <v>0</v>
      </c>
      <c r="BT147" s="48" t="n">
        <f aca="false">BT$137+BT$144</f>
        <v>0</v>
      </c>
      <c r="BU147" s="48" t="n">
        <f aca="false">BU$137+BU$144</f>
        <v>0</v>
      </c>
      <c r="BV147" s="48" t="n">
        <f aca="false">BV$137+BV$144</f>
        <v>0</v>
      </c>
      <c r="BW147" s="48" t="n">
        <f aca="false">BW$137+BW$144</f>
        <v>0</v>
      </c>
      <c r="BX147" s="48" t="n">
        <f aca="false">BX$137+BX$144</f>
        <v>0</v>
      </c>
      <c r="BY147" s="48" t="n">
        <f aca="false">BY$137+BY$144</f>
        <v>0</v>
      </c>
      <c r="BZ147" s="48" t="n">
        <f aca="false">BZ$137+BZ$144</f>
        <v>0</v>
      </c>
      <c r="CA147" s="48" t="n">
        <f aca="false">CA$137+CA$144</f>
        <v>0</v>
      </c>
      <c r="CB147" s="48" t="n">
        <f aca="false">CB$137+CB$144</f>
        <v>0</v>
      </c>
      <c r="CC147" s="48" t="n">
        <f aca="false">CC$137+CC$144</f>
        <v>0</v>
      </c>
      <c r="CD147" s="48" t="n">
        <f aca="false">CD$137+CD$144</f>
        <v>0</v>
      </c>
      <c r="CE147" s="48" t="n">
        <f aca="false">CE$137+CE$144</f>
        <v>0</v>
      </c>
      <c r="CF147" s="48" t="n">
        <f aca="false">CF$137+CF$144</f>
        <v>0</v>
      </c>
      <c r="CG147" s="48" t="n">
        <f aca="false">CG$137+CG$144</f>
        <v>0</v>
      </c>
      <c r="CH147" s="48" t="n">
        <f aca="false">CH$137+CH$144</f>
        <v>0</v>
      </c>
      <c r="CI147" s="48" t="n">
        <f aca="false">CI$137+CI$144</f>
        <v>0</v>
      </c>
      <c r="CJ147" s="48" t="n">
        <f aca="false">CJ$137+CJ$144</f>
        <v>0</v>
      </c>
      <c r="CK147" s="48" t="n">
        <f aca="false">CK$137+CK$144</f>
        <v>0</v>
      </c>
      <c r="CL147" s="48" t="n">
        <f aca="false">CL$137+CL$144</f>
        <v>0</v>
      </c>
      <c r="CM147" s="48" t="n">
        <f aca="false">CM$137+CM$144</f>
        <v>0</v>
      </c>
      <c r="CN147" s="48" t="n">
        <f aca="false">CN$137+CN$144</f>
        <v>0</v>
      </c>
      <c r="CO147" s="48" t="n">
        <f aca="false">CO$137+CO$144</f>
        <v>0</v>
      </c>
      <c r="CP147" s="48" t="n">
        <f aca="false">CP$137+CP$144</f>
        <v>0</v>
      </c>
      <c r="CQ147" s="48" t="n">
        <f aca="false">CQ$137+CQ$144</f>
        <v>0</v>
      </c>
      <c r="CR147" s="48" t="n">
        <f aca="false">CR$137+CR$144</f>
        <v>0</v>
      </c>
      <c r="CS147" s="48" t="n">
        <f aca="false">CS$137+CS$144</f>
        <v>0</v>
      </c>
      <c r="CT147" s="48" t="n">
        <f aca="false">CT$137+CT$144</f>
        <v>0</v>
      </c>
      <c r="CU147" s="48" t="n">
        <f aca="false">CU$137+CU$144</f>
        <v>0</v>
      </c>
      <c r="CV147" s="48" t="n">
        <f aca="false">CV$137+CV$144</f>
        <v>0</v>
      </c>
      <c r="CW147" s="48" t="n">
        <f aca="false">CW$137+CW$144</f>
        <v>0</v>
      </c>
      <c r="CX147" s="48" t="n">
        <f aca="false">CX$137+CX$144</f>
        <v>0</v>
      </c>
      <c r="CY147" s="48" t="n">
        <f aca="false">CY$137+CY$144</f>
        <v>0</v>
      </c>
      <c r="CZ147" s="48" t="n">
        <f aca="false">CZ$137+CZ$144</f>
        <v>0</v>
      </c>
      <c r="DA147" s="48" t="n">
        <f aca="false">DA$137+DA$144</f>
        <v>0</v>
      </c>
      <c r="DB147" s="48" t="n">
        <f aca="false">DB$137+DB$144</f>
        <v>0</v>
      </c>
      <c r="DC147" s="48" t="n">
        <f aca="false">DC$137+DC$144</f>
        <v>0</v>
      </c>
      <c r="DD147" s="48" t="n">
        <f aca="false">DD$137+DD$144</f>
        <v>0</v>
      </c>
      <c r="DE147" s="48" t="n">
        <f aca="false">DE$137+DE$144</f>
        <v>0</v>
      </c>
      <c r="DF147" s="48" t="n">
        <f aca="false">DF$137+DF$144</f>
        <v>0</v>
      </c>
      <c r="DG147" s="48" t="n">
        <f aca="false">DG$137+DG$144</f>
        <v>0</v>
      </c>
      <c r="DH147" s="48" t="n">
        <f aca="false">DH$137+DH$144</f>
        <v>0</v>
      </c>
      <c r="DI147" s="48" t="n">
        <f aca="false">DI$137+DI$144</f>
        <v>0</v>
      </c>
      <c r="DJ147" s="48" t="n">
        <f aca="false">DJ$137+DJ$144</f>
        <v>0</v>
      </c>
      <c r="DK147" s="48" t="n">
        <f aca="false">DK$137+DK$144</f>
        <v>0</v>
      </c>
      <c r="DL147" s="48" t="n">
        <f aca="false">DL$137+DL$144</f>
        <v>0</v>
      </c>
      <c r="DM147" s="48" t="n">
        <f aca="false">DM$137+DM$144</f>
        <v>0</v>
      </c>
      <c r="DN147" s="48" t="n">
        <f aca="false">DN$137+DN$144</f>
        <v>0</v>
      </c>
      <c r="DO147" s="48" t="n">
        <f aca="false">DO$137+DO$144</f>
        <v>0</v>
      </c>
      <c r="DP147" s="48" t="n">
        <f aca="false">DP$137+DP$144</f>
        <v>0</v>
      </c>
      <c r="DQ147" s="48" t="n">
        <f aca="false">DQ$137+DQ$144</f>
        <v>0</v>
      </c>
      <c r="DR147" s="48" t="n">
        <f aca="false">DR$137+DR$144</f>
        <v>0</v>
      </c>
      <c r="DS147" s="48" t="n">
        <f aca="false">DS$137+DS$144</f>
        <v>0</v>
      </c>
      <c r="DT147" s="48" t="n">
        <f aca="false">DT$137+DT$144</f>
        <v>0</v>
      </c>
      <c r="DU147" s="48" t="n">
        <f aca="false">DU$137+DU$144</f>
        <v>0</v>
      </c>
      <c r="DV147" s="48" t="n">
        <f aca="false">DV$137+DV$144</f>
        <v>0</v>
      </c>
      <c r="DW147" s="48" t="n">
        <f aca="false">DW$137+DW$144</f>
        <v>0</v>
      </c>
      <c r="DX147" s="48" t="n">
        <f aca="false">DX$137+DX$144</f>
        <v>0</v>
      </c>
      <c r="DY147" s="48" t="n">
        <f aca="false">DY$137+DY$144</f>
        <v>0</v>
      </c>
      <c r="DZ147" s="48" t="n">
        <f aca="false">DZ$137+DZ$144</f>
        <v>0</v>
      </c>
      <c r="EA147" s="48" t="n">
        <f aca="false">EA$137+EA$144</f>
        <v>0</v>
      </c>
      <c r="EB147" s="48" t="n">
        <f aca="false">EB$137+EB$144</f>
        <v>0</v>
      </c>
      <c r="EC147" s="48" t="n">
        <f aca="false">EC$137+EC$144</f>
        <v>0</v>
      </c>
      <c r="ED147" s="48" t="n">
        <f aca="false">ED$137+ED$144</f>
        <v>0</v>
      </c>
      <c r="EE147" s="48" t="n">
        <f aca="false">EE$137+EE$144</f>
        <v>0</v>
      </c>
      <c r="EF147" s="48" t="n">
        <f aca="false">EF$137+EF$144</f>
        <v>0</v>
      </c>
      <c r="EG147" s="48" t="n">
        <f aca="false">EG$137+EG$144</f>
        <v>0</v>
      </c>
      <c r="EH147" s="48" t="n">
        <f aca="false">EH$137+EH$144</f>
        <v>0</v>
      </c>
      <c r="EI147" s="48" t="n">
        <f aca="false">EI$137+EI$144</f>
        <v>0</v>
      </c>
      <c r="EJ147" s="48" t="n">
        <f aca="false">EJ$137+EJ$144</f>
        <v>0</v>
      </c>
      <c r="EK147" s="48" t="n">
        <f aca="false">EK$137+EK$144</f>
        <v>0</v>
      </c>
      <c r="EL147" s="48" t="n">
        <f aca="false">EL$137+EL$144</f>
        <v>0</v>
      </c>
      <c r="EM147" s="48" t="n">
        <f aca="false">EM$137+EM$144</f>
        <v>0</v>
      </c>
      <c r="EN147" s="48" t="n">
        <f aca="false">EN$137+EN$144</f>
        <v>0</v>
      </c>
      <c r="EO147" s="48" t="n">
        <f aca="false">EO$137+EO$144</f>
        <v>0</v>
      </c>
      <c r="EP147" s="48" t="n">
        <f aca="false">EP$137+EP$144</f>
        <v>0</v>
      </c>
      <c r="EQ147" s="48" t="n">
        <f aca="false">EQ$137+EQ$144</f>
        <v>0</v>
      </c>
      <c r="ER147" s="48" t="n">
        <f aca="false">ER$137+ER$144</f>
        <v>0</v>
      </c>
      <c r="ES147" s="48" t="n">
        <f aca="false">ES$137+ES$144</f>
        <v>0</v>
      </c>
    </row>
    <row r="148" customFormat="false" ht="15" hidden="false" customHeight="false" outlineLevel="0" collapsed="false">
      <c r="A148" s="11" t="s">
        <v>1258</v>
      </c>
      <c r="B148" s="67" t="s">
        <v>1259</v>
      </c>
      <c r="C148" s="15" t="s">
        <v>508</v>
      </c>
      <c r="E148" s="54" t="n">
        <f aca="false">MAX(F148:ES148)</f>
        <v>2791587</v>
      </c>
      <c r="F148" s="19" t="n">
        <f aca="false">0+F$146-F$147</f>
        <v>2791587</v>
      </c>
      <c r="G148" s="19" t="n">
        <f aca="false">F$148+G$146-G$147</f>
        <v>2791587</v>
      </c>
      <c r="H148" s="19" t="n">
        <f aca="false">G$148+H$146-H$147</f>
        <v>2791587</v>
      </c>
      <c r="I148" s="19" t="n">
        <f aca="false">H$148+I$146-I$147</f>
        <v>2791587</v>
      </c>
      <c r="J148" s="19" t="n">
        <f aca="false">I$148+J$146-J$147</f>
        <v>2791587</v>
      </c>
      <c r="K148" s="19" t="n">
        <f aca="false">J$148+K$146-K$147</f>
        <v>2791587</v>
      </c>
      <c r="L148" s="19" t="n">
        <f aca="false">K$148+L$146-L$147</f>
        <v>2749463.69590531</v>
      </c>
      <c r="M148" s="19" t="n">
        <f aca="false">L$148+M$146-M$147</f>
        <v>2707024.46702991</v>
      </c>
      <c r="N148" s="19" t="n">
        <f aca="false">M$148+N$146-N$147</f>
        <v>2664266.94393795</v>
      </c>
      <c r="O148" s="19" t="n">
        <f aca="false">N$148+O$146-O$147</f>
        <v>2621188.7394228</v>
      </c>
      <c r="P148" s="19" t="n">
        <f aca="false">O$148+P$146-P$147</f>
        <v>2577787.44837378</v>
      </c>
      <c r="Q148" s="19" t="n">
        <f aca="false">P$148+Q$146-Q$147</f>
        <v>2534060.6476419</v>
      </c>
      <c r="R148" s="19" t="n">
        <f aca="false">Q$148+R$146-R$147</f>
        <v>2490005.89590452</v>
      </c>
      <c r="S148" s="19" t="n">
        <f aca="false">R$148+S$146-S$147</f>
        <v>2445620.73352912</v>
      </c>
      <c r="T148" s="19" t="n">
        <f aca="false">S$148+T$146-T$147</f>
        <v>2400902.6824359</v>
      </c>
      <c r="U148" s="19" t="n">
        <f aca="false">T$148+U$146-U$147</f>
        <v>2355849.24595948</v>
      </c>
      <c r="V148" s="19" t="n">
        <f aca="false">U$148+V$146-V$147</f>
        <v>2310457.90870949</v>
      </c>
      <c r="W148" s="19" t="n">
        <f aca="false">V$148+W$146-W$147</f>
        <v>2264726.13643012</v>
      </c>
      <c r="X148" s="19" t="n">
        <f aca="false">W$148+X$146-X$147</f>
        <v>2218651.37585866</v>
      </c>
      <c r="Y148" s="19" t="n">
        <f aca="false">X$148+Y$146-Y$147</f>
        <v>2172231.05458292</v>
      </c>
      <c r="Z148" s="19" t="n">
        <f aca="false">Y$148+Z$146-Z$147</f>
        <v>2125462.5808976</v>
      </c>
      <c r="AA148" s="19" t="n">
        <f aca="false">Z$148+AA$146-AA$147</f>
        <v>2078343.34365964</v>
      </c>
      <c r="AB148" s="19" t="n">
        <f aca="false">AA$148+AB$146-AB$147</f>
        <v>2030870.7121424</v>
      </c>
      <c r="AC148" s="19" t="n">
        <f aca="false">AB$148+AC$146-AC$147</f>
        <v>1983042.03588878</v>
      </c>
      <c r="AD148" s="19" t="n">
        <f aca="false">AC$148+AD$146-AD$147</f>
        <v>1934854.64456326</v>
      </c>
      <c r="AE148" s="19" t="n">
        <f aca="false">AD$148+AE$146-AE$147</f>
        <v>1886305.8478028</v>
      </c>
      <c r="AF148" s="19" t="n">
        <f aca="false">AE$148+AF$146-AF$147</f>
        <v>1837392.93506663</v>
      </c>
      <c r="AG148" s="19" t="n">
        <f aca="false">AF$148+AG$146-AG$147</f>
        <v>1788113.17548494</v>
      </c>
      <c r="AH148" s="19" t="n">
        <f aca="false">AG$148+AH$146-AH$147</f>
        <v>1738463.81770639</v>
      </c>
      <c r="AI148" s="19" t="n">
        <f aca="false">AH$148+AI$146-AI$147</f>
        <v>1688442.0897445</v>
      </c>
      <c r="AJ148" s="19" t="n">
        <f aca="false">AI$148+AJ$146-AJ$147</f>
        <v>1638045.1988229</v>
      </c>
      <c r="AK148" s="19" t="n">
        <f aca="false">AJ$148+AK$146-AK$147</f>
        <v>1587270.33121938</v>
      </c>
      <c r="AL148" s="19" t="n">
        <f aca="false">AK$148+AL$146-AL$147</f>
        <v>1536114.65210884</v>
      </c>
      <c r="AM148" s="19" t="n">
        <f aca="false">AL$148+AM$146-AM$147</f>
        <v>1484575.30540497</v>
      </c>
      <c r="AN148" s="19" t="n">
        <f aca="false">AM$148+AN$146-AN$147</f>
        <v>1432649.41360082</v>
      </c>
      <c r="AO148" s="19" t="n">
        <f aca="false">AN$148+AO$146-AO$147</f>
        <v>1380334.07760814</v>
      </c>
      <c r="AP148" s="19" t="n">
        <f aca="false">AO$148+AP$146-AP$147</f>
        <v>1327626.37659551</v>
      </c>
      <c r="AQ148" s="19" t="n">
        <f aca="false">AP$148+AQ$146-AQ$147</f>
        <v>1274523.36782529</v>
      </c>
      <c r="AR148" s="19" t="n">
        <f aca="false">AQ$148+AR$146-AR$147</f>
        <v>1221022.08648929</v>
      </c>
      <c r="AS148" s="19" t="n">
        <f aca="false">AR$148+AS$146-AS$147</f>
        <v>1167119.54554327</v>
      </c>
      <c r="AT148" s="19" t="n">
        <f aca="false">AS$148+AT$146-AT$147</f>
        <v>1112812.73554016</v>
      </c>
      <c r="AU148" s="19" t="n">
        <f aca="false">AT$148+AU$146-AU$147</f>
        <v>1058098.62446202</v>
      </c>
      <c r="AV148" s="19" t="n">
        <f aca="false">AU$148+AV$146-AV$147</f>
        <v>1002974.1575508</v>
      </c>
      <c r="AW148" s="19" t="n">
        <f aca="false">AV$148+AW$146-AW$147</f>
        <v>947436.257137743</v>
      </c>
      <c r="AX148" s="19" t="n">
        <f aca="false">AW$148+AX$146-AX$147</f>
        <v>891481.822471588</v>
      </c>
      <c r="AY148" s="19" t="n">
        <f aca="false">AX$148+AY$146-AY$147</f>
        <v>835107.729545437</v>
      </c>
      <c r="AZ148" s="19" t="n">
        <f aca="false">AY$148+AZ$146-AZ$147</f>
        <v>778310.83092234</v>
      </c>
      <c r="BA148" s="19" t="n">
        <f aca="false">AZ$148+BA$146-BA$147</f>
        <v>721087.95555957</v>
      </c>
      <c r="BB148" s="19" t="n">
        <f aca="false">BA$148+BB$146-BB$147</f>
        <v>663435.908631579</v>
      </c>
      <c r="BC148" s="19" t="n">
        <f aca="false">BB$148+BC$146-BC$147</f>
        <v>605351.471351628</v>
      </c>
      <c r="BD148" s="19" t="n">
        <f aca="false">BC$148+BD$146-BD$147</f>
        <v>546831.400792078</v>
      </c>
      <c r="BE148" s="19" t="n">
        <f aca="false">BD$148+BE$146-BE$147</f>
        <v>487872.429703331</v>
      </c>
      <c r="BF148" s="19" t="n">
        <f aca="false">BE$148+BF$146-BF$147</f>
        <v>428471.266331418</v>
      </c>
      <c r="BG148" s="19" t="n">
        <f aca="false">BF$148+BG$146-BG$147</f>
        <v>368624.594234216</v>
      </c>
      <c r="BH148" s="19" t="n">
        <f aca="false">BG$148+BH$146-BH$147</f>
        <v>308329.072096285</v>
      </c>
      <c r="BI148" s="19" t="n">
        <f aca="false">BH$148+BI$146-BI$147</f>
        <v>247581.333542319</v>
      </c>
      <c r="BJ148" s="19" t="n">
        <f aca="false">BI$148+BJ$146-BJ$147</f>
        <v>186377.986949199</v>
      </c>
      <c r="BK148" s="19" t="n">
        <f aca="false">BJ$148+BK$146-BK$147</f>
        <v>124715.61525663</v>
      </c>
      <c r="BL148" s="19" t="n">
        <f aca="false">BK$148+BL$146-BL$147</f>
        <v>62590.7757763667</v>
      </c>
      <c r="BM148" s="19" t="n">
        <f aca="false">BL$148+BM$146-BM$147</f>
        <v>0</v>
      </c>
      <c r="BN148" s="19" t="n">
        <f aca="false">BM$148+BN$146-BN$147</f>
        <v>0</v>
      </c>
      <c r="BO148" s="19" t="n">
        <f aca="false">BN$148+BO$146-BO$147</f>
        <v>0</v>
      </c>
      <c r="BP148" s="19" t="n">
        <f aca="false">BO$148+BP$146-BP$147</f>
        <v>0</v>
      </c>
      <c r="BQ148" s="19" t="n">
        <f aca="false">BP$148+BQ$146-BQ$147</f>
        <v>0</v>
      </c>
      <c r="BR148" s="19" t="n">
        <f aca="false">BQ$148+BR$146-BR$147</f>
        <v>0</v>
      </c>
      <c r="BS148" s="19" t="n">
        <f aca="false">BR$148+BS$146-BS$147</f>
        <v>0</v>
      </c>
      <c r="BT148" s="19" t="n">
        <f aca="false">BS$148+BT$146-BT$147</f>
        <v>0</v>
      </c>
      <c r="BU148" s="19" t="n">
        <f aca="false">BT$148+BU$146-BU$147</f>
        <v>0</v>
      </c>
      <c r="BV148" s="19" t="n">
        <f aca="false">BU$148+BV$146-BV$147</f>
        <v>0</v>
      </c>
      <c r="BW148" s="19" t="n">
        <f aca="false">BV$148+BW$146-BW$147</f>
        <v>0</v>
      </c>
      <c r="BX148" s="19" t="n">
        <f aca="false">BW$148+BX$146-BX$147</f>
        <v>0</v>
      </c>
      <c r="BY148" s="19" t="n">
        <f aca="false">BX$148+BY$146-BY$147</f>
        <v>0</v>
      </c>
      <c r="BZ148" s="19" t="n">
        <f aca="false">BY$148+BZ$146-BZ$147</f>
        <v>0</v>
      </c>
      <c r="CA148" s="19" t="n">
        <f aca="false">BZ$148+CA$146-CA$147</f>
        <v>0</v>
      </c>
      <c r="CB148" s="19" t="n">
        <f aca="false">CA$148+CB$146-CB$147</f>
        <v>0</v>
      </c>
      <c r="CC148" s="19" t="n">
        <f aca="false">CB$148+CC$146-CC$147</f>
        <v>0</v>
      </c>
      <c r="CD148" s="19" t="n">
        <f aca="false">CC$148+CD$146-CD$147</f>
        <v>0</v>
      </c>
      <c r="CE148" s="19" t="n">
        <f aca="false">CD$148+CE$146-CE$147</f>
        <v>0</v>
      </c>
      <c r="CF148" s="19" t="n">
        <f aca="false">CE$148+CF$146-CF$147</f>
        <v>0</v>
      </c>
      <c r="CG148" s="19" t="n">
        <f aca="false">CF$148+CG$146-CG$147</f>
        <v>0</v>
      </c>
      <c r="CH148" s="19" t="n">
        <f aca="false">CG$148+CH$146-CH$147</f>
        <v>0</v>
      </c>
      <c r="CI148" s="19" t="n">
        <f aca="false">CH$148+CI$146-CI$147</f>
        <v>0</v>
      </c>
      <c r="CJ148" s="19" t="n">
        <f aca="false">CI$148+CJ$146-CJ$147</f>
        <v>0</v>
      </c>
      <c r="CK148" s="19" t="n">
        <f aca="false">CJ$148+CK$146-CK$147</f>
        <v>0</v>
      </c>
      <c r="CL148" s="19" t="n">
        <f aca="false">CK$148+CL$146-CL$147</f>
        <v>0</v>
      </c>
      <c r="CM148" s="19" t="n">
        <f aca="false">CL$148+CM$146-CM$147</f>
        <v>0</v>
      </c>
      <c r="CN148" s="19" t="n">
        <f aca="false">CM$148+CN$146-CN$147</f>
        <v>0</v>
      </c>
      <c r="CO148" s="19" t="n">
        <f aca="false">CN$148+CO$146-CO$147</f>
        <v>0</v>
      </c>
      <c r="CP148" s="19" t="n">
        <f aca="false">CO$148+CP$146-CP$147</f>
        <v>0</v>
      </c>
      <c r="CQ148" s="19" t="n">
        <f aca="false">CP$148+CQ$146-CQ$147</f>
        <v>0</v>
      </c>
      <c r="CR148" s="19" t="n">
        <f aca="false">CQ$148+CR$146-CR$147</f>
        <v>0</v>
      </c>
      <c r="CS148" s="19" t="n">
        <f aca="false">CR$148+CS$146-CS$147</f>
        <v>0</v>
      </c>
      <c r="CT148" s="19" t="n">
        <f aca="false">CS$148+CT$146-CT$147</f>
        <v>0</v>
      </c>
      <c r="CU148" s="19" t="n">
        <f aca="false">CT$148+CU$146-CU$147</f>
        <v>0</v>
      </c>
      <c r="CV148" s="19" t="n">
        <f aca="false">CU$148+CV$146-CV$147</f>
        <v>0</v>
      </c>
      <c r="CW148" s="19" t="n">
        <f aca="false">CV$148+CW$146-CW$147</f>
        <v>0</v>
      </c>
      <c r="CX148" s="19" t="n">
        <f aca="false">CW$148+CX$146-CX$147</f>
        <v>0</v>
      </c>
      <c r="CY148" s="19" t="n">
        <f aca="false">CX$148+CY$146-CY$147</f>
        <v>0</v>
      </c>
      <c r="CZ148" s="19" t="n">
        <f aca="false">CY$148+CZ$146-CZ$147</f>
        <v>0</v>
      </c>
      <c r="DA148" s="19" t="n">
        <f aca="false">CZ$148+DA$146-DA$147</f>
        <v>0</v>
      </c>
      <c r="DB148" s="19" t="n">
        <f aca="false">DA$148+DB$146-DB$147</f>
        <v>0</v>
      </c>
      <c r="DC148" s="19" t="n">
        <f aca="false">DB$148+DC$146-DC$147</f>
        <v>0</v>
      </c>
      <c r="DD148" s="19" t="n">
        <f aca="false">DC$148+DD$146-DD$147</f>
        <v>0</v>
      </c>
      <c r="DE148" s="19" t="n">
        <f aca="false">DD$148+DE$146-DE$147</f>
        <v>0</v>
      </c>
      <c r="DF148" s="19" t="n">
        <f aca="false">DE$148+DF$146-DF$147</f>
        <v>0</v>
      </c>
      <c r="DG148" s="19" t="n">
        <f aca="false">DF$148+DG$146-DG$147</f>
        <v>0</v>
      </c>
      <c r="DH148" s="19" t="n">
        <f aca="false">DG$148+DH$146-DH$147</f>
        <v>0</v>
      </c>
      <c r="DI148" s="19" t="n">
        <f aca="false">DH$148+DI$146-DI$147</f>
        <v>0</v>
      </c>
      <c r="DJ148" s="19" t="n">
        <f aca="false">DI$148+DJ$146-DJ$147</f>
        <v>0</v>
      </c>
      <c r="DK148" s="19" t="n">
        <f aca="false">DJ$148+DK$146-DK$147</f>
        <v>0</v>
      </c>
      <c r="DL148" s="19" t="n">
        <f aca="false">DK$148+DL$146-DL$147</f>
        <v>0</v>
      </c>
      <c r="DM148" s="19" t="n">
        <f aca="false">DL$148+DM$146-DM$147</f>
        <v>0</v>
      </c>
      <c r="DN148" s="19" t="n">
        <f aca="false">DM$148+DN$146-DN$147</f>
        <v>0</v>
      </c>
      <c r="DO148" s="19" t="n">
        <f aca="false">DN$148+DO$146-DO$147</f>
        <v>0</v>
      </c>
      <c r="DP148" s="19" t="n">
        <f aca="false">DO$148+DP$146-DP$147</f>
        <v>0</v>
      </c>
      <c r="DQ148" s="19" t="n">
        <f aca="false">DP$148+DQ$146-DQ$147</f>
        <v>0</v>
      </c>
      <c r="DR148" s="19" t="n">
        <f aca="false">DQ$148+DR$146-DR$147</f>
        <v>0</v>
      </c>
      <c r="DS148" s="19" t="n">
        <f aca="false">DR$148+DS$146-DS$147</f>
        <v>0</v>
      </c>
      <c r="DT148" s="19" t="n">
        <f aca="false">DS$148+DT$146-DT$147</f>
        <v>0</v>
      </c>
      <c r="DU148" s="19" t="n">
        <f aca="false">DT$148+DU$146-DU$147</f>
        <v>0</v>
      </c>
      <c r="DV148" s="19" t="n">
        <f aca="false">DU$148+DV$146-DV$147</f>
        <v>0</v>
      </c>
      <c r="DW148" s="19" t="n">
        <f aca="false">DV$148+DW$146-DW$147</f>
        <v>0</v>
      </c>
      <c r="DX148" s="19" t="n">
        <f aca="false">DW$148+DX$146-DX$147</f>
        <v>0</v>
      </c>
      <c r="DY148" s="19" t="n">
        <f aca="false">DX$148+DY$146-DY$147</f>
        <v>0</v>
      </c>
      <c r="DZ148" s="19" t="n">
        <f aca="false">DY$148+DZ$146-DZ$147</f>
        <v>0</v>
      </c>
      <c r="EA148" s="19" t="n">
        <f aca="false">DZ$148+EA$146-EA$147</f>
        <v>0</v>
      </c>
      <c r="EB148" s="19" t="n">
        <f aca="false">EA$148+EB$146-EB$147</f>
        <v>0</v>
      </c>
      <c r="EC148" s="19" t="n">
        <f aca="false">EB$148+EC$146-EC$147</f>
        <v>0</v>
      </c>
      <c r="ED148" s="19" t="n">
        <f aca="false">EC$148+ED$146-ED$147</f>
        <v>0</v>
      </c>
      <c r="EE148" s="19" t="n">
        <f aca="false">ED$148+EE$146-EE$147</f>
        <v>0</v>
      </c>
      <c r="EF148" s="19" t="n">
        <f aca="false">EE$148+EF$146-EF$147</f>
        <v>0</v>
      </c>
      <c r="EG148" s="19" t="n">
        <f aca="false">EF$148+EG$146-EG$147</f>
        <v>0</v>
      </c>
      <c r="EH148" s="19" t="n">
        <f aca="false">EG$148+EH$146-EH$147</f>
        <v>0</v>
      </c>
      <c r="EI148" s="19" t="n">
        <f aca="false">EH$148+EI$146-EI$147</f>
        <v>0</v>
      </c>
      <c r="EJ148" s="19" t="n">
        <f aca="false">EI$148+EJ$146-EJ$147</f>
        <v>0</v>
      </c>
      <c r="EK148" s="19" t="n">
        <f aca="false">EJ$148+EK$146-EK$147</f>
        <v>0</v>
      </c>
      <c r="EL148" s="19" t="n">
        <f aca="false">EK$148+EL$146-EL$147</f>
        <v>0</v>
      </c>
      <c r="EM148" s="19" t="n">
        <f aca="false">EL$148+EM$146-EM$147</f>
        <v>0</v>
      </c>
      <c r="EN148" s="19" t="n">
        <f aca="false">EM$148+EN$146-EN$147</f>
        <v>0</v>
      </c>
      <c r="EO148" s="19" t="n">
        <f aca="false">EN$148+EO$146-EO$147</f>
        <v>0</v>
      </c>
      <c r="EP148" s="19" t="n">
        <f aca="false">EO$148+EP$146-EP$147</f>
        <v>0</v>
      </c>
      <c r="EQ148" s="19" t="n">
        <f aca="false">EP$148+EQ$146-EQ$147</f>
        <v>0</v>
      </c>
      <c r="ER148" s="19" t="n">
        <f aca="false">EQ$148+ER$146-ER$147</f>
        <v>0</v>
      </c>
      <c r="ES148" s="19" t="n">
        <f aca="false">ER$148+ES$146-ES$147</f>
        <v>0</v>
      </c>
    </row>
    <row r="149" customFormat="false" ht="15" hidden="false" customHeight="false" outlineLevel="0" collapsed="false">
      <c r="A149" s="11" t="s">
        <v>1260</v>
      </c>
      <c r="B149" s="15" t="s">
        <v>1261</v>
      </c>
      <c r="C149" s="15" t="s">
        <v>508</v>
      </c>
      <c r="E149" s="54" t="n">
        <f aca="false">MIN(F149:ES149)</f>
        <v>-311740.118672618</v>
      </c>
      <c r="F149" s="48" t="n">
        <f aca="false">F$141+F$143-F$144</f>
        <v>535727.93036656</v>
      </c>
      <c r="G149" s="48" t="n">
        <f aca="false">G$141+G$143-G$144</f>
        <v>555194.83809215</v>
      </c>
      <c r="H149" s="48" t="n">
        <f aca="false">H$141+H$143-H$144</f>
        <v>574661.745817739</v>
      </c>
      <c r="I149" s="48" t="n">
        <f aca="false">I$141+I$143-I$144</f>
        <v>594128.653543329</v>
      </c>
      <c r="J149" s="48" t="n">
        <f aca="false">J$141+J$143-J$144</f>
        <v>613595.561268919</v>
      </c>
      <c r="K149" s="48" t="n">
        <f aca="false">K$141+K$143-K$144</f>
        <v>633062.468994509</v>
      </c>
      <c r="L149" s="48" t="n">
        <f aca="false">L$141+L$143-L$144</f>
        <v>610406.072625411</v>
      </c>
      <c r="M149" s="48" t="n">
        <f aca="false">M$141+M$143-M$144</f>
        <v>587781.268734384</v>
      </c>
      <c r="N149" s="48" t="n">
        <f aca="false">N$141+N$143-N$144</f>
        <v>565188.294265013</v>
      </c>
      <c r="O149" s="48" t="n">
        <f aca="false">O$141+O$143-O$144</f>
        <v>542627.387937962</v>
      </c>
      <c r="P149" s="48" t="n">
        <f aca="false">P$141+P$143-P$144</f>
        <v>520098.790264297</v>
      </c>
      <c r="Q149" s="48" t="n">
        <f aca="false">Q$141+Q$143-Q$144</f>
        <v>497602.743558918</v>
      </c>
      <c r="R149" s="48" t="n">
        <f aca="false">R$141+R$143-R$144</f>
        <v>129920.95007682</v>
      </c>
      <c r="S149" s="48" t="n">
        <f aca="false">S$141+S$143-S$144</f>
        <v>145489.642054168</v>
      </c>
      <c r="T149" s="48" t="n">
        <f aca="false">T$141+T$143-T$144</f>
        <v>161091.622903299</v>
      </c>
      <c r="U149" s="48" t="n">
        <f aca="false">U$141+U$143-U$144</f>
        <v>176727.142290749</v>
      </c>
      <c r="V149" s="48" t="n">
        <f aca="false">V$141+V$143-V$144</f>
        <v>192396.451755556</v>
      </c>
      <c r="W149" s="48" t="n">
        <f aca="false">W$141+W$143-W$144</f>
        <v>208099.804723301</v>
      </c>
      <c r="X149" s="48" t="n">
        <f aca="false">X$141+X$143-X$144</f>
        <v>223837.456520255</v>
      </c>
      <c r="Y149" s="48" t="n">
        <f aca="false">Y$141+Y$143-Y$144</f>
        <v>239609.664387639</v>
      </c>
      <c r="Z149" s="48" t="n">
        <f aca="false">Z$141+Z$143-Z$144</f>
        <v>255416.687495978</v>
      </c>
      <c r="AA149" s="48" t="n">
        <f aca="false">AA$141+AA$143-AA$144</f>
        <v>271258.786959582</v>
      </c>
      <c r="AB149" s="48" t="n">
        <f aca="false">AB$141+AB$143-AB$144</f>
        <v>287136.225851114</v>
      </c>
      <c r="AC149" s="48" t="n">
        <f aca="false">AC$141+AC$143-AC$144</f>
        <v>303049.269216285</v>
      </c>
      <c r="AD149" s="48" t="n">
        <f aca="false">AD$141+AD$143-AD$144</f>
        <v>-311740.118672618</v>
      </c>
      <c r="AE149" s="48" t="n">
        <f aca="false">AE$141+AE$143-AE$144</f>
        <v>-259166.435385603</v>
      </c>
      <c r="AF149" s="48" t="n">
        <f aca="false">AF$141+AF$143-AF$144</f>
        <v>-206556.340501018</v>
      </c>
      <c r="AG149" s="48" t="n">
        <f aca="false">AG$141+AG$143-AG$144</f>
        <v>-153909.560931882</v>
      </c>
      <c r="AH149" s="48" t="n">
        <f aca="false">AH$141+AH$143-AH$144</f>
        <v>-101225.821543058</v>
      </c>
      <c r="AI149" s="48" t="n">
        <f aca="false">AI$141+AI$143-AI$144</f>
        <v>-48504.8451359012</v>
      </c>
      <c r="AJ149" s="48" t="n">
        <f aca="false">AJ$141+AJ$143-AJ$144</f>
        <v>4253.64756722731</v>
      </c>
      <c r="AK149" s="48" t="n">
        <f aca="false">AK$141+AK$143-AK$144</f>
        <v>57049.9379385471</v>
      </c>
      <c r="AL149" s="48" t="n">
        <f aca="false">AL$141+AL$143-AL$144</f>
        <v>109884.309460569</v>
      </c>
      <c r="AM149" s="48" t="n">
        <f aca="false">AM$141+AM$143-AM$144</f>
        <v>162757.047741925</v>
      </c>
      <c r="AN149" s="48" t="n">
        <f aca="false">AN$141+AN$143-AN$144</f>
        <v>215668.440533308</v>
      </c>
      <c r="AO149" s="48" t="n">
        <f aca="false">AO$141+AO$143-AO$144</f>
        <v>268618.777743544</v>
      </c>
      <c r="AP149" s="48" t="n">
        <f aca="false">AP$141+AP$143-AP$144</f>
        <v>-204392.169462804</v>
      </c>
      <c r="AQ149" s="48" t="n">
        <f aca="false">AQ$141+AQ$143-AQ$144</f>
        <v>-118554.51596008</v>
      </c>
      <c r="AR149" s="48" t="n">
        <f aca="false">AR$141+AR$143-AR$144</f>
        <v>-32677.0352007788</v>
      </c>
      <c r="AS149" s="48" t="n">
        <f aca="false">AS$141+AS$143-AS$144</f>
        <v>53240.5715195248</v>
      </c>
      <c r="AT149" s="48" t="n">
        <f aca="false">AT$141+AT$143-AT$144</f>
        <v>139198.605145538</v>
      </c>
      <c r="AU149" s="48" t="n">
        <f aca="false">AU$141+AU$143-AU$144</f>
        <v>225197.368879053</v>
      </c>
      <c r="AV149" s="48" t="n">
        <f aca="false">AV$141+AV$143-AV$144</f>
        <v>311237.168195877</v>
      </c>
      <c r="AW149" s="48" t="n">
        <f aca="false">AW$141+AW$143-AW$144</f>
        <v>397318.310862885</v>
      </c>
      <c r="AX149" s="48" t="n">
        <f aca="false">AX$141+AX$143-AX$144</f>
        <v>483441.106955202</v>
      </c>
      <c r="AY149" s="48" t="n">
        <f aca="false">AY$141+AY$143-AY$144</f>
        <v>569605.868873519</v>
      </c>
      <c r="AZ149" s="48" t="n">
        <f aca="false">AZ$141+AZ$143-AZ$144</f>
        <v>655812.91136153</v>
      </c>
      <c r="BA149" s="48" t="n">
        <f aca="false">BA$141+BA$143-BA$144</f>
        <v>742062.551523509</v>
      </c>
      <c r="BB149" s="48" t="n">
        <f aca="false">BB$141+BB$143-BB$144</f>
        <v>791565.146132666</v>
      </c>
      <c r="BC149" s="48" t="n">
        <f aca="false">BC$141+BC$143-BC$144</f>
        <v>879220.527482878</v>
      </c>
      <c r="BD149" s="48" t="n">
        <f aca="false">BD$141+BD$143-BD$144</f>
        <v>966919.47216105</v>
      </c>
      <c r="BE149" s="48" t="n">
        <f aca="false">BE$141+BE$143-BE$144</f>
        <v>1054662.30689214</v>
      </c>
      <c r="BF149" s="48" t="n">
        <f aca="false">BF$141+BF$143-BF$144</f>
        <v>337495.982470628</v>
      </c>
      <c r="BG149" s="48" t="n">
        <f aca="false">BG$141+BG$143-BG$144</f>
        <v>425327.587302565</v>
      </c>
      <c r="BH149" s="48" t="n">
        <f aca="false">BH$141+BH$143-BH$144</f>
        <v>513204.077138576</v>
      </c>
      <c r="BI149" s="48" t="n">
        <f aca="false">BI$141+BI$143-BI$144</f>
        <v>601125.788616189</v>
      </c>
      <c r="BJ149" s="48" t="n">
        <f aca="false">BJ$141+BJ$143-BJ$144</f>
        <v>689093.060897719</v>
      </c>
      <c r="BK149" s="48" t="n">
        <f aca="false">BK$141+BK$143-BK$144</f>
        <v>777106.235689193</v>
      </c>
      <c r="BL149" s="48" t="n">
        <f aca="false">BL$141+BL$143-BL$144</f>
        <v>865165.657259436</v>
      </c>
      <c r="BM149" s="48" t="n">
        <f aca="false">BM$141+BM$143-BM$144</f>
        <v>953271.672459288</v>
      </c>
      <c r="BN149" s="48" t="n">
        <f aca="false">BN$141+BN$143-BN$144</f>
        <v>1070847.25778852</v>
      </c>
      <c r="BO149" s="48" t="n">
        <f aca="false">BO$141+BO$143-BO$144</f>
        <v>1226147.69958634</v>
      </c>
      <c r="BP149" s="48" t="n">
        <f aca="false">BP$141+BP$143-BP$144</f>
        <v>1381448.14138417</v>
      </c>
      <c r="BQ149" s="48" t="n">
        <f aca="false">BQ$141+BQ$143-BQ$144</f>
        <v>1536748.583182</v>
      </c>
      <c r="BR149" s="48" t="n">
        <f aca="false">BR$141+BR$143-BR$144</f>
        <v>228122.480611604</v>
      </c>
      <c r="BS149" s="48" t="n">
        <f aca="false">BS$141+BS$143-BS$144</f>
        <v>383422.92240943</v>
      </c>
      <c r="BT149" s="48" t="n">
        <f aca="false">BT$141+BT$143-BT$144</f>
        <v>538723.364207257</v>
      </c>
      <c r="BU149" s="48" t="n">
        <f aca="false">BU$141+BU$143-BU$144</f>
        <v>694023.806005083</v>
      </c>
      <c r="BV149" s="48" t="n">
        <f aca="false">BV$141+BV$143-BV$144</f>
        <v>849324.247802909</v>
      </c>
      <c r="BW149" s="48" t="n">
        <f aca="false">BW$141+BW$143-BW$144</f>
        <v>1004624.68960073</v>
      </c>
      <c r="BX149" s="48" t="n">
        <f aca="false">BX$141+BX$143-BX$144</f>
        <v>1159925.13139856</v>
      </c>
      <c r="BY149" s="48" t="n">
        <f aca="false">BY$141+BY$143-BY$144</f>
        <v>1315225.57319639</v>
      </c>
      <c r="BZ149" s="48" t="n">
        <f aca="false">BZ$141+BZ$143-BZ$144</f>
        <v>1436551.70246101</v>
      </c>
      <c r="CA149" s="48" t="n">
        <f aca="false">CA$141+CA$143-CA$144</f>
        <v>1595967.72495041</v>
      </c>
      <c r="CB149" s="48" t="n">
        <f aca="false">CB$141+CB$143-CB$144</f>
        <v>1755383.74743981</v>
      </c>
      <c r="CC149" s="48" t="n">
        <f aca="false">CC$141+CC$143-CC$144</f>
        <v>1914799.76992921</v>
      </c>
      <c r="CD149" s="48" t="n">
        <f aca="false">CD$141+CD$143-CD$144</f>
        <v>280027.099844691</v>
      </c>
      <c r="CE149" s="48" t="n">
        <f aca="false">CE$141+CE$143-CE$144</f>
        <v>439443.122334091</v>
      </c>
      <c r="CF149" s="48" t="n">
        <f aca="false">CF$141+CF$143-CF$144</f>
        <v>598859.144823491</v>
      </c>
      <c r="CG149" s="48" t="n">
        <f aca="false">CG$141+CG$143-CG$144</f>
        <v>758275.167312891</v>
      </c>
      <c r="CH149" s="48" t="n">
        <f aca="false">CH$141+CH$143-CH$144</f>
        <v>917691.18980229</v>
      </c>
      <c r="CI149" s="48" t="n">
        <f aca="false">CI$141+CI$143-CI$144</f>
        <v>1077107.21229169</v>
      </c>
      <c r="CJ149" s="48" t="n">
        <f aca="false">CJ$141+CJ$143-CJ$144</f>
        <v>1236523.23478109</v>
      </c>
      <c r="CK149" s="48" t="n">
        <f aca="false">CK$141+CK$143-CK$144</f>
        <v>1395939.25727049</v>
      </c>
      <c r="CL149" s="48" t="n">
        <f aca="false">CL$141+CL$143-CL$144</f>
        <v>1521040.85812226</v>
      </c>
      <c r="CM149" s="48" t="n">
        <f aca="false">CM$141+CM$143-CM$144</f>
        <v>1684600.67666855</v>
      </c>
      <c r="CN149" s="48" t="n">
        <f aca="false">CN$141+CN$143-CN$144</f>
        <v>1848160.49521483</v>
      </c>
      <c r="CO149" s="48" t="n">
        <f aca="false">CO$141+CO$143-CO$144</f>
        <v>2011720.31376112</v>
      </c>
      <c r="CP149" s="48" t="n">
        <f aca="false">CP$141+CP$143-CP$144</f>
        <v>331704.47143461</v>
      </c>
      <c r="CQ149" s="48" t="n">
        <f aca="false">CQ$141+CQ$143-CQ$144</f>
        <v>495264.289980898</v>
      </c>
      <c r="CR149" s="48" t="n">
        <f aca="false">CR$141+CR$143-CR$144</f>
        <v>658824.108527185</v>
      </c>
      <c r="CS149" s="48" t="n">
        <f aca="false">CS$141+CS$143-CS$144</f>
        <v>822383.927073473</v>
      </c>
      <c r="CT149" s="48" t="n">
        <f aca="false">CT$141+CT$143-CT$144</f>
        <v>985943.74561976</v>
      </c>
      <c r="CU149" s="48" t="n">
        <f aca="false">CU$141+CU$143-CU$144</f>
        <v>1149503.56416605</v>
      </c>
      <c r="CV149" s="48" t="n">
        <f aca="false">CV$141+CV$143-CV$144</f>
        <v>1313063.38271234</v>
      </c>
      <c r="CW149" s="48" t="n">
        <f aca="false">CW$141+CW$143-CW$144</f>
        <v>1476623.20125862</v>
      </c>
      <c r="CX149" s="48" t="n">
        <f aca="false">CX$141+CX$143-CX$144</f>
        <v>1605525.07895819</v>
      </c>
      <c r="CY149" s="48" t="n">
        <f aca="false">CY$141+CY$143-CY$144</f>
        <v>1773256.8086071</v>
      </c>
      <c r="CZ149" s="48" t="n">
        <f aca="false">CZ$141+CZ$143-CZ$144</f>
        <v>1940988.53825601</v>
      </c>
      <c r="DA149" s="48" t="n">
        <f aca="false">DA$141+DA$143-DA$144</f>
        <v>2108720.26790492</v>
      </c>
      <c r="DB149" s="48" t="n">
        <f aca="false">DB$141+DB$143-DB$144</f>
        <v>383150.783998375</v>
      </c>
      <c r="DC149" s="48" t="n">
        <f aca="false">DC$141+DC$143-DC$144</f>
        <v>550882.513647283</v>
      </c>
      <c r="DD149" s="48" t="n">
        <f aca="false">DD$141+DD$143-DD$144</f>
        <v>718614.24329619</v>
      </c>
      <c r="DE149" s="48" t="n">
        <f aca="false">DE$141+DE$143-DE$144</f>
        <v>886345.972945098</v>
      </c>
      <c r="DF149" s="48" t="n">
        <f aca="false">DF$141+DF$143-DF$144</f>
        <v>1054077.70259401</v>
      </c>
      <c r="DG149" s="48" t="n">
        <f aca="false">DG$141+DG$143-DG$144</f>
        <v>1221809.43224291</v>
      </c>
      <c r="DH149" s="48" t="n">
        <f aca="false">DH$141+DH$143-DH$144</f>
        <v>1389541.16189182</v>
      </c>
      <c r="DI149" s="48" t="n">
        <f aca="false">DI$141+DI$143-DI$144</f>
        <v>1557272.89154073</v>
      </c>
      <c r="DJ149" s="48" t="n">
        <f aca="false">DJ$141+DJ$143-DJ$144</f>
        <v>1689999.71669704</v>
      </c>
      <c r="DK149" s="48" t="n">
        <f aca="false">DK$141+DK$143-DK$144</f>
        <v>1861931.35981212</v>
      </c>
      <c r="DL149" s="48" t="n">
        <f aca="false">DL$141+DL$143-DL$144</f>
        <v>2033863.00292721</v>
      </c>
      <c r="DM149" s="48" t="n">
        <f aca="false">DM$141+DM$143-DM$144</f>
        <v>2205794.64604229</v>
      </c>
      <c r="DN149" s="48" t="n">
        <f aca="false">DN$141+DN$143-DN$144</f>
        <v>434362.142370491</v>
      </c>
      <c r="DO149" s="48" t="n">
        <f aca="false">DO$141+DO$143-DO$144</f>
        <v>606293.785485577</v>
      </c>
      <c r="DP149" s="48" t="n">
        <f aca="false">DP$141+DP$143-DP$144</f>
        <v>778225.428600663</v>
      </c>
      <c r="DQ149" s="48" t="n">
        <f aca="false">DQ$141+DQ$143-DQ$144</f>
        <v>950157.071715749</v>
      </c>
      <c r="DR149" s="48" t="n">
        <f aca="false">DR$141+DR$143-DR$144</f>
        <v>1122088.71483084</v>
      </c>
      <c r="DS149" s="48" t="n">
        <f aca="false">DS$141+DS$143-DS$144</f>
        <v>1294020.35794592</v>
      </c>
      <c r="DT149" s="48" t="n">
        <f aca="false">DT$141+DT$143-DT$144</f>
        <v>1465952.00106101</v>
      </c>
      <c r="DU149" s="48" t="n">
        <f aca="false">DU$141+DU$143-DU$144</f>
        <v>1637883.64417609</v>
      </c>
      <c r="DV149" s="48" t="n">
        <f aca="false">DV$141+DV$143-DV$144</f>
        <v>1637883.64417609</v>
      </c>
      <c r="DW149" s="48" t="n">
        <f aca="false">DW$141+DW$143-DW$144</f>
        <v>1637883.64417609</v>
      </c>
      <c r="DX149" s="48" t="n">
        <f aca="false">DX$141+DX$143-DX$144</f>
        <v>1637883.64417609</v>
      </c>
      <c r="DY149" s="48" t="n">
        <f aca="false">DY$141+DY$143-DY$144</f>
        <v>1637883.64417609</v>
      </c>
      <c r="DZ149" s="48" t="n">
        <f aca="false">DZ$141+DZ$143-DZ$144</f>
        <v>1637883.64417609</v>
      </c>
      <c r="EA149" s="48" t="n">
        <f aca="false">EA$141+EA$143-EA$144</f>
        <v>1637883.64417609</v>
      </c>
      <c r="EB149" s="48" t="n">
        <f aca="false">EB$141+EB$143-EB$144</f>
        <v>1637883.64417609</v>
      </c>
      <c r="EC149" s="48" t="n">
        <f aca="false">EC$141+EC$143-EC$144</f>
        <v>1637883.64417609</v>
      </c>
      <c r="ED149" s="48" t="n">
        <f aca="false">ED$141+ED$143-ED$144</f>
        <v>1637883.64417609</v>
      </c>
      <c r="EE149" s="48" t="n">
        <f aca="false">EE$141+EE$143-EE$144</f>
        <v>1637883.64417609</v>
      </c>
      <c r="EF149" s="48" t="n">
        <f aca="false">EF$141+EF$143-EF$144</f>
        <v>1637883.64417609</v>
      </c>
      <c r="EG149" s="48" t="n">
        <f aca="false">EG$141+EG$143-EG$144</f>
        <v>1637883.64417609</v>
      </c>
      <c r="EH149" s="48" t="n">
        <f aca="false">EH$141+EH$143-EH$144</f>
        <v>1637883.64417609</v>
      </c>
      <c r="EI149" s="48" t="n">
        <f aca="false">EI$141+EI$143-EI$144</f>
        <v>1637883.64417609</v>
      </c>
      <c r="EJ149" s="48" t="n">
        <f aca="false">EJ$141+EJ$143-EJ$144</f>
        <v>1637883.64417609</v>
      </c>
      <c r="EK149" s="48" t="n">
        <f aca="false">EK$141+EK$143-EK$144</f>
        <v>1637883.64417609</v>
      </c>
      <c r="EL149" s="48" t="n">
        <f aca="false">EL$141+EL$143-EL$144</f>
        <v>1637883.64417609</v>
      </c>
      <c r="EM149" s="48" t="n">
        <f aca="false">EM$141+EM$143-EM$144</f>
        <v>1637883.64417609</v>
      </c>
      <c r="EN149" s="48" t="n">
        <f aca="false">EN$141+EN$143-EN$144</f>
        <v>1637883.64417609</v>
      </c>
      <c r="EO149" s="48" t="n">
        <f aca="false">EO$141+EO$143-EO$144</f>
        <v>1637883.64417609</v>
      </c>
      <c r="EP149" s="48" t="n">
        <f aca="false">EP$141+EP$143-EP$144</f>
        <v>1637883.64417609</v>
      </c>
      <c r="EQ149" s="48" t="n">
        <f aca="false">EQ$141+EQ$143-EQ$144</f>
        <v>1637883.64417609</v>
      </c>
      <c r="ER149" s="48" t="n">
        <f aca="false">ER$141+ER$143-ER$144</f>
        <v>1637883.64417609</v>
      </c>
      <c r="ES149" s="48" t="n">
        <f aca="false">ES$141+ES$143-ES$144</f>
        <v>1637883.64417609</v>
      </c>
    </row>
    <row r="150" customFormat="false" ht="15" hidden="false" customHeight="false" outlineLevel="0" collapsed="false">
      <c r="A150" s="11" t="s">
        <v>1262</v>
      </c>
      <c r="B150" s="15" t="s">
        <v>1263</v>
      </c>
      <c r="C150" s="15" t="s">
        <v>508</v>
      </c>
      <c r="F150" s="48" t="n">
        <f aca="false">IF(F$7=1,F$107,0+F$107)</f>
        <v>13500.8903089231</v>
      </c>
      <c r="G150" s="48" t="n">
        <f aca="false">IF(G$7=1,G$107,F$150+G$107)</f>
        <v>27001.7806178461</v>
      </c>
      <c r="H150" s="48" t="n">
        <f aca="false">IF(H$7=1,H$107,G$150+H$107)</f>
        <v>40502.6709267692</v>
      </c>
      <c r="I150" s="48" t="n">
        <f aca="false">IF(I$7=1,I$107,H$150+I$107)</f>
        <v>54003.5612356923</v>
      </c>
      <c r="J150" s="48" t="n">
        <f aca="false">IF(J$7=1,J$107,I$150+J$107)</f>
        <v>67504.4515446154</v>
      </c>
      <c r="K150" s="48" t="n">
        <f aca="false">IF(K$7=1,K$107,J$150+K$107)</f>
        <v>81005.3418535384</v>
      </c>
      <c r="L150" s="48" t="n">
        <f aca="false">IF(L$7=1,L$107,K$150+L$107)</f>
        <v>94506.2321624615</v>
      </c>
      <c r="M150" s="48" t="n">
        <f aca="false">IF(M$7=1,M$107,L$150+M$107)</f>
        <v>108354.639730166</v>
      </c>
      <c r="N150" s="48" t="n">
        <f aca="false">IF(N$7=1,N$107,M$150+N$107)</f>
        <v>122553.170936092</v>
      </c>
      <c r="O150" s="48" t="n">
        <f aca="false">IF(O$7=1,O$107,N$150+O$107)</f>
        <v>137104.451707527</v>
      </c>
      <c r="P150" s="48" t="n">
        <f aca="false">IF(P$7=1,P$107,O$150+P$107)</f>
        <v>152011.127666212</v>
      </c>
      <c r="Q150" s="48" t="n">
        <f aca="false">IF(Q$7=1,Q$107,P$150+Q$107)</f>
        <v>167275.864276051</v>
      </c>
      <c r="R150" s="48" t="n">
        <f aca="false">IF(R$7=1,R$107,Q$150+R$107)</f>
        <v>52791.0519009191</v>
      </c>
      <c r="S150" s="48" t="n">
        <f aca="false">IF(S$7=1,S$107,R$150+S$107)</f>
        <v>105945.555503672</v>
      </c>
      <c r="T150" s="48" t="n">
        <f aca="false">IF(T$7=1,T$107,S$150+T$107)</f>
        <v>159466.236696021</v>
      </c>
      <c r="U150" s="48" t="n">
        <f aca="false">IF(U$7=1,U$107,T$150+U$107)</f>
        <v>213355.84180989</v>
      </c>
      <c r="V150" s="48" t="n">
        <f aca="false">IF(V$7=1,V$107,U$150+V$107)</f>
        <v>267617.137774689</v>
      </c>
      <c r="W150" s="48" t="n">
        <f aca="false">IF(W$7=1,W$107,V$150+W$107)</f>
        <v>322252.9122718</v>
      </c>
      <c r="X150" s="48" t="n">
        <f aca="false">IF(X$7=1,X$107,W$150+X$107)</f>
        <v>377265.973890217</v>
      </c>
      <c r="Y150" s="48" t="n">
        <f aca="false">IF(Y$7=1,Y$107,X$150+Y$107)</f>
        <v>432659.152283347</v>
      </c>
      <c r="Z150" s="48" t="n">
        <f aca="false">IF(Z$7=1,Z$107,Y$150+Z$107)</f>
        <v>488435.298327003</v>
      </c>
      <c r="AA150" s="48" t="n">
        <f aca="false">IF(AA$7=1,AA$107,Z$150+AA$107)</f>
        <v>544597.284278563</v>
      </c>
      <c r="AB150" s="48" t="n">
        <f aca="false">IF(AB$7=1,AB$107,AA$150+AB$107)</f>
        <v>601148.003937336</v>
      </c>
      <c r="AC150" s="48" t="n">
        <f aca="false">IF(AC$7=1,AC$107,AB$150+AC$107)</f>
        <v>658090.372806125</v>
      </c>
      <c r="AD150" s="48" t="n">
        <f aca="false">IF(AD$7=1,AD$107,AC$150+AD$107)</f>
        <v>93925.5833190422</v>
      </c>
      <c r="AE150" s="48" t="n">
        <f aca="false">IF(AE$7=1,AE$107,AD$150+AE$107)</f>
        <v>188248.71261652</v>
      </c>
      <c r="AF150" s="48" t="n">
        <f aca="false">IF(AF$7=1,AF$107,AE$150+AF$107)</f>
        <v>282972.369487272</v>
      </c>
      <c r="AG150" s="48" t="n">
        <f aca="false">IF(AG$7=1,AG$107,AF$150+AG$107)</f>
        <v>378099.557888097</v>
      </c>
      <c r="AH150" s="48" t="n">
        <f aca="false">IF(AH$7=1,AH$107,AG$150+AH$107)</f>
        <v>473633.30430547</v>
      </c>
      <c r="AI150" s="48" t="n">
        <f aca="false">IF(AI$7=1,AI$107,AH$150+AI$107)</f>
        <v>569576.657924517</v>
      </c>
      <c r="AJ150" s="48" t="n">
        <f aca="false">IF(AJ$7=1,AJ$107,AI$150+AJ$107)</f>
        <v>665932.69079925</v>
      </c>
      <c r="AK150" s="48" t="n">
        <f aca="false">IF(AK$7=1,AK$107,AJ$150+AK$107)</f>
        <v>762704.498024086</v>
      </c>
      <c r="AL150" s="48" t="n">
        <f aca="false">IF(AL$7=1,AL$107,AK$150+AL$107)</f>
        <v>859895.19790665</v>
      </c>
      <c r="AM150" s="48" t="n">
        <f aca="false">IF(AM$7=1,AM$107,AL$150+AM$107)</f>
        <v>957507.932141877</v>
      </c>
      <c r="AN150" s="48" t="n">
        <f aca="false">IF(AN$7=1,AN$107,AM$150+AN$107)</f>
        <v>1055545.86598741</v>
      </c>
      <c r="AO150" s="48" t="n">
        <f aca="false">IF(AO$7=1,AO$107,AN$150+AO$107)</f>
        <v>1154012.18844033</v>
      </c>
      <c r="AP150" s="48" t="n">
        <f aca="false">IF(AP$7=1,AP$107,AO$150+AP$107)</f>
        <v>131706.472989591</v>
      </c>
      <c r="AQ150" s="48" t="n">
        <f aca="false">IF(AQ$7=1,AQ$107,AP$150+AQ$107)</f>
        <v>263847.784512537</v>
      </c>
      <c r="AR150" s="48" t="n">
        <f aca="false">IF(AR$7=1,AR$107,AQ$150+AR$107)</f>
        <v>396427.195857836</v>
      </c>
      <c r="AS150" s="48" t="n">
        <f aca="false">IF(AS$7=1,AS$107,AR$150+AS$107)</f>
        <v>529447.992774158</v>
      </c>
      <c r="AT150" s="48" t="n">
        <f aca="false">IF(AT$7=1,AT$107,AS$150+AT$107)</f>
        <v>662913.485653284</v>
      </c>
      <c r="AU150" s="48" t="n">
        <f aca="false">IF(AU$7=1,AU$107,AT$150+AU$107)</f>
        <v>796827.009714936</v>
      </c>
      <c r="AV150" s="48" t="n">
        <f aca="false">IF(AV$7=1,AV$107,AU$150+AV$107)</f>
        <v>931191.925192983</v>
      </c>
      <c r="AW150" s="48" t="n">
        <f aca="false">IF(AW$7=1,AW$107,AV$150+AW$107)</f>
        <v>1066011.61752305</v>
      </c>
      <c r="AX150" s="48" t="n">
        <f aca="false">IF(AX$7=1,AX$107,AW$150+AX$107)</f>
        <v>1201289.49753152</v>
      </c>
      <c r="AY150" s="48" t="n">
        <f aca="false">IF(AY$7=1,AY$107,AX$150+AY$107)</f>
        <v>1337029.00162599</v>
      </c>
      <c r="AZ150" s="48" t="n">
        <f aca="false">IF(AZ$7=1,AZ$107,AY$150+AZ$107)</f>
        <v>1473233.5919871</v>
      </c>
      <c r="BA150" s="48" t="n">
        <f aca="false">IF(BA$7=1,BA$107,AZ$150+BA$107)</f>
        <v>1609906.75676184</v>
      </c>
      <c r="BB150" s="48" t="n">
        <f aca="false">IF(BB$7=1,BB$107,BA$150+BB$107)</f>
        <v>138464.838493007</v>
      </c>
      <c r="BC150" s="48" t="n">
        <f aca="false">IF(BC$7=1,BC$107,BB$150+BC$107)</f>
        <v>277405.30637317</v>
      </c>
      <c r="BD150" s="48" t="n">
        <f aca="false">IF(BD$7=1,BD$107,BC$150+BD$107)</f>
        <v>416824.970860893</v>
      </c>
      <c r="BE150" s="48" t="n">
        <f aca="false">IF(BE$7=1,BE$107,BD$150+BE$107)</f>
        <v>556727.425930732</v>
      </c>
      <c r="BF150" s="48" t="n">
        <f aca="false">IF(BF$7=1,BF$107,BE$150+BF$107)</f>
        <v>697116.292512053</v>
      </c>
      <c r="BG150" s="48" t="n">
        <f aca="false">IF(BG$7=1,BG$107,BF$150+BG$107)</f>
        <v>837995.218691193</v>
      </c>
      <c r="BH150" s="48" t="n">
        <f aca="false">IF(BH$7=1,BH$107,BG$150+BH$107)</f>
        <v>979367.879915134</v>
      </c>
      <c r="BI150" s="48" t="n">
        <f aca="false">IF(BI$7=1,BI$107,BH$150+BI$107)</f>
        <v>1121237.97919671</v>
      </c>
      <c r="BJ150" s="48" t="n">
        <f aca="false">IF(BJ$7=1,BJ$107,BI$150+BJ$107)</f>
        <v>1263609.24732136</v>
      </c>
      <c r="BK150" s="48" t="n">
        <f aca="false">IF(BK$7=1,BK$107,BJ$150+BK$107)</f>
        <v>1406485.44305541</v>
      </c>
      <c r="BL150" s="48" t="n">
        <f aca="false">IF(BL$7=1,BL$107,BK$150+BL$107)</f>
        <v>1549870.35335591</v>
      </c>
      <c r="BM150" s="48" t="n">
        <f aca="false">IF(BM$7=1,BM$107,BL$150+BM$107)</f>
        <v>1693767.79358213</v>
      </c>
      <c r="BN150" s="48" t="n">
        <f aca="false">IF(BN$7=1,BN$107,BM$150+BN$107)</f>
        <v>149515.724381159</v>
      </c>
      <c r="BO150" s="48" t="n">
        <f aca="false">IF(BO$7=1,BO$107,BN$150+BO$107)</f>
        <v>299031.448762319</v>
      </c>
      <c r="BP150" s="48" t="n">
        <f aca="false">IF(BP$7=1,BP$107,BO$150+BP$107)</f>
        <v>448547.173143478</v>
      </c>
      <c r="BQ150" s="48" t="n">
        <f aca="false">IF(BQ$7=1,BQ$107,BP$150+BQ$107)</f>
        <v>598062.897524638</v>
      </c>
      <c r="BR150" s="48" t="n">
        <f aca="false">IF(BR$7=1,BR$107,BQ$150+BR$107)</f>
        <v>747578.621905797</v>
      </c>
      <c r="BS150" s="48" t="n">
        <f aca="false">IF(BS$7=1,BS$107,BR$150+BS$107)</f>
        <v>897094.346286957</v>
      </c>
      <c r="BT150" s="48" t="n">
        <f aca="false">IF(BT$7=1,BT$107,BS$150+BT$107)</f>
        <v>1046610.07066812</v>
      </c>
      <c r="BU150" s="48" t="n">
        <f aca="false">IF(BU$7=1,BU$107,BT$150+BU$107)</f>
        <v>1196125.79504928</v>
      </c>
      <c r="BV150" s="48" t="n">
        <f aca="false">IF(BV$7=1,BV$107,BU$150+BV$107)</f>
        <v>1345641.51943044</v>
      </c>
      <c r="BW150" s="48" t="n">
        <f aca="false">IF(BW$7=1,BW$107,BV$150+BW$107)</f>
        <v>1495157.2438116</v>
      </c>
      <c r="BX150" s="48" t="n">
        <f aca="false">IF(BX$7=1,BX$107,BW$150+BX$107)</f>
        <v>1644672.96819275</v>
      </c>
      <c r="BY150" s="48" t="n">
        <f aca="false">IF(BY$7=1,BY$107,BX$150+BY$107)</f>
        <v>1794188.69257391</v>
      </c>
      <c r="BZ150" s="48" t="n">
        <f aca="false">IF(BZ$7=1,BZ$107,BY$150+BZ$107)</f>
        <v>153631.305072733</v>
      </c>
      <c r="CA150" s="48" t="n">
        <f aca="false">IF(CA$7=1,CA$107,BZ$150+CA$107)</f>
        <v>307262.610145466</v>
      </c>
      <c r="CB150" s="48" t="n">
        <f aca="false">IF(CB$7=1,CB$107,CA$150+CB$107)</f>
        <v>460893.915218199</v>
      </c>
      <c r="CC150" s="48" t="n">
        <f aca="false">IF(CC$7=1,CC$107,CB$150+CC$107)</f>
        <v>614525.220290932</v>
      </c>
      <c r="CD150" s="48" t="n">
        <f aca="false">IF(CD$7=1,CD$107,CC$150+CD$107)</f>
        <v>768156.525363665</v>
      </c>
      <c r="CE150" s="48" t="n">
        <f aca="false">IF(CE$7=1,CE$107,CD$150+CE$107)</f>
        <v>921787.830436399</v>
      </c>
      <c r="CF150" s="48" t="n">
        <f aca="false">IF(CF$7=1,CF$107,CE$150+CF$107)</f>
        <v>1075419.13550913</v>
      </c>
      <c r="CG150" s="48" t="n">
        <f aca="false">IF(CG$7=1,CG$107,CF$150+CG$107)</f>
        <v>1229050.44058186</v>
      </c>
      <c r="CH150" s="48" t="n">
        <f aca="false">IF(CH$7=1,CH$107,CG$150+CH$107)</f>
        <v>1382681.7456546</v>
      </c>
      <c r="CI150" s="48" t="n">
        <f aca="false">IF(CI$7=1,CI$107,CH$150+CI$107)</f>
        <v>1536313.05072733</v>
      </c>
      <c r="CJ150" s="48" t="n">
        <f aca="false">IF(CJ$7=1,CJ$107,CI$150+CJ$107)</f>
        <v>1689944.35580006</v>
      </c>
      <c r="CK150" s="48" t="n">
        <f aca="false">IF(CK$7=1,CK$107,CJ$150+CK$107)</f>
        <v>1843575.6608728</v>
      </c>
      <c r="CL150" s="48" t="n">
        <f aca="false">IF(CL$7=1,CL$107,CK$150+CL$107)</f>
        <v>157775.101129621</v>
      </c>
      <c r="CM150" s="48" t="n">
        <f aca="false">IF(CM$7=1,CM$107,CL$150+CM$107)</f>
        <v>315550.202259242</v>
      </c>
      <c r="CN150" s="48" t="n">
        <f aca="false">IF(CN$7=1,CN$107,CM$150+CN$107)</f>
        <v>473325.303388863</v>
      </c>
      <c r="CO150" s="48" t="n">
        <f aca="false">IF(CO$7=1,CO$107,CN$150+CO$107)</f>
        <v>631100.404518483</v>
      </c>
      <c r="CP150" s="48" t="n">
        <f aca="false">IF(CP$7=1,CP$107,CO$150+CP$107)</f>
        <v>788875.505648104</v>
      </c>
      <c r="CQ150" s="48" t="n">
        <f aca="false">IF(CQ$7=1,CQ$107,CP$150+CQ$107)</f>
        <v>946650.606777725</v>
      </c>
      <c r="CR150" s="48" t="n">
        <f aca="false">IF(CR$7=1,CR$107,CQ$150+CR$107)</f>
        <v>1104425.70790735</v>
      </c>
      <c r="CS150" s="48" t="n">
        <f aca="false">IF(CS$7=1,CS$107,CR$150+CS$107)</f>
        <v>1262200.80903697</v>
      </c>
      <c r="CT150" s="48" t="n">
        <f aca="false">IF(CT$7=1,CT$107,CS$150+CT$107)</f>
        <v>1419975.91016659</v>
      </c>
      <c r="CU150" s="48" t="n">
        <f aca="false">IF(CU$7=1,CU$107,CT$150+CU$107)</f>
        <v>1577751.01129621</v>
      </c>
      <c r="CV150" s="48" t="n">
        <f aca="false">IF(CV$7=1,CV$107,CU$150+CV$107)</f>
        <v>1735526.11242583</v>
      </c>
      <c r="CW150" s="48" t="n">
        <f aca="false">IF(CW$7=1,CW$107,CV$150+CW$107)</f>
        <v>1893301.21355545</v>
      </c>
      <c r="CX150" s="48" t="n">
        <f aca="false">IF(CX$7=1,CX$107,CW$150+CX$107)</f>
        <v>161947.012232241</v>
      </c>
      <c r="CY150" s="48" t="n">
        <f aca="false">IF(CY$7=1,CY$107,CX$150+CY$107)</f>
        <v>323894.024464482</v>
      </c>
      <c r="CZ150" s="48" t="n">
        <f aca="false">IF(CZ$7=1,CZ$107,CY$150+CZ$107)</f>
        <v>485841.036696723</v>
      </c>
      <c r="DA150" s="48" t="n">
        <f aca="false">IF(DA$7=1,DA$107,CZ$150+DA$107)</f>
        <v>647788.048928964</v>
      </c>
      <c r="DB150" s="48" t="n">
        <f aca="false">IF(DB$7=1,DB$107,DA$150+DB$107)</f>
        <v>809735.061161204</v>
      </c>
      <c r="DC150" s="48" t="n">
        <f aca="false">IF(DC$7=1,DC$107,DB$150+DC$107)</f>
        <v>971682.073393445</v>
      </c>
      <c r="DD150" s="48" t="n">
        <f aca="false">IF(DD$7=1,DD$107,DC$150+DD$107)</f>
        <v>1133629.08562569</v>
      </c>
      <c r="DE150" s="48" t="n">
        <f aca="false">IF(DE$7=1,DE$107,DD$150+DE$107)</f>
        <v>1295576.09785793</v>
      </c>
      <c r="DF150" s="48" t="n">
        <f aca="false">IF(DF$7=1,DF$107,DE$150+DF$107)</f>
        <v>1457523.11009017</v>
      </c>
      <c r="DG150" s="48" t="n">
        <f aca="false">IF(DG$7=1,DG$107,DF$150+DG$107)</f>
        <v>1619470.12232241</v>
      </c>
      <c r="DH150" s="48" t="n">
        <f aca="false">IF(DH$7=1,DH$107,DG$150+DH$107)</f>
        <v>1781417.13455465</v>
      </c>
      <c r="DI150" s="48" t="n">
        <f aca="false">IF(DI$7=1,DI$107,DH$150+DI$107)</f>
        <v>1943364.14678689</v>
      </c>
      <c r="DJ150" s="48" t="n">
        <f aca="false">IF(DJ$7=1,DJ$107,DI$150+DJ$107)</f>
        <v>166146.925698419</v>
      </c>
      <c r="DK150" s="48" t="n">
        <f aca="false">IF(DK$7=1,DK$107,DJ$150+DK$107)</f>
        <v>332293.851396839</v>
      </c>
      <c r="DL150" s="48" t="n">
        <f aca="false">IF(DL$7=1,DL$107,DK$150+DL$107)</f>
        <v>498440.777095258</v>
      </c>
      <c r="DM150" s="48" t="n">
        <f aca="false">IF(DM$7=1,DM$107,DL$150+DM$107)</f>
        <v>664587.702793678</v>
      </c>
      <c r="DN150" s="48" t="n">
        <f aca="false">IF(DN$7=1,DN$107,DM$150+DN$107)</f>
        <v>830734.628492097</v>
      </c>
      <c r="DO150" s="48" t="n">
        <f aca="false">IF(DO$7=1,DO$107,DN$150+DO$107)</f>
        <v>996881.554190517</v>
      </c>
      <c r="DP150" s="48" t="n">
        <f aca="false">IF(DP$7=1,DP$107,DO$150+DP$107)</f>
        <v>1163028.47988894</v>
      </c>
      <c r="DQ150" s="48" t="n">
        <f aca="false">IF(DQ$7=1,DQ$107,DP$150+DQ$107)</f>
        <v>1329175.40558736</v>
      </c>
      <c r="DR150" s="48" t="n">
        <f aca="false">IF(DR$7=1,DR$107,DQ$150+DR$107)</f>
        <v>1495322.33128578</v>
      </c>
      <c r="DS150" s="48" t="n">
        <f aca="false">IF(DS$7=1,DS$107,DR$150+DS$107)</f>
        <v>1661469.25698419</v>
      </c>
      <c r="DT150" s="48" t="n">
        <f aca="false">IF(DT$7=1,DT$107,DS$150+DT$107)</f>
        <v>1827616.18268261</v>
      </c>
      <c r="DU150" s="48" t="n">
        <f aca="false">IF(DU$7=1,DU$107,DT$150+DU$107)</f>
        <v>1993763.10838103</v>
      </c>
      <c r="DV150" s="48" t="n">
        <f aca="false">IF(DV$7=1,DV$107,DU$150+DV$107)</f>
        <v>0</v>
      </c>
      <c r="DW150" s="48" t="n">
        <f aca="false">IF(DW$7=1,DW$107,DV$150+DW$107)</f>
        <v>0</v>
      </c>
      <c r="DX150" s="48" t="n">
        <f aca="false">IF(DX$7=1,DX$107,DW$150+DX$107)</f>
        <v>0</v>
      </c>
      <c r="DY150" s="48" t="n">
        <f aca="false">IF(DY$7=1,DY$107,DX$150+DY$107)</f>
        <v>0</v>
      </c>
      <c r="DZ150" s="48" t="n">
        <f aca="false">IF(DZ$7=1,DZ$107,DY$150+DZ$107)</f>
        <v>0</v>
      </c>
      <c r="EA150" s="48" t="n">
        <f aca="false">IF(EA$7=1,EA$107,DZ$150+EA$107)</f>
        <v>0</v>
      </c>
      <c r="EB150" s="48" t="n">
        <f aca="false">IF(EB$7=1,EB$107,EA$150+EB$107)</f>
        <v>0</v>
      </c>
      <c r="EC150" s="48" t="n">
        <f aca="false">IF(EC$7=1,EC$107,EB$150+EC$107)</f>
        <v>0</v>
      </c>
      <c r="ED150" s="48" t="n">
        <f aca="false">IF(ED$7=1,ED$107,EC$150+ED$107)</f>
        <v>0</v>
      </c>
      <c r="EE150" s="48" t="n">
        <f aca="false">IF(EE$7=1,EE$107,ED$150+EE$107)</f>
        <v>0</v>
      </c>
      <c r="EF150" s="48" t="n">
        <f aca="false">IF(EF$7=1,EF$107,EE$150+EF$107)</f>
        <v>0</v>
      </c>
      <c r="EG150" s="48" t="n">
        <f aca="false">IF(EG$7=1,EG$107,EF$150+EG$107)</f>
        <v>0</v>
      </c>
      <c r="EH150" s="48" t="n">
        <f aca="false">IF(EH$7=1,EH$107,EG$150+EH$107)</f>
        <v>0</v>
      </c>
      <c r="EI150" s="48" t="n">
        <f aca="false">IF(EI$7=1,EI$107,EH$150+EI$107)</f>
        <v>0</v>
      </c>
      <c r="EJ150" s="48" t="n">
        <f aca="false">IF(EJ$7=1,EJ$107,EI$150+EJ$107)</f>
        <v>0</v>
      </c>
      <c r="EK150" s="48" t="n">
        <f aca="false">IF(EK$7=1,EK$107,EJ$150+EK$107)</f>
        <v>0</v>
      </c>
      <c r="EL150" s="48" t="n">
        <f aca="false">IF(EL$7=1,EL$107,EK$150+EL$107)</f>
        <v>0</v>
      </c>
      <c r="EM150" s="48" t="n">
        <f aca="false">IF(EM$7=1,EM$107,EL$150+EM$107)</f>
        <v>0</v>
      </c>
      <c r="EN150" s="48" t="n">
        <f aca="false">IF(EN$7=1,EN$107,EM$150+EN$107)</f>
        <v>0</v>
      </c>
      <c r="EO150" s="48" t="n">
        <f aca="false">IF(EO$7=1,EO$107,EN$150+EO$107)</f>
        <v>0</v>
      </c>
      <c r="EP150" s="48" t="n">
        <f aca="false">IF(EP$7=1,EP$107,EO$150+EP$107)</f>
        <v>0</v>
      </c>
      <c r="EQ150" s="48" t="n">
        <f aca="false">IF(EQ$7=1,EQ$107,EP$150+EQ$107)</f>
        <v>0</v>
      </c>
      <c r="ER150" s="48" t="n">
        <f aca="false">IF(ER$7=1,ER$107,EQ$150+ER$107)</f>
        <v>0</v>
      </c>
      <c r="ES150" s="48" t="n">
        <f aca="false">IF(ES$7=1,ES$107,ER$150+ES$107)</f>
        <v>0</v>
      </c>
    </row>
    <row r="151" customFormat="false" ht="15" hidden="false" customHeight="false" outlineLevel="0" collapsed="false">
      <c r="A151" s="11" t="s">
        <v>1264</v>
      </c>
      <c r="B151" s="15" t="s">
        <v>1265</v>
      </c>
      <c r="C151" s="15" t="s">
        <v>508</v>
      </c>
      <c r="F151" s="48" t="n">
        <f aca="false">0</f>
        <v>0</v>
      </c>
      <c r="G151" s="48" t="n">
        <f aca="false">IF(G$7=1,F$150,F$151)</f>
        <v>0</v>
      </c>
      <c r="H151" s="48" t="n">
        <f aca="false">IF(H$7=1,G$150,G$151)</f>
        <v>0</v>
      </c>
      <c r="I151" s="48" t="n">
        <f aca="false">IF(I$7=1,H$150,H$151)</f>
        <v>0</v>
      </c>
      <c r="J151" s="48" t="n">
        <f aca="false">IF(J$7=1,I$150,I$151)</f>
        <v>0</v>
      </c>
      <c r="K151" s="48" t="n">
        <f aca="false">IF(K$7=1,J$150,J$151)</f>
        <v>0</v>
      </c>
      <c r="L151" s="48" t="n">
        <f aca="false">IF(L$7=1,K$150,K$151)</f>
        <v>0</v>
      </c>
      <c r="M151" s="48" t="n">
        <f aca="false">IF(M$7=1,L$150,L$151)</f>
        <v>0</v>
      </c>
      <c r="N151" s="48" t="n">
        <f aca="false">IF(N$7=1,M$150,M$151)</f>
        <v>0</v>
      </c>
      <c r="O151" s="48" t="n">
        <f aca="false">IF(O$7=1,N$150,N$151)</f>
        <v>0</v>
      </c>
      <c r="P151" s="48" t="n">
        <f aca="false">IF(P$7=1,O$150,O$151)</f>
        <v>0</v>
      </c>
      <c r="Q151" s="48" t="n">
        <f aca="false">IF(Q$7=1,P$150,P$151)</f>
        <v>0</v>
      </c>
      <c r="R151" s="48" t="n">
        <f aca="false">IF(R$7=1,Q$150,Q$151)</f>
        <v>167275.864276051</v>
      </c>
      <c r="S151" s="48" t="n">
        <f aca="false">IF(S$7=1,R$150,R$151)</f>
        <v>167275.864276051</v>
      </c>
      <c r="T151" s="48" t="n">
        <f aca="false">IF(T$7=1,S$150,S$151)</f>
        <v>167275.864276051</v>
      </c>
      <c r="U151" s="48" t="n">
        <f aca="false">IF(U$7=1,T$150,T$151)</f>
        <v>167275.864276051</v>
      </c>
      <c r="V151" s="48" t="n">
        <f aca="false">IF(V$7=1,U$150,U$151)</f>
        <v>167275.864276051</v>
      </c>
      <c r="W151" s="48" t="n">
        <f aca="false">IF(W$7=1,V$150,V$151)</f>
        <v>167275.864276051</v>
      </c>
      <c r="X151" s="48" t="n">
        <f aca="false">IF(X$7=1,W$150,W$151)</f>
        <v>167275.864276051</v>
      </c>
      <c r="Y151" s="48" t="n">
        <f aca="false">IF(Y$7=1,X$150,X$151)</f>
        <v>167275.864276051</v>
      </c>
      <c r="Z151" s="48" t="n">
        <f aca="false">IF(Z$7=1,Y$150,Y$151)</f>
        <v>167275.864276051</v>
      </c>
      <c r="AA151" s="48" t="n">
        <f aca="false">IF(AA$7=1,Z$150,Z$151)</f>
        <v>167275.864276051</v>
      </c>
      <c r="AB151" s="48" t="n">
        <f aca="false">IF(AB$7=1,AA$150,AA$151)</f>
        <v>167275.864276051</v>
      </c>
      <c r="AC151" s="48" t="n">
        <f aca="false">IF(AC$7=1,AB$150,AB$151)</f>
        <v>167275.864276051</v>
      </c>
      <c r="AD151" s="48" t="n">
        <f aca="false">IF(AD$7=1,AC$150,AC$151)</f>
        <v>658090.372806125</v>
      </c>
      <c r="AE151" s="48" t="n">
        <f aca="false">IF(AE$7=1,AD$150,AD$151)</f>
        <v>658090.372806125</v>
      </c>
      <c r="AF151" s="48" t="n">
        <f aca="false">IF(AF$7=1,AE$150,AE$151)</f>
        <v>658090.372806125</v>
      </c>
      <c r="AG151" s="48" t="n">
        <f aca="false">IF(AG$7=1,AF$150,AF$151)</f>
        <v>658090.372806125</v>
      </c>
      <c r="AH151" s="48" t="n">
        <f aca="false">IF(AH$7=1,AG$150,AG$151)</f>
        <v>658090.372806125</v>
      </c>
      <c r="AI151" s="48" t="n">
        <f aca="false">IF(AI$7=1,AH$150,AH$151)</f>
        <v>658090.372806125</v>
      </c>
      <c r="AJ151" s="48" t="n">
        <f aca="false">IF(AJ$7=1,AI$150,AI$151)</f>
        <v>658090.372806125</v>
      </c>
      <c r="AK151" s="48" t="n">
        <f aca="false">IF(AK$7=1,AJ$150,AJ$151)</f>
        <v>658090.372806125</v>
      </c>
      <c r="AL151" s="48" t="n">
        <f aca="false">IF(AL$7=1,AK$150,AK$151)</f>
        <v>658090.372806125</v>
      </c>
      <c r="AM151" s="48" t="n">
        <f aca="false">IF(AM$7=1,AL$150,AL$151)</f>
        <v>658090.372806125</v>
      </c>
      <c r="AN151" s="48" t="n">
        <f aca="false">IF(AN$7=1,AM$150,AM$151)</f>
        <v>658090.372806125</v>
      </c>
      <c r="AO151" s="48" t="n">
        <f aca="false">IF(AO$7=1,AN$150,AN$151)</f>
        <v>658090.372806125</v>
      </c>
      <c r="AP151" s="48" t="n">
        <f aca="false">IF(AP$7=1,AO$150,AO$151)</f>
        <v>1154012.18844033</v>
      </c>
      <c r="AQ151" s="48" t="n">
        <f aca="false">IF(AQ$7=1,AP$150,AP$151)</f>
        <v>1154012.18844033</v>
      </c>
      <c r="AR151" s="48" t="n">
        <f aca="false">IF(AR$7=1,AQ$150,AQ$151)</f>
        <v>1154012.18844033</v>
      </c>
      <c r="AS151" s="48" t="n">
        <f aca="false">IF(AS$7=1,AR$150,AR$151)</f>
        <v>1154012.18844033</v>
      </c>
      <c r="AT151" s="48" t="n">
        <f aca="false">IF(AT$7=1,AS$150,AS$151)</f>
        <v>1154012.18844033</v>
      </c>
      <c r="AU151" s="48" t="n">
        <f aca="false">IF(AU$7=1,AT$150,AT$151)</f>
        <v>1154012.18844033</v>
      </c>
      <c r="AV151" s="48" t="n">
        <f aca="false">IF(AV$7=1,AU$150,AU$151)</f>
        <v>1154012.18844033</v>
      </c>
      <c r="AW151" s="48" t="n">
        <f aca="false">IF(AW$7=1,AV$150,AV$151)</f>
        <v>1154012.18844033</v>
      </c>
      <c r="AX151" s="48" t="n">
        <f aca="false">IF(AX$7=1,AW$150,AW$151)</f>
        <v>1154012.18844033</v>
      </c>
      <c r="AY151" s="48" t="n">
        <f aca="false">IF(AY$7=1,AX$150,AX$151)</f>
        <v>1154012.18844033</v>
      </c>
      <c r="AZ151" s="48" t="n">
        <f aca="false">IF(AZ$7=1,AY$150,AY$151)</f>
        <v>1154012.18844033</v>
      </c>
      <c r="BA151" s="48" t="n">
        <f aca="false">IF(BA$7=1,AZ$150,AZ$151)</f>
        <v>1154012.18844033</v>
      </c>
      <c r="BB151" s="48" t="n">
        <f aca="false">IF(BB$7=1,BA$150,BA$151)</f>
        <v>1609906.75676184</v>
      </c>
      <c r="BC151" s="48" t="n">
        <f aca="false">IF(BC$7=1,BB$150,BB$151)</f>
        <v>1609906.75676184</v>
      </c>
      <c r="BD151" s="48" t="n">
        <f aca="false">IF(BD$7=1,BC$150,BC$151)</f>
        <v>1609906.75676184</v>
      </c>
      <c r="BE151" s="48" t="n">
        <f aca="false">IF(BE$7=1,BD$150,BD$151)</f>
        <v>1609906.75676184</v>
      </c>
      <c r="BF151" s="48" t="n">
        <f aca="false">IF(BF$7=1,BE$150,BE$151)</f>
        <v>1609906.75676184</v>
      </c>
      <c r="BG151" s="48" t="n">
        <f aca="false">IF(BG$7=1,BF$150,BF$151)</f>
        <v>1609906.75676184</v>
      </c>
      <c r="BH151" s="48" t="n">
        <f aca="false">IF(BH$7=1,BG$150,BG$151)</f>
        <v>1609906.75676184</v>
      </c>
      <c r="BI151" s="48" t="n">
        <f aca="false">IF(BI$7=1,BH$150,BH$151)</f>
        <v>1609906.75676184</v>
      </c>
      <c r="BJ151" s="48" t="n">
        <f aca="false">IF(BJ$7=1,BI$150,BI$151)</f>
        <v>1609906.75676184</v>
      </c>
      <c r="BK151" s="48" t="n">
        <f aca="false">IF(BK$7=1,BJ$150,BJ$151)</f>
        <v>1609906.75676184</v>
      </c>
      <c r="BL151" s="48" t="n">
        <f aca="false">IF(BL$7=1,BK$150,BK$151)</f>
        <v>1609906.75676184</v>
      </c>
      <c r="BM151" s="48" t="n">
        <f aca="false">IF(BM$7=1,BL$150,BL$151)</f>
        <v>1609906.75676184</v>
      </c>
      <c r="BN151" s="48" t="n">
        <f aca="false">IF(BN$7=1,BM$150,BM$151)</f>
        <v>1693767.79358213</v>
      </c>
      <c r="BO151" s="48" t="n">
        <f aca="false">IF(BO$7=1,BN$150,BN$151)</f>
        <v>1693767.79358213</v>
      </c>
      <c r="BP151" s="48" t="n">
        <f aca="false">IF(BP$7=1,BO$150,BO$151)</f>
        <v>1693767.79358213</v>
      </c>
      <c r="BQ151" s="48" t="n">
        <f aca="false">IF(BQ$7=1,BP$150,BP$151)</f>
        <v>1693767.79358213</v>
      </c>
      <c r="BR151" s="48" t="n">
        <f aca="false">IF(BR$7=1,BQ$150,BQ$151)</f>
        <v>1693767.79358213</v>
      </c>
      <c r="BS151" s="48" t="n">
        <f aca="false">IF(BS$7=1,BR$150,BR$151)</f>
        <v>1693767.79358213</v>
      </c>
      <c r="BT151" s="48" t="n">
        <f aca="false">IF(BT$7=1,BS$150,BS$151)</f>
        <v>1693767.79358213</v>
      </c>
      <c r="BU151" s="48" t="n">
        <f aca="false">IF(BU$7=1,BT$150,BT$151)</f>
        <v>1693767.79358213</v>
      </c>
      <c r="BV151" s="48" t="n">
        <f aca="false">IF(BV$7=1,BU$150,BU$151)</f>
        <v>1693767.79358213</v>
      </c>
      <c r="BW151" s="48" t="n">
        <f aca="false">IF(BW$7=1,BV$150,BV$151)</f>
        <v>1693767.79358213</v>
      </c>
      <c r="BX151" s="48" t="n">
        <f aca="false">IF(BX$7=1,BW$150,BW$151)</f>
        <v>1693767.79358213</v>
      </c>
      <c r="BY151" s="48" t="n">
        <f aca="false">IF(BY$7=1,BX$150,BX$151)</f>
        <v>1693767.79358213</v>
      </c>
      <c r="BZ151" s="48" t="n">
        <f aca="false">IF(BZ$7=1,BY$150,BY$151)</f>
        <v>1794188.69257391</v>
      </c>
      <c r="CA151" s="48" t="n">
        <f aca="false">IF(CA$7=1,BZ$150,BZ$151)</f>
        <v>1794188.69257391</v>
      </c>
      <c r="CB151" s="48" t="n">
        <f aca="false">IF(CB$7=1,CA$150,CA$151)</f>
        <v>1794188.69257391</v>
      </c>
      <c r="CC151" s="48" t="n">
        <f aca="false">IF(CC$7=1,CB$150,CB$151)</f>
        <v>1794188.69257391</v>
      </c>
      <c r="CD151" s="48" t="n">
        <f aca="false">IF(CD$7=1,CC$150,CC$151)</f>
        <v>1794188.69257391</v>
      </c>
      <c r="CE151" s="48" t="n">
        <f aca="false">IF(CE$7=1,CD$150,CD$151)</f>
        <v>1794188.69257391</v>
      </c>
      <c r="CF151" s="48" t="n">
        <f aca="false">IF(CF$7=1,CE$150,CE$151)</f>
        <v>1794188.69257391</v>
      </c>
      <c r="CG151" s="48" t="n">
        <f aca="false">IF(CG$7=1,CF$150,CF$151)</f>
        <v>1794188.69257391</v>
      </c>
      <c r="CH151" s="48" t="n">
        <f aca="false">IF(CH$7=1,CG$150,CG$151)</f>
        <v>1794188.69257391</v>
      </c>
      <c r="CI151" s="48" t="n">
        <f aca="false">IF(CI$7=1,CH$150,CH$151)</f>
        <v>1794188.69257391</v>
      </c>
      <c r="CJ151" s="48" t="n">
        <f aca="false">IF(CJ$7=1,CI$150,CI$151)</f>
        <v>1794188.69257391</v>
      </c>
      <c r="CK151" s="48" t="n">
        <f aca="false">IF(CK$7=1,CJ$150,CJ$151)</f>
        <v>1794188.69257391</v>
      </c>
      <c r="CL151" s="48" t="n">
        <f aca="false">IF(CL$7=1,CK$150,CK$151)</f>
        <v>1843575.6608728</v>
      </c>
      <c r="CM151" s="48" t="n">
        <f aca="false">IF(CM$7=1,CL$150,CL$151)</f>
        <v>1843575.6608728</v>
      </c>
      <c r="CN151" s="48" t="n">
        <f aca="false">IF(CN$7=1,CM$150,CM$151)</f>
        <v>1843575.6608728</v>
      </c>
      <c r="CO151" s="48" t="n">
        <f aca="false">IF(CO$7=1,CN$150,CN$151)</f>
        <v>1843575.6608728</v>
      </c>
      <c r="CP151" s="48" t="n">
        <f aca="false">IF(CP$7=1,CO$150,CO$151)</f>
        <v>1843575.6608728</v>
      </c>
      <c r="CQ151" s="48" t="n">
        <f aca="false">IF(CQ$7=1,CP$150,CP$151)</f>
        <v>1843575.6608728</v>
      </c>
      <c r="CR151" s="48" t="n">
        <f aca="false">IF(CR$7=1,CQ$150,CQ$151)</f>
        <v>1843575.6608728</v>
      </c>
      <c r="CS151" s="48" t="n">
        <f aca="false">IF(CS$7=1,CR$150,CR$151)</f>
        <v>1843575.6608728</v>
      </c>
      <c r="CT151" s="48" t="n">
        <f aca="false">IF(CT$7=1,CS$150,CS$151)</f>
        <v>1843575.6608728</v>
      </c>
      <c r="CU151" s="48" t="n">
        <f aca="false">IF(CU$7=1,CT$150,CT$151)</f>
        <v>1843575.6608728</v>
      </c>
      <c r="CV151" s="48" t="n">
        <f aca="false">IF(CV$7=1,CU$150,CU$151)</f>
        <v>1843575.6608728</v>
      </c>
      <c r="CW151" s="48" t="n">
        <f aca="false">IF(CW$7=1,CV$150,CV$151)</f>
        <v>1843575.6608728</v>
      </c>
      <c r="CX151" s="48" t="n">
        <f aca="false">IF(CX$7=1,CW$150,CW$151)</f>
        <v>1893301.21355545</v>
      </c>
      <c r="CY151" s="48" t="n">
        <f aca="false">IF(CY$7=1,CX$150,CX$151)</f>
        <v>1893301.21355545</v>
      </c>
      <c r="CZ151" s="48" t="n">
        <f aca="false">IF(CZ$7=1,CY$150,CY$151)</f>
        <v>1893301.21355545</v>
      </c>
      <c r="DA151" s="48" t="n">
        <f aca="false">IF(DA$7=1,CZ$150,CZ$151)</f>
        <v>1893301.21355545</v>
      </c>
      <c r="DB151" s="48" t="n">
        <f aca="false">IF(DB$7=1,DA$150,DA$151)</f>
        <v>1893301.21355545</v>
      </c>
      <c r="DC151" s="48" t="n">
        <f aca="false">IF(DC$7=1,DB$150,DB$151)</f>
        <v>1893301.21355545</v>
      </c>
      <c r="DD151" s="48" t="n">
        <f aca="false">IF(DD$7=1,DC$150,DC$151)</f>
        <v>1893301.21355545</v>
      </c>
      <c r="DE151" s="48" t="n">
        <f aca="false">IF(DE$7=1,DD$150,DD$151)</f>
        <v>1893301.21355545</v>
      </c>
      <c r="DF151" s="48" t="n">
        <f aca="false">IF(DF$7=1,DE$150,DE$151)</f>
        <v>1893301.21355545</v>
      </c>
      <c r="DG151" s="48" t="n">
        <f aca="false">IF(DG$7=1,DF$150,DF$151)</f>
        <v>1893301.21355545</v>
      </c>
      <c r="DH151" s="48" t="n">
        <f aca="false">IF(DH$7=1,DG$150,DG$151)</f>
        <v>1893301.21355545</v>
      </c>
      <c r="DI151" s="48" t="n">
        <f aca="false">IF(DI$7=1,DH$150,DH$151)</f>
        <v>1893301.21355545</v>
      </c>
      <c r="DJ151" s="48" t="n">
        <f aca="false">IF(DJ$7=1,DI$150,DI$151)</f>
        <v>1943364.14678689</v>
      </c>
      <c r="DK151" s="48" t="n">
        <f aca="false">IF(DK$7=1,DJ$150,DJ$151)</f>
        <v>1943364.14678689</v>
      </c>
      <c r="DL151" s="48" t="n">
        <f aca="false">IF(DL$7=1,DK$150,DK$151)</f>
        <v>1943364.14678689</v>
      </c>
      <c r="DM151" s="48" t="n">
        <f aca="false">IF(DM$7=1,DL$150,DL$151)</f>
        <v>1943364.14678689</v>
      </c>
      <c r="DN151" s="48" t="n">
        <f aca="false">IF(DN$7=1,DM$150,DM$151)</f>
        <v>1943364.14678689</v>
      </c>
      <c r="DO151" s="48" t="n">
        <f aca="false">IF(DO$7=1,DN$150,DN$151)</f>
        <v>1943364.14678689</v>
      </c>
      <c r="DP151" s="48" t="n">
        <f aca="false">IF(DP$7=1,DO$150,DO$151)</f>
        <v>1943364.14678689</v>
      </c>
      <c r="DQ151" s="48" t="n">
        <f aca="false">IF(DQ$7=1,DP$150,DP$151)</f>
        <v>1943364.14678689</v>
      </c>
      <c r="DR151" s="48" t="n">
        <f aca="false">IF(DR$7=1,DQ$150,DQ$151)</f>
        <v>1943364.14678689</v>
      </c>
      <c r="DS151" s="48" t="n">
        <f aca="false">IF(DS$7=1,DR$150,DR$151)</f>
        <v>1943364.14678689</v>
      </c>
      <c r="DT151" s="48" t="n">
        <f aca="false">IF(DT$7=1,DS$150,DS$151)</f>
        <v>1943364.14678689</v>
      </c>
      <c r="DU151" s="48" t="n">
        <f aca="false">IF(DU$7=1,DT$150,DT$151)</f>
        <v>1943364.14678689</v>
      </c>
      <c r="DV151" s="48" t="n">
        <f aca="false">IF(DV$7=1,DU$150,DU$151)</f>
        <v>1993763.10838103</v>
      </c>
      <c r="DW151" s="48" t="n">
        <f aca="false">IF(DW$7=1,DV$150,DV$151)</f>
        <v>1993763.10838103</v>
      </c>
      <c r="DX151" s="48" t="n">
        <f aca="false">IF(DX$7=1,DW$150,DW$151)</f>
        <v>1993763.10838103</v>
      </c>
      <c r="DY151" s="48" t="n">
        <f aca="false">IF(DY$7=1,DX$150,DX$151)</f>
        <v>1993763.10838103</v>
      </c>
      <c r="DZ151" s="48" t="n">
        <f aca="false">IF(DZ$7=1,DY$150,DY$151)</f>
        <v>1993763.10838103</v>
      </c>
      <c r="EA151" s="48" t="n">
        <f aca="false">IF(EA$7=1,DZ$150,DZ$151)</f>
        <v>1993763.10838103</v>
      </c>
      <c r="EB151" s="48" t="n">
        <f aca="false">IF(EB$7=1,EA$150,EA$151)</f>
        <v>1993763.10838103</v>
      </c>
      <c r="EC151" s="48" t="n">
        <f aca="false">IF(EC$7=1,EB$150,EB$151)</f>
        <v>1993763.10838103</v>
      </c>
      <c r="ED151" s="48" t="n">
        <f aca="false">IF(ED$7=1,EC$150,EC$151)</f>
        <v>1993763.10838103</v>
      </c>
      <c r="EE151" s="48" t="n">
        <f aca="false">IF(EE$7=1,ED$150,ED$151)</f>
        <v>1993763.10838103</v>
      </c>
      <c r="EF151" s="48" t="n">
        <f aca="false">IF(EF$7=1,EE$150,EE$151)</f>
        <v>1993763.10838103</v>
      </c>
      <c r="EG151" s="48" t="n">
        <f aca="false">IF(EG$7=1,EF$150,EF$151)</f>
        <v>1993763.10838103</v>
      </c>
      <c r="EH151" s="48" t="n">
        <f aca="false">IF(EH$7=1,EG$150,EG$151)</f>
        <v>0</v>
      </c>
      <c r="EI151" s="48" t="n">
        <f aca="false">IF(EI$7=1,EH$150,EH$151)</f>
        <v>0</v>
      </c>
      <c r="EJ151" s="48" t="n">
        <f aca="false">IF(EJ$7=1,EI$150,EI$151)</f>
        <v>0</v>
      </c>
      <c r="EK151" s="48" t="n">
        <f aca="false">IF(EK$7=1,EJ$150,EJ$151)</f>
        <v>0</v>
      </c>
      <c r="EL151" s="48" t="n">
        <f aca="false">IF(EL$7=1,EK$150,EK$151)</f>
        <v>0</v>
      </c>
      <c r="EM151" s="48" t="n">
        <f aca="false">IF(EM$7=1,EL$150,EL$151)</f>
        <v>0</v>
      </c>
      <c r="EN151" s="48" t="n">
        <f aca="false">IF(EN$7=1,EM$150,EM$151)</f>
        <v>0</v>
      </c>
      <c r="EO151" s="48" t="n">
        <f aca="false">IF(EO$7=1,EN$150,EN$151)</f>
        <v>0</v>
      </c>
      <c r="EP151" s="48" t="n">
        <f aca="false">IF(EP$7=1,EO$150,EO$151)</f>
        <v>0</v>
      </c>
      <c r="EQ151" s="48" t="n">
        <f aca="false">IF(EQ$7=1,EP$150,EP$151)</f>
        <v>0</v>
      </c>
      <c r="ER151" s="48" t="n">
        <f aca="false">IF(ER$7=1,EQ$150,EQ$151)</f>
        <v>0</v>
      </c>
      <c r="ES151" s="48" t="n">
        <f aca="false">IF(ES$7=1,ER$150,ER$151)</f>
        <v>0</v>
      </c>
    </row>
    <row r="152" customFormat="false" ht="15" hidden="false" customHeight="false" outlineLevel="0" collapsed="false">
      <c r="A152" s="11" t="s">
        <v>1266</v>
      </c>
      <c r="B152" s="15" t="s">
        <v>1267</v>
      </c>
      <c r="C152" s="15" t="s">
        <v>508</v>
      </c>
      <c r="E152" s="54" t="n">
        <f aca="false">SUM(F152:ES152)</f>
        <v>10319354.5422842</v>
      </c>
      <c r="F152" s="48" t="n">
        <f aca="false">IF(AND(F$7=MAX(1,P_MesDiv),F$6&gt;=2),INDEX(Payout_O,1,MIN(10,F$6-1))*MAX(0,F$151),0)*F$9</f>
        <v>0</v>
      </c>
      <c r="G152" s="48" t="n">
        <f aca="false">IF(AND(G$7=MAX(1,P_MesDiv),G$6&gt;=2),INDEX(Payout_O,1,MIN(10,G$6-1))*MAX(0,G$151),0)*G$9</f>
        <v>0</v>
      </c>
      <c r="H152" s="48" t="n">
        <f aca="false">IF(AND(H$7=MAX(1,P_MesDiv),H$6&gt;=2),INDEX(Payout_O,1,MIN(10,H$6-1))*MAX(0,H$151),0)*H$9</f>
        <v>0</v>
      </c>
      <c r="I152" s="48" t="n">
        <f aca="false">IF(AND(I$7=MAX(1,P_MesDiv),I$6&gt;=2),INDEX(Payout_O,1,MIN(10,I$6-1))*MAX(0,I$151),0)*I$9</f>
        <v>0</v>
      </c>
      <c r="J152" s="48" t="n">
        <f aca="false">IF(AND(J$7=MAX(1,P_MesDiv),J$6&gt;=2),INDEX(Payout_O,1,MIN(10,J$6-1))*MAX(0,J$151),0)*J$9</f>
        <v>0</v>
      </c>
      <c r="K152" s="48" t="n">
        <f aca="false">IF(AND(K$7=MAX(1,P_MesDiv),K$6&gt;=2),INDEX(Payout_O,1,MIN(10,K$6-1))*MAX(0,K$151),0)*K$9</f>
        <v>0</v>
      </c>
      <c r="L152" s="48" t="n">
        <f aca="false">IF(AND(L$7=MAX(1,P_MesDiv),L$6&gt;=2),INDEX(Payout_O,1,MIN(10,L$6-1))*MAX(0,L$151),0)*L$9</f>
        <v>0</v>
      </c>
      <c r="M152" s="48" t="n">
        <f aca="false">IF(AND(M$7=MAX(1,P_MesDiv),M$6&gt;=2),INDEX(Payout_O,1,MIN(10,M$6-1))*MAX(0,M$151),0)*M$9</f>
        <v>0</v>
      </c>
      <c r="N152" s="48" t="n">
        <f aca="false">IF(AND(N$7=MAX(1,P_MesDiv),N$6&gt;=2),INDEX(Payout_O,1,MIN(10,N$6-1))*MAX(0,N$151),0)*N$9</f>
        <v>0</v>
      </c>
      <c r="O152" s="48" t="n">
        <f aca="false">IF(AND(O$7=MAX(1,P_MesDiv),O$6&gt;=2),INDEX(Payout_O,1,MIN(10,O$6-1))*MAX(0,O$151),0)*O$9</f>
        <v>0</v>
      </c>
      <c r="P152" s="48" t="n">
        <f aca="false">IF(AND(P$7=MAX(1,P_MesDiv),P$6&gt;=2),INDEX(Payout_O,1,MIN(10,P$6-1))*MAX(0,P$151),0)*P$9</f>
        <v>0</v>
      </c>
      <c r="Q152" s="48" t="n">
        <f aca="false">IF(AND(Q$7=MAX(1,P_MesDiv),Q$6&gt;=2),INDEX(Payout_O,1,MIN(10,Q$6-1))*MAX(0,Q$151),0)*Q$9</f>
        <v>0</v>
      </c>
      <c r="R152" s="48" t="n">
        <f aca="false">IF(AND(R$7=MAX(1,P_MesDiv),R$6&gt;=2),INDEX(Payout_O,1,MIN(10,R$6-1))*MAX(0,R$151),0)*R$9</f>
        <v>0</v>
      </c>
      <c r="S152" s="48" t="n">
        <f aca="false">IF(AND(S$7=MAX(1,P_MesDiv),S$6&gt;=2),INDEX(Payout_O,1,MIN(10,S$6-1))*MAX(0,S$151),0)*S$9</f>
        <v>0</v>
      </c>
      <c r="T152" s="48" t="n">
        <f aca="false">IF(AND(T$7=MAX(1,P_MesDiv),T$6&gt;=2),INDEX(Payout_O,1,MIN(10,T$6-1))*MAX(0,T$151),0)*T$9</f>
        <v>0</v>
      </c>
      <c r="U152" s="48" t="n">
        <f aca="false">IF(AND(U$7=MAX(1,P_MesDiv),U$6&gt;=2),INDEX(Payout_O,1,MIN(10,U$6-1))*MAX(0,U$151),0)*U$9</f>
        <v>0</v>
      </c>
      <c r="V152" s="48" t="n">
        <f aca="false">IF(AND(V$7=MAX(1,P_MesDiv),V$6&gt;=2),INDEX(Payout_O,1,MIN(10,V$6-1))*MAX(0,V$151),0)*V$9</f>
        <v>0</v>
      </c>
      <c r="W152" s="48" t="n">
        <f aca="false">IF(AND(W$7=MAX(1,P_MesDiv),W$6&gt;=2),INDEX(Payout_O,1,MIN(10,W$6-1))*MAX(0,W$151),0)*W$9</f>
        <v>0</v>
      </c>
      <c r="X152" s="48" t="n">
        <f aca="false">IF(AND(X$7=MAX(1,P_MesDiv),X$6&gt;=2),INDEX(Payout_O,1,MIN(10,X$6-1))*MAX(0,X$151),0)*X$9</f>
        <v>0</v>
      </c>
      <c r="Y152" s="48" t="n">
        <f aca="false">IF(AND(Y$7=MAX(1,P_MesDiv),Y$6&gt;=2),INDEX(Payout_O,1,MIN(10,Y$6-1))*MAX(0,Y$151),0)*Y$9</f>
        <v>0</v>
      </c>
      <c r="Z152" s="48" t="n">
        <f aca="false">IF(AND(Z$7=MAX(1,P_MesDiv),Z$6&gt;=2),INDEX(Payout_O,1,MIN(10,Z$6-1))*MAX(0,Z$151),0)*Z$9</f>
        <v>0</v>
      </c>
      <c r="AA152" s="48" t="n">
        <f aca="false">IF(AND(AA$7=MAX(1,P_MesDiv),AA$6&gt;=2),INDEX(Payout_O,1,MIN(10,AA$6-1))*MAX(0,AA$151),0)*AA$9</f>
        <v>0</v>
      </c>
      <c r="AB152" s="48" t="n">
        <f aca="false">IF(AND(AB$7=MAX(1,P_MesDiv),AB$6&gt;=2),INDEX(Payout_O,1,MIN(10,AB$6-1))*MAX(0,AB$151),0)*AB$9</f>
        <v>0</v>
      </c>
      <c r="AC152" s="48" t="n">
        <f aca="false">IF(AND(AC$7=MAX(1,P_MesDiv),AC$6&gt;=2),INDEX(Payout_O,1,MIN(10,AC$6-1))*MAX(0,AC$151),0)*AC$9</f>
        <v>0</v>
      </c>
      <c r="AD152" s="48" t="n">
        <f aca="false">IF(AND(AD$7=MAX(1,P_MesDiv),AD$6&gt;=2),INDEX(Payout_O,1,MIN(10,AD$6-1))*MAX(0,AD$151),0)*AD$9</f>
        <v>0</v>
      </c>
      <c r="AE152" s="48" t="n">
        <f aca="false">IF(AND(AE$7=MAX(1,P_MesDiv),AE$6&gt;=2),INDEX(Payout_O,1,MIN(10,AE$6-1))*MAX(0,AE$151),0)*AE$9</f>
        <v>0</v>
      </c>
      <c r="AF152" s="48" t="n">
        <f aca="false">IF(AND(AF$7=MAX(1,P_MesDiv),AF$6&gt;=2),INDEX(Payout_O,1,MIN(10,AF$6-1))*MAX(0,AF$151),0)*AF$9</f>
        <v>0</v>
      </c>
      <c r="AG152" s="48" t="n">
        <f aca="false">IF(AND(AG$7=MAX(1,P_MesDiv),AG$6&gt;=2),INDEX(Payout_O,1,MIN(10,AG$6-1))*MAX(0,AG$151),0)*AG$9</f>
        <v>0</v>
      </c>
      <c r="AH152" s="48" t="n">
        <f aca="false">IF(AND(AH$7=MAX(1,P_MesDiv),AH$6&gt;=2),INDEX(Payout_O,1,MIN(10,AH$6-1))*MAX(0,AH$151),0)*AH$9</f>
        <v>0</v>
      </c>
      <c r="AI152" s="48" t="n">
        <f aca="false">IF(AND(AI$7=MAX(1,P_MesDiv),AI$6&gt;=2),INDEX(Payout_O,1,MIN(10,AI$6-1))*MAX(0,AI$151),0)*AI$9</f>
        <v>0</v>
      </c>
      <c r="AJ152" s="48" t="n">
        <f aca="false">IF(AND(AJ$7=MAX(1,P_MesDiv),AJ$6&gt;=2),INDEX(Payout_O,1,MIN(10,AJ$6-1))*MAX(0,AJ$151),0)*AJ$9</f>
        <v>0</v>
      </c>
      <c r="AK152" s="48" t="n">
        <f aca="false">IF(AND(AK$7=MAX(1,P_MesDiv),AK$6&gt;=2),INDEX(Payout_O,1,MIN(10,AK$6-1))*MAX(0,AK$151),0)*AK$9</f>
        <v>0</v>
      </c>
      <c r="AL152" s="48" t="n">
        <f aca="false">IF(AND(AL$7=MAX(1,P_MesDiv),AL$6&gt;=2),INDEX(Payout_O,1,MIN(10,AL$6-1))*MAX(0,AL$151),0)*AL$9</f>
        <v>0</v>
      </c>
      <c r="AM152" s="48" t="n">
        <f aca="false">IF(AND(AM$7=MAX(1,P_MesDiv),AM$6&gt;=2),INDEX(Payout_O,1,MIN(10,AM$6-1))*MAX(0,AM$151),0)*AM$9</f>
        <v>0</v>
      </c>
      <c r="AN152" s="48" t="n">
        <f aca="false">IF(AND(AN$7=MAX(1,P_MesDiv),AN$6&gt;=2),INDEX(Payout_O,1,MIN(10,AN$6-1))*MAX(0,AN$151),0)*AN$9</f>
        <v>0</v>
      </c>
      <c r="AO152" s="48" t="n">
        <f aca="false">IF(AND(AO$7=MAX(1,P_MesDiv),AO$6&gt;=2),INDEX(Payout_O,1,MIN(10,AO$6-1))*MAX(0,AO$151),0)*AO$9</f>
        <v>0</v>
      </c>
      <c r="AP152" s="48" t="n">
        <f aca="false">IF(AND(AP$7=MAX(1,P_MesDiv),AP$6&gt;=2),INDEX(Payout_O,1,MIN(10,AP$6-1))*MAX(0,AP$151),0)*AP$9</f>
        <v>0</v>
      </c>
      <c r="AQ152" s="48" t="n">
        <f aca="false">IF(AND(AQ$7=MAX(1,P_MesDiv),AQ$6&gt;=2),INDEX(Payout_O,1,MIN(10,AQ$6-1))*MAX(0,AQ$151),0)*AQ$9</f>
        <v>0</v>
      </c>
      <c r="AR152" s="48" t="n">
        <f aca="false">IF(AND(AR$7=MAX(1,P_MesDiv),AR$6&gt;=2),INDEX(Payout_O,1,MIN(10,AR$6-1))*MAX(0,AR$151),0)*AR$9</f>
        <v>0</v>
      </c>
      <c r="AS152" s="48" t="n">
        <f aca="false">IF(AND(AS$7=MAX(1,P_MesDiv),AS$6&gt;=2),INDEX(Payout_O,1,MIN(10,AS$6-1))*MAX(0,AS$151),0)*AS$9</f>
        <v>346203.656532099</v>
      </c>
      <c r="AT152" s="48" t="n">
        <f aca="false">IF(AND(AT$7=MAX(1,P_MesDiv),AT$6&gt;=2),INDEX(Payout_O,1,MIN(10,AT$6-1))*MAX(0,AT$151),0)*AT$9</f>
        <v>0</v>
      </c>
      <c r="AU152" s="48" t="n">
        <f aca="false">IF(AND(AU$7=MAX(1,P_MesDiv),AU$6&gt;=2),INDEX(Payout_O,1,MIN(10,AU$6-1))*MAX(0,AU$151),0)*AU$9</f>
        <v>0</v>
      </c>
      <c r="AV152" s="48" t="n">
        <f aca="false">IF(AND(AV$7=MAX(1,P_MesDiv),AV$6&gt;=2),INDEX(Payout_O,1,MIN(10,AV$6-1))*MAX(0,AV$151),0)*AV$9</f>
        <v>0</v>
      </c>
      <c r="AW152" s="48" t="n">
        <f aca="false">IF(AND(AW$7=MAX(1,P_MesDiv),AW$6&gt;=2),INDEX(Payout_O,1,MIN(10,AW$6-1))*MAX(0,AW$151),0)*AW$9</f>
        <v>0</v>
      </c>
      <c r="AX152" s="48" t="n">
        <f aca="false">IF(AND(AX$7=MAX(1,P_MesDiv),AX$6&gt;=2),INDEX(Payout_O,1,MIN(10,AX$6-1))*MAX(0,AX$151),0)*AX$9</f>
        <v>0</v>
      </c>
      <c r="AY152" s="48" t="n">
        <f aca="false">IF(AND(AY$7=MAX(1,P_MesDiv),AY$6&gt;=2),INDEX(Payout_O,1,MIN(10,AY$6-1))*MAX(0,AY$151),0)*AY$9</f>
        <v>0</v>
      </c>
      <c r="AZ152" s="48" t="n">
        <f aca="false">IF(AND(AZ$7=MAX(1,P_MesDiv),AZ$6&gt;=2),INDEX(Payout_O,1,MIN(10,AZ$6-1))*MAX(0,AZ$151),0)*AZ$9</f>
        <v>0</v>
      </c>
      <c r="BA152" s="48" t="n">
        <f aca="false">IF(AND(BA$7=MAX(1,P_MesDiv),BA$6&gt;=2),INDEX(Payout_O,1,MIN(10,BA$6-1))*MAX(0,BA$151),0)*BA$9</f>
        <v>0</v>
      </c>
      <c r="BB152" s="48" t="n">
        <f aca="false">IF(AND(BB$7=MAX(1,P_MesDiv),BB$6&gt;=2),INDEX(Payout_O,1,MIN(10,BB$6-1))*MAX(0,BB$151),0)*BB$9</f>
        <v>0</v>
      </c>
      <c r="BC152" s="48" t="n">
        <f aca="false">IF(AND(BC$7=MAX(1,P_MesDiv),BC$6&gt;=2),INDEX(Payout_O,1,MIN(10,BC$6-1))*MAX(0,BC$151),0)*BC$9</f>
        <v>0</v>
      </c>
      <c r="BD152" s="48" t="n">
        <f aca="false">IF(AND(BD$7=MAX(1,P_MesDiv),BD$6&gt;=2),INDEX(Payout_O,1,MIN(10,BD$6-1))*MAX(0,BD$151),0)*BD$9</f>
        <v>0</v>
      </c>
      <c r="BE152" s="48" t="n">
        <f aca="false">IF(AND(BE$7=MAX(1,P_MesDiv),BE$6&gt;=2),INDEX(Payout_O,1,MIN(10,BE$6-1))*MAX(0,BE$151),0)*BE$9</f>
        <v>804953.378380922</v>
      </c>
      <c r="BF152" s="48" t="n">
        <f aca="false">IF(AND(BF$7=MAX(1,P_MesDiv),BF$6&gt;=2),INDEX(Payout_O,1,MIN(10,BF$6-1))*MAX(0,BF$151),0)*BF$9</f>
        <v>0</v>
      </c>
      <c r="BG152" s="48" t="n">
        <f aca="false">IF(AND(BG$7=MAX(1,P_MesDiv),BG$6&gt;=2),INDEX(Payout_O,1,MIN(10,BG$6-1))*MAX(0,BG$151),0)*BG$9</f>
        <v>0</v>
      </c>
      <c r="BH152" s="48" t="n">
        <f aca="false">IF(AND(BH$7=MAX(1,P_MesDiv),BH$6&gt;=2),INDEX(Payout_O,1,MIN(10,BH$6-1))*MAX(0,BH$151),0)*BH$9</f>
        <v>0</v>
      </c>
      <c r="BI152" s="48" t="n">
        <f aca="false">IF(AND(BI$7=MAX(1,P_MesDiv),BI$6&gt;=2),INDEX(Payout_O,1,MIN(10,BI$6-1))*MAX(0,BI$151),0)*BI$9</f>
        <v>0</v>
      </c>
      <c r="BJ152" s="48" t="n">
        <f aca="false">IF(AND(BJ$7=MAX(1,P_MesDiv),BJ$6&gt;=2),INDEX(Payout_O,1,MIN(10,BJ$6-1))*MAX(0,BJ$151),0)*BJ$9</f>
        <v>0</v>
      </c>
      <c r="BK152" s="48" t="n">
        <f aca="false">IF(AND(BK$7=MAX(1,P_MesDiv),BK$6&gt;=2),INDEX(Payout_O,1,MIN(10,BK$6-1))*MAX(0,BK$151),0)*BK$9</f>
        <v>0</v>
      </c>
      <c r="BL152" s="48" t="n">
        <f aca="false">IF(AND(BL$7=MAX(1,P_MesDiv),BL$6&gt;=2),INDEX(Payout_O,1,MIN(10,BL$6-1))*MAX(0,BL$151),0)*BL$9</f>
        <v>0</v>
      </c>
      <c r="BM152" s="48" t="n">
        <f aca="false">IF(AND(BM$7=MAX(1,P_MesDiv),BM$6&gt;=2),INDEX(Payout_O,1,MIN(10,BM$6-1))*MAX(0,BM$151),0)*BM$9</f>
        <v>0</v>
      </c>
      <c r="BN152" s="48" t="n">
        <f aca="false">IF(AND(BN$7=MAX(1,P_MesDiv),BN$6&gt;=2),INDEX(Payout_O,1,MIN(10,BN$6-1))*MAX(0,BN$151),0)*BN$9</f>
        <v>0</v>
      </c>
      <c r="BO152" s="48" t="n">
        <f aca="false">IF(AND(BO$7=MAX(1,P_MesDiv),BO$6&gt;=2),INDEX(Payout_O,1,MIN(10,BO$6-1))*MAX(0,BO$151),0)*BO$9</f>
        <v>0</v>
      </c>
      <c r="BP152" s="48" t="n">
        <f aca="false">IF(AND(BP$7=MAX(1,P_MesDiv),BP$6&gt;=2),INDEX(Payout_O,1,MIN(10,BP$6-1))*MAX(0,BP$151),0)*BP$9</f>
        <v>0</v>
      </c>
      <c r="BQ152" s="48" t="n">
        <f aca="false">IF(AND(BQ$7=MAX(1,P_MesDiv),BQ$6&gt;=2),INDEX(Payout_O,1,MIN(10,BQ$6-1))*MAX(0,BQ$151),0)*BQ$9</f>
        <v>1693767.79358213</v>
      </c>
      <c r="BR152" s="48" t="n">
        <f aca="false">IF(AND(BR$7=MAX(1,P_MesDiv),BR$6&gt;=2),INDEX(Payout_O,1,MIN(10,BR$6-1))*MAX(0,BR$151),0)*BR$9</f>
        <v>0</v>
      </c>
      <c r="BS152" s="48" t="n">
        <f aca="false">IF(AND(BS$7=MAX(1,P_MesDiv),BS$6&gt;=2),INDEX(Payout_O,1,MIN(10,BS$6-1))*MAX(0,BS$151),0)*BS$9</f>
        <v>0</v>
      </c>
      <c r="BT152" s="48" t="n">
        <f aca="false">IF(AND(BT$7=MAX(1,P_MesDiv),BT$6&gt;=2),INDEX(Payout_O,1,MIN(10,BT$6-1))*MAX(0,BT$151),0)*BT$9</f>
        <v>0</v>
      </c>
      <c r="BU152" s="48" t="n">
        <f aca="false">IF(AND(BU$7=MAX(1,P_MesDiv),BU$6&gt;=2),INDEX(Payout_O,1,MIN(10,BU$6-1))*MAX(0,BU$151),0)*BU$9</f>
        <v>0</v>
      </c>
      <c r="BV152" s="48" t="n">
        <f aca="false">IF(AND(BV$7=MAX(1,P_MesDiv),BV$6&gt;=2),INDEX(Payout_O,1,MIN(10,BV$6-1))*MAX(0,BV$151),0)*BV$9</f>
        <v>0</v>
      </c>
      <c r="BW152" s="48" t="n">
        <f aca="false">IF(AND(BW$7=MAX(1,P_MesDiv),BW$6&gt;=2),INDEX(Payout_O,1,MIN(10,BW$6-1))*MAX(0,BW$151),0)*BW$9</f>
        <v>0</v>
      </c>
      <c r="BX152" s="48" t="n">
        <f aca="false">IF(AND(BX$7=MAX(1,P_MesDiv),BX$6&gt;=2),INDEX(Payout_O,1,MIN(10,BX$6-1))*MAX(0,BX$151),0)*BX$9</f>
        <v>0</v>
      </c>
      <c r="BY152" s="48" t="n">
        <f aca="false">IF(AND(BY$7=MAX(1,P_MesDiv),BY$6&gt;=2),INDEX(Payout_O,1,MIN(10,BY$6-1))*MAX(0,BY$151),0)*BY$9</f>
        <v>0</v>
      </c>
      <c r="BZ152" s="48" t="n">
        <f aca="false">IF(AND(BZ$7=MAX(1,P_MesDiv),BZ$6&gt;=2),INDEX(Payout_O,1,MIN(10,BZ$6-1))*MAX(0,BZ$151),0)*BZ$9</f>
        <v>0</v>
      </c>
      <c r="CA152" s="48" t="n">
        <f aca="false">IF(AND(CA$7=MAX(1,P_MesDiv),CA$6&gt;=2),INDEX(Payout_O,1,MIN(10,CA$6-1))*MAX(0,CA$151),0)*CA$9</f>
        <v>0</v>
      </c>
      <c r="CB152" s="48" t="n">
        <f aca="false">IF(AND(CB$7=MAX(1,P_MesDiv),CB$6&gt;=2),INDEX(Payout_O,1,MIN(10,CB$6-1))*MAX(0,CB$151),0)*CB$9</f>
        <v>0</v>
      </c>
      <c r="CC152" s="48" t="n">
        <f aca="false">IF(AND(CC$7=MAX(1,P_MesDiv),CC$6&gt;=2),INDEX(Payout_O,1,MIN(10,CC$6-1))*MAX(0,CC$151),0)*CC$9</f>
        <v>1794188.69257391</v>
      </c>
      <c r="CD152" s="48" t="n">
        <f aca="false">IF(AND(CD$7=MAX(1,P_MesDiv),CD$6&gt;=2),INDEX(Payout_O,1,MIN(10,CD$6-1))*MAX(0,CD$151),0)*CD$9</f>
        <v>0</v>
      </c>
      <c r="CE152" s="48" t="n">
        <f aca="false">IF(AND(CE$7=MAX(1,P_MesDiv),CE$6&gt;=2),INDEX(Payout_O,1,MIN(10,CE$6-1))*MAX(0,CE$151),0)*CE$9</f>
        <v>0</v>
      </c>
      <c r="CF152" s="48" t="n">
        <f aca="false">IF(AND(CF$7=MAX(1,P_MesDiv),CF$6&gt;=2),INDEX(Payout_O,1,MIN(10,CF$6-1))*MAX(0,CF$151),0)*CF$9</f>
        <v>0</v>
      </c>
      <c r="CG152" s="48" t="n">
        <f aca="false">IF(AND(CG$7=MAX(1,P_MesDiv),CG$6&gt;=2),INDEX(Payout_O,1,MIN(10,CG$6-1))*MAX(0,CG$151),0)*CG$9</f>
        <v>0</v>
      </c>
      <c r="CH152" s="48" t="n">
        <f aca="false">IF(AND(CH$7=MAX(1,P_MesDiv),CH$6&gt;=2),INDEX(Payout_O,1,MIN(10,CH$6-1))*MAX(0,CH$151),0)*CH$9</f>
        <v>0</v>
      </c>
      <c r="CI152" s="48" t="n">
        <f aca="false">IF(AND(CI$7=MAX(1,P_MesDiv),CI$6&gt;=2),INDEX(Payout_O,1,MIN(10,CI$6-1))*MAX(0,CI$151),0)*CI$9</f>
        <v>0</v>
      </c>
      <c r="CJ152" s="48" t="n">
        <f aca="false">IF(AND(CJ$7=MAX(1,P_MesDiv),CJ$6&gt;=2),INDEX(Payout_O,1,MIN(10,CJ$6-1))*MAX(0,CJ$151),0)*CJ$9</f>
        <v>0</v>
      </c>
      <c r="CK152" s="48" t="n">
        <f aca="false">IF(AND(CK$7=MAX(1,P_MesDiv),CK$6&gt;=2),INDEX(Payout_O,1,MIN(10,CK$6-1))*MAX(0,CK$151),0)*CK$9</f>
        <v>0</v>
      </c>
      <c r="CL152" s="48" t="n">
        <f aca="false">IF(AND(CL$7=MAX(1,P_MesDiv),CL$6&gt;=2),INDEX(Payout_O,1,MIN(10,CL$6-1))*MAX(0,CL$151),0)*CL$9</f>
        <v>0</v>
      </c>
      <c r="CM152" s="48" t="n">
        <f aca="false">IF(AND(CM$7=MAX(1,P_MesDiv),CM$6&gt;=2),INDEX(Payout_O,1,MIN(10,CM$6-1))*MAX(0,CM$151),0)*CM$9</f>
        <v>0</v>
      </c>
      <c r="CN152" s="48" t="n">
        <f aca="false">IF(AND(CN$7=MAX(1,P_MesDiv),CN$6&gt;=2),INDEX(Payout_O,1,MIN(10,CN$6-1))*MAX(0,CN$151),0)*CN$9</f>
        <v>0</v>
      </c>
      <c r="CO152" s="48" t="n">
        <f aca="false">IF(AND(CO$7=MAX(1,P_MesDiv),CO$6&gt;=2),INDEX(Payout_O,1,MIN(10,CO$6-1))*MAX(0,CO$151),0)*CO$9</f>
        <v>1843575.6608728</v>
      </c>
      <c r="CP152" s="48" t="n">
        <f aca="false">IF(AND(CP$7=MAX(1,P_MesDiv),CP$6&gt;=2),INDEX(Payout_O,1,MIN(10,CP$6-1))*MAX(0,CP$151),0)*CP$9</f>
        <v>0</v>
      </c>
      <c r="CQ152" s="48" t="n">
        <f aca="false">IF(AND(CQ$7=MAX(1,P_MesDiv),CQ$6&gt;=2),INDEX(Payout_O,1,MIN(10,CQ$6-1))*MAX(0,CQ$151),0)*CQ$9</f>
        <v>0</v>
      </c>
      <c r="CR152" s="48" t="n">
        <f aca="false">IF(AND(CR$7=MAX(1,P_MesDiv),CR$6&gt;=2),INDEX(Payout_O,1,MIN(10,CR$6-1))*MAX(0,CR$151),0)*CR$9</f>
        <v>0</v>
      </c>
      <c r="CS152" s="48" t="n">
        <f aca="false">IF(AND(CS$7=MAX(1,P_MesDiv),CS$6&gt;=2),INDEX(Payout_O,1,MIN(10,CS$6-1))*MAX(0,CS$151),0)*CS$9</f>
        <v>0</v>
      </c>
      <c r="CT152" s="48" t="n">
        <f aca="false">IF(AND(CT$7=MAX(1,P_MesDiv),CT$6&gt;=2),INDEX(Payout_O,1,MIN(10,CT$6-1))*MAX(0,CT$151),0)*CT$9</f>
        <v>0</v>
      </c>
      <c r="CU152" s="48" t="n">
        <f aca="false">IF(AND(CU$7=MAX(1,P_MesDiv),CU$6&gt;=2),INDEX(Payout_O,1,MIN(10,CU$6-1))*MAX(0,CU$151),0)*CU$9</f>
        <v>0</v>
      </c>
      <c r="CV152" s="48" t="n">
        <f aca="false">IF(AND(CV$7=MAX(1,P_MesDiv),CV$6&gt;=2),INDEX(Payout_O,1,MIN(10,CV$6-1))*MAX(0,CV$151),0)*CV$9</f>
        <v>0</v>
      </c>
      <c r="CW152" s="48" t="n">
        <f aca="false">IF(AND(CW$7=MAX(1,P_MesDiv),CW$6&gt;=2),INDEX(Payout_O,1,MIN(10,CW$6-1))*MAX(0,CW$151),0)*CW$9</f>
        <v>0</v>
      </c>
      <c r="CX152" s="48" t="n">
        <f aca="false">IF(AND(CX$7=MAX(1,P_MesDiv),CX$6&gt;=2),INDEX(Payout_O,1,MIN(10,CX$6-1))*MAX(0,CX$151),0)*CX$9</f>
        <v>0</v>
      </c>
      <c r="CY152" s="48" t="n">
        <f aca="false">IF(AND(CY$7=MAX(1,P_MesDiv),CY$6&gt;=2),INDEX(Payout_O,1,MIN(10,CY$6-1))*MAX(0,CY$151),0)*CY$9</f>
        <v>0</v>
      </c>
      <c r="CZ152" s="48" t="n">
        <f aca="false">IF(AND(CZ$7=MAX(1,P_MesDiv),CZ$6&gt;=2),INDEX(Payout_O,1,MIN(10,CZ$6-1))*MAX(0,CZ$151),0)*CZ$9</f>
        <v>0</v>
      </c>
      <c r="DA152" s="48" t="n">
        <f aca="false">IF(AND(DA$7=MAX(1,P_MesDiv),DA$6&gt;=2),INDEX(Payout_O,1,MIN(10,DA$6-1))*MAX(0,DA$151),0)*DA$9</f>
        <v>1893301.21355545</v>
      </c>
      <c r="DB152" s="48" t="n">
        <f aca="false">IF(AND(DB$7=MAX(1,P_MesDiv),DB$6&gt;=2),INDEX(Payout_O,1,MIN(10,DB$6-1))*MAX(0,DB$151),0)*DB$9</f>
        <v>0</v>
      </c>
      <c r="DC152" s="48" t="n">
        <f aca="false">IF(AND(DC$7=MAX(1,P_MesDiv),DC$6&gt;=2),INDEX(Payout_O,1,MIN(10,DC$6-1))*MAX(0,DC$151),0)*DC$9</f>
        <v>0</v>
      </c>
      <c r="DD152" s="48" t="n">
        <f aca="false">IF(AND(DD$7=MAX(1,P_MesDiv),DD$6&gt;=2),INDEX(Payout_O,1,MIN(10,DD$6-1))*MAX(0,DD$151),0)*DD$9</f>
        <v>0</v>
      </c>
      <c r="DE152" s="48" t="n">
        <f aca="false">IF(AND(DE$7=MAX(1,P_MesDiv),DE$6&gt;=2),INDEX(Payout_O,1,MIN(10,DE$6-1))*MAX(0,DE$151),0)*DE$9</f>
        <v>0</v>
      </c>
      <c r="DF152" s="48" t="n">
        <f aca="false">IF(AND(DF$7=MAX(1,P_MesDiv),DF$6&gt;=2),INDEX(Payout_O,1,MIN(10,DF$6-1))*MAX(0,DF$151),0)*DF$9</f>
        <v>0</v>
      </c>
      <c r="DG152" s="48" t="n">
        <f aca="false">IF(AND(DG$7=MAX(1,P_MesDiv),DG$6&gt;=2),INDEX(Payout_O,1,MIN(10,DG$6-1))*MAX(0,DG$151),0)*DG$9</f>
        <v>0</v>
      </c>
      <c r="DH152" s="48" t="n">
        <f aca="false">IF(AND(DH$7=MAX(1,P_MesDiv),DH$6&gt;=2),INDEX(Payout_O,1,MIN(10,DH$6-1))*MAX(0,DH$151),0)*DH$9</f>
        <v>0</v>
      </c>
      <c r="DI152" s="48" t="n">
        <f aca="false">IF(AND(DI$7=MAX(1,P_MesDiv),DI$6&gt;=2),INDEX(Payout_O,1,MIN(10,DI$6-1))*MAX(0,DI$151),0)*DI$9</f>
        <v>0</v>
      </c>
      <c r="DJ152" s="48" t="n">
        <f aca="false">IF(AND(DJ$7=MAX(1,P_MesDiv),DJ$6&gt;=2),INDEX(Payout_O,1,MIN(10,DJ$6-1))*MAX(0,DJ$151),0)*DJ$9</f>
        <v>0</v>
      </c>
      <c r="DK152" s="48" t="n">
        <f aca="false">IF(AND(DK$7=MAX(1,P_MesDiv),DK$6&gt;=2),INDEX(Payout_O,1,MIN(10,DK$6-1))*MAX(0,DK$151),0)*DK$9</f>
        <v>0</v>
      </c>
      <c r="DL152" s="48" t="n">
        <f aca="false">IF(AND(DL$7=MAX(1,P_MesDiv),DL$6&gt;=2),INDEX(Payout_O,1,MIN(10,DL$6-1))*MAX(0,DL$151),0)*DL$9</f>
        <v>0</v>
      </c>
      <c r="DM152" s="48" t="n">
        <f aca="false">IF(AND(DM$7=MAX(1,P_MesDiv),DM$6&gt;=2),INDEX(Payout_O,1,MIN(10,DM$6-1))*MAX(0,DM$151),0)*DM$9</f>
        <v>1943364.14678689</v>
      </c>
      <c r="DN152" s="48" t="n">
        <f aca="false">IF(AND(DN$7=MAX(1,P_MesDiv),DN$6&gt;=2),INDEX(Payout_O,1,MIN(10,DN$6-1))*MAX(0,DN$151),0)*DN$9</f>
        <v>0</v>
      </c>
      <c r="DO152" s="48" t="n">
        <f aca="false">IF(AND(DO$7=MAX(1,P_MesDiv),DO$6&gt;=2),INDEX(Payout_O,1,MIN(10,DO$6-1))*MAX(0,DO$151),0)*DO$9</f>
        <v>0</v>
      </c>
      <c r="DP152" s="48" t="n">
        <f aca="false">IF(AND(DP$7=MAX(1,P_MesDiv),DP$6&gt;=2),INDEX(Payout_O,1,MIN(10,DP$6-1))*MAX(0,DP$151),0)*DP$9</f>
        <v>0</v>
      </c>
      <c r="DQ152" s="48" t="n">
        <f aca="false">IF(AND(DQ$7=MAX(1,P_MesDiv),DQ$6&gt;=2),INDEX(Payout_O,1,MIN(10,DQ$6-1))*MAX(0,DQ$151),0)*DQ$9</f>
        <v>0</v>
      </c>
      <c r="DR152" s="48" t="n">
        <f aca="false">IF(AND(DR$7=MAX(1,P_MesDiv),DR$6&gt;=2),INDEX(Payout_O,1,MIN(10,DR$6-1))*MAX(0,DR$151),0)*DR$9</f>
        <v>0</v>
      </c>
      <c r="DS152" s="48" t="n">
        <f aca="false">IF(AND(DS$7=MAX(1,P_MesDiv),DS$6&gt;=2),INDEX(Payout_O,1,MIN(10,DS$6-1))*MAX(0,DS$151),0)*DS$9</f>
        <v>0</v>
      </c>
      <c r="DT152" s="48" t="n">
        <f aca="false">IF(AND(DT$7=MAX(1,P_MesDiv),DT$6&gt;=2),INDEX(Payout_O,1,MIN(10,DT$6-1))*MAX(0,DT$151),0)*DT$9</f>
        <v>0</v>
      </c>
      <c r="DU152" s="48" t="n">
        <f aca="false">IF(AND(DU$7=MAX(1,P_MesDiv),DU$6&gt;=2),INDEX(Payout_O,1,MIN(10,DU$6-1))*MAX(0,DU$151),0)*DU$9</f>
        <v>0</v>
      </c>
      <c r="DV152" s="48" t="n">
        <f aca="false">IF(AND(DV$7=MAX(1,P_MesDiv),DV$6&gt;=2),INDEX(Payout_O,1,MIN(10,DV$6-1))*MAX(0,DV$151),0)*DV$9</f>
        <v>0</v>
      </c>
      <c r="DW152" s="48" t="n">
        <f aca="false">IF(AND(DW$7=MAX(1,P_MesDiv),DW$6&gt;=2),INDEX(Payout_O,1,MIN(10,DW$6-1))*MAX(0,DW$151),0)*DW$9</f>
        <v>0</v>
      </c>
      <c r="DX152" s="48" t="n">
        <f aca="false">IF(AND(DX$7=MAX(1,P_MesDiv),DX$6&gt;=2),INDEX(Payout_O,1,MIN(10,DX$6-1))*MAX(0,DX$151),0)*DX$9</f>
        <v>0</v>
      </c>
      <c r="DY152" s="48" t="n">
        <f aca="false">IF(AND(DY$7=MAX(1,P_MesDiv),DY$6&gt;=2),INDEX(Payout_O,1,MIN(10,DY$6-1))*MAX(0,DY$151),0)*DY$9</f>
        <v>0</v>
      </c>
      <c r="DZ152" s="48" t="n">
        <f aca="false">IF(AND(DZ$7=MAX(1,P_MesDiv),DZ$6&gt;=2),INDEX(Payout_O,1,MIN(10,DZ$6-1))*MAX(0,DZ$151),0)*DZ$9</f>
        <v>0</v>
      </c>
      <c r="EA152" s="48" t="n">
        <f aca="false">IF(AND(EA$7=MAX(1,P_MesDiv),EA$6&gt;=2),INDEX(Payout_O,1,MIN(10,EA$6-1))*MAX(0,EA$151),0)*EA$9</f>
        <v>0</v>
      </c>
      <c r="EB152" s="48" t="n">
        <f aca="false">IF(AND(EB$7=MAX(1,P_MesDiv),EB$6&gt;=2),INDEX(Payout_O,1,MIN(10,EB$6-1))*MAX(0,EB$151),0)*EB$9</f>
        <v>0</v>
      </c>
      <c r="EC152" s="48" t="n">
        <f aca="false">IF(AND(EC$7=MAX(1,P_MesDiv),EC$6&gt;=2),INDEX(Payout_O,1,MIN(10,EC$6-1))*MAX(0,EC$151),0)*EC$9</f>
        <v>0</v>
      </c>
      <c r="ED152" s="48" t="n">
        <f aca="false">IF(AND(ED$7=MAX(1,P_MesDiv),ED$6&gt;=2),INDEX(Payout_O,1,MIN(10,ED$6-1))*MAX(0,ED$151),0)*ED$9</f>
        <v>0</v>
      </c>
      <c r="EE152" s="48" t="n">
        <f aca="false">IF(AND(EE$7=MAX(1,P_MesDiv),EE$6&gt;=2),INDEX(Payout_O,1,MIN(10,EE$6-1))*MAX(0,EE$151),0)*EE$9</f>
        <v>0</v>
      </c>
      <c r="EF152" s="48" t="n">
        <f aca="false">IF(AND(EF$7=MAX(1,P_MesDiv),EF$6&gt;=2),INDEX(Payout_O,1,MIN(10,EF$6-1))*MAX(0,EF$151),0)*EF$9</f>
        <v>0</v>
      </c>
      <c r="EG152" s="48" t="n">
        <f aca="false">IF(AND(EG$7=MAX(1,P_MesDiv),EG$6&gt;=2),INDEX(Payout_O,1,MIN(10,EG$6-1))*MAX(0,EG$151),0)*EG$9</f>
        <v>0</v>
      </c>
      <c r="EH152" s="48" t="n">
        <f aca="false">IF(AND(EH$7=MAX(1,P_MesDiv),EH$6&gt;=2),INDEX(Payout_O,1,MIN(10,EH$6-1))*MAX(0,EH$151),0)*EH$9</f>
        <v>0</v>
      </c>
      <c r="EI152" s="48" t="n">
        <f aca="false">IF(AND(EI$7=MAX(1,P_MesDiv),EI$6&gt;=2),INDEX(Payout_O,1,MIN(10,EI$6-1))*MAX(0,EI$151),0)*EI$9</f>
        <v>0</v>
      </c>
      <c r="EJ152" s="48" t="n">
        <f aca="false">IF(AND(EJ$7=MAX(1,P_MesDiv),EJ$6&gt;=2),INDEX(Payout_O,1,MIN(10,EJ$6-1))*MAX(0,EJ$151),0)*EJ$9</f>
        <v>0</v>
      </c>
      <c r="EK152" s="48" t="n">
        <f aca="false">IF(AND(EK$7=MAX(1,P_MesDiv),EK$6&gt;=2),INDEX(Payout_O,1,MIN(10,EK$6-1))*MAX(0,EK$151),0)*EK$9</f>
        <v>0</v>
      </c>
      <c r="EL152" s="48" t="n">
        <f aca="false">IF(AND(EL$7=MAX(1,P_MesDiv),EL$6&gt;=2),INDEX(Payout_O,1,MIN(10,EL$6-1))*MAX(0,EL$151),0)*EL$9</f>
        <v>0</v>
      </c>
      <c r="EM152" s="48" t="n">
        <f aca="false">IF(AND(EM$7=MAX(1,P_MesDiv),EM$6&gt;=2),INDEX(Payout_O,1,MIN(10,EM$6-1))*MAX(0,EM$151),0)*EM$9</f>
        <v>0</v>
      </c>
      <c r="EN152" s="48" t="n">
        <f aca="false">IF(AND(EN$7=MAX(1,P_MesDiv),EN$6&gt;=2),INDEX(Payout_O,1,MIN(10,EN$6-1))*MAX(0,EN$151),0)*EN$9</f>
        <v>0</v>
      </c>
      <c r="EO152" s="48" t="n">
        <f aca="false">IF(AND(EO$7=MAX(1,P_MesDiv),EO$6&gt;=2),INDEX(Payout_O,1,MIN(10,EO$6-1))*MAX(0,EO$151),0)*EO$9</f>
        <v>0</v>
      </c>
      <c r="EP152" s="48" t="n">
        <f aca="false">IF(AND(EP$7=MAX(1,P_MesDiv),EP$6&gt;=2),INDEX(Payout_O,1,MIN(10,EP$6-1))*MAX(0,EP$151),0)*EP$9</f>
        <v>0</v>
      </c>
      <c r="EQ152" s="48" t="n">
        <f aca="false">IF(AND(EQ$7=MAX(1,P_MesDiv),EQ$6&gt;=2),INDEX(Payout_O,1,MIN(10,EQ$6-1))*MAX(0,EQ$151),0)*EQ$9</f>
        <v>0</v>
      </c>
      <c r="ER152" s="48" t="n">
        <f aca="false">IF(AND(ER$7=MAX(1,P_MesDiv),ER$6&gt;=2),INDEX(Payout_O,1,MIN(10,ER$6-1))*MAX(0,ER$151),0)*ER$9</f>
        <v>0</v>
      </c>
      <c r="ES152" s="48" t="n">
        <f aca="false">IF(AND(ES$7=MAX(1,P_MesDiv),ES$6&gt;=2),INDEX(Payout_O,1,MIN(10,ES$6-1))*MAX(0,ES$151),0)*ES$9</f>
        <v>0</v>
      </c>
    </row>
    <row r="153" customFormat="false" ht="15" hidden="false" customHeight="false" outlineLevel="0" collapsed="false">
      <c r="A153" s="11" t="s">
        <v>1268</v>
      </c>
      <c r="B153" s="15" t="s">
        <v>1269</v>
      </c>
      <c r="C153" s="15" t="s">
        <v>508</v>
      </c>
      <c r="E153" s="54" t="n">
        <f aca="false">SUM(F153:ES153)</f>
        <v>9743309.63653819</v>
      </c>
      <c r="F153" s="48" t="n">
        <f aca="false">MIN(F$152,MAX(0,F$149-F$142))</f>
        <v>0</v>
      </c>
      <c r="G153" s="48" t="n">
        <f aca="false">MIN(G$152,MAX(0,G$149-G$142))</f>
        <v>0</v>
      </c>
      <c r="H153" s="48" t="n">
        <f aca="false">MIN(H$152,MAX(0,H$149-H$142))</f>
        <v>0</v>
      </c>
      <c r="I153" s="48" t="n">
        <f aca="false">MIN(I$152,MAX(0,I$149-I$142))</f>
        <v>0</v>
      </c>
      <c r="J153" s="48" t="n">
        <f aca="false">MIN(J$152,MAX(0,J$149-J$142))</f>
        <v>0</v>
      </c>
      <c r="K153" s="48" t="n">
        <f aca="false">MIN(K$152,MAX(0,K$149-K$142))</f>
        <v>0</v>
      </c>
      <c r="L153" s="48" t="n">
        <f aca="false">MIN(L$152,MAX(0,L$149-L$142))</f>
        <v>0</v>
      </c>
      <c r="M153" s="48" t="n">
        <f aca="false">MIN(M$152,MAX(0,M$149-M$142))</f>
        <v>0</v>
      </c>
      <c r="N153" s="48" t="n">
        <f aca="false">MIN(N$152,MAX(0,N$149-N$142))</f>
        <v>0</v>
      </c>
      <c r="O153" s="48" t="n">
        <f aca="false">MIN(O$152,MAX(0,O$149-O$142))</f>
        <v>0</v>
      </c>
      <c r="P153" s="48" t="n">
        <f aca="false">MIN(P$152,MAX(0,P$149-P$142))</f>
        <v>0</v>
      </c>
      <c r="Q153" s="48" t="n">
        <f aca="false">MIN(Q$152,MAX(0,Q$149-Q$142))</f>
        <v>0</v>
      </c>
      <c r="R153" s="48" t="n">
        <f aca="false">MIN(R$152,MAX(0,R$149-R$142))</f>
        <v>0</v>
      </c>
      <c r="S153" s="48" t="n">
        <f aca="false">MIN(S$152,MAX(0,S$149-S$142))</f>
        <v>0</v>
      </c>
      <c r="T153" s="48" t="n">
        <f aca="false">MIN(T$152,MAX(0,T$149-T$142))</f>
        <v>0</v>
      </c>
      <c r="U153" s="48" t="n">
        <f aca="false">MIN(U$152,MAX(0,U$149-U$142))</f>
        <v>0</v>
      </c>
      <c r="V153" s="48" t="n">
        <f aca="false">MIN(V$152,MAX(0,V$149-V$142))</f>
        <v>0</v>
      </c>
      <c r="W153" s="48" t="n">
        <f aca="false">MIN(W$152,MAX(0,W$149-W$142))</f>
        <v>0</v>
      </c>
      <c r="X153" s="48" t="n">
        <f aca="false">MIN(X$152,MAX(0,X$149-X$142))</f>
        <v>0</v>
      </c>
      <c r="Y153" s="48" t="n">
        <f aca="false">MIN(Y$152,MAX(0,Y$149-Y$142))</f>
        <v>0</v>
      </c>
      <c r="Z153" s="48" t="n">
        <f aca="false">MIN(Z$152,MAX(0,Z$149-Z$142))</f>
        <v>0</v>
      </c>
      <c r="AA153" s="48" t="n">
        <f aca="false">MIN(AA$152,MAX(0,AA$149-AA$142))</f>
        <v>0</v>
      </c>
      <c r="AB153" s="48" t="n">
        <f aca="false">MIN(AB$152,MAX(0,AB$149-AB$142))</f>
        <v>0</v>
      </c>
      <c r="AC153" s="48" t="n">
        <f aca="false">MIN(AC$152,MAX(0,AC$149-AC$142))</f>
        <v>0</v>
      </c>
      <c r="AD153" s="48" t="n">
        <f aca="false">MIN(AD$152,MAX(0,AD$149-AD$142))</f>
        <v>0</v>
      </c>
      <c r="AE153" s="48" t="n">
        <f aca="false">MIN(AE$152,MAX(0,AE$149-AE$142))</f>
        <v>0</v>
      </c>
      <c r="AF153" s="48" t="n">
        <f aca="false">MIN(AF$152,MAX(0,AF$149-AF$142))</f>
        <v>0</v>
      </c>
      <c r="AG153" s="48" t="n">
        <f aca="false">MIN(AG$152,MAX(0,AG$149-AG$142))</f>
        <v>0</v>
      </c>
      <c r="AH153" s="48" t="n">
        <f aca="false">MIN(AH$152,MAX(0,AH$149-AH$142))</f>
        <v>0</v>
      </c>
      <c r="AI153" s="48" t="n">
        <f aca="false">MIN(AI$152,MAX(0,AI$149-AI$142))</f>
        <v>0</v>
      </c>
      <c r="AJ153" s="48" t="n">
        <f aca="false">MIN(AJ$152,MAX(0,AJ$149-AJ$142))</f>
        <v>0</v>
      </c>
      <c r="AK153" s="48" t="n">
        <f aca="false">MIN(AK$152,MAX(0,AK$149-AK$142))</f>
        <v>0</v>
      </c>
      <c r="AL153" s="48" t="n">
        <f aca="false">MIN(AL$152,MAX(0,AL$149-AL$142))</f>
        <v>0</v>
      </c>
      <c r="AM153" s="48" t="n">
        <f aca="false">MIN(AM$152,MAX(0,AM$149-AM$142))</f>
        <v>0</v>
      </c>
      <c r="AN153" s="48" t="n">
        <f aca="false">MIN(AN$152,MAX(0,AN$149-AN$142))</f>
        <v>0</v>
      </c>
      <c r="AO153" s="48" t="n">
        <f aca="false">MIN(AO$152,MAX(0,AO$149-AO$142))</f>
        <v>0</v>
      </c>
      <c r="AP153" s="48" t="n">
        <f aca="false">MIN(AP$152,MAX(0,AP$149-AP$142))</f>
        <v>0</v>
      </c>
      <c r="AQ153" s="48" t="n">
        <f aca="false">MIN(AQ$152,MAX(0,AQ$149-AQ$142))</f>
        <v>0</v>
      </c>
      <c r="AR153" s="48" t="n">
        <f aca="false">MIN(AR$152,MAX(0,AR$149-AR$142))</f>
        <v>0</v>
      </c>
      <c r="AS153" s="48" t="n">
        <f aca="false">MIN(AS$152,MAX(0,AS$149-AS$142))</f>
        <v>0</v>
      </c>
      <c r="AT153" s="48" t="n">
        <f aca="false">MIN(AT$152,MAX(0,AT$149-AT$142))</f>
        <v>0</v>
      </c>
      <c r="AU153" s="48" t="n">
        <f aca="false">MIN(AU$152,MAX(0,AU$149-AU$142))</f>
        <v>0</v>
      </c>
      <c r="AV153" s="48" t="n">
        <f aca="false">MIN(AV$152,MAX(0,AV$149-AV$142))</f>
        <v>0</v>
      </c>
      <c r="AW153" s="48" t="n">
        <f aca="false">MIN(AW$152,MAX(0,AW$149-AW$142))</f>
        <v>0</v>
      </c>
      <c r="AX153" s="48" t="n">
        <f aca="false">MIN(AX$152,MAX(0,AX$149-AX$142))</f>
        <v>0</v>
      </c>
      <c r="AY153" s="48" t="n">
        <f aca="false">MIN(AY$152,MAX(0,AY$149-AY$142))</f>
        <v>0</v>
      </c>
      <c r="AZ153" s="48" t="n">
        <f aca="false">MIN(AZ$152,MAX(0,AZ$149-AZ$142))</f>
        <v>0</v>
      </c>
      <c r="BA153" s="48" t="n">
        <f aca="false">MIN(BA$152,MAX(0,BA$149-BA$142))</f>
        <v>0</v>
      </c>
      <c r="BB153" s="48" t="n">
        <f aca="false">MIN(BB$152,MAX(0,BB$149-BB$142))</f>
        <v>0</v>
      </c>
      <c r="BC153" s="48" t="n">
        <f aca="false">MIN(BC$152,MAX(0,BC$149-BC$142))</f>
        <v>0</v>
      </c>
      <c r="BD153" s="48" t="n">
        <f aca="false">MIN(BD$152,MAX(0,BD$149-BD$142))</f>
        <v>0</v>
      </c>
      <c r="BE153" s="48" t="n">
        <f aca="false">MIN(BE$152,MAX(0,BE$149-BE$142))</f>
        <v>804953.378380922</v>
      </c>
      <c r="BF153" s="48" t="n">
        <f aca="false">MIN(BF$152,MAX(0,BF$149-BF$142))</f>
        <v>0</v>
      </c>
      <c r="BG153" s="48" t="n">
        <f aca="false">MIN(BG$152,MAX(0,BG$149-BG$142))</f>
        <v>0</v>
      </c>
      <c r="BH153" s="48" t="n">
        <f aca="false">MIN(BH$152,MAX(0,BH$149-BH$142))</f>
        <v>0</v>
      </c>
      <c r="BI153" s="48" t="n">
        <f aca="false">MIN(BI$152,MAX(0,BI$149-BI$142))</f>
        <v>0</v>
      </c>
      <c r="BJ153" s="48" t="n">
        <f aca="false">MIN(BJ$152,MAX(0,BJ$149-BJ$142))</f>
        <v>0</v>
      </c>
      <c r="BK153" s="48" t="n">
        <f aca="false">MIN(BK$152,MAX(0,BK$149-BK$142))</f>
        <v>0</v>
      </c>
      <c r="BL153" s="48" t="n">
        <f aca="false">MIN(BL$152,MAX(0,BL$149-BL$142))</f>
        <v>0</v>
      </c>
      <c r="BM153" s="48" t="n">
        <f aca="false">MIN(BM$152,MAX(0,BM$149-BM$142))</f>
        <v>0</v>
      </c>
      <c r="BN153" s="48" t="n">
        <f aca="false">MIN(BN$152,MAX(0,BN$149-BN$142))</f>
        <v>0</v>
      </c>
      <c r="BO153" s="48" t="n">
        <f aca="false">MIN(BO$152,MAX(0,BO$149-BO$142))</f>
        <v>0</v>
      </c>
      <c r="BP153" s="48" t="n">
        <f aca="false">MIN(BP$152,MAX(0,BP$149-BP$142))</f>
        <v>0</v>
      </c>
      <c r="BQ153" s="48" t="n">
        <f aca="false">MIN(BQ$152,MAX(0,BQ$149-BQ$142))</f>
        <v>1463926.54436822</v>
      </c>
      <c r="BR153" s="48" t="n">
        <f aca="false">MIN(BR$152,MAX(0,BR$149-BR$142))</f>
        <v>0</v>
      </c>
      <c r="BS153" s="48" t="n">
        <f aca="false">MIN(BS$152,MAX(0,BS$149-BS$142))</f>
        <v>0</v>
      </c>
      <c r="BT153" s="48" t="n">
        <f aca="false">MIN(BT$152,MAX(0,BT$149-BT$142))</f>
        <v>0</v>
      </c>
      <c r="BU153" s="48" t="n">
        <f aca="false">MIN(BU$152,MAX(0,BU$149-BU$142))</f>
        <v>0</v>
      </c>
      <c r="BV153" s="48" t="n">
        <f aca="false">MIN(BV$152,MAX(0,BV$149-BV$142))</f>
        <v>0</v>
      </c>
      <c r="BW153" s="48" t="n">
        <f aca="false">MIN(BW$152,MAX(0,BW$149-BW$142))</f>
        <v>0</v>
      </c>
      <c r="BX153" s="48" t="n">
        <f aca="false">MIN(BX$152,MAX(0,BX$149-BX$142))</f>
        <v>0</v>
      </c>
      <c r="BY153" s="48" t="n">
        <f aca="false">MIN(BY$152,MAX(0,BY$149-BY$142))</f>
        <v>0</v>
      </c>
      <c r="BZ153" s="48" t="n">
        <f aca="false">MIN(BZ$152,MAX(0,BZ$149-BZ$142))</f>
        <v>0</v>
      </c>
      <c r="CA153" s="48" t="n">
        <f aca="false">MIN(CA$152,MAX(0,CA$149-CA$142))</f>
        <v>0</v>
      </c>
      <c r="CB153" s="48" t="n">
        <f aca="false">MIN(CB$152,MAX(0,CB$149-CB$142))</f>
        <v>0</v>
      </c>
      <c r="CC153" s="48" t="n">
        <f aca="false">MIN(CC$152,MAX(0,CC$149-CC$142))</f>
        <v>1794188.69257391</v>
      </c>
      <c r="CD153" s="48" t="n">
        <f aca="false">MIN(CD$152,MAX(0,CD$149-CD$142))</f>
        <v>0</v>
      </c>
      <c r="CE153" s="48" t="n">
        <f aca="false">MIN(CE$152,MAX(0,CE$149-CE$142))</f>
        <v>0</v>
      </c>
      <c r="CF153" s="48" t="n">
        <f aca="false">MIN(CF$152,MAX(0,CF$149-CF$142))</f>
        <v>0</v>
      </c>
      <c r="CG153" s="48" t="n">
        <f aca="false">MIN(CG$152,MAX(0,CG$149-CG$142))</f>
        <v>0</v>
      </c>
      <c r="CH153" s="48" t="n">
        <f aca="false">MIN(CH$152,MAX(0,CH$149-CH$142))</f>
        <v>0</v>
      </c>
      <c r="CI153" s="48" t="n">
        <f aca="false">MIN(CI$152,MAX(0,CI$149-CI$142))</f>
        <v>0</v>
      </c>
      <c r="CJ153" s="48" t="n">
        <f aca="false">MIN(CJ$152,MAX(0,CJ$149-CJ$142))</f>
        <v>0</v>
      </c>
      <c r="CK153" s="48" t="n">
        <f aca="false">MIN(CK$152,MAX(0,CK$149-CK$142))</f>
        <v>0</v>
      </c>
      <c r="CL153" s="48" t="n">
        <f aca="false">MIN(CL$152,MAX(0,CL$149-CL$142))</f>
        <v>0</v>
      </c>
      <c r="CM153" s="48" t="n">
        <f aca="false">MIN(CM$152,MAX(0,CM$149-CM$142))</f>
        <v>0</v>
      </c>
      <c r="CN153" s="48" t="n">
        <f aca="false">MIN(CN$152,MAX(0,CN$149-CN$142))</f>
        <v>0</v>
      </c>
      <c r="CO153" s="48" t="n">
        <f aca="false">MIN(CO$152,MAX(0,CO$149-CO$142))</f>
        <v>1843575.6608728</v>
      </c>
      <c r="CP153" s="48" t="n">
        <f aca="false">MIN(CP$152,MAX(0,CP$149-CP$142))</f>
        <v>0</v>
      </c>
      <c r="CQ153" s="48" t="n">
        <f aca="false">MIN(CQ$152,MAX(0,CQ$149-CQ$142))</f>
        <v>0</v>
      </c>
      <c r="CR153" s="48" t="n">
        <f aca="false">MIN(CR$152,MAX(0,CR$149-CR$142))</f>
        <v>0</v>
      </c>
      <c r="CS153" s="48" t="n">
        <f aca="false">MIN(CS$152,MAX(0,CS$149-CS$142))</f>
        <v>0</v>
      </c>
      <c r="CT153" s="48" t="n">
        <f aca="false">MIN(CT$152,MAX(0,CT$149-CT$142))</f>
        <v>0</v>
      </c>
      <c r="CU153" s="48" t="n">
        <f aca="false">MIN(CU$152,MAX(0,CU$149-CU$142))</f>
        <v>0</v>
      </c>
      <c r="CV153" s="48" t="n">
        <f aca="false">MIN(CV$152,MAX(0,CV$149-CV$142))</f>
        <v>0</v>
      </c>
      <c r="CW153" s="48" t="n">
        <f aca="false">MIN(CW$152,MAX(0,CW$149-CW$142))</f>
        <v>0</v>
      </c>
      <c r="CX153" s="48" t="n">
        <f aca="false">MIN(CX$152,MAX(0,CX$149-CX$142))</f>
        <v>0</v>
      </c>
      <c r="CY153" s="48" t="n">
        <f aca="false">MIN(CY$152,MAX(0,CY$149-CY$142))</f>
        <v>0</v>
      </c>
      <c r="CZ153" s="48" t="n">
        <f aca="false">MIN(CZ$152,MAX(0,CZ$149-CZ$142))</f>
        <v>0</v>
      </c>
      <c r="DA153" s="48" t="n">
        <f aca="false">MIN(DA$152,MAX(0,DA$149-DA$142))</f>
        <v>1893301.21355545</v>
      </c>
      <c r="DB153" s="48" t="n">
        <f aca="false">MIN(DB$152,MAX(0,DB$149-DB$142))</f>
        <v>0</v>
      </c>
      <c r="DC153" s="48" t="n">
        <f aca="false">MIN(DC$152,MAX(0,DC$149-DC$142))</f>
        <v>0</v>
      </c>
      <c r="DD153" s="48" t="n">
        <f aca="false">MIN(DD$152,MAX(0,DD$149-DD$142))</f>
        <v>0</v>
      </c>
      <c r="DE153" s="48" t="n">
        <f aca="false">MIN(DE$152,MAX(0,DE$149-DE$142))</f>
        <v>0</v>
      </c>
      <c r="DF153" s="48" t="n">
        <f aca="false">MIN(DF$152,MAX(0,DF$149-DF$142))</f>
        <v>0</v>
      </c>
      <c r="DG153" s="48" t="n">
        <f aca="false">MIN(DG$152,MAX(0,DG$149-DG$142))</f>
        <v>0</v>
      </c>
      <c r="DH153" s="48" t="n">
        <f aca="false">MIN(DH$152,MAX(0,DH$149-DH$142))</f>
        <v>0</v>
      </c>
      <c r="DI153" s="48" t="n">
        <f aca="false">MIN(DI$152,MAX(0,DI$149-DI$142))</f>
        <v>0</v>
      </c>
      <c r="DJ153" s="48" t="n">
        <f aca="false">MIN(DJ$152,MAX(0,DJ$149-DJ$142))</f>
        <v>0</v>
      </c>
      <c r="DK153" s="48" t="n">
        <f aca="false">MIN(DK$152,MAX(0,DK$149-DK$142))</f>
        <v>0</v>
      </c>
      <c r="DL153" s="48" t="n">
        <f aca="false">MIN(DL$152,MAX(0,DL$149-DL$142))</f>
        <v>0</v>
      </c>
      <c r="DM153" s="48" t="n">
        <f aca="false">MIN(DM$152,MAX(0,DM$149-DM$142))</f>
        <v>1943364.14678689</v>
      </c>
      <c r="DN153" s="48" t="n">
        <f aca="false">MIN(DN$152,MAX(0,DN$149-DN$142))</f>
        <v>0</v>
      </c>
      <c r="DO153" s="48" t="n">
        <f aca="false">MIN(DO$152,MAX(0,DO$149-DO$142))</f>
        <v>0</v>
      </c>
      <c r="DP153" s="48" t="n">
        <f aca="false">MIN(DP$152,MAX(0,DP$149-DP$142))</f>
        <v>0</v>
      </c>
      <c r="DQ153" s="48" t="n">
        <f aca="false">MIN(DQ$152,MAX(0,DQ$149-DQ$142))</f>
        <v>0</v>
      </c>
      <c r="DR153" s="48" t="n">
        <f aca="false">MIN(DR$152,MAX(0,DR$149-DR$142))</f>
        <v>0</v>
      </c>
      <c r="DS153" s="48" t="n">
        <f aca="false">MIN(DS$152,MAX(0,DS$149-DS$142))</f>
        <v>0</v>
      </c>
      <c r="DT153" s="48" t="n">
        <f aca="false">MIN(DT$152,MAX(0,DT$149-DT$142))</f>
        <v>0</v>
      </c>
      <c r="DU153" s="48" t="n">
        <f aca="false">MIN(DU$152,MAX(0,DU$149-DU$142))</f>
        <v>0</v>
      </c>
      <c r="DV153" s="48" t="n">
        <f aca="false">MIN(DV$152,MAX(0,DV$149-DV$142))</f>
        <v>0</v>
      </c>
      <c r="DW153" s="48" t="n">
        <f aca="false">MIN(DW$152,MAX(0,DW$149-DW$142))</f>
        <v>0</v>
      </c>
      <c r="DX153" s="48" t="n">
        <f aca="false">MIN(DX$152,MAX(0,DX$149-DX$142))</f>
        <v>0</v>
      </c>
      <c r="DY153" s="48" t="n">
        <f aca="false">MIN(DY$152,MAX(0,DY$149-DY$142))</f>
        <v>0</v>
      </c>
      <c r="DZ153" s="48" t="n">
        <f aca="false">MIN(DZ$152,MAX(0,DZ$149-DZ$142))</f>
        <v>0</v>
      </c>
      <c r="EA153" s="48" t="n">
        <f aca="false">MIN(EA$152,MAX(0,EA$149-EA$142))</f>
        <v>0</v>
      </c>
      <c r="EB153" s="48" t="n">
        <f aca="false">MIN(EB$152,MAX(0,EB$149-EB$142))</f>
        <v>0</v>
      </c>
      <c r="EC153" s="48" t="n">
        <f aca="false">MIN(EC$152,MAX(0,EC$149-EC$142))</f>
        <v>0</v>
      </c>
      <c r="ED153" s="48" t="n">
        <f aca="false">MIN(ED$152,MAX(0,ED$149-ED$142))</f>
        <v>0</v>
      </c>
      <c r="EE153" s="48" t="n">
        <f aca="false">MIN(EE$152,MAX(0,EE$149-EE$142))</f>
        <v>0</v>
      </c>
      <c r="EF153" s="48" t="n">
        <f aca="false">MIN(EF$152,MAX(0,EF$149-EF$142))</f>
        <v>0</v>
      </c>
      <c r="EG153" s="48" t="n">
        <f aca="false">MIN(EG$152,MAX(0,EG$149-EG$142))</f>
        <v>0</v>
      </c>
      <c r="EH153" s="48" t="n">
        <f aca="false">MIN(EH$152,MAX(0,EH$149-EH$142))</f>
        <v>0</v>
      </c>
      <c r="EI153" s="48" t="n">
        <f aca="false">MIN(EI$152,MAX(0,EI$149-EI$142))</f>
        <v>0</v>
      </c>
      <c r="EJ153" s="48" t="n">
        <f aca="false">MIN(EJ$152,MAX(0,EJ$149-EJ$142))</f>
        <v>0</v>
      </c>
      <c r="EK153" s="48" t="n">
        <f aca="false">MIN(EK$152,MAX(0,EK$149-EK$142))</f>
        <v>0</v>
      </c>
      <c r="EL153" s="48" t="n">
        <f aca="false">MIN(EL$152,MAX(0,EL$149-EL$142))</f>
        <v>0</v>
      </c>
      <c r="EM153" s="48" t="n">
        <f aca="false">MIN(EM$152,MAX(0,EM$149-EM$142))</f>
        <v>0</v>
      </c>
      <c r="EN153" s="48" t="n">
        <f aca="false">MIN(EN$152,MAX(0,EN$149-EN$142))</f>
        <v>0</v>
      </c>
      <c r="EO153" s="48" t="n">
        <f aca="false">MIN(EO$152,MAX(0,EO$149-EO$142))</f>
        <v>0</v>
      </c>
      <c r="EP153" s="48" t="n">
        <f aca="false">MIN(EP$152,MAX(0,EP$149-EP$142))</f>
        <v>0</v>
      </c>
      <c r="EQ153" s="48" t="n">
        <f aca="false">MIN(EQ$152,MAX(0,EQ$149-EQ$142))</f>
        <v>0</v>
      </c>
      <c r="ER153" s="48" t="n">
        <f aca="false">MIN(ER$152,MAX(0,ER$149-ER$142))</f>
        <v>0</v>
      </c>
      <c r="ES153" s="48" t="n">
        <f aca="false">MIN(ES$152,MAX(0,ES$149-ES$142))</f>
        <v>0</v>
      </c>
    </row>
    <row r="154" customFormat="false" ht="15" hidden="false" customHeight="false" outlineLevel="0" collapsed="false">
      <c r="A154" s="11" t="s">
        <v>1270</v>
      </c>
      <c r="B154" s="67" t="s">
        <v>1271</v>
      </c>
      <c r="C154" s="15" t="s">
        <v>508</v>
      </c>
      <c r="E154" s="54" t="n">
        <f aca="false">MIN(F154:ES154)</f>
        <v>-311740.118672618</v>
      </c>
      <c r="F154" s="19" t="n">
        <f aca="false">F$149-F$153</f>
        <v>535727.93036656</v>
      </c>
      <c r="G154" s="19" t="n">
        <f aca="false">G$149-G$153</f>
        <v>555194.83809215</v>
      </c>
      <c r="H154" s="19" t="n">
        <f aca="false">H$149-H$153</f>
        <v>574661.745817739</v>
      </c>
      <c r="I154" s="19" t="n">
        <f aca="false">I$149-I$153</f>
        <v>594128.653543329</v>
      </c>
      <c r="J154" s="19" t="n">
        <f aca="false">J$149-J$153</f>
        <v>613595.561268919</v>
      </c>
      <c r="K154" s="19" t="n">
        <f aca="false">K$149-K$153</f>
        <v>633062.468994509</v>
      </c>
      <c r="L154" s="19" t="n">
        <f aca="false">L$149-L$153</f>
        <v>610406.072625411</v>
      </c>
      <c r="M154" s="19" t="n">
        <f aca="false">M$149-M$153</f>
        <v>587781.268734384</v>
      </c>
      <c r="N154" s="19" t="n">
        <f aca="false">N$149-N$153</f>
        <v>565188.294265013</v>
      </c>
      <c r="O154" s="19" t="n">
        <f aca="false">O$149-O$153</f>
        <v>542627.387937962</v>
      </c>
      <c r="P154" s="19" t="n">
        <f aca="false">P$149-P$153</f>
        <v>520098.790264297</v>
      </c>
      <c r="Q154" s="19" t="n">
        <f aca="false">Q$149-Q$153</f>
        <v>497602.743558918</v>
      </c>
      <c r="R154" s="19" t="n">
        <f aca="false">R$149-R$153</f>
        <v>129920.95007682</v>
      </c>
      <c r="S154" s="19" t="n">
        <f aca="false">S$149-S$153</f>
        <v>145489.642054168</v>
      </c>
      <c r="T154" s="19" t="n">
        <f aca="false">T$149-T$153</f>
        <v>161091.622903299</v>
      </c>
      <c r="U154" s="19" t="n">
        <f aca="false">U$149-U$153</f>
        <v>176727.142290749</v>
      </c>
      <c r="V154" s="19" t="n">
        <f aca="false">V$149-V$153</f>
        <v>192396.451755556</v>
      </c>
      <c r="W154" s="19" t="n">
        <f aca="false">W$149-W$153</f>
        <v>208099.804723301</v>
      </c>
      <c r="X154" s="19" t="n">
        <f aca="false">X$149-X$153</f>
        <v>223837.456520255</v>
      </c>
      <c r="Y154" s="19" t="n">
        <f aca="false">Y$149-Y$153</f>
        <v>239609.664387639</v>
      </c>
      <c r="Z154" s="19" t="n">
        <f aca="false">Z$149-Z$153</f>
        <v>255416.687495978</v>
      </c>
      <c r="AA154" s="19" t="n">
        <f aca="false">AA$149-AA$153</f>
        <v>271258.786959582</v>
      </c>
      <c r="AB154" s="19" t="n">
        <f aca="false">AB$149-AB$153</f>
        <v>287136.225851114</v>
      </c>
      <c r="AC154" s="19" t="n">
        <f aca="false">AC$149-AC$153</f>
        <v>303049.269216285</v>
      </c>
      <c r="AD154" s="19" t="n">
        <f aca="false">AD$149-AD$153</f>
        <v>-311740.118672618</v>
      </c>
      <c r="AE154" s="19" t="n">
        <f aca="false">AE$149-AE$153</f>
        <v>-259166.435385603</v>
      </c>
      <c r="AF154" s="19" t="n">
        <f aca="false">AF$149-AF$153</f>
        <v>-206556.340501018</v>
      </c>
      <c r="AG154" s="19" t="n">
        <f aca="false">AG$149-AG$153</f>
        <v>-153909.560931882</v>
      </c>
      <c r="AH154" s="19" t="n">
        <f aca="false">AH$149-AH$153</f>
        <v>-101225.821543058</v>
      </c>
      <c r="AI154" s="19" t="n">
        <f aca="false">AI$149-AI$153</f>
        <v>-48504.8451359012</v>
      </c>
      <c r="AJ154" s="19" t="n">
        <f aca="false">AJ$149-AJ$153</f>
        <v>4253.64756722731</v>
      </c>
      <c r="AK154" s="19" t="n">
        <f aca="false">AK$149-AK$153</f>
        <v>57049.9379385471</v>
      </c>
      <c r="AL154" s="19" t="n">
        <f aca="false">AL$149-AL$153</f>
        <v>109884.309460569</v>
      </c>
      <c r="AM154" s="19" t="n">
        <f aca="false">AM$149-AM$153</f>
        <v>162757.047741925</v>
      </c>
      <c r="AN154" s="19" t="n">
        <f aca="false">AN$149-AN$153</f>
        <v>215668.440533308</v>
      </c>
      <c r="AO154" s="19" t="n">
        <f aca="false">AO$149-AO$153</f>
        <v>268618.777743544</v>
      </c>
      <c r="AP154" s="19" t="n">
        <f aca="false">AP$149-AP$153</f>
        <v>-204392.169462804</v>
      </c>
      <c r="AQ154" s="19" t="n">
        <f aca="false">AQ$149-AQ$153</f>
        <v>-118554.51596008</v>
      </c>
      <c r="AR154" s="19" t="n">
        <f aca="false">AR$149-AR$153</f>
        <v>-32677.0352007788</v>
      </c>
      <c r="AS154" s="19" t="n">
        <f aca="false">AS$149-AS$153</f>
        <v>53240.5715195248</v>
      </c>
      <c r="AT154" s="19" t="n">
        <f aca="false">AT$149-AT$153</f>
        <v>139198.605145538</v>
      </c>
      <c r="AU154" s="19" t="n">
        <f aca="false">AU$149-AU$153</f>
        <v>225197.368879053</v>
      </c>
      <c r="AV154" s="19" t="n">
        <f aca="false">AV$149-AV$153</f>
        <v>311237.168195877</v>
      </c>
      <c r="AW154" s="19" t="n">
        <f aca="false">AW$149-AW$153</f>
        <v>397318.310862885</v>
      </c>
      <c r="AX154" s="19" t="n">
        <f aca="false">AX$149-AX$153</f>
        <v>483441.106955202</v>
      </c>
      <c r="AY154" s="19" t="n">
        <f aca="false">AY$149-AY$153</f>
        <v>569605.868873519</v>
      </c>
      <c r="AZ154" s="19" t="n">
        <f aca="false">AZ$149-AZ$153</f>
        <v>655812.91136153</v>
      </c>
      <c r="BA154" s="19" t="n">
        <f aca="false">BA$149-BA$153</f>
        <v>742062.551523509</v>
      </c>
      <c r="BB154" s="19" t="n">
        <f aca="false">BB$149-BB$153</f>
        <v>791565.146132666</v>
      </c>
      <c r="BC154" s="19" t="n">
        <f aca="false">BC$149-BC$153</f>
        <v>879220.527482878</v>
      </c>
      <c r="BD154" s="19" t="n">
        <f aca="false">BD$149-BD$153</f>
        <v>966919.47216105</v>
      </c>
      <c r="BE154" s="19" t="n">
        <f aca="false">BE$149-BE$153</f>
        <v>249708.92851122</v>
      </c>
      <c r="BF154" s="19" t="n">
        <f aca="false">BF$149-BF$153</f>
        <v>337495.982470628</v>
      </c>
      <c r="BG154" s="19" t="n">
        <f aca="false">BG$149-BG$153</f>
        <v>425327.587302565</v>
      </c>
      <c r="BH154" s="19" t="n">
        <f aca="false">BH$149-BH$153</f>
        <v>513204.077138576</v>
      </c>
      <c r="BI154" s="19" t="n">
        <f aca="false">BI$149-BI$153</f>
        <v>601125.788616189</v>
      </c>
      <c r="BJ154" s="19" t="n">
        <f aca="false">BJ$149-BJ$153</f>
        <v>689093.060897719</v>
      </c>
      <c r="BK154" s="19" t="n">
        <f aca="false">BK$149-BK$153</f>
        <v>777106.235689193</v>
      </c>
      <c r="BL154" s="19" t="n">
        <f aca="false">BL$149-BL$153</f>
        <v>865165.657259436</v>
      </c>
      <c r="BM154" s="19" t="n">
        <f aca="false">BM$149-BM$153</f>
        <v>953271.672459288</v>
      </c>
      <c r="BN154" s="19" t="n">
        <f aca="false">BN$149-BN$153</f>
        <v>1070847.25778852</v>
      </c>
      <c r="BO154" s="19" t="n">
        <f aca="false">BO$149-BO$153</f>
        <v>1226147.69958634</v>
      </c>
      <c r="BP154" s="19" t="n">
        <f aca="false">BP$149-BP$153</f>
        <v>1381448.14138417</v>
      </c>
      <c r="BQ154" s="19" t="n">
        <f aca="false">BQ$149-BQ$153</f>
        <v>72822.0388137782</v>
      </c>
      <c r="BR154" s="19" t="n">
        <f aca="false">BR$149-BR$153</f>
        <v>228122.480611604</v>
      </c>
      <c r="BS154" s="19" t="n">
        <f aca="false">BS$149-BS$153</f>
        <v>383422.92240943</v>
      </c>
      <c r="BT154" s="19" t="n">
        <f aca="false">BT$149-BT$153</f>
        <v>538723.364207257</v>
      </c>
      <c r="BU154" s="19" t="n">
        <f aca="false">BU$149-BU$153</f>
        <v>694023.806005083</v>
      </c>
      <c r="BV154" s="19" t="n">
        <f aca="false">BV$149-BV$153</f>
        <v>849324.247802909</v>
      </c>
      <c r="BW154" s="19" t="n">
        <f aca="false">BW$149-BW$153</f>
        <v>1004624.68960073</v>
      </c>
      <c r="BX154" s="19" t="n">
        <f aca="false">BX$149-BX$153</f>
        <v>1159925.13139856</v>
      </c>
      <c r="BY154" s="19" t="n">
        <f aca="false">BY$149-BY$153</f>
        <v>1315225.57319639</v>
      </c>
      <c r="BZ154" s="19" t="n">
        <f aca="false">BZ$149-BZ$153</f>
        <v>1436551.70246101</v>
      </c>
      <c r="CA154" s="19" t="n">
        <f aca="false">CA$149-CA$153</f>
        <v>1595967.72495041</v>
      </c>
      <c r="CB154" s="19" t="n">
        <f aca="false">CB$149-CB$153</f>
        <v>1755383.74743981</v>
      </c>
      <c r="CC154" s="19" t="n">
        <f aca="false">CC$149-CC$153</f>
        <v>120611.077355291</v>
      </c>
      <c r="CD154" s="19" t="n">
        <f aca="false">CD$149-CD$153</f>
        <v>280027.099844691</v>
      </c>
      <c r="CE154" s="19" t="n">
        <f aca="false">CE$149-CE$153</f>
        <v>439443.122334091</v>
      </c>
      <c r="CF154" s="19" t="n">
        <f aca="false">CF$149-CF$153</f>
        <v>598859.144823491</v>
      </c>
      <c r="CG154" s="19" t="n">
        <f aca="false">CG$149-CG$153</f>
        <v>758275.167312891</v>
      </c>
      <c r="CH154" s="19" t="n">
        <f aca="false">CH$149-CH$153</f>
        <v>917691.18980229</v>
      </c>
      <c r="CI154" s="19" t="n">
        <f aca="false">CI$149-CI$153</f>
        <v>1077107.21229169</v>
      </c>
      <c r="CJ154" s="19" t="n">
        <f aca="false">CJ$149-CJ$153</f>
        <v>1236523.23478109</v>
      </c>
      <c r="CK154" s="19" t="n">
        <f aca="false">CK$149-CK$153</f>
        <v>1395939.25727049</v>
      </c>
      <c r="CL154" s="19" t="n">
        <f aca="false">CL$149-CL$153</f>
        <v>1521040.85812226</v>
      </c>
      <c r="CM154" s="19" t="n">
        <f aca="false">CM$149-CM$153</f>
        <v>1684600.67666855</v>
      </c>
      <c r="CN154" s="19" t="n">
        <f aca="false">CN$149-CN$153</f>
        <v>1848160.49521483</v>
      </c>
      <c r="CO154" s="19" t="n">
        <f aca="false">CO$149-CO$153</f>
        <v>168144.652888323</v>
      </c>
      <c r="CP154" s="19" t="n">
        <f aca="false">CP$149-CP$153</f>
        <v>331704.47143461</v>
      </c>
      <c r="CQ154" s="19" t="n">
        <f aca="false">CQ$149-CQ$153</f>
        <v>495264.289980898</v>
      </c>
      <c r="CR154" s="19" t="n">
        <f aca="false">CR$149-CR$153</f>
        <v>658824.108527185</v>
      </c>
      <c r="CS154" s="19" t="n">
        <f aca="false">CS$149-CS$153</f>
        <v>822383.927073473</v>
      </c>
      <c r="CT154" s="19" t="n">
        <f aca="false">CT$149-CT$153</f>
        <v>985943.74561976</v>
      </c>
      <c r="CU154" s="19" t="n">
        <f aca="false">CU$149-CU$153</f>
        <v>1149503.56416605</v>
      </c>
      <c r="CV154" s="19" t="n">
        <f aca="false">CV$149-CV$153</f>
        <v>1313063.38271234</v>
      </c>
      <c r="CW154" s="19" t="n">
        <f aca="false">CW$149-CW$153</f>
        <v>1476623.20125862</v>
      </c>
      <c r="CX154" s="19" t="n">
        <f aca="false">CX$149-CX$153</f>
        <v>1605525.07895819</v>
      </c>
      <c r="CY154" s="19" t="n">
        <f aca="false">CY$149-CY$153</f>
        <v>1773256.8086071</v>
      </c>
      <c r="CZ154" s="19" t="n">
        <f aca="false">CZ$149-CZ$153</f>
        <v>1940988.53825601</v>
      </c>
      <c r="DA154" s="19" t="n">
        <f aca="false">DA$149-DA$153</f>
        <v>215419.054349467</v>
      </c>
      <c r="DB154" s="19" t="n">
        <f aca="false">DB$149-DB$153</f>
        <v>383150.783998375</v>
      </c>
      <c r="DC154" s="19" t="n">
        <f aca="false">DC$149-DC$153</f>
        <v>550882.513647283</v>
      </c>
      <c r="DD154" s="19" t="n">
        <f aca="false">DD$149-DD$153</f>
        <v>718614.24329619</v>
      </c>
      <c r="DE154" s="19" t="n">
        <f aca="false">DE$149-DE$153</f>
        <v>886345.972945098</v>
      </c>
      <c r="DF154" s="19" t="n">
        <f aca="false">DF$149-DF$153</f>
        <v>1054077.70259401</v>
      </c>
      <c r="DG154" s="19" t="n">
        <f aca="false">DG$149-DG$153</f>
        <v>1221809.43224291</v>
      </c>
      <c r="DH154" s="19" t="n">
        <f aca="false">DH$149-DH$153</f>
        <v>1389541.16189182</v>
      </c>
      <c r="DI154" s="19" t="n">
        <f aca="false">DI$149-DI$153</f>
        <v>1557272.89154073</v>
      </c>
      <c r="DJ154" s="19" t="n">
        <f aca="false">DJ$149-DJ$153</f>
        <v>1689999.71669704</v>
      </c>
      <c r="DK154" s="19" t="n">
        <f aca="false">DK$149-DK$153</f>
        <v>1861931.35981212</v>
      </c>
      <c r="DL154" s="19" t="n">
        <f aca="false">DL$149-DL$153</f>
        <v>2033863.00292721</v>
      </c>
      <c r="DM154" s="19" t="n">
        <f aca="false">DM$149-DM$153</f>
        <v>262430.499255404</v>
      </c>
      <c r="DN154" s="19" t="n">
        <f aca="false">DN$149-DN$153</f>
        <v>434362.142370491</v>
      </c>
      <c r="DO154" s="19" t="n">
        <f aca="false">DO$149-DO$153</f>
        <v>606293.785485577</v>
      </c>
      <c r="DP154" s="19" t="n">
        <f aca="false">DP$149-DP$153</f>
        <v>778225.428600663</v>
      </c>
      <c r="DQ154" s="19" t="n">
        <f aca="false">DQ$149-DQ$153</f>
        <v>950157.071715749</v>
      </c>
      <c r="DR154" s="19" t="n">
        <f aca="false">DR$149-DR$153</f>
        <v>1122088.71483084</v>
      </c>
      <c r="DS154" s="19" t="n">
        <f aca="false">DS$149-DS$153</f>
        <v>1294020.35794592</v>
      </c>
      <c r="DT154" s="19" t="n">
        <f aca="false">DT$149-DT$153</f>
        <v>1465952.00106101</v>
      </c>
      <c r="DU154" s="19" t="n">
        <f aca="false">DU$149-DU$153</f>
        <v>1637883.64417609</v>
      </c>
      <c r="DV154" s="19" t="n">
        <f aca="false">DV$149-DV$153</f>
        <v>1637883.64417609</v>
      </c>
      <c r="DW154" s="19" t="n">
        <f aca="false">DW$149-DW$153</f>
        <v>1637883.64417609</v>
      </c>
      <c r="DX154" s="19" t="n">
        <f aca="false">DX$149-DX$153</f>
        <v>1637883.64417609</v>
      </c>
      <c r="DY154" s="19" t="n">
        <f aca="false">DY$149-DY$153</f>
        <v>1637883.64417609</v>
      </c>
      <c r="DZ154" s="19" t="n">
        <f aca="false">DZ$149-DZ$153</f>
        <v>1637883.64417609</v>
      </c>
      <c r="EA154" s="19" t="n">
        <f aca="false">EA$149-EA$153</f>
        <v>1637883.64417609</v>
      </c>
      <c r="EB154" s="19" t="n">
        <f aca="false">EB$149-EB$153</f>
        <v>1637883.64417609</v>
      </c>
      <c r="EC154" s="19" t="n">
        <f aca="false">EC$149-EC$153</f>
        <v>1637883.64417609</v>
      </c>
      <c r="ED154" s="19" t="n">
        <f aca="false">ED$149-ED$153</f>
        <v>1637883.64417609</v>
      </c>
      <c r="EE154" s="19" t="n">
        <f aca="false">EE$149-EE$153</f>
        <v>1637883.64417609</v>
      </c>
      <c r="EF154" s="19" t="n">
        <f aca="false">EF$149-EF$153</f>
        <v>1637883.64417609</v>
      </c>
      <c r="EG154" s="19" t="n">
        <f aca="false">EG$149-EG$153</f>
        <v>1637883.64417609</v>
      </c>
      <c r="EH154" s="19" t="n">
        <f aca="false">EH$149-EH$153</f>
        <v>1637883.64417609</v>
      </c>
      <c r="EI154" s="19" t="n">
        <f aca="false">EI$149-EI$153</f>
        <v>1637883.64417609</v>
      </c>
      <c r="EJ154" s="19" t="n">
        <f aca="false">EJ$149-EJ$153</f>
        <v>1637883.64417609</v>
      </c>
      <c r="EK154" s="19" t="n">
        <f aca="false">EK$149-EK$153</f>
        <v>1637883.64417609</v>
      </c>
      <c r="EL154" s="19" t="n">
        <f aca="false">EL$149-EL$153</f>
        <v>1637883.64417609</v>
      </c>
      <c r="EM154" s="19" t="n">
        <f aca="false">EM$149-EM$153</f>
        <v>1637883.64417609</v>
      </c>
      <c r="EN154" s="19" t="n">
        <f aca="false">EN$149-EN$153</f>
        <v>1637883.64417609</v>
      </c>
      <c r="EO154" s="19" t="n">
        <f aca="false">EO$149-EO$153</f>
        <v>1637883.64417609</v>
      </c>
      <c r="EP154" s="19" t="n">
        <f aca="false">EP$149-EP$153</f>
        <v>1637883.64417609</v>
      </c>
      <c r="EQ154" s="19" t="n">
        <f aca="false">EQ$149-EQ$153</f>
        <v>1637883.64417609</v>
      </c>
      <c r="ER154" s="19" t="n">
        <f aca="false">ER$149-ER$153</f>
        <v>1637883.64417609</v>
      </c>
      <c r="ES154" s="19" t="n">
        <f aca="false">ES$149-ES$153</f>
        <v>1637883.64417609</v>
      </c>
    </row>
    <row r="155" customFormat="false" ht="15" hidden="false" customHeight="false" outlineLevel="0" collapsed="false">
      <c r="A155" s="11" t="s">
        <v>1272</v>
      </c>
      <c r="B155" s="15" t="s">
        <v>1273</v>
      </c>
      <c r="C155" s="15" t="s">
        <v>508</v>
      </c>
      <c r="E155" s="54" t="n">
        <f aca="false">SUM(F155:ES155)</f>
        <v>0</v>
      </c>
      <c r="F155" s="48" t="n">
        <f aca="false">F$154-(F$149-F$153)</f>
        <v>0</v>
      </c>
      <c r="G155" s="48" t="n">
        <f aca="false">G$154-(G$149-G$153)</f>
        <v>0</v>
      </c>
      <c r="H155" s="48" t="n">
        <f aca="false">H$154-(H$149-H$153)</f>
        <v>0</v>
      </c>
      <c r="I155" s="48" t="n">
        <f aca="false">I$154-(I$149-I$153)</f>
        <v>0</v>
      </c>
      <c r="J155" s="48" t="n">
        <f aca="false">J$154-(J$149-J$153)</f>
        <v>0</v>
      </c>
      <c r="K155" s="48" t="n">
        <f aca="false">K$154-(K$149-K$153)</f>
        <v>0</v>
      </c>
      <c r="L155" s="48" t="n">
        <f aca="false">L$154-(L$149-L$153)</f>
        <v>0</v>
      </c>
      <c r="M155" s="48" t="n">
        <f aca="false">M$154-(M$149-M$153)</f>
        <v>0</v>
      </c>
      <c r="N155" s="48" t="n">
        <f aca="false">N$154-(N$149-N$153)</f>
        <v>0</v>
      </c>
      <c r="O155" s="48" t="n">
        <f aca="false">O$154-(O$149-O$153)</f>
        <v>0</v>
      </c>
      <c r="P155" s="48" t="n">
        <f aca="false">P$154-(P$149-P$153)</f>
        <v>0</v>
      </c>
      <c r="Q155" s="48" t="n">
        <f aca="false">Q$154-(Q$149-Q$153)</f>
        <v>0</v>
      </c>
      <c r="R155" s="48" t="n">
        <f aca="false">R$154-(R$149-R$153)</f>
        <v>0</v>
      </c>
      <c r="S155" s="48" t="n">
        <f aca="false">S$154-(S$149-S$153)</f>
        <v>0</v>
      </c>
      <c r="T155" s="48" t="n">
        <f aca="false">T$154-(T$149-T$153)</f>
        <v>0</v>
      </c>
      <c r="U155" s="48" t="n">
        <f aca="false">U$154-(U$149-U$153)</f>
        <v>0</v>
      </c>
      <c r="V155" s="48" t="n">
        <f aca="false">V$154-(V$149-V$153)</f>
        <v>0</v>
      </c>
      <c r="W155" s="48" t="n">
        <f aca="false">W$154-(W$149-W$153)</f>
        <v>0</v>
      </c>
      <c r="X155" s="48" t="n">
        <f aca="false">X$154-(X$149-X$153)</f>
        <v>0</v>
      </c>
      <c r="Y155" s="48" t="n">
        <f aca="false">Y$154-(Y$149-Y$153)</f>
        <v>0</v>
      </c>
      <c r="Z155" s="48" t="n">
        <f aca="false">Z$154-(Z$149-Z$153)</f>
        <v>0</v>
      </c>
      <c r="AA155" s="48" t="n">
        <f aca="false">AA$154-(AA$149-AA$153)</f>
        <v>0</v>
      </c>
      <c r="AB155" s="48" t="n">
        <f aca="false">AB$154-(AB$149-AB$153)</f>
        <v>0</v>
      </c>
      <c r="AC155" s="48" t="n">
        <f aca="false">AC$154-(AC$149-AC$153)</f>
        <v>0</v>
      </c>
      <c r="AD155" s="48" t="n">
        <f aca="false">AD$154-(AD$149-AD$153)</f>
        <v>0</v>
      </c>
      <c r="AE155" s="48" t="n">
        <f aca="false">AE$154-(AE$149-AE$153)</f>
        <v>0</v>
      </c>
      <c r="AF155" s="48" t="n">
        <f aca="false">AF$154-(AF$149-AF$153)</f>
        <v>0</v>
      </c>
      <c r="AG155" s="48" t="n">
        <f aca="false">AG$154-(AG$149-AG$153)</f>
        <v>0</v>
      </c>
      <c r="AH155" s="48" t="n">
        <f aca="false">AH$154-(AH$149-AH$153)</f>
        <v>0</v>
      </c>
      <c r="AI155" s="48" t="n">
        <f aca="false">AI$154-(AI$149-AI$153)</f>
        <v>0</v>
      </c>
      <c r="AJ155" s="48" t="n">
        <f aca="false">AJ$154-(AJ$149-AJ$153)</f>
        <v>0</v>
      </c>
      <c r="AK155" s="48" t="n">
        <f aca="false">AK$154-(AK$149-AK$153)</f>
        <v>0</v>
      </c>
      <c r="AL155" s="48" t="n">
        <f aca="false">AL$154-(AL$149-AL$153)</f>
        <v>0</v>
      </c>
      <c r="AM155" s="48" t="n">
        <f aca="false">AM$154-(AM$149-AM$153)</f>
        <v>0</v>
      </c>
      <c r="AN155" s="48" t="n">
        <f aca="false">AN$154-(AN$149-AN$153)</f>
        <v>0</v>
      </c>
      <c r="AO155" s="48" t="n">
        <f aca="false">AO$154-(AO$149-AO$153)</f>
        <v>0</v>
      </c>
      <c r="AP155" s="48" t="n">
        <f aca="false">AP$154-(AP$149-AP$153)</f>
        <v>0</v>
      </c>
      <c r="AQ155" s="48" t="n">
        <f aca="false">AQ$154-(AQ$149-AQ$153)</f>
        <v>0</v>
      </c>
      <c r="AR155" s="48" t="n">
        <f aca="false">AR$154-(AR$149-AR$153)</f>
        <v>0</v>
      </c>
      <c r="AS155" s="48" t="n">
        <f aca="false">AS$154-(AS$149-AS$153)</f>
        <v>0</v>
      </c>
      <c r="AT155" s="48" t="n">
        <f aca="false">AT$154-(AT$149-AT$153)</f>
        <v>0</v>
      </c>
      <c r="AU155" s="48" t="n">
        <f aca="false">AU$154-(AU$149-AU$153)</f>
        <v>0</v>
      </c>
      <c r="AV155" s="48" t="n">
        <f aca="false">AV$154-(AV$149-AV$153)</f>
        <v>0</v>
      </c>
      <c r="AW155" s="48" t="n">
        <f aca="false">AW$154-(AW$149-AW$153)</f>
        <v>0</v>
      </c>
      <c r="AX155" s="48" t="n">
        <f aca="false">AX$154-(AX$149-AX$153)</f>
        <v>0</v>
      </c>
      <c r="AY155" s="48" t="n">
        <f aca="false">AY$154-(AY$149-AY$153)</f>
        <v>0</v>
      </c>
      <c r="AZ155" s="48" t="n">
        <f aca="false">AZ$154-(AZ$149-AZ$153)</f>
        <v>0</v>
      </c>
      <c r="BA155" s="48" t="n">
        <f aca="false">BA$154-(BA$149-BA$153)</f>
        <v>0</v>
      </c>
      <c r="BB155" s="48" t="n">
        <f aca="false">BB$154-(BB$149-BB$153)</f>
        <v>0</v>
      </c>
      <c r="BC155" s="48" t="n">
        <f aca="false">BC$154-(BC$149-BC$153)</f>
        <v>0</v>
      </c>
      <c r="BD155" s="48" t="n">
        <f aca="false">BD$154-(BD$149-BD$153)</f>
        <v>0</v>
      </c>
      <c r="BE155" s="48" t="n">
        <f aca="false">BE$154-(BE$149-BE$153)</f>
        <v>0</v>
      </c>
      <c r="BF155" s="48" t="n">
        <f aca="false">BF$154-(BF$149-BF$153)</f>
        <v>0</v>
      </c>
      <c r="BG155" s="48" t="n">
        <f aca="false">BG$154-(BG$149-BG$153)</f>
        <v>0</v>
      </c>
      <c r="BH155" s="48" t="n">
        <f aca="false">BH$154-(BH$149-BH$153)</f>
        <v>0</v>
      </c>
      <c r="BI155" s="48" t="n">
        <f aca="false">BI$154-(BI$149-BI$153)</f>
        <v>0</v>
      </c>
      <c r="BJ155" s="48" t="n">
        <f aca="false">BJ$154-(BJ$149-BJ$153)</f>
        <v>0</v>
      </c>
      <c r="BK155" s="48" t="n">
        <f aca="false">BK$154-(BK$149-BK$153)</f>
        <v>0</v>
      </c>
      <c r="BL155" s="48" t="n">
        <f aca="false">BL$154-(BL$149-BL$153)</f>
        <v>0</v>
      </c>
      <c r="BM155" s="48" t="n">
        <f aca="false">BM$154-(BM$149-BM$153)</f>
        <v>0</v>
      </c>
      <c r="BN155" s="48" t="n">
        <f aca="false">BN$154-(BN$149-BN$153)</f>
        <v>0</v>
      </c>
      <c r="BO155" s="48" t="n">
        <f aca="false">BO$154-(BO$149-BO$153)</f>
        <v>0</v>
      </c>
      <c r="BP155" s="48" t="n">
        <f aca="false">BP$154-(BP$149-BP$153)</f>
        <v>0</v>
      </c>
      <c r="BQ155" s="48" t="n">
        <f aca="false">BQ$154-(BQ$149-BQ$153)</f>
        <v>0</v>
      </c>
      <c r="BR155" s="48" t="n">
        <f aca="false">BR$154-(BR$149-BR$153)</f>
        <v>0</v>
      </c>
      <c r="BS155" s="48" t="n">
        <f aca="false">BS$154-(BS$149-BS$153)</f>
        <v>0</v>
      </c>
      <c r="BT155" s="48" t="n">
        <f aca="false">BT$154-(BT$149-BT$153)</f>
        <v>0</v>
      </c>
      <c r="BU155" s="48" t="n">
        <f aca="false">BU$154-(BU$149-BU$153)</f>
        <v>0</v>
      </c>
      <c r="BV155" s="48" t="n">
        <f aca="false">BV$154-(BV$149-BV$153)</f>
        <v>0</v>
      </c>
      <c r="BW155" s="48" t="n">
        <f aca="false">BW$154-(BW$149-BW$153)</f>
        <v>0</v>
      </c>
      <c r="BX155" s="48" t="n">
        <f aca="false">BX$154-(BX$149-BX$153)</f>
        <v>0</v>
      </c>
      <c r="BY155" s="48" t="n">
        <f aca="false">BY$154-(BY$149-BY$153)</f>
        <v>0</v>
      </c>
      <c r="BZ155" s="48" t="n">
        <f aca="false">BZ$154-(BZ$149-BZ$153)</f>
        <v>0</v>
      </c>
      <c r="CA155" s="48" t="n">
        <f aca="false">CA$154-(CA$149-CA$153)</f>
        <v>0</v>
      </c>
      <c r="CB155" s="48" t="n">
        <f aca="false">CB$154-(CB$149-CB$153)</f>
        <v>0</v>
      </c>
      <c r="CC155" s="48" t="n">
        <f aca="false">CC$154-(CC$149-CC$153)</f>
        <v>0</v>
      </c>
      <c r="CD155" s="48" t="n">
        <f aca="false">CD$154-(CD$149-CD$153)</f>
        <v>0</v>
      </c>
      <c r="CE155" s="48" t="n">
        <f aca="false">CE$154-(CE$149-CE$153)</f>
        <v>0</v>
      </c>
      <c r="CF155" s="48" t="n">
        <f aca="false">CF$154-(CF$149-CF$153)</f>
        <v>0</v>
      </c>
      <c r="CG155" s="48" t="n">
        <f aca="false">CG$154-(CG$149-CG$153)</f>
        <v>0</v>
      </c>
      <c r="CH155" s="48" t="n">
        <f aca="false">CH$154-(CH$149-CH$153)</f>
        <v>0</v>
      </c>
      <c r="CI155" s="48" t="n">
        <f aca="false">CI$154-(CI$149-CI$153)</f>
        <v>0</v>
      </c>
      <c r="CJ155" s="48" t="n">
        <f aca="false">CJ$154-(CJ$149-CJ$153)</f>
        <v>0</v>
      </c>
      <c r="CK155" s="48" t="n">
        <f aca="false">CK$154-(CK$149-CK$153)</f>
        <v>0</v>
      </c>
      <c r="CL155" s="48" t="n">
        <f aca="false">CL$154-(CL$149-CL$153)</f>
        <v>0</v>
      </c>
      <c r="CM155" s="48" t="n">
        <f aca="false">CM$154-(CM$149-CM$153)</f>
        <v>0</v>
      </c>
      <c r="CN155" s="48" t="n">
        <f aca="false">CN$154-(CN$149-CN$153)</f>
        <v>0</v>
      </c>
      <c r="CO155" s="48" t="n">
        <f aca="false">CO$154-(CO$149-CO$153)</f>
        <v>0</v>
      </c>
      <c r="CP155" s="48" t="n">
        <f aca="false">CP$154-(CP$149-CP$153)</f>
        <v>0</v>
      </c>
      <c r="CQ155" s="48" t="n">
        <f aca="false">CQ$154-(CQ$149-CQ$153)</f>
        <v>0</v>
      </c>
      <c r="CR155" s="48" t="n">
        <f aca="false">CR$154-(CR$149-CR$153)</f>
        <v>0</v>
      </c>
      <c r="CS155" s="48" t="n">
        <f aca="false">CS$154-(CS$149-CS$153)</f>
        <v>0</v>
      </c>
      <c r="CT155" s="48" t="n">
        <f aca="false">CT$154-(CT$149-CT$153)</f>
        <v>0</v>
      </c>
      <c r="CU155" s="48" t="n">
        <f aca="false">CU$154-(CU$149-CU$153)</f>
        <v>0</v>
      </c>
      <c r="CV155" s="48" t="n">
        <f aca="false">CV$154-(CV$149-CV$153)</f>
        <v>0</v>
      </c>
      <c r="CW155" s="48" t="n">
        <f aca="false">CW$154-(CW$149-CW$153)</f>
        <v>0</v>
      </c>
      <c r="CX155" s="48" t="n">
        <f aca="false">CX$154-(CX$149-CX$153)</f>
        <v>0</v>
      </c>
      <c r="CY155" s="48" t="n">
        <f aca="false">CY$154-(CY$149-CY$153)</f>
        <v>0</v>
      </c>
      <c r="CZ155" s="48" t="n">
        <f aca="false">CZ$154-(CZ$149-CZ$153)</f>
        <v>0</v>
      </c>
      <c r="DA155" s="48" t="n">
        <f aca="false">DA$154-(DA$149-DA$153)</f>
        <v>0</v>
      </c>
      <c r="DB155" s="48" t="n">
        <f aca="false">DB$154-(DB$149-DB$153)</f>
        <v>0</v>
      </c>
      <c r="DC155" s="48" t="n">
        <f aca="false">DC$154-(DC$149-DC$153)</f>
        <v>0</v>
      </c>
      <c r="DD155" s="48" t="n">
        <f aca="false">DD$154-(DD$149-DD$153)</f>
        <v>0</v>
      </c>
      <c r="DE155" s="48" t="n">
        <f aca="false">DE$154-(DE$149-DE$153)</f>
        <v>0</v>
      </c>
      <c r="DF155" s="48" t="n">
        <f aca="false">DF$154-(DF$149-DF$153)</f>
        <v>0</v>
      </c>
      <c r="DG155" s="48" t="n">
        <f aca="false">DG$154-(DG$149-DG$153)</f>
        <v>0</v>
      </c>
      <c r="DH155" s="48" t="n">
        <f aca="false">DH$154-(DH$149-DH$153)</f>
        <v>0</v>
      </c>
      <c r="DI155" s="48" t="n">
        <f aca="false">DI$154-(DI$149-DI$153)</f>
        <v>0</v>
      </c>
      <c r="DJ155" s="48" t="n">
        <f aca="false">DJ$154-(DJ$149-DJ$153)</f>
        <v>0</v>
      </c>
      <c r="DK155" s="48" t="n">
        <f aca="false">DK$154-(DK$149-DK$153)</f>
        <v>0</v>
      </c>
      <c r="DL155" s="48" t="n">
        <f aca="false">DL$154-(DL$149-DL$153)</f>
        <v>0</v>
      </c>
      <c r="DM155" s="48" t="n">
        <f aca="false">DM$154-(DM$149-DM$153)</f>
        <v>0</v>
      </c>
      <c r="DN155" s="48" t="n">
        <f aca="false">DN$154-(DN$149-DN$153)</f>
        <v>0</v>
      </c>
      <c r="DO155" s="48" t="n">
        <f aca="false">DO$154-(DO$149-DO$153)</f>
        <v>0</v>
      </c>
      <c r="DP155" s="48" t="n">
        <f aca="false">DP$154-(DP$149-DP$153)</f>
        <v>0</v>
      </c>
      <c r="DQ155" s="48" t="n">
        <f aca="false">DQ$154-(DQ$149-DQ$153)</f>
        <v>0</v>
      </c>
      <c r="DR155" s="48" t="n">
        <f aca="false">DR$154-(DR$149-DR$153)</f>
        <v>0</v>
      </c>
      <c r="DS155" s="48" t="n">
        <f aca="false">DS$154-(DS$149-DS$153)</f>
        <v>0</v>
      </c>
      <c r="DT155" s="48" t="n">
        <f aca="false">DT$154-(DT$149-DT$153)</f>
        <v>0</v>
      </c>
      <c r="DU155" s="48" t="n">
        <f aca="false">DU$154-(DU$149-DU$153)</f>
        <v>0</v>
      </c>
      <c r="DV155" s="48" t="n">
        <f aca="false">DV$154-(DV$149-DV$153)</f>
        <v>0</v>
      </c>
      <c r="DW155" s="48" t="n">
        <f aca="false">DW$154-(DW$149-DW$153)</f>
        <v>0</v>
      </c>
      <c r="DX155" s="48" t="n">
        <f aca="false">DX$154-(DX$149-DX$153)</f>
        <v>0</v>
      </c>
      <c r="DY155" s="48" t="n">
        <f aca="false">DY$154-(DY$149-DY$153)</f>
        <v>0</v>
      </c>
      <c r="DZ155" s="48" t="n">
        <f aca="false">DZ$154-(DZ$149-DZ$153)</f>
        <v>0</v>
      </c>
      <c r="EA155" s="48" t="n">
        <f aca="false">EA$154-(EA$149-EA$153)</f>
        <v>0</v>
      </c>
      <c r="EB155" s="48" t="n">
        <f aca="false">EB$154-(EB$149-EB$153)</f>
        <v>0</v>
      </c>
      <c r="EC155" s="48" t="n">
        <f aca="false">EC$154-(EC$149-EC$153)</f>
        <v>0</v>
      </c>
      <c r="ED155" s="48" t="n">
        <f aca="false">ED$154-(ED$149-ED$153)</f>
        <v>0</v>
      </c>
      <c r="EE155" s="48" t="n">
        <f aca="false">EE$154-(EE$149-EE$153)</f>
        <v>0</v>
      </c>
      <c r="EF155" s="48" t="n">
        <f aca="false">EF$154-(EF$149-EF$153)</f>
        <v>0</v>
      </c>
      <c r="EG155" s="48" t="n">
        <f aca="false">EG$154-(EG$149-EG$153)</f>
        <v>0</v>
      </c>
      <c r="EH155" s="48" t="n">
        <f aca="false">EH$154-(EH$149-EH$153)</f>
        <v>0</v>
      </c>
      <c r="EI155" s="48" t="n">
        <f aca="false">EI$154-(EI$149-EI$153)</f>
        <v>0</v>
      </c>
      <c r="EJ155" s="48" t="n">
        <f aca="false">EJ$154-(EJ$149-EJ$153)</f>
        <v>0</v>
      </c>
      <c r="EK155" s="48" t="n">
        <f aca="false">EK$154-(EK$149-EK$153)</f>
        <v>0</v>
      </c>
      <c r="EL155" s="48" t="n">
        <f aca="false">EL$154-(EL$149-EL$153)</f>
        <v>0</v>
      </c>
      <c r="EM155" s="48" t="n">
        <f aca="false">EM$154-(EM$149-EM$153)</f>
        <v>0</v>
      </c>
      <c r="EN155" s="48" t="n">
        <f aca="false">EN$154-(EN$149-EN$153)</f>
        <v>0</v>
      </c>
      <c r="EO155" s="48" t="n">
        <f aca="false">EO$154-(EO$149-EO$153)</f>
        <v>0</v>
      </c>
      <c r="EP155" s="48" t="n">
        <f aca="false">EP$154-(EP$149-EP$153)</f>
        <v>0</v>
      </c>
      <c r="EQ155" s="48" t="n">
        <f aca="false">EQ$154-(EQ$149-EQ$153)</f>
        <v>0</v>
      </c>
      <c r="ER155" s="48" t="n">
        <f aca="false">ER$154-(ER$149-ER$153)</f>
        <v>0</v>
      </c>
      <c r="ES155" s="48" t="n">
        <f aca="false">ES$154-(ES$149-ES$153)</f>
        <v>0</v>
      </c>
    </row>
    <row r="156" customFormat="false" ht="15" hidden="false" customHeight="false" outlineLevel="0" collapsed="false">
      <c r="A156" s="11" t="s">
        <v>1274</v>
      </c>
      <c r="B156" s="67" t="s">
        <v>1275</v>
      </c>
      <c r="C156" s="15" t="s">
        <v>508</v>
      </c>
      <c r="E156" s="54" t="n">
        <f aca="false">MAX(F156:ES156)</f>
        <v>373700.713193166</v>
      </c>
      <c r="F156" s="19" t="n">
        <f aca="false">MAX(0,F$142-F$154)*F$9</f>
        <v>0</v>
      </c>
      <c r="G156" s="19" t="n">
        <f aca="false">MAX(0,G$142-G$154)*G$9</f>
        <v>0</v>
      </c>
      <c r="H156" s="19" t="n">
        <f aca="false">MAX(0,H$142-H$154)*H$9</f>
        <v>0</v>
      </c>
      <c r="I156" s="19" t="n">
        <f aca="false">MAX(0,I$142-I$154)*I$9</f>
        <v>0</v>
      </c>
      <c r="J156" s="19" t="n">
        <f aca="false">MAX(0,J$142-J$154)*J$9</f>
        <v>0</v>
      </c>
      <c r="K156" s="19" t="n">
        <f aca="false">MAX(0,K$142-K$154)*K$9</f>
        <v>0</v>
      </c>
      <c r="L156" s="19" t="n">
        <f aca="false">MAX(0,L$142-L$154)*L$9</f>
        <v>0</v>
      </c>
      <c r="M156" s="19" t="n">
        <f aca="false">MAX(0,M$142-M$154)*M$9</f>
        <v>0</v>
      </c>
      <c r="N156" s="19" t="n">
        <f aca="false">MAX(0,N$142-N$154)*N$9</f>
        <v>0</v>
      </c>
      <c r="O156" s="19" t="n">
        <f aca="false">MAX(0,O$142-O$154)*O$9</f>
        <v>0</v>
      </c>
      <c r="P156" s="19" t="n">
        <f aca="false">MAX(0,P$142-P$154)*P$9</f>
        <v>0</v>
      </c>
      <c r="Q156" s="19" t="n">
        <f aca="false">MAX(0,Q$142-Q$154)*Q$9</f>
        <v>0</v>
      </c>
      <c r="R156" s="19" t="n">
        <f aca="false">MAX(0,R$142-R$154)*R$9</f>
        <v>0</v>
      </c>
      <c r="S156" s="19" t="n">
        <f aca="false">MAX(0,S$142-S$154)*S$9</f>
        <v>0</v>
      </c>
      <c r="T156" s="19" t="n">
        <f aca="false">MAX(0,T$142-T$154)*T$9</f>
        <v>0</v>
      </c>
      <c r="U156" s="19" t="n">
        <f aca="false">MAX(0,U$142-U$154)*U$9</f>
        <v>0</v>
      </c>
      <c r="V156" s="19" t="n">
        <f aca="false">MAX(0,V$142-V$154)*V$9</f>
        <v>0</v>
      </c>
      <c r="W156" s="19" t="n">
        <f aca="false">MAX(0,W$142-W$154)*W$9</f>
        <v>0</v>
      </c>
      <c r="X156" s="19" t="n">
        <f aca="false">MAX(0,X$142-X$154)*X$9</f>
        <v>0</v>
      </c>
      <c r="Y156" s="19" t="n">
        <f aca="false">MAX(0,Y$142-Y$154)*Y$9</f>
        <v>0</v>
      </c>
      <c r="Z156" s="19" t="n">
        <f aca="false">MAX(0,Z$142-Z$154)*Z$9</f>
        <v>0</v>
      </c>
      <c r="AA156" s="19" t="n">
        <f aca="false">MAX(0,AA$142-AA$154)*AA$9</f>
        <v>0</v>
      </c>
      <c r="AB156" s="19" t="n">
        <f aca="false">MAX(0,AB$142-AB$154)*AB$9</f>
        <v>0</v>
      </c>
      <c r="AC156" s="19" t="n">
        <f aca="false">MAX(0,AC$142-AC$154)*AC$9</f>
        <v>0</v>
      </c>
      <c r="AD156" s="19" t="n">
        <f aca="false">MAX(0,AD$142-AD$154)*AD$9</f>
        <v>373700.713193166</v>
      </c>
      <c r="AE156" s="19" t="n">
        <f aca="false">MAX(0,AE$142-AE$154)*AE$9</f>
        <v>321127.029906151</v>
      </c>
      <c r="AF156" s="19" t="n">
        <f aca="false">MAX(0,AF$142-AF$154)*AF$9</f>
        <v>268516.935021566</v>
      </c>
      <c r="AG156" s="19" t="n">
        <f aca="false">MAX(0,AG$142-AG$154)*AG$9</f>
        <v>215870.15545243</v>
      </c>
      <c r="AH156" s="19" t="n">
        <f aca="false">MAX(0,AH$142-AH$154)*AH$9</f>
        <v>163186.416063606</v>
      </c>
      <c r="AI156" s="19" t="n">
        <f aca="false">MAX(0,AI$142-AI$154)*AI$9</f>
        <v>110465.439656449</v>
      </c>
      <c r="AJ156" s="19" t="n">
        <f aca="false">MAX(0,AJ$142-AJ$154)*AJ$9</f>
        <v>57706.9469533206</v>
      </c>
      <c r="AK156" s="19" t="n">
        <f aca="false">MAX(0,AK$142-AK$154)*AK$9</f>
        <v>4910.65658200088</v>
      </c>
      <c r="AL156" s="19" t="n">
        <f aca="false">MAX(0,AL$142-AL$154)*AL$9</f>
        <v>0</v>
      </c>
      <c r="AM156" s="19" t="n">
        <f aca="false">MAX(0,AM$142-AM$154)*AM$9</f>
        <v>0</v>
      </c>
      <c r="AN156" s="19" t="n">
        <f aca="false">MAX(0,AN$142-AN$154)*AN$9</f>
        <v>0</v>
      </c>
      <c r="AO156" s="19" t="n">
        <f aca="false">MAX(0,AO$142-AO$154)*AO$9</f>
        <v>0</v>
      </c>
      <c r="AP156" s="19" t="n">
        <f aca="false">MAX(0,AP$142-AP$154)*AP$9</f>
        <v>275779.326421708</v>
      </c>
      <c r="AQ156" s="19" t="n">
        <f aca="false">MAX(0,AQ$142-AQ$154)*AQ$9</f>
        <v>189941.672918985</v>
      </c>
      <c r="AR156" s="19" t="n">
        <f aca="false">MAX(0,AR$142-AR$154)*AR$9</f>
        <v>104064.192159683</v>
      </c>
      <c r="AS156" s="19" t="n">
        <f aca="false">MAX(0,AS$142-AS$154)*AS$9</f>
        <v>18146.5854393793</v>
      </c>
      <c r="AT156" s="19" t="n">
        <f aca="false">MAX(0,AT$142-AT$154)*AT$9</f>
        <v>0</v>
      </c>
      <c r="AU156" s="19" t="n">
        <f aca="false">MAX(0,AU$142-AU$154)*AU$9</f>
        <v>0</v>
      </c>
      <c r="AV156" s="19" t="n">
        <f aca="false">MAX(0,AV$142-AV$154)*AV$9</f>
        <v>0</v>
      </c>
      <c r="AW156" s="19" t="n">
        <f aca="false">MAX(0,AW$142-AW$154)*AW$9</f>
        <v>0</v>
      </c>
      <c r="AX156" s="19" t="n">
        <f aca="false">MAX(0,AX$142-AX$154)*AX$9</f>
        <v>0</v>
      </c>
      <c r="AY156" s="19" t="n">
        <f aca="false">MAX(0,AY$142-AY$154)*AY$9</f>
        <v>0</v>
      </c>
      <c r="AZ156" s="19" t="n">
        <f aca="false">MAX(0,AZ$142-AZ$154)*AZ$9</f>
        <v>0</v>
      </c>
      <c r="BA156" s="19" t="n">
        <f aca="false">MAX(0,BA$142-BA$154)*BA$9</f>
        <v>0</v>
      </c>
      <c r="BB156" s="19" t="n">
        <f aca="false">MAX(0,BB$142-BB$154)*BB$9</f>
        <v>0</v>
      </c>
      <c r="BC156" s="19" t="n">
        <f aca="false">MAX(0,BC$142-BC$154)*BC$9</f>
        <v>0</v>
      </c>
      <c r="BD156" s="19" t="n">
        <f aca="false">MAX(0,BD$142-BD$154)*BD$9</f>
        <v>0</v>
      </c>
      <c r="BE156" s="19" t="n">
        <f aca="false">MAX(0,BE$142-BE$154)*BE$9</f>
        <v>0</v>
      </c>
      <c r="BF156" s="19" t="n">
        <f aca="false">MAX(0,BF$142-BF$154)*BF$9</f>
        <v>0</v>
      </c>
      <c r="BG156" s="19" t="n">
        <f aca="false">MAX(0,BG$142-BG$154)*BG$9</f>
        <v>0</v>
      </c>
      <c r="BH156" s="19" t="n">
        <f aca="false">MAX(0,BH$142-BH$154)*BH$9</f>
        <v>0</v>
      </c>
      <c r="BI156" s="19" t="n">
        <f aca="false">MAX(0,BI$142-BI$154)*BI$9</f>
        <v>0</v>
      </c>
      <c r="BJ156" s="19" t="n">
        <f aca="false">MAX(0,BJ$142-BJ$154)*BJ$9</f>
        <v>0</v>
      </c>
      <c r="BK156" s="19" t="n">
        <f aca="false">MAX(0,BK$142-BK$154)*BK$9</f>
        <v>0</v>
      </c>
      <c r="BL156" s="19" t="n">
        <f aca="false">MAX(0,BL$142-BL$154)*BL$9</f>
        <v>0</v>
      </c>
      <c r="BM156" s="19" t="n">
        <f aca="false">MAX(0,BM$142-BM$154)*BM$9</f>
        <v>0</v>
      </c>
      <c r="BN156" s="19" t="n">
        <f aca="false">MAX(0,BN$142-BN$154)*BN$9</f>
        <v>0</v>
      </c>
      <c r="BO156" s="19" t="n">
        <f aca="false">MAX(0,BO$142-BO$154)*BO$9</f>
        <v>0</v>
      </c>
      <c r="BP156" s="19" t="n">
        <f aca="false">MAX(0,BP$142-BP$154)*BP$9</f>
        <v>0</v>
      </c>
      <c r="BQ156" s="19" t="n">
        <f aca="false">MAX(0,BQ$142-BQ$154)*BQ$9</f>
        <v>0</v>
      </c>
      <c r="BR156" s="19" t="n">
        <f aca="false">MAX(0,BR$142-BR$154)*BR$9</f>
        <v>0</v>
      </c>
      <c r="BS156" s="19" t="n">
        <f aca="false">MAX(0,BS$142-BS$154)*BS$9</f>
        <v>0</v>
      </c>
      <c r="BT156" s="19" t="n">
        <f aca="false">MAX(0,BT$142-BT$154)*BT$9</f>
        <v>0</v>
      </c>
      <c r="BU156" s="19" t="n">
        <f aca="false">MAX(0,BU$142-BU$154)*BU$9</f>
        <v>0</v>
      </c>
      <c r="BV156" s="19" t="n">
        <f aca="false">MAX(0,BV$142-BV$154)*BV$9</f>
        <v>0</v>
      </c>
      <c r="BW156" s="19" t="n">
        <f aca="false">MAX(0,BW$142-BW$154)*BW$9</f>
        <v>0</v>
      </c>
      <c r="BX156" s="19" t="n">
        <f aca="false">MAX(0,BX$142-BX$154)*BX$9</f>
        <v>0</v>
      </c>
      <c r="BY156" s="19" t="n">
        <f aca="false">MAX(0,BY$142-BY$154)*BY$9</f>
        <v>0</v>
      </c>
      <c r="BZ156" s="19" t="n">
        <f aca="false">MAX(0,BZ$142-BZ$154)*BZ$9</f>
        <v>0</v>
      </c>
      <c r="CA156" s="19" t="n">
        <f aca="false">MAX(0,CA$142-CA$154)*CA$9</f>
        <v>0</v>
      </c>
      <c r="CB156" s="19" t="n">
        <f aca="false">MAX(0,CB$142-CB$154)*CB$9</f>
        <v>0</v>
      </c>
      <c r="CC156" s="19" t="n">
        <f aca="false">MAX(0,CC$142-CC$154)*CC$9</f>
        <v>0</v>
      </c>
      <c r="CD156" s="19" t="n">
        <f aca="false">MAX(0,CD$142-CD$154)*CD$9</f>
        <v>0</v>
      </c>
      <c r="CE156" s="19" t="n">
        <f aca="false">MAX(0,CE$142-CE$154)*CE$9</f>
        <v>0</v>
      </c>
      <c r="CF156" s="19" t="n">
        <f aca="false">MAX(0,CF$142-CF$154)*CF$9</f>
        <v>0</v>
      </c>
      <c r="CG156" s="19" t="n">
        <f aca="false">MAX(0,CG$142-CG$154)*CG$9</f>
        <v>0</v>
      </c>
      <c r="CH156" s="19" t="n">
        <f aca="false">MAX(0,CH$142-CH$154)*CH$9</f>
        <v>0</v>
      </c>
      <c r="CI156" s="19" t="n">
        <f aca="false">MAX(0,CI$142-CI$154)*CI$9</f>
        <v>0</v>
      </c>
      <c r="CJ156" s="19" t="n">
        <f aca="false">MAX(0,CJ$142-CJ$154)*CJ$9</f>
        <v>0</v>
      </c>
      <c r="CK156" s="19" t="n">
        <f aca="false">MAX(0,CK$142-CK$154)*CK$9</f>
        <v>0</v>
      </c>
      <c r="CL156" s="19" t="n">
        <f aca="false">MAX(0,CL$142-CL$154)*CL$9</f>
        <v>0</v>
      </c>
      <c r="CM156" s="19" t="n">
        <f aca="false">MAX(0,CM$142-CM$154)*CM$9</f>
        <v>0</v>
      </c>
      <c r="CN156" s="19" t="n">
        <f aca="false">MAX(0,CN$142-CN$154)*CN$9</f>
        <v>0</v>
      </c>
      <c r="CO156" s="19" t="n">
        <f aca="false">MAX(0,CO$142-CO$154)*CO$9</f>
        <v>0</v>
      </c>
      <c r="CP156" s="19" t="n">
        <f aca="false">MAX(0,CP$142-CP$154)*CP$9</f>
        <v>0</v>
      </c>
      <c r="CQ156" s="19" t="n">
        <f aca="false">MAX(0,CQ$142-CQ$154)*CQ$9</f>
        <v>0</v>
      </c>
      <c r="CR156" s="19" t="n">
        <f aca="false">MAX(0,CR$142-CR$154)*CR$9</f>
        <v>0</v>
      </c>
      <c r="CS156" s="19" t="n">
        <f aca="false">MAX(0,CS$142-CS$154)*CS$9</f>
        <v>0</v>
      </c>
      <c r="CT156" s="19" t="n">
        <f aca="false">MAX(0,CT$142-CT$154)*CT$9</f>
        <v>0</v>
      </c>
      <c r="CU156" s="19" t="n">
        <f aca="false">MAX(0,CU$142-CU$154)*CU$9</f>
        <v>0</v>
      </c>
      <c r="CV156" s="19" t="n">
        <f aca="false">MAX(0,CV$142-CV$154)*CV$9</f>
        <v>0</v>
      </c>
      <c r="CW156" s="19" t="n">
        <f aca="false">MAX(0,CW$142-CW$154)*CW$9</f>
        <v>0</v>
      </c>
      <c r="CX156" s="19" t="n">
        <f aca="false">MAX(0,CX$142-CX$154)*CX$9</f>
        <v>0</v>
      </c>
      <c r="CY156" s="19" t="n">
        <f aca="false">MAX(0,CY$142-CY$154)*CY$9</f>
        <v>0</v>
      </c>
      <c r="CZ156" s="19" t="n">
        <f aca="false">MAX(0,CZ$142-CZ$154)*CZ$9</f>
        <v>0</v>
      </c>
      <c r="DA156" s="19" t="n">
        <f aca="false">MAX(0,DA$142-DA$154)*DA$9</f>
        <v>0</v>
      </c>
      <c r="DB156" s="19" t="n">
        <f aca="false">MAX(0,DB$142-DB$154)*DB$9</f>
        <v>0</v>
      </c>
      <c r="DC156" s="19" t="n">
        <f aca="false">MAX(0,DC$142-DC$154)*DC$9</f>
        <v>0</v>
      </c>
      <c r="DD156" s="19" t="n">
        <f aca="false">MAX(0,DD$142-DD$154)*DD$9</f>
        <v>0</v>
      </c>
      <c r="DE156" s="19" t="n">
        <f aca="false">MAX(0,DE$142-DE$154)*DE$9</f>
        <v>0</v>
      </c>
      <c r="DF156" s="19" t="n">
        <f aca="false">MAX(0,DF$142-DF$154)*DF$9</f>
        <v>0</v>
      </c>
      <c r="DG156" s="19" t="n">
        <f aca="false">MAX(0,DG$142-DG$154)*DG$9</f>
        <v>0</v>
      </c>
      <c r="DH156" s="19" t="n">
        <f aca="false">MAX(0,DH$142-DH$154)*DH$9</f>
        <v>0</v>
      </c>
      <c r="DI156" s="19" t="n">
        <f aca="false">MAX(0,DI$142-DI$154)*DI$9</f>
        <v>0</v>
      </c>
      <c r="DJ156" s="19" t="n">
        <f aca="false">MAX(0,DJ$142-DJ$154)*DJ$9</f>
        <v>0</v>
      </c>
      <c r="DK156" s="19" t="n">
        <f aca="false">MAX(0,DK$142-DK$154)*DK$9</f>
        <v>0</v>
      </c>
      <c r="DL156" s="19" t="n">
        <f aca="false">MAX(0,DL$142-DL$154)*DL$9</f>
        <v>0</v>
      </c>
      <c r="DM156" s="19" t="n">
        <f aca="false">MAX(0,DM$142-DM$154)*DM$9</f>
        <v>0</v>
      </c>
      <c r="DN156" s="19" t="n">
        <f aca="false">MAX(0,DN$142-DN$154)*DN$9</f>
        <v>0</v>
      </c>
      <c r="DO156" s="19" t="n">
        <f aca="false">MAX(0,DO$142-DO$154)*DO$9</f>
        <v>0</v>
      </c>
      <c r="DP156" s="19" t="n">
        <f aca="false">MAX(0,DP$142-DP$154)*DP$9</f>
        <v>0</v>
      </c>
      <c r="DQ156" s="19" t="n">
        <f aca="false">MAX(0,DQ$142-DQ$154)*DQ$9</f>
        <v>0</v>
      </c>
      <c r="DR156" s="19" t="n">
        <f aca="false">MAX(0,DR$142-DR$154)*DR$9</f>
        <v>0</v>
      </c>
      <c r="DS156" s="19" t="n">
        <f aca="false">MAX(0,DS$142-DS$154)*DS$9</f>
        <v>0</v>
      </c>
      <c r="DT156" s="19" t="n">
        <f aca="false">MAX(0,DT$142-DT$154)*DT$9</f>
        <v>0</v>
      </c>
      <c r="DU156" s="19" t="n">
        <f aca="false">MAX(0,DU$142-DU$154)*DU$9</f>
        <v>0</v>
      </c>
      <c r="DV156" s="19" t="n">
        <f aca="false">MAX(0,DV$142-DV$154)*DV$9</f>
        <v>0</v>
      </c>
      <c r="DW156" s="19" t="n">
        <f aca="false">MAX(0,DW$142-DW$154)*DW$9</f>
        <v>0</v>
      </c>
      <c r="DX156" s="19" t="n">
        <f aca="false">MAX(0,DX$142-DX$154)*DX$9</f>
        <v>0</v>
      </c>
      <c r="DY156" s="19" t="n">
        <f aca="false">MAX(0,DY$142-DY$154)*DY$9</f>
        <v>0</v>
      </c>
      <c r="DZ156" s="19" t="n">
        <f aca="false">MAX(0,DZ$142-DZ$154)*DZ$9</f>
        <v>0</v>
      </c>
      <c r="EA156" s="19" t="n">
        <f aca="false">MAX(0,EA$142-EA$154)*EA$9</f>
        <v>0</v>
      </c>
      <c r="EB156" s="19" t="n">
        <f aca="false">MAX(0,EB$142-EB$154)*EB$9</f>
        <v>0</v>
      </c>
      <c r="EC156" s="19" t="n">
        <f aca="false">MAX(0,EC$142-EC$154)*EC$9</f>
        <v>0</v>
      </c>
      <c r="ED156" s="19" t="n">
        <f aca="false">MAX(0,ED$142-ED$154)*ED$9</f>
        <v>0</v>
      </c>
      <c r="EE156" s="19" t="n">
        <f aca="false">MAX(0,EE$142-EE$154)*EE$9</f>
        <v>0</v>
      </c>
      <c r="EF156" s="19" t="n">
        <f aca="false">MAX(0,EF$142-EF$154)*EF$9</f>
        <v>0</v>
      </c>
      <c r="EG156" s="19" t="n">
        <f aca="false">MAX(0,EG$142-EG$154)*EG$9</f>
        <v>0</v>
      </c>
      <c r="EH156" s="19" t="n">
        <f aca="false">MAX(0,EH$142-EH$154)*EH$9</f>
        <v>0</v>
      </c>
      <c r="EI156" s="19" t="n">
        <f aca="false">MAX(0,EI$142-EI$154)*EI$9</f>
        <v>0</v>
      </c>
      <c r="EJ156" s="19" t="n">
        <f aca="false">MAX(0,EJ$142-EJ$154)*EJ$9</f>
        <v>0</v>
      </c>
      <c r="EK156" s="19" t="n">
        <f aca="false">MAX(0,EK$142-EK$154)*EK$9</f>
        <v>0</v>
      </c>
      <c r="EL156" s="19" t="n">
        <f aca="false">MAX(0,EL$142-EL$154)*EL$9</f>
        <v>0</v>
      </c>
      <c r="EM156" s="19" t="n">
        <f aca="false">MAX(0,EM$142-EM$154)*EM$9</f>
        <v>0</v>
      </c>
      <c r="EN156" s="19" t="n">
        <f aca="false">MAX(0,EN$142-EN$154)*EN$9</f>
        <v>0</v>
      </c>
      <c r="EO156" s="19" t="n">
        <f aca="false">MAX(0,EO$142-EO$154)*EO$9</f>
        <v>0</v>
      </c>
      <c r="EP156" s="19" t="n">
        <f aca="false">MAX(0,EP$142-EP$154)*EP$9</f>
        <v>0</v>
      </c>
      <c r="EQ156" s="19" t="n">
        <f aca="false">MAX(0,EQ$142-EQ$154)*EQ$9</f>
        <v>0</v>
      </c>
      <c r="ER156" s="19" t="n">
        <f aca="false">MAX(0,ER$142-ER$154)*ER$9</f>
        <v>0</v>
      </c>
      <c r="ES156" s="19" t="n">
        <f aca="false">MAX(0,ES$142-ES$154)*ES$9</f>
        <v>0</v>
      </c>
    </row>
    <row r="157" customFormat="false" ht="15" hidden="false" customHeight="false" outlineLevel="0" collapsed="false">
      <c r="A157" s="11" t="s">
        <v>1276</v>
      </c>
      <c r="B157" s="15" t="s">
        <v>1277</v>
      </c>
      <c r="C157" s="15" t="s">
        <v>508</v>
      </c>
      <c r="E157" s="54" t="n">
        <f aca="false">MAX(F157:ES157)</f>
        <v>311740.118672618</v>
      </c>
      <c r="F157" s="48" t="n">
        <f aca="false">MAX(0,-F$154)</f>
        <v>0</v>
      </c>
      <c r="G157" s="48" t="n">
        <f aca="false">MAX(0,-G$154)</f>
        <v>0</v>
      </c>
      <c r="H157" s="48" t="n">
        <f aca="false">MAX(0,-H$154)</f>
        <v>0</v>
      </c>
      <c r="I157" s="48" t="n">
        <f aca="false">MAX(0,-I$154)</f>
        <v>0</v>
      </c>
      <c r="J157" s="48" t="n">
        <f aca="false">MAX(0,-J$154)</f>
        <v>0</v>
      </c>
      <c r="K157" s="48" t="n">
        <f aca="false">MAX(0,-K$154)</f>
        <v>0</v>
      </c>
      <c r="L157" s="48" t="n">
        <f aca="false">MAX(0,-L$154)</f>
        <v>0</v>
      </c>
      <c r="M157" s="48" t="n">
        <f aca="false">MAX(0,-M$154)</f>
        <v>0</v>
      </c>
      <c r="N157" s="48" t="n">
        <f aca="false">MAX(0,-N$154)</f>
        <v>0</v>
      </c>
      <c r="O157" s="48" t="n">
        <f aca="false">MAX(0,-O$154)</f>
        <v>0</v>
      </c>
      <c r="P157" s="48" t="n">
        <f aca="false">MAX(0,-P$154)</f>
        <v>0</v>
      </c>
      <c r="Q157" s="48" t="n">
        <f aca="false">MAX(0,-Q$154)</f>
        <v>0</v>
      </c>
      <c r="R157" s="48" t="n">
        <f aca="false">MAX(0,-R$154)</f>
        <v>0</v>
      </c>
      <c r="S157" s="48" t="n">
        <f aca="false">MAX(0,-S$154)</f>
        <v>0</v>
      </c>
      <c r="T157" s="48" t="n">
        <f aca="false">MAX(0,-T$154)</f>
        <v>0</v>
      </c>
      <c r="U157" s="48" t="n">
        <f aca="false">MAX(0,-U$154)</f>
        <v>0</v>
      </c>
      <c r="V157" s="48" t="n">
        <f aca="false">MAX(0,-V$154)</f>
        <v>0</v>
      </c>
      <c r="W157" s="48" t="n">
        <f aca="false">MAX(0,-W$154)</f>
        <v>0</v>
      </c>
      <c r="X157" s="48" t="n">
        <f aca="false">MAX(0,-X$154)</f>
        <v>0</v>
      </c>
      <c r="Y157" s="48" t="n">
        <f aca="false">MAX(0,-Y$154)</f>
        <v>0</v>
      </c>
      <c r="Z157" s="48" t="n">
        <f aca="false">MAX(0,-Z$154)</f>
        <v>0</v>
      </c>
      <c r="AA157" s="48" t="n">
        <f aca="false">MAX(0,-AA$154)</f>
        <v>0</v>
      </c>
      <c r="AB157" s="48" t="n">
        <f aca="false">MAX(0,-AB$154)</f>
        <v>0</v>
      </c>
      <c r="AC157" s="48" t="n">
        <f aca="false">MAX(0,-AC$154)</f>
        <v>0</v>
      </c>
      <c r="AD157" s="48" t="n">
        <f aca="false">MAX(0,-AD$154)</f>
        <v>311740.118672618</v>
      </c>
      <c r="AE157" s="48" t="n">
        <f aca="false">MAX(0,-AE$154)</f>
        <v>259166.435385603</v>
      </c>
      <c r="AF157" s="48" t="n">
        <f aca="false">MAX(0,-AF$154)</f>
        <v>206556.340501018</v>
      </c>
      <c r="AG157" s="48" t="n">
        <f aca="false">MAX(0,-AG$154)</f>
        <v>153909.560931882</v>
      </c>
      <c r="AH157" s="48" t="n">
        <f aca="false">MAX(0,-AH$154)</f>
        <v>101225.821543058</v>
      </c>
      <c r="AI157" s="48" t="n">
        <f aca="false">MAX(0,-AI$154)</f>
        <v>48504.8451359012</v>
      </c>
      <c r="AJ157" s="48" t="n">
        <f aca="false">MAX(0,-AJ$154)</f>
        <v>0</v>
      </c>
      <c r="AK157" s="48" t="n">
        <f aca="false">MAX(0,-AK$154)</f>
        <v>0</v>
      </c>
      <c r="AL157" s="48" t="n">
        <f aca="false">MAX(0,-AL$154)</f>
        <v>0</v>
      </c>
      <c r="AM157" s="48" t="n">
        <f aca="false">MAX(0,-AM$154)</f>
        <v>0</v>
      </c>
      <c r="AN157" s="48" t="n">
        <f aca="false">MAX(0,-AN$154)</f>
        <v>0</v>
      </c>
      <c r="AO157" s="48" t="n">
        <f aca="false">MAX(0,-AO$154)</f>
        <v>0</v>
      </c>
      <c r="AP157" s="48" t="n">
        <f aca="false">MAX(0,-AP$154)</f>
        <v>204392.169462804</v>
      </c>
      <c r="AQ157" s="48" t="n">
        <f aca="false">MAX(0,-AQ$154)</f>
        <v>118554.51596008</v>
      </c>
      <c r="AR157" s="48" t="n">
        <f aca="false">MAX(0,-AR$154)</f>
        <v>32677.0352007788</v>
      </c>
      <c r="AS157" s="48" t="n">
        <f aca="false">MAX(0,-AS$154)</f>
        <v>0</v>
      </c>
      <c r="AT157" s="48" t="n">
        <f aca="false">MAX(0,-AT$154)</f>
        <v>0</v>
      </c>
      <c r="AU157" s="48" t="n">
        <f aca="false">MAX(0,-AU$154)</f>
        <v>0</v>
      </c>
      <c r="AV157" s="48" t="n">
        <f aca="false">MAX(0,-AV$154)</f>
        <v>0</v>
      </c>
      <c r="AW157" s="48" t="n">
        <f aca="false">MAX(0,-AW$154)</f>
        <v>0</v>
      </c>
      <c r="AX157" s="48" t="n">
        <f aca="false">MAX(0,-AX$154)</f>
        <v>0</v>
      </c>
      <c r="AY157" s="48" t="n">
        <f aca="false">MAX(0,-AY$154)</f>
        <v>0</v>
      </c>
      <c r="AZ157" s="48" t="n">
        <f aca="false">MAX(0,-AZ$154)</f>
        <v>0</v>
      </c>
      <c r="BA157" s="48" t="n">
        <f aca="false">MAX(0,-BA$154)</f>
        <v>0</v>
      </c>
      <c r="BB157" s="48" t="n">
        <f aca="false">MAX(0,-BB$154)</f>
        <v>0</v>
      </c>
      <c r="BC157" s="48" t="n">
        <f aca="false">MAX(0,-BC$154)</f>
        <v>0</v>
      </c>
      <c r="BD157" s="48" t="n">
        <f aca="false">MAX(0,-BD$154)</f>
        <v>0</v>
      </c>
      <c r="BE157" s="48" t="n">
        <f aca="false">MAX(0,-BE$154)</f>
        <v>0</v>
      </c>
      <c r="BF157" s="48" t="n">
        <f aca="false">MAX(0,-BF$154)</f>
        <v>0</v>
      </c>
      <c r="BG157" s="48" t="n">
        <f aca="false">MAX(0,-BG$154)</f>
        <v>0</v>
      </c>
      <c r="BH157" s="48" t="n">
        <f aca="false">MAX(0,-BH$154)</f>
        <v>0</v>
      </c>
      <c r="BI157" s="48" t="n">
        <f aca="false">MAX(0,-BI$154)</f>
        <v>0</v>
      </c>
      <c r="BJ157" s="48" t="n">
        <f aca="false">MAX(0,-BJ$154)</f>
        <v>0</v>
      </c>
      <c r="BK157" s="48" t="n">
        <f aca="false">MAX(0,-BK$154)</f>
        <v>0</v>
      </c>
      <c r="BL157" s="48" t="n">
        <f aca="false">MAX(0,-BL$154)</f>
        <v>0</v>
      </c>
      <c r="BM157" s="48" t="n">
        <f aca="false">MAX(0,-BM$154)</f>
        <v>0</v>
      </c>
      <c r="BN157" s="48" t="n">
        <f aca="false">MAX(0,-BN$154)</f>
        <v>0</v>
      </c>
      <c r="BO157" s="48" t="n">
        <f aca="false">MAX(0,-BO$154)</f>
        <v>0</v>
      </c>
      <c r="BP157" s="48" t="n">
        <f aca="false">MAX(0,-BP$154)</f>
        <v>0</v>
      </c>
      <c r="BQ157" s="48" t="n">
        <f aca="false">MAX(0,-BQ$154)</f>
        <v>0</v>
      </c>
      <c r="BR157" s="48" t="n">
        <f aca="false">MAX(0,-BR$154)</f>
        <v>0</v>
      </c>
      <c r="BS157" s="48" t="n">
        <f aca="false">MAX(0,-BS$154)</f>
        <v>0</v>
      </c>
      <c r="BT157" s="48" t="n">
        <f aca="false">MAX(0,-BT$154)</f>
        <v>0</v>
      </c>
      <c r="BU157" s="48" t="n">
        <f aca="false">MAX(0,-BU$154)</f>
        <v>0</v>
      </c>
      <c r="BV157" s="48" t="n">
        <f aca="false">MAX(0,-BV$154)</f>
        <v>0</v>
      </c>
      <c r="BW157" s="48" t="n">
        <f aca="false">MAX(0,-BW$154)</f>
        <v>0</v>
      </c>
      <c r="BX157" s="48" t="n">
        <f aca="false">MAX(0,-BX$154)</f>
        <v>0</v>
      </c>
      <c r="BY157" s="48" t="n">
        <f aca="false">MAX(0,-BY$154)</f>
        <v>0</v>
      </c>
      <c r="BZ157" s="48" t="n">
        <f aca="false">MAX(0,-BZ$154)</f>
        <v>0</v>
      </c>
      <c r="CA157" s="48" t="n">
        <f aca="false">MAX(0,-CA$154)</f>
        <v>0</v>
      </c>
      <c r="CB157" s="48" t="n">
        <f aca="false">MAX(0,-CB$154)</f>
        <v>0</v>
      </c>
      <c r="CC157" s="48" t="n">
        <f aca="false">MAX(0,-CC$154)</f>
        <v>0</v>
      </c>
      <c r="CD157" s="48" t="n">
        <f aca="false">MAX(0,-CD$154)</f>
        <v>0</v>
      </c>
      <c r="CE157" s="48" t="n">
        <f aca="false">MAX(0,-CE$154)</f>
        <v>0</v>
      </c>
      <c r="CF157" s="48" t="n">
        <f aca="false">MAX(0,-CF$154)</f>
        <v>0</v>
      </c>
      <c r="CG157" s="48" t="n">
        <f aca="false">MAX(0,-CG$154)</f>
        <v>0</v>
      </c>
      <c r="CH157" s="48" t="n">
        <f aca="false">MAX(0,-CH$154)</f>
        <v>0</v>
      </c>
      <c r="CI157" s="48" t="n">
        <f aca="false">MAX(0,-CI$154)</f>
        <v>0</v>
      </c>
      <c r="CJ157" s="48" t="n">
        <f aca="false">MAX(0,-CJ$154)</f>
        <v>0</v>
      </c>
      <c r="CK157" s="48" t="n">
        <f aca="false">MAX(0,-CK$154)</f>
        <v>0</v>
      </c>
      <c r="CL157" s="48" t="n">
        <f aca="false">MAX(0,-CL$154)</f>
        <v>0</v>
      </c>
      <c r="CM157" s="48" t="n">
        <f aca="false">MAX(0,-CM$154)</f>
        <v>0</v>
      </c>
      <c r="CN157" s="48" t="n">
        <f aca="false">MAX(0,-CN$154)</f>
        <v>0</v>
      </c>
      <c r="CO157" s="48" t="n">
        <f aca="false">MAX(0,-CO$154)</f>
        <v>0</v>
      </c>
      <c r="CP157" s="48" t="n">
        <f aca="false">MAX(0,-CP$154)</f>
        <v>0</v>
      </c>
      <c r="CQ157" s="48" t="n">
        <f aca="false">MAX(0,-CQ$154)</f>
        <v>0</v>
      </c>
      <c r="CR157" s="48" t="n">
        <f aca="false">MAX(0,-CR$154)</f>
        <v>0</v>
      </c>
      <c r="CS157" s="48" t="n">
        <f aca="false">MAX(0,-CS$154)</f>
        <v>0</v>
      </c>
      <c r="CT157" s="48" t="n">
        <f aca="false">MAX(0,-CT$154)</f>
        <v>0</v>
      </c>
      <c r="CU157" s="48" t="n">
        <f aca="false">MAX(0,-CU$154)</f>
        <v>0</v>
      </c>
      <c r="CV157" s="48" t="n">
        <f aca="false">MAX(0,-CV$154)</f>
        <v>0</v>
      </c>
      <c r="CW157" s="48" t="n">
        <f aca="false">MAX(0,-CW$154)</f>
        <v>0</v>
      </c>
      <c r="CX157" s="48" t="n">
        <f aca="false">MAX(0,-CX$154)</f>
        <v>0</v>
      </c>
      <c r="CY157" s="48" t="n">
        <f aca="false">MAX(0,-CY$154)</f>
        <v>0</v>
      </c>
      <c r="CZ157" s="48" t="n">
        <f aca="false">MAX(0,-CZ$154)</f>
        <v>0</v>
      </c>
      <c r="DA157" s="48" t="n">
        <f aca="false">MAX(0,-DA$154)</f>
        <v>0</v>
      </c>
      <c r="DB157" s="48" t="n">
        <f aca="false">MAX(0,-DB$154)</f>
        <v>0</v>
      </c>
      <c r="DC157" s="48" t="n">
        <f aca="false">MAX(0,-DC$154)</f>
        <v>0</v>
      </c>
      <c r="DD157" s="48" t="n">
        <f aca="false">MAX(0,-DD$154)</f>
        <v>0</v>
      </c>
      <c r="DE157" s="48" t="n">
        <f aca="false">MAX(0,-DE$154)</f>
        <v>0</v>
      </c>
      <c r="DF157" s="48" t="n">
        <f aca="false">MAX(0,-DF$154)</f>
        <v>0</v>
      </c>
      <c r="DG157" s="48" t="n">
        <f aca="false">MAX(0,-DG$154)</f>
        <v>0</v>
      </c>
      <c r="DH157" s="48" t="n">
        <f aca="false">MAX(0,-DH$154)</f>
        <v>0</v>
      </c>
      <c r="DI157" s="48" t="n">
        <f aca="false">MAX(0,-DI$154)</f>
        <v>0</v>
      </c>
      <c r="DJ157" s="48" t="n">
        <f aca="false">MAX(0,-DJ$154)</f>
        <v>0</v>
      </c>
      <c r="DK157" s="48" t="n">
        <f aca="false">MAX(0,-DK$154)</f>
        <v>0</v>
      </c>
      <c r="DL157" s="48" t="n">
        <f aca="false">MAX(0,-DL$154)</f>
        <v>0</v>
      </c>
      <c r="DM157" s="48" t="n">
        <f aca="false">MAX(0,-DM$154)</f>
        <v>0</v>
      </c>
      <c r="DN157" s="48" t="n">
        <f aca="false">MAX(0,-DN$154)</f>
        <v>0</v>
      </c>
      <c r="DO157" s="48" t="n">
        <f aca="false">MAX(0,-DO$154)</f>
        <v>0</v>
      </c>
      <c r="DP157" s="48" t="n">
        <f aca="false">MAX(0,-DP$154)</f>
        <v>0</v>
      </c>
      <c r="DQ157" s="48" t="n">
        <f aca="false">MAX(0,-DQ$154)</f>
        <v>0</v>
      </c>
      <c r="DR157" s="48" t="n">
        <f aca="false">MAX(0,-DR$154)</f>
        <v>0</v>
      </c>
      <c r="DS157" s="48" t="n">
        <f aca="false">MAX(0,-DS$154)</f>
        <v>0</v>
      </c>
      <c r="DT157" s="48" t="n">
        <f aca="false">MAX(0,-DT$154)</f>
        <v>0</v>
      </c>
      <c r="DU157" s="48" t="n">
        <f aca="false">MAX(0,-DU$154)</f>
        <v>0</v>
      </c>
      <c r="DV157" s="48" t="n">
        <f aca="false">MAX(0,-DV$154)</f>
        <v>0</v>
      </c>
      <c r="DW157" s="48" t="n">
        <f aca="false">MAX(0,-DW$154)</f>
        <v>0</v>
      </c>
      <c r="DX157" s="48" t="n">
        <f aca="false">MAX(0,-DX$154)</f>
        <v>0</v>
      </c>
      <c r="DY157" s="48" t="n">
        <f aca="false">MAX(0,-DY$154)</f>
        <v>0</v>
      </c>
      <c r="DZ157" s="48" t="n">
        <f aca="false">MAX(0,-DZ$154)</f>
        <v>0</v>
      </c>
      <c r="EA157" s="48" t="n">
        <f aca="false">MAX(0,-EA$154)</f>
        <v>0</v>
      </c>
      <c r="EB157" s="48" t="n">
        <f aca="false">MAX(0,-EB$154)</f>
        <v>0</v>
      </c>
      <c r="EC157" s="48" t="n">
        <f aca="false">MAX(0,-EC$154)</f>
        <v>0</v>
      </c>
      <c r="ED157" s="48" t="n">
        <f aca="false">MAX(0,-ED$154)</f>
        <v>0</v>
      </c>
      <c r="EE157" s="48" t="n">
        <f aca="false">MAX(0,-EE$154)</f>
        <v>0</v>
      </c>
      <c r="EF157" s="48" t="n">
        <f aca="false">MAX(0,-EF$154)</f>
        <v>0</v>
      </c>
      <c r="EG157" s="48" t="n">
        <f aca="false">MAX(0,-EG$154)</f>
        <v>0</v>
      </c>
      <c r="EH157" s="48" t="n">
        <f aca="false">MAX(0,-EH$154)</f>
        <v>0</v>
      </c>
      <c r="EI157" s="48" t="n">
        <f aca="false">MAX(0,-EI$154)</f>
        <v>0</v>
      </c>
      <c r="EJ157" s="48" t="n">
        <f aca="false">MAX(0,-EJ$154)</f>
        <v>0</v>
      </c>
      <c r="EK157" s="48" t="n">
        <f aca="false">MAX(0,-EK$154)</f>
        <v>0</v>
      </c>
      <c r="EL157" s="48" t="n">
        <f aca="false">MAX(0,-EL$154)</f>
        <v>0</v>
      </c>
      <c r="EM157" s="48" t="n">
        <f aca="false">MAX(0,-EM$154)</f>
        <v>0</v>
      </c>
      <c r="EN157" s="48" t="n">
        <f aca="false">MAX(0,-EN$154)</f>
        <v>0</v>
      </c>
      <c r="EO157" s="48" t="n">
        <f aca="false">MAX(0,-EO$154)</f>
        <v>0</v>
      </c>
      <c r="EP157" s="48" t="n">
        <f aca="false">MAX(0,-EP$154)</f>
        <v>0</v>
      </c>
      <c r="EQ157" s="48" t="n">
        <f aca="false">MAX(0,-EQ$154)</f>
        <v>0</v>
      </c>
      <c r="ER157" s="48" t="n">
        <f aca="false">MAX(0,-ER$154)</f>
        <v>0</v>
      </c>
      <c r="ES157" s="48" t="n">
        <f aca="false">MAX(0,-ES$154)</f>
        <v>0</v>
      </c>
    </row>
    <row r="158" customFormat="false" ht="15" hidden="false" customHeight="false" outlineLevel="0" collapsed="false">
      <c r="A158" s="13"/>
      <c r="B158" s="12" t="s">
        <v>1278</v>
      </c>
      <c r="C158" s="13"/>
      <c r="D158" s="13"/>
      <c r="E158" s="13"/>
    </row>
    <row r="159" customFormat="false" ht="15" hidden="false" customHeight="false" outlineLevel="0" collapsed="false">
      <c r="A159" s="11" t="s">
        <v>1279</v>
      </c>
      <c r="B159" s="15" t="s">
        <v>1280</v>
      </c>
      <c r="C159" s="15"/>
      <c r="F159" s="42" t="n">
        <f aca="false">1/(1+P_WACC)^((1-1)/12)</f>
        <v>1</v>
      </c>
      <c r="G159" s="42" t="n">
        <f aca="false">1/(1+P_WACC)^((2-1)/12)</f>
        <v>0.99247369216101</v>
      </c>
      <c r="H159" s="42" t="n">
        <f aca="false">1/(1+P_WACC)^((3-1)/12)</f>
        <v>0.985004029631707</v>
      </c>
      <c r="I159" s="42" t="n">
        <f aca="false">1/(1+P_WACC)^((4-1)/12)</f>
        <v>0.977590586082053</v>
      </c>
      <c r="J159" s="42" t="n">
        <f aca="false">1/(1+P_WACC)^((5-1)/12)</f>
        <v>0.970232938390701</v>
      </c>
      <c r="K159" s="42" t="n">
        <f aca="false">1/(1+P_WACC)^((6-1)/12)</f>
        <v>0.962930666620845</v>
      </c>
      <c r="L159" s="42" t="n">
        <f aca="false">1/(1+P_WACC)^((7-1)/12)</f>
        <v>0.955683353996252</v>
      </c>
      <c r="M159" s="42" t="n">
        <f aca="false">1/(1+P_WACC)^((8-1)/12)</f>
        <v>0.948490586877478</v>
      </c>
      <c r="N159" s="42" t="n">
        <f aca="false">1/(1+P_WACC)^((9-1)/12)</f>
        <v>0.941351954738254</v>
      </c>
      <c r="O159" s="42" t="n">
        <f aca="false">1/(1+P_WACC)^((10-1)/12)</f>
        <v>0.934267050142059</v>
      </c>
      <c r="P159" s="42" t="n">
        <f aca="false">1/(1+P_WACC)^((11-1)/12)</f>
        <v>0.927235468718864</v>
      </c>
      <c r="Q159" s="42" t="n">
        <f aca="false">1/(1+P_WACC)^((12-1)/12)</f>
        <v>0.920256809142056</v>
      </c>
      <c r="R159" s="42" t="n">
        <f aca="false">1/(1+P_WACC)^((13-1)/12)</f>
        <v>0.913330673105526</v>
      </c>
      <c r="S159" s="42" t="n">
        <f aca="false">1/(1+P_WACC)^((14-1)/12)</f>
        <v>0.906456665300942</v>
      </c>
      <c r="T159" s="42" t="n">
        <f aca="false">1/(1+P_WACC)^((15-1)/12)</f>
        <v>0.899634393395183</v>
      </c>
      <c r="U159" s="42" t="n">
        <f aca="false">1/(1+P_WACC)^((16-1)/12)</f>
        <v>0.892863468007947</v>
      </c>
      <c r="V159" s="42" t="n">
        <f aca="false">1/(1+P_WACC)^((17-1)/12)</f>
        <v>0.886143502689531</v>
      </c>
      <c r="W159" s="42" t="n">
        <f aca="false">1/(1+P_WACC)^((18-1)/12)</f>
        <v>0.879474113898769</v>
      </c>
      <c r="X159" s="42" t="n">
        <f aca="false">1/(1+P_WACC)^((19-1)/12)</f>
        <v>0.872854920981144</v>
      </c>
      <c r="Y159" s="42" t="n">
        <f aca="false">1/(1+P_WACC)^((20-1)/12)</f>
        <v>0.866285546147062</v>
      </c>
      <c r="Z159" s="42" t="n">
        <f aca="false">1/(1+P_WACC)^((21-1)/12)</f>
        <v>0.859765614450292</v>
      </c>
      <c r="AA159" s="42" t="n">
        <f aca="false">1/(1+P_WACC)^((22-1)/12)</f>
        <v>0.853294753766561</v>
      </c>
      <c r="AB159" s="42" t="n">
        <f aca="false">1/(1+P_WACC)^((23-1)/12)</f>
        <v>0.846872594772318</v>
      </c>
      <c r="AC159" s="42" t="n">
        <f aca="false">1/(1+P_WACC)^((24-1)/12)</f>
        <v>0.840498770923658</v>
      </c>
      <c r="AD159" s="42" t="n">
        <f aca="false">1/(1+P_WACC)^((25-1)/12)</f>
        <v>0.834172918435393</v>
      </c>
      <c r="AE159" s="42" t="n">
        <f aca="false">1/(1+P_WACC)^((26-1)/12)</f>
        <v>0.8278946762603</v>
      </c>
      <c r="AF159" s="42" t="n">
        <f aca="false">1/(1+P_WACC)^((27-1)/12)</f>
        <v>0.821663686068504</v>
      </c>
      <c r="AG159" s="42" t="n">
        <f aca="false">1/(1+P_WACC)^((28-1)/12)</f>
        <v>0.815479592227033</v>
      </c>
      <c r="AH159" s="42" t="n">
        <f aca="false">1/(1+P_WACC)^((29-1)/12)</f>
        <v>0.809342041779518</v>
      </c>
      <c r="AI159" s="42" t="n">
        <f aca="false">1/(1+P_WACC)^((30-1)/12)</f>
        <v>0.803250684426049</v>
      </c>
      <c r="AJ159" s="42" t="n">
        <f aca="false">1/(1+P_WACC)^((31-1)/12)</f>
        <v>0.797205172503179</v>
      </c>
      <c r="AK159" s="42" t="n">
        <f aca="false">1/(1+P_WACC)^((32-1)/12)</f>
        <v>0.791205160964085</v>
      </c>
      <c r="AL159" s="42" t="n">
        <f aca="false">1/(1+P_WACC)^((33-1)/12)</f>
        <v>0.785250307358871</v>
      </c>
      <c r="AM159" s="42" t="n">
        <f aca="false">1/(1+P_WACC)^((34-1)/12)</f>
        <v>0.779340271815027</v>
      </c>
      <c r="AN159" s="42" t="n">
        <f aca="false">1/(1+P_WACC)^((35-1)/12)</f>
        <v>0.773474717018025</v>
      </c>
      <c r="AO159" s="42" t="n">
        <f aca="false">1/(1+P_WACC)^((36-1)/12)</f>
        <v>0.767653308192072</v>
      </c>
      <c r="AP159" s="42" t="n">
        <f aca="false">1/(1+P_WACC)^((37-1)/12)</f>
        <v>0.761875713080999</v>
      </c>
      <c r="AQ159" s="42" t="n">
        <f aca="false">1/(1+P_WACC)^((38-1)/12)</f>
        <v>0.756141601929301</v>
      </c>
      <c r="AR159" s="42" t="n">
        <f aca="false">1/(1+P_WACC)^((39-1)/12)</f>
        <v>0.750450647463314</v>
      </c>
      <c r="AS159" s="42" t="n">
        <f aca="false">1/(1+P_WACC)^((40-1)/12)</f>
        <v>0.744802524872536</v>
      </c>
      <c r="AT159" s="42" t="n">
        <f aca="false">1/(1+P_WACC)^((41-1)/12)</f>
        <v>0.739196911791088</v>
      </c>
      <c r="AU159" s="42" t="n">
        <f aca="false">1/(1+P_WACC)^((42-1)/12)</f>
        <v>0.733633488279318</v>
      </c>
      <c r="AV159" s="42" t="n">
        <f aca="false">1/(1+P_WACC)^((43-1)/12)</f>
        <v>0.728111936805535</v>
      </c>
      <c r="AW159" s="42" t="n">
        <f aca="false">1/(1+P_WACC)^((44-1)/12)</f>
        <v>0.722631942227894</v>
      </c>
      <c r="AX159" s="42" t="n">
        <f aca="false">1/(1+P_WACC)^((45-1)/12)</f>
        <v>0.717193191776399</v>
      </c>
      <c r="AY159" s="42" t="n">
        <f aca="false">1/(1+P_WACC)^((46-1)/12)</f>
        <v>0.711795375035062</v>
      </c>
      <c r="AZ159" s="42" t="n">
        <f aca="false">1/(1+P_WACC)^((47-1)/12)</f>
        <v>0.706438183924179</v>
      </c>
      <c r="BA159" s="42" t="n">
        <f aca="false">1/(1+P_WACC)^((48-1)/12)</f>
        <v>0.701121312682749</v>
      </c>
      <c r="BB159" s="42" t="n">
        <f aca="false">1/(1+P_WACC)^((49-1)/12)</f>
        <v>0.695844457851021</v>
      </c>
      <c r="BC159" s="42" t="n">
        <f aca="false">1/(1+P_WACC)^((50-1)/12)</f>
        <v>0.690607318253179</v>
      </c>
      <c r="BD159" s="42" t="n">
        <f aca="false">1/(1+P_WACC)^((51-1)/12)</f>
        <v>0.685409594980147</v>
      </c>
      <c r="BE159" s="42" t="n">
        <f aca="false">1/(1+P_WACC)^((52-1)/12)</f>
        <v>0.680250991372529</v>
      </c>
      <c r="BF159" s="42" t="n">
        <f aca="false">1/(1+P_WACC)^((53-1)/12)</f>
        <v>0.675131213003681</v>
      </c>
      <c r="BG159" s="42" t="n">
        <f aca="false">1/(1+P_WACC)^((54-1)/12)</f>
        <v>0.670049967662904</v>
      </c>
      <c r="BH159" s="42" t="n">
        <f aca="false">1/(1+P_WACC)^((55-1)/12)</f>
        <v>0.665006965338768</v>
      </c>
      <c r="BI159" s="42" t="n">
        <f aca="false">1/(1+P_WACC)^((56-1)/12)</f>
        <v>0.660001918202556</v>
      </c>
      <c r="BJ159" s="42" t="n">
        <f aca="false">1/(1+P_WACC)^((57-1)/12)</f>
        <v>0.655034540591839</v>
      </c>
      <c r="BK159" s="42" t="n">
        <f aca="false">1/(1+P_WACC)^((58-1)/12)</f>
        <v>0.650104548994174</v>
      </c>
      <c r="BL159" s="42" t="n">
        <f aca="false">1/(1+P_WACC)^((59-1)/12)</f>
        <v>0.645211662030916</v>
      </c>
      <c r="BM159" s="42" t="n">
        <f aca="false">1/(1+P_WACC)^((60-1)/12)</f>
        <v>0.640355600441165</v>
      </c>
      <c r="BN159" s="42" t="n">
        <f aca="false">1/(1+P_WACC)^((61-1)/12)</f>
        <v>0.635536087065823</v>
      </c>
      <c r="BO159" s="42" t="n">
        <f aca="false">1/(1+P_WACC)^((62-1)/12)</f>
        <v>0.630752846831779</v>
      </c>
      <c r="BP159" s="42" t="n">
        <f aca="false">1/(1+P_WACC)^((63-1)/12)</f>
        <v>0.626005606736203</v>
      </c>
      <c r="BQ159" s="42" t="n">
        <f aca="false">1/(1+P_WACC)^((64-1)/12)</f>
        <v>0.621294095830973</v>
      </c>
      <c r="BR159" s="42" t="n">
        <f aca="false">1/(1+P_WACC)^((65-1)/12)</f>
        <v>0.616618045207202</v>
      </c>
      <c r="BS159" s="42" t="n">
        <f aca="false">1/(1+P_WACC)^((66-1)/12)</f>
        <v>0.611977187979896</v>
      </c>
      <c r="BT159" s="42" t="n">
        <f aca="false">1/(1+P_WACC)^((67-1)/12)</f>
        <v>0.60737125927272</v>
      </c>
      <c r="BU159" s="42" t="n">
        <f aca="false">1/(1+P_WACC)^((68-1)/12)</f>
        <v>0.602799996202879</v>
      </c>
      <c r="BV159" s="42" t="n">
        <f aca="false">1/(1+P_WACC)^((69-1)/12)</f>
        <v>0.598263137866114</v>
      </c>
      <c r="BW159" s="42" t="n">
        <f aca="false">1/(1+P_WACC)^((70-1)/12)</f>
        <v>0.593760425321813</v>
      </c>
      <c r="BX159" s="42" t="n">
        <f aca="false">1/(1+P_WACC)^((71-1)/12)</f>
        <v>0.589291601578232</v>
      </c>
      <c r="BY159" s="42" t="n">
        <f aca="false">1/(1+P_WACC)^((72-1)/12)</f>
        <v>0.584856411577822</v>
      </c>
      <c r="BZ159" s="42" t="n">
        <f aca="false">1/(1+P_WACC)^((73-1)/12)</f>
        <v>0.580454602182681</v>
      </c>
      <c r="CA159" s="42" t="n">
        <f aca="false">1/(1+P_WACC)^((74-1)/12)</f>
        <v>0.576085922160095</v>
      </c>
      <c r="CB159" s="42" t="n">
        <f aca="false">1/(1+P_WACC)^((75-1)/12)</f>
        <v>0.57175012216821</v>
      </c>
      <c r="CC159" s="42" t="n">
        <f aca="false">1/(1+P_WACC)^((76-1)/12)</f>
        <v>0.567446954741792</v>
      </c>
      <c r="CD159" s="42" t="n">
        <f aca="false">1/(1+P_WACC)^((77-1)/12)</f>
        <v>0.563176174278108</v>
      </c>
      <c r="CE159" s="42" t="n">
        <f aca="false">1/(1+P_WACC)^((78-1)/12)</f>
        <v>0.558937537022906</v>
      </c>
      <c r="CF159" s="42" t="n">
        <f aca="false">1/(1+P_WACC)^((79-1)/12)</f>
        <v>0.554730801056504</v>
      </c>
      <c r="CG159" s="42" t="n">
        <f aca="false">1/(1+P_WACC)^((80-1)/12)</f>
        <v>0.550555726279984</v>
      </c>
      <c r="CH159" s="42" t="n">
        <f aca="false">1/(1+P_WACC)^((81-1)/12)</f>
        <v>0.546412074401482</v>
      </c>
      <c r="CI159" s="42" t="n">
        <f aca="false">1/(1+P_WACC)^((82-1)/12)</f>
        <v>0.542299608922595</v>
      </c>
      <c r="CJ159" s="42" t="n">
        <f aca="false">1/(1+P_WACC)^((83-1)/12)</f>
        <v>0.53821809512488</v>
      </c>
      <c r="CK159" s="42" t="n">
        <f aca="false">1/(1+P_WACC)^((84-1)/12)</f>
        <v>0.534167300056455</v>
      </c>
      <c r="CL159" s="42" t="n">
        <f aca="false">1/(1+P_WACC)^((85-1)/12)</f>
        <v>0.530146992518708</v>
      </c>
      <c r="CM159" s="42" t="n">
        <f aca="false">1/(1+P_WACC)^((86-1)/12)</f>
        <v>0.526156943053098</v>
      </c>
      <c r="CN159" s="42" t="n">
        <f aca="false">1/(1+P_WACC)^((87-1)/12)</f>
        <v>0.522196923928058</v>
      </c>
      <c r="CO159" s="42" t="n">
        <f aca="false">1/(1+P_WACC)^((88-1)/12)</f>
        <v>0.518266709126002</v>
      </c>
      <c r="CP159" s="42" t="n">
        <f aca="false">1/(1+P_WACC)^((89-1)/12)</f>
        <v>0.514366074330419</v>
      </c>
      <c r="CQ159" s="42" t="n">
        <f aca="false">1/(1+P_WACC)^((90-1)/12)</f>
        <v>0.510494796913075</v>
      </c>
      <c r="CR159" s="42" t="n">
        <f aca="false">1/(1+P_WACC)^((91-1)/12)</f>
        <v>0.506652655921305</v>
      </c>
      <c r="CS159" s="42" t="n">
        <f aca="false">1/(1+P_WACC)^((92-1)/12)</f>
        <v>0.502839432065399</v>
      </c>
      <c r="CT159" s="42" t="n">
        <f aca="false">1/(1+P_WACC)^((93-1)/12)</f>
        <v>0.499054907706092</v>
      </c>
      <c r="CU159" s="42" t="n">
        <f aca="false">1/(1+P_WACC)^((94-1)/12)</f>
        <v>0.495298866842137</v>
      </c>
      <c r="CV159" s="42" t="n">
        <f aca="false">1/(1+P_WACC)^((95-1)/12)</f>
        <v>0.49157109509798</v>
      </c>
      <c r="CW159" s="42" t="n">
        <f aca="false">1/(1+P_WACC)^((96-1)/12)</f>
        <v>0.487871379711524</v>
      </c>
      <c r="CX159" s="42" t="n">
        <f aca="false">1/(1+P_WACC)^((97-1)/12)</f>
        <v>0.484199509521982</v>
      </c>
      <c r="CY159" s="42" t="n">
        <f aca="false">1/(1+P_WACC)^((98-1)/12)</f>
        <v>0.480555274957831</v>
      </c>
      <c r="CZ159" s="42" t="n">
        <f aca="false">1/(1+P_WACC)^((99-1)/12)</f>
        <v>0.476938468024848</v>
      </c>
      <c r="DA159" s="42" t="n">
        <f aca="false">1/(1+P_WACC)^((100-1)/12)</f>
        <v>0.473348882294237</v>
      </c>
      <c r="DB159" s="42" t="n">
        <f aca="false">1/(1+P_WACC)^((101-1)/12)</f>
        <v>0.469786312890849</v>
      </c>
      <c r="DC159" s="42" t="n">
        <f aca="false">1/(1+P_WACC)^((102-1)/12)</f>
        <v>0.466250556481488</v>
      </c>
      <c r="DD159" s="42" t="n">
        <f aca="false">1/(1+P_WACC)^((103-1)/12)</f>
        <v>0.462741411263308</v>
      </c>
      <c r="DE159" s="42" t="n">
        <f aca="false">1/(1+P_WACC)^((104-1)/12)</f>
        <v>0.459258676952292</v>
      </c>
      <c r="DF159" s="42" t="n">
        <f aca="false">1/(1+P_WACC)^((105-1)/12)</f>
        <v>0.455802154771821</v>
      </c>
      <c r="DG159" s="42" t="n">
        <f aca="false">1/(1+P_WACC)^((106-1)/12)</f>
        <v>0.452371647441334</v>
      </c>
      <c r="DH159" s="42" t="n">
        <f aca="false">1/(1+P_WACC)^((107-1)/12)</f>
        <v>0.448966959165059</v>
      </c>
      <c r="DI159" s="42" t="n">
        <f aca="false">1/(1+P_WACC)^((108-1)/12)</f>
        <v>0.445587895620848</v>
      </c>
      <c r="DJ159" s="42" t="n">
        <f aca="false">1/(1+P_WACC)^((109-1)/12)</f>
        <v>0.442234263949077</v>
      </c>
      <c r="DK159" s="42" t="n">
        <f aca="false">1/(1+P_WACC)^((110-1)/12)</f>
        <v>0.438905872741647</v>
      </c>
      <c r="DL159" s="42" t="n">
        <f aca="false">1/(1+P_WACC)^((111-1)/12)</f>
        <v>0.435602532031053</v>
      </c>
      <c r="DM159" s="42" t="n">
        <f aca="false">1/(1+P_WACC)^((112-1)/12)</f>
        <v>0.432324053279544</v>
      </c>
      <c r="DN159" s="42" t="n">
        <f aca="false">1/(1+P_WACC)^((113-1)/12)</f>
        <v>0.429070249368362</v>
      </c>
      <c r="DO159" s="42" t="n">
        <f aca="false">1/(1+P_WACC)^((114-1)/12)</f>
        <v>0.425840934587064</v>
      </c>
      <c r="DP159" s="42" t="n">
        <f aca="false">1/(1+P_WACC)^((115-1)/12)</f>
        <v>0.422635924622918</v>
      </c>
      <c r="DQ159" s="42" t="n">
        <f aca="false">1/(1+P_WACC)^((116-1)/12)</f>
        <v>0.41945503655039</v>
      </c>
      <c r="DR159" s="42" t="n">
        <f aca="false">1/(1+P_WACC)^((117-1)/12)</f>
        <v>0.416298088820697</v>
      </c>
      <c r="DS159" s="42" t="n">
        <f aca="false">1/(1+P_WACC)^((118-1)/12)</f>
        <v>0.413164901251449</v>
      </c>
      <c r="DT159" s="42" t="n">
        <f aca="false">1/(1+P_WACC)^((119-1)/12)</f>
        <v>0.410055295016365</v>
      </c>
      <c r="DU159" s="42" t="n">
        <f aca="false">1/(1+P_WACC)^((120-1)/12)</f>
        <v>0.406969092635064</v>
      </c>
      <c r="DV159" s="42" t="n">
        <f aca="false">1/(1+P_WACC)^((121-1)/12)</f>
        <v>0.403906117962938</v>
      </c>
      <c r="DW159" s="42" t="n">
        <f aca="false">1/(1+P_WACC)^((122-1)/12)</f>
        <v>0.400866196181097</v>
      </c>
      <c r="DX159" s="42" t="n">
        <f aca="false">1/(1+P_WACC)^((123-1)/12)</f>
        <v>0.397849153786393</v>
      </c>
      <c r="DY159" s="42" t="n">
        <f aca="false">1/(1+P_WACC)^((124-1)/12)</f>
        <v>0.394854818581515</v>
      </c>
      <c r="DZ159" s="42" t="n">
        <f aca="false">1/(1+P_WACC)^((125-1)/12)</f>
        <v>0.391883019665162</v>
      </c>
      <c r="EA159" s="42" t="n">
        <f aca="false">1/(1+P_WACC)^((126-1)/12)</f>
        <v>0.388933587422289</v>
      </c>
      <c r="EB159" s="42" t="n">
        <f aca="false">1/(1+P_WACC)^((127-1)/12)</f>
        <v>0.386006353514426</v>
      </c>
      <c r="EC159" s="42" t="n">
        <f aca="false">1/(1+P_WACC)^((128-1)/12)</f>
        <v>0.383101150870071</v>
      </c>
      <c r="ED159" s="42" t="n">
        <f aca="false">1/(1+P_WACC)^((129-1)/12)</f>
        <v>0.380217813675151</v>
      </c>
      <c r="EE159" s="42" t="n">
        <f aca="false">1/(1+P_WACC)^((130-1)/12)</f>
        <v>0.377356177363564</v>
      </c>
      <c r="EF159" s="42" t="n">
        <f aca="false">1/(1+P_WACC)^((131-1)/12)</f>
        <v>0.374516078607781</v>
      </c>
      <c r="EG159" s="42" t="n">
        <f aca="false">1/(1+P_WACC)^((132-1)/12)</f>
        <v>0.371697355309528</v>
      </c>
      <c r="EH159" s="42" t="n">
        <f aca="false">1/(1+P_WACC)^((133-1)/12)</f>
        <v>0.36889984659053</v>
      </c>
      <c r="EI159" s="42" t="n">
        <f aca="false">1/(1+P_WACC)^((134-1)/12)</f>
        <v>0.366123392783333</v>
      </c>
      <c r="EJ159" s="42" t="n">
        <f aca="false">1/(1+P_WACC)^((135-1)/12)</f>
        <v>0.36336783542219</v>
      </c>
      <c r="EK159" s="42" t="n">
        <f aca="false">1/(1+P_WACC)^((136-1)/12)</f>
        <v>0.360633017234016</v>
      </c>
      <c r="EL159" s="42" t="n">
        <f aca="false">1/(1+P_WACC)^((137-1)/12)</f>
        <v>0.357918782129409</v>
      </c>
      <c r="EM159" s="42" t="n">
        <f aca="false">1/(1+P_WACC)^((138-1)/12)</f>
        <v>0.355224975193746</v>
      </c>
      <c r="EN159" s="42" t="n">
        <f aca="false">1/(1+P_WACC)^((139-1)/12)</f>
        <v>0.352551442678341</v>
      </c>
      <c r="EO159" s="42" t="n">
        <f aca="false">1/(1+P_WACC)^((140-1)/12)</f>
        <v>0.349898031991663</v>
      </c>
      <c r="EP159" s="42" t="n">
        <f aca="false">1/(1+P_WACC)^((141-1)/12)</f>
        <v>0.347264591690637</v>
      </c>
      <c r="EQ159" s="42" t="n">
        <f aca="false">1/(1+P_WACC)^((142-1)/12)</f>
        <v>0.344650971471992</v>
      </c>
      <c r="ER159" s="42" t="n">
        <f aca="false">1/(1+P_WACC)^((143-1)/12)</f>
        <v>0.342057022163687</v>
      </c>
      <c r="ES159" s="42" t="n">
        <f aca="false">1/(1+P_WACC)^((144-1)/12)</f>
        <v>0.339482595716395</v>
      </c>
    </row>
    <row r="160" customFormat="false" ht="15" hidden="false" customHeight="false" outlineLevel="0" collapsed="false">
      <c r="A160" s="11" t="s">
        <v>1281</v>
      </c>
      <c r="B160" s="15" t="s">
        <v>1282</v>
      </c>
      <c r="C160" s="15"/>
      <c r="F160" s="42" t="n">
        <f aca="false">1/(1+P_Ke)^((1-1)/12)</f>
        <v>1</v>
      </c>
      <c r="G160" s="42" t="n">
        <f aca="false">1/(1+P_Ke)^((2-1)/12)</f>
        <v>0.987481119072306</v>
      </c>
      <c r="H160" s="42" t="n">
        <f aca="false">1/(1+P_Ke)^((3-1)/12)</f>
        <v>0.975118960524295</v>
      </c>
      <c r="I160" s="42" t="n">
        <f aca="false">1/(1+P_Ke)^((4-1)/12)</f>
        <v>0.962911562367155</v>
      </c>
      <c r="J160" s="42" t="n">
        <f aca="false">1/(1+P_Ke)^((5-1)/12)</f>
        <v>0.950856987173981</v>
      </c>
      <c r="K160" s="42" t="n">
        <f aca="false">1/(1+P_Ke)^((6-1)/12)</f>
        <v>0.938953321772285</v>
      </c>
      <c r="L160" s="42" t="n">
        <f aca="false">1/(1+P_Ke)^((7-1)/12)</f>
        <v>0.927198676940355</v>
      </c>
      <c r="M160" s="42" t="n">
        <f aca="false">1/(1+P_Ke)^((8-1)/12)</f>
        <v>0.915591187107424</v>
      </c>
      <c r="N160" s="42" t="n">
        <f aca="false">1/(1+P_Ke)^((9-1)/12)</f>
        <v>0.90412901005758</v>
      </c>
      <c r="O160" s="42" t="n">
        <f aca="false">1/(1+P_Ke)^((10-1)/12)</f>
        <v>0.892810326637396</v>
      </c>
      <c r="P160" s="42" t="n">
        <f aca="false">1/(1+P_Ke)^((11-1)/12)</f>
        <v>0.881633340467207</v>
      </c>
      <c r="Q160" s="42" t="n">
        <f aca="false">1/(1+P_Ke)^((12-1)/12)</f>
        <v>0.870596277656014</v>
      </c>
      <c r="R160" s="42" t="n">
        <f aca="false">1/(1+P_Ke)^((13-1)/12)</f>
        <v>0.859697386519945</v>
      </c>
      <c r="S160" s="42" t="n">
        <f aca="false">1/(1+P_Ke)^((14-1)/12)</f>
        <v>0.848934937304252</v>
      </c>
      <c r="T160" s="42" t="n">
        <f aca="false">1/(1+P_Ke)^((15-1)/12)</f>
        <v>0.838307221908782</v>
      </c>
      <c r="U160" s="42" t="n">
        <f aca="false">1/(1+P_Ke)^((16-1)/12)</f>
        <v>0.82781255361688</v>
      </c>
      <c r="V160" s="42" t="n">
        <f aca="false">1/(1+P_Ke)^((17-1)/12)</f>
        <v>0.8174492668277</v>
      </c>
      <c r="W160" s="42" t="n">
        <f aca="false">1/(1+P_Ke)^((18-1)/12)</f>
        <v>0.807215716791854</v>
      </c>
      <c r="X160" s="42" t="n">
        <f aca="false">1/(1+P_Ke)^((19-1)/12)</f>
        <v>0.797110279350374</v>
      </c>
      <c r="Y160" s="42" t="n">
        <f aca="false">1/(1+P_Ke)^((20-1)/12)</f>
        <v>0.787131350676946</v>
      </c>
      <c r="Z160" s="42" t="n">
        <f aca="false">1/(1+P_Ke)^((21-1)/12)</f>
        <v>0.777277347023367</v>
      </c>
      <c r="AA160" s="42" t="n">
        <f aca="false">1/(1+P_Ke)^((22-1)/12)</f>
        <v>0.767546704468188</v>
      </c>
      <c r="AB160" s="42" t="n">
        <f aca="false">1/(1+P_Ke)^((23-1)/12)</f>
        <v>0.757937878668507</v>
      </c>
      <c r="AC160" s="42" t="n">
        <f aca="false">1/(1+P_Ke)^((24-1)/12)</f>
        <v>0.748449344614867</v>
      </c>
      <c r="AD160" s="42" t="n">
        <f aca="false">1/(1+P_Ke)^((25-1)/12)</f>
        <v>0.739079596389224</v>
      </c>
      <c r="AE160" s="42" t="n">
        <f aca="false">1/(1+P_Ke)^((26-1)/12)</f>
        <v>0.729827146925939</v>
      </c>
      <c r="AF160" s="42" t="n">
        <f aca="false">1/(1+P_Ke)^((27-1)/12)</f>
        <v>0.720690527775775</v>
      </c>
      <c r="AG160" s="42" t="n">
        <f aca="false">1/(1+P_Ke)^((28-1)/12)</f>
        <v>0.711668288872834</v>
      </c>
      <c r="AH160" s="42" t="n">
        <f aca="false">1/(1+P_Ke)^((29-1)/12)</f>
        <v>0.702758998304419</v>
      </c>
      <c r="AI160" s="42" t="n">
        <f aca="false">1/(1+P_Ke)^((30-1)/12)</f>
        <v>0.693961242083781</v>
      </c>
      <c r="AJ160" s="42" t="n">
        <f aca="false">1/(1+P_Ke)^((31-1)/12)</f>
        <v>0.6852736239257</v>
      </c>
      <c r="AK160" s="42" t="n">
        <f aca="false">1/(1+P_Ke)^((32-1)/12)</f>
        <v>0.676694765024885</v>
      </c>
      <c r="AL160" s="42" t="n">
        <f aca="false">1/(1+P_Ke)^((33-1)/12)</f>
        <v>0.668223303837145</v>
      </c>
      <c r="AM160" s="42" t="n">
        <f aca="false">1/(1+P_Ke)^((34-1)/12)</f>
        <v>0.659857895863298</v>
      </c>
      <c r="AN160" s="42" t="n">
        <f aca="false">1/(1+P_Ke)^((35-1)/12)</f>
        <v>0.651597213435787</v>
      </c>
      <c r="AO160" s="42" t="n">
        <f aca="false">1/(1+P_Ke)^((36-1)/12)</f>
        <v>0.643439945507967</v>
      </c>
      <c r="AP160" s="42" t="n">
        <f aca="false">1/(1+P_Ke)^((37-1)/12)</f>
        <v>0.635384797446031</v>
      </c>
      <c r="AQ160" s="42" t="n">
        <f aca="false">1/(1+P_Ke)^((38-1)/12)</f>
        <v>0.627430490823538</v>
      </c>
      <c r="AR160" s="42" t="n">
        <f aca="false">1/(1+P_Ke)^((39-1)/12)</f>
        <v>0.619575763218514</v>
      </c>
      <c r="AS160" s="42" t="n">
        <f aca="false">1/(1+P_Ke)^((40-1)/12)</f>
        <v>0.611819368013096</v>
      </c>
      <c r="AT160" s="42" t="n">
        <f aca="false">1/(1+P_Ke)^((41-1)/12)</f>
        <v>0.604160074195684</v>
      </c>
      <c r="AU160" s="42" t="n">
        <f aca="false">1/(1+P_Ke)^((42-1)/12)</f>
        <v>0.596596666165561</v>
      </c>
      <c r="AV160" s="42" t="n">
        <f aca="false">1/(1+P_Ke)^((43-1)/12)</f>
        <v>0.589127943539976</v>
      </c>
      <c r="AW160" s="42" t="n">
        <f aca="false">1/(1+P_Ke)^((44-1)/12)</f>
        <v>0.581752720963622</v>
      </c>
      <c r="AX160" s="42" t="n">
        <f aca="false">1/(1+P_Ke)^((45-1)/12)</f>
        <v>0.574469827920517</v>
      </c>
      <c r="AY160" s="42" t="n">
        <f aca="false">1/(1+P_Ke)^((46-1)/12)</f>
        <v>0.567278108548227</v>
      </c>
      <c r="AZ160" s="42" t="n">
        <f aca="false">1/(1+P_Ke)^((47-1)/12)</f>
        <v>0.560176421454425</v>
      </c>
      <c r="BA160" s="42" t="n">
        <f aca="false">1/(1+P_Ke)^((48-1)/12)</f>
        <v>0.553163639535735</v>
      </c>
      <c r="BB160" s="42" t="n">
        <f aca="false">1/(1+P_Ke)^((49-1)/12)</f>
        <v>0.546238649798858</v>
      </c>
      <c r="BC160" s="42" t="n">
        <f aca="false">1/(1+P_Ke)^((50-1)/12)</f>
        <v>0.539400353183922</v>
      </c>
      <c r="BD160" s="42" t="n">
        <f aca="false">1/(1+P_Ke)^((51-1)/12)</f>
        <v>0.532647664390056</v>
      </c>
      <c r="BE160" s="42" t="n">
        <f aca="false">1/(1+P_Ke)^((52-1)/12)</f>
        <v>0.525979511703143</v>
      </c>
      <c r="BF160" s="42" t="n">
        <f aca="false">1/(1+P_Ke)^((53-1)/12)</f>
        <v>0.519394836825725</v>
      </c>
      <c r="BG160" s="42" t="n">
        <f aca="false">1/(1+P_Ke)^((54-1)/12)</f>
        <v>0.512892594709045</v>
      </c>
      <c r="BH160" s="42" t="n">
        <f aca="false">1/(1+P_Ke)^((55-1)/12)</f>
        <v>0.506471753387187</v>
      </c>
      <c r="BI160" s="42" t="n">
        <f aca="false">1/(1+P_Ke)^((56-1)/12)</f>
        <v>0.500131293813293</v>
      </c>
      <c r="BJ160" s="42" t="n">
        <f aca="false">1/(1+P_Ke)^((57-1)/12)</f>
        <v>0.493870209697831</v>
      </c>
      <c r="BK160" s="42" t="n">
        <f aca="false">1/(1+P_Ke)^((58-1)/12)</f>
        <v>0.487687507348888</v>
      </c>
      <c r="BL160" s="42" t="n">
        <f aca="false">1/(1+P_Ke)^((59-1)/12)</f>
        <v>0.481582205514464</v>
      </c>
      <c r="BM160" s="42" t="n">
        <f aca="false">1/(1+P_Ke)^((60-1)/12)</f>
        <v>0.475553335226732</v>
      </c>
      <c r="BN160" s="42" t="n">
        <f aca="false">1/(1+P_Ke)^((61-1)/12)</f>
        <v>0.469599939648261</v>
      </c>
      <c r="BO160" s="42" t="n">
        <f aca="false">1/(1+P_Ke)^((62-1)/12)</f>
        <v>0.463721073920153</v>
      </c>
      <c r="BP160" s="42" t="n">
        <f aca="false">1/(1+P_Ke)^((63-1)/12)</f>
        <v>0.457915805012084</v>
      </c>
      <c r="BQ160" s="42" t="n">
        <f aca="false">1/(1+P_Ke)^((64-1)/12)</f>
        <v>0.452183211574229</v>
      </c>
      <c r="BR160" s="42" t="n">
        <f aca="false">1/(1+P_Ke)^((65-1)/12)</f>
        <v>0.446522383791029</v>
      </c>
      <c r="BS160" s="42" t="n">
        <f aca="false">1/(1+P_Ke)^((66-1)/12)</f>
        <v>0.4409324232368</v>
      </c>
      <c r="BT160" s="42" t="n">
        <f aca="false">1/(1+P_Ke)^((67-1)/12)</f>
        <v>0.435412442733139</v>
      </c>
      <c r="BU160" s="42" t="n">
        <f aca="false">1/(1+P_Ke)^((68-1)/12)</f>
        <v>0.429961566208126</v>
      </c>
      <c r="BV160" s="42" t="n">
        <f aca="false">1/(1+P_Ke)^((69-1)/12)</f>
        <v>0.424578928557282</v>
      </c>
      <c r="BW160" s="42" t="n">
        <f aca="false">1/(1+P_Ke)^((70-1)/12)</f>
        <v>0.419263675506266</v>
      </c>
      <c r="BX160" s="42" t="n">
        <f aca="false">1/(1+P_Ke)^((71-1)/12)</f>
        <v>0.414014963475296</v>
      </c>
      <c r="BY160" s="42" t="n">
        <f aca="false">1/(1+P_Ke)^((72-1)/12)</f>
        <v>0.408831959445265</v>
      </c>
      <c r="BZ160" s="42" t="n">
        <f aca="false">1/(1+P_Ke)^((73-1)/12)</f>
        <v>0.403713840825534</v>
      </c>
      <c r="CA160" s="42" t="n">
        <f aca="false">1/(1+P_Ke)^((74-1)/12)</f>
        <v>0.398659795323378</v>
      </c>
      <c r="CB160" s="42" t="n">
        <f aca="false">1/(1+P_Ke)^((75-1)/12)</f>
        <v>0.393669020815066</v>
      </c>
      <c r="CC160" s="42" t="n">
        <f aca="false">1/(1+P_Ke)^((76-1)/12)</f>
        <v>0.38874072521856</v>
      </c>
      <c r="CD160" s="42" t="n">
        <f aca="false">1/(1+P_Ke)^((77-1)/12)</f>
        <v>0.383874126367804</v>
      </c>
      <c r="CE160" s="42" t="n">
        <f aca="false">1/(1+P_Ke)^((78-1)/12)</f>
        <v>0.379068451888583</v>
      </c>
      <c r="CF160" s="42" t="n">
        <f aca="false">1/(1+P_Ke)^((79-1)/12)</f>
        <v>0.374322939075945</v>
      </c>
      <c r="CG160" s="42" t="n">
        <f aca="false">1/(1+P_Ke)^((80-1)/12)</f>
        <v>0.369636834773149</v>
      </c>
      <c r="CH160" s="42" t="n">
        <f aca="false">1/(1+P_Ke)^((81-1)/12)</f>
        <v>0.365009395252134</v>
      </c>
      <c r="CI160" s="42" t="n">
        <f aca="false">1/(1+P_Ke)^((82-1)/12)</f>
        <v>0.360439886095483</v>
      </c>
      <c r="CJ160" s="42" t="n">
        <f aca="false">1/(1+P_Ke)^((83-1)/12)</f>
        <v>0.355927582079862</v>
      </c>
      <c r="CK160" s="42" t="n">
        <f aca="false">1/(1+P_Ke)^((84-1)/12)</f>
        <v>0.351471767060923</v>
      </c>
      <c r="CL160" s="42" t="n">
        <f aca="false">1/(1+P_Ke)^((85-1)/12)</f>
        <v>0.347071733859641</v>
      </c>
      <c r="CM160" s="42" t="n">
        <f aca="false">1/(1+P_Ke)^((86-1)/12)</f>
        <v>0.342726784150084</v>
      </c>
      <c r="CN160" s="42" t="n">
        <f aca="false">1/(1+P_Ke)^((87-1)/12)</f>
        <v>0.338436228348578</v>
      </c>
      <c r="CO160" s="42" t="n">
        <f aca="false">1/(1+P_Ke)^((88-1)/12)</f>
        <v>0.334199385504264</v>
      </c>
      <c r="CP160" s="42" t="n">
        <f aca="false">1/(1+P_Ke)^((89-1)/12)</f>
        <v>0.330015583191028</v>
      </c>
      <c r="CQ160" s="42" t="n">
        <f aca="false">1/(1+P_Ke)^((90-1)/12)</f>
        <v>0.325884157400776</v>
      </c>
      <c r="CR160" s="42" t="n">
        <f aca="false">1/(1+P_Ke)^((91-1)/12)</f>
        <v>0.321804452438054</v>
      </c>
      <c r="CS160" s="42" t="n">
        <f aca="false">1/(1+P_Ke)^((92-1)/12)</f>
        <v>0.31777582081598</v>
      </c>
      <c r="CT160" s="42" t="n">
        <f aca="false">1/(1+P_Ke)^((93-1)/12)</f>
        <v>0.313797623153485</v>
      </c>
      <c r="CU160" s="42" t="n">
        <f aca="false">1/(1+P_Ke)^((94-1)/12)</f>
        <v>0.309869228073833</v>
      </c>
      <c r="CV160" s="42" t="n">
        <f aca="false">1/(1+P_Ke)^((95-1)/12)</f>
        <v>0.305990012104421</v>
      </c>
      <c r="CW160" s="42" t="n">
        <f aca="false">1/(1+P_Ke)^((96-1)/12)</f>
        <v>0.302159359577822</v>
      </c>
      <c r="CX160" s="42" t="n">
        <f aca="false">1/(1+P_Ke)^((97-1)/12)</f>
        <v>0.298376662534079</v>
      </c>
      <c r="CY160" s="42" t="n">
        <f aca="false">1/(1+P_Ke)^((98-1)/12)</f>
        <v>0.294641320624212</v>
      </c>
      <c r="CZ160" s="42" t="n">
        <f aca="false">1/(1+P_Ke)^((99-1)/12)</f>
        <v>0.29095274101494</v>
      </c>
      <c r="DA160" s="42" t="n">
        <f aca="false">1/(1+P_Ke)^((100-1)/12)</f>
        <v>0.287310338294587</v>
      </c>
      <c r="DB160" s="42" t="n">
        <f aca="false">1/(1+P_Ke)^((101-1)/12)</f>
        <v>0.283713534380182</v>
      </c>
      <c r="DC160" s="42" t="n">
        <f aca="false">1/(1+P_Ke)^((102-1)/12)</f>
        <v>0.280161758425702</v>
      </c>
      <c r="DD160" s="42" t="n">
        <f aca="false">1/(1+P_Ke)^((103-1)/12)</f>
        <v>0.276654446731477</v>
      </c>
      <c r="DE160" s="42" t="n">
        <f aca="false">1/(1+P_Ke)^((104-1)/12)</f>
        <v>0.273191042654729</v>
      </c>
      <c r="DF160" s="42" t="n">
        <f aca="false">1/(1+P_Ke)^((105-1)/12)</f>
        <v>0.269770996521222</v>
      </c>
      <c r="DG160" s="42" t="n">
        <f aca="false">1/(1+P_Ke)^((106-1)/12)</f>
        <v>0.266393765538027</v>
      </c>
      <c r="DH160" s="42" t="n">
        <f aca="false">1/(1+P_Ke)^((107-1)/12)</f>
        <v>0.263058813707377</v>
      </c>
      <c r="DI160" s="42" t="n">
        <f aca="false">1/(1+P_Ke)^((108-1)/12)</f>
        <v>0.259765611741594</v>
      </c>
      <c r="DJ160" s="42" t="n">
        <f aca="false">1/(1+P_Ke)^((109-1)/12)</f>
        <v>0.256513636979091</v>
      </c>
      <c r="DK160" s="42" t="n">
        <f aca="false">1/(1+P_Ke)^((110-1)/12)</f>
        <v>0.253302373301421</v>
      </c>
      <c r="DL160" s="42" t="n">
        <f aca="false">1/(1+P_Ke)^((111-1)/12)</f>
        <v>0.250131311051358</v>
      </c>
      <c r="DM160" s="42" t="n">
        <f aca="false">1/(1+P_Ke)^((112-1)/12)</f>
        <v>0.246999946952018</v>
      </c>
      <c r="DN160" s="42" t="n">
        <f aca="false">1/(1+P_Ke)^((113-1)/12)</f>
        <v>0.243907784026979</v>
      </c>
      <c r="DO160" s="42" t="n">
        <f aca="false">1/(1+P_Ke)^((114-1)/12)</f>
        <v>0.240854331521408</v>
      </c>
      <c r="DP160" s="42" t="n">
        <f aca="false">1/(1+P_Ke)^((115-1)/12)</f>
        <v>0.237839104824172</v>
      </c>
      <c r="DQ160" s="42" t="n">
        <f aca="false">1/(1+P_Ke)^((116-1)/12)</f>
        <v>0.234861625390929</v>
      </c>
      <c r="DR160" s="42" t="n">
        <f aca="false">1/(1+P_Ke)^((117-1)/12)</f>
        <v>0.231921420668176</v>
      </c>
      <c r="DS160" s="42" t="n">
        <f aca="false">1/(1+P_Ke)^((118-1)/12)</f>
        <v>0.229018024018249</v>
      </c>
      <c r="DT160" s="42" t="n">
        <f aca="false">1/(1+P_Ke)^((119-1)/12)</f>
        <v>0.226150974645269</v>
      </c>
      <c r="DU160" s="42" t="n">
        <f aca="false">1/(1+P_Ke)^((120-1)/12)</f>
        <v>0.223319817522003</v>
      </c>
      <c r="DV160" s="42" t="n">
        <f aca="false">1/(1+P_Ke)^((121-1)/12)</f>
        <v>0.220524103317651</v>
      </c>
      <c r="DW160" s="42" t="n">
        <f aca="false">1/(1+P_Ke)^((122-1)/12)</f>
        <v>0.217763388326531</v>
      </c>
      <c r="DX160" s="42" t="n">
        <f aca="false">1/(1+P_Ke)^((123-1)/12)</f>
        <v>0.21503723439766</v>
      </c>
      <c r="DY160" s="42" t="n">
        <f aca="false">1/(1+P_Ke)^((124-1)/12)</f>
        <v>0.212345208865215</v>
      </c>
      <c r="DZ160" s="42" t="n">
        <f aca="false">1/(1+P_Ke)^((125-1)/12)</f>
        <v>0.209686884479865</v>
      </c>
      <c r="EA160" s="42" t="n">
        <f aca="false">1/(1+P_Ke)^((126-1)/12)</f>
        <v>0.207061839340963</v>
      </c>
      <c r="EB160" s="42" t="n">
        <f aca="false">1/(1+P_Ke)^((127-1)/12)</f>
        <v>0.204469656829584</v>
      </c>
      <c r="EC160" s="42" t="n">
        <f aca="false">1/(1+P_Ke)^((128-1)/12)</f>
        <v>0.201909925542408</v>
      </c>
      <c r="ED160" s="42" t="n">
        <f aca="false">1/(1+P_Ke)^((129-1)/12)</f>
        <v>0.199382239226423</v>
      </c>
      <c r="EE160" s="42" t="n">
        <f aca="false">1/(1+P_Ke)^((130-1)/12)</f>
        <v>0.196886196714451</v>
      </c>
      <c r="EF160" s="42" t="n">
        <f aca="false">1/(1+P_Ke)^((131-1)/12)</f>
        <v>0.194421401861476</v>
      </c>
      <c r="EG160" s="42" t="n">
        <f aca="false">1/(1+P_Ke)^((132-1)/12)</f>
        <v>0.191987463481777</v>
      </c>
      <c r="EH160" s="42" t="n">
        <f aca="false">1/(1+P_Ke)^((133-1)/12)</f>
        <v>0.189583995286839</v>
      </c>
      <c r="EI160" s="42" t="n">
        <f aca="false">1/(1+P_Ke)^((134-1)/12)</f>
        <v>0.187210615824046</v>
      </c>
      <c r="EJ160" s="42" t="n">
        <f aca="false">1/(1+P_Ke)^((135-1)/12)</f>
        <v>0.184866948416145</v>
      </c>
      <c r="EK160" s="42" t="n">
        <f aca="false">1/(1+P_Ke)^((136-1)/12)</f>
        <v>0.182552621101457</v>
      </c>
      <c r="EL160" s="42" t="n">
        <f aca="false">1/(1+P_Ke)^((137-1)/12)</f>
        <v>0.18026726657485</v>
      </c>
      <c r="EM160" s="42" t="n">
        <f aca="false">1/(1+P_Ke)^((138-1)/12)</f>
        <v>0.178010522129438</v>
      </c>
      <c r="EN160" s="42" t="n">
        <f aca="false">1/(1+P_Ke)^((139-1)/12)</f>
        <v>0.175782029599023</v>
      </c>
      <c r="EO160" s="42" t="n">
        <f aca="false">1/(1+P_Ke)^((140-1)/12)</f>
        <v>0.173581435301245</v>
      </c>
      <c r="EP160" s="42" t="n">
        <f aca="false">1/(1+P_Ke)^((141-1)/12)</f>
        <v>0.171408389981451</v>
      </c>
      <c r="EQ160" s="42" t="n">
        <f aca="false">1/(1+P_Ke)^((142-1)/12)</f>
        <v>0.169262548757265</v>
      </c>
      <c r="ER160" s="42" t="n">
        <f aca="false">1/(1+P_Ke)^((143-1)/12)</f>
        <v>0.167143571063855</v>
      </c>
      <c r="ES160" s="42" t="n">
        <f aca="false">1/(1+P_Ke)^((144-1)/12)</f>
        <v>0.165051120599877</v>
      </c>
    </row>
    <row r="161" customFormat="false" ht="15" hidden="false" customHeight="false" outlineLevel="0" collapsed="false">
      <c r="A161" s="11" t="s">
        <v>1283</v>
      </c>
      <c r="B161" s="15" t="s">
        <v>1284</v>
      </c>
      <c r="C161" s="15" t="s">
        <v>508</v>
      </c>
      <c r="E161" s="54" t="n">
        <f aca="false">SUM(F161:ES161)</f>
        <v>14751245.7980366</v>
      </c>
      <c r="F161" s="48" t="n">
        <f aca="false">-F$138-(F$157-0)+F$153+IF(1=Fin,F$154+F$157+F$119-F$148,0)</f>
        <v>-767782</v>
      </c>
      <c r="G161" s="48" t="n">
        <f aca="false">-G$138-(G$157-F$157)+G$153+IF(2=Fin,G$154+G$157+G$119-G$148,0)</f>
        <v>0</v>
      </c>
      <c r="H161" s="48" t="n">
        <f aca="false">-H$138-(H$157-G$157)+H$153+IF(3=Fin,H$154+H$157+H$119-H$148,0)</f>
        <v>0</v>
      </c>
      <c r="I161" s="48" t="n">
        <f aca="false">-I$138-(I$157-H$157)+I$153+IF(4=Fin,I$154+I$157+I$119-I$148,0)</f>
        <v>0</v>
      </c>
      <c r="J161" s="48" t="n">
        <f aca="false">-J$138-(J$157-I$157)+J$153+IF(5=Fin,J$154+J$157+J$119-J$148,0)</f>
        <v>0</v>
      </c>
      <c r="K161" s="48" t="n">
        <f aca="false">-K$138-(K$157-J$157)+K$153+IF(6=Fin,K$154+K$157+K$119-K$148,0)</f>
        <v>0</v>
      </c>
      <c r="L161" s="48" t="n">
        <f aca="false">-L$138-(L$157-K$157)+L$153+IF(7=Fin,L$154+L$157+L$119-L$148,0)</f>
        <v>0</v>
      </c>
      <c r="M161" s="48" t="n">
        <f aca="false">-M$138-(M$157-L$157)+M$153+IF(8=Fin,M$154+M$157+M$119-M$148,0)</f>
        <v>0</v>
      </c>
      <c r="N161" s="48" t="n">
        <f aca="false">-N$138-(N$157-M$157)+N$153+IF(9=Fin,N$154+N$157+N$119-N$148,0)</f>
        <v>0</v>
      </c>
      <c r="O161" s="48" t="n">
        <f aca="false">-O$138-(O$157-N$157)+O$153+IF(10=Fin,O$154+O$157+O$119-O$148,0)</f>
        <v>0</v>
      </c>
      <c r="P161" s="48" t="n">
        <f aca="false">-P$138-(P$157-O$157)+P$153+IF(11=Fin,P$154+P$157+P$119-P$148,0)</f>
        <v>0</v>
      </c>
      <c r="Q161" s="48" t="n">
        <f aca="false">-Q$138-(Q$157-P$157)+Q$153+IF(12=Fin,Q$154+Q$157+Q$119-Q$148,0)</f>
        <v>0</v>
      </c>
      <c r="R161" s="48" t="n">
        <f aca="false">-R$138-(R$157-Q$157)+R$153+IF(13=Fin,R$154+R$157+R$119-R$148,0)</f>
        <v>-371928</v>
      </c>
      <c r="S161" s="48" t="n">
        <f aca="false">-S$138-(S$157-R$157)+S$153+IF(14=Fin,S$154+S$157+S$119-S$148,0)</f>
        <v>0</v>
      </c>
      <c r="T161" s="48" t="n">
        <f aca="false">-T$138-(T$157-S$157)+T$153+IF(15=Fin,T$154+T$157+T$119-T$148,0)</f>
        <v>0</v>
      </c>
      <c r="U161" s="48" t="n">
        <f aca="false">-U$138-(U$157-T$157)+U$153+IF(16=Fin,U$154+U$157+U$119-U$148,0)</f>
        <v>0</v>
      </c>
      <c r="V161" s="48" t="n">
        <f aca="false">-V$138-(V$157-U$157)+V$153+IF(17=Fin,V$154+V$157+V$119-V$148,0)</f>
        <v>0</v>
      </c>
      <c r="W161" s="48" t="n">
        <f aca="false">-W$138-(W$157-V$157)+W$153+IF(18=Fin,W$154+W$157+W$119-W$148,0)</f>
        <v>0</v>
      </c>
      <c r="X161" s="48" t="n">
        <f aca="false">-X$138-(X$157-W$157)+X$153+IF(19=Fin,X$154+X$157+X$119-X$148,0)</f>
        <v>0</v>
      </c>
      <c r="Y161" s="48" t="n">
        <f aca="false">-Y$138-(Y$157-X$157)+Y$153+IF(20=Fin,Y$154+Y$157+Y$119-Y$148,0)</f>
        <v>0</v>
      </c>
      <c r="Z161" s="48" t="n">
        <f aca="false">-Z$138-(Z$157-Y$157)+Z$153+IF(21=Fin,Z$154+Z$157+Z$119-Z$148,0)</f>
        <v>0</v>
      </c>
      <c r="AA161" s="48" t="n">
        <f aca="false">-AA$138-(AA$157-Z$157)+AA$153+IF(22=Fin,AA$154+AA$157+AA$119-AA$148,0)</f>
        <v>0</v>
      </c>
      <c r="AB161" s="48" t="n">
        <f aca="false">-AB$138-(AB$157-AA$157)+AB$153+IF(23=Fin,AB$154+AB$157+AB$119-AB$148,0)</f>
        <v>0</v>
      </c>
      <c r="AC161" s="48" t="n">
        <f aca="false">-AC$138-(AC$157-AB$157)+AC$153+IF(24=Fin,AC$154+AC$157+AC$119-AC$148,0)</f>
        <v>0</v>
      </c>
      <c r="AD161" s="48" t="n">
        <f aca="false">-AD$138-(AD$157-AC$157)+AD$153+IF(25=Fin,AD$154+AD$157+AD$119-AD$148,0)</f>
        <v>-311740.118672618</v>
      </c>
      <c r="AE161" s="48" t="n">
        <f aca="false">-AE$138-(AE$157-AD$157)+AE$153+IF(26=Fin,AE$154+AE$157+AE$119-AE$148,0)</f>
        <v>52573.6832870145</v>
      </c>
      <c r="AF161" s="48" t="n">
        <f aca="false">-AF$138-(AF$157-AE$157)+AF$153+IF(27=Fin,AF$154+AF$157+AF$119-AF$148,0)</f>
        <v>52610.0948845848</v>
      </c>
      <c r="AG161" s="48" t="n">
        <f aca="false">-AG$138-(AG$157-AF$157)+AG$153+IF(28=Fin,AG$154+AG$157+AG$119-AG$148,0)</f>
        <v>52646.7795691369</v>
      </c>
      <c r="AH161" s="48" t="n">
        <f aca="false">-AH$138-(AH$157-AG$157)+AH$153+IF(29=Fin,AH$154+AH$157+AH$119-AH$148,0)</f>
        <v>52683.7393888232</v>
      </c>
      <c r="AI161" s="48" t="n">
        <f aca="false">-AI$138-(AI$157-AH$157)+AI$153+IF(30=Fin,AI$154+AI$157+AI$119-AI$148,0)</f>
        <v>52720.9764071571</v>
      </c>
      <c r="AJ161" s="48" t="n">
        <f aca="false">-AJ$138-(AJ$157-AI$157)+AJ$153+IF(31=Fin,AJ$154+AJ$157+AJ$119-AJ$148,0)</f>
        <v>48504.8451359012</v>
      </c>
      <c r="AK161" s="48" t="n">
        <f aca="false">-AK$138-(AK$157-AJ$157)+AK$153+IF(32=Fin,AK$154+AK$157+AK$119-AK$148,0)</f>
        <v>0</v>
      </c>
      <c r="AL161" s="48" t="n">
        <f aca="false">-AL$138-(AL$157-AK$157)+AL$153+IF(33=Fin,AL$154+AL$157+AL$119-AL$148,0)</f>
        <v>0</v>
      </c>
      <c r="AM161" s="48" t="n">
        <f aca="false">-AM$138-(AM$157-AL$157)+AM$153+IF(34=Fin,AM$154+AM$157+AM$119-AM$148,0)</f>
        <v>0</v>
      </c>
      <c r="AN161" s="48" t="n">
        <f aca="false">-AN$138-(AN$157-AM$157)+AN$153+IF(35=Fin,AN$154+AN$157+AN$119-AN$148,0)</f>
        <v>0</v>
      </c>
      <c r="AO161" s="48" t="n">
        <f aca="false">-AO$138-(AO$157-AN$157)+AO$153+IF(36=Fin,AO$154+AO$157+AO$119-AO$148,0)</f>
        <v>0</v>
      </c>
      <c r="AP161" s="48" t="n">
        <f aca="false">-AP$138-(AP$157-AO$157)+AP$153+IF(37=Fin,AP$154+AP$157+AP$119-AP$148,0)</f>
        <v>-204392.169462804</v>
      </c>
      <c r="AQ161" s="48" t="n">
        <f aca="false">-AQ$138-(AQ$157-AP$157)+AQ$153+IF(38=Fin,AQ$154+AQ$157+AQ$119-AQ$148,0)</f>
        <v>85837.6535027239</v>
      </c>
      <c r="AR161" s="48" t="n">
        <f aca="false">-AR$138-(AR$157-AQ$157)+AR$153+IF(39=Fin,AR$154+AR$157+AR$119-AR$148,0)</f>
        <v>85877.4807593016</v>
      </c>
      <c r="AS161" s="48" t="n">
        <f aca="false">-AS$138-(AS$157-AR$157)+AS$153+IF(40=Fin,AS$154+AS$157+AS$119-AS$148,0)</f>
        <v>32677.0352007788</v>
      </c>
      <c r="AT161" s="48" t="n">
        <f aca="false">-AT$138-(AT$157-AS$157)+AT$153+IF(41=Fin,AT$154+AT$157+AT$119-AT$148,0)</f>
        <v>0</v>
      </c>
      <c r="AU161" s="48" t="n">
        <f aca="false">-AU$138-(AU$157-AT$157)+AU$153+IF(42=Fin,AU$154+AU$157+AU$119-AU$148,0)</f>
        <v>0</v>
      </c>
      <c r="AV161" s="48" t="n">
        <f aca="false">-AV$138-(AV$157-AU$157)+AV$153+IF(43=Fin,AV$154+AV$157+AV$119-AV$148,0)</f>
        <v>0</v>
      </c>
      <c r="AW161" s="48" t="n">
        <f aca="false">-AW$138-(AW$157-AV$157)+AW$153+IF(44=Fin,AW$154+AW$157+AW$119-AW$148,0)</f>
        <v>0</v>
      </c>
      <c r="AX161" s="48" t="n">
        <f aca="false">-AX$138-(AX$157-AW$157)+AX$153+IF(45=Fin,AX$154+AX$157+AX$119-AX$148,0)</f>
        <v>0</v>
      </c>
      <c r="AY161" s="48" t="n">
        <f aca="false">-AY$138-(AY$157-AX$157)+AY$153+IF(46=Fin,AY$154+AY$157+AY$119-AY$148,0)</f>
        <v>0</v>
      </c>
      <c r="AZ161" s="48" t="n">
        <f aca="false">-AZ$138-(AZ$157-AY$157)+AZ$153+IF(47=Fin,AZ$154+AZ$157+AZ$119-AZ$148,0)</f>
        <v>0</v>
      </c>
      <c r="BA161" s="48" t="n">
        <f aca="false">-BA$138-(BA$157-AZ$157)+BA$153+IF(48=Fin,BA$154+BA$157+BA$119-BA$148,0)</f>
        <v>0</v>
      </c>
      <c r="BB161" s="48" t="n">
        <f aca="false">-BB$138-(BB$157-BA$157)+BB$153+IF(49=Fin,BB$154+BB$157+BB$119-BB$148,0)</f>
        <v>0</v>
      </c>
      <c r="BC161" s="48" t="n">
        <f aca="false">-BC$138-(BC$157-BB$157)+BC$153+IF(50=Fin,BC$154+BC$157+BC$119-BC$148,0)</f>
        <v>0</v>
      </c>
      <c r="BD161" s="48" t="n">
        <f aca="false">-BD$138-(BD$157-BC$157)+BD$153+IF(51=Fin,BD$154+BD$157+BD$119-BD$148,0)</f>
        <v>0</v>
      </c>
      <c r="BE161" s="48" t="n">
        <f aca="false">-BE$138-(BE$157-BD$157)+BE$153+IF(52=Fin,BE$154+BE$157+BE$119-BE$148,0)</f>
        <v>804953.378380922</v>
      </c>
      <c r="BF161" s="48" t="n">
        <f aca="false">-BF$138-(BF$157-BE$157)+BF$153+IF(53=Fin,BF$154+BF$157+BF$119-BF$148,0)</f>
        <v>0</v>
      </c>
      <c r="BG161" s="48" t="n">
        <f aca="false">-BG$138-(BG$157-BF$157)+BG$153+IF(54=Fin,BG$154+BG$157+BG$119-BG$148,0)</f>
        <v>0</v>
      </c>
      <c r="BH161" s="48" t="n">
        <f aca="false">-BH$138-(BH$157-BG$157)+BH$153+IF(55=Fin,BH$154+BH$157+BH$119-BH$148,0)</f>
        <v>0</v>
      </c>
      <c r="BI161" s="48" t="n">
        <f aca="false">-BI$138-(BI$157-BH$157)+BI$153+IF(56=Fin,BI$154+BI$157+BI$119-BI$148,0)</f>
        <v>0</v>
      </c>
      <c r="BJ161" s="48" t="n">
        <f aca="false">-BJ$138-(BJ$157-BI$157)+BJ$153+IF(57=Fin,BJ$154+BJ$157+BJ$119-BJ$148,0)</f>
        <v>0</v>
      </c>
      <c r="BK161" s="48" t="n">
        <f aca="false">-BK$138-(BK$157-BJ$157)+BK$153+IF(58=Fin,BK$154+BK$157+BK$119-BK$148,0)</f>
        <v>0</v>
      </c>
      <c r="BL161" s="48" t="n">
        <f aca="false">-BL$138-(BL$157-BK$157)+BL$153+IF(59=Fin,BL$154+BL$157+BL$119-BL$148,0)</f>
        <v>0</v>
      </c>
      <c r="BM161" s="48" t="n">
        <f aca="false">-BM$138-(BM$157-BL$157)+BM$153+IF(60=Fin,BM$154+BM$157+BM$119-BM$148,0)</f>
        <v>0</v>
      </c>
      <c r="BN161" s="48" t="n">
        <f aca="false">-BN$138-(BN$157-BM$157)+BN$153+IF(61=Fin,BN$154+BN$157+BN$119-BN$148,0)</f>
        <v>0</v>
      </c>
      <c r="BO161" s="48" t="n">
        <f aca="false">-BO$138-(BO$157-BN$157)+BO$153+IF(62=Fin,BO$154+BO$157+BO$119-BO$148,0)</f>
        <v>0</v>
      </c>
      <c r="BP161" s="48" t="n">
        <f aca="false">-BP$138-(BP$157-BO$157)+BP$153+IF(63=Fin,BP$154+BP$157+BP$119-BP$148,0)</f>
        <v>0</v>
      </c>
      <c r="BQ161" s="48" t="n">
        <f aca="false">-BQ$138-(BQ$157-BP$157)+BQ$153+IF(64=Fin,BQ$154+BQ$157+BQ$119-BQ$148,0)</f>
        <v>1463926.54436822</v>
      </c>
      <c r="BR161" s="48" t="n">
        <f aca="false">-BR$138-(BR$157-BQ$157)+BR$153+IF(65=Fin,BR$154+BR$157+BR$119-BR$148,0)</f>
        <v>0</v>
      </c>
      <c r="BS161" s="48" t="n">
        <f aca="false">-BS$138-(BS$157-BR$157)+BS$153+IF(66=Fin,BS$154+BS$157+BS$119-BS$148,0)</f>
        <v>0</v>
      </c>
      <c r="BT161" s="48" t="n">
        <f aca="false">-BT$138-(BT$157-BS$157)+BT$153+IF(67=Fin,BT$154+BT$157+BT$119-BT$148,0)</f>
        <v>0</v>
      </c>
      <c r="BU161" s="48" t="n">
        <f aca="false">-BU$138-(BU$157-BT$157)+BU$153+IF(68=Fin,BU$154+BU$157+BU$119-BU$148,0)</f>
        <v>0</v>
      </c>
      <c r="BV161" s="48" t="n">
        <f aca="false">-BV$138-(BV$157-BU$157)+BV$153+IF(69=Fin,BV$154+BV$157+BV$119-BV$148,0)</f>
        <v>0</v>
      </c>
      <c r="BW161" s="48" t="n">
        <f aca="false">-BW$138-(BW$157-BV$157)+BW$153+IF(70=Fin,BW$154+BW$157+BW$119-BW$148,0)</f>
        <v>0</v>
      </c>
      <c r="BX161" s="48" t="n">
        <f aca="false">-BX$138-(BX$157-BW$157)+BX$153+IF(71=Fin,BX$154+BX$157+BX$119-BX$148,0)</f>
        <v>0</v>
      </c>
      <c r="BY161" s="48" t="n">
        <f aca="false">-BY$138-(BY$157-BX$157)+BY$153+IF(72=Fin,BY$154+BY$157+BY$119-BY$148,0)</f>
        <v>0</v>
      </c>
      <c r="BZ161" s="48" t="n">
        <f aca="false">-BZ$138-(BZ$157-BY$157)+BZ$153+IF(73=Fin,BZ$154+BZ$157+BZ$119-BZ$148,0)</f>
        <v>0</v>
      </c>
      <c r="CA161" s="48" t="n">
        <f aca="false">-CA$138-(CA$157-BZ$157)+CA$153+IF(74=Fin,CA$154+CA$157+CA$119-CA$148,0)</f>
        <v>0</v>
      </c>
      <c r="CB161" s="48" t="n">
        <f aca="false">-CB$138-(CB$157-CA$157)+CB$153+IF(75=Fin,CB$154+CB$157+CB$119-CB$148,0)</f>
        <v>0</v>
      </c>
      <c r="CC161" s="48" t="n">
        <f aca="false">-CC$138-(CC$157-CB$157)+CC$153+IF(76=Fin,CC$154+CC$157+CC$119-CC$148,0)</f>
        <v>1794188.69257391</v>
      </c>
      <c r="CD161" s="48" t="n">
        <f aca="false">-CD$138-(CD$157-CC$157)+CD$153+IF(77=Fin,CD$154+CD$157+CD$119-CD$148,0)</f>
        <v>0</v>
      </c>
      <c r="CE161" s="48" t="n">
        <f aca="false">-CE$138-(CE$157-CD$157)+CE$153+IF(78=Fin,CE$154+CE$157+CE$119-CE$148,0)</f>
        <v>0</v>
      </c>
      <c r="CF161" s="48" t="n">
        <f aca="false">-CF$138-(CF$157-CE$157)+CF$153+IF(79=Fin,CF$154+CF$157+CF$119-CF$148,0)</f>
        <v>0</v>
      </c>
      <c r="CG161" s="48" t="n">
        <f aca="false">-CG$138-(CG$157-CF$157)+CG$153+IF(80=Fin,CG$154+CG$157+CG$119-CG$148,0)</f>
        <v>0</v>
      </c>
      <c r="CH161" s="48" t="n">
        <f aca="false">-CH$138-(CH$157-CG$157)+CH$153+IF(81=Fin,CH$154+CH$157+CH$119-CH$148,0)</f>
        <v>0</v>
      </c>
      <c r="CI161" s="48" t="n">
        <f aca="false">-CI$138-(CI$157-CH$157)+CI$153+IF(82=Fin,CI$154+CI$157+CI$119-CI$148,0)</f>
        <v>0</v>
      </c>
      <c r="CJ161" s="48" t="n">
        <f aca="false">-CJ$138-(CJ$157-CI$157)+CJ$153+IF(83=Fin,CJ$154+CJ$157+CJ$119-CJ$148,0)</f>
        <v>0</v>
      </c>
      <c r="CK161" s="48" t="n">
        <f aca="false">-CK$138-(CK$157-CJ$157)+CK$153+IF(84=Fin,CK$154+CK$157+CK$119-CK$148,0)</f>
        <v>0</v>
      </c>
      <c r="CL161" s="48" t="n">
        <f aca="false">-CL$138-(CL$157-CK$157)+CL$153+IF(85=Fin,CL$154+CL$157+CL$119-CL$148,0)</f>
        <v>0</v>
      </c>
      <c r="CM161" s="48" t="n">
        <f aca="false">-CM$138-(CM$157-CL$157)+CM$153+IF(86=Fin,CM$154+CM$157+CM$119-CM$148,0)</f>
        <v>0</v>
      </c>
      <c r="CN161" s="48" t="n">
        <f aca="false">-CN$138-(CN$157-CM$157)+CN$153+IF(87=Fin,CN$154+CN$157+CN$119-CN$148,0)</f>
        <v>0</v>
      </c>
      <c r="CO161" s="48" t="n">
        <f aca="false">-CO$138-(CO$157-CN$157)+CO$153+IF(88=Fin,CO$154+CO$157+CO$119-CO$148,0)</f>
        <v>1843575.6608728</v>
      </c>
      <c r="CP161" s="48" t="n">
        <f aca="false">-CP$138-(CP$157-CO$157)+CP$153+IF(89=Fin,CP$154+CP$157+CP$119-CP$148,0)</f>
        <v>0</v>
      </c>
      <c r="CQ161" s="48" t="n">
        <f aca="false">-CQ$138-(CQ$157-CP$157)+CQ$153+IF(90=Fin,CQ$154+CQ$157+CQ$119-CQ$148,0)</f>
        <v>0</v>
      </c>
      <c r="CR161" s="48" t="n">
        <f aca="false">-CR$138-(CR$157-CQ$157)+CR$153+IF(91=Fin,CR$154+CR$157+CR$119-CR$148,0)</f>
        <v>0</v>
      </c>
      <c r="CS161" s="48" t="n">
        <f aca="false">-CS$138-(CS$157-CR$157)+CS$153+IF(92=Fin,CS$154+CS$157+CS$119-CS$148,0)</f>
        <v>0</v>
      </c>
      <c r="CT161" s="48" t="n">
        <f aca="false">-CT$138-(CT$157-CS$157)+CT$153+IF(93=Fin,CT$154+CT$157+CT$119-CT$148,0)</f>
        <v>0</v>
      </c>
      <c r="CU161" s="48" t="n">
        <f aca="false">-CU$138-(CU$157-CT$157)+CU$153+IF(94=Fin,CU$154+CU$157+CU$119-CU$148,0)</f>
        <v>0</v>
      </c>
      <c r="CV161" s="48" t="n">
        <f aca="false">-CV$138-(CV$157-CU$157)+CV$153+IF(95=Fin,CV$154+CV$157+CV$119-CV$148,0)</f>
        <v>0</v>
      </c>
      <c r="CW161" s="48" t="n">
        <f aca="false">-CW$138-(CW$157-CV$157)+CW$153+IF(96=Fin,CW$154+CW$157+CW$119-CW$148,0)</f>
        <v>0</v>
      </c>
      <c r="CX161" s="48" t="n">
        <f aca="false">-CX$138-(CX$157-CW$157)+CX$153+IF(97=Fin,CX$154+CX$157+CX$119-CX$148,0)</f>
        <v>0</v>
      </c>
      <c r="CY161" s="48" t="n">
        <f aca="false">-CY$138-(CY$157-CX$157)+CY$153+IF(98=Fin,CY$154+CY$157+CY$119-CY$148,0)</f>
        <v>0</v>
      </c>
      <c r="CZ161" s="48" t="n">
        <f aca="false">-CZ$138-(CZ$157-CY$157)+CZ$153+IF(99=Fin,CZ$154+CZ$157+CZ$119-CZ$148,0)</f>
        <v>0</v>
      </c>
      <c r="DA161" s="48" t="n">
        <f aca="false">-DA$138-(DA$157-CZ$157)+DA$153+IF(100=Fin,DA$154+DA$157+DA$119-DA$148,0)</f>
        <v>1893301.21355545</v>
      </c>
      <c r="DB161" s="48" t="n">
        <f aca="false">-DB$138-(DB$157-DA$157)+DB$153+IF(101=Fin,DB$154+DB$157+DB$119-DB$148,0)</f>
        <v>0</v>
      </c>
      <c r="DC161" s="48" t="n">
        <f aca="false">-DC$138-(DC$157-DB$157)+DC$153+IF(102=Fin,DC$154+DC$157+DC$119-DC$148,0)</f>
        <v>0</v>
      </c>
      <c r="DD161" s="48" t="n">
        <f aca="false">-DD$138-(DD$157-DC$157)+DD$153+IF(103=Fin,DD$154+DD$157+DD$119-DD$148,0)</f>
        <v>0</v>
      </c>
      <c r="DE161" s="48" t="n">
        <f aca="false">-DE$138-(DE$157-DD$157)+DE$153+IF(104=Fin,DE$154+DE$157+DE$119-DE$148,0)</f>
        <v>0</v>
      </c>
      <c r="DF161" s="48" t="n">
        <f aca="false">-DF$138-(DF$157-DE$157)+DF$153+IF(105=Fin,DF$154+DF$157+DF$119-DF$148,0)</f>
        <v>0</v>
      </c>
      <c r="DG161" s="48" t="n">
        <f aca="false">-DG$138-(DG$157-DF$157)+DG$153+IF(106=Fin,DG$154+DG$157+DG$119-DG$148,0)</f>
        <v>0</v>
      </c>
      <c r="DH161" s="48" t="n">
        <f aca="false">-DH$138-(DH$157-DG$157)+DH$153+IF(107=Fin,DH$154+DH$157+DH$119-DH$148,0)</f>
        <v>0</v>
      </c>
      <c r="DI161" s="48" t="n">
        <f aca="false">-DI$138-(DI$157-DH$157)+DI$153+IF(108=Fin,DI$154+DI$157+DI$119-DI$148,0)</f>
        <v>0</v>
      </c>
      <c r="DJ161" s="48" t="n">
        <f aca="false">-DJ$138-(DJ$157-DI$157)+DJ$153+IF(109=Fin,DJ$154+DJ$157+DJ$119-DJ$148,0)</f>
        <v>0</v>
      </c>
      <c r="DK161" s="48" t="n">
        <f aca="false">-DK$138-(DK$157-DJ$157)+DK$153+IF(110=Fin,DK$154+DK$157+DK$119-DK$148,0)</f>
        <v>0</v>
      </c>
      <c r="DL161" s="48" t="n">
        <f aca="false">-DL$138-(DL$157-DK$157)+DL$153+IF(111=Fin,DL$154+DL$157+DL$119-DL$148,0)</f>
        <v>0</v>
      </c>
      <c r="DM161" s="48" t="n">
        <f aca="false">-DM$138-(DM$157-DL$157)+DM$153+IF(112=Fin,DM$154+DM$157+DM$119-DM$148,0)</f>
        <v>1943364.14678689</v>
      </c>
      <c r="DN161" s="48" t="n">
        <f aca="false">-DN$138-(DN$157-DM$157)+DN$153+IF(113=Fin,DN$154+DN$157+DN$119-DN$148,0)</f>
        <v>0</v>
      </c>
      <c r="DO161" s="48" t="n">
        <f aca="false">-DO$138-(DO$157-DN$157)+DO$153+IF(114=Fin,DO$154+DO$157+DO$119-DO$148,0)</f>
        <v>0</v>
      </c>
      <c r="DP161" s="48" t="n">
        <f aca="false">-DP$138-(DP$157-DO$157)+DP$153+IF(115=Fin,DP$154+DP$157+DP$119-DP$148,0)</f>
        <v>0</v>
      </c>
      <c r="DQ161" s="48" t="n">
        <f aca="false">-DQ$138-(DQ$157-DP$157)+DQ$153+IF(116=Fin,DQ$154+DQ$157+DQ$119-DQ$148,0)</f>
        <v>0</v>
      </c>
      <c r="DR161" s="48" t="n">
        <f aca="false">-DR$138-(DR$157-DQ$157)+DR$153+IF(117=Fin,DR$154+DR$157+DR$119-DR$148,0)</f>
        <v>0</v>
      </c>
      <c r="DS161" s="48" t="n">
        <f aca="false">-DS$138-(DS$157-DR$157)+DS$153+IF(118=Fin,DS$154+DS$157+DS$119-DS$148,0)</f>
        <v>0</v>
      </c>
      <c r="DT161" s="48" t="n">
        <f aca="false">-DT$138-(DT$157-DS$157)+DT$153+IF(119=Fin,DT$154+DT$157+DT$119-DT$148,0)</f>
        <v>0</v>
      </c>
      <c r="DU161" s="48" t="n">
        <f aca="false">-DU$138-(DU$157-DT$157)+DU$153+IF(120=Fin,DU$154+DU$157+DU$119-DU$148,0)</f>
        <v>6147646.16149837</v>
      </c>
      <c r="DV161" s="48" t="n">
        <f aca="false">-DV$138-(DV$157-DU$157)+DV$153+IF(121=Fin,DV$154+DV$157+DV$119-DV$148,0)</f>
        <v>0</v>
      </c>
      <c r="DW161" s="48" t="n">
        <f aca="false">-DW$138-(DW$157-DV$157)+DW$153+IF(122=Fin,DW$154+DW$157+DW$119-DW$148,0)</f>
        <v>0</v>
      </c>
      <c r="DX161" s="48" t="n">
        <f aca="false">-DX$138-(DX$157-DW$157)+DX$153+IF(123=Fin,DX$154+DX$157+DX$119-DX$148,0)</f>
        <v>0</v>
      </c>
      <c r="DY161" s="48" t="n">
        <f aca="false">-DY$138-(DY$157-DX$157)+DY$153+IF(124=Fin,DY$154+DY$157+DY$119-DY$148,0)</f>
        <v>0</v>
      </c>
      <c r="DZ161" s="48" t="n">
        <f aca="false">-DZ$138-(DZ$157-DY$157)+DZ$153+IF(125=Fin,DZ$154+DZ$157+DZ$119-DZ$148,0)</f>
        <v>0</v>
      </c>
      <c r="EA161" s="48" t="n">
        <f aca="false">-EA$138-(EA$157-DZ$157)+EA$153+IF(126=Fin,EA$154+EA$157+EA$119-EA$148,0)</f>
        <v>0</v>
      </c>
      <c r="EB161" s="48" t="n">
        <f aca="false">-EB$138-(EB$157-EA$157)+EB$153+IF(127=Fin,EB$154+EB$157+EB$119-EB$148,0)</f>
        <v>0</v>
      </c>
      <c r="EC161" s="48" t="n">
        <f aca="false">-EC$138-(EC$157-EB$157)+EC$153+IF(128=Fin,EC$154+EC$157+EC$119-EC$148,0)</f>
        <v>0</v>
      </c>
      <c r="ED161" s="48" t="n">
        <f aca="false">-ED$138-(ED$157-EC$157)+ED$153+IF(129=Fin,ED$154+ED$157+ED$119-ED$148,0)</f>
        <v>0</v>
      </c>
      <c r="EE161" s="48" t="n">
        <f aca="false">-EE$138-(EE$157-ED$157)+EE$153+IF(130=Fin,EE$154+EE$157+EE$119-EE$148,0)</f>
        <v>0</v>
      </c>
      <c r="EF161" s="48" t="n">
        <f aca="false">-EF$138-(EF$157-EE$157)+EF$153+IF(131=Fin,EF$154+EF$157+EF$119-EF$148,0)</f>
        <v>0</v>
      </c>
      <c r="EG161" s="48" t="n">
        <f aca="false">-EG$138-(EG$157-EF$157)+EG$153+IF(132=Fin,EG$154+EG$157+EG$119-EG$148,0)</f>
        <v>0</v>
      </c>
      <c r="EH161" s="48" t="n">
        <f aca="false">-EH$138-(EH$157-EG$157)+EH$153+IF(133=Fin,EH$154+EH$157+EH$119-EH$148,0)</f>
        <v>0</v>
      </c>
      <c r="EI161" s="48" t="n">
        <f aca="false">-EI$138-(EI$157-EH$157)+EI$153+IF(134=Fin,EI$154+EI$157+EI$119-EI$148,0)</f>
        <v>0</v>
      </c>
      <c r="EJ161" s="48" t="n">
        <f aca="false">-EJ$138-(EJ$157-EI$157)+EJ$153+IF(135=Fin,EJ$154+EJ$157+EJ$119-EJ$148,0)</f>
        <v>0</v>
      </c>
      <c r="EK161" s="48" t="n">
        <f aca="false">-EK$138-(EK$157-EJ$157)+EK$153+IF(136=Fin,EK$154+EK$157+EK$119-EK$148,0)</f>
        <v>0</v>
      </c>
      <c r="EL161" s="48" t="n">
        <f aca="false">-EL$138-(EL$157-EK$157)+EL$153+IF(137=Fin,EL$154+EL$157+EL$119-EL$148,0)</f>
        <v>0</v>
      </c>
      <c r="EM161" s="48" t="n">
        <f aca="false">-EM$138-(EM$157-EL$157)+EM$153+IF(138=Fin,EM$154+EM$157+EM$119-EM$148,0)</f>
        <v>0</v>
      </c>
      <c r="EN161" s="48" t="n">
        <f aca="false">-EN$138-(EN$157-EM$157)+EN$153+IF(139=Fin,EN$154+EN$157+EN$119-EN$148,0)</f>
        <v>0</v>
      </c>
      <c r="EO161" s="48" t="n">
        <f aca="false">-EO$138-(EO$157-EN$157)+EO$153+IF(140=Fin,EO$154+EO$157+EO$119-EO$148,0)</f>
        <v>0</v>
      </c>
      <c r="EP161" s="48" t="n">
        <f aca="false">-EP$138-(EP$157-EO$157)+EP$153+IF(141=Fin,EP$154+EP$157+EP$119-EP$148,0)</f>
        <v>0</v>
      </c>
      <c r="EQ161" s="48" t="n">
        <f aca="false">-EQ$138-(EQ$157-EP$157)+EQ$153+IF(142=Fin,EQ$154+EQ$157+EQ$119-EQ$148,0)</f>
        <v>0</v>
      </c>
      <c r="ER161" s="48" t="n">
        <f aca="false">-ER$138-(ER$157-EQ$157)+ER$153+IF(143=Fin,ER$154+ER$157+ER$119-ER$148,0)</f>
        <v>0</v>
      </c>
      <c r="ES161" s="48" t="n">
        <f aca="false">-ES$138-(ES$157-ER$157)+ES$153+IF(144=Fin,ES$154+ES$157+ES$119-ES$148,0)</f>
        <v>0</v>
      </c>
    </row>
    <row r="162" customFormat="false" ht="15" hidden="false" customHeight="false" outlineLevel="0" collapsed="false">
      <c r="A162" s="11" t="s">
        <v>1285</v>
      </c>
      <c r="B162" s="15" t="s">
        <v>1286</v>
      </c>
      <c r="C162" s="15" t="s">
        <v>508</v>
      </c>
      <c r="E162" s="54" t="n">
        <f aca="false">INDEX(F162:ES162,1,MIN(144,Fin))</f>
        <v>15564459.926261</v>
      </c>
      <c r="F162" s="48" t="n">
        <f aca="false">0+F$120</f>
        <v>-3000610.47688344</v>
      </c>
      <c r="G162" s="48" t="n">
        <f aca="false">F$162+G$120</f>
        <v>-2958112.97640785</v>
      </c>
      <c r="H162" s="48" t="n">
        <f aca="false">G$162+H$120</f>
        <v>-2915615.47593226</v>
      </c>
      <c r="I162" s="48" t="n">
        <f aca="false">H$162+I$120</f>
        <v>-2873117.97545667</v>
      </c>
      <c r="J162" s="48" t="n">
        <f aca="false">I$162+J$120</f>
        <v>-2830620.47498108</v>
      </c>
      <c r="K162" s="48" t="n">
        <f aca="false">J$162+K$120</f>
        <v>-2788122.97450549</v>
      </c>
      <c r="L162" s="48" t="n">
        <f aca="false">K$162+L$120</f>
        <v>-2745625.4740299</v>
      </c>
      <c r="M162" s="48" t="n">
        <f aca="false">L$162+M$120</f>
        <v>-2703127.97355431</v>
      </c>
      <c r="N162" s="48" t="n">
        <f aca="false">M$162+N$120</f>
        <v>-2660630.47307872</v>
      </c>
      <c r="O162" s="48" t="n">
        <f aca="false">N$162+O$120</f>
        <v>-2618132.97260313</v>
      </c>
      <c r="P162" s="48" t="n">
        <f aca="false">O$162+P$120</f>
        <v>-2575635.47212754</v>
      </c>
      <c r="Q162" s="48" t="n">
        <f aca="false">P$162+Q$120</f>
        <v>-2533137.97165195</v>
      </c>
      <c r="R162" s="48" t="n">
        <f aca="false">Q$162+R$120</f>
        <v>-3207787.01305363</v>
      </c>
      <c r="S162" s="48" t="n">
        <f aca="false">R$162+S$120</f>
        <v>-3127290.61005967</v>
      </c>
      <c r="T162" s="48" t="n">
        <f aca="false">S$162+T$120</f>
        <v>-3046794.2070657</v>
      </c>
      <c r="U162" s="48" t="n">
        <f aca="false">T$162+U$120</f>
        <v>-2966297.80407174</v>
      </c>
      <c r="V162" s="48" t="n">
        <f aca="false">U$162+V$120</f>
        <v>-2885801.40107777</v>
      </c>
      <c r="W162" s="48" t="n">
        <f aca="false">V$162+W$120</f>
        <v>-2805304.99808381</v>
      </c>
      <c r="X162" s="48" t="n">
        <f aca="false">W$162+X$120</f>
        <v>-2724808.59508984</v>
      </c>
      <c r="Y162" s="48" t="n">
        <f aca="false">X$162+Y$120</f>
        <v>-2644312.19209588</v>
      </c>
      <c r="Z162" s="48" t="n">
        <f aca="false">Y$162+Z$120</f>
        <v>-2563815.78910191</v>
      </c>
      <c r="AA162" s="48" t="n">
        <f aca="false">Z$162+AA$120</f>
        <v>-2483319.38610795</v>
      </c>
      <c r="AB162" s="48" t="n">
        <f aca="false">AA$162+AB$120</f>
        <v>-2402822.98311398</v>
      </c>
      <c r="AC162" s="48" t="n">
        <f aca="false">AB$162+AC$120</f>
        <v>-2322326.58012002</v>
      </c>
      <c r="AD162" s="48" t="n">
        <f aca="false">AC$162+AD$120</f>
        <v>-2872568.47988732</v>
      </c>
      <c r="AE162" s="48" t="n">
        <f aca="false">AD$162+AE$120</f>
        <v>-2755483.44902219</v>
      </c>
      <c r="AF162" s="48" t="n">
        <f aca="false">AE$162+AF$120</f>
        <v>-2638398.41815707</v>
      </c>
      <c r="AG162" s="48" t="n">
        <f aca="false">AF$162+AG$120</f>
        <v>-2521313.38729194</v>
      </c>
      <c r="AH162" s="48" t="n">
        <f aca="false">AG$162+AH$120</f>
        <v>-2404228.35642682</v>
      </c>
      <c r="AI162" s="48" t="n">
        <f aca="false">AH$162+AI$120</f>
        <v>-2287143.32556169</v>
      </c>
      <c r="AJ162" s="48" t="n">
        <f aca="false">AI$162+AJ$120</f>
        <v>-2170058.29469657</v>
      </c>
      <c r="AK162" s="48" t="n">
        <f aca="false">AJ$162+AK$120</f>
        <v>-2052973.26383144</v>
      </c>
      <c r="AL162" s="48" t="n">
        <f aca="false">AK$162+AL$120</f>
        <v>-1935888.23296632</v>
      </c>
      <c r="AM162" s="48" t="n">
        <f aca="false">AL$162+AM$120</f>
        <v>-1818803.20210119</v>
      </c>
      <c r="AN162" s="48" t="n">
        <f aca="false">AM$162+AN$120</f>
        <v>-1701718.17123607</v>
      </c>
      <c r="AO162" s="48" t="n">
        <f aca="false">AN$162+AO$120</f>
        <v>-1584633.14037094</v>
      </c>
      <c r="AP162" s="48" t="n">
        <f aca="false">AO$162+AP$120</f>
        <v>-1993548.6304244</v>
      </c>
      <c r="AQ162" s="48" t="n">
        <f aca="false">AP$162+AQ$120</f>
        <v>-1843655.05054454</v>
      </c>
      <c r="AR162" s="48" t="n">
        <f aca="false">AQ$162+AR$120</f>
        <v>-1693761.47066468</v>
      </c>
      <c r="AS162" s="48" t="n">
        <f aca="false">AR$162+AS$120</f>
        <v>-1543867.89078482</v>
      </c>
      <c r="AT162" s="48" t="n">
        <f aca="false">AS$162+AT$120</f>
        <v>-1393974.31090497</v>
      </c>
      <c r="AU162" s="48" t="n">
        <f aca="false">AT$162+AU$120</f>
        <v>-1244080.73102511</v>
      </c>
      <c r="AV162" s="48" t="n">
        <f aca="false">AU$162+AV$120</f>
        <v>-1094187.15114525</v>
      </c>
      <c r="AW162" s="48" t="n">
        <f aca="false">AV$162+AW$120</f>
        <v>-944293.571265391</v>
      </c>
      <c r="AX162" s="48" t="n">
        <f aca="false">AW$162+AX$120</f>
        <v>-794399.991385533</v>
      </c>
      <c r="AY162" s="48" t="n">
        <f aca="false">AX$162+AY$120</f>
        <v>-644506.411505674</v>
      </c>
      <c r="AZ162" s="48" t="n">
        <f aca="false">AY$162+AZ$120</f>
        <v>-494612.831625816</v>
      </c>
      <c r="BA162" s="48" t="n">
        <f aca="false">AZ$162+BA$120</f>
        <v>-344719.251745958</v>
      </c>
      <c r="BB162" s="48" t="n">
        <f aca="false">BA$162+BB$120</f>
        <v>-231615.634575444</v>
      </c>
      <c r="BC162" s="48" t="n">
        <f aca="false">BB$162+BC$120</f>
        <v>-80402.4696990702</v>
      </c>
      <c r="BD162" s="48" t="n">
        <f aca="false">BC$162+BD$120</f>
        <v>70810.6951773035</v>
      </c>
      <c r="BE162" s="48" t="n">
        <f aca="false">BD$162+BE$120</f>
        <v>222023.860053677</v>
      </c>
      <c r="BF162" s="48" t="n">
        <f aca="false">BE$162+BF$120</f>
        <v>373237.024930051</v>
      </c>
      <c r="BG162" s="48" t="n">
        <f aca="false">BF$162+BG$120</f>
        <v>524450.189806425</v>
      </c>
      <c r="BH162" s="48" t="n">
        <f aca="false">BG$162+BH$120</f>
        <v>675663.354682798</v>
      </c>
      <c r="BI162" s="48" t="n">
        <f aca="false">BH$162+BI$120</f>
        <v>826876.519559172</v>
      </c>
      <c r="BJ162" s="48" t="n">
        <f aca="false">BI$162+BJ$120</f>
        <v>978089.684435546</v>
      </c>
      <c r="BK162" s="48" t="n">
        <f aca="false">BJ$162+BK$120</f>
        <v>1129302.84931192</v>
      </c>
      <c r="BL162" s="48" t="n">
        <f aca="false">BK$162+BL$120</f>
        <v>1280516.01418829</v>
      </c>
      <c r="BM162" s="48" t="n">
        <f aca="false">BL$162+BM$120</f>
        <v>1431729.17906467</v>
      </c>
      <c r="BN162" s="48" t="n">
        <f aca="false">BM$162+BN$120</f>
        <v>1549304.7643939</v>
      </c>
      <c r="BO162" s="48" t="n">
        <f aca="false">BN$162+BO$120</f>
        <v>1704605.20619172</v>
      </c>
      <c r="BP162" s="48" t="n">
        <f aca="false">BO$162+BP$120</f>
        <v>1859905.64798955</v>
      </c>
      <c r="BQ162" s="48" t="n">
        <f aca="false">BP$162+BQ$120</f>
        <v>2015206.08978738</v>
      </c>
      <c r="BR162" s="48" t="n">
        <f aca="false">BQ$162+BR$120</f>
        <v>2170506.5315852</v>
      </c>
      <c r="BS162" s="48" t="n">
        <f aca="false">BR$162+BS$120</f>
        <v>2325806.97338303</v>
      </c>
      <c r="BT162" s="48" t="n">
        <f aca="false">BS$162+BT$120</f>
        <v>2481107.41518085</v>
      </c>
      <c r="BU162" s="48" t="n">
        <f aca="false">BT$162+BU$120</f>
        <v>2636407.85697868</v>
      </c>
      <c r="BV162" s="48" t="n">
        <f aca="false">BU$162+BV$120</f>
        <v>2791708.29877651</v>
      </c>
      <c r="BW162" s="48" t="n">
        <f aca="false">BV$162+BW$120</f>
        <v>2947008.74057433</v>
      </c>
      <c r="BX162" s="48" t="n">
        <f aca="false">BW$162+BX$120</f>
        <v>3102309.18237216</v>
      </c>
      <c r="BY162" s="48" t="n">
        <f aca="false">BX$162+BY$120</f>
        <v>3257609.62416998</v>
      </c>
      <c r="BZ162" s="48" t="n">
        <f aca="false">BY$162+BZ$120</f>
        <v>3378935.7534346</v>
      </c>
      <c r="CA162" s="48" t="n">
        <f aca="false">BZ$162+CA$120</f>
        <v>3538351.775924</v>
      </c>
      <c r="CB162" s="48" t="n">
        <f aca="false">CA$162+CB$120</f>
        <v>3697767.7984134</v>
      </c>
      <c r="CC162" s="48" t="n">
        <f aca="false">CB$162+CC$120</f>
        <v>3857183.8209028</v>
      </c>
      <c r="CD162" s="48" t="n">
        <f aca="false">CC$162+CD$120</f>
        <v>4016599.8433922</v>
      </c>
      <c r="CE162" s="48" t="n">
        <f aca="false">CD$162+CE$120</f>
        <v>4176015.8658816</v>
      </c>
      <c r="CF162" s="48" t="n">
        <f aca="false">CE$162+CF$120</f>
        <v>4335431.888371</v>
      </c>
      <c r="CG162" s="48" t="n">
        <f aca="false">CF$162+CG$120</f>
        <v>4494847.9108604</v>
      </c>
      <c r="CH162" s="48" t="n">
        <f aca="false">CG$162+CH$120</f>
        <v>4654263.9333498</v>
      </c>
      <c r="CI162" s="48" t="n">
        <f aca="false">CH$162+CI$120</f>
        <v>4813679.9558392</v>
      </c>
      <c r="CJ162" s="48" t="n">
        <f aca="false">CI$162+CJ$120</f>
        <v>4973095.9783286</v>
      </c>
      <c r="CK162" s="48" t="n">
        <f aca="false">CJ$162+CK$120</f>
        <v>5132512.000818</v>
      </c>
      <c r="CL162" s="48" t="n">
        <f aca="false">CK$162+CL$120</f>
        <v>5257613.60166977</v>
      </c>
      <c r="CM162" s="48" t="n">
        <f aca="false">CL$162+CM$120</f>
        <v>5421173.42021606</v>
      </c>
      <c r="CN162" s="48" t="n">
        <f aca="false">CM$162+CN$120</f>
        <v>5584733.23876234</v>
      </c>
      <c r="CO162" s="48" t="n">
        <f aca="false">CN$162+CO$120</f>
        <v>5748293.05730863</v>
      </c>
      <c r="CP162" s="48" t="n">
        <f aca="false">CO$162+CP$120</f>
        <v>5911852.87585492</v>
      </c>
      <c r="CQ162" s="48" t="n">
        <f aca="false">CP$162+CQ$120</f>
        <v>6075412.69440121</v>
      </c>
      <c r="CR162" s="48" t="n">
        <f aca="false">CQ$162+CR$120</f>
        <v>6238972.51294749</v>
      </c>
      <c r="CS162" s="48" t="n">
        <f aca="false">CR$162+CS$120</f>
        <v>6402532.33149378</v>
      </c>
      <c r="CT162" s="48" t="n">
        <f aca="false">CS$162+CT$120</f>
        <v>6566092.15004007</v>
      </c>
      <c r="CU162" s="48" t="n">
        <f aca="false">CT$162+CU$120</f>
        <v>6729651.96858636</v>
      </c>
      <c r="CV162" s="48" t="n">
        <f aca="false">CU$162+CV$120</f>
        <v>6893211.78713264</v>
      </c>
      <c r="CW162" s="48" t="n">
        <f aca="false">CV$162+CW$120</f>
        <v>7056771.60567893</v>
      </c>
      <c r="CX162" s="48" t="n">
        <f aca="false">CW$162+CX$120</f>
        <v>7185673.4833785</v>
      </c>
      <c r="CY162" s="48" t="n">
        <f aca="false">CX$162+CY$120</f>
        <v>7353405.21302741</v>
      </c>
      <c r="CZ162" s="48" t="n">
        <f aca="false">CY$162+CZ$120</f>
        <v>7521136.94267632</v>
      </c>
      <c r="DA162" s="48" t="n">
        <f aca="false">CZ$162+DA$120</f>
        <v>7688868.67232523</v>
      </c>
      <c r="DB162" s="48" t="n">
        <f aca="false">DA$162+DB$120</f>
        <v>7856600.40197413</v>
      </c>
      <c r="DC162" s="48" t="n">
        <f aca="false">DB$162+DC$120</f>
        <v>8024332.13162304</v>
      </c>
      <c r="DD162" s="48" t="n">
        <f aca="false">DC$162+DD$120</f>
        <v>8192063.86127195</v>
      </c>
      <c r="DE162" s="48" t="n">
        <f aca="false">DD$162+DE$120</f>
        <v>8359795.59092086</v>
      </c>
      <c r="DF162" s="48" t="n">
        <f aca="false">DE$162+DF$120</f>
        <v>8527527.32056977</v>
      </c>
      <c r="DG162" s="48" t="n">
        <f aca="false">DF$162+DG$120</f>
        <v>8695259.05021867</v>
      </c>
      <c r="DH162" s="48" t="n">
        <f aca="false">DG$162+DH$120</f>
        <v>8862990.77986758</v>
      </c>
      <c r="DI162" s="48" t="n">
        <f aca="false">DH$162+DI$120</f>
        <v>9030722.50951649</v>
      </c>
      <c r="DJ162" s="48" t="n">
        <f aca="false">DI$162+DJ$120</f>
        <v>9163449.33467279</v>
      </c>
      <c r="DK162" s="48" t="n">
        <f aca="false">DJ$162+DK$120</f>
        <v>9335380.97778788</v>
      </c>
      <c r="DL162" s="48" t="n">
        <f aca="false">DK$162+DL$120</f>
        <v>9507312.62090297</v>
      </c>
      <c r="DM162" s="48" t="n">
        <f aca="false">DL$162+DM$120</f>
        <v>9679244.26401805</v>
      </c>
      <c r="DN162" s="48" t="n">
        <f aca="false">DM$162+DN$120</f>
        <v>9851175.90713314</v>
      </c>
      <c r="DO162" s="48" t="n">
        <f aca="false">DN$162+DO$120</f>
        <v>10023107.5502482</v>
      </c>
      <c r="DP162" s="48" t="n">
        <f aca="false">DO$162+DP$120</f>
        <v>10195039.1933633</v>
      </c>
      <c r="DQ162" s="48" t="n">
        <f aca="false">DP$162+DQ$120</f>
        <v>10366970.8364784</v>
      </c>
      <c r="DR162" s="48" t="n">
        <f aca="false">DQ$162+DR$120</f>
        <v>10538902.4795935</v>
      </c>
      <c r="DS162" s="48" t="n">
        <f aca="false">DR$162+DS$120</f>
        <v>10710834.1227086</v>
      </c>
      <c r="DT162" s="48" t="n">
        <f aca="false">DS$162+DT$120</f>
        <v>10882765.7658237</v>
      </c>
      <c r="DU162" s="48" t="n">
        <f aca="false">DT$162+DU$120</f>
        <v>15564459.926261</v>
      </c>
      <c r="DV162" s="48" t="n">
        <f aca="false">DU$162+DV$120</f>
        <v>15564459.926261</v>
      </c>
      <c r="DW162" s="48" t="n">
        <f aca="false">DV$162+DW$120</f>
        <v>15564459.926261</v>
      </c>
      <c r="DX162" s="48" t="n">
        <f aca="false">DW$162+DX$120</f>
        <v>15564459.926261</v>
      </c>
      <c r="DY162" s="48" t="n">
        <f aca="false">DX$162+DY$120</f>
        <v>15564459.926261</v>
      </c>
      <c r="DZ162" s="48" t="n">
        <f aca="false">DY$162+DZ$120</f>
        <v>15564459.926261</v>
      </c>
      <c r="EA162" s="48" t="n">
        <f aca="false">DZ$162+EA$120</f>
        <v>15564459.926261</v>
      </c>
      <c r="EB162" s="48" t="n">
        <f aca="false">EA$162+EB$120</f>
        <v>15564459.926261</v>
      </c>
      <c r="EC162" s="48" t="n">
        <f aca="false">EB$162+EC$120</f>
        <v>15564459.926261</v>
      </c>
      <c r="ED162" s="48" t="n">
        <f aca="false">EC$162+ED$120</f>
        <v>15564459.926261</v>
      </c>
      <c r="EE162" s="48" t="n">
        <f aca="false">ED$162+EE$120</f>
        <v>15564459.926261</v>
      </c>
      <c r="EF162" s="48" t="n">
        <f aca="false">EE$162+EF$120</f>
        <v>15564459.926261</v>
      </c>
      <c r="EG162" s="48" t="n">
        <f aca="false">EF$162+EG$120</f>
        <v>15564459.926261</v>
      </c>
      <c r="EH162" s="48" t="n">
        <f aca="false">EG$162+EH$120</f>
        <v>15564459.926261</v>
      </c>
      <c r="EI162" s="48" t="n">
        <f aca="false">EH$162+EI$120</f>
        <v>15564459.926261</v>
      </c>
      <c r="EJ162" s="48" t="n">
        <f aca="false">EI$162+EJ$120</f>
        <v>15564459.926261</v>
      </c>
      <c r="EK162" s="48" t="n">
        <f aca="false">EJ$162+EK$120</f>
        <v>15564459.926261</v>
      </c>
      <c r="EL162" s="48" t="n">
        <f aca="false">EK$162+EL$120</f>
        <v>15564459.926261</v>
      </c>
      <c r="EM162" s="48" t="n">
        <f aca="false">EL$162+EM$120</f>
        <v>15564459.926261</v>
      </c>
      <c r="EN162" s="48" t="n">
        <f aca="false">EM$162+EN$120</f>
        <v>15564459.926261</v>
      </c>
      <c r="EO162" s="48" t="n">
        <f aca="false">EN$162+EO$120</f>
        <v>15564459.926261</v>
      </c>
      <c r="EP162" s="48" t="n">
        <f aca="false">EO$162+EP$120</f>
        <v>15564459.926261</v>
      </c>
      <c r="EQ162" s="48" t="n">
        <f aca="false">EP$162+EQ$120</f>
        <v>15564459.926261</v>
      </c>
      <c r="ER162" s="48" t="n">
        <f aca="false">EQ$162+ER$120</f>
        <v>15564459.926261</v>
      </c>
      <c r="ES162" s="48" t="n">
        <f aca="false">ER$162+ES$120</f>
        <v>15564459.926261</v>
      </c>
    </row>
    <row r="163" customFormat="false" ht="15" hidden="false" customHeight="false" outlineLevel="0" collapsed="false">
      <c r="A163" s="11" t="s">
        <v>1287</v>
      </c>
      <c r="B163" s="15" t="s">
        <v>1288</v>
      </c>
      <c r="C163" s="15" t="s">
        <v>359</v>
      </c>
      <c r="E163" s="68" t="n">
        <f aca="false">MAX(F163:ES163)</f>
        <v>49.5317160695949</v>
      </c>
      <c r="F163" s="50" t="n">
        <f aca="false">0</f>
        <v>0</v>
      </c>
      <c r="G163" s="50" t="n">
        <f aca="false">IF(AND(F$162&lt;0,G$162&gt;=0),0+(-F$162)/G$120,0)</f>
        <v>0</v>
      </c>
      <c r="H163" s="50" t="n">
        <f aca="false">IF(AND(G$162&lt;0,H$162&gt;=0),1+(-G$162)/H$120,0)</f>
        <v>0</v>
      </c>
      <c r="I163" s="50" t="n">
        <f aca="false">IF(AND(H$162&lt;0,I$162&gt;=0),2+(-H$162)/I$120,0)</f>
        <v>0</v>
      </c>
      <c r="J163" s="50" t="n">
        <f aca="false">IF(AND(I$162&lt;0,J$162&gt;=0),3+(-I$162)/J$120,0)</f>
        <v>0</v>
      </c>
      <c r="K163" s="50" t="n">
        <f aca="false">IF(AND(J$162&lt;0,K$162&gt;=0),4+(-J$162)/K$120,0)</f>
        <v>0</v>
      </c>
      <c r="L163" s="50" t="n">
        <f aca="false">IF(AND(K$162&lt;0,L$162&gt;=0),5+(-K$162)/L$120,0)</f>
        <v>0</v>
      </c>
      <c r="M163" s="50" t="n">
        <f aca="false">IF(AND(L$162&lt;0,M$162&gt;=0),6+(-L$162)/M$120,0)</f>
        <v>0</v>
      </c>
      <c r="N163" s="50" t="n">
        <f aca="false">IF(AND(M$162&lt;0,N$162&gt;=0),7+(-M$162)/N$120,0)</f>
        <v>0</v>
      </c>
      <c r="O163" s="50" t="n">
        <f aca="false">IF(AND(N$162&lt;0,O$162&gt;=0),8+(-N$162)/O$120,0)</f>
        <v>0</v>
      </c>
      <c r="P163" s="50" t="n">
        <f aca="false">IF(AND(O$162&lt;0,P$162&gt;=0),9+(-O$162)/P$120,0)</f>
        <v>0</v>
      </c>
      <c r="Q163" s="50" t="n">
        <f aca="false">IF(AND(P$162&lt;0,Q$162&gt;=0),10+(-P$162)/Q$120,0)</f>
        <v>0</v>
      </c>
      <c r="R163" s="50" t="n">
        <f aca="false">IF(AND(Q$162&lt;0,R$162&gt;=0),11+(-Q$162)/R$120,0)</f>
        <v>0</v>
      </c>
      <c r="S163" s="50" t="n">
        <f aca="false">IF(AND(R$162&lt;0,S$162&gt;=0),12+(-R$162)/S$120,0)</f>
        <v>0</v>
      </c>
      <c r="T163" s="50" t="n">
        <f aca="false">IF(AND(S$162&lt;0,T$162&gt;=0),13+(-S$162)/T$120,0)</f>
        <v>0</v>
      </c>
      <c r="U163" s="50" t="n">
        <f aca="false">IF(AND(T$162&lt;0,U$162&gt;=0),14+(-T$162)/U$120,0)</f>
        <v>0</v>
      </c>
      <c r="V163" s="50" t="n">
        <f aca="false">IF(AND(U$162&lt;0,V$162&gt;=0),15+(-U$162)/V$120,0)</f>
        <v>0</v>
      </c>
      <c r="W163" s="50" t="n">
        <f aca="false">IF(AND(V$162&lt;0,W$162&gt;=0),16+(-V$162)/W$120,0)</f>
        <v>0</v>
      </c>
      <c r="X163" s="50" t="n">
        <f aca="false">IF(AND(W$162&lt;0,X$162&gt;=0),17+(-W$162)/X$120,0)</f>
        <v>0</v>
      </c>
      <c r="Y163" s="50" t="n">
        <f aca="false">IF(AND(X$162&lt;0,Y$162&gt;=0),18+(-X$162)/Y$120,0)</f>
        <v>0</v>
      </c>
      <c r="Z163" s="50" t="n">
        <f aca="false">IF(AND(Y$162&lt;0,Z$162&gt;=0),19+(-Y$162)/Z$120,0)</f>
        <v>0</v>
      </c>
      <c r="AA163" s="50" t="n">
        <f aca="false">IF(AND(Z$162&lt;0,AA$162&gt;=0),20+(-Z$162)/AA$120,0)</f>
        <v>0</v>
      </c>
      <c r="AB163" s="50" t="n">
        <f aca="false">IF(AND(AA$162&lt;0,AB$162&gt;=0),21+(-AA$162)/AB$120,0)</f>
        <v>0</v>
      </c>
      <c r="AC163" s="50" t="n">
        <f aca="false">IF(AND(AB$162&lt;0,AC$162&gt;=0),22+(-AB$162)/AC$120,0)</f>
        <v>0</v>
      </c>
      <c r="AD163" s="50" t="n">
        <f aca="false">IF(AND(AC$162&lt;0,AD$162&gt;=0),23+(-AC$162)/AD$120,0)</f>
        <v>0</v>
      </c>
      <c r="AE163" s="50" t="n">
        <f aca="false">IF(AND(AD$162&lt;0,AE$162&gt;=0),24+(-AD$162)/AE$120,0)</f>
        <v>0</v>
      </c>
      <c r="AF163" s="50" t="n">
        <f aca="false">IF(AND(AE$162&lt;0,AF$162&gt;=0),25+(-AE$162)/AF$120,0)</f>
        <v>0</v>
      </c>
      <c r="AG163" s="50" t="n">
        <f aca="false">IF(AND(AF$162&lt;0,AG$162&gt;=0),26+(-AF$162)/AG$120,0)</f>
        <v>0</v>
      </c>
      <c r="AH163" s="50" t="n">
        <f aca="false">IF(AND(AG$162&lt;0,AH$162&gt;=0),27+(-AG$162)/AH$120,0)</f>
        <v>0</v>
      </c>
      <c r="AI163" s="50" t="n">
        <f aca="false">IF(AND(AH$162&lt;0,AI$162&gt;=0),28+(-AH$162)/AI$120,0)</f>
        <v>0</v>
      </c>
      <c r="AJ163" s="50" t="n">
        <f aca="false">IF(AND(AI$162&lt;0,AJ$162&gt;=0),29+(-AI$162)/AJ$120,0)</f>
        <v>0</v>
      </c>
      <c r="AK163" s="50" t="n">
        <f aca="false">IF(AND(AJ$162&lt;0,AK$162&gt;=0),30+(-AJ$162)/AK$120,0)</f>
        <v>0</v>
      </c>
      <c r="AL163" s="50" t="n">
        <f aca="false">IF(AND(AK$162&lt;0,AL$162&gt;=0),31+(-AK$162)/AL$120,0)</f>
        <v>0</v>
      </c>
      <c r="AM163" s="50" t="n">
        <f aca="false">IF(AND(AL$162&lt;0,AM$162&gt;=0),32+(-AL$162)/AM$120,0)</f>
        <v>0</v>
      </c>
      <c r="AN163" s="50" t="n">
        <f aca="false">IF(AND(AM$162&lt;0,AN$162&gt;=0),33+(-AM$162)/AN$120,0)</f>
        <v>0</v>
      </c>
      <c r="AO163" s="50" t="n">
        <f aca="false">IF(AND(AN$162&lt;0,AO$162&gt;=0),34+(-AN$162)/AO$120,0)</f>
        <v>0</v>
      </c>
      <c r="AP163" s="50" t="n">
        <f aca="false">IF(AND(AO$162&lt;0,AP$162&gt;=0),35+(-AO$162)/AP$120,0)</f>
        <v>0</v>
      </c>
      <c r="AQ163" s="50" t="n">
        <f aca="false">IF(AND(AP$162&lt;0,AQ$162&gt;=0),36+(-AP$162)/AQ$120,0)</f>
        <v>0</v>
      </c>
      <c r="AR163" s="50" t="n">
        <f aca="false">IF(AND(AQ$162&lt;0,AR$162&gt;=0),37+(-AQ$162)/AR$120,0)</f>
        <v>0</v>
      </c>
      <c r="AS163" s="50" t="n">
        <f aca="false">IF(AND(AR$162&lt;0,AS$162&gt;=0),38+(-AR$162)/AS$120,0)</f>
        <v>0</v>
      </c>
      <c r="AT163" s="50" t="n">
        <f aca="false">IF(AND(AS$162&lt;0,AT$162&gt;=0),39+(-AS$162)/AT$120,0)</f>
        <v>0</v>
      </c>
      <c r="AU163" s="50" t="n">
        <f aca="false">IF(AND(AT$162&lt;0,AU$162&gt;=0),40+(-AT$162)/AU$120,0)</f>
        <v>0</v>
      </c>
      <c r="AV163" s="50" t="n">
        <f aca="false">IF(AND(AU$162&lt;0,AV$162&gt;=0),41+(-AU$162)/AV$120,0)</f>
        <v>0</v>
      </c>
      <c r="AW163" s="50" t="n">
        <f aca="false">IF(AND(AV$162&lt;0,AW$162&gt;=0),42+(-AV$162)/AW$120,0)</f>
        <v>0</v>
      </c>
      <c r="AX163" s="50" t="n">
        <f aca="false">IF(AND(AW$162&lt;0,AX$162&gt;=0),43+(-AW$162)/AX$120,0)</f>
        <v>0</v>
      </c>
      <c r="AY163" s="50" t="n">
        <f aca="false">IF(AND(AX$162&lt;0,AY$162&gt;=0),44+(-AX$162)/AY$120,0)</f>
        <v>0</v>
      </c>
      <c r="AZ163" s="50" t="n">
        <f aca="false">IF(AND(AY$162&lt;0,AZ$162&gt;=0),45+(-AY$162)/AZ$120,0)</f>
        <v>0</v>
      </c>
      <c r="BA163" s="50" t="n">
        <f aca="false">IF(AND(AZ$162&lt;0,BA$162&gt;=0),46+(-AZ$162)/BA$120,0)</f>
        <v>0</v>
      </c>
      <c r="BB163" s="50" t="n">
        <f aca="false">IF(AND(BA$162&lt;0,BB$162&gt;=0),47+(-BA$162)/BB$120,0)</f>
        <v>0</v>
      </c>
      <c r="BC163" s="50" t="n">
        <f aca="false">IF(AND(BB$162&lt;0,BC$162&gt;=0),48+(-BB$162)/BC$120,0)</f>
        <v>0</v>
      </c>
      <c r="BD163" s="50" t="n">
        <f aca="false">IF(AND(BC$162&lt;0,BD$162&gt;=0),49+(-BC$162)/BD$120,0)</f>
        <v>49.5317160695949</v>
      </c>
      <c r="BE163" s="50" t="n">
        <f aca="false">IF(AND(BD$162&lt;0,BE$162&gt;=0),50+(-BD$162)/BE$120,0)</f>
        <v>0</v>
      </c>
      <c r="BF163" s="50" t="n">
        <f aca="false">IF(AND(BE$162&lt;0,BF$162&gt;=0),51+(-BE$162)/BF$120,0)</f>
        <v>0</v>
      </c>
      <c r="BG163" s="50" t="n">
        <f aca="false">IF(AND(BF$162&lt;0,BG$162&gt;=0),52+(-BF$162)/BG$120,0)</f>
        <v>0</v>
      </c>
      <c r="BH163" s="50" t="n">
        <f aca="false">IF(AND(BG$162&lt;0,BH$162&gt;=0),53+(-BG$162)/BH$120,0)</f>
        <v>0</v>
      </c>
      <c r="BI163" s="50" t="n">
        <f aca="false">IF(AND(BH$162&lt;0,BI$162&gt;=0),54+(-BH$162)/BI$120,0)</f>
        <v>0</v>
      </c>
      <c r="BJ163" s="50" t="n">
        <f aca="false">IF(AND(BI$162&lt;0,BJ$162&gt;=0),55+(-BI$162)/BJ$120,0)</f>
        <v>0</v>
      </c>
      <c r="BK163" s="50" t="n">
        <f aca="false">IF(AND(BJ$162&lt;0,BK$162&gt;=0),56+(-BJ$162)/BK$120,0)</f>
        <v>0</v>
      </c>
      <c r="BL163" s="50" t="n">
        <f aca="false">IF(AND(BK$162&lt;0,BL$162&gt;=0),57+(-BK$162)/BL$120,0)</f>
        <v>0</v>
      </c>
      <c r="BM163" s="50" t="n">
        <f aca="false">IF(AND(BL$162&lt;0,BM$162&gt;=0),58+(-BL$162)/BM$120,0)</f>
        <v>0</v>
      </c>
      <c r="BN163" s="50" t="n">
        <f aca="false">IF(AND(BM$162&lt;0,BN$162&gt;=0),59+(-BM$162)/BN$120,0)</f>
        <v>0</v>
      </c>
      <c r="BO163" s="50" t="n">
        <f aca="false">IF(AND(BN$162&lt;0,BO$162&gt;=0),60+(-BN$162)/BO$120,0)</f>
        <v>0</v>
      </c>
      <c r="BP163" s="50" t="n">
        <f aca="false">IF(AND(BO$162&lt;0,BP$162&gt;=0),61+(-BO$162)/BP$120,0)</f>
        <v>0</v>
      </c>
      <c r="BQ163" s="50" t="n">
        <f aca="false">IF(AND(BP$162&lt;0,BQ$162&gt;=0),62+(-BP$162)/BQ$120,0)</f>
        <v>0</v>
      </c>
      <c r="BR163" s="50" t="n">
        <f aca="false">IF(AND(BQ$162&lt;0,BR$162&gt;=0),63+(-BQ$162)/BR$120,0)</f>
        <v>0</v>
      </c>
      <c r="BS163" s="50" t="n">
        <f aca="false">IF(AND(BR$162&lt;0,BS$162&gt;=0),64+(-BR$162)/BS$120,0)</f>
        <v>0</v>
      </c>
      <c r="BT163" s="50" t="n">
        <f aca="false">IF(AND(BS$162&lt;0,BT$162&gt;=0),65+(-BS$162)/BT$120,0)</f>
        <v>0</v>
      </c>
      <c r="BU163" s="50" t="n">
        <f aca="false">IF(AND(BT$162&lt;0,BU$162&gt;=0),66+(-BT$162)/BU$120,0)</f>
        <v>0</v>
      </c>
      <c r="BV163" s="50" t="n">
        <f aca="false">IF(AND(BU$162&lt;0,BV$162&gt;=0),67+(-BU$162)/BV$120,0)</f>
        <v>0</v>
      </c>
      <c r="BW163" s="50" t="n">
        <f aca="false">IF(AND(BV$162&lt;0,BW$162&gt;=0),68+(-BV$162)/BW$120,0)</f>
        <v>0</v>
      </c>
      <c r="BX163" s="50" t="n">
        <f aca="false">IF(AND(BW$162&lt;0,BX$162&gt;=0),69+(-BW$162)/BX$120,0)</f>
        <v>0</v>
      </c>
      <c r="BY163" s="50" t="n">
        <f aca="false">IF(AND(BX$162&lt;0,BY$162&gt;=0),70+(-BX$162)/BY$120,0)</f>
        <v>0</v>
      </c>
      <c r="BZ163" s="50" t="n">
        <f aca="false">IF(AND(BY$162&lt;0,BZ$162&gt;=0),71+(-BY$162)/BZ$120,0)</f>
        <v>0</v>
      </c>
      <c r="CA163" s="50" t="n">
        <f aca="false">IF(AND(BZ$162&lt;0,CA$162&gt;=0),72+(-BZ$162)/CA$120,0)</f>
        <v>0</v>
      </c>
      <c r="CB163" s="50" t="n">
        <f aca="false">IF(AND(CA$162&lt;0,CB$162&gt;=0),73+(-CA$162)/CB$120,0)</f>
        <v>0</v>
      </c>
      <c r="CC163" s="50" t="n">
        <f aca="false">IF(AND(CB$162&lt;0,CC$162&gt;=0),74+(-CB$162)/CC$120,0)</f>
        <v>0</v>
      </c>
      <c r="CD163" s="50" t="n">
        <f aca="false">IF(AND(CC$162&lt;0,CD$162&gt;=0),75+(-CC$162)/CD$120,0)</f>
        <v>0</v>
      </c>
      <c r="CE163" s="50" t="n">
        <f aca="false">IF(AND(CD$162&lt;0,CE$162&gt;=0),76+(-CD$162)/CE$120,0)</f>
        <v>0</v>
      </c>
      <c r="CF163" s="50" t="n">
        <f aca="false">IF(AND(CE$162&lt;0,CF$162&gt;=0),77+(-CE$162)/CF$120,0)</f>
        <v>0</v>
      </c>
      <c r="CG163" s="50" t="n">
        <f aca="false">IF(AND(CF$162&lt;0,CG$162&gt;=0),78+(-CF$162)/CG$120,0)</f>
        <v>0</v>
      </c>
      <c r="CH163" s="50" t="n">
        <f aca="false">IF(AND(CG$162&lt;0,CH$162&gt;=0),79+(-CG$162)/CH$120,0)</f>
        <v>0</v>
      </c>
      <c r="CI163" s="50" t="n">
        <f aca="false">IF(AND(CH$162&lt;0,CI$162&gt;=0),80+(-CH$162)/CI$120,0)</f>
        <v>0</v>
      </c>
      <c r="CJ163" s="50" t="n">
        <f aca="false">IF(AND(CI$162&lt;0,CJ$162&gt;=0),81+(-CI$162)/CJ$120,0)</f>
        <v>0</v>
      </c>
      <c r="CK163" s="50" t="n">
        <f aca="false">IF(AND(CJ$162&lt;0,CK$162&gt;=0),82+(-CJ$162)/CK$120,0)</f>
        <v>0</v>
      </c>
      <c r="CL163" s="50" t="n">
        <f aca="false">IF(AND(CK$162&lt;0,CL$162&gt;=0),83+(-CK$162)/CL$120,0)</f>
        <v>0</v>
      </c>
      <c r="CM163" s="50" t="n">
        <f aca="false">IF(AND(CL$162&lt;0,CM$162&gt;=0),84+(-CL$162)/CM$120,0)</f>
        <v>0</v>
      </c>
      <c r="CN163" s="50" t="n">
        <f aca="false">IF(AND(CM$162&lt;0,CN$162&gt;=0),85+(-CM$162)/CN$120,0)</f>
        <v>0</v>
      </c>
      <c r="CO163" s="50" t="n">
        <f aca="false">IF(AND(CN$162&lt;0,CO$162&gt;=0),86+(-CN$162)/CO$120,0)</f>
        <v>0</v>
      </c>
      <c r="CP163" s="50" t="n">
        <f aca="false">IF(AND(CO$162&lt;0,CP$162&gt;=0),87+(-CO$162)/CP$120,0)</f>
        <v>0</v>
      </c>
      <c r="CQ163" s="50" t="n">
        <f aca="false">IF(AND(CP$162&lt;0,CQ$162&gt;=0),88+(-CP$162)/CQ$120,0)</f>
        <v>0</v>
      </c>
      <c r="CR163" s="50" t="n">
        <f aca="false">IF(AND(CQ$162&lt;0,CR$162&gt;=0),89+(-CQ$162)/CR$120,0)</f>
        <v>0</v>
      </c>
      <c r="CS163" s="50" t="n">
        <f aca="false">IF(AND(CR$162&lt;0,CS$162&gt;=0),90+(-CR$162)/CS$120,0)</f>
        <v>0</v>
      </c>
      <c r="CT163" s="50" t="n">
        <f aca="false">IF(AND(CS$162&lt;0,CT$162&gt;=0),91+(-CS$162)/CT$120,0)</f>
        <v>0</v>
      </c>
      <c r="CU163" s="50" t="n">
        <f aca="false">IF(AND(CT$162&lt;0,CU$162&gt;=0),92+(-CT$162)/CU$120,0)</f>
        <v>0</v>
      </c>
      <c r="CV163" s="50" t="n">
        <f aca="false">IF(AND(CU$162&lt;0,CV$162&gt;=0),93+(-CU$162)/CV$120,0)</f>
        <v>0</v>
      </c>
      <c r="CW163" s="50" t="n">
        <f aca="false">IF(AND(CV$162&lt;0,CW$162&gt;=0),94+(-CV$162)/CW$120,0)</f>
        <v>0</v>
      </c>
      <c r="CX163" s="50" t="n">
        <f aca="false">IF(AND(CW$162&lt;0,CX$162&gt;=0),95+(-CW$162)/CX$120,0)</f>
        <v>0</v>
      </c>
      <c r="CY163" s="50" t="n">
        <f aca="false">IF(AND(CX$162&lt;0,CY$162&gt;=0),96+(-CX$162)/CY$120,0)</f>
        <v>0</v>
      </c>
      <c r="CZ163" s="50" t="n">
        <f aca="false">IF(AND(CY$162&lt;0,CZ$162&gt;=0),97+(-CY$162)/CZ$120,0)</f>
        <v>0</v>
      </c>
      <c r="DA163" s="50" t="n">
        <f aca="false">IF(AND(CZ$162&lt;0,DA$162&gt;=0),98+(-CZ$162)/DA$120,0)</f>
        <v>0</v>
      </c>
      <c r="DB163" s="50" t="n">
        <f aca="false">IF(AND(DA$162&lt;0,DB$162&gt;=0),99+(-DA$162)/DB$120,0)</f>
        <v>0</v>
      </c>
      <c r="DC163" s="50" t="n">
        <f aca="false">IF(AND(DB$162&lt;0,DC$162&gt;=0),100+(-DB$162)/DC$120,0)</f>
        <v>0</v>
      </c>
      <c r="DD163" s="50" t="n">
        <f aca="false">IF(AND(DC$162&lt;0,DD$162&gt;=0),101+(-DC$162)/DD$120,0)</f>
        <v>0</v>
      </c>
      <c r="DE163" s="50" t="n">
        <f aca="false">IF(AND(DD$162&lt;0,DE$162&gt;=0),102+(-DD$162)/DE$120,0)</f>
        <v>0</v>
      </c>
      <c r="DF163" s="50" t="n">
        <f aca="false">IF(AND(DE$162&lt;0,DF$162&gt;=0),103+(-DE$162)/DF$120,0)</f>
        <v>0</v>
      </c>
      <c r="DG163" s="50" t="n">
        <f aca="false">IF(AND(DF$162&lt;0,DG$162&gt;=0),104+(-DF$162)/DG$120,0)</f>
        <v>0</v>
      </c>
      <c r="DH163" s="50" t="n">
        <f aca="false">IF(AND(DG$162&lt;0,DH$162&gt;=0),105+(-DG$162)/DH$120,0)</f>
        <v>0</v>
      </c>
      <c r="DI163" s="50" t="n">
        <f aca="false">IF(AND(DH$162&lt;0,DI$162&gt;=0),106+(-DH$162)/DI$120,0)</f>
        <v>0</v>
      </c>
      <c r="DJ163" s="50" t="n">
        <f aca="false">IF(AND(DI$162&lt;0,DJ$162&gt;=0),107+(-DI$162)/DJ$120,0)</f>
        <v>0</v>
      </c>
      <c r="DK163" s="50" t="n">
        <f aca="false">IF(AND(DJ$162&lt;0,DK$162&gt;=0),108+(-DJ$162)/DK$120,0)</f>
        <v>0</v>
      </c>
      <c r="DL163" s="50" t="n">
        <f aca="false">IF(AND(DK$162&lt;0,DL$162&gt;=0),109+(-DK$162)/DL$120,0)</f>
        <v>0</v>
      </c>
      <c r="DM163" s="50" t="n">
        <f aca="false">IF(AND(DL$162&lt;0,DM$162&gt;=0),110+(-DL$162)/DM$120,0)</f>
        <v>0</v>
      </c>
      <c r="DN163" s="50" t="n">
        <f aca="false">IF(AND(DM$162&lt;0,DN$162&gt;=0),111+(-DM$162)/DN$120,0)</f>
        <v>0</v>
      </c>
      <c r="DO163" s="50" t="n">
        <f aca="false">IF(AND(DN$162&lt;0,DO$162&gt;=0),112+(-DN$162)/DO$120,0)</f>
        <v>0</v>
      </c>
      <c r="DP163" s="50" t="n">
        <f aca="false">IF(AND(DO$162&lt;0,DP$162&gt;=0),113+(-DO$162)/DP$120,0)</f>
        <v>0</v>
      </c>
      <c r="DQ163" s="50" t="n">
        <f aca="false">IF(AND(DP$162&lt;0,DQ$162&gt;=0),114+(-DP$162)/DQ$120,0)</f>
        <v>0</v>
      </c>
      <c r="DR163" s="50" t="n">
        <f aca="false">IF(AND(DQ$162&lt;0,DR$162&gt;=0),115+(-DQ$162)/DR$120,0)</f>
        <v>0</v>
      </c>
      <c r="DS163" s="50" t="n">
        <f aca="false">IF(AND(DR$162&lt;0,DS$162&gt;=0),116+(-DR$162)/DS$120,0)</f>
        <v>0</v>
      </c>
      <c r="DT163" s="50" t="n">
        <f aca="false">IF(AND(DS$162&lt;0,DT$162&gt;=0),117+(-DS$162)/DT$120,0)</f>
        <v>0</v>
      </c>
      <c r="DU163" s="50" t="n">
        <f aca="false">IF(AND(DT$162&lt;0,DU$162&gt;=0),118+(-DT$162)/DU$120,0)</f>
        <v>0</v>
      </c>
      <c r="DV163" s="50" t="n">
        <f aca="false">IF(AND(DU$162&lt;0,DV$162&gt;=0),119+(-DU$162)/DV$120,0)</f>
        <v>0</v>
      </c>
      <c r="DW163" s="50" t="n">
        <f aca="false">IF(AND(DV$162&lt;0,DW$162&gt;=0),120+(-DV$162)/DW$120,0)</f>
        <v>0</v>
      </c>
      <c r="DX163" s="50" t="n">
        <f aca="false">IF(AND(DW$162&lt;0,DX$162&gt;=0),121+(-DW$162)/DX$120,0)</f>
        <v>0</v>
      </c>
      <c r="DY163" s="50" t="n">
        <f aca="false">IF(AND(DX$162&lt;0,DY$162&gt;=0),122+(-DX$162)/DY$120,0)</f>
        <v>0</v>
      </c>
      <c r="DZ163" s="50" t="n">
        <f aca="false">IF(AND(DY$162&lt;0,DZ$162&gt;=0),123+(-DY$162)/DZ$120,0)</f>
        <v>0</v>
      </c>
      <c r="EA163" s="50" t="n">
        <f aca="false">IF(AND(DZ$162&lt;0,EA$162&gt;=0),124+(-DZ$162)/EA$120,0)</f>
        <v>0</v>
      </c>
      <c r="EB163" s="50" t="n">
        <f aca="false">IF(AND(EA$162&lt;0,EB$162&gt;=0),125+(-EA$162)/EB$120,0)</f>
        <v>0</v>
      </c>
      <c r="EC163" s="50" t="n">
        <f aca="false">IF(AND(EB$162&lt;0,EC$162&gt;=0),126+(-EB$162)/EC$120,0)</f>
        <v>0</v>
      </c>
      <c r="ED163" s="50" t="n">
        <f aca="false">IF(AND(EC$162&lt;0,ED$162&gt;=0),127+(-EC$162)/ED$120,0)</f>
        <v>0</v>
      </c>
      <c r="EE163" s="50" t="n">
        <f aca="false">IF(AND(ED$162&lt;0,EE$162&gt;=0),128+(-ED$162)/EE$120,0)</f>
        <v>0</v>
      </c>
      <c r="EF163" s="50" t="n">
        <f aca="false">IF(AND(EE$162&lt;0,EF$162&gt;=0),129+(-EE$162)/EF$120,0)</f>
        <v>0</v>
      </c>
      <c r="EG163" s="50" t="n">
        <f aca="false">IF(AND(EF$162&lt;0,EG$162&gt;=0),130+(-EF$162)/EG$120,0)</f>
        <v>0</v>
      </c>
      <c r="EH163" s="50" t="n">
        <f aca="false">IF(AND(EG$162&lt;0,EH$162&gt;=0),131+(-EG$162)/EH$120,0)</f>
        <v>0</v>
      </c>
      <c r="EI163" s="50" t="n">
        <f aca="false">IF(AND(EH$162&lt;0,EI$162&gt;=0),132+(-EH$162)/EI$120,0)</f>
        <v>0</v>
      </c>
      <c r="EJ163" s="50" t="n">
        <f aca="false">IF(AND(EI$162&lt;0,EJ$162&gt;=0),133+(-EI$162)/EJ$120,0)</f>
        <v>0</v>
      </c>
      <c r="EK163" s="50" t="n">
        <f aca="false">IF(AND(EJ$162&lt;0,EK$162&gt;=0),134+(-EJ$162)/EK$120,0)</f>
        <v>0</v>
      </c>
      <c r="EL163" s="50" t="n">
        <f aca="false">IF(AND(EK$162&lt;0,EL$162&gt;=0),135+(-EK$162)/EL$120,0)</f>
        <v>0</v>
      </c>
      <c r="EM163" s="50" t="n">
        <f aca="false">IF(AND(EL$162&lt;0,EM$162&gt;=0),136+(-EL$162)/EM$120,0)</f>
        <v>0</v>
      </c>
      <c r="EN163" s="50" t="n">
        <f aca="false">IF(AND(EM$162&lt;0,EN$162&gt;=0),137+(-EM$162)/EN$120,0)</f>
        <v>0</v>
      </c>
      <c r="EO163" s="50" t="n">
        <f aca="false">IF(AND(EN$162&lt;0,EO$162&gt;=0),138+(-EN$162)/EO$120,0)</f>
        <v>0</v>
      </c>
      <c r="EP163" s="50" t="n">
        <f aca="false">IF(AND(EO$162&lt;0,EP$162&gt;=0),139+(-EO$162)/EP$120,0)</f>
        <v>0</v>
      </c>
      <c r="EQ163" s="50" t="n">
        <f aca="false">IF(AND(EP$162&lt;0,EQ$162&gt;=0),140+(-EP$162)/EQ$120,0)</f>
        <v>0</v>
      </c>
      <c r="ER163" s="50" t="n">
        <f aca="false">IF(AND(EQ$162&lt;0,ER$162&gt;=0),141+(-EQ$162)/ER$120,0)</f>
        <v>0</v>
      </c>
      <c r="ES163" s="50" t="n">
        <f aca="false">IF(AND(ER$162&lt;0,ES$162&gt;=0),142+(-ER$162)/ES$120,0)</f>
        <v>0</v>
      </c>
    </row>
    <row r="164" customFormat="false" ht="15" hidden="false" customHeight="false" outlineLevel="0" collapsed="false">
      <c r="A164" s="11" t="s">
        <v>1289</v>
      </c>
      <c r="B164" s="15" t="s">
        <v>1290</v>
      </c>
      <c r="C164" s="15" t="s">
        <v>508</v>
      </c>
      <c r="E164" s="54" t="n">
        <f aca="false">INDEX(F164:ES164,1,MIN(144,Fin))</f>
        <v>6147646.16149838</v>
      </c>
      <c r="F164" s="48" t="n">
        <f aca="false">0+F$138+F$107-F$153+F$155</f>
        <v>781282.890308923</v>
      </c>
      <c r="G164" s="48" t="n">
        <f aca="false">F$164+G$138+G$107-G$153+G$155</f>
        <v>794783.780617846</v>
      </c>
      <c r="H164" s="48" t="n">
        <f aca="false">G$164+H$138+H$107-H$153+H$155</f>
        <v>808284.670926769</v>
      </c>
      <c r="I164" s="48" t="n">
        <f aca="false">H$164+I$138+I$107-I$153+I$155</f>
        <v>821785.561235692</v>
      </c>
      <c r="J164" s="48" t="n">
        <f aca="false">I$164+J$138+J$107-J$153+J$155</f>
        <v>835286.451544615</v>
      </c>
      <c r="K164" s="48" t="n">
        <f aca="false">J$164+K$138+K$107-K$153+K$155</f>
        <v>848787.341853539</v>
      </c>
      <c r="L164" s="48" t="n">
        <f aca="false">K$164+L$138+L$107-L$153+L$155</f>
        <v>862288.232162462</v>
      </c>
      <c r="M164" s="48" t="n">
        <f aca="false">L$164+M$138+M$107-M$153+M$155</f>
        <v>876136.639730166</v>
      </c>
      <c r="N164" s="48" t="n">
        <f aca="false">M$164+N$138+N$107-N$153+N$155</f>
        <v>890335.170936092</v>
      </c>
      <c r="O164" s="48" t="n">
        <f aca="false">N$164+O$138+O$107-O$153+O$155</f>
        <v>904886.451707527</v>
      </c>
      <c r="P164" s="48" t="n">
        <f aca="false">O$164+P$138+P$107-P$153+P$155</f>
        <v>919793.127666212</v>
      </c>
      <c r="Q164" s="48" t="n">
        <f aca="false">P$164+Q$138+Q$107-Q$153+Q$155</f>
        <v>935057.864276052</v>
      </c>
      <c r="R164" s="48" t="n">
        <f aca="false">Q$164+R$138+R$107-R$153+R$155</f>
        <v>1359776.91617697</v>
      </c>
      <c r="S164" s="48" t="n">
        <f aca="false">R$164+S$138+S$107-S$153+S$155</f>
        <v>1412931.41977972</v>
      </c>
      <c r="T164" s="48" t="n">
        <f aca="false">S$164+T$138+T$107-T$153+T$155</f>
        <v>1466452.10097207</v>
      </c>
      <c r="U164" s="48" t="n">
        <f aca="false">T$164+U$138+U$107-U$153+U$155</f>
        <v>1520341.70608594</v>
      </c>
      <c r="V164" s="48" t="n">
        <f aca="false">U$164+V$138+V$107-V$153+V$155</f>
        <v>1574603.00205074</v>
      </c>
      <c r="W164" s="48" t="n">
        <f aca="false">V$164+W$138+W$107-W$153+W$155</f>
        <v>1629238.77654785</v>
      </c>
      <c r="X164" s="48" t="n">
        <f aca="false">W$164+X$138+X$107-X$153+X$155</f>
        <v>1684251.83816627</v>
      </c>
      <c r="Y164" s="48" t="n">
        <f aca="false">X$164+Y$138+Y$107-Y$153+Y$155</f>
        <v>1739645.0165594</v>
      </c>
      <c r="Z164" s="48" t="n">
        <f aca="false">Y$164+Z$138+Z$107-Z$153+Z$155</f>
        <v>1795421.16260306</v>
      </c>
      <c r="AA164" s="48" t="n">
        <f aca="false">Z$164+AA$138+AA$107-AA$153+AA$155</f>
        <v>1851583.14855461</v>
      </c>
      <c r="AB164" s="48" t="n">
        <f aca="false">AA$164+AB$138+AB$107-AB$153+AB$155</f>
        <v>1908133.86821339</v>
      </c>
      <c r="AC164" s="48" t="n">
        <f aca="false">AB$164+AC$138+AC$107-AC$153+AC$155</f>
        <v>1965076.23708218</v>
      </c>
      <c r="AD164" s="48" t="n">
        <f aca="false">AC$164+AD$138+AD$107-AD$153+AD$155</f>
        <v>2059001.82040122</v>
      </c>
      <c r="AE164" s="48" t="n">
        <f aca="false">AD$164+AE$138+AE$107-AE$153+AE$155</f>
        <v>2153324.9496987</v>
      </c>
      <c r="AF164" s="48" t="n">
        <f aca="false">AE$164+AF$138+AF$107-AF$153+AF$155</f>
        <v>2248048.60656945</v>
      </c>
      <c r="AG164" s="48" t="n">
        <f aca="false">AF$164+AG$138+AG$107-AG$153+AG$155</f>
        <v>2343175.79497027</v>
      </c>
      <c r="AH164" s="48" t="n">
        <f aca="false">AG$164+AH$138+AH$107-AH$153+AH$155</f>
        <v>2438709.54138765</v>
      </c>
      <c r="AI164" s="48" t="n">
        <f aca="false">AH$164+AI$138+AI$107-AI$153+AI$155</f>
        <v>2534652.89500669</v>
      </c>
      <c r="AJ164" s="48" t="n">
        <f aca="false">AI$164+AJ$138+AJ$107-AJ$153+AJ$155</f>
        <v>2631008.92788143</v>
      </c>
      <c r="AK164" s="48" t="n">
        <f aca="false">AJ$164+AK$138+AK$107-AK$153+AK$155</f>
        <v>2727780.73510626</v>
      </c>
      <c r="AL164" s="48" t="n">
        <f aca="false">AK$164+AL$138+AL$107-AL$153+AL$155</f>
        <v>2824971.43498883</v>
      </c>
      <c r="AM164" s="48" t="n">
        <f aca="false">AL$164+AM$138+AM$107-AM$153+AM$155</f>
        <v>2922584.16922405</v>
      </c>
      <c r="AN164" s="48" t="n">
        <f aca="false">AM$164+AN$138+AN$107-AN$153+AN$155</f>
        <v>3020622.10306959</v>
      </c>
      <c r="AO164" s="48" t="n">
        <f aca="false">AN$164+AO$138+AO$107-AO$153+AO$155</f>
        <v>3119088.42552251</v>
      </c>
      <c r="AP164" s="48" t="n">
        <f aca="false">AO$164+AP$138+AP$107-AP$153+AP$155</f>
        <v>3250794.8985121</v>
      </c>
      <c r="AQ164" s="48" t="n">
        <f aca="false">AP$164+AQ$138+AQ$107-AQ$153+AQ$155</f>
        <v>3382936.21003504</v>
      </c>
      <c r="AR164" s="48" t="n">
        <f aca="false">AQ$164+AR$138+AR$107-AR$153+AR$155</f>
        <v>3515515.62138034</v>
      </c>
      <c r="AS164" s="48" t="n">
        <f aca="false">AR$164+AS$138+AS$107-AS$153+AS$155</f>
        <v>3648536.41829666</v>
      </c>
      <c r="AT164" s="48" t="n">
        <f aca="false">AS$164+AT$138+AT$107-AT$153+AT$155</f>
        <v>3782001.91117579</v>
      </c>
      <c r="AU164" s="48" t="n">
        <f aca="false">AT$164+AU$138+AU$107-AU$153+AU$155</f>
        <v>3915915.43523744</v>
      </c>
      <c r="AV164" s="48" t="n">
        <f aca="false">AU$164+AV$138+AV$107-AV$153+AV$155</f>
        <v>4050280.35071549</v>
      </c>
      <c r="AW164" s="48" t="n">
        <f aca="false">AV$164+AW$138+AW$107-AW$153+AW$155</f>
        <v>4185100.04304555</v>
      </c>
      <c r="AX164" s="48" t="n">
        <f aca="false">AW$164+AX$138+AX$107-AX$153+AX$155</f>
        <v>4320377.92305403</v>
      </c>
      <c r="AY164" s="48" t="n">
        <f aca="false">AX$164+AY$138+AY$107-AY$153+AY$155</f>
        <v>4456117.42714849</v>
      </c>
      <c r="AZ164" s="48" t="n">
        <f aca="false">AY$164+AZ$138+AZ$107-AZ$153+AZ$155</f>
        <v>4592322.0175096</v>
      </c>
      <c r="BA164" s="48" t="n">
        <f aca="false">AZ$164+BA$138+BA$107-BA$153+BA$155</f>
        <v>4728995.18228435</v>
      </c>
      <c r="BB164" s="48" t="n">
        <f aca="false">BA$164+BB$138+BB$107-BB$153+BB$155</f>
        <v>4867460.02077736</v>
      </c>
      <c r="BC164" s="48" t="n">
        <f aca="false">BB$164+BC$138+BC$107-BC$153+BC$155</f>
        <v>5006400.48865752</v>
      </c>
      <c r="BD164" s="48" t="n">
        <f aca="false">BC$164+BD$138+BD$107-BD$153+BD$155</f>
        <v>5145820.15314524</v>
      </c>
      <c r="BE164" s="48" t="n">
        <f aca="false">BD$164+BE$138+BE$107-BE$153+BE$155</f>
        <v>4480769.22983416</v>
      </c>
      <c r="BF164" s="48" t="n">
        <f aca="false">BE$164+BF$138+BF$107-BF$153+BF$155</f>
        <v>4621158.09641548</v>
      </c>
      <c r="BG164" s="48" t="n">
        <f aca="false">BF$164+BG$138+BG$107-BG$153+BG$155</f>
        <v>4762037.02259462</v>
      </c>
      <c r="BH164" s="48" t="n">
        <f aca="false">BG$164+BH$138+BH$107-BH$153+BH$155</f>
        <v>4903409.68381856</v>
      </c>
      <c r="BI164" s="48" t="n">
        <f aca="false">BH$164+BI$138+BI$107-BI$153+BI$155</f>
        <v>5045279.78310014</v>
      </c>
      <c r="BJ164" s="48" t="n">
        <f aca="false">BI$164+BJ$138+BJ$107-BJ$153+BJ$155</f>
        <v>5187651.05122479</v>
      </c>
      <c r="BK164" s="48" t="n">
        <f aca="false">BJ$164+BK$138+BK$107-BK$153+BK$155</f>
        <v>5330527.24695883</v>
      </c>
      <c r="BL164" s="48" t="n">
        <f aca="false">BK$164+BL$138+BL$107-BL$153+BL$155</f>
        <v>5473912.15725934</v>
      </c>
      <c r="BM164" s="48" t="n">
        <f aca="false">BL$164+BM$138+BM$107-BM$153+BM$155</f>
        <v>5617809.59748556</v>
      </c>
      <c r="BN164" s="48" t="n">
        <f aca="false">BM$164+BN$138+BN$107-BN$153+BN$155</f>
        <v>5767325.32186672</v>
      </c>
      <c r="BO164" s="48" t="n">
        <f aca="false">BN$164+BO$138+BO$107-BO$153+BO$155</f>
        <v>5916841.04624788</v>
      </c>
      <c r="BP164" s="48" t="n">
        <f aca="false">BO$164+BP$138+BP$107-BP$153+BP$155</f>
        <v>6066356.77062904</v>
      </c>
      <c r="BQ164" s="48" t="n">
        <f aca="false">BP$164+BQ$138+BQ$107-BQ$153+BQ$155</f>
        <v>4751945.95064198</v>
      </c>
      <c r="BR164" s="48" t="n">
        <f aca="false">BQ$164+BR$138+BR$107-BR$153+BR$155</f>
        <v>4901461.67502314</v>
      </c>
      <c r="BS164" s="48" t="n">
        <f aca="false">BR$164+BS$138+BS$107-BS$153+BS$155</f>
        <v>5050977.3994043</v>
      </c>
      <c r="BT164" s="48" t="n">
        <f aca="false">BS$164+BT$138+BT$107-BT$153+BT$155</f>
        <v>5200493.12378545</v>
      </c>
      <c r="BU164" s="48" t="n">
        <f aca="false">BT$164+BU$138+BU$107-BU$153+BU$155</f>
        <v>5350008.84816661</v>
      </c>
      <c r="BV164" s="48" t="n">
        <f aca="false">BU$164+BV$138+BV$107-BV$153+BV$155</f>
        <v>5499524.57254777</v>
      </c>
      <c r="BW164" s="48" t="n">
        <f aca="false">BV$164+BW$138+BW$107-BW$153+BW$155</f>
        <v>5649040.29692893</v>
      </c>
      <c r="BX164" s="48" t="n">
        <f aca="false">BW$164+BX$138+BX$107-BX$153+BX$155</f>
        <v>5798556.02131009</v>
      </c>
      <c r="BY164" s="48" t="n">
        <f aca="false">BX$164+BY$138+BY$107-BY$153+BY$155</f>
        <v>5948071.74569125</v>
      </c>
      <c r="BZ164" s="48" t="n">
        <f aca="false">BY$164+BZ$138+BZ$107-BZ$153+BZ$155</f>
        <v>6101703.05076398</v>
      </c>
      <c r="CA164" s="48" t="n">
        <f aca="false">BZ$164+CA$138+CA$107-CA$153+CA$155</f>
        <v>6255334.35583672</v>
      </c>
      <c r="CB164" s="48" t="n">
        <f aca="false">CA$164+CB$138+CB$107-CB$153+CB$155</f>
        <v>6408965.66090945</v>
      </c>
      <c r="CC164" s="48" t="n">
        <f aca="false">CB$164+CC$138+CC$107-CC$153+CC$155</f>
        <v>4768408.27340827</v>
      </c>
      <c r="CD164" s="48" t="n">
        <f aca="false">CC$164+CD$138+CD$107-CD$153+CD$155</f>
        <v>4922039.578481</v>
      </c>
      <c r="CE164" s="48" t="n">
        <f aca="false">CD$164+CE$138+CE$107-CE$153+CE$155</f>
        <v>5075670.88355373</v>
      </c>
      <c r="CF164" s="48" t="n">
        <f aca="false">CE$164+CF$138+CF$107-CF$153+CF$155</f>
        <v>5229302.18862647</v>
      </c>
      <c r="CG164" s="48" t="n">
        <f aca="false">CF$164+CG$138+CG$107-CG$153+CG$155</f>
        <v>5382933.4936992</v>
      </c>
      <c r="CH164" s="48" t="n">
        <f aca="false">CG$164+CH$138+CH$107-CH$153+CH$155</f>
        <v>5536564.79877193</v>
      </c>
      <c r="CI164" s="48" t="n">
        <f aca="false">CH$164+CI$138+CI$107-CI$153+CI$155</f>
        <v>5690196.10384467</v>
      </c>
      <c r="CJ164" s="48" t="n">
        <f aca="false">CI$164+CJ$138+CJ$107-CJ$153+CJ$155</f>
        <v>5843827.4089174</v>
      </c>
      <c r="CK164" s="48" t="n">
        <f aca="false">CJ$164+CK$138+CK$107-CK$153+CK$155</f>
        <v>5997458.71399013</v>
      </c>
      <c r="CL164" s="48" t="n">
        <f aca="false">CK$164+CL$138+CL$107-CL$153+CL$155</f>
        <v>6155233.81511975</v>
      </c>
      <c r="CM164" s="48" t="n">
        <f aca="false">CL$164+CM$138+CM$107-CM$153+CM$155</f>
        <v>6313008.91624938</v>
      </c>
      <c r="CN164" s="48" t="n">
        <f aca="false">CM$164+CN$138+CN$107-CN$153+CN$155</f>
        <v>6470784.017379</v>
      </c>
      <c r="CO164" s="48" t="n">
        <f aca="false">CN$164+CO$138+CO$107-CO$153+CO$155</f>
        <v>4784983.45763582</v>
      </c>
      <c r="CP164" s="48" t="n">
        <f aca="false">CO$164+CP$138+CP$107-CP$153+CP$155</f>
        <v>4942758.55876544</v>
      </c>
      <c r="CQ164" s="48" t="n">
        <f aca="false">CP$164+CQ$138+CQ$107-CQ$153+CQ$155</f>
        <v>5100533.65989506</v>
      </c>
      <c r="CR164" s="48" t="n">
        <f aca="false">CQ$164+CR$138+CR$107-CR$153+CR$155</f>
        <v>5258308.76102469</v>
      </c>
      <c r="CS164" s="48" t="n">
        <f aca="false">CR$164+CS$138+CS$107-CS$153+CS$155</f>
        <v>5416083.86215431</v>
      </c>
      <c r="CT164" s="48" t="n">
        <f aca="false">CS$164+CT$138+CT$107-CT$153+CT$155</f>
        <v>5573858.96328393</v>
      </c>
      <c r="CU164" s="48" t="n">
        <f aca="false">CT$164+CU$138+CU$107-CU$153+CU$155</f>
        <v>5731634.06441355</v>
      </c>
      <c r="CV164" s="48" t="n">
        <f aca="false">CU$164+CV$138+CV$107-CV$153+CV$155</f>
        <v>5889409.16554317</v>
      </c>
      <c r="CW164" s="48" t="n">
        <f aca="false">CV$164+CW$138+CW$107-CW$153+CW$155</f>
        <v>6047184.26667279</v>
      </c>
      <c r="CX164" s="48" t="n">
        <f aca="false">CW$164+CX$138+CX$107-CX$153+CX$155</f>
        <v>6209131.27890503</v>
      </c>
      <c r="CY164" s="48" t="n">
        <f aca="false">CX$164+CY$138+CY$107-CY$153+CY$155</f>
        <v>6371078.29113727</v>
      </c>
      <c r="CZ164" s="48" t="n">
        <f aca="false">CY$164+CZ$138+CZ$107-CZ$153+CZ$155</f>
        <v>6533025.30336952</v>
      </c>
      <c r="DA164" s="48" t="n">
        <f aca="false">CZ$164+DA$138+DA$107-DA$153+DA$155</f>
        <v>4801671.10204631</v>
      </c>
      <c r="DB164" s="48" t="n">
        <f aca="false">DA$164+DB$138+DB$107-DB$153+DB$155</f>
        <v>4963618.11427855</v>
      </c>
      <c r="DC164" s="48" t="n">
        <f aca="false">DB$164+DC$138+DC$107-DC$153+DC$155</f>
        <v>5125565.12651079</v>
      </c>
      <c r="DD164" s="48" t="n">
        <f aca="false">DC$164+DD$138+DD$107-DD$153+DD$155</f>
        <v>5287512.13874303</v>
      </c>
      <c r="DE164" s="48" t="n">
        <f aca="false">DD$164+DE$138+DE$107-DE$153+DE$155</f>
        <v>5449459.15097527</v>
      </c>
      <c r="DF164" s="48" t="n">
        <f aca="false">DE$164+DF$138+DF$107-DF$153+DF$155</f>
        <v>5611406.16320751</v>
      </c>
      <c r="DG164" s="48" t="n">
        <f aca="false">DF$164+DG$138+DG$107-DG$153+DG$155</f>
        <v>5773353.17543975</v>
      </c>
      <c r="DH164" s="48" t="n">
        <f aca="false">DG$164+DH$138+DH$107-DH$153+DH$155</f>
        <v>5935300.187672</v>
      </c>
      <c r="DI164" s="48" t="n">
        <f aca="false">DH$164+DI$138+DI$107-DI$153+DI$155</f>
        <v>6097247.19990424</v>
      </c>
      <c r="DJ164" s="48" t="n">
        <f aca="false">DI$164+DJ$138+DJ$107-DJ$153+DJ$155</f>
        <v>6263394.12560266</v>
      </c>
      <c r="DK164" s="48" t="n">
        <f aca="false">DJ$164+DK$138+DK$107-DK$153+DK$155</f>
        <v>6429541.05130107</v>
      </c>
      <c r="DL164" s="48" t="n">
        <f aca="false">DK$164+DL$138+DL$107-DL$153+DL$155</f>
        <v>6595687.97699949</v>
      </c>
      <c r="DM164" s="48" t="n">
        <f aca="false">DL$164+DM$138+DM$107-DM$153+DM$155</f>
        <v>4818470.75591102</v>
      </c>
      <c r="DN164" s="48" t="n">
        <f aca="false">DM$164+DN$138+DN$107-DN$153+DN$155</f>
        <v>4984617.68160944</v>
      </c>
      <c r="DO164" s="48" t="n">
        <f aca="false">DN$164+DO$138+DO$107-DO$153+DO$155</f>
        <v>5150764.60730786</v>
      </c>
      <c r="DP164" s="48" t="n">
        <f aca="false">DO$164+DP$138+DP$107-DP$153+DP$155</f>
        <v>5316911.53300628</v>
      </c>
      <c r="DQ164" s="48" t="n">
        <f aca="false">DP$164+DQ$138+DQ$107-DQ$153+DQ$155</f>
        <v>5483058.4587047</v>
      </c>
      <c r="DR164" s="48" t="n">
        <f aca="false">DQ$164+DR$138+DR$107-DR$153+DR$155</f>
        <v>5649205.38440312</v>
      </c>
      <c r="DS164" s="48" t="n">
        <f aca="false">DR$164+DS$138+DS$107-DS$153+DS$155</f>
        <v>5815352.31010154</v>
      </c>
      <c r="DT164" s="48" t="n">
        <f aca="false">DS$164+DT$138+DT$107-DT$153+DT$155</f>
        <v>5981499.23579996</v>
      </c>
      <c r="DU164" s="48" t="n">
        <f aca="false">DT$164+DU$138+DU$107-DU$153+DU$155</f>
        <v>6147646.16149838</v>
      </c>
      <c r="DV164" s="48" t="n">
        <f aca="false">DU$164+DV$138+DV$107-DV$153+DV$155</f>
        <v>6147646.16149838</v>
      </c>
      <c r="DW164" s="48" t="n">
        <f aca="false">DV$164+DW$138+DW$107-DW$153+DW$155</f>
        <v>6147646.16149838</v>
      </c>
      <c r="DX164" s="48" t="n">
        <f aca="false">DW$164+DX$138+DX$107-DX$153+DX$155</f>
        <v>6147646.16149838</v>
      </c>
      <c r="DY164" s="48" t="n">
        <f aca="false">DX$164+DY$138+DY$107-DY$153+DY$155</f>
        <v>6147646.16149838</v>
      </c>
      <c r="DZ164" s="48" t="n">
        <f aca="false">DY$164+DZ$138+DZ$107-DZ$153+DZ$155</f>
        <v>6147646.16149838</v>
      </c>
      <c r="EA164" s="48" t="n">
        <f aca="false">DZ$164+EA$138+EA$107-EA$153+EA$155</f>
        <v>6147646.16149838</v>
      </c>
      <c r="EB164" s="48" t="n">
        <f aca="false">EA$164+EB$138+EB$107-EB$153+EB$155</f>
        <v>6147646.16149838</v>
      </c>
      <c r="EC164" s="48" t="n">
        <f aca="false">EB$164+EC$138+EC$107-EC$153+EC$155</f>
        <v>6147646.16149838</v>
      </c>
      <c r="ED164" s="48" t="n">
        <f aca="false">EC$164+ED$138+ED$107-ED$153+ED$155</f>
        <v>6147646.16149838</v>
      </c>
      <c r="EE164" s="48" t="n">
        <f aca="false">ED$164+EE$138+EE$107-EE$153+EE$155</f>
        <v>6147646.16149838</v>
      </c>
      <c r="EF164" s="48" t="n">
        <f aca="false">EE$164+EF$138+EF$107-EF$153+EF$155</f>
        <v>6147646.16149838</v>
      </c>
      <c r="EG164" s="48" t="n">
        <f aca="false">EF$164+EG$138+EG$107-EG$153+EG$155</f>
        <v>6147646.16149838</v>
      </c>
      <c r="EH164" s="48" t="n">
        <f aca="false">EG$164+EH$138+EH$107-EH$153+EH$155</f>
        <v>6147646.16149838</v>
      </c>
      <c r="EI164" s="48" t="n">
        <f aca="false">EH$164+EI$138+EI$107-EI$153+EI$155</f>
        <v>6147646.16149838</v>
      </c>
      <c r="EJ164" s="48" t="n">
        <f aca="false">EI$164+EJ$138+EJ$107-EJ$153+EJ$155</f>
        <v>6147646.16149838</v>
      </c>
      <c r="EK164" s="48" t="n">
        <f aca="false">EJ$164+EK$138+EK$107-EK$153+EK$155</f>
        <v>6147646.16149838</v>
      </c>
      <c r="EL164" s="48" t="n">
        <f aca="false">EK$164+EL$138+EL$107-EL$153+EL$155</f>
        <v>6147646.16149838</v>
      </c>
      <c r="EM164" s="48" t="n">
        <f aca="false">EL$164+EM$138+EM$107-EM$153+EM$155</f>
        <v>6147646.16149838</v>
      </c>
      <c r="EN164" s="48" t="n">
        <f aca="false">EM$164+EN$138+EN$107-EN$153+EN$155</f>
        <v>6147646.16149838</v>
      </c>
      <c r="EO164" s="48" t="n">
        <f aca="false">EN$164+EO$138+EO$107-EO$153+EO$155</f>
        <v>6147646.16149838</v>
      </c>
      <c r="EP164" s="48" t="n">
        <f aca="false">EO$164+EP$138+EP$107-EP$153+EP$155</f>
        <v>6147646.16149838</v>
      </c>
      <c r="EQ164" s="48" t="n">
        <f aca="false">EP$164+EQ$138+EQ$107-EQ$153+EQ$155</f>
        <v>6147646.16149838</v>
      </c>
      <c r="ER164" s="48" t="n">
        <f aca="false">EQ$164+ER$138+ER$107-ER$153+ER$155</f>
        <v>6147646.16149838</v>
      </c>
      <c r="ES164" s="48" t="n">
        <f aca="false">ER$164+ES$138+ES$107-ES$153+ES$155</f>
        <v>6147646.16149838</v>
      </c>
    </row>
    <row r="165" customFormat="false" ht="15" hidden="false" customHeight="false" outlineLevel="0" collapsed="false">
      <c r="A165" s="11" t="s">
        <v>1291</v>
      </c>
      <c r="B165" s="67" t="s">
        <v>1292</v>
      </c>
      <c r="C165" s="15" t="s">
        <v>508</v>
      </c>
      <c r="E165" s="68" t="n">
        <f aca="false">MAX(ABS(MAX(F165:ES165)),ABS(MIN(F165:ES165)))</f>
        <v>0</v>
      </c>
      <c r="F165" s="69" t="n">
        <f aca="false">ROUND(F$154+F$109+F$110+F$111+F$118-F$112-F$148-F$164,2)</f>
        <v>0</v>
      </c>
      <c r="G165" s="69" t="n">
        <f aca="false">ROUND(G$154+G$109+G$110+G$111+G$118-G$112-G$148-G$164,2)</f>
        <v>0</v>
      </c>
      <c r="H165" s="69" t="n">
        <f aca="false">ROUND(H$154+H$109+H$110+H$111+H$118-H$112-H$148-H$164,2)</f>
        <v>0</v>
      </c>
      <c r="I165" s="69" t="n">
        <f aca="false">ROUND(I$154+I$109+I$110+I$111+I$118-I$112-I$148-I$164,2)</f>
        <v>0</v>
      </c>
      <c r="J165" s="69" t="n">
        <f aca="false">ROUND(J$154+J$109+J$110+J$111+J$118-J$112-J$148-J$164,2)</f>
        <v>0</v>
      </c>
      <c r="K165" s="69" t="n">
        <f aca="false">ROUND(K$154+K$109+K$110+K$111+K$118-K$112-K$148-K$164,2)</f>
        <v>0</v>
      </c>
      <c r="L165" s="69" t="n">
        <f aca="false">ROUND(L$154+L$109+L$110+L$111+L$118-L$112-L$148-L$164,2)</f>
        <v>0</v>
      </c>
      <c r="M165" s="69" t="n">
        <f aca="false">ROUND(M$154+M$109+M$110+M$111+M$118-M$112-M$148-M$164,2)</f>
        <v>0</v>
      </c>
      <c r="N165" s="69" t="n">
        <f aca="false">ROUND(N$154+N$109+N$110+N$111+N$118-N$112-N$148-N$164,2)</f>
        <v>0</v>
      </c>
      <c r="O165" s="69" t="n">
        <f aca="false">ROUND(O$154+O$109+O$110+O$111+O$118-O$112-O$148-O$164,2)</f>
        <v>0</v>
      </c>
      <c r="P165" s="69" t="n">
        <f aca="false">ROUND(P$154+P$109+P$110+P$111+P$118-P$112-P$148-P$164,2)</f>
        <v>0</v>
      </c>
      <c r="Q165" s="69" t="n">
        <f aca="false">ROUND(Q$154+Q$109+Q$110+Q$111+Q$118-Q$112-Q$148-Q$164,2)</f>
        <v>0</v>
      </c>
      <c r="R165" s="69" t="n">
        <f aca="false">ROUND(R$154+R$109+R$110+R$111+R$118-R$112-R$148-R$164,2)</f>
        <v>0</v>
      </c>
      <c r="S165" s="69" t="n">
        <f aca="false">ROUND(S$154+S$109+S$110+S$111+S$118-S$112-S$148-S$164,2)</f>
        <v>0</v>
      </c>
      <c r="T165" s="69" t="n">
        <f aca="false">ROUND(T$154+T$109+T$110+T$111+T$118-T$112-T$148-T$164,2)</f>
        <v>0</v>
      </c>
      <c r="U165" s="69" t="n">
        <f aca="false">ROUND(U$154+U$109+U$110+U$111+U$118-U$112-U$148-U$164,2)</f>
        <v>0</v>
      </c>
      <c r="V165" s="69" t="n">
        <f aca="false">ROUND(V$154+V$109+V$110+V$111+V$118-V$112-V$148-V$164,2)</f>
        <v>0</v>
      </c>
      <c r="W165" s="69" t="n">
        <f aca="false">ROUND(W$154+W$109+W$110+W$111+W$118-W$112-W$148-W$164,2)</f>
        <v>0</v>
      </c>
      <c r="X165" s="69" t="n">
        <f aca="false">ROUND(X$154+X$109+X$110+X$111+X$118-X$112-X$148-X$164,2)</f>
        <v>0</v>
      </c>
      <c r="Y165" s="69" t="n">
        <f aca="false">ROUND(Y$154+Y$109+Y$110+Y$111+Y$118-Y$112-Y$148-Y$164,2)</f>
        <v>0</v>
      </c>
      <c r="Z165" s="69" t="n">
        <f aca="false">ROUND(Z$154+Z$109+Z$110+Z$111+Z$118-Z$112-Z$148-Z$164,2)</f>
        <v>0</v>
      </c>
      <c r="AA165" s="69" t="n">
        <f aca="false">ROUND(AA$154+AA$109+AA$110+AA$111+AA$118-AA$112-AA$148-AA$164,2)</f>
        <v>0</v>
      </c>
      <c r="AB165" s="69" t="n">
        <f aca="false">ROUND(AB$154+AB$109+AB$110+AB$111+AB$118-AB$112-AB$148-AB$164,2)</f>
        <v>0</v>
      </c>
      <c r="AC165" s="69" t="n">
        <f aca="false">ROUND(AC$154+AC$109+AC$110+AC$111+AC$118-AC$112-AC$148-AC$164,2)</f>
        <v>0</v>
      </c>
      <c r="AD165" s="69" t="n">
        <f aca="false">ROUND(AD$154+AD$109+AD$110+AD$111+AD$118-AD$112-AD$148-AD$164,2)</f>
        <v>0</v>
      </c>
      <c r="AE165" s="69" t="n">
        <f aca="false">ROUND(AE$154+AE$109+AE$110+AE$111+AE$118-AE$112-AE$148-AE$164,2)</f>
        <v>0</v>
      </c>
      <c r="AF165" s="69" t="n">
        <f aca="false">ROUND(AF$154+AF$109+AF$110+AF$111+AF$118-AF$112-AF$148-AF$164,2)</f>
        <v>0</v>
      </c>
      <c r="AG165" s="69" t="n">
        <f aca="false">ROUND(AG$154+AG$109+AG$110+AG$111+AG$118-AG$112-AG$148-AG$164,2)</f>
        <v>0</v>
      </c>
      <c r="AH165" s="69" t="n">
        <f aca="false">ROUND(AH$154+AH$109+AH$110+AH$111+AH$118-AH$112-AH$148-AH$164,2)</f>
        <v>0</v>
      </c>
      <c r="AI165" s="69" t="n">
        <f aca="false">ROUND(AI$154+AI$109+AI$110+AI$111+AI$118-AI$112-AI$148-AI$164,2)</f>
        <v>0</v>
      </c>
      <c r="AJ165" s="69" t="n">
        <f aca="false">ROUND(AJ$154+AJ$109+AJ$110+AJ$111+AJ$118-AJ$112-AJ$148-AJ$164,2)</f>
        <v>0</v>
      </c>
      <c r="AK165" s="69" t="n">
        <f aca="false">ROUND(AK$154+AK$109+AK$110+AK$111+AK$118-AK$112-AK$148-AK$164,2)</f>
        <v>0</v>
      </c>
      <c r="AL165" s="69" t="n">
        <f aca="false">ROUND(AL$154+AL$109+AL$110+AL$111+AL$118-AL$112-AL$148-AL$164,2)</f>
        <v>0</v>
      </c>
      <c r="AM165" s="69" t="n">
        <f aca="false">ROUND(AM$154+AM$109+AM$110+AM$111+AM$118-AM$112-AM$148-AM$164,2)</f>
        <v>0</v>
      </c>
      <c r="AN165" s="69" t="n">
        <f aca="false">ROUND(AN$154+AN$109+AN$110+AN$111+AN$118-AN$112-AN$148-AN$164,2)</f>
        <v>0</v>
      </c>
      <c r="AO165" s="69" t="n">
        <f aca="false">ROUND(AO$154+AO$109+AO$110+AO$111+AO$118-AO$112-AO$148-AO$164,2)</f>
        <v>0</v>
      </c>
      <c r="AP165" s="69" t="n">
        <f aca="false">ROUND(AP$154+AP$109+AP$110+AP$111+AP$118-AP$112-AP$148-AP$164,2)</f>
        <v>0</v>
      </c>
      <c r="AQ165" s="69" t="n">
        <f aca="false">ROUND(AQ$154+AQ$109+AQ$110+AQ$111+AQ$118-AQ$112-AQ$148-AQ$164,2)</f>
        <v>0</v>
      </c>
      <c r="AR165" s="69" t="n">
        <f aca="false">ROUND(AR$154+AR$109+AR$110+AR$111+AR$118-AR$112-AR$148-AR$164,2)</f>
        <v>0</v>
      </c>
      <c r="AS165" s="69" t="n">
        <f aca="false">ROUND(AS$154+AS$109+AS$110+AS$111+AS$118-AS$112-AS$148-AS$164,2)</f>
        <v>0</v>
      </c>
      <c r="AT165" s="69" t="n">
        <f aca="false">ROUND(AT$154+AT$109+AT$110+AT$111+AT$118-AT$112-AT$148-AT$164,2)</f>
        <v>0</v>
      </c>
      <c r="AU165" s="69" t="n">
        <f aca="false">ROUND(AU$154+AU$109+AU$110+AU$111+AU$118-AU$112-AU$148-AU$164,2)</f>
        <v>0</v>
      </c>
      <c r="AV165" s="69" t="n">
        <f aca="false">ROUND(AV$154+AV$109+AV$110+AV$111+AV$118-AV$112-AV$148-AV$164,2)</f>
        <v>0</v>
      </c>
      <c r="AW165" s="69" t="n">
        <f aca="false">ROUND(AW$154+AW$109+AW$110+AW$111+AW$118-AW$112-AW$148-AW$164,2)</f>
        <v>0</v>
      </c>
      <c r="AX165" s="69" t="n">
        <f aca="false">ROUND(AX$154+AX$109+AX$110+AX$111+AX$118-AX$112-AX$148-AX$164,2)</f>
        <v>0</v>
      </c>
      <c r="AY165" s="69" t="n">
        <f aca="false">ROUND(AY$154+AY$109+AY$110+AY$111+AY$118-AY$112-AY$148-AY$164,2)</f>
        <v>0</v>
      </c>
      <c r="AZ165" s="69" t="n">
        <f aca="false">ROUND(AZ$154+AZ$109+AZ$110+AZ$111+AZ$118-AZ$112-AZ$148-AZ$164,2)</f>
        <v>0</v>
      </c>
      <c r="BA165" s="69" t="n">
        <f aca="false">ROUND(BA$154+BA$109+BA$110+BA$111+BA$118-BA$112-BA$148-BA$164,2)</f>
        <v>0</v>
      </c>
      <c r="BB165" s="69" t="n">
        <f aca="false">ROUND(BB$154+BB$109+BB$110+BB$111+BB$118-BB$112-BB$148-BB$164,2)</f>
        <v>0</v>
      </c>
      <c r="BC165" s="69" t="n">
        <f aca="false">ROUND(BC$154+BC$109+BC$110+BC$111+BC$118-BC$112-BC$148-BC$164,2)</f>
        <v>0</v>
      </c>
      <c r="BD165" s="69" t="n">
        <f aca="false">ROUND(BD$154+BD$109+BD$110+BD$111+BD$118-BD$112-BD$148-BD$164,2)</f>
        <v>0</v>
      </c>
      <c r="BE165" s="69" t="n">
        <f aca="false">ROUND(BE$154+BE$109+BE$110+BE$111+BE$118-BE$112-BE$148-BE$164,2)</f>
        <v>0</v>
      </c>
      <c r="BF165" s="69" t="n">
        <f aca="false">ROUND(BF$154+BF$109+BF$110+BF$111+BF$118-BF$112-BF$148-BF$164,2)</f>
        <v>0</v>
      </c>
      <c r="BG165" s="69" t="n">
        <f aca="false">ROUND(BG$154+BG$109+BG$110+BG$111+BG$118-BG$112-BG$148-BG$164,2)</f>
        <v>0</v>
      </c>
      <c r="BH165" s="69" t="n">
        <f aca="false">ROUND(BH$154+BH$109+BH$110+BH$111+BH$118-BH$112-BH$148-BH$164,2)</f>
        <v>0</v>
      </c>
      <c r="BI165" s="69" t="n">
        <f aca="false">ROUND(BI$154+BI$109+BI$110+BI$111+BI$118-BI$112-BI$148-BI$164,2)</f>
        <v>0</v>
      </c>
      <c r="BJ165" s="69" t="n">
        <f aca="false">ROUND(BJ$154+BJ$109+BJ$110+BJ$111+BJ$118-BJ$112-BJ$148-BJ$164,2)</f>
        <v>0</v>
      </c>
      <c r="BK165" s="69" t="n">
        <f aca="false">ROUND(BK$154+BK$109+BK$110+BK$111+BK$118-BK$112-BK$148-BK$164,2)</f>
        <v>0</v>
      </c>
      <c r="BL165" s="69" t="n">
        <f aca="false">ROUND(BL$154+BL$109+BL$110+BL$111+BL$118-BL$112-BL$148-BL$164,2)</f>
        <v>0</v>
      </c>
      <c r="BM165" s="69" t="n">
        <f aca="false">ROUND(BM$154+BM$109+BM$110+BM$111+BM$118-BM$112-BM$148-BM$164,2)</f>
        <v>0</v>
      </c>
      <c r="BN165" s="69" t="n">
        <f aca="false">ROUND(BN$154+BN$109+BN$110+BN$111+BN$118-BN$112-BN$148-BN$164,2)</f>
        <v>0</v>
      </c>
      <c r="BO165" s="69" t="n">
        <f aca="false">ROUND(BO$154+BO$109+BO$110+BO$111+BO$118-BO$112-BO$148-BO$164,2)</f>
        <v>0</v>
      </c>
      <c r="BP165" s="69" t="n">
        <f aca="false">ROUND(BP$154+BP$109+BP$110+BP$111+BP$118-BP$112-BP$148-BP$164,2)</f>
        <v>0</v>
      </c>
      <c r="BQ165" s="69" t="n">
        <f aca="false">ROUND(BQ$154+BQ$109+BQ$110+BQ$111+BQ$118-BQ$112-BQ$148-BQ$164,2)</f>
        <v>0</v>
      </c>
      <c r="BR165" s="69" t="n">
        <f aca="false">ROUND(BR$154+BR$109+BR$110+BR$111+BR$118-BR$112-BR$148-BR$164,2)</f>
        <v>0</v>
      </c>
      <c r="BS165" s="69" t="n">
        <f aca="false">ROUND(BS$154+BS$109+BS$110+BS$111+BS$118-BS$112-BS$148-BS$164,2)</f>
        <v>0</v>
      </c>
      <c r="BT165" s="69" t="n">
        <f aca="false">ROUND(BT$154+BT$109+BT$110+BT$111+BT$118-BT$112-BT$148-BT$164,2)</f>
        <v>0</v>
      </c>
      <c r="BU165" s="69" t="n">
        <f aca="false">ROUND(BU$154+BU$109+BU$110+BU$111+BU$118-BU$112-BU$148-BU$164,2)</f>
        <v>0</v>
      </c>
      <c r="BV165" s="69" t="n">
        <f aca="false">ROUND(BV$154+BV$109+BV$110+BV$111+BV$118-BV$112-BV$148-BV$164,2)</f>
        <v>0</v>
      </c>
      <c r="BW165" s="69" t="n">
        <f aca="false">ROUND(BW$154+BW$109+BW$110+BW$111+BW$118-BW$112-BW$148-BW$164,2)</f>
        <v>0</v>
      </c>
      <c r="BX165" s="69" t="n">
        <f aca="false">ROUND(BX$154+BX$109+BX$110+BX$111+BX$118-BX$112-BX$148-BX$164,2)</f>
        <v>0</v>
      </c>
      <c r="BY165" s="69" t="n">
        <f aca="false">ROUND(BY$154+BY$109+BY$110+BY$111+BY$118-BY$112-BY$148-BY$164,2)</f>
        <v>0</v>
      </c>
      <c r="BZ165" s="69" t="n">
        <f aca="false">ROUND(BZ$154+BZ$109+BZ$110+BZ$111+BZ$118-BZ$112-BZ$148-BZ$164,2)</f>
        <v>0</v>
      </c>
      <c r="CA165" s="69" t="n">
        <f aca="false">ROUND(CA$154+CA$109+CA$110+CA$111+CA$118-CA$112-CA$148-CA$164,2)</f>
        <v>0</v>
      </c>
      <c r="CB165" s="69" t="n">
        <f aca="false">ROUND(CB$154+CB$109+CB$110+CB$111+CB$118-CB$112-CB$148-CB$164,2)</f>
        <v>0</v>
      </c>
      <c r="CC165" s="69" t="n">
        <f aca="false">ROUND(CC$154+CC$109+CC$110+CC$111+CC$118-CC$112-CC$148-CC$164,2)</f>
        <v>0</v>
      </c>
      <c r="CD165" s="69" t="n">
        <f aca="false">ROUND(CD$154+CD$109+CD$110+CD$111+CD$118-CD$112-CD$148-CD$164,2)</f>
        <v>0</v>
      </c>
      <c r="CE165" s="69" t="n">
        <f aca="false">ROUND(CE$154+CE$109+CE$110+CE$111+CE$118-CE$112-CE$148-CE$164,2)</f>
        <v>0</v>
      </c>
      <c r="CF165" s="69" t="n">
        <f aca="false">ROUND(CF$154+CF$109+CF$110+CF$111+CF$118-CF$112-CF$148-CF$164,2)</f>
        <v>0</v>
      </c>
      <c r="CG165" s="69" t="n">
        <f aca="false">ROUND(CG$154+CG$109+CG$110+CG$111+CG$118-CG$112-CG$148-CG$164,2)</f>
        <v>0</v>
      </c>
      <c r="CH165" s="69" t="n">
        <f aca="false">ROUND(CH$154+CH$109+CH$110+CH$111+CH$118-CH$112-CH$148-CH$164,2)</f>
        <v>0</v>
      </c>
      <c r="CI165" s="69" t="n">
        <f aca="false">ROUND(CI$154+CI$109+CI$110+CI$111+CI$118-CI$112-CI$148-CI$164,2)</f>
        <v>0</v>
      </c>
      <c r="CJ165" s="69" t="n">
        <f aca="false">ROUND(CJ$154+CJ$109+CJ$110+CJ$111+CJ$118-CJ$112-CJ$148-CJ$164,2)</f>
        <v>0</v>
      </c>
      <c r="CK165" s="69" t="n">
        <f aca="false">ROUND(CK$154+CK$109+CK$110+CK$111+CK$118-CK$112-CK$148-CK$164,2)</f>
        <v>0</v>
      </c>
      <c r="CL165" s="69" t="n">
        <f aca="false">ROUND(CL$154+CL$109+CL$110+CL$111+CL$118-CL$112-CL$148-CL$164,2)</f>
        <v>0</v>
      </c>
      <c r="CM165" s="69" t="n">
        <f aca="false">ROUND(CM$154+CM$109+CM$110+CM$111+CM$118-CM$112-CM$148-CM$164,2)</f>
        <v>0</v>
      </c>
      <c r="CN165" s="69" t="n">
        <f aca="false">ROUND(CN$154+CN$109+CN$110+CN$111+CN$118-CN$112-CN$148-CN$164,2)</f>
        <v>0</v>
      </c>
      <c r="CO165" s="69" t="n">
        <f aca="false">ROUND(CO$154+CO$109+CO$110+CO$111+CO$118-CO$112-CO$148-CO$164,2)</f>
        <v>0</v>
      </c>
      <c r="CP165" s="69" t="n">
        <f aca="false">ROUND(CP$154+CP$109+CP$110+CP$111+CP$118-CP$112-CP$148-CP$164,2)</f>
        <v>0</v>
      </c>
      <c r="CQ165" s="69" t="n">
        <f aca="false">ROUND(CQ$154+CQ$109+CQ$110+CQ$111+CQ$118-CQ$112-CQ$148-CQ$164,2)</f>
        <v>0</v>
      </c>
      <c r="CR165" s="69" t="n">
        <f aca="false">ROUND(CR$154+CR$109+CR$110+CR$111+CR$118-CR$112-CR$148-CR$164,2)</f>
        <v>0</v>
      </c>
      <c r="CS165" s="69" t="n">
        <f aca="false">ROUND(CS$154+CS$109+CS$110+CS$111+CS$118-CS$112-CS$148-CS$164,2)</f>
        <v>0</v>
      </c>
      <c r="CT165" s="69" t="n">
        <f aca="false">ROUND(CT$154+CT$109+CT$110+CT$111+CT$118-CT$112-CT$148-CT$164,2)</f>
        <v>0</v>
      </c>
      <c r="CU165" s="69" t="n">
        <f aca="false">ROUND(CU$154+CU$109+CU$110+CU$111+CU$118-CU$112-CU$148-CU$164,2)</f>
        <v>0</v>
      </c>
      <c r="CV165" s="69" t="n">
        <f aca="false">ROUND(CV$154+CV$109+CV$110+CV$111+CV$118-CV$112-CV$148-CV$164,2)</f>
        <v>0</v>
      </c>
      <c r="CW165" s="69" t="n">
        <f aca="false">ROUND(CW$154+CW$109+CW$110+CW$111+CW$118-CW$112-CW$148-CW$164,2)</f>
        <v>0</v>
      </c>
      <c r="CX165" s="69" t="n">
        <f aca="false">ROUND(CX$154+CX$109+CX$110+CX$111+CX$118-CX$112-CX$148-CX$164,2)</f>
        <v>0</v>
      </c>
      <c r="CY165" s="69" t="n">
        <f aca="false">ROUND(CY$154+CY$109+CY$110+CY$111+CY$118-CY$112-CY$148-CY$164,2)</f>
        <v>0</v>
      </c>
      <c r="CZ165" s="69" t="n">
        <f aca="false">ROUND(CZ$154+CZ$109+CZ$110+CZ$111+CZ$118-CZ$112-CZ$148-CZ$164,2)</f>
        <v>0</v>
      </c>
      <c r="DA165" s="69" t="n">
        <f aca="false">ROUND(DA$154+DA$109+DA$110+DA$111+DA$118-DA$112-DA$148-DA$164,2)</f>
        <v>0</v>
      </c>
      <c r="DB165" s="69" t="n">
        <f aca="false">ROUND(DB$154+DB$109+DB$110+DB$111+DB$118-DB$112-DB$148-DB$164,2)</f>
        <v>0</v>
      </c>
      <c r="DC165" s="69" t="n">
        <f aca="false">ROUND(DC$154+DC$109+DC$110+DC$111+DC$118-DC$112-DC$148-DC$164,2)</f>
        <v>0</v>
      </c>
      <c r="DD165" s="69" t="n">
        <f aca="false">ROUND(DD$154+DD$109+DD$110+DD$111+DD$118-DD$112-DD$148-DD$164,2)</f>
        <v>0</v>
      </c>
      <c r="DE165" s="69" t="n">
        <f aca="false">ROUND(DE$154+DE$109+DE$110+DE$111+DE$118-DE$112-DE$148-DE$164,2)</f>
        <v>0</v>
      </c>
      <c r="DF165" s="69" t="n">
        <f aca="false">ROUND(DF$154+DF$109+DF$110+DF$111+DF$118-DF$112-DF$148-DF$164,2)</f>
        <v>0</v>
      </c>
      <c r="DG165" s="69" t="n">
        <f aca="false">ROUND(DG$154+DG$109+DG$110+DG$111+DG$118-DG$112-DG$148-DG$164,2)</f>
        <v>0</v>
      </c>
      <c r="DH165" s="69" t="n">
        <f aca="false">ROUND(DH$154+DH$109+DH$110+DH$111+DH$118-DH$112-DH$148-DH$164,2)</f>
        <v>0</v>
      </c>
      <c r="DI165" s="69" t="n">
        <f aca="false">ROUND(DI$154+DI$109+DI$110+DI$111+DI$118-DI$112-DI$148-DI$164,2)</f>
        <v>0</v>
      </c>
      <c r="DJ165" s="69" t="n">
        <f aca="false">ROUND(DJ$154+DJ$109+DJ$110+DJ$111+DJ$118-DJ$112-DJ$148-DJ$164,2)</f>
        <v>0</v>
      </c>
      <c r="DK165" s="69" t="n">
        <f aca="false">ROUND(DK$154+DK$109+DK$110+DK$111+DK$118-DK$112-DK$148-DK$164,2)</f>
        <v>0</v>
      </c>
      <c r="DL165" s="69" t="n">
        <f aca="false">ROUND(DL$154+DL$109+DL$110+DL$111+DL$118-DL$112-DL$148-DL$164,2)</f>
        <v>0</v>
      </c>
      <c r="DM165" s="69" t="n">
        <f aca="false">ROUND(DM$154+DM$109+DM$110+DM$111+DM$118-DM$112-DM$148-DM$164,2)</f>
        <v>0</v>
      </c>
      <c r="DN165" s="69" t="n">
        <f aca="false">ROUND(DN$154+DN$109+DN$110+DN$111+DN$118-DN$112-DN$148-DN$164,2)</f>
        <v>0</v>
      </c>
      <c r="DO165" s="69" t="n">
        <f aca="false">ROUND(DO$154+DO$109+DO$110+DO$111+DO$118-DO$112-DO$148-DO$164,2)</f>
        <v>0</v>
      </c>
      <c r="DP165" s="69" t="n">
        <f aca="false">ROUND(DP$154+DP$109+DP$110+DP$111+DP$118-DP$112-DP$148-DP$164,2)</f>
        <v>0</v>
      </c>
      <c r="DQ165" s="69" t="n">
        <f aca="false">ROUND(DQ$154+DQ$109+DQ$110+DQ$111+DQ$118-DQ$112-DQ$148-DQ$164,2)</f>
        <v>0</v>
      </c>
      <c r="DR165" s="69" t="n">
        <f aca="false">ROUND(DR$154+DR$109+DR$110+DR$111+DR$118-DR$112-DR$148-DR$164,2)</f>
        <v>0</v>
      </c>
      <c r="DS165" s="69" t="n">
        <f aca="false">ROUND(DS$154+DS$109+DS$110+DS$111+DS$118-DS$112-DS$148-DS$164,2)</f>
        <v>0</v>
      </c>
      <c r="DT165" s="69" t="n">
        <f aca="false">ROUND(DT$154+DT$109+DT$110+DT$111+DT$118-DT$112-DT$148-DT$164,2)</f>
        <v>0</v>
      </c>
      <c r="DU165" s="69" t="n">
        <f aca="false">ROUND(DU$154+DU$109+DU$110+DU$111+DU$118-DU$112-DU$148-DU$164,2)</f>
        <v>0</v>
      </c>
      <c r="DV165" s="69" t="n">
        <f aca="false">ROUND(DV$154+DV$109+DV$110+DV$111+DV$118-DV$112-DV$148-DV$164,2)</f>
        <v>0</v>
      </c>
      <c r="DW165" s="69" t="n">
        <f aca="false">ROUND(DW$154+DW$109+DW$110+DW$111+DW$118-DW$112-DW$148-DW$164,2)</f>
        <v>0</v>
      </c>
      <c r="DX165" s="69" t="n">
        <f aca="false">ROUND(DX$154+DX$109+DX$110+DX$111+DX$118-DX$112-DX$148-DX$164,2)</f>
        <v>0</v>
      </c>
      <c r="DY165" s="69" t="n">
        <f aca="false">ROUND(DY$154+DY$109+DY$110+DY$111+DY$118-DY$112-DY$148-DY$164,2)</f>
        <v>0</v>
      </c>
      <c r="DZ165" s="69" t="n">
        <f aca="false">ROUND(DZ$154+DZ$109+DZ$110+DZ$111+DZ$118-DZ$112-DZ$148-DZ$164,2)</f>
        <v>0</v>
      </c>
      <c r="EA165" s="69" t="n">
        <f aca="false">ROUND(EA$154+EA$109+EA$110+EA$111+EA$118-EA$112-EA$148-EA$164,2)</f>
        <v>0</v>
      </c>
      <c r="EB165" s="69" t="n">
        <f aca="false">ROUND(EB$154+EB$109+EB$110+EB$111+EB$118-EB$112-EB$148-EB$164,2)</f>
        <v>0</v>
      </c>
      <c r="EC165" s="69" t="n">
        <f aca="false">ROUND(EC$154+EC$109+EC$110+EC$111+EC$118-EC$112-EC$148-EC$164,2)</f>
        <v>0</v>
      </c>
      <c r="ED165" s="69" t="n">
        <f aca="false">ROUND(ED$154+ED$109+ED$110+ED$111+ED$118-ED$112-ED$148-ED$164,2)</f>
        <v>0</v>
      </c>
      <c r="EE165" s="69" t="n">
        <f aca="false">ROUND(EE$154+EE$109+EE$110+EE$111+EE$118-EE$112-EE$148-EE$164,2)</f>
        <v>0</v>
      </c>
      <c r="EF165" s="69" t="n">
        <f aca="false">ROUND(EF$154+EF$109+EF$110+EF$111+EF$118-EF$112-EF$148-EF$164,2)</f>
        <v>0</v>
      </c>
      <c r="EG165" s="69" t="n">
        <f aca="false">ROUND(EG$154+EG$109+EG$110+EG$111+EG$118-EG$112-EG$148-EG$164,2)</f>
        <v>0</v>
      </c>
      <c r="EH165" s="69" t="n">
        <f aca="false">ROUND(EH$154+EH$109+EH$110+EH$111+EH$118-EH$112-EH$148-EH$164,2)</f>
        <v>0</v>
      </c>
      <c r="EI165" s="69" t="n">
        <f aca="false">ROUND(EI$154+EI$109+EI$110+EI$111+EI$118-EI$112-EI$148-EI$164,2)</f>
        <v>0</v>
      </c>
      <c r="EJ165" s="69" t="n">
        <f aca="false">ROUND(EJ$154+EJ$109+EJ$110+EJ$111+EJ$118-EJ$112-EJ$148-EJ$164,2)</f>
        <v>0</v>
      </c>
      <c r="EK165" s="69" t="n">
        <f aca="false">ROUND(EK$154+EK$109+EK$110+EK$111+EK$118-EK$112-EK$148-EK$164,2)</f>
        <v>0</v>
      </c>
      <c r="EL165" s="69" t="n">
        <f aca="false">ROUND(EL$154+EL$109+EL$110+EL$111+EL$118-EL$112-EL$148-EL$164,2)</f>
        <v>0</v>
      </c>
      <c r="EM165" s="69" t="n">
        <f aca="false">ROUND(EM$154+EM$109+EM$110+EM$111+EM$118-EM$112-EM$148-EM$164,2)</f>
        <v>0</v>
      </c>
      <c r="EN165" s="69" t="n">
        <f aca="false">ROUND(EN$154+EN$109+EN$110+EN$111+EN$118-EN$112-EN$148-EN$164,2)</f>
        <v>0</v>
      </c>
      <c r="EO165" s="69" t="n">
        <f aca="false">ROUND(EO$154+EO$109+EO$110+EO$111+EO$118-EO$112-EO$148-EO$164,2)</f>
        <v>0</v>
      </c>
      <c r="EP165" s="69" t="n">
        <f aca="false">ROUND(EP$154+EP$109+EP$110+EP$111+EP$118-EP$112-EP$148-EP$164,2)</f>
        <v>0</v>
      </c>
      <c r="EQ165" s="69" t="n">
        <f aca="false">ROUND(EQ$154+EQ$109+EQ$110+EQ$111+EQ$118-EQ$112-EQ$148-EQ$164,2)</f>
        <v>0</v>
      </c>
      <c r="ER165" s="69" t="n">
        <f aca="false">ROUND(ER$154+ER$109+ER$110+ER$111+ER$118-ER$112-ER$148-ER$164,2)</f>
        <v>0</v>
      </c>
      <c r="ES165" s="69" t="n">
        <f aca="false">ROUND(ES$154+ES$109+ES$110+ES$111+ES$118-ES$112-ES$148-ES$164,2)</f>
        <v>0</v>
      </c>
    </row>
    <row r="168" customFormat="false" ht="15" hidden="false" customHeight="false" outlineLevel="0" collapsed="false">
      <c r="A168" s="70"/>
      <c r="B168" s="71" t="s">
        <v>1293</v>
      </c>
      <c r="C168" s="70"/>
      <c r="D168" s="70"/>
      <c r="E168" s="70"/>
    </row>
    <row r="169" customFormat="false" ht="15" hidden="false" customHeight="false" outlineLevel="0" collapsed="false">
      <c r="A169" s="13"/>
      <c r="B169" s="12" t="s">
        <v>1051</v>
      </c>
      <c r="C169" s="13"/>
      <c r="D169" s="13"/>
      <c r="E169" s="13"/>
    </row>
    <row r="170" customFormat="false" ht="15" hidden="false" customHeight="false" outlineLevel="0" collapsed="false">
      <c r="A170" s="11" t="s">
        <v>1294</v>
      </c>
      <c r="B170" s="15" t="s">
        <v>1053</v>
      </c>
      <c r="C170" s="15" t="s">
        <v>1054</v>
      </c>
      <c r="F170" s="34" t="n">
        <f aca="false">IF(AND(1&gt;=V_Inicio,1&lt;=Fin),INT((1-V_Inicio)/12)+1,0)</f>
        <v>1</v>
      </c>
      <c r="G170" s="34" t="n">
        <f aca="false">IF(AND(2&gt;=V_Inicio,2&lt;=Fin),INT((2-V_Inicio)/12)+1,0)</f>
        <v>1</v>
      </c>
      <c r="H170" s="34" t="n">
        <f aca="false">IF(AND(3&gt;=V_Inicio,3&lt;=Fin),INT((3-V_Inicio)/12)+1,0)</f>
        <v>1</v>
      </c>
      <c r="I170" s="34" t="n">
        <f aca="false">IF(AND(4&gt;=V_Inicio,4&lt;=Fin),INT((4-V_Inicio)/12)+1,0)</f>
        <v>1</v>
      </c>
      <c r="J170" s="34" t="n">
        <f aca="false">IF(AND(5&gt;=V_Inicio,5&lt;=Fin),INT((5-V_Inicio)/12)+1,0)</f>
        <v>1</v>
      </c>
      <c r="K170" s="34" t="n">
        <f aca="false">IF(AND(6&gt;=V_Inicio,6&lt;=Fin),INT((6-V_Inicio)/12)+1,0)</f>
        <v>1</v>
      </c>
      <c r="L170" s="34" t="n">
        <f aca="false">IF(AND(7&gt;=V_Inicio,7&lt;=Fin),INT((7-V_Inicio)/12)+1,0)</f>
        <v>1</v>
      </c>
      <c r="M170" s="34" t="n">
        <f aca="false">IF(AND(8&gt;=V_Inicio,8&lt;=Fin),INT((8-V_Inicio)/12)+1,0)</f>
        <v>1</v>
      </c>
      <c r="N170" s="34" t="n">
        <f aca="false">IF(AND(9&gt;=V_Inicio,9&lt;=Fin),INT((9-V_Inicio)/12)+1,0)</f>
        <v>1</v>
      </c>
      <c r="O170" s="34" t="n">
        <f aca="false">IF(AND(10&gt;=V_Inicio,10&lt;=Fin),INT((10-V_Inicio)/12)+1,0)</f>
        <v>1</v>
      </c>
      <c r="P170" s="34" t="n">
        <f aca="false">IF(AND(11&gt;=V_Inicio,11&lt;=Fin),INT((11-V_Inicio)/12)+1,0)</f>
        <v>1</v>
      </c>
      <c r="Q170" s="34" t="n">
        <f aca="false">IF(AND(12&gt;=V_Inicio,12&lt;=Fin),INT((12-V_Inicio)/12)+1,0)</f>
        <v>1</v>
      </c>
      <c r="R170" s="34" t="n">
        <f aca="false">IF(AND(13&gt;=V_Inicio,13&lt;=Fin),INT((13-V_Inicio)/12)+1,0)</f>
        <v>2</v>
      </c>
      <c r="S170" s="34" t="n">
        <f aca="false">IF(AND(14&gt;=V_Inicio,14&lt;=Fin),INT((14-V_Inicio)/12)+1,0)</f>
        <v>2</v>
      </c>
      <c r="T170" s="34" t="n">
        <f aca="false">IF(AND(15&gt;=V_Inicio,15&lt;=Fin),INT((15-V_Inicio)/12)+1,0)</f>
        <v>2</v>
      </c>
      <c r="U170" s="34" t="n">
        <f aca="false">IF(AND(16&gt;=V_Inicio,16&lt;=Fin),INT((16-V_Inicio)/12)+1,0)</f>
        <v>2</v>
      </c>
      <c r="V170" s="34" t="n">
        <f aca="false">IF(AND(17&gt;=V_Inicio,17&lt;=Fin),INT((17-V_Inicio)/12)+1,0)</f>
        <v>2</v>
      </c>
      <c r="W170" s="34" t="n">
        <f aca="false">IF(AND(18&gt;=V_Inicio,18&lt;=Fin),INT((18-V_Inicio)/12)+1,0)</f>
        <v>2</v>
      </c>
      <c r="X170" s="34" t="n">
        <f aca="false">IF(AND(19&gt;=V_Inicio,19&lt;=Fin),INT((19-V_Inicio)/12)+1,0)</f>
        <v>2</v>
      </c>
      <c r="Y170" s="34" t="n">
        <f aca="false">IF(AND(20&gt;=V_Inicio,20&lt;=Fin),INT((20-V_Inicio)/12)+1,0)</f>
        <v>2</v>
      </c>
      <c r="Z170" s="34" t="n">
        <f aca="false">IF(AND(21&gt;=V_Inicio,21&lt;=Fin),INT((21-V_Inicio)/12)+1,0)</f>
        <v>2</v>
      </c>
      <c r="AA170" s="34" t="n">
        <f aca="false">IF(AND(22&gt;=V_Inicio,22&lt;=Fin),INT((22-V_Inicio)/12)+1,0)</f>
        <v>2</v>
      </c>
      <c r="AB170" s="34" t="n">
        <f aca="false">IF(AND(23&gt;=V_Inicio,23&lt;=Fin),INT((23-V_Inicio)/12)+1,0)</f>
        <v>2</v>
      </c>
      <c r="AC170" s="34" t="n">
        <f aca="false">IF(AND(24&gt;=V_Inicio,24&lt;=Fin),INT((24-V_Inicio)/12)+1,0)</f>
        <v>2</v>
      </c>
      <c r="AD170" s="34" t="n">
        <f aca="false">IF(AND(25&gt;=V_Inicio,25&lt;=Fin),INT((25-V_Inicio)/12)+1,0)</f>
        <v>3</v>
      </c>
      <c r="AE170" s="34" t="n">
        <f aca="false">IF(AND(26&gt;=V_Inicio,26&lt;=Fin),INT((26-V_Inicio)/12)+1,0)</f>
        <v>3</v>
      </c>
      <c r="AF170" s="34" t="n">
        <f aca="false">IF(AND(27&gt;=V_Inicio,27&lt;=Fin),INT((27-V_Inicio)/12)+1,0)</f>
        <v>3</v>
      </c>
      <c r="AG170" s="34" t="n">
        <f aca="false">IF(AND(28&gt;=V_Inicio,28&lt;=Fin),INT((28-V_Inicio)/12)+1,0)</f>
        <v>3</v>
      </c>
      <c r="AH170" s="34" t="n">
        <f aca="false">IF(AND(29&gt;=V_Inicio,29&lt;=Fin),INT((29-V_Inicio)/12)+1,0)</f>
        <v>3</v>
      </c>
      <c r="AI170" s="34" t="n">
        <f aca="false">IF(AND(30&gt;=V_Inicio,30&lt;=Fin),INT((30-V_Inicio)/12)+1,0)</f>
        <v>3</v>
      </c>
      <c r="AJ170" s="34" t="n">
        <f aca="false">IF(AND(31&gt;=V_Inicio,31&lt;=Fin),INT((31-V_Inicio)/12)+1,0)</f>
        <v>3</v>
      </c>
      <c r="AK170" s="34" t="n">
        <f aca="false">IF(AND(32&gt;=V_Inicio,32&lt;=Fin),INT((32-V_Inicio)/12)+1,0)</f>
        <v>3</v>
      </c>
      <c r="AL170" s="34" t="n">
        <f aca="false">IF(AND(33&gt;=V_Inicio,33&lt;=Fin),INT((33-V_Inicio)/12)+1,0)</f>
        <v>3</v>
      </c>
      <c r="AM170" s="34" t="n">
        <f aca="false">IF(AND(34&gt;=V_Inicio,34&lt;=Fin),INT((34-V_Inicio)/12)+1,0)</f>
        <v>3</v>
      </c>
      <c r="AN170" s="34" t="n">
        <f aca="false">IF(AND(35&gt;=V_Inicio,35&lt;=Fin),INT((35-V_Inicio)/12)+1,0)</f>
        <v>3</v>
      </c>
      <c r="AO170" s="34" t="n">
        <f aca="false">IF(AND(36&gt;=V_Inicio,36&lt;=Fin),INT((36-V_Inicio)/12)+1,0)</f>
        <v>3</v>
      </c>
      <c r="AP170" s="34" t="n">
        <f aca="false">IF(AND(37&gt;=V_Inicio,37&lt;=Fin),INT((37-V_Inicio)/12)+1,0)</f>
        <v>4</v>
      </c>
      <c r="AQ170" s="34" t="n">
        <f aca="false">IF(AND(38&gt;=V_Inicio,38&lt;=Fin),INT((38-V_Inicio)/12)+1,0)</f>
        <v>4</v>
      </c>
      <c r="AR170" s="34" t="n">
        <f aca="false">IF(AND(39&gt;=V_Inicio,39&lt;=Fin),INT((39-V_Inicio)/12)+1,0)</f>
        <v>4</v>
      </c>
      <c r="AS170" s="34" t="n">
        <f aca="false">IF(AND(40&gt;=V_Inicio,40&lt;=Fin),INT((40-V_Inicio)/12)+1,0)</f>
        <v>4</v>
      </c>
      <c r="AT170" s="34" t="n">
        <f aca="false">IF(AND(41&gt;=V_Inicio,41&lt;=Fin),INT((41-V_Inicio)/12)+1,0)</f>
        <v>4</v>
      </c>
      <c r="AU170" s="34" t="n">
        <f aca="false">IF(AND(42&gt;=V_Inicio,42&lt;=Fin),INT((42-V_Inicio)/12)+1,0)</f>
        <v>4</v>
      </c>
      <c r="AV170" s="34" t="n">
        <f aca="false">IF(AND(43&gt;=V_Inicio,43&lt;=Fin),INT((43-V_Inicio)/12)+1,0)</f>
        <v>4</v>
      </c>
      <c r="AW170" s="34" t="n">
        <f aca="false">IF(AND(44&gt;=V_Inicio,44&lt;=Fin),INT((44-V_Inicio)/12)+1,0)</f>
        <v>4</v>
      </c>
      <c r="AX170" s="34" t="n">
        <f aca="false">IF(AND(45&gt;=V_Inicio,45&lt;=Fin),INT((45-V_Inicio)/12)+1,0)</f>
        <v>4</v>
      </c>
      <c r="AY170" s="34" t="n">
        <f aca="false">IF(AND(46&gt;=V_Inicio,46&lt;=Fin),INT((46-V_Inicio)/12)+1,0)</f>
        <v>4</v>
      </c>
      <c r="AZ170" s="34" t="n">
        <f aca="false">IF(AND(47&gt;=V_Inicio,47&lt;=Fin),INT((47-V_Inicio)/12)+1,0)</f>
        <v>4</v>
      </c>
      <c r="BA170" s="34" t="n">
        <f aca="false">IF(AND(48&gt;=V_Inicio,48&lt;=Fin),INT((48-V_Inicio)/12)+1,0)</f>
        <v>4</v>
      </c>
      <c r="BB170" s="34" t="n">
        <f aca="false">IF(AND(49&gt;=V_Inicio,49&lt;=Fin),INT((49-V_Inicio)/12)+1,0)</f>
        <v>5</v>
      </c>
      <c r="BC170" s="34" t="n">
        <f aca="false">IF(AND(50&gt;=V_Inicio,50&lt;=Fin),INT((50-V_Inicio)/12)+1,0)</f>
        <v>5</v>
      </c>
      <c r="BD170" s="34" t="n">
        <f aca="false">IF(AND(51&gt;=V_Inicio,51&lt;=Fin),INT((51-V_Inicio)/12)+1,0)</f>
        <v>5</v>
      </c>
      <c r="BE170" s="34" t="n">
        <f aca="false">IF(AND(52&gt;=V_Inicio,52&lt;=Fin),INT((52-V_Inicio)/12)+1,0)</f>
        <v>5</v>
      </c>
      <c r="BF170" s="34" t="n">
        <f aca="false">IF(AND(53&gt;=V_Inicio,53&lt;=Fin),INT((53-V_Inicio)/12)+1,0)</f>
        <v>5</v>
      </c>
      <c r="BG170" s="34" t="n">
        <f aca="false">IF(AND(54&gt;=V_Inicio,54&lt;=Fin),INT((54-V_Inicio)/12)+1,0)</f>
        <v>5</v>
      </c>
      <c r="BH170" s="34" t="n">
        <f aca="false">IF(AND(55&gt;=V_Inicio,55&lt;=Fin),INT((55-V_Inicio)/12)+1,0)</f>
        <v>5</v>
      </c>
      <c r="BI170" s="34" t="n">
        <f aca="false">IF(AND(56&gt;=V_Inicio,56&lt;=Fin),INT((56-V_Inicio)/12)+1,0)</f>
        <v>5</v>
      </c>
      <c r="BJ170" s="34" t="n">
        <f aca="false">IF(AND(57&gt;=V_Inicio,57&lt;=Fin),INT((57-V_Inicio)/12)+1,0)</f>
        <v>5</v>
      </c>
      <c r="BK170" s="34" t="n">
        <f aca="false">IF(AND(58&gt;=V_Inicio,58&lt;=Fin),INT((58-V_Inicio)/12)+1,0)</f>
        <v>5</v>
      </c>
      <c r="BL170" s="34" t="n">
        <f aca="false">IF(AND(59&gt;=V_Inicio,59&lt;=Fin),INT((59-V_Inicio)/12)+1,0)</f>
        <v>5</v>
      </c>
      <c r="BM170" s="34" t="n">
        <f aca="false">IF(AND(60&gt;=V_Inicio,60&lt;=Fin),INT((60-V_Inicio)/12)+1,0)</f>
        <v>5</v>
      </c>
      <c r="BN170" s="34" t="n">
        <f aca="false">IF(AND(61&gt;=V_Inicio,61&lt;=Fin),INT((61-V_Inicio)/12)+1,0)</f>
        <v>6</v>
      </c>
      <c r="BO170" s="34" t="n">
        <f aca="false">IF(AND(62&gt;=V_Inicio,62&lt;=Fin),INT((62-V_Inicio)/12)+1,0)</f>
        <v>6</v>
      </c>
      <c r="BP170" s="34" t="n">
        <f aca="false">IF(AND(63&gt;=V_Inicio,63&lt;=Fin),INT((63-V_Inicio)/12)+1,0)</f>
        <v>6</v>
      </c>
      <c r="BQ170" s="34" t="n">
        <f aca="false">IF(AND(64&gt;=V_Inicio,64&lt;=Fin),INT((64-V_Inicio)/12)+1,0)</f>
        <v>6</v>
      </c>
      <c r="BR170" s="34" t="n">
        <f aca="false">IF(AND(65&gt;=V_Inicio,65&lt;=Fin),INT((65-V_Inicio)/12)+1,0)</f>
        <v>6</v>
      </c>
      <c r="BS170" s="34" t="n">
        <f aca="false">IF(AND(66&gt;=V_Inicio,66&lt;=Fin),INT((66-V_Inicio)/12)+1,0)</f>
        <v>6</v>
      </c>
      <c r="BT170" s="34" t="n">
        <f aca="false">IF(AND(67&gt;=V_Inicio,67&lt;=Fin),INT((67-V_Inicio)/12)+1,0)</f>
        <v>6</v>
      </c>
      <c r="BU170" s="34" t="n">
        <f aca="false">IF(AND(68&gt;=V_Inicio,68&lt;=Fin),INT((68-V_Inicio)/12)+1,0)</f>
        <v>6</v>
      </c>
      <c r="BV170" s="34" t="n">
        <f aca="false">IF(AND(69&gt;=V_Inicio,69&lt;=Fin),INT((69-V_Inicio)/12)+1,0)</f>
        <v>6</v>
      </c>
      <c r="BW170" s="34" t="n">
        <f aca="false">IF(AND(70&gt;=V_Inicio,70&lt;=Fin),INT((70-V_Inicio)/12)+1,0)</f>
        <v>6</v>
      </c>
      <c r="BX170" s="34" t="n">
        <f aca="false">IF(AND(71&gt;=V_Inicio,71&lt;=Fin),INT((71-V_Inicio)/12)+1,0)</f>
        <v>6</v>
      </c>
      <c r="BY170" s="34" t="n">
        <f aca="false">IF(AND(72&gt;=V_Inicio,72&lt;=Fin),INT((72-V_Inicio)/12)+1,0)</f>
        <v>6</v>
      </c>
      <c r="BZ170" s="34" t="n">
        <f aca="false">IF(AND(73&gt;=V_Inicio,73&lt;=Fin),INT((73-V_Inicio)/12)+1,0)</f>
        <v>7</v>
      </c>
      <c r="CA170" s="34" t="n">
        <f aca="false">IF(AND(74&gt;=V_Inicio,74&lt;=Fin),INT((74-V_Inicio)/12)+1,0)</f>
        <v>7</v>
      </c>
      <c r="CB170" s="34" t="n">
        <f aca="false">IF(AND(75&gt;=V_Inicio,75&lt;=Fin),INT((75-V_Inicio)/12)+1,0)</f>
        <v>7</v>
      </c>
      <c r="CC170" s="34" t="n">
        <f aca="false">IF(AND(76&gt;=V_Inicio,76&lt;=Fin),INT((76-V_Inicio)/12)+1,0)</f>
        <v>7</v>
      </c>
      <c r="CD170" s="34" t="n">
        <f aca="false">IF(AND(77&gt;=V_Inicio,77&lt;=Fin),INT((77-V_Inicio)/12)+1,0)</f>
        <v>7</v>
      </c>
      <c r="CE170" s="34" t="n">
        <f aca="false">IF(AND(78&gt;=V_Inicio,78&lt;=Fin),INT((78-V_Inicio)/12)+1,0)</f>
        <v>7</v>
      </c>
      <c r="CF170" s="34" t="n">
        <f aca="false">IF(AND(79&gt;=V_Inicio,79&lt;=Fin),INT((79-V_Inicio)/12)+1,0)</f>
        <v>7</v>
      </c>
      <c r="CG170" s="34" t="n">
        <f aca="false">IF(AND(80&gt;=V_Inicio,80&lt;=Fin),INT((80-V_Inicio)/12)+1,0)</f>
        <v>7</v>
      </c>
      <c r="CH170" s="34" t="n">
        <f aca="false">IF(AND(81&gt;=V_Inicio,81&lt;=Fin),INT((81-V_Inicio)/12)+1,0)</f>
        <v>7</v>
      </c>
      <c r="CI170" s="34" t="n">
        <f aca="false">IF(AND(82&gt;=V_Inicio,82&lt;=Fin),INT((82-V_Inicio)/12)+1,0)</f>
        <v>7</v>
      </c>
      <c r="CJ170" s="34" t="n">
        <f aca="false">IF(AND(83&gt;=V_Inicio,83&lt;=Fin),INT((83-V_Inicio)/12)+1,0)</f>
        <v>7</v>
      </c>
      <c r="CK170" s="34" t="n">
        <f aca="false">IF(AND(84&gt;=V_Inicio,84&lt;=Fin),INT((84-V_Inicio)/12)+1,0)</f>
        <v>7</v>
      </c>
      <c r="CL170" s="34" t="n">
        <f aca="false">IF(AND(85&gt;=V_Inicio,85&lt;=Fin),INT((85-V_Inicio)/12)+1,0)</f>
        <v>8</v>
      </c>
      <c r="CM170" s="34" t="n">
        <f aca="false">IF(AND(86&gt;=V_Inicio,86&lt;=Fin),INT((86-V_Inicio)/12)+1,0)</f>
        <v>8</v>
      </c>
      <c r="CN170" s="34" t="n">
        <f aca="false">IF(AND(87&gt;=V_Inicio,87&lt;=Fin),INT((87-V_Inicio)/12)+1,0)</f>
        <v>8</v>
      </c>
      <c r="CO170" s="34" t="n">
        <f aca="false">IF(AND(88&gt;=V_Inicio,88&lt;=Fin),INT((88-V_Inicio)/12)+1,0)</f>
        <v>8</v>
      </c>
      <c r="CP170" s="34" t="n">
        <f aca="false">IF(AND(89&gt;=V_Inicio,89&lt;=Fin),INT((89-V_Inicio)/12)+1,0)</f>
        <v>8</v>
      </c>
      <c r="CQ170" s="34" t="n">
        <f aca="false">IF(AND(90&gt;=V_Inicio,90&lt;=Fin),INT((90-V_Inicio)/12)+1,0)</f>
        <v>8</v>
      </c>
      <c r="CR170" s="34" t="n">
        <f aca="false">IF(AND(91&gt;=V_Inicio,91&lt;=Fin),INT((91-V_Inicio)/12)+1,0)</f>
        <v>8</v>
      </c>
      <c r="CS170" s="34" t="n">
        <f aca="false">IF(AND(92&gt;=V_Inicio,92&lt;=Fin),INT((92-V_Inicio)/12)+1,0)</f>
        <v>8</v>
      </c>
      <c r="CT170" s="34" t="n">
        <f aca="false">IF(AND(93&gt;=V_Inicio,93&lt;=Fin),INT((93-V_Inicio)/12)+1,0)</f>
        <v>8</v>
      </c>
      <c r="CU170" s="34" t="n">
        <f aca="false">IF(AND(94&gt;=V_Inicio,94&lt;=Fin),INT((94-V_Inicio)/12)+1,0)</f>
        <v>8</v>
      </c>
      <c r="CV170" s="34" t="n">
        <f aca="false">IF(AND(95&gt;=V_Inicio,95&lt;=Fin),INT((95-V_Inicio)/12)+1,0)</f>
        <v>8</v>
      </c>
      <c r="CW170" s="34" t="n">
        <f aca="false">IF(AND(96&gt;=V_Inicio,96&lt;=Fin),INT((96-V_Inicio)/12)+1,0)</f>
        <v>8</v>
      </c>
      <c r="CX170" s="34" t="n">
        <f aca="false">IF(AND(97&gt;=V_Inicio,97&lt;=Fin),INT((97-V_Inicio)/12)+1,0)</f>
        <v>9</v>
      </c>
      <c r="CY170" s="34" t="n">
        <f aca="false">IF(AND(98&gt;=V_Inicio,98&lt;=Fin),INT((98-V_Inicio)/12)+1,0)</f>
        <v>9</v>
      </c>
      <c r="CZ170" s="34" t="n">
        <f aca="false">IF(AND(99&gt;=V_Inicio,99&lt;=Fin),INT((99-V_Inicio)/12)+1,0)</f>
        <v>9</v>
      </c>
      <c r="DA170" s="34" t="n">
        <f aca="false">IF(AND(100&gt;=V_Inicio,100&lt;=Fin),INT((100-V_Inicio)/12)+1,0)</f>
        <v>9</v>
      </c>
      <c r="DB170" s="34" t="n">
        <f aca="false">IF(AND(101&gt;=V_Inicio,101&lt;=Fin),INT((101-V_Inicio)/12)+1,0)</f>
        <v>9</v>
      </c>
      <c r="DC170" s="34" t="n">
        <f aca="false">IF(AND(102&gt;=V_Inicio,102&lt;=Fin),INT((102-V_Inicio)/12)+1,0)</f>
        <v>9</v>
      </c>
      <c r="DD170" s="34" t="n">
        <f aca="false">IF(AND(103&gt;=V_Inicio,103&lt;=Fin),INT((103-V_Inicio)/12)+1,0)</f>
        <v>9</v>
      </c>
      <c r="DE170" s="34" t="n">
        <f aca="false">IF(AND(104&gt;=V_Inicio,104&lt;=Fin),INT((104-V_Inicio)/12)+1,0)</f>
        <v>9</v>
      </c>
      <c r="DF170" s="34" t="n">
        <f aca="false">IF(AND(105&gt;=V_Inicio,105&lt;=Fin),INT((105-V_Inicio)/12)+1,0)</f>
        <v>9</v>
      </c>
      <c r="DG170" s="34" t="n">
        <f aca="false">IF(AND(106&gt;=V_Inicio,106&lt;=Fin),INT((106-V_Inicio)/12)+1,0)</f>
        <v>9</v>
      </c>
      <c r="DH170" s="34" t="n">
        <f aca="false">IF(AND(107&gt;=V_Inicio,107&lt;=Fin),INT((107-V_Inicio)/12)+1,0)</f>
        <v>9</v>
      </c>
      <c r="DI170" s="34" t="n">
        <f aca="false">IF(AND(108&gt;=V_Inicio,108&lt;=Fin),INT((108-V_Inicio)/12)+1,0)</f>
        <v>9</v>
      </c>
      <c r="DJ170" s="34" t="n">
        <f aca="false">IF(AND(109&gt;=V_Inicio,109&lt;=Fin),INT((109-V_Inicio)/12)+1,0)</f>
        <v>10</v>
      </c>
      <c r="DK170" s="34" t="n">
        <f aca="false">IF(AND(110&gt;=V_Inicio,110&lt;=Fin),INT((110-V_Inicio)/12)+1,0)</f>
        <v>10</v>
      </c>
      <c r="DL170" s="34" t="n">
        <f aca="false">IF(AND(111&gt;=V_Inicio,111&lt;=Fin),INT((111-V_Inicio)/12)+1,0)</f>
        <v>10</v>
      </c>
      <c r="DM170" s="34" t="n">
        <f aca="false">IF(AND(112&gt;=V_Inicio,112&lt;=Fin),INT((112-V_Inicio)/12)+1,0)</f>
        <v>10</v>
      </c>
      <c r="DN170" s="34" t="n">
        <f aca="false">IF(AND(113&gt;=V_Inicio,113&lt;=Fin),INT((113-V_Inicio)/12)+1,0)</f>
        <v>10</v>
      </c>
      <c r="DO170" s="34" t="n">
        <f aca="false">IF(AND(114&gt;=V_Inicio,114&lt;=Fin),INT((114-V_Inicio)/12)+1,0)</f>
        <v>10</v>
      </c>
      <c r="DP170" s="34" t="n">
        <f aca="false">IF(AND(115&gt;=V_Inicio,115&lt;=Fin),INT((115-V_Inicio)/12)+1,0)</f>
        <v>10</v>
      </c>
      <c r="DQ170" s="34" t="n">
        <f aca="false">IF(AND(116&gt;=V_Inicio,116&lt;=Fin),INT((116-V_Inicio)/12)+1,0)</f>
        <v>10</v>
      </c>
      <c r="DR170" s="34" t="n">
        <f aca="false">IF(AND(117&gt;=V_Inicio,117&lt;=Fin),INT((117-V_Inicio)/12)+1,0)</f>
        <v>10</v>
      </c>
      <c r="DS170" s="34" t="n">
        <f aca="false">IF(AND(118&gt;=V_Inicio,118&lt;=Fin),INT((118-V_Inicio)/12)+1,0)</f>
        <v>10</v>
      </c>
      <c r="DT170" s="34" t="n">
        <f aca="false">IF(AND(119&gt;=V_Inicio,119&lt;=Fin),INT((119-V_Inicio)/12)+1,0)</f>
        <v>10</v>
      </c>
      <c r="DU170" s="34" t="n">
        <f aca="false">IF(AND(120&gt;=V_Inicio,120&lt;=Fin),INT((120-V_Inicio)/12)+1,0)</f>
        <v>10</v>
      </c>
      <c r="DV170" s="34" t="n">
        <f aca="false">IF(AND(121&gt;=V_Inicio,121&lt;=Fin),INT((121-V_Inicio)/12)+1,0)</f>
        <v>0</v>
      </c>
      <c r="DW170" s="34" t="n">
        <f aca="false">IF(AND(122&gt;=V_Inicio,122&lt;=Fin),INT((122-V_Inicio)/12)+1,0)</f>
        <v>0</v>
      </c>
      <c r="DX170" s="34" t="n">
        <f aca="false">IF(AND(123&gt;=V_Inicio,123&lt;=Fin),INT((123-V_Inicio)/12)+1,0)</f>
        <v>0</v>
      </c>
      <c r="DY170" s="34" t="n">
        <f aca="false">IF(AND(124&gt;=V_Inicio,124&lt;=Fin),INT((124-V_Inicio)/12)+1,0)</f>
        <v>0</v>
      </c>
      <c r="DZ170" s="34" t="n">
        <f aca="false">IF(AND(125&gt;=V_Inicio,125&lt;=Fin),INT((125-V_Inicio)/12)+1,0)</f>
        <v>0</v>
      </c>
      <c r="EA170" s="34" t="n">
        <f aca="false">IF(AND(126&gt;=V_Inicio,126&lt;=Fin),INT((126-V_Inicio)/12)+1,0)</f>
        <v>0</v>
      </c>
      <c r="EB170" s="34" t="n">
        <f aca="false">IF(AND(127&gt;=V_Inicio,127&lt;=Fin),INT((127-V_Inicio)/12)+1,0)</f>
        <v>0</v>
      </c>
      <c r="EC170" s="34" t="n">
        <f aca="false">IF(AND(128&gt;=V_Inicio,128&lt;=Fin),INT((128-V_Inicio)/12)+1,0)</f>
        <v>0</v>
      </c>
      <c r="ED170" s="34" t="n">
        <f aca="false">IF(AND(129&gt;=V_Inicio,129&lt;=Fin),INT((129-V_Inicio)/12)+1,0)</f>
        <v>0</v>
      </c>
      <c r="EE170" s="34" t="n">
        <f aca="false">IF(AND(130&gt;=V_Inicio,130&lt;=Fin),INT((130-V_Inicio)/12)+1,0)</f>
        <v>0</v>
      </c>
      <c r="EF170" s="34" t="n">
        <f aca="false">IF(AND(131&gt;=V_Inicio,131&lt;=Fin),INT((131-V_Inicio)/12)+1,0)</f>
        <v>0</v>
      </c>
      <c r="EG170" s="34" t="n">
        <f aca="false">IF(AND(132&gt;=V_Inicio,132&lt;=Fin),INT((132-V_Inicio)/12)+1,0)</f>
        <v>0</v>
      </c>
      <c r="EH170" s="34" t="n">
        <f aca="false">IF(AND(133&gt;=V_Inicio,133&lt;=Fin),INT((133-V_Inicio)/12)+1,0)</f>
        <v>0</v>
      </c>
      <c r="EI170" s="34" t="n">
        <f aca="false">IF(AND(134&gt;=V_Inicio,134&lt;=Fin),INT((134-V_Inicio)/12)+1,0)</f>
        <v>0</v>
      </c>
      <c r="EJ170" s="34" t="n">
        <f aca="false">IF(AND(135&gt;=V_Inicio,135&lt;=Fin),INT((135-V_Inicio)/12)+1,0)</f>
        <v>0</v>
      </c>
      <c r="EK170" s="34" t="n">
        <f aca="false">IF(AND(136&gt;=V_Inicio,136&lt;=Fin),INT((136-V_Inicio)/12)+1,0)</f>
        <v>0</v>
      </c>
      <c r="EL170" s="34" t="n">
        <f aca="false">IF(AND(137&gt;=V_Inicio,137&lt;=Fin),INT((137-V_Inicio)/12)+1,0)</f>
        <v>0</v>
      </c>
      <c r="EM170" s="34" t="n">
        <f aca="false">IF(AND(138&gt;=V_Inicio,138&lt;=Fin),INT((138-V_Inicio)/12)+1,0)</f>
        <v>0</v>
      </c>
      <c r="EN170" s="34" t="n">
        <f aca="false">IF(AND(139&gt;=V_Inicio,139&lt;=Fin),INT((139-V_Inicio)/12)+1,0)</f>
        <v>0</v>
      </c>
      <c r="EO170" s="34" t="n">
        <f aca="false">IF(AND(140&gt;=V_Inicio,140&lt;=Fin),INT((140-V_Inicio)/12)+1,0)</f>
        <v>0</v>
      </c>
      <c r="EP170" s="34" t="n">
        <f aca="false">IF(AND(141&gt;=V_Inicio,141&lt;=Fin),INT((141-V_Inicio)/12)+1,0)</f>
        <v>0</v>
      </c>
      <c r="EQ170" s="34" t="n">
        <f aca="false">IF(AND(142&gt;=V_Inicio,142&lt;=Fin),INT((142-V_Inicio)/12)+1,0)</f>
        <v>0</v>
      </c>
      <c r="ER170" s="34" t="n">
        <f aca="false">IF(AND(143&gt;=V_Inicio,143&lt;=Fin),INT((143-V_Inicio)/12)+1,0)</f>
        <v>0</v>
      </c>
      <c r="ES170" s="34" t="n">
        <f aca="false">IF(AND(144&gt;=V_Inicio,144&lt;=Fin),INT((144-V_Inicio)/12)+1,0)</f>
        <v>0</v>
      </c>
    </row>
    <row r="171" customFormat="false" ht="15" hidden="false" customHeight="false" outlineLevel="0" collapsed="false">
      <c r="A171" s="11" t="s">
        <v>1295</v>
      </c>
      <c r="B171" s="15" t="s">
        <v>1056</v>
      </c>
      <c r="C171" s="15" t="s">
        <v>1057</v>
      </c>
      <c r="E171" s="66" t="n">
        <f aca="false">SUM(F171:ES171)</f>
        <v>120</v>
      </c>
      <c r="F171" s="34" t="n">
        <f aca="false">IF(F$170&gt;0,1,0)</f>
        <v>1</v>
      </c>
      <c r="G171" s="34" t="n">
        <f aca="false">IF(G$170&gt;0,1,0)</f>
        <v>1</v>
      </c>
      <c r="H171" s="34" t="n">
        <f aca="false">IF(H$170&gt;0,1,0)</f>
        <v>1</v>
      </c>
      <c r="I171" s="34" t="n">
        <f aca="false">IF(I$170&gt;0,1,0)</f>
        <v>1</v>
      </c>
      <c r="J171" s="34" t="n">
        <f aca="false">IF(J$170&gt;0,1,0)</f>
        <v>1</v>
      </c>
      <c r="K171" s="34" t="n">
        <f aca="false">IF(K$170&gt;0,1,0)</f>
        <v>1</v>
      </c>
      <c r="L171" s="34" t="n">
        <f aca="false">IF(L$170&gt;0,1,0)</f>
        <v>1</v>
      </c>
      <c r="M171" s="34" t="n">
        <f aca="false">IF(M$170&gt;0,1,0)</f>
        <v>1</v>
      </c>
      <c r="N171" s="34" t="n">
        <f aca="false">IF(N$170&gt;0,1,0)</f>
        <v>1</v>
      </c>
      <c r="O171" s="34" t="n">
        <f aca="false">IF(O$170&gt;0,1,0)</f>
        <v>1</v>
      </c>
      <c r="P171" s="34" t="n">
        <f aca="false">IF(P$170&gt;0,1,0)</f>
        <v>1</v>
      </c>
      <c r="Q171" s="34" t="n">
        <f aca="false">IF(Q$170&gt;0,1,0)</f>
        <v>1</v>
      </c>
      <c r="R171" s="34" t="n">
        <f aca="false">IF(R$170&gt;0,1,0)</f>
        <v>1</v>
      </c>
      <c r="S171" s="34" t="n">
        <f aca="false">IF(S$170&gt;0,1,0)</f>
        <v>1</v>
      </c>
      <c r="T171" s="34" t="n">
        <f aca="false">IF(T$170&gt;0,1,0)</f>
        <v>1</v>
      </c>
      <c r="U171" s="34" t="n">
        <f aca="false">IF(U$170&gt;0,1,0)</f>
        <v>1</v>
      </c>
      <c r="V171" s="34" t="n">
        <f aca="false">IF(V$170&gt;0,1,0)</f>
        <v>1</v>
      </c>
      <c r="W171" s="34" t="n">
        <f aca="false">IF(W$170&gt;0,1,0)</f>
        <v>1</v>
      </c>
      <c r="X171" s="34" t="n">
        <f aca="false">IF(X$170&gt;0,1,0)</f>
        <v>1</v>
      </c>
      <c r="Y171" s="34" t="n">
        <f aca="false">IF(Y$170&gt;0,1,0)</f>
        <v>1</v>
      </c>
      <c r="Z171" s="34" t="n">
        <f aca="false">IF(Z$170&gt;0,1,0)</f>
        <v>1</v>
      </c>
      <c r="AA171" s="34" t="n">
        <f aca="false">IF(AA$170&gt;0,1,0)</f>
        <v>1</v>
      </c>
      <c r="AB171" s="34" t="n">
        <f aca="false">IF(AB$170&gt;0,1,0)</f>
        <v>1</v>
      </c>
      <c r="AC171" s="34" t="n">
        <f aca="false">IF(AC$170&gt;0,1,0)</f>
        <v>1</v>
      </c>
      <c r="AD171" s="34" t="n">
        <f aca="false">IF(AD$170&gt;0,1,0)</f>
        <v>1</v>
      </c>
      <c r="AE171" s="34" t="n">
        <f aca="false">IF(AE$170&gt;0,1,0)</f>
        <v>1</v>
      </c>
      <c r="AF171" s="34" t="n">
        <f aca="false">IF(AF$170&gt;0,1,0)</f>
        <v>1</v>
      </c>
      <c r="AG171" s="34" t="n">
        <f aca="false">IF(AG$170&gt;0,1,0)</f>
        <v>1</v>
      </c>
      <c r="AH171" s="34" t="n">
        <f aca="false">IF(AH$170&gt;0,1,0)</f>
        <v>1</v>
      </c>
      <c r="AI171" s="34" t="n">
        <f aca="false">IF(AI$170&gt;0,1,0)</f>
        <v>1</v>
      </c>
      <c r="AJ171" s="34" t="n">
        <f aca="false">IF(AJ$170&gt;0,1,0)</f>
        <v>1</v>
      </c>
      <c r="AK171" s="34" t="n">
        <f aca="false">IF(AK$170&gt;0,1,0)</f>
        <v>1</v>
      </c>
      <c r="AL171" s="34" t="n">
        <f aca="false">IF(AL$170&gt;0,1,0)</f>
        <v>1</v>
      </c>
      <c r="AM171" s="34" t="n">
        <f aca="false">IF(AM$170&gt;0,1,0)</f>
        <v>1</v>
      </c>
      <c r="AN171" s="34" t="n">
        <f aca="false">IF(AN$170&gt;0,1,0)</f>
        <v>1</v>
      </c>
      <c r="AO171" s="34" t="n">
        <f aca="false">IF(AO$170&gt;0,1,0)</f>
        <v>1</v>
      </c>
      <c r="AP171" s="34" t="n">
        <f aca="false">IF(AP$170&gt;0,1,0)</f>
        <v>1</v>
      </c>
      <c r="AQ171" s="34" t="n">
        <f aca="false">IF(AQ$170&gt;0,1,0)</f>
        <v>1</v>
      </c>
      <c r="AR171" s="34" t="n">
        <f aca="false">IF(AR$170&gt;0,1,0)</f>
        <v>1</v>
      </c>
      <c r="AS171" s="34" t="n">
        <f aca="false">IF(AS$170&gt;0,1,0)</f>
        <v>1</v>
      </c>
      <c r="AT171" s="34" t="n">
        <f aca="false">IF(AT$170&gt;0,1,0)</f>
        <v>1</v>
      </c>
      <c r="AU171" s="34" t="n">
        <f aca="false">IF(AU$170&gt;0,1,0)</f>
        <v>1</v>
      </c>
      <c r="AV171" s="34" t="n">
        <f aca="false">IF(AV$170&gt;0,1,0)</f>
        <v>1</v>
      </c>
      <c r="AW171" s="34" t="n">
        <f aca="false">IF(AW$170&gt;0,1,0)</f>
        <v>1</v>
      </c>
      <c r="AX171" s="34" t="n">
        <f aca="false">IF(AX$170&gt;0,1,0)</f>
        <v>1</v>
      </c>
      <c r="AY171" s="34" t="n">
        <f aca="false">IF(AY$170&gt;0,1,0)</f>
        <v>1</v>
      </c>
      <c r="AZ171" s="34" t="n">
        <f aca="false">IF(AZ$170&gt;0,1,0)</f>
        <v>1</v>
      </c>
      <c r="BA171" s="34" t="n">
        <f aca="false">IF(BA$170&gt;0,1,0)</f>
        <v>1</v>
      </c>
      <c r="BB171" s="34" t="n">
        <f aca="false">IF(BB$170&gt;0,1,0)</f>
        <v>1</v>
      </c>
      <c r="BC171" s="34" t="n">
        <f aca="false">IF(BC$170&gt;0,1,0)</f>
        <v>1</v>
      </c>
      <c r="BD171" s="34" t="n">
        <f aca="false">IF(BD$170&gt;0,1,0)</f>
        <v>1</v>
      </c>
      <c r="BE171" s="34" t="n">
        <f aca="false">IF(BE$170&gt;0,1,0)</f>
        <v>1</v>
      </c>
      <c r="BF171" s="34" t="n">
        <f aca="false">IF(BF$170&gt;0,1,0)</f>
        <v>1</v>
      </c>
      <c r="BG171" s="34" t="n">
        <f aca="false">IF(BG$170&gt;0,1,0)</f>
        <v>1</v>
      </c>
      <c r="BH171" s="34" t="n">
        <f aca="false">IF(BH$170&gt;0,1,0)</f>
        <v>1</v>
      </c>
      <c r="BI171" s="34" t="n">
        <f aca="false">IF(BI$170&gt;0,1,0)</f>
        <v>1</v>
      </c>
      <c r="BJ171" s="34" t="n">
        <f aca="false">IF(BJ$170&gt;0,1,0)</f>
        <v>1</v>
      </c>
      <c r="BK171" s="34" t="n">
        <f aca="false">IF(BK$170&gt;0,1,0)</f>
        <v>1</v>
      </c>
      <c r="BL171" s="34" t="n">
        <f aca="false">IF(BL$170&gt;0,1,0)</f>
        <v>1</v>
      </c>
      <c r="BM171" s="34" t="n">
        <f aca="false">IF(BM$170&gt;0,1,0)</f>
        <v>1</v>
      </c>
      <c r="BN171" s="34" t="n">
        <f aca="false">IF(BN$170&gt;0,1,0)</f>
        <v>1</v>
      </c>
      <c r="BO171" s="34" t="n">
        <f aca="false">IF(BO$170&gt;0,1,0)</f>
        <v>1</v>
      </c>
      <c r="BP171" s="34" t="n">
        <f aca="false">IF(BP$170&gt;0,1,0)</f>
        <v>1</v>
      </c>
      <c r="BQ171" s="34" t="n">
        <f aca="false">IF(BQ$170&gt;0,1,0)</f>
        <v>1</v>
      </c>
      <c r="BR171" s="34" t="n">
        <f aca="false">IF(BR$170&gt;0,1,0)</f>
        <v>1</v>
      </c>
      <c r="BS171" s="34" t="n">
        <f aca="false">IF(BS$170&gt;0,1,0)</f>
        <v>1</v>
      </c>
      <c r="BT171" s="34" t="n">
        <f aca="false">IF(BT$170&gt;0,1,0)</f>
        <v>1</v>
      </c>
      <c r="BU171" s="34" t="n">
        <f aca="false">IF(BU$170&gt;0,1,0)</f>
        <v>1</v>
      </c>
      <c r="BV171" s="34" t="n">
        <f aca="false">IF(BV$170&gt;0,1,0)</f>
        <v>1</v>
      </c>
      <c r="BW171" s="34" t="n">
        <f aca="false">IF(BW$170&gt;0,1,0)</f>
        <v>1</v>
      </c>
      <c r="BX171" s="34" t="n">
        <f aca="false">IF(BX$170&gt;0,1,0)</f>
        <v>1</v>
      </c>
      <c r="BY171" s="34" t="n">
        <f aca="false">IF(BY$170&gt;0,1,0)</f>
        <v>1</v>
      </c>
      <c r="BZ171" s="34" t="n">
        <f aca="false">IF(BZ$170&gt;0,1,0)</f>
        <v>1</v>
      </c>
      <c r="CA171" s="34" t="n">
        <f aca="false">IF(CA$170&gt;0,1,0)</f>
        <v>1</v>
      </c>
      <c r="CB171" s="34" t="n">
        <f aca="false">IF(CB$170&gt;0,1,0)</f>
        <v>1</v>
      </c>
      <c r="CC171" s="34" t="n">
        <f aca="false">IF(CC$170&gt;0,1,0)</f>
        <v>1</v>
      </c>
      <c r="CD171" s="34" t="n">
        <f aca="false">IF(CD$170&gt;0,1,0)</f>
        <v>1</v>
      </c>
      <c r="CE171" s="34" t="n">
        <f aca="false">IF(CE$170&gt;0,1,0)</f>
        <v>1</v>
      </c>
      <c r="CF171" s="34" t="n">
        <f aca="false">IF(CF$170&gt;0,1,0)</f>
        <v>1</v>
      </c>
      <c r="CG171" s="34" t="n">
        <f aca="false">IF(CG$170&gt;0,1,0)</f>
        <v>1</v>
      </c>
      <c r="CH171" s="34" t="n">
        <f aca="false">IF(CH$170&gt;0,1,0)</f>
        <v>1</v>
      </c>
      <c r="CI171" s="34" t="n">
        <f aca="false">IF(CI$170&gt;0,1,0)</f>
        <v>1</v>
      </c>
      <c r="CJ171" s="34" t="n">
        <f aca="false">IF(CJ$170&gt;0,1,0)</f>
        <v>1</v>
      </c>
      <c r="CK171" s="34" t="n">
        <f aca="false">IF(CK$170&gt;0,1,0)</f>
        <v>1</v>
      </c>
      <c r="CL171" s="34" t="n">
        <f aca="false">IF(CL$170&gt;0,1,0)</f>
        <v>1</v>
      </c>
      <c r="CM171" s="34" t="n">
        <f aca="false">IF(CM$170&gt;0,1,0)</f>
        <v>1</v>
      </c>
      <c r="CN171" s="34" t="n">
        <f aca="false">IF(CN$170&gt;0,1,0)</f>
        <v>1</v>
      </c>
      <c r="CO171" s="34" t="n">
        <f aca="false">IF(CO$170&gt;0,1,0)</f>
        <v>1</v>
      </c>
      <c r="CP171" s="34" t="n">
        <f aca="false">IF(CP$170&gt;0,1,0)</f>
        <v>1</v>
      </c>
      <c r="CQ171" s="34" t="n">
        <f aca="false">IF(CQ$170&gt;0,1,0)</f>
        <v>1</v>
      </c>
      <c r="CR171" s="34" t="n">
        <f aca="false">IF(CR$170&gt;0,1,0)</f>
        <v>1</v>
      </c>
      <c r="CS171" s="34" t="n">
        <f aca="false">IF(CS$170&gt;0,1,0)</f>
        <v>1</v>
      </c>
      <c r="CT171" s="34" t="n">
        <f aca="false">IF(CT$170&gt;0,1,0)</f>
        <v>1</v>
      </c>
      <c r="CU171" s="34" t="n">
        <f aca="false">IF(CU$170&gt;0,1,0)</f>
        <v>1</v>
      </c>
      <c r="CV171" s="34" t="n">
        <f aca="false">IF(CV$170&gt;0,1,0)</f>
        <v>1</v>
      </c>
      <c r="CW171" s="34" t="n">
        <f aca="false">IF(CW$170&gt;0,1,0)</f>
        <v>1</v>
      </c>
      <c r="CX171" s="34" t="n">
        <f aca="false">IF(CX$170&gt;0,1,0)</f>
        <v>1</v>
      </c>
      <c r="CY171" s="34" t="n">
        <f aca="false">IF(CY$170&gt;0,1,0)</f>
        <v>1</v>
      </c>
      <c r="CZ171" s="34" t="n">
        <f aca="false">IF(CZ$170&gt;0,1,0)</f>
        <v>1</v>
      </c>
      <c r="DA171" s="34" t="n">
        <f aca="false">IF(DA$170&gt;0,1,0)</f>
        <v>1</v>
      </c>
      <c r="DB171" s="34" t="n">
        <f aca="false">IF(DB$170&gt;0,1,0)</f>
        <v>1</v>
      </c>
      <c r="DC171" s="34" t="n">
        <f aca="false">IF(DC$170&gt;0,1,0)</f>
        <v>1</v>
      </c>
      <c r="DD171" s="34" t="n">
        <f aca="false">IF(DD$170&gt;0,1,0)</f>
        <v>1</v>
      </c>
      <c r="DE171" s="34" t="n">
        <f aca="false">IF(DE$170&gt;0,1,0)</f>
        <v>1</v>
      </c>
      <c r="DF171" s="34" t="n">
        <f aca="false">IF(DF$170&gt;0,1,0)</f>
        <v>1</v>
      </c>
      <c r="DG171" s="34" t="n">
        <f aca="false">IF(DG$170&gt;0,1,0)</f>
        <v>1</v>
      </c>
      <c r="DH171" s="34" t="n">
        <f aca="false">IF(DH$170&gt;0,1,0)</f>
        <v>1</v>
      </c>
      <c r="DI171" s="34" t="n">
        <f aca="false">IF(DI$170&gt;0,1,0)</f>
        <v>1</v>
      </c>
      <c r="DJ171" s="34" t="n">
        <f aca="false">IF(DJ$170&gt;0,1,0)</f>
        <v>1</v>
      </c>
      <c r="DK171" s="34" t="n">
        <f aca="false">IF(DK$170&gt;0,1,0)</f>
        <v>1</v>
      </c>
      <c r="DL171" s="34" t="n">
        <f aca="false">IF(DL$170&gt;0,1,0)</f>
        <v>1</v>
      </c>
      <c r="DM171" s="34" t="n">
        <f aca="false">IF(DM$170&gt;0,1,0)</f>
        <v>1</v>
      </c>
      <c r="DN171" s="34" t="n">
        <f aca="false">IF(DN$170&gt;0,1,0)</f>
        <v>1</v>
      </c>
      <c r="DO171" s="34" t="n">
        <f aca="false">IF(DO$170&gt;0,1,0)</f>
        <v>1</v>
      </c>
      <c r="DP171" s="34" t="n">
        <f aca="false">IF(DP$170&gt;0,1,0)</f>
        <v>1</v>
      </c>
      <c r="DQ171" s="34" t="n">
        <f aca="false">IF(DQ$170&gt;0,1,0)</f>
        <v>1</v>
      </c>
      <c r="DR171" s="34" t="n">
        <f aca="false">IF(DR$170&gt;0,1,0)</f>
        <v>1</v>
      </c>
      <c r="DS171" s="34" t="n">
        <f aca="false">IF(DS$170&gt;0,1,0)</f>
        <v>1</v>
      </c>
      <c r="DT171" s="34" t="n">
        <f aca="false">IF(DT$170&gt;0,1,0)</f>
        <v>1</v>
      </c>
      <c r="DU171" s="34" t="n">
        <f aca="false">IF(DU$170&gt;0,1,0)</f>
        <v>1</v>
      </c>
      <c r="DV171" s="34" t="n">
        <f aca="false">IF(DV$170&gt;0,1,0)</f>
        <v>0</v>
      </c>
      <c r="DW171" s="34" t="n">
        <f aca="false">IF(DW$170&gt;0,1,0)</f>
        <v>0</v>
      </c>
      <c r="DX171" s="34" t="n">
        <f aca="false">IF(DX$170&gt;0,1,0)</f>
        <v>0</v>
      </c>
      <c r="DY171" s="34" t="n">
        <f aca="false">IF(DY$170&gt;0,1,0)</f>
        <v>0</v>
      </c>
      <c r="DZ171" s="34" t="n">
        <f aca="false">IF(DZ$170&gt;0,1,0)</f>
        <v>0</v>
      </c>
      <c r="EA171" s="34" t="n">
        <f aca="false">IF(EA$170&gt;0,1,0)</f>
        <v>0</v>
      </c>
      <c r="EB171" s="34" t="n">
        <f aca="false">IF(EB$170&gt;0,1,0)</f>
        <v>0</v>
      </c>
      <c r="EC171" s="34" t="n">
        <f aca="false">IF(EC$170&gt;0,1,0)</f>
        <v>0</v>
      </c>
      <c r="ED171" s="34" t="n">
        <f aca="false">IF(ED$170&gt;0,1,0)</f>
        <v>0</v>
      </c>
      <c r="EE171" s="34" t="n">
        <f aca="false">IF(EE$170&gt;0,1,0)</f>
        <v>0</v>
      </c>
      <c r="EF171" s="34" t="n">
        <f aca="false">IF(EF$170&gt;0,1,0)</f>
        <v>0</v>
      </c>
      <c r="EG171" s="34" t="n">
        <f aca="false">IF(EG$170&gt;0,1,0)</f>
        <v>0</v>
      </c>
      <c r="EH171" s="34" t="n">
        <f aca="false">IF(EH$170&gt;0,1,0)</f>
        <v>0</v>
      </c>
      <c r="EI171" s="34" t="n">
        <f aca="false">IF(EI$170&gt;0,1,0)</f>
        <v>0</v>
      </c>
      <c r="EJ171" s="34" t="n">
        <f aca="false">IF(EJ$170&gt;0,1,0)</f>
        <v>0</v>
      </c>
      <c r="EK171" s="34" t="n">
        <f aca="false">IF(EK$170&gt;0,1,0)</f>
        <v>0</v>
      </c>
      <c r="EL171" s="34" t="n">
        <f aca="false">IF(EL$170&gt;0,1,0)</f>
        <v>0</v>
      </c>
      <c r="EM171" s="34" t="n">
        <f aca="false">IF(EM$170&gt;0,1,0)</f>
        <v>0</v>
      </c>
      <c r="EN171" s="34" t="n">
        <f aca="false">IF(EN$170&gt;0,1,0)</f>
        <v>0</v>
      </c>
      <c r="EO171" s="34" t="n">
        <f aca="false">IF(EO$170&gt;0,1,0)</f>
        <v>0</v>
      </c>
      <c r="EP171" s="34" t="n">
        <f aca="false">IF(EP$170&gt;0,1,0)</f>
        <v>0</v>
      </c>
      <c r="EQ171" s="34" t="n">
        <f aca="false">IF(EQ$170&gt;0,1,0)</f>
        <v>0</v>
      </c>
      <c r="ER171" s="34" t="n">
        <f aca="false">IF(ER$170&gt;0,1,0)</f>
        <v>0</v>
      </c>
      <c r="ES171" s="34" t="n">
        <f aca="false">IF(ES$170&gt;0,1,0)</f>
        <v>0</v>
      </c>
    </row>
    <row r="172" customFormat="false" ht="15" hidden="false" customHeight="false" outlineLevel="0" collapsed="false">
      <c r="A172" s="11" t="s">
        <v>1296</v>
      </c>
      <c r="B172" s="15" t="s">
        <v>1059</v>
      </c>
      <c r="C172" s="15" t="s">
        <v>1057</v>
      </c>
      <c r="E172" s="66" t="n">
        <f aca="false">SUM(F172:ES172)</f>
        <v>0</v>
      </c>
      <c r="F172" s="34" t="n">
        <f aca="false">IF(AND(1&lt;V_Inicio,1&lt;=Fin),1,0)</f>
        <v>0</v>
      </c>
      <c r="G172" s="34" t="n">
        <f aca="false">IF(AND(2&lt;V_Inicio,2&lt;=Fin),1,0)</f>
        <v>0</v>
      </c>
      <c r="H172" s="34" t="n">
        <f aca="false">IF(AND(3&lt;V_Inicio,3&lt;=Fin),1,0)</f>
        <v>0</v>
      </c>
      <c r="I172" s="34" t="n">
        <f aca="false">IF(AND(4&lt;V_Inicio,4&lt;=Fin),1,0)</f>
        <v>0</v>
      </c>
      <c r="J172" s="34" t="n">
        <f aca="false">IF(AND(5&lt;V_Inicio,5&lt;=Fin),1,0)</f>
        <v>0</v>
      </c>
      <c r="K172" s="34" t="n">
        <f aca="false">IF(AND(6&lt;V_Inicio,6&lt;=Fin),1,0)</f>
        <v>0</v>
      </c>
      <c r="L172" s="34" t="n">
        <f aca="false">IF(AND(7&lt;V_Inicio,7&lt;=Fin),1,0)</f>
        <v>0</v>
      </c>
      <c r="M172" s="34" t="n">
        <f aca="false">IF(AND(8&lt;V_Inicio,8&lt;=Fin),1,0)</f>
        <v>0</v>
      </c>
      <c r="N172" s="34" t="n">
        <f aca="false">IF(AND(9&lt;V_Inicio,9&lt;=Fin),1,0)</f>
        <v>0</v>
      </c>
      <c r="O172" s="34" t="n">
        <f aca="false">IF(AND(10&lt;V_Inicio,10&lt;=Fin),1,0)</f>
        <v>0</v>
      </c>
      <c r="P172" s="34" t="n">
        <f aca="false">IF(AND(11&lt;V_Inicio,11&lt;=Fin),1,0)</f>
        <v>0</v>
      </c>
      <c r="Q172" s="34" t="n">
        <f aca="false">IF(AND(12&lt;V_Inicio,12&lt;=Fin),1,0)</f>
        <v>0</v>
      </c>
      <c r="R172" s="34" t="n">
        <f aca="false">IF(AND(13&lt;V_Inicio,13&lt;=Fin),1,0)</f>
        <v>0</v>
      </c>
      <c r="S172" s="34" t="n">
        <f aca="false">IF(AND(14&lt;V_Inicio,14&lt;=Fin),1,0)</f>
        <v>0</v>
      </c>
      <c r="T172" s="34" t="n">
        <f aca="false">IF(AND(15&lt;V_Inicio,15&lt;=Fin),1,0)</f>
        <v>0</v>
      </c>
      <c r="U172" s="34" t="n">
        <f aca="false">IF(AND(16&lt;V_Inicio,16&lt;=Fin),1,0)</f>
        <v>0</v>
      </c>
      <c r="V172" s="34" t="n">
        <f aca="false">IF(AND(17&lt;V_Inicio,17&lt;=Fin),1,0)</f>
        <v>0</v>
      </c>
      <c r="W172" s="34" t="n">
        <f aca="false">IF(AND(18&lt;V_Inicio,18&lt;=Fin),1,0)</f>
        <v>0</v>
      </c>
      <c r="X172" s="34" t="n">
        <f aca="false">IF(AND(19&lt;V_Inicio,19&lt;=Fin),1,0)</f>
        <v>0</v>
      </c>
      <c r="Y172" s="34" t="n">
        <f aca="false">IF(AND(20&lt;V_Inicio,20&lt;=Fin),1,0)</f>
        <v>0</v>
      </c>
      <c r="Z172" s="34" t="n">
        <f aca="false">IF(AND(21&lt;V_Inicio,21&lt;=Fin),1,0)</f>
        <v>0</v>
      </c>
      <c r="AA172" s="34" t="n">
        <f aca="false">IF(AND(22&lt;V_Inicio,22&lt;=Fin),1,0)</f>
        <v>0</v>
      </c>
      <c r="AB172" s="34" t="n">
        <f aca="false">IF(AND(23&lt;V_Inicio,23&lt;=Fin),1,0)</f>
        <v>0</v>
      </c>
      <c r="AC172" s="34" t="n">
        <f aca="false">IF(AND(24&lt;V_Inicio,24&lt;=Fin),1,0)</f>
        <v>0</v>
      </c>
      <c r="AD172" s="34" t="n">
        <f aca="false">IF(AND(25&lt;V_Inicio,25&lt;=Fin),1,0)</f>
        <v>0</v>
      </c>
      <c r="AE172" s="34" t="n">
        <f aca="false">IF(AND(26&lt;V_Inicio,26&lt;=Fin),1,0)</f>
        <v>0</v>
      </c>
      <c r="AF172" s="34" t="n">
        <f aca="false">IF(AND(27&lt;V_Inicio,27&lt;=Fin),1,0)</f>
        <v>0</v>
      </c>
      <c r="AG172" s="34" t="n">
        <f aca="false">IF(AND(28&lt;V_Inicio,28&lt;=Fin),1,0)</f>
        <v>0</v>
      </c>
      <c r="AH172" s="34" t="n">
        <f aca="false">IF(AND(29&lt;V_Inicio,29&lt;=Fin),1,0)</f>
        <v>0</v>
      </c>
      <c r="AI172" s="34" t="n">
        <f aca="false">IF(AND(30&lt;V_Inicio,30&lt;=Fin),1,0)</f>
        <v>0</v>
      </c>
      <c r="AJ172" s="34" t="n">
        <f aca="false">IF(AND(31&lt;V_Inicio,31&lt;=Fin),1,0)</f>
        <v>0</v>
      </c>
      <c r="AK172" s="34" t="n">
        <f aca="false">IF(AND(32&lt;V_Inicio,32&lt;=Fin),1,0)</f>
        <v>0</v>
      </c>
      <c r="AL172" s="34" t="n">
        <f aca="false">IF(AND(33&lt;V_Inicio,33&lt;=Fin),1,0)</f>
        <v>0</v>
      </c>
      <c r="AM172" s="34" t="n">
        <f aca="false">IF(AND(34&lt;V_Inicio,34&lt;=Fin),1,0)</f>
        <v>0</v>
      </c>
      <c r="AN172" s="34" t="n">
        <f aca="false">IF(AND(35&lt;V_Inicio,35&lt;=Fin),1,0)</f>
        <v>0</v>
      </c>
      <c r="AO172" s="34" t="n">
        <f aca="false">IF(AND(36&lt;V_Inicio,36&lt;=Fin),1,0)</f>
        <v>0</v>
      </c>
      <c r="AP172" s="34" t="n">
        <f aca="false">IF(AND(37&lt;V_Inicio,37&lt;=Fin),1,0)</f>
        <v>0</v>
      </c>
      <c r="AQ172" s="34" t="n">
        <f aca="false">IF(AND(38&lt;V_Inicio,38&lt;=Fin),1,0)</f>
        <v>0</v>
      </c>
      <c r="AR172" s="34" t="n">
        <f aca="false">IF(AND(39&lt;V_Inicio,39&lt;=Fin),1,0)</f>
        <v>0</v>
      </c>
      <c r="AS172" s="34" t="n">
        <f aca="false">IF(AND(40&lt;V_Inicio,40&lt;=Fin),1,0)</f>
        <v>0</v>
      </c>
      <c r="AT172" s="34" t="n">
        <f aca="false">IF(AND(41&lt;V_Inicio,41&lt;=Fin),1,0)</f>
        <v>0</v>
      </c>
      <c r="AU172" s="34" t="n">
        <f aca="false">IF(AND(42&lt;V_Inicio,42&lt;=Fin),1,0)</f>
        <v>0</v>
      </c>
      <c r="AV172" s="34" t="n">
        <f aca="false">IF(AND(43&lt;V_Inicio,43&lt;=Fin),1,0)</f>
        <v>0</v>
      </c>
      <c r="AW172" s="34" t="n">
        <f aca="false">IF(AND(44&lt;V_Inicio,44&lt;=Fin),1,0)</f>
        <v>0</v>
      </c>
      <c r="AX172" s="34" t="n">
        <f aca="false">IF(AND(45&lt;V_Inicio,45&lt;=Fin),1,0)</f>
        <v>0</v>
      </c>
      <c r="AY172" s="34" t="n">
        <f aca="false">IF(AND(46&lt;V_Inicio,46&lt;=Fin),1,0)</f>
        <v>0</v>
      </c>
      <c r="AZ172" s="34" t="n">
        <f aca="false">IF(AND(47&lt;V_Inicio,47&lt;=Fin),1,0)</f>
        <v>0</v>
      </c>
      <c r="BA172" s="34" t="n">
        <f aca="false">IF(AND(48&lt;V_Inicio,48&lt;=Fin),1,0)</f>
        <v>0</v>
      </c>
      <c r="BB172" s="34" t="n">
        <f aca="false">IF(AND(49&lt;V_Inicio,49&lt;=Fin),1,0)</f>
        <v>0</v>
      </c>
      <c r="BC172" s="34" t="n">
        <f aca="false">IF(AND(50&lt;V_Inicio,50&lt;=Fin),1,0)</f>
        <v>0</v>
      </c>
      <c r="BD172" s="34" t="n">
        <f aca="false">IF(AND(51&lt;V_Inicio,51&lt;=Fin),1,0)</f>
        <v>0</v>
      </c>
      <c r="BE172" s="34" t="n">
        <f aca="false">IF(AND(52&lt;V_Inicio,52&lt;=Fin),1,0)</f>
        <v>0</v>
      </c>
      <c r="BF172" s="34" t="n">
        <f aca="false">IF(AND(53&lt;V_Inicio,53&lt;=Fin),1,0)</f>
        <v>0</v>
      </c>
      <c r="BG172" s="34" t="n">
        <f aca="false">IF(AND(54&lt;V_Inicio,54&lt;=Fin),1,0)</f>
        <v>0</v>
      </c>
      <c r="BH172" s="34" t="n">
        <f aca="false">IF(AND(55&lt;V_Inicio,55&lt;=Fin),1,0)</f>
        <v>0</v>
      </c>
      <c r="BI172" s="34" t="n">
        <f aca="false">IF(AND(56&lt;V_Inicio,56&lt;=Fin),1,0)</f>
        <v>0</v>
      </c>
      <c r="BJ172" s="34" t="n">
        <f aca="false">IF(AND(57&lt;V_Inicio,57&lt;=Fin),1,0)</f>
        <v>0</v>
      </c>
      <c r="BK172" s="34" t="n">
        <f aca="false">IF(AND(58&lt;V_Inicio,58&lt;=Fin),1,0)</f>
        <v>0</v>
      </c>
      <c r="BL172" s="34" t="n">
        <f aca="false">IF(AND(59&lt;V_Inicio,59&lt;=Fin),1,0)</f>
        <v>0</v>
      </c>
      <c r="BM172" s="34" t="n">
        <f aca="false">IF(AND(60&lt;V_Inicio,60&lt;=Fin),1,0)</f>
        <v>0</v>
      </c>
      <c r="BN172" s="34" t="n">
        <f aca="false">IF(AND(61&lt;V_Inicio,61&lt;=Fin),1,0)</f>
        <v>0</v>
      </c>
      <c r="BO172" s="34" t="n">
        <f aca="false">IF(AND(62&lt;V_Inicio,62&lt;=Fin),1,0)</f>
        <v>0</v>
      </c>
      <c r="BP172" s="34" t="n">
        <f aca="false">IF(AND(63&lt;V_Inicio,63&lt;=Fin),1,0)</f>
        <v>0</v>
      </c>
      <c r="BQ172" s="34" t="n">
        <f aca="false">IF(AND(64&lt;V_Inicio,64&lt;=Fin),1,0)</f>
        <v>0</v>
      </c>
      <c r="BR172" s="34" t="n">
        <f aca="false">IF(AND(65&lt;V_Inicio,65&lt;=Fin),1,0)</f>
        <v>0</v>
      </c>
      <c r="BS172" s="34" t="n">
        <f aca="false">IF(AND(66&lt;V_Inicio,66&lt;=Fin),1,0)</f>
        <v>0</v>
      </c>
      <c r="BT172" s="34" t="n">
        <f aca="false">IF(AND(67&lt;V_Inicio,67&lt;=Fin),1,0)</f>
        <v>0</v>
      </c>
      <c r="BU172" s="34" t="n">
        <f aca="false">IF(AND(68&lt;V_Inicio,68&lt;=Fin),1,0)</f>
        <v>0</v>
      </c>
      <c r="BV172" s="34" t="n">
        <f aca="false">IF(AND(69&lt;V_Inicio,69&lt;=Fin),1,0)</f>
        <v>0</v>
      </c>
      <c r="BW172" s="34" t="n">
        <f aca="false">IF(AND(70&lt;V_Inicio,70&lt;=Fin),1,0)</f>
        <v>0</v>
      </c>
      <c r="BX172" s="34" t="n">
        <f aca="false">IF(AND(71&lt;V_Inicio,71&lt;=Fin),1,0)</f>
        <v>0</v>
      </c>
      <c r="BY172" s="34" t="n">
        <f aca="false">IF(AND(72&lt;V_Inicio,72&lt;=Fin),1,0)</f>
        <v>0</v>
      </c>
      <c r="BZ172" s="34" t="n">
        <f aca="false">IF(AND(73&lt;V_Inicio,73&lt;=Fin),1,0)</f>
        <v>0</v>
      </c>
      <c r="CA172" s="34" t="n">
        <f aca="false">IF(AND(74&lt;V_Inicio,74&lt;=Fin),1,0)</f>
        <v>0</v>
      </c>
      <c r="CB172" s="34" t="n">
        <f aca="false">IF(AND(75&lt;V_Inicio,75&lt;=Fin),1,0)</f>
        <v>0</v>
      </c>
      <c r="CC172" s="34" t="n">
        <f aca="false">IF(AND(76&lt;V_Inicio,76&lt;=Fin),1,0)</f>
        <v>0</v>
      </c>
      <c r="CD172" s="34" t="n">
        <f aca="false">IF(AND(77&lt;V_Inicio,77&lt;=Fin),1,0)</f>
        <v>0</v>
      </c>
      <c r="CE172" s="34" t="n">
        <f aca="false">IF(AND(78&lt;V_Inicio,78&lt;=Fin),1,0)</f>
        <v>0</v>
      </c>
      <c r="CF172" s="34" t="n">
        <f aca="false">IF(AND(79&lt;V_Inicio,79&lt;=Fin),1,0)</f>
        <v>0</v>
      </c>
      <c r="CG172" s="34" t="n">
        <f aca="false">IF(AND(80&lt;V_Inicio,80&lt;=Fin),1,0)</f>
        <v>0</v>
      </c>
      <c r="CH172" s="34" t="n">
        <f aca="false">IF(AND(81&lt;V_Inicio,81&lt;=Fin),1,0)</f>
        <v>0</v>
      </c>
      <c r="CI172" s="34" t="n">
        <f aca="false">IF(AND(82&lt;V_Inicio,82&lt;=Fin),1,0)</f>
        <v>0</v>
      </c>
      <c r="CJ172" s="34" t="n">
        <f aca="false">IF(AND(83&lt;V_Inicio,83&lt;=Fin),1,0)</f>
        <v>0</v>
      </c>
      <c r="CK172" s="34" t="n">
        <f aca="false">IF(AND(84&lt;V_Inicio,84&lt;=Fin),1,0)</f>
        <v>0</v>
      </c>
      <c r="CL172" s="34" t="n">
        <f aca="false">IF(AND(85&lt;V_Inicio,85&lt;=Fin),1,0)</f>
        <v>0</v>
      </c>
      <c r="CM172" s="34" t="n">
        <f aca="false">IF(AND(86&lt;V_Inicio,86&lt;=Fin),1,0)</f>
        <v>0</v>
      </c>
      <c r="CN172" s="34" t="n">
        <f aca="false">IF(AND(87&lt;V_Inicio,87&lt;=Fin),1,0)</f>
        <v>0</v>
      </c>
      <c r="CO172" s="34" t="n">
        <f aca="false">IF(AND(88&lt;V_Inicio,88&lt;=Fin),1,0)</f>
        <v>0</v>
      </c>
      <c r="CP172" s="34" t="n">
        <f aca="false">IF(AND(89&lt;V_Inicio,89&lt;=Fin),1,0)</f>
        <v>0</v>
      </c>
      <c r="CQ172" s="34" t="n">
        <f aca="false">IF(AND(90&lt;V_Inicio,90&lt;=Fin),1,0)</f>
        <v>0</v>
      </c>
      <c r="CR172" s="34" t="n">
        <f aca="false">IF(AND(91&lt;V_Inicio,91&lt;=Fin),1,0)</f>
        <v>0</v>
      </c>
      <c r="CS172" s="34" t="n">
        <f aca="false">IF(AND(92&lt;V_Inicio,92&lt;=Fin),1,0)</f>
        <v>0</v>
      </c>
      <c r="CT172" s="34" t="n">
        <f aca="false">IF(AND(93&lt;V_Inicio,93&lt;=Fin),1,0)</f>
        <v>0</v>
      </c>
      <c r="CU172" s="34" t="n">
        <f aca="false">IF(AND(94&lt;V_Inicio,94&lt;=Fin),1,0)</f>
        <v>0</v>
      </c>
      <c r="CV172" s="34" t="n">
        <f aca="false">IF(AND(95&lt;V_Inicio,95&lt;=Fin),1,0)</f>
        <v>0</v>
      </c>
      <c r="CW172" s="34" t="n">
        <f aca="false">IF(AND(96&lt;V_Inicio,96&lt;=Fin),1,0)</f>
        <v>0</v>
      </c>
      <c r="CX172" s="34" t="n">
        <f aca="false">IF(AND(97&lt;V_Inicio,97&lt;=Fin),1,0)</f>
        <v>0</v>
      </c>
      <c r="CY172" s="34" t="n">
        <f aca="false">IF(AND(98&lt;V_Inicio,98&lt;=Fin),1,0)</f>
        <v>0</v>
      </c>
      <c r="CZ172" s="34" t="n">
        <f aca="false">IF(AND(99&lt;V_Inicio,99&lt;=Fin),1,0)</f>
        <v>0</v>
      </c>
      <c r="DA172" s="34" t="n">
        <f aca="false">IF(AND(100&lt;V_Inicio,100&lt;=Fin),1,0)</f>
        <v>0</v>
      </c>
      <c r="DB172" s="34" t="n">
        <f aca="false">IF(AND(101&lt;V_Inicio,101&lt;=Fin),1,0)</f>
        <v>0</v>
      </c>
      <c r="DC172" s="34" t="n">
        <f aca="false">IF(AND(102&lt;V_Inicio,102&lt;=Fin),1,0)</f>
        <v>0</v>
      </c>
      <c r="DD172" s="34" t="n">
        <f aca="false">IF(AND(103&lt;V_Inicio,103&lt;=Fin),1,0)</f>
        <v>0</v>
      </c>
      <c r="DE172" s="34" t="n">
        <f aca="false">IF(AND(104&lt;V_Inicio,104&lt;=Fin),1,0)</f>
        <v>0</v>
      </c>
      <c r="DF172" s="34" t="n">
        <f aca="false">IF(AND(105&lt;V_Inicio,105&lt;=Fin),1,0)</f>
        <v>0</v>
      </c>
      <c r="DG172" s="34" t="n">
        <f aca="false">IF(AND(106&lt;V_Inicio,106&lt;=Fin),1,0)</f>
        <v>0</v>
      </c>
      <c r="DH172" s="34" t="n">
        <f aca="false">IF(AND(107&lt;V_Inicio,107&lt;=Fin),1,0)</f>
        <v>0</v>
      </c>
      <c r="DI172" s="34" t="n">
        <f aca="false">IF(AND(108&lt;V_Inicio,108&lt;=Fin),1,0)</f>
        <v>0</v>
      </c>
      <c r="DJ172" s="34" t="n">
        <f aca="false">IF(AND(109&lt;V_Inicio,109&lt;=Fin),1,0)</f>
        <v>0</v>
      </c>
      <c r="DK172" s="34" t="n">
        <f aca="false">IF(AND(110&lt;V_Inicio,110&lt;=Fin),1,0)</f>
        <v>0</v>
      </c>
      <c r="DL172" s="34" t="n">
        <f aca="false">IF(AND(111&lt;V_Inicio,111&lt;=Fin),1,0)</f>
        <v>0</v>
      </c>
      <c r="DM172" s="34" t="n">
        <f aca="false">IF(AND(112&lt;V_Inicio,112&lt;=Fin),1,0)</f>
        <v>0</v>
      </c>
      <c r="DN172" s="34" t="n">
        <f aca="false">IF(AND(113&lt;V_Inicio,113&lt;=Fin),1,0)</f>
        <v>0</v>
      </c>
      <c r="DO172" s="34" t="n">
        <f aca="false">IF(AND(114&lt;V_Inicio,114&lt;=Fin),1,0)</f>
        <v>0</v>
      </c>
      <c r="DP172" s="34" t="n">
        <f aca="false">IF(AND(115&lt;V_Inicio,115&lt;=Fin),1,0)</f>
        <v>0</v>
      </c>
      <c r="DQ172" s="34" t="n">
        <f aca="false">IF(AND(116&lt;V_Inicio,116&lt;=Fin),1,0)</f>
        <v>0</v>
      </c>
      <c r="DR172" s="34" t="n">
        <f aca="false">IF(AND(117&lt;V_Inicio,117&lt;=Fin),1,0)</f>
        <v>0</v>
      </c>
      <c r="DS172" s="34" t="n">
        <f aca="false">IF(AND(118&lt;V_Inicio,118&lt;=Fin),1,0)</f>
        <v>0</v>
      </c>
      <c r="DT172" s="34" t="n">
        <f aca="false">IF(AND(119&lt;V_Inicio,119&lt;=Fin),1,0)</f>
        <v>0</v>
      </c>
      <c r="DU172" s="34" t="n">
        <f aca="false">IF(AND(120&lt;V_Inicio,120&lt;=Fin),1,0)</f>
        <v>0</v>
      </c>
      <c r="DV172" s="34" t="n">
        <f aca="false">IF(AND(121&lt;V_Inicio,121&lt;=Fin),1,0)</f>
        <v>0</v>
      </c>
      <c r="DW172" s="34" t="n">
        <f aca="false">IF(AND(122&lt;V_Inicio,122&lt;=Fin),1,0)</f>
        <v>0</v>
      </c>
      <c r="DX172" s="34" t="n">
        <f aca="false">IF(AND(123&lt;V_Inicio,123&lt;=Fin),1,0)</f>
        <v>0</v>
      </c>
      <c r="DY172" s="34" t="n">
        <f aca="false">IF(AND(124&lt;V_Inicio,124&lt;=Fin),1,0)</f>
        <v>0</v>
      </c>
      <c r="DZ172" s="34" t="n">
        <f aca="false">IF(AND(125&lt;V_Inicio,125&lt;=Fin),1,0)</f>
        <v>0</v>
      </c>
      <c r="EA172" s="34" t="n">
        <f aca="false">IF(AND(126&lt;V_Inicio,126&lt;=Fin),1,0)</f>
        <v>0</v>
      </c>
      <c r="EB172" s="34" t="n">
        <f aca="false">IF(AND(127&lt;V_Inicio,127&lt;=Fin),1,0)</f>
        <v>0</v>
      </c>
      <c r="EC172" s="34" t="n">
        <f aca="false">IF(AND(128&lt;V_Inicio,128&lt;=Fin),1,0)</f>
        <v>0</v>
      </c>
      <c r="ED172" s="34" t="n">
        <f aca="false">IF(AND(129&lt;V_Inicio,129&lt;=Fin),1,0)</f>
        <v>0</v>
      </c>
      <c r="EE172" s="34" t="n">
        <f aca="false">IF(AND(130&lt;V_Inicio,130&lt;=Fin),1,0)</f>
        <v>0</v>
      </c>
      <c r="EF172" s="34" t="n">
        <f aca="false">IF(AND(131&lt;V_Inicio,131&lt;=Fin),1,0)</f>
        <v>0</v>
      </c>
      <c r="EG172" s="34" t="n">
        <f aca="false">IF(AND(132&lt;V_Inicio,132&lt;=Fin),1,0)</f>
        <v>0</v>
      </c>
      <c r="EH172" s="34" t="n">
        <f aca="false">IF(AND(133&lt;V_Inicio,133&lt;=Fin),1,0)</f>
        <v>0</v>
      </c>
      <c r="EI172" s="34" t="n">
        <f aca="false">IF(AND(134&lt;V_Inicio,134&lt;=Fin),1,0)</f>
        <v>0</v>
      </c>
      <c r="EJ172" s="34" t="n">
        <f aca="false">IF(AND(135&lt;V_Inicio,135&lt;=Fin),1,0)</f>
        <v>0</v>
      </c>
      <c r="EK172" s="34" t="n">
        <f aca="false">IF(AND(136&lt;V_Inicio,136&lt;=Fin),1,0)</f>
        <v>0</v>
      </c>
      <c r="EL172" s="34" t="n">
        <f aca="false">IF(AND(137&lt;V_Inicio,137&lt;=Fin),1,0)</f>
        <v>0</v>
      </c>
      <c r="EM172" s="34" t="n">
        <f aca="false">IF(AND(138&lt;V_Inicio,138&lt;=Fin),1,0)</f>
        <v>0</v>
      </c>
      <c r="EN172" s="34" t="n">
        <f aca="false">IF(AND(139&lt;V_Inicio,139&lt;=Fin),1,0)</f>
        <v>0</v>
      </c>
      <c r="EO172" s="34" t="n">
        <f aca="false">IF(AND(140&lt;V_Inicio,140&lt;=Fin),1,0)</f>
        <v>0</v>
      </c>
      <c r="EP172" s="34" t="n">
        <f aca="false">IF(AND(141&lt;V_Inicio,141&lt;=Fin),1,0)</f>
        <v>0</v>
      </c>
      <c r="EQ172" s="34" t="n">
        <f aca="false">IF(AND(142&lt;V_Inicio,142&lt;=Fin),1,0)</f>
        <v>0</v>
      </c>
      <c r="ER172" s="34" t="n">
        <f aca="false">IF(AND(143&lt;V_Inicio,143&lt;=Fin),1,0)</f>
        <v>0</v>
      </c>
      <c r="ES172" s="34" t="n">
        <f aca="false">IF(AND(144&lt;V_Inicio,144&lt;=Fin),1,0)</f>
        <v>0</v>
      </c>
    </row>
    <row r="173" customFormat="false" ht="15" hidden="false" customHeight="false" outlineLevel="0" collapsed="false">
      <c r="A173" s="11" t="s">
        <v>1297</v>
      </c>
      <c r="B173" s="15" t="s">
        <v>1061</v>
      </c>
      <c r="C173" s="15" t="s">
        <v>1054</v>
      </c>
      <c r="F173" s="34" t="n">
        <f aca="false">MAX(1,F$170)</f>
        <v>1</v>
      </c>
      <c r="G173" s="34" t="n">
        <f aca="false">MAX(1,G$170)</f>
        <v>1</v>
      </c>
      <c r="H173" s="34" t="n">
        <f aca="false">MAX(1,H$170)</f>
        <v>1</v>
      </c>
      <c r="I173" s="34" t="n">
        <f aca="false">MAX(1,I$170)</f>
        <v>1</v>
      </c>
      <c r="J173" s="34" t="n">
        <f aca="false">MAX(1,J$170)</f>
        <v>1</v>
      </c>
      <c r="K173" s="34" t="n">
        <f aca="false">MAX(1,K$170)</f>
        <v>1</v>
      </c>
      <c r="L173" s="34" t="n">
        <f aca="false">MAX(1,L$170)</f>
        <v>1</v>
      </c>
      <c r="M173" s="34" t="n">
        <f aca="false">MAX(1,M$170)</f>
        <v>1</v>
      </c>
      <c r="N173" s="34" t="n">
        <f aca="false">MAX(1,N$170)</f>
        <v>1</v>
      </c>
      <c r="O173" s="34" t="n">
        <f aca="false">MAX(1,O$170)</f>
        <v>1</v>
      </c>
      <c r="P173" s="34" t="n">
        <f aca="false">MAX(1,P$170)</f>
        <v>1</v>
      </c>
      <c r="Q173" s="34" t="n">
        <f aca="false">MAX(1,Q$170)</f>
        <v>1</v>
      </c>
      <c r="R173" s="34" t="n">
        <f aca="false">MAX(1,R$170)</f>
        <v>2</v>
      </c>
      <c r="S173" s="34" t="n">
        <f aca="false">MAX(1,S$170)</f>
        <v>2</v>
      </c>
      <c r="T173" s="34" t="n">
        <f aca="false">MAX(1,T$170)</f>
        <v>2</v>
      </c>
      <c r="U173" s="34" t="n">
        <f aca="false">MAX(1,U$170)</f>
        <v>2</v>
      </c>
      <c r="V173" s="34" t="n">
        <f aca="false">MAX(1,V$170)</f>
        <v>2</v>
      </c>
      <c r="W173" s="34" t="n">
        <f aca="false">MAX(1,W$170)</f>
        <v>2</v>
      </c>
      <c r="X173" s="34" t="n">
        <f aca="false">MAX(1,X$170)</f>
        <v>2</v>
      </c>
      <c r="Y173" s="34" t="n">
        <f aca="false">MAX(1,Y$170)</f>
        <v>2</v>
      </c>
      <c r="Z173" s="34" t="n">
        <f aca="false">MAX(1,Z$170)</f>
        <v>2</v>
      </c>
      <c r="AA173" s="34" t="n">
        <f aca="false">MAX(1,AA$170)</f>
        <v>2</v>
      </c>
      <c r="AB173" s="34" t="n">
        <f aca="false">MAX(1,AB$170)</f>
        <v>2</v>
      </c>
      <c r="AC173" s="34" t="n">
        <f aca="false">MAX(1,AC$170)</f>
        <v>2</v>
      </c>
      <c r="AD173" s="34" t="n">
        <f aca="false">MAX(1,AD$170)</f>
        <v>3</v>
      </c>
      <c r="AE173" s="34" t="n">
        <f aca="false">MAX(1,AE$170)</f>
        <v>3</v>
      </c>
      <c r="AF173" s="34" t="n">
        <f aca="false">MAX(1,AF$170)</f>
        <v>3</v>
      </c>
      <c r="AG173" s="34" t="n">
        <f aca="false">MAX(1,AG$170)</f>
        <v>3</v>
      </c>
      <c r="AH173" s="34" t="n">
        <f aca="false">MAX(1,AH$170)</f>
        <v>3</v>
      </c>
      <c r="AI173" s="34" t="n">
        <f aca="false">MAX(1,AI$170)</f>
        <v>3</v>
      </c>
      <c r="AJ173" s="34" t="n">
        <f aca="false">MAX(1,AJ$170)</f>
        <v>3</v>
      </c>
      <c r="AK173" s="34" t="n">
        <f aca="false">MAX(1,AK$170)</f>
        <v>3</v>
      </c>
      <c r="AL173" s="34" t="n">
        <f aca="false">MAX(1,AL$170)</f>
        <v>3</v>
      </c>
      <c r="AM173" s="34" t="n">
        <f aca="false">MAX(1,AM$170)</f>
        <v>3</v>
      </c>
      <c r="AN173" s="34" t="n">
        <f aca="false">MAX(1,AN$170)</f>
        <v>3</v>
      </c>
      <c r="AO173" s="34" t="n">
        <f aca="false">MAX(1,AO$170)</f>
        <v>3</v>
      </c>
      <c r="AP173" s="34" t="n">
        <f aca="false">MAX(1,AP$170)</f>
        <v>4</v>
      </c>
      <c r="AQ173" s="34" t="n">
        <f aca="false">MAX(1,AQ$170)</f>
        <v>4</v>
      </c>
      <c r="AR173" s="34" t="n">
        <f aca="false">MAX(1,AR$170)</f>
        <v>4</v>
      </c>
      <c r="AS173" s="34" t="n">
        <f aca="false">MAX(1,AS$170)</f>
        <v>4</v>
      </c>
      <c r="AT173" s="34" t="n">
        <f aca="false">MAX(1,AT$170)</f>
        <v>4</v>
      </c>
      <c r="AU173" s="34" t="n">
        <f aca="false">MAX(1,AU$170)</f>
        <v>4</v>
      </c>
      <c r="AV173" s="34" t="n">
        <f aca="false">MAX(1,AV$170)</f>
        <v>4</v>
      </c>
      <c r="AW173" s="34" t="n">
        <f aca="false">MAX(1,AW$170)</f>
        <v>4</v>
      </c>
      <c r="AX173" s="34" t="n">
        <f aca="false">MAX(1,AX$170)</f>
        <v>4</v>
      </c>
      <c r="AY173" s="34" t="n">
        <f aca="false">MAX(1,AY$170)</f>
        <v>4</v>
      </c>
      <c r="AZ173" s="34" t="n">
        <f aca="false">MAX(1,AZ$170)</f>
        <v>4</v>
      </c>
      <c r="BA173" s="34" t="n">
        <f aca="false">MAX(1,BA$170)</f>
        <v>4</v>
      </c>
      <c r="BB173" s="34" t="n">
        <f aca="false">MAX(1,BB$170)</f>
        <v>5</v>
      </c>
      <c r="BC173" s="34" t="n">
        <f aca="false">MAX(1,BC$170)</f>
        <v>5</v>
      </c>
      <c r="BD173" s="34" t="n">
        <f aca="false">MAX(1,BD$170)</f>
        <v>5</v>
      </c>
      <c r="BE173" s="34" t="n">
        <f aca="false">MAX(1,BE$170)</f>
        <v>5</v>
      </c>
      <c r="BF173" s="34" t="n">
        <f aca="false">MAX(1,BF$170)</f>
        <v>5</v>
      </c>
      <c r="BG173" s="34" t="n">
        <f aca="false">MAX(1,BG$170)</f>
        <v>5</v>
      </c>
      <c r="BH173" s="34" t="n">
        <f aca="false">MAX(1,BH$170)</f>
        <v>5</v>
      </c>
      <c r="BI173" s="34" t="n">
        <f aca="false">MAX(1,BI$170)</f>
        <v>5</v>
      </c>
      <c r="BJ173" s="34" t="n">
        <f aca="false">MAX(1,BJ$170)</f>
        <v>5</v>
      </c>
      <c r="BK173" s="34" t="n">
        <f aca="false">MAX(1,BK$170)</f>
        <v>5</v>
      </c>
      <c r="BL173" s="34" t="n">
        <f aca="false">MAX(1,BL$170)</f>
        <v>5</v>
      </c>
      <c r="BM173" s="34" t="n">
        <f aca="false">MAX(1,BM$170)</f>
        <v>5</v>
      </c>
      <c r="BN173" s="34" t="n">
        <f aca="false">MAX(1,BN$170)</f>
        <v>6</v>
      </c>
      <c r="BO173" s="34" t="n">
        <f aca="false">MAX(1,BO$170)</f>
        <v>6</v>
      </c>
      <c r="BP173" s="34" t="n">
        <f aca="false">MAX(1,BP$170)</f>
        <v>6</v>
      </c>
      <c r="BQ173" s="34" t="n">
        <f aca="false">MAX(1,BQ$170)</f>
        <v>6</v>
      </c>
      <c r="BR173" s="34" t="n">
        <f aca="false">MAX(1,BR$170)</f>
        <v>6</v>
      </c>
      <c r="BS173" s="34" t="n">
        <f aca="false">MAX(1,BS$170)</f>
        <v>6</v>
      </c>
      <c r="BT173" s="34" t="n">
        <f aca="false">MAX(1,BT$170)</f>
        <v>6</v>
      </c>
      <c r="BU173" s="34" t="n">
        <f aca="false">MAX(1,BU$170)</f>
        <v>6</v>
      </c>
      <c r="BV173" s="34" t="n">
        <f aca="false">MAX(1,BV$170)</f>
        <v>6</v>
      </c>
      <c r="BW173" s="34" t="n">
        <f aca="false">MAX(1,BW$170)</f>
        <v>6</v>
      </c>
      <c r="BX173" s="34" t="n">
        <f aca="false">MAX(1,BX$170)</f>
        <v>6</v>
      </c>
      <c r="BY173" s="34" t="n">
        <f aca="false">MAX(1,BY$170)</f>
        <v>6</v>
      </c>
      <c r="BZ173" s="34" t="n">
        <f aca="false">MAX(1,BZ$170)</f>
        <v>7</v>
      </c>
      <c r="CA173" s="34" t="n">
        <f aca="false">MAX(1,CA$170)</f>
        <v>7</v>
      </c>
      <c r="CB173" s="34" t="n">
        <f aca="false">MAX(1,CB$170)</f>
        <v>7</v>
      </c>
      <c r="CC173" s="34" t="n">
        <f aca="false">MAX(1,CC$170)</f>
        <v>7</v>
      </c>
      <c r="CD173" s="34" t="n">
        <f aca="false">MAX(1,CD$170)</f>
        <v>7</v>
      </c>
      <c r="CE173" s="34" t="n">
        <f aca="false">MAX(1,CE$170)</f>
        <v>7</v>
      </c>
      <c r="CF173" s="34" t="n">
        <f aca="false">MAX(1,CF$170)</f>
        <v>7</v>
      </c>
      <c r="CG173" s="34" t="n">
        <f aca="false">MAX(1,CG$170)</f>
        <v>7</v>
      </c>
      <c r="CH173" s="34" t="n">
        <f aca="false">MAX(1,CH$170)</f>
        <v>7</v>
      </c>
      <c r="CI173" s="34" t="n">
        <f aca="false">MAX(1,CI$170)</f>
        <v>7</v>
      </c>
      <c r="CJ173" s="34" t="n">
        <f aca="false">MAX(1,CJ$170)</f>
        <v>7</v>
      </c>
      <c r="CK173" s="34" t="n">
        <f aca="false">MAX(1,CK$170)</f>
        <v>7</v>
      </c>
      <c r="CL173" s="34" t="n">
        <f aca="false">MAX(1,CL$170)</f>
        <v>8</v>
      </c>
      <c r="CM173" s="34" t="n">
        <f aca="false">MAX(1,CM$170)</f>
        <v>8</v>
      </c>
      <c r="CN173" s="34" t="n">
        <f aca="false">MAX(1,CN$170)</f>
        <v>8</v>
      </c>
      <c r="CO173" s="34" t="n">
        <f aca="false">MAX(1,CO$170)</f>
        <v>8</v>
      </c>
      <c r="CP173" s="34" t="n">
        <f aca="false">MAX(1,CP$170)</f>
        <v>8</v>
      </c>
      <c r="CQ173" s="34" t="n">
        <f aca="false">MAX(1,CQ$170)</f>
        <v>8</v>
      </c>
      <c r="CR173" s="34" t="n">
        <f aca="false">MAX(1,CR$170)</f>
        <v>8</v>
      </c>
      <c r="CS173" s="34" t="n">
        <f aca="false">MAX(1,CS$170)</f>
        <v>8</v>
      </c>
      <c r="CT173" s="34" t="n">
        <f aca="false">MAX(1,CT$170)</f>
        <v>8</v>
      </c>
      <c r="CU173" s="34" t="n">
        <f aca="false">MAX(1,CU$170)</f>
        <v>8</v>
      </c>
      <c r="CV173" s="34" t="n">
        <f aca="false">MAX(1,CV$170)</f>
        <v>8</v>
      </c>
      <c r="CW173" s="34" t="n">
        <f aca="false">MAX(1,CW$170)</f>
        <v>8</v>
      </c>
      <c r="CX173" s="34" t="n">
        <f aca="false">MAX(1,CX$170)</f>
        <v>9</v>
      </c>
      <c r="CY173" s="34" t="n">
        <f aca="false">MAX(1,CY$170)</f>
        <v>9</v>
      </c>
      <c r="CZ173" s="34" t="n">
        <f aca="false">MAX(1,CZ$170)</f>
        <v>9</v>
      </c>
      <c r="DA173" s="34" t="n">
        <f aca="false">MAX(1,DA$170)</f>
        <v>9</v>
      </c>
      <c r="DB173" s="34" t="n">
        <f aca="false">MAX(1,DB$170)</f>
        <v>9</v>
      </c>
      <c r="DC173" s="34" t="n">
        <f aca="false">MAX(1,DC$170)</f>
        <v>9</v>
      </c>
      <c r="DD173" s="34" t="n">
        <f aca="false">MAX(1,DD$170)</f>
        <v>9</v>
      </c>
      <c r="DE173" s="34" t="n">
        <f aca="false">MAX(1,DE$170)</f>
        <v>9</v>
      </c>
      <c r="DF173" s="34" t="n">
        <f aca="false">MAX(1,DF$170)</f>
        <v>9</v>
      </c>
      <c r="DG173" s="34" t="n">
        <f aca="false">MAX(1,DG$170)</f>
        <v>9</v>
      </c>
      <c r="DH173" s="34" t="n">
        <f aca="false">MAX(1,DH$170)</f>
        <v>9</v>
      </c>
      <c r="DI173" s="34" t="n">
        <f aca="false">MAX(1,DI$170)</f>
        <v>9</v>
      </c>
      <c r="DJ173" s="34" t="n">
        <f aca="false">MAX(1,DJ$170)</f>
        <v>10</v>
      </c>
      <c r="DK173" s="34" t="n">
        <f aca="false">MAX(1,DK$170)</f>
        <v>10</v>
      </c>
      <c r="DL173" s="34" t="n">
        <f aca="false">MAX(1,DL$170)</f>
        <v>10</v>
      </c>
      <c r="DM173" s="34" t="n">
        <f aca="false">MAX(1,DM$170)</f>
        <v>10</v>
      </c>
      <c r="DN173" s="34" t="n">
        <f aca="false">MAX(1,DN$170)</f>
        <v>10</v>
      </c>
      <c r="DO173" s="34" t="n">
        <f aca="false">MAX(1,DO$170)</f>
        <v>10</v>
      </c>
      <c r="DP173" s="34" t="n">
        <f aca="false">MAX(1,DP$170)</f>
        <v>10</v>
      </c>
      <c r="DQ173" s="34" t="n">
        <f aca="false">MAX(1,DQ$170)</f>
        <v>10</v>
      </c>
      <c r="DR173" s="34" t="n">
        <f aca="false">MAX(1,DR$170)</f>
        <v>10</v>
      </c>
      <c r="DS173" s="34" t="n">
        <f aca="false">MAX(1,DS$170)</f>
        <v>10</v>
      </c>
      <c r="DT173" s="34" t="n">
        <f aca="false">MAX(1,DT$170)</f>
        <v>10</v>
      </c>
      <c r="DU173" s="34" t="n">
        <f aca="false">MAX(1,DU$170)</f>
        <v>10</v>
      </c>
      <c r="DV173" s="34" t="n">
        <f aca="false">MAX(1,DV$170)</f>
        <v>1</v>
      </c>
      <c r="DW173" s="34" t="n">
        <f aca="false">MAX(1,DW$170)</f>
        <v>1</v>
      </c>
      <c r="DX173" s="34" t="n">
        <f aca="false">MAX(1,DX$170)</f>
        <v>1</v>
      </c>
      <c r="DY173" s="34" t="n">
        <f aca="false">MAX(1,DY$170)</f>
        <v>1</v>
      </c>
      <c r="DZ173" s="34" t="n">
        <f aca="false">MAX(1,DZ$170)</f>
        <v>1</v>
      </c>
      <c r="EA173" s="34" t="n">
        <f aca="false">MAX(1,EA$170)</f>
        <v>1</v>
      </c>
      <c r="EB173" s="34" t="n">
        <f aca="false">MAX(1,EB$170)</f>
        <v>1</v>
      </c>
      <c r="EC173" s="34" t="n">
        <f aca="false">MAX(1,EC$170)</f>
        <v>1</v>
      </c>
      <c r="ED173" s="34" t="n">
        <f aca="false">MAX(1,ED$170)</f>
        <v>1</v>
      </c>
      <c r="EE173" s="34" t="n">
        <f aca="false">MAX(1,EE$170)</f>
        <v>1</v>
      </c>
      <c r="EF173" s="34" t="n">
        <f aca="false">MAX(1,EF$170)</f>
        <v>1</v>
      </c>
      <c r="EG173" s="34" t="n">
        <f aca="false">MAX(1,EG$170)</f>
        <v>1</v>
      </c>
      <c r="EH173" s="34" t="n">
        <f aca="false">MAX(1,EH$170)</f>
        <v>1</v>
      </c>
      <c r="EI173" s="34" t="n">
        <f aca="false">MAX(1,EI$170)</f>
        <v>1</v>
      </c>
      <c r="EJ173" s="34" t="n">
        <f aca="false">MAX(1,EJ$170)</f>
        <v>1</v>
      </c>
      <c r="EK173" s="34" t="n">
        <f aca="false">MAX(1,EK$170)</f>
        <v>1</v>
      </c>
      <c r="EL173" s="34" t="n">
        <f aca="false">MAX(1,EL$170)</f>
        <v>1</v>
      </c>
      <c r="EM173" s="34" t="n">
        <f aca="false">MAX(1,EM$170)</f>
        <v>1</v>
      </c>
      <c r="EN173" s="34" t="n">
        <f aca="false">MAX(1,EN$170)</f>
        <v>1</v>
      </c>
      <c r="EO173" s="34" t="n">
        <f aca="false">MAX(1,EO$170)</f>
        <v>1</v>
      </c>
      <c r="EP173" s="34" t="n">
        <f aca="false">MAX(1,EP$170)</f>
        <v>1</v>
      </c>
      <c r="EQ173" s="34" t="n">
        <f aca="false">MAX(1,EQ$170)</f>
        <v>1</v>
      </c>
      <c r="ER173" s="34" t="n">
        <f aca="false">MAX(1,ER$170)</f>
        <v>1</v>
      </c>
      <c r="ES173" s="34" t="n">
        <f aca="false">MAX(1,ES$170)</f>
        <v>1</v>
      </c>
    </row>
    <row r="174" customFormat="false" ht="15" hidden="false" customHeight="false" outlineLevel="0" collapsed="false">
      <c r="A174" s="11" t="s">
        <v>1298</v>
      </c>
      <c r="B174" s="15" t="s">
        <v>1063</v>
      </c>
      <c r="C174" s="15" t="s">
        <v>466</v>
      </c>
      <c r="F174" s="48" t="n">
        <f aca="false">IF(AND(AND(1&gt;Corte,1&lt;=Corte+n_Ventana),ISNUMBER(Detalle_24m!F$10)),Detalle_24m!F$10,INDEX(TC_V,1,MIN(10,F$6)))*(1+V_dTC)</f>
        <v>7300</v>
      </c>
      <c r="G174" s="48" t="n">
        <f aca="false">IF(AND(AND(2&gt;Corte,2&lt;=Corte+n_Ventana),ISNUMBER(Detalle_24m!G$10)),Detalle_24m!G$10,INDEX(TC_V,1,MIN(10,G$6)))*(1+V_dTC)</f>
        <v>7300</v>
      </c>
      <c r="H174" s="48" t="n">
        <f aca="false">IF(AND(AND(3&gt;Corte,3&lt;=Corte+n_Ventana),ISNUMBER(Detalle_24m!H$10)),Detalle_24m!H$10,INDEX(TC_V,1,MIN(10,H$6)))*(1+V_dTC)</f>
        <v>7300</v>
      </c>
      <c r="I174" s="48" t="n">
        <f aca="false">IF(AND(AND(4&gt;Corte,4&lt;=Corte+n_Ventana),ISNUMBER(Detalle_24m!I$10)),Detalle_24m!I$10,INDEX(TC_V,1,MIN(10,I$6)))*(1+V_dTC)</f>
        <v>7300</v>
      </c>
      <c r="J174" s="48" t="n">
        <f aca="false">IF(AND(AND(5&gt;Corte,5&lt;=Corte+n_Ventana),ISNUMBER(Detalle_24m!J$10)),Detalle_24m!J$10,INDEX(TC_V,1,MIN(10,J$6)))*(1+V_dTC)</f>
        <v>7300</v>
      </c>
      <c r="K174" s="48" t="n">
        <f aca="false">IF(AND(AND(6&gt;Corte,6&lt;=Corte+n_Ventana),ISNUMBER(Detalle_24m!K$10)),Detalle_24m!K$10,INDEX(TC_V,1,MIN(10,K$6)))*(1+V_dTC)</f>
        <v>7300</v>
      </c>
      <c r="L174" s="48" t="n">
        <f aca="false">IF(AND(AND(7&gt;Corte,7&lt;=Corte+n_Ventana),ISNUMBER(Detalle_24m!L$10)),Detalle_24m!L$10,INDEX(TC_V,1,MIN(10,L$6)))*(1+V_dTC)</f>
        <v>7300</v>
      </c>
      <c r="M174" s="48" t="n">
        <f aca="false">IF(AND(AND(8&gt;Corte,8&lt;=Corte+n_Ventana),ISNUMBER(Detalle_24m!M$10)),Detalle_24m!M$10,INDEX(TC_V,1,MIN(10,M$6)))*(1+V_dTC)</f>
        <v>7300</v>
      </c>
      <c r="N174" s="48" t="n">
        <f aca="false">IF(AND(AND(9&gt;Corte,9&lt;=Corte+n_Ventana),ISNUMBER(Detalle_24m!N$10)),Detalle_24m!N$10,INDEX(TC_V,1,MIN(10,N$6)))*(1+V_dTC)</f>
        <v>7300</v>
      </c>
      <c r="O174" s="48" t="n">
        <f aca="false">IF(AND(AND(10&gt;Corte,10&lt;=Corte+n_Ventana),ISNUMBER(Detalle_24m!O$10)),Detalle_24m!O$10,INDEX(TC_V,1,MIN(10,O$6)))*(1+V_dTC)</f>
        <v>7300</v>
      </c>
      <c r="P174" s="48" t="n">
        <f aca="false">IF(AND(AND(11&gt;Corte,11&lt;=Corte+n_Ventana),ISNUMBER(Detalle_24m!P$10)),Detalle_24m!P$10,INDEX(TC_V,1,MIN(10,P$6)))*(1+V_dTC)</f>
        <v>7300</v>
      </c>
      <c r="Q174" s="48" t="n">
        <f aca="false">IF(AND(AND(12&gt;Corte,12&lt;=Corte+n_Ventana),ISNUMBER(Detalle_24m!Q$10)),Detalle_24m!Q$10,INDEX(TC_V,1,MIN(10,Q$6)))*(1+V_dTC)</f>
        <v>7300</v>
      </c>
      <c r="R174" s="48" t="n">
        <f aca="false">IF(AND(AND(13&gt;Corte,13&lt;=Corte+n_Ventana),ISNUMBER(Detalle_24m!R$10)),Detalle_24m!R$10,INDEX(TC_V,1,MIN(10,R$6)))*(1+V_dTC)</f>
        <v>7300</v>
      </c>
      <c r="S174" s="48" t="n">
        <f aca="false">IF(AND(AND(14&gt;Corte,14&lt;=Corte+n_Ventana),ISNUMBER(Detalle_24m!S$10)),Detalle_24m!S$10,INDEX(TC_V,1,MIN(10,S$6)))*(1+V_dTC)</f>
        <v>7300</v>
      </c>
      <c r="T174" s="48" t="n">
        <f aca="false">IF(AND(AND(15&gt;Corte,15&lt;=Corte+n_Ventana),ISNUMBER(Detalle_24m!T$10)),Detalle_24m!T$10,INDEX(TC_V,1,MIN(10,T$6)))*(1+V_dTC)</f>
        <v>7300</v>
      </c>
      <c r="U174" s="48" t="n">
        <f aca="false">IF(AND(AND(16&gt;Corte,16&lt;=Corte+n_Ventana),ISNUMBER(Detalle_24m!U$10)),Detalle_24m!U$10,INDEX(TC_V,1,MIN(10,U$6)))*(1+V_dTC)</f>
        <v>7300</v>
      </c>
      <c r="V174" s="48" t="n">
        <f aca="false">IF(AND(AND(17&gt;Corte,17&lt;=Corte+n_Ventana),ISNUMBER(Detalle_24m!V$10)),Detalle_24m!V$10,INDEX(TC_V,1,MIN(10,V$6)))*(1+V_dTC)</f>
        <v>7300</v>
      </c>
      <c r="W174" s="48" t="n">
        <f aca="false">IF(AND(AND(18&gt;Corte,18&lt;=Corte+n_Ventana),ISNUMBER(Detalle_24m!W$10)),Detalle_24m!W$10,INDEX(TC_V,1,MIN(10,W$6)))*(1+V_dTC)</f>
        <v>7300</v>
      </c>
      <c r="X174" s="48" t="n">
        <f aca="false">IF(AND(AND(19&gt;Corte,19&lt;=Corte+n_Ventana),ISNUMBER(Detalle_24m!X$10)),Detalle_24m!X$10,INDEX(TC_V,1,MIN(10,X$6)))*(1+V_dTC)</f>
        <v>7300</v>
      </c>
      <c r="Y174" s="48" t="n">
        <f aca="false">IF(AND(AND(20&gt;Corte,20&lt;=Corte+n_Ventana),ISNUMBER(Detalle_24m!Y$10)),Detalle_24m!Y$10,INDEX(TC_V,1,MIN(10,Y$6)))*(1+V_dTC)</f>
        <v>7300</v>
      </c>
      <c r="Z174" s="48" t="n">
        <f aca="false">IF(AND(AND(21&gt;Corte,21&lt;=Corte+n_Ventana),ISNUMBER(Detalle_24m!Z$10)),Detalle_24m!Z$10,INDEX(TC_V,1,MIN(10,Z$6)))*(1+V_dTC)</f>
        <v>7300</v>
      </c>
      <c r="AA174" s="48" t="n">
        <f aca="false">IF(AND(AND(22&gt;Corte,22&lt;=Corte+n_Ventana),ISNUMBER(Detalle_24m!AA$10)),Detalle_24m!AA$10,INDEX(TC_V,1,MIN(10,AA$6)))*(1+V_dTC)</f>
        <v>7300</v>
      </c>
      <c r="AB174" s="48" t="n">
        <f aca="false">IF(AND(AND(23&gt;Corte,23&lt;=Corte+n_Ventana),ISNUMBER(Detalle_24m!AB$10)),Detalle_24m!AB$10,INDEX(TC_V,1,MIN(10,AB$6)))*(1+V_dTC)</f>
        <v>7300</v>
      </c>
      <c r="AC174" s="48" t="n">
        <f aca="false">IF(AND(AND(24&gt;Corte,24&lt;=Corte+n_Ventana),ISNUMBER(Detalle_24m!AC$10)),Detalle_24m!AC$10,INDEX(TC_V,1,MIN(10,AC$6)))*(1+V_dTC)</f>
        <v>7300</v>
      </c>
      <c r="AD174" s="48" t="n">
        <f aca="false">IF(AND(AND(25&gt;Corte,25&lt;=Corte+n_Ventana),ISNUMBER(Detalle_24m!AD$10)),Detalle_24m!AD$10,INDEX(TC_V,1,MIN(10,AD$6)))*(1+V_dTC)</f>
        <v>7300</v>
      </c>
      <c r="AE174" s="48" t="n">
        <f aca="false">IF(AND(AND(26&gt;Corte,26&lt;=Corte+n_Ventana),ISNUMBER(Detalle_24m!AE$10)),Detalle_24m!AE$10,INDEX(TC_V,1,MIN(10,AE$6)))*(1+V_dTC)</f>
        <v>7300</v>
      </c>
      <c r="AF174" s="48" t="n">
        <f aca="false">IF(AND(AND(27&gt;Corte,27&lt;=Corte+n_Ventana),ISNUMBER(Detalle_24m!AF$10)),Detalle_24m!AF$10,INDEX(TC_V,1,MIN(10,AF$6)))*(1+V_dTC)</f>
        <v>7300</v>
      </c>
      <c r="AG174" s="48" t="n">
        <f aca="false">IF(AND(AND(28&gt;Corte,28&lt;=Corte+n_Ventana),ISNUMBER(Detalle_24m!AG$10)),Detalle_24m!AG$10,INDEX(TC_V,1,MIN(10,AG$6)))*(1+V_dTC)</f>
        <v>7300</v>
      </c>
      <c r="AH174" s="48" t="n">
        <f aca="false">IF(AND(AND(29&gt;Corte,29&lt;=Corte+n_Ventana),ISNUMBER(Detalle_24m!AH$10)),Detalle_24m!AH$10,INDEX(TC_V,1,MIN(10,AH$6)))*(1+V_dTC)</f>
        <v>7300</v>
      </c>
      <c r="AI174" s="48" t="n">
        <f aca="false">IF(AND(AND(30&gt;Corte,30&lt;=Corte+n_Ventana),ISNUMBER(Detalle_24m!AI$10)),Detalle_24m!AI$10,INDEX(TC_V,1,MIN(10,AI$6)))*(1+V_dTC)</f>
        <v>7300</v>
      </c>
      <c r="AJ174" s="48" t="n">
        <f aca="false">IF(AND(AND(31&gt;Corte,31&lt;=Corte+n_Ventana),ISNUMBER(Detalle_24m!AJ$10)),Detalle_24m!AJ$10,INDEX(TC_V,1,MIN(10,AJ$6)))*(1+V_dTC)</f>
        <v>7300</v>
      </c>
      <c r="AK174" s="48" t="n">
        <f aca="false">IF(AND(AND(32&gt;Corte,32&lt;=Corte+n_Ventana),ISNUMBER(Detalle_24m!AK$10)),Detalle_24m!AK$10,INDEX(TC_V,1,MIN(10,AK$6)))*(1+V_dTC)</f>
        <v>7300</v>
      </c>
      <c r="AL174" s="48" t="n">
        <f aca="false">IF(AND(AND(33&gt;Corte,33&lt;=Corte+n_Ventana),ISNUMBER(Detalle_24m!AL$10)),Detalle_24m!AL$10,INDEX(TC_V,1,MIN(10,AL$6)))*(1+V_dTC)</f>
        <v>7300</v>
      </c>
      <c r="AM174" s="48" t="n">
        <f aca="false">IF(AND(AND(34&gt;Corte,34&lt;=Corte+n_Ventana),ISNUMBER(Detalle_24m!AM$10)),Detalle_24m!AM$10,INDEX(TC_V,1,MIN(10,AM$6)))*(1+V_dTC)</f>
        <v>7300</v>
      </c>
      <c r="AN174" s="48" t="n">
        <f aca="false">IF(AND(AND(35&gt;Corte,35&lt;=Corte+n_Ventana),ISNUMBER(Detalle_24m!AN$10)),Detalle_24m!AN$10,INDEX(TC_V,1,MIN(10,AN$6)))*(1+V_dTC)</f>
        <v>7300</v>
      </c>
      <c r="AO174" s="48" t="n">
        <f aca="false">IF(AND(AND(36&gt;Corte,36&lt;=Corte+n_Ventana),ISNUMBER(Detalle_24m!AO$10)),Detalle_24m!AO$10,INDEX(TC_V,1,MIN(10,AO$6)))*(1+V_dTC)</f>
        <v>7300</v>
      </c>
      <c r="AP174" s="48" t="n">
        <f aca="false">IF(AND(AND(37&gt;Corte,37&lt;=Corte+n_Ventana),ISNUMBER(Detalle_24m!AP$10)),Detalle_24m!AP$10,INDEX(TC_V,1,MIN(10,AP$6)))*(1+V_dTC)</f>
        <v>7300</v>
      </c>
      <c r="AQ174" s="48" t="n">
        <f aca="false">IF(AND(AND(38&gt;Corte,38&lt;=Corte+n_Ventana),ISNUMBER(Detalle_24m!AQ$10)),Detalle_24m!AQ$10,INDEX(TC_V,1,MIN(10,AQ$6)))*(1+V_dTC)</f>
        <v>7300</v>
      </c>
      <c r="AR174" s="48" t="n">
        <f aca="false">IF(AND(AND(39&gt;Corte,39&lt;=Corte+n_Ventana),ISNUMBER(Detalle_24m!AR$10)),Detalle_24m!AR$10,INDEX(TC_V,1,MIN(10,AR$6)))*(1+V_dTC)</f>
        <v>7300</v>
      </c>
      <c r="AS174" s="48" t="n">
        <f aca="false">IF(AND(AND(40&gt;Corte,40&lt;=Corte+n_Ventana),ISNUMBER(Detalle_24m!AS$10)),Detalle_24m!AS$10,INDEX(TC_V,1,MIN(10,AS$6)))*(1+V_dTC)</f>
        <v>7300</v>
      </c>
      <c r="AT174" s="48" t="n">
        <f aca="false">IF(AND(AND(41&gt;Corte,41&lt;=Corte+n_Ventana),ISNUMBER(Detalle_24m!AT$10)),Detalle_24m!AT$10,INDEX(TC_V,1,MIN(10,AT$6)))*(1+V_dTC)</f>
        <v>7300</v>
      </c>
      <c r="AU174" s="48" t="n">
        <f aca="false">IF(AND(AND(42&gt;Corte,42&lt;=Corte+n_Ventana),ISNUMBER(Detalle_24m!AU$10)),Detalle_24m!AU$10,INDEX(TC_V,1,MIN(10,AU$6)))*(1+V_dTC)</f>
        <v>7300</v>
      </c>
      <c r="AV174" s="48" t="n">
        <f aca="false">IF(AND(AND(43&gt;Corte,43&lt;=Corte+n_Ventana),ISNUMBER(Detalle_24m!AV$10)),Detalle_24m!AV$10,INDEX(TC_V,1,MIN(10,AV$6)))*(1+V_dTC)</f>
        <v>7300</v>
      </c>
      <c r="AW174" s="48" t="n">
        <f aca="false">IF(AND(AND(44&gt;Corte,44&lt;=Corte+n_Ventana),ISNUMBER(Detalle_24m!AW$10)),Detalle_24m!AW$10,INDEX(TC_V,1,MIN(10,AW$6)))*(1+V_dTC)</f>
        <v>7300</v>
      </c>
      <c r="AX174" s="48" t="n">
        <f aca="false">IF(AND(AND(45&gt;Corte,45&lt;=Corte+n_Ventana),ISNUMBER(Detalle_24m!AX$10)),Detalle_24m!AX$10,INDEX(TC_V,1,MIN(10,AX$6)))*(1+V_dTC)</f>
        <v>7300</v>
      </c>
      <c r="AY174" s="48" t="n">
        <f aca="false">IF(AND(AND(46&gt;Corte,46&lt;=Corte+n_Ventana),ISNUMBER(Detalle_24m!AY$10)),Detalle_24m!AY$10,INDEX(TC_V,1,MIN(10,AY$6)))*(1+V_dTC)</f>
        <v>7300</v>
      </c>
      <c r="AZ174" s="48" t="n">
        <f aca="false">IF(AND(AND(47&gt;Corte,47&lt;=Corte+n_Ventana),ISNUMBER(Detalle_24m!AZ$10)),Detalle_24m!AZ$10,INDEX(TC_V,1,MIN(10,AZ$6)))*(1+V_dTC)</f>
        <v>7300</v>
      </c>
      <c r="BA174" s="48" t="n">
        <f aca="false">IF(AND(AND(48&gt;Corte,48&lt;=Corte+n_Ventana),ISNUMBER(Detalle_24m!BA$10)),Detalle_24m!BA$10,INDEX(TC_V,1,MIN(10,BA$6)))*(1+V_dTC)</f>
        <v>7300</v>
      </c>
      <c r="BB174" s="48" t="n">
        <f aca="false">IF(AND(AND(49&gt;Corte,49&lt;=Corte+n_Ventana),ISNUMBER(Detalle_24m!BB$10)),Detalle_24m!BB$10,INDEX(TC_V,1,MIN(10,BB$6)))*(1+V_dTC)</f>
        <v>7300</v>
      </c>
      <c r="BC174" s="48" t="n">
        <f aca="false">IF(AND(AND(50&gt;Corte,50&lt;=Corte+n_Ventana),ISNUMBER(Detalle_24m!BC$10)),Detalle_24m!BC$10,INDEX(TC_V,1,MIN(10,BC$6)))*(1+V_dTC)</f>
        <v>7300</v>
      </c>
      <c r="BD174" s="48" t="n">
        <f aca="false">IF(AND(AND(51&gt;Corte,51&lt;=Corte+n_Ventana),ISNUMBER(Detalle_24m!BD$10)),Detalle_24m!BD$10,INDEX(TC_V,1,MIN(10,BD$6)))*(1+V_dTC)</f>
        <v>7300</v>
      </c>
      <c r="BE174" s="48" t="n">
        <f aca="false">IF(AND(AND(52&gt;Corte,52&lt;=Corte+n_Ventana),ISNUMBER(Detalle_24m!BE$10)),Detalle_24m!BE$10,INDEX(TC_V,1,MIN(10,BE$6)))*(1+V_dTC)</f>
        <v>7300</v>
      </c>
      <c r="BF174" s="48" t="n">
        <f aca="false">IF(AND(AND(53&gt;Corte,53&lt;=Corte+n_Ventana),ISNUMBER(Detalle_24m!BF$10)),Detalle_24m!BF$10,INDEX(TC_V,1,MIN(10,BF$6)))*(1+V_dTC)</f>
        <v>7300</v>
      </c>
      <c r="BG174" s="48" t="n">
        <f aca="false">IF(AND(AND(54&gt;Corte,54&lt;=Corte+n_Ventana),ISNUMBER(Detalle_24m!BG$10)),Detalle_24m!BG$10,INDEX(TC_V,1,MIN(10,BG$6)))*(1+V_dTC)</f>
        <v>7300</v>
      </c>
      <c r="BH174" s="48" t="n">
        <f aca="false">IF(AND(AND(55&gt;Corte,55&lt;=Corte+n_Ventana),ISNUMBER(Detalle_24m!BH$10)),Detalle_24m!BH$10,INDEX(TC_V,1,MIN(10,BH$6)))*(1+V_dTC)</f>
        <v>7300</v>
      </c>
      <c r="BI174" s="48" t="n">
        <f aca="false">IF(AND(AND(56&gt;Corte,56&lt;=Corte+n_Ventana),ISNUMBER(Detalle_24m!BI$10)),Detalle_24m!BI$10,INDEX(TC_V,1,MIN(10,BI$6)))*(1+V_dTC)</f>
        <v>7300</v>
      </c>
      <c r="BJ174" s="48" t="n">
        <f aca="false">IF(AND(AND(57&gt;Corte,57&lt;=Corte+n_Ventana),ISNUMBER(Detalle_24m!BJ$10)),Detalle_24m!BJ$10,INDEX(TC_V,1,MIN(10,BJ$6)))*(1+V_dTC)</f>
        <v>7300</v>
      </c>
      <c r="BK174" s="48" t="n">
        <f aca="false">IF(AND(AND(58&gt;Corte,58&lt;=Corte+n_Ventana),ISNUMBER(Detalle_24m!BK$10)),Detalle_24m!BK$10,INDEX(TC_V,1,MIN(10,BK$6)))*(1+V_dTC)</f>
        <v>7300</v>
      </c>
      <c r="BL174" s="48" t="n">
        <f aca="false">IF(AND(AND(59&gt;Corte,59&lt;=Corte+n_Ventana),ISNUMBER(Detalle_24m!BL$10)),Detalle_24m!BL$10,INDEX(TC_V,1,MIN(10,BL$6)))*(1+V_dTC)</f>
        <v>7300</v>
      </c>
      <c r="BM174" s="48" t="n">
        <f aca="false">IF(AND(AND(60&gt;Corte,60&lt;=Corte+n_Ventana),ISNUMBER(Detalle_24m!BM$10)),Detalle_24m!BM$10,INDEX(TC_V,1,MIN(10,BM$6)))*(1+V_dTC)</f>
        <v>7300</v>
      </c>
      <c r="BN174" s="48" t="n">
        <f aca="false">IF(AND(AND(61&gt;Corte,61&lt;=Corte+n_Ventana),ISNUMBER(Detalle_24m!BN$10)),Detalle_24m!BN$10,INDEX(TC_V,1,MIN(10,BN$6)))*(1+V_dTC)</f>
        <v>7300</v>
      </c>
      <c r="BO174" s="48" t="n">
        <f aca="false">IF(AND(AND(62&gt;Corte,62&lt;=Corte+n_Ventana),ISNUMBER(Detalle_24m!BO$10)),Detalle_24m!BO$10,INDEX(TC_V,1,MIN(10,BO$6)))*(1+V_dTC)</f>
        <v>7300</v>
      </c>
      <c r="BP174" s="48" t="n">
        <f aca="false">IF(AND(AND(63&gt;Corte,63&lt;=Corte+n_Ventana),ISNUMBER(Detalle_24m!BP$10)),Detalle_24m!BP$10,INDEX(TC_V,1,MIN(10,BP$6)))*(1+V_dTC)</f>
        <v>7300</v>
      </c>
      <c r="BQ174" s="48" t="n">
        <f aca="false">IF(AND(AND(64&gt;Corte,64&lt;=Corte+n_Ventana),ISNUMBER(Detalle_24m!BQ$10)),Detalle_24m!BQ$10,INDEX(TC_V,1,MIN(10,BQ$6)))*(1+V_dTC)</f>
        <v>7300</v>
      </c>
      <c r="BR174" s="48" t="n">
        <f aca="false">IF(AND(AND(65&gt;Corte,65&lt;=Corte+n_Ventana),ISNUMBER(Detalle_24m!BR$10)),Detalle_24m!BR$10,INDEX(TC_V,1,MIN(10,BR$6)))*(1+V_dTC)</f>
        <v>7300</v>
      </c>
      <c r="BS174" s="48" t="n">
        <f aca="false">IF(AND(AND(66&gt;Corte,66&lt;=Corte+n_Ventana),ISNUMBER(Detalle_24m!BS$10)),Detalle_24m!BS$10,INDEX(TC_V,1,MIN(10,BS$6)))*(1+V_dTC)</f>
        <v>7300</v>
      </c>
      <c r="BT174" s="48" t="n">
        <f aca="false">IF(AND(AND(67&gt;Corte,67&lt;=Corte+n_Ventana),ISNUMBER(Detalle_24m!BT$10)),Detalle_24m!BT$10,INDEX(TC_V,1,MIN(10,BT$6)))*(1+V_dTC)</f>
        <v>7300</v>
      </c>
      <c r="BU174" s="48" t="n">
        <f aca="false">IF(AND(AND(68&gt;Corte,68&lt;=Corte+n_Ventana),ISNUMBER(Detalle_24m!BU$10)),Detalle_24m!BU$10,INDEX(TC_V,1,MIN(10,BU$6)))*(1+V_dTC)</f>
        <v>7300</v>
      </c>
      <c r="BV174" s="48" t="n">
        <f aca="false">IF(AND(AND(69&gt;Corte,69&lt;=Corte+n_Ventana),ISNUMBER(Detalle_24m!BV$10)),Detalle_24m!BV$10,INDEX(TC_V,1,MIN(10,BV$6)))*(1+V_dTC)</f>
        <v>7300</v>
      </c>
      <c r="BW174" s="48" t="n">
        <f aca="false">IF(AND(AND(70&gt;Corte,70&lt;=Corte+n_Ventana),ISNUMBER(Detalle_24m!BW$10)),Detalle_24m!BW$10,INDEX(TC_V,1,MIN(10,BW$6)))*(1+V_dTC)</f>
        <v>7300</v>
      </c>
      <c r="BX174" s="48" t="n">
        <f aca="false">IF(AND(AND(71&gt;Corte,71&lt;=Corte+n_Ventana),ISNUMBER(Detalle_24m!BX$10)),Detalle_24m!BX$10,INDEX(TC_V,1,MIN(10,BX$6)))*(1+V_dTC)</f>
        <v>7300</v>
      </c>
      <c r="BY174" s="48" t="n">
        <f aca="false">IF(AND(AND(72&gt;Corte,72&lt;=Corte+n_Ventana),ISNUMBER(Detalle_24m!BY$10)),Detalle_24m!BY$10,INDEX(TC_V,1,MIN(10,BY$6)))*(1+V_dTC)</f>
        <v>7300</v>
      </c>
      <c r="BZ174" s="48" t="n">
        <f aca="false">IF(AND(AND(73&gt;Corte,73&lt;=Corte+n_Ventana),ISNUMBER(Detalle_24m!BZ$10)),Detalle_24m!BZ$10,INDEX(TC_V,1,MIN(10,BZ$6)))*(1+V_dTC)</f>
        <v>7300</v>
      </c>
      <c r="CA174" s="48" t="n">
        <f aca="false">IF(AND(AND(74&gt;Corte,74&lt;=Corte+n_Ventana),ISNUMBER(Detalle_24m!CA$10)),Detalle_24m!CA$10,INDEX(TC_V,1,MIN(10,CA$6)))*(1+V_dTC)</f>
        <v>7300</v>
      </c>
      <c r="CB174" s="48" t="n">
        <f aca="false">IF(AND(AND(75&gt;Corte,75&lt;=Corte+n_Ventana),ISNUMBER(Detalle_24m!CB$10)),Detalle_24m!CB$10,INDEX(TC_V,1,MIN(10,CB$6)))*(1+V_dTC)</f>
        <v>7300</v>
      </c>
      <c r="CC174" s="48" t="n">
        <f aca="false">IF(AND(AND(76&gt;Corte,76&lt;=Corte+n_Ventana),ISNUMBER(Detalle_24m!CC$10)),Detalle_24m!CC$10,INDEX(TC_V,1,MIN(10,CC$6)))*(1+V_dTC)</f>
        <v>7300</v>
      </c>
      <c r="CD174" s="48" t="n">
        <f aca="false">IF(AND(AND(77&gt;Corte,77&lt;=Corte+n_Ventana),ISNUMBER(Detalle_24m!CD$10)),Detalle_24m!CD$10,INDEX(TC_V,1,MIN(10,CD$6)))*(1+V_dTC)</f>
        <v>7300</v>
      </c>
      <c r="CE174" s="48" t="n">
        <f aca="false">IF(AND(AND(78&gt;Corte,78&lt;=Corte+n_Ventana),ISNUMBER(Detalle_24m!CE$10)),Detalle_24m!CE$10,INDEX(TC_V,1,MIN(10,CE$6)))*(1+V_dTC)</f>
        <v>7300</v>
      </c>
      <c r="CF174" s="48" t="n">
        <f aca="false">IF(AND(AND(79&gt;Corte,79&lt;=Corte+n_Ventana),ISNUMBER(Detalle_24m!CF$10)),Detalle_24m!CF$10,INDEX(TC_V,1,MIN(10,CF$6)))*(1+V_dTC)</f>
        <v>7300</v>
      </c>
      <c r="CG174" s="48" t="n">
        <f aca="false">IF(AND(AND(80&gt;Corte,80&lt;=Corte+n_Ventana),ISNUMBER(Detalle_24m!CG$10)),Detalle_24m!CG$10,INDEX(TC_V,1,MIN(10,CG$6)))*(1+V_dTC)</f>
        <v>7300</v>
      </c>
      <c r="CH174" s="48" t="n">
        <f aca="false">IF(AND(AND(81&gt;Corte,81&lt;=Corte+n_Ventana),ISNUMBER(Detalle_24m!CH$10)),Detalle_24m!CH$10,INDEX(TC_V,1,MIN(10,CH$6)))*(1+V_dTC)</f>
        <v>7300</v>
      </c>
      <c r="CI174" s="48" t="n">
        <f aca="false">IF(AND(AND(82&gt;Corte,82&lt;=Corte+n_Ventana),ISNUMBER(Detalle_24m!CI$10)),Detalle_24m!CI$10,INDEX(TC_V,1,MIN(10,CI$6)))*(1+V_dTC)</f>
        <v>7300</v>
      </c>
      <c r="CJ174" s="48" t="n">
        <f aca="false">IF(AND(AND(83&gt;Corte,83&lt;=Corte+n_Ventana),ISNUMBER(Detalle_24m!CJ$10)),Detalle_24m!CJ$10,INDEX(TC_V,1,MIN(10,CJ$6)))*(1+V_dTC)</f>
        <v>7300</v>
      </c>
      <c r="CK174" s="48" t="n">
        <f aca="false">IF(AND(AND(84&gt;Corte,84&lt;=Corte+n_Ventana),ISNUMBER(Detalle_24m!CK$10)),Detalle_24m!CK$10,INDEX(TC_V,1,MIN(10,CK$6)))*(1+V_dTC)</f>
        <v>7300</v>
      </c>
      <c r="CL174" s="48" t="n">
        <f aca="false">IF(AND(AND(85&gt;Corte,85&lt;=Corte+n_Ventana),ISNUMBER(Detalle_24m!CL$10)),Detalle_24m!CL$10,INDEX(TC_V,1,MIN(10,CL$6)))*(1+V_dTC)</f>
        <v>7300</v>
      </c>
      <c r="CM174" s="48" t="n">
        <f aca="false">IF(AND(AND(86&gt;Corte,86&lt;=Corte+n_Ventana),ISNUMBER(Detalle_24m!CM$10)),Detalle_24m!CM$10,INDEX(TC_V,1,MIN(10,CM$6)))*(1+V_dTC)</f>
        <v>7300</v>
      </c>
      <c r="CN174" s="48" t="n">
        <f aca="false">IF(AND(AND(87&gt;Corte,87&lt;=Corte+n_Ventana),ISNUMBER(Detalle_24m!CN$10)),Detalle_24m!CN$10,INDEX(TC_V,1,MIN(10,CN$6)))*(1+V_dTC)</f>
        <v>7300</v>
      </c>
      <c r="CO174" s="48" t="n">
        <f aca="false">IF(AND(AND(88&gt;Corte,88&lt;=Corte+n_Ventana),ISNUMBER(Detalle_24m!CO$10)),Detalle_24m!CO$10,INDEX(TC_V,1,MIN(10,CO$6)))*(1+V_dTC)</f>
        <v>7300</v>
      </c>
      <c r="CP174" s="48" t="n">
        <f aca="false">IF(AND(AND(89&gt;Corte,89&lt;=Corte+n_Ventana),ISNUMBER(Detalle_24m!CP$10)),Detalle_24m!CP$10,INDEX(TC_V,1,MIN(10,CP$6)))*(1+V_dTC)</f>
        <v>7300</v>
      </c>
      <c r="CQ174" s="48" t="n">
        <f aca="false">IF(AND(AND(90&gt;Corte,90&lt;=Corte+n_Ventana),ISNUMBER(Detalle_24m!CQ$10)),Detalle_24m!CQ$10,INDEX(TC_V,1,MIN(10,CQ$6)))*(1+V_dTC)</f>
        <v>7300</v>
      </c>
      <c r="CR174" s="48" t="n">
        <f aca="false">IF(AND(AND(91&gt;Corte,91&lt;=Corte+n_Ventana),ISNUMBER(Detalle_24m!CR$10)),Detalle_24m!CR$10,INDEX(TC_V,1,MIN(10,CR$6)))*(1+V_dTC)</f>
        <v>7300</v>
      </c>
      <c r="CS174" s="48" t="n">
        <f aca="false">IF(AND(AND(92&gt;Corte,92&lt;=Corte+n_Ventana),ISNUMBER(Detalle_24m!CS$10)),Detalle_24m!CS$10,INDEX(TC_V,1,MIN(10,CS$6)))*(1+V_dTC)</f>
        <v>7300</v>
      </c>
      <c r="CT174" s="48" t="n">
        <f aca="false">IF(AND(AND(93&gt;Corte,93&lt;=Corte+n_Ventana),ISNUMBER(Detalle_24m!CT$10)),Detalle_24m!CT$10,INDEX(TC_V,1,MIN(10,CT$6)))*(1+V_dTC)</f>
        <v>7300</v>
      </c>
      <c r="CU174" s="48" t="n">
        <f aca="false">IF(AND(AND(94&gt;Corte,94&lt;=Corte+n_Ventana),ISNUMBER(Detalle_24m!CU$10)),Detalle_24m!CU$10,INDEX(TC_V,1,MIN(10,CU$6)))*(1+V_dTC)</f>
        <v>7300</v>
      </c>
      <c r="CV174" s="48" t="n">
        <f aca="false">IF(AND(AND(95&gt;Corte,95&lt;=Corte+n_Ventana),ISNUMBER(Detalle_24m!CV$10)),Detalle_24m!CV$10,INDEX(TC_V,1,MIN(10,CV$6)))*(1+V_dTC)</f>
        <v>7300</v>
      </c>
      <c r="CW174" s="48" t="n">
        <f aca="false">IF(AND(AND(96&gt;Corte,96&lt;=Corte+n_Ventana),ISNUMBER(Detalle_24m!CW$10)),Detalle_24m!CW$10,INDEX(TC_V,1,MIN(10,CW$6)))*(1+V_dTC)</f>
        <v>7300</v>
      </c>
      <c r="CX174" s="48" t="n">
        <f aca="false">IF(AND(AND(97&gt;Corte,97&lt;=Corte+n_Ventana),ISNUMBER(Detalle_24m!CX$10)),Detalle_24m!CX$10,INDEX(TC_V,1,MIN(10,CX$6)))*(1+V_dTC)</f>
        <v>7300</v>
      </c>
      <c r="CY174" s="48" t="n">
        <f aca="false">IF(AND(AND(98&gt;Corte,98&lt;=Corte+n_Ventana),ISNUMBER(Detalle_24m!CY$10)),Detalle_24m!CY$10,INDEX(TC_V,1,MIN(10,CY$6)))*(1+V_dTC)</f>
        <v>7300</v>
      </c>
      <c r="CZ174" s="48" t="n">
        <f aca="false">IF(AND(AND(99&gt;Corte,99&lt;=Corte+n_Ventana),ISNUMBER(Detalle_24m!CZ$10)),Detalle_24m!CZ$10,INDEX(TC_V,1,MIN(10,CZ$6)))*(1+V_dTC)</f>
        <v>7300</v>
      </c>
      <c r="DA174" s="48" t="n">
        <f aca="false">IF(AND(AND(100&gt;Corte,100&lt;=Corte+n_Ventana),ISNUMBER(Detalle_24m!DA$10)),Detalle_24m!DA$10,INDEX(TC_V,1,MIN(10,DA$6)))*(1+V_dTC)</f>
        <v>7300</v>
      </c>
      <c r="DB174" s="48" t="n">
        <f aca="false">IF(AND(AND(101&gt;Corte,101&lt;=Corte+n_Ventana),ISNUMBER(Detalle_24m!DB$10)),Detalle_24m!DB$10,INDEX(TC_V,1,MIN(10,DB$6)))*(1+V_dTC)</f>
        <v>7300</v>
      </c>
      <c r="DC174" s="48" t="n">
        <f aca="false">IF(AND(AND(102&gt;Corte,102&lt;=Corte+n_Ventana),ISNUMBER(Detalle_24m!DC$10)),Detalle_24m!DC$10,INDEX(TC_V,1,MIN(10,DC$6)))*(1+V_dTC)</f>
        <v>7300</v>
      </c>
      <c r="DD174" s="48" t="n">
        <f aca="false">IF(AND(AND(103&gt;Corte,103&lt;=Corte+n_Ventana),ISNUMBER(Detalle_24m!DD$10)),Detalle_24m!DD$10,INDEX(TC_V,1,MIN(10,DD$6)))*(1+V_dTC)</f>
        <v>7300</v>
      </c>
      <c r="DE174" s="48" t="n">
        <f aca="false">IF(AND(AND(104&gt;Corte,104&lt;=Corte+n_Ventana),ISNUMBER(Detalle_24m!DE$10)),Detalle_24m!DE$10,INDEX(TC_V,1,MIN(10,DE$6)))*(1+V_dTC)</f>
        <v>7300</v>
      </c>
      <c r="DF174" s="48" t="n">
        <f aca="false">IF(AND(AND(105&gt;Corte,105&lt;=Corte+n_Ventana),ISNUMBER(Detalle_24m!DF$10)),Detalle_24m!DF$10,INDEX(TC_V,1,MIN(10,DF$6)))*(1+V_dTC)</f>
        <v>7300</v>
      </c>
      <c r="DG174" s="48" t="n">
        <f aca="false">IF(AND(AND(106&gt;Corte,106&lt;=Corte+n_Ventana),ISNUMBER(Detalle_24m!DG$10)),Detalle_24m!DG$10,INDEX(TC_V,1,MIN(10,DG$6)))*(1+V_dTC)</f>
        <v>7300</v>
      </c>
      <c r="DH174" s="48" t="n">
        <f aca="false">IF(AND(AND(107&gt;Corte,107&lt;=Corte+n_Ventana),ISNUMBER(Detalle_24m!DH$10)),Detalle_24m!DH$10,INDEX(TC_V,1,MIN(10,DH$6)))*(1+V_dTC)</f>
        <v>7300</v>
      </c>
      <c r="DI174" s="48" t="n">
        <f aca="false">IF(AND(AND(108&gt;Corte,108&lt;=Corte+n_Ventana),ISNUMBER(Detalle_24m!DI$10)),Detalle_24m!DI$10,INDEX(TC_V,1,MIN(10,DI$6)))*(1+V_dTC)</f>
        <v>7300</v>
      </c>
      <c r="DJ174" s="48" t="n">
        <f aca="false">IF(AND(AND(109&gt;Corte,109&lt;=Corte+n_Ventana),ISNUMBER(Detalle_24m!DJ$10)),Detalle_24m!DJ$10,INDEX(TC_V,1,MIN(10,DJ$6)))*(1+V_dTC)</f>
        <v>7300</v>
      </c>
      <c r="DK174" s="48" t="n">
        <f aca="false">IF(AND(AND(110&gt;Corte,110&lt;=Corte+n_Ventana),ISNUMBER(Detalle_24m!DK$10)),Detalle_24m!DK$10,INDEX(TC_V,1,MIN(10,DK$6)))*(1+V_dTC)</f>
        <v>7300</v>
      </c>
      <c r="DL174" s="48" t="n">
        <f aca="false">IF(AND(AND(111&gt;Corte,111&lt;=Corte+n_Ventana),ISNUMBER(Detalle_24m!DL$10)),Detalle_24m!DL$10,INDEX(TC_V,1,MIN(10,DL$6)))*(1+V_dTC)</f>
        <v>7300</v>
      </c>
      <c r="DM174" s="48" t="n">
        <f aca="false">IF(AND(AND(112&gt;Corte,112&lt;=Corte+n_Ventana),ISNUMBER(Detalle_24m!DM$10)),Detalle_24m!DM$10,INDEX(TC_V,1,MIN(10,DM$6)))*(1+V_dTC)</f>
        <v>7300</v>
      </c>
      <c r="DN174" s="48" t="n">
        <f aca="false">IF(AND(AND(113&gt;Corte,113&lt;=Corte+n_Ventana),ISNUMBER(Detalle_24m!DN$10)),Detalle_24m!DN$10,INDEX(TC_V,1,MIN(10,DN$6)))*(1+V_dTC)</f>
        <v>7300</v>
      </c>
      <c r="DO174" s="48" t="n">
        <f aca="false">IF(AND(AND(114&gt;Corte,114&lt;=Corte+n_Ventana),ISNUMBER(Detalle_24m!DO$10)),Detalle_24m!DO$10,INDEX(TC_V,1,MIN(10,DO$6)))*(1+V_dTC)</f>
        <v>7300</v>
      </c>
      <c r="DP174" s="48" t="n">
        <f aca="false">IF(AND(AND(115&gt;Corte,115&lt;=Corte+n_Ventana),ISNUMBER(Detalle_24m!DP$10)),Detalle_24m!DP$10,INDEX(TC_V,1,MIN(10,DP$6)))*(1+V_dTC)</f>
        <v>7300</v>
      </c>
      <c r="DQ174" s="48" t="n">
        <f aca="false">IF(AND(AND(116&gt;Corte,116&lt;=Corte+n_Ventana),ISNUMBER(Detalle_24m!DQ$10)),Detalle_24m!DQ$10,INDEX(TC_V,1,MIN(10,DQ$6)))*(1+V_dTC)</f>
        <v>7300</v>
      </c>
      <c r="DR174" s="48" t="n">
        <f aca="false">IF(AND(AND(117&gt;Corte,117&lt;=Corte+n_Ventana),ISNUMBER(Detalle_24m!DR$10)),Detalle_24m!DR$10,INDEX(TC_V,1,MIN(10,DR$6)))*(1+V_dTC)</f>
        <v>7300</v>
      </c>
      <c r="DS174" s="48" t="n">
        <f aca="false">IF(AND(AND(118&gt;Corte,118&lt;=Corte+n_Ventana),ISNUMBER(Detalle_24m!DS$10)),Detalle_24m!DS$10,INDEX(TC_V,1,MIN(10,DS$6)))*(1+V_dTC)</f>
        <v>7300</v>
      </c>
      <c r="DT174" s="48" t="n">
        <f aca="false">IF(AND(AND(119&gt;Corte,119&lt;=Corte+n_Ventana),ISNUMBER(Detalle_24m!DT$10)),Detalle_24m!DT$10,INDEX(TC_V,1,MIN(10,DT$6)))*(1+V_dTC)</f>
        <v>7300</v>
      </c>
      <c r="DU174" s="48" t="n">
        <f aca="false">IF(AND(AND(120&gt;Corte,120&lt;=Corte+n_Ventana),ISNUMBER(Detalle_24m!DU$10)),Detalle_24m!DU$10,INDEX(TC_V,1,MIN(10,DU$6)))*(1+V_dTC)</f>
        <v>7300</v>
      </c>
      <c r="DV174" s="48" t="n">
        <f aca="false">IF(AND(AND(121&gt;Corte,121&lt;=Corte+n_Ventana),ISNUMBER(Detalle_24m!DV$10)),Detalle_24m!DV$10,INDEX(TC_V,1,MIN(10,DV$6)))*(1+V_dTC)</f>
        <v>7300</v>
      </c>
      <c r="DW174" s="48" t="n">
        <f aca="false">IF(AND(AND(122&gt;Corte,122&lt;=Corte+n_Ventana),ISNUMBER(Detalle_24m!DW$10)),Detalle_24m!DW$10,INDEX(TC_V,1,MIN(10,DW$6)))*(1+V_dTC)</f>
        <v>7300</v>
      </c>
      <c r="DX174" s="48" t="n">
        <f aca="false">IF(AND(AND(123&gt;Corte,123&lt;=Corte+n_Ventana),ISNUMBER(Detalle_24m!DX$10)),Detalle_24m!DX$10,INDEX(TC_V,1,MIN(10,DX$6)))*(1+V_dTC)</f>
        <v>7300</v>
      </c>
      <c r="DY174" s="48" t="n">
        <f aca="false">IF(AND(AND(124&gt;Corte,124&lt;=Corte+n_Ventana),ISNUMBER(Detalle_24m!DY$10)),Detalle_24m!DY$10,INDEX(TC_V,1,MIN(10,DY$6)))*(1+V_dTC)</f>
        <v>7300</v>
      </c>
      <c r="DZ174" s="48" t="n">
        <f aca="false">IF(AND(AND(125&gt;Corte,125&lt;=Corte+n_Ventana),ISNUMBER(Detalle_24m!DZ$10)),Detalle_24m!DZ$10,INDEX(TC_V,1,MIN(10,DZ$6)))*(1+V_dTC)</f>
        <v>7300</v>
      </c>
      <c r="EA174" s="48" t="n">
        <f aca="false">IF(AND(AND(126&gt;Corte,126&lt;=Corte+n_Ventana),ISNUMBER(Detalle_24m!EA$10)),Detalle_24m!EA$10,INDEX(TC_V,1,MIN(10,EA$6)))*(1+V_dTC)</f>
        <v>7300</v>
      </c>
      <c r="EB174" s="48" t="n">
        <f aca="false">IF(AND(AND(127&gt;Corte,127&lt;=Corte+n_Ventana),ISNUMBER(Detalle_24m!EB$10)),Detalle_24m!EB$10,INDEX(TC_V,1,MIN(10,EB$6)))*(1+V_dTC)</f>
        <v>7300</v>
      </c>
      <c r="EC174" s="48" t="n">
        <f aca="false">IF(AND(AND(128&gt;Corte,128&lt;=Corte+n_Ventana),ISNUMBER(Detalle_24m!EC$10)),Detalle_24m!EC$10,INDEX(TC_V,1,MIN(10,EC$6)))*(1+V_dTC)</f>
        <v>7300</v>
      </c>
      <c r="ED174" s="48" t="n">
        <f aca="false">IF(AND(AND(129&gt;Corte,129&lt;=Corte+n_Ventana),ISNUMBER(Detalle_24m!ED$10)),Detalle_24m!ED$10,INDEX(TC_V,1,MIN(10,ED$6)))*(1+V_dTC)</f>
        <v>7300</v>
      </c>
      <c r="EE174" s="48" t="n">
        <f aca="false">IF(AND(AND(130&gt;Corte,130&lt;=Corte+n_Ventana),ISNUMBER(Detalle_24m!EE$10)),Detalle_24m!EE$10,INDEX(TC_V,1,MIN(10,EE$6)))*(1+V_dTC)</f>
        <v>7300</v>
      </c>
      <c r="EF174" s="48" t="n">
        <f aca="false">IF(AND(AND(131&gt;Corte,131&lt;=Corte+n_Ventana),ISNUMBER(Detalle_24m!EF$10)),Detalle_24m!EF$10,INDEX(TC_V,1,MIN(10,EF$6)))*(1+V_dTC)</f>
        <v>7300</v>
      </c>
      <c r="EG174" s="48" t="n">
        <f aca="false">IF(AND(AND(132&gt;Corte,132&lt;=Corte+n_Ventana),ISNUMBER(Detalle_24m!EG$10)),Detalle_24m!EG$10,INDEX(TC_V,1,MIN(10,EG$6)))*(1+V_dTC)</f>
        <v>7300</v>
      </c>
      <c r="EH174" s="48" t="n">
        <f aca="false">IF(AND(AND(133&gt;Corte,133&lt;=Corte+n_Ventana),ISNUMBER(Detalle_24m!EH$10)),Detalle_24m!EH$10,INDEX(TC_V,1,MIN(10,EH$6)))*(1+V_dTC)</f>
        <v>7300</v>
      </c>
      <c r="EI174" s="48" t="n">
        <f aca="false">IF(AND(AND(134&gt;Corte,134&lt;=Corte+n_Ventana),ISNUMBER(Detalle_24m!EI$10)),Detalle_24m!EI$10,INDEX(TC_V,1,MIN(10,EI$6)))*(1+V_dTC)</f>
        <v>7300</v>
      </c>
      <c r="EJ174" s="48" t="n">
        <f aca="false">IF(AND(AND(135&gt;Corte,135&lt;=Corte+n_Ventana),ISNUMBER(Detalle_24m!EJ$10)),Detalle_24m!EJ$10,INDEX(TC_V,1,MIN(10,EJ$6)))*(1+V_dTC)</f>
        <v>7300</v>
      </c>
      <c r="EK174" s="48" t="n">
        <f aca="false">IF(AND(AND(136&gt;Corte,136&lt;=Corte+n_Ventana),ISNUMBER(Detalle_24m!EK$10)),Detalle_24m!EK$10,INDEX(TC_V,1,MIN(10,EK$6)))*(1+V_dTC)</f>
        <v>7300</v>
      </c>
      <c r="EL174" s="48" t="n">
        <f aca="false">IF(AND(AND(137&gt;Corte,137&lt;=Corte+n_Ventana),ISNUMBER(Detalle_24m!EL$10)),Detalle_24m!EL$10,INDEX(TC_V,1,MIN(10,EL$6)))*(1+V_dTC)</f>
        <v>7300</v>
      </c>
      <c r="EM174" s="48" t="n">
        <f aca="false">IF(AND(AND(138&gt;Corte,138&lt;=Corte+n_Ventana),ISNUMBER(Detalle_24m!EM$10)),Detalle_24m!EM$10,INDEX(TC_V,1,MIN(10,EM$6)))*(1+V_dTC)</f>
        <v>7300</v>
      </c>
      <c r="EN174" s="48" t="n">
        <f aca="false">IF(AND(AND(139&gt;Corte,139&lt;=Corte+n_Ventana),ISNUMBER(Detalle_24m!EN$10)),Detalle_24m!EN$10,INDEX(TC_V,1,MIN(10,EN$6)))*(1+V_dTC)</f>
        <v>7300</v>
      </c>
      <c r="EO174" s="48" t="n">
        <f aca="false">IF(AND(AND(140&gt;Corte,140&lt;=Corte+n_Ventana),ISNUMBER(Detalle_24m!EO$10)),Detalle_24m!EO$10,INDEX(TC_V,1,MIN(10,EO$6)))*(1+V_dTC)</f>
        <v>7300</v>
      </c>
      <c r="EP174" s="48" t="n">
        <f aca="false">IF(AND(AND(141&gt;Corte,141&lt;=Corte+n_Ventana),ISNUMBER(Detalle_24m!EP$10)),Detalle_24m!EP$10,INDEX(TC_V,1,MIN(10,EP$6)))*(1+V_dTC)</f>
        <v>7300</v>
      </c>
      <c r="EQ174" s="48" t="n">
        <f aca="false">IF(AND(AND(142&gt;Corte,142&lt;=Corte+n_Ventana),ISNUMBER(Detalle_24m!EQ$10)),Detalle_24m!EQ$10,INDEX(TC_V,1,MIN(10,EQ$6)))*(1+V_dTC)</f>
        <v>7300</v>
      </c>
      <c r="ER174" s="48" t="n">
        <f aca="false">IF(AND(AND(143&gt;Corte,143&lt;=Corte+n_Ventana),ISNUMBER(Detalle_24m!ER$10)),Detalle_24m!ER$10,INDEX(TC_V,1,MIN(10,ER$6)))*(1+V_dTC)</f>
        <v>7300</v>
      </c>
      <c r="ES174" s="48" t="n">
        <f aca="false">IF(AND(AND(144&gt;Corte,144&lt;=Corte+n_Ventana),ISNUMBER(Detalle_24m!ES$10)),Detalle_24m!ES$10,INDEX(TC_V,1,MIN(10,ES$6)))*(1+V_dTC)</f>
        <v>7300</v>
      </c>
    </row>
    <row r="175" customFormat="false" ht="15" hidden="false" customHeight="false" outlineLevel="0" collapsed="false">
      <c r="A175" s="11" t="s">
        <v>1299</v>
      </c>
      <c r="B175" s="15" t="s">
        <v>1065</v>
      </c>
      <c r="C175" s="15"/>
      <c r="F175" s="42" t="n">
        <f aca="false">IF(F$174&gt;0,1/F$174,0)</f>
        <v>0.000136986301369863</v>
      </c>
      <c r="G175" s="42" t="n">
        <f aca="false">IF(G$174&gt;0,1/G$174,0)</f>
        <v>0.000136986301369863</v>
      </c>
      <c r="H175" s="42" t="n">
        <f aca="false">IF(H$174&gt;0,1/H$174,0)</f>
        <v>0.000136986301369863</v>
      </c>
      <c r="I175" s="42" t="n">
        <f aca="false">IF(I$174&gt;0,1/I$174,0)</f>
        <v>0.000136986301369863</v>
      </c>
      <c r="J175" s="42" t="n">
        <f aca="false">IF(J$174&gt;0,1/J$174,0)</f>
        <v>0.000136986301369863</v>
      </c>
      <c r="K175" s="42" t="n">
        <f aca="false">IF(K$174&gt;0,1/K$174,0)</f>
        <v>0.000136986301369863</v>
      </c>
      <c r="L175" s="42" t="n">
        <f aca="false">IF(L$174&gt;0,1/L$174,0)</f>
        <v>0.000136986301369863</v>
      </c>
      <c r="M175" s="42" t="n">
        <f aca="false">IF(M$174&gt;0,1/M$174,0)</f>
        <v>0.000136986301369863</v>
      </c>
      <c r="N175" s="42" t="n">
        <f aca="false">IF(N$174&gt;0,1/N$174,0)</f>
        <v>0.000136986301369863</v>
      </c>
      <c r="O175" s="42" t="n">
        <f aca="false">IF(O$174&gt;0,1/O$174,0)</f>
        <v>0.000136986301369863</v>
      </c>
      <c r="P175" s="42" t="n">
        <f aca="false">IF(P$174&gt;0,1/P$174,0)</f>
        <v>0.000136986301369863</v>
      </c>
      <c r="Q175" s="42" t="n">
        <f aca="false">IF(Q$174&gt;0,1/Q$174,0)</f>
        <v>0.000136986301369863</v>
      </c>
      <c r="R175" s="42" t="n">
        <f aca="false">IF(R$174&gt;0,1/R$174,0)</f>
        <v>0.000136986301369863</v>
      </c>
      <c r="S175" s="42" t="n">
        <f aca="false">IF(S$174&gt;0,1/S$174,0)</f>
        <v>0.000136986301369863</v>
      </c>
      <c r="T175" s="42" t="n">
        <f aca="false">IF(T$174&gt;0,1/T$174,0)</f>
        <v>0.000136986301369863</v>
      </c>
      <c r="U175" s="42" t="n">
        <f aca="false">IF(U$174&gt;0,1/U$174,0)</f>
        <v>0.000136986301369863</v>
      </c>
      <c r="V175" s="42" t="n">
        <f aca="false">IF(V$174&gt;0,1/V$174,0)</f>
        <v>0.000136986301369863</v>
      </c>
      <c r="W175" s="42" t="n">
        <f aca="false">IF(W$174&gt;0,1/W$174,0)</f>
        <v>0.000136986301369863</v>
      </c>
      <c r="X175" s="42" t="n">
        <f aca="false">IF(X$174&gt;0,1/X$174,0)</f>
        <v>0.000136986301369863</v>
      </c>
      <c r="Y175" s="42" t="n">
        <f aca="false">IF(Y$174&gt;0,1/Y$174,0)</f>
        <v>0.000136986301369863</v>
      </c>
      <c r="Z175" s="42" t="n">
        <f aca="false">IF(Z$174&gt;0,1/Z$174,0)</f>
        <v>0.000136986301369863</v>
      </c>
      <c r="AA175" s="42" t="n">
        <f aca="false">IF(AA$174&gt;0,1/AA$174,0)</f>
        <v>0.000136986301369863</v>
      </c>
      <c r="AB175" s="42" t="n">
        <f aca="false">IF(AB$174&gt;0,1/AB$174,0)</f>
        <v>0.000136986301369863</v>
      </c>
      <c r="AC175" s="42" t="n">
        <f aca="false">IF(AC$174&gt;0,1/AC$174,0)</f>
        <v>0.000136986301369863</v>
      </c>
      <c r="AD175" s="42" t="n">
        <f aca="false">IF(AD$174&gt;0,1/AD$174,0)</f>
        <v>0.000136986301369863</v>
      </c>
      <c r="AE175" s="42" t="n">
        <f aca="false">IF(AE$174&gt;0,1/AE$174,0)</f>
        <v>0.000136986301369863</v>
      </c>
      <c r="AF175" s="42" t="n">
        <f aca="false">IF(AF$174&gt;0,1/AF$174,0)</f>
        <v>0.000136986301369863</v>
      </c>
      <c r="AG175" s="42" t="n">
        <f aca="false">IF(AG$174&gt;0,1/AG$174,0)</f>
        <v>0.000136986301369863</v>
      </c>
      <c r="AH175" s="42" t="n">
        <f aca="false">IF(AH$174&gt;0,1/AH$174,0)</f>
        <v>0.000136986301369863</v>
      </c>
      <c r="AI175" s="42" t="n">
        <f aca="false">IF(AI$174&gt;0,1/AI$174,0)</f>
        <v>0.000136986301369863</v>
      </c>
      <c r="AJ175" s="42" t="n">
        <f aca="false">IF(AJ$174&gt;0,1/AJ$174,0)</f>
        <v>0.000136986301369863</v>
      </c>
      <c r="AK175" s="42" t="n">
        <f aca="false">IF(AK$174&gt;0,1/AK$174,0)</f>
        <v>0.000136986301369863</v>
      </c>
      <c r="AL175" s="42" t="n">
        <f aca="false">IF(AL$174&gt;0,1/AL$174,0)</f>
        <v>0.000136986301369863</v>
      </c>
      <c r="AM175" s="42" t="n">
        <f aca="false">IF(AM$174&gt;0,1/AM$174,0)</f>
        <v>0.000136986301369863</v>
      </c>
      <c r="AN175" s="42" t="n">
        <f aca="false">IF(AN$174&gt;0,1/AN$174,0)</f>
        <v>0.000136986301369863</v>
      </c>
      <c r="AO175" s="42" t="n">
        <f aca="false">IF(AO$174&gt;0,1/AO$174,0)</f>
        <v>0.000136986301369863</v>
      </c>
      <c r="AP175" s="42" t="n">
        <f aca="false">IF(AP$174&gt;0,1/AP$174,0)</f>
        <v>0.000136986301369863</v>
      </c>
      <c r="AQ175" s="42" t="n">
        <f aca="false">IF(AQ$174&gt;0,1/AQ$174,0)</f>
        <v>0.000136986301369863</v>
      </c>
      <c r="AR175" s="42" t="n">
        <f aca="false">IF(AR$174&gt;0,1/AR$174,0)</f>
        <v>0.000136986301369863</v>
      </c>
      <c r="AS175" s="42" t="n">
        <f aca="false">IF(AS$174&gt;0,1/AS$174,0)</f>
        <v>0.000136986301369863</v>
      </c>
      <c r="AT175" s="42" t="n">
        <f aca="false">IF(AT$174&gt;0,1/AT$174,0)</f>
        <v>0.000136986301369863</v>
      </c>
      <c r="AU175" s="42" t="n">
        <f aca="false">IF(AU$174&gt;0,1/AU$174,0)</f>
        <v>0.000136986301369863</v>
      </c>
      <c r="AV175" s="42" t="n">
        <f aca="false">IF(AV$174&gt;0,1/AV$174,0)</f>
        <v>0.000136986301369863</v>
      </c>
      <c r="AW175" s="42" t="n">
        <f aca="false">IF(AW$174&gt;0,1/AW$174,0)</f>
        <v>0.000136986301369863</v>
      </c>
      <c r="AX175" s="42" t="n">
        <f aca="false">IF(AX$174&gt;0,1/AX$174,0)</f>
        <v>0.000136986301369863</v>
      </c>
      <c r="AY175" s="42" t="n">
        <f aca="false">IF(AY$174&gt;0,1/AY$174,0)</f>
        <v>0.000136986301369863</v>
      </c>
      <c r="AZ175" s="42" t="n">
        <f aca="false">IF(AZ$174&gt;0,1/AZ$174,0)</f>
        <v>0.000136986301369863</v>
      </c>
      <c r="BA175" s="42" t="n">
        <f aca="false">IF(BA$174&gt;0,1/BA$174,0)</f>
        <v>0.000136986301369863</v>
      </c>
      <c r="BB175" s="42" t="n">
        <f aca="false">IF(BB$174&gt;0,1/BB$174,0)</f>
        <v>0.000136986301369863</v>
      </c>
      <c r="BC175" s="42" t="n">
        <f aca="false">IF(BC$174&gt;0,1/BC$174,0)</f>
        <v>0.000136986301369863</v>
      </c>
      <c r="BD175" s="42" t="n">
        <f aca="false">IF(BD$174&gt;0,1/BD$174,0)</f>
        <v>0.000136986301369863</v>
      </c>
      <c r="BE175" s="42" t="n">
        <f aca="false">IF(BE$174&gt;0,1/BE$174,0)</f>
        <v>0.000136986301369863</v>
      </c>
      <c r="BF175" s="42" t="n">
        <f aca="false">IF(BF$174&gt;0,1/BF$174,0)</f>
        <v>0.000136986301369863</v>
      </c>
      <c r="BG175" s="42" t="n">
        <f aca="false">IF(BG$174&gt;0,1/BG$174,0)</f>
        <v>0.000136986301369863</v>
      </c>
      <c r="BH175" s="42" t="n">
        <f aca="false">IF(BH$174&gt;0,1/BH$174,0)</f>
        <v>0.000136986301369863</v>
      </c>
      <c r="BI175" s="42" t="n">
        <f aca="false">IF(BI$174&gt;0,1/BI$174,0)</f>
        <v>0.000136986301369863</v>
      </c>
      <c r="BJ175" s="42" t="n">
        <f aca="false">IF(BJ$174&gt;0,1/BJ$174,0)</f>
        <v>0.000136986301369863</v>
      </c>
      <c r="BK175" s="42" t="n">
        <f aca="false">IF(BK$174&gt;0,1/BK$174,0)</f>
        <v>0.000136986301369863</v>
      </c>
      <c r="BL175" s="42" t="n">
        <f aca="false">IF(BL$174&gt;0,1/BL$174,0)</f>
        <v>0.000136986301369863</v>
      </c>
      <c r="BM175" s="42" t="n">
        <f aca="false">IF(BM$174&gt;0,1/BM$174,0)</f>
        <v>0.000136986301369863</v>
      </c>
      <c r="BN175" s="42" t="n">
        <f aca="false">IF(BN$174&gt;0,1/BN$174,0)</f>
        <v>0.000136986301369863</v>
      </c>
      <c r="BO175" s="42" t="n">
        <f aca="false">IF(BO$174&gt;0,1/BO$174,0)</f>
        <v>0.000136986301369863</v>
      </c>
      <c r="BP175" s="42" t="n">
        <f aca="false">IF(BP$174&gt;0,1/BP$174,0)</f>
        <v>0.000136986301369863</v>
      </c>
      <c r="BQ175" s="42" t="n">
        <f aca="false">IF(BQ$174&gt;0,1/BQ$174,0)</f>
        <v>0.000136986301369863</v>
      </c>
      <c r="BR175" s="42" t="n">
        <f aca="false">IF(BR$174&gt;0,1/BR$174,0)</f>
        <v>0.000136986301369863</v>
      </c>
      <c r="BS175" s="42" t="n">
        <f aca="false">IF(BS$174&gt;0,1/BS$174,0)</f>
        <v>0.000136986301369863</v>
      </c>
      <c r="BT175" s="42" t="n">
        <f aca="false">IF(BT$174&gt;0,1/BT$174,0)</f>
        <v>0.000136986301369863</v>
      </c>
      <c r="BU175" s="42" t="n">
        <f aca="false">IF(BU$174&gt;0,1/BU$174,0)</f>
        <v>0.000136986301369863</v>
      </c>
      <c r="BV175" s="42" t="n">
        <f aca="false">IF(BV$174&gt;0,1/BV$174,0)</f>
        <v>0.000136986301369863</v>
      </c>
      <c r="BW175" s="42" t="n">
        <f aca="false">IF(BW$174&gt;0,1/BW$174,0)</f>
        <v>0.000136986301369863</v>
      </c>
      <c r="BX175" s="42" t="n">
        <f aca="false">IF(BX$174&gt;0,1/BX$174,0)</f>
        <v>0.000136986301369863</v>
      </c>
      <c r="BY175" s="42" t="n">
        <f aca="false">IF(BY$174&gt;0,1/BY$174,0)</f>
        <v>0.000136986301369863</v>
      </c>
      <c r="BZ175" s="42" t="n">
        <f aca="false">IF(BZ$174&gt;0,1/BZ$174,0)</f>
        <v>0.000136986301369863</v>
      </c>
      <c r="CA175" s="42" t="n">
        <f aca="false">IF(CA$174&gt;0,1/CA$174,0)</f>
        <v>0.000136986301369863</v>
      </c>
      <c r="CB175" s="42" t="n">
        <f aca="false">IF(CB$174&gt;0,1/CB$174,0)</f>
        <v>0.000136986301369863</v>
      </c>
      <c r="CC175" s="42" t="n">
        <f aca="false">IF(CC$174&gt;0,1/CC$174,0)</f>
        <v>0.000136986301369863</v>
      </c>
      <c r="CD175" s="42" t="n">
        <f aca="false">IF(CD$174&gt;0,1/CD$174,0)</f>
        <v>0.000136986301369863</v>
      </c>
      <c r="CE175" s="42" t="n">
        <f aca="false">IF(CE$174&gt;0,1/CE$174,0)</f>
        <v>0.000136986301369863</v>
      </c>
      <c r="CF175" s="42" t="n">
        <f aca="false">IF(CF$174&gt;0,1/CF$174,0)</f>
        <v>0.000136986301369863</v>
      </c>
      <c r="CG175" s="42" t="n">
        <f aca="false">IF(CG$174&gt;0,1/CG$174,0)</f>
        <v>0.000136986301369863</v>
      </c>
      <c r="CH175" s="42" t="n">
        <f aca="false">IF(CH$174&gt;0,1/CH$174,0)</f>
        <v>0.000136986301369863</v>
      </c>
      <c r="CI175" s="42" t="n">
        <f aca="false">IF(CI$174&gt;0,1/CI$174,0)</f>
        <v>0.000136986301369863</v>
      </c>
      <c r="CJ175" s="42" t="n">
        <f aca="false">IF(CJ$174&gt;0,1/CJ$174,0)</f>
        <v>0.000136986301369863</v>
      </c>
      <c r="CK175" s="42" t="n">
        <f aca="false">IF(CK$174&gt;0,1/CK$174,0)</f>
        <v>0.000136986301369863</v>
      </c>
      <c r="CL175" s="42" t="n">
        <f aca="false">IF(CL$174&gt;0,1/CL$174,0)</f>
        <v>0.000136986301369863</v>
      </c>
      <c r="CM175" s="42" t="n">
        <f aca="false">IF(CM$174&gt;0,1/CM$174,0)</f>
        <v>0.000136986301369863</v>
      </c>
      <c r="CN175" s="42" t="n">
        <f aca="false">IF(CN$174&gt;0,1/CN$174,0)</f>
        <v>0.000136986301369863</v>
      </c>
      <c r="CO175" s="42" t="n">
        <f aca="false">IF(CO$174&gt;0,1/CO$174,0)</f>
        <v>0.000136986301369863</v>
      </c>
      <c r="CP175" s="42" t="n">
        <f aca="false">IF(CP$174&gt;0,1/CP$174,0)</f>
        <v>0.000136986301369863</v>
      </c>
      <c r="CQ175" s="42" t="n">
        <f aca="false">IF(CQ$174&gt;0,1/CQ$174,0)</f>
        <v>0.000136986301369863</v>
      </c>
      <c r="CR175" s="42" t="n">
        <f aca="false">IF(CR$174&gt;0,1/CR$174,0)</f>
        <v>0.000136986301369863</v>
      </c>
      <c r="CS175" s="42" t="n">
        <f aca="false">IF(CS$174&gt;0,1/CS$174,0)</f>
        <v>0.000136986301369863</v>
      </c>
      <c r="CT175" s="42" t="n">
        <f aca="false">IF(CT$174&gt;0,1/CT$174,0)</f>
        <v>0.000136986301369863</v>
      </c>
      <c r="CU175" s="42" t="n">
        <f aca="false">IF(CU$174&gt;0,1/CU$174,0)</f>
        <v>0.000136986301369863</v>
      </c>
      <c r="CV175" s="42" t="n">
        <f aca="false">IF(CV$174&gt;0,1/CV$174,0)</f>
        <v>0.000136986301369863</v>
      </c>
      <c r="CW175" s="42" t="n">
        <f aca="false">IF(CW$174&gt;0,1/CW$174,0)</f>
        <v>0.000136986301369863</v>
      </c>
      <c r="CX175" s="42" t="n">
        <f aca="false">IF(CX$174&gt;0,1/CX$174,0)</f>
        <v>0.000136986301369863</v>
      </c>
      <c r="CY175" s="42" t="n">
        <f aca="false">IF(CY$174&gt;0,1/CY$174,0)</f>
        <v>0.000136986301369863</v>
      </c>
      <c r="CZ175" s="42" t="n">
        <f aca="false">IF(CZ$174&gt;0,1/CZ$174,0)</f>
        <v>0.000136986301369863</v>
      </c>
      <c r="DA175" s="42" t="n">
        <f aca="false">IF(DA$174&gt;0,1/DA$174,0)</f>
        <v>0.000136986301369863</v>
      </c>
      <c r="DB175" s="42" t="n">
        <f aca="false">IF(DB$174&gt;0,1/DB$174,0)</f>
        <v>0.000136986301369863</v>
      </c>
      <c r="DC175" s="42" t="n">
        <f aca="false">IF(DC$174&gt;0,1/DC$174,0)</f>
        <v>0.000136986301369863</v>
      </c>
      <c r="DD175" s="42" t="n">
        <f aca="false">IF(DD$174&gt;0,1/DD$174,0)</f>
        <v>0.000136986301369863</v>
      </c>
      <c r="DE175" s="42" t="n">
        <f aca="false">IF(DE$174&gt;0,1/DE$174,0)</f>
        <v>0.000136986301369863</v>
      </c>
      <c r="DF175" s="42" t="n">
        <f aca="false">IF(DF$174&gt;0,1/DF$174,0)</f>
        <v>0.000136986301369863</v>
      </c>
      <c r="DG175" s="42" t="n">
        <f aca="false">IF(DG$174&gt;0,1/DG$174,0)</f>
        <v>0.000136986301369863</v>
      </c>
      <c r="DH175" s="42" t="n">
        <f aca="false">IF(DH$174&gt;0,1/DH$174,0)</f>
        <v>0.000136986301369863</v>
      </c>
      <c r="DI175" s="42" t="n">
        <f aca="false">IF(DI$174&gt;0,1/DI$174,0)</f>
        <v>0.000136986301369863</v>
      </c>
      <c r="DJ175" s="42" t="n">
        <f aca="false">IF(DJ$174&gt;0,1/DJ$174,0)</f>
        <v>0.000136986301369863</v>
      </c>
      <c r="DK175" s="42" t="n">
        <f aca="false">IF(DK$174&gt;0,1/DK$174,0)</f>
        <v>0.000136986301369863</v>
      </c>
      <c r="DL175" s="42" t="n">
        <f aca="false">IF(DL$174&gt;0,1/DL$174,0)</f>
        <v>0.000136986301369863</v>
      </c>
      <c r="DM175" s="42" t="n">
        <f aca="false">IF(DM$174&gt;0,1/DM$174,0)</f>
        <v>0.000136986301369863</v>
      </c>
      <c r="DN175" s="42" t="n">
        <f aca="false">IF(DN$174&gt;0,1/DN$174,0)</f>
        <v>0.000136986301369863</v>
      </c>
      <c r="DO175" s="42" t="n">
        <f aca="false">IF(DO$174&gt;0,1/DO$174,0)</f>
        <v>0.000136986301369863</v>
      </c>
      <c r="DP175" s="42" t="n">
        <f aca="false">IF(DP$174&gt;0,1/DP$174,0)</f>
        <v>0.000136986301369863</v>
      </c>
      <c r="DQ175" s="42" t="n">
        <f aca="false">IF(DQ$174&gt;0,1/DQ$174,0)</f>
        <v>0.000136986301369863</v>
      </c>
      <c r="DR175" s="42" t="n">
        <f aca="false">IF(DR$174&gt;0,1/DR$174,0)</f>
        <v>0.000136986301369863</v>
      </c>
      <c r="DS175" s="42" t="n">
        <f aca="false">IF(DS$174&gt;0,1/DS$174,0)</f>
        <v>0.000136986301369863</v>
      </c>
      <c r="DT175" s="42" t="n">
        <f aca="false">IF(DT$174&gt;0,1/DT$174,0)</f>
        <v>0.000136986301369863</v>
      </c>
      <c r="DU175" s="42" t="n">
        <f aca="false">IF(DU$174&gt;0,1/DU$174,0)</f>
        <v>0.000136986301369863</v>
      </c>
      <c r="DV175" s="42" t="n">
        <f aca="false">IF(DV$174&gt;0,1/DV$174,0)</f>
        <v>0.000136986301369863</v>
      </c>
      <c r="DW175" s="42" t="n">
        <f aca="false">IF(DW$174&gt;0,1/DW$174,0)</f>
        <v>0.000136986301369863</v>
      </c>
      <c r="DX175" s="42" t="n">
        <f aca="false">IF(DX$174&gt;0,1/DX$174,0)</f>
        <v>0.000136986301369863</v>
      </c>
      <c r="DY175" s="42" t="n">
        <f aca="false">IF(DY$174&gt;0,1/DY$174,0)</f>
        <v>0.000136986301369863</v>
      </c>
      <c r="DZ175" s="42" t="n">
        <f aca="false">IF(DZ$174&gt;0,1/DZ$174,0)</f>
        <v>0.000136986301369863</v>
      </c>
      <c r="EA175" s="42" t="n">
        <f aca="false">IF(EA$174&gt;0,1/EA$174,0)</f>
        <v>0.000136986301369863</v>
      </c>
      <c r="EB175" s="42" t="n">
        <f aca="false">IF(EB$174&gt;0,1/EB$174,0)</f>
        <v>0.000136986301369863</v>
      </c>
      <c r="EC175" s="42" t="n">
        <f aca="false">IF(EC$174&gt;0,1/EC$174,0)</f>
        <v>0.000136986301369863</v>
      </c>
      <c r="ED175" s="42" t="n">
        <f aca="false">IF(ED$174&gt;0,1/ED$174,0)</f>
        <v>0.000136986301369863</v>
      </c>
      <c r="EE175" s="42" t="n">
        <f aca="false">IF(EE$174&gt;0,1/EE$174,0)</f>
        <v>0.000136986301369863</v>
      </c>
      <c r="EF175" s="42" t="n">
        <f aca="false">IF(EF$174&gt;0,1/EF$174,0)</f>
        <v>0.000136986301369863</v>
      </c>
      <c r="EG175" s="42" t="n">
        <f aca="false">IF(EG$174&gt;0,1/EG$174,0)</f>
        <v>0.000136986301369863</v>
      </c>
      <c r="EH175" s="42" t="n">
        <f aca="false">IF(EH$174&gt;0,1/EH$174,0)</f>
        <v>0.000136986301369863</v>
      </c>
      <c r="EI175" s="42" t="n">
        <f aca="false">IF(EI$174&gt;0,1/EI$174,0)</f>
        <v>0.000136986301369863</v>
      </c>
      <c r="EJ175" s="42" t="n">
        <f aca="false">IF(EJ$174&gt;0,1/EJ$174,0)</f>
        <v>0.000136986301369863</v>
      </c>
      <c r="EK175" s="42" t="n">
        <f aca="false">IF(EK$174&gt;0,1/EK$174,0)</f>
        <v>0.000136986301369863</v>
      </c>
      <c r="EL175" s="42" t="n">
        <f aca="false">IF(EL$174&gt;0,1/EL$174,0)</f>
        <v>0.000136986301369863</v>
      </c>
      <c r="EM175" s="42" t="n">
        <f aca="false">IF(EM$174&gt;0,1/EM$174,0)</f>
        <v>0.000136986301369863</v>
      </c>
      <c r="EN175" s="42" t="n">
        <f aca="false">IF(EN$174&gt;0,1/EN$174,0)</f>
        <v>0.000136986301369863</v>
      </c>
      <c r="EO175" s="42" t="n">
        <f aca="false">IF(EO$174&gt;0,1/EO$174,0)</f>
        <v>0.000136986301369863</v>
      </c>
      <c r="EP175" s="42" t="n">
        <f aca="false">IF(EP$174&gt;0,1/EP$174,0)</f>
        <v>0.000136986301369863</v>
      </c>
      <c r="EQ175" s="42" t="n">
        <f aca="false">IF(EQ$174&gt;0,1/EQ$174,0)</f>
        <v>0.000136986301369863</v>
      </c>
      <c r="ER175" s="42" t="n">
        <f aca="false">IF(ER$174&gt;0,1/ER$174,0)</f>
        <v>0.000136986301369863</v>
      </c>
      <c r="ES175" s="42" t="n">
        <f aca="false">IF(ES$174&gt;0,1/ES$174,0)</f>
        <v>0.000136986301369863</v>
      </c>
    </row>
    <row r="176" customFormat="false" ht="15" hidden="false" customHeight="false" outlineLevel="0" collapsed="false">
      <c r="A176" s="13"/>
      <c r="B176" s="12" t="s">
        <v>506</v>
      </c>
      <c r="C176" s="13"/>
      <c r="D176" s="13"/>
      <c r="E176" s="13"/>
    </row>
    <row r="177" customFormat="false" ht="15" hidden="false" customHeight="false" outlineLevel="0" collapsed="false">
      <c r="A177" s="11" t="s">
        <v>1300</v>
      </c>
      <c r="B177" s="53" t="str">
        <f aca="false">IF(INDEX(Prod_Nombre,1)="","Producto 1",INDEX(Prod_Nombre,1))&amp;" — unidades"</f>
        <v>Gabinetes metálicos 153 kg — unidades</v>
      </c>
      <c r="C177" s="15" t="s">
        <v>544</v>
      </c>
      <c r="E177" s="54" t="n">
        <f aca="false">SUM(F177:ES177)</f>
        <v>192000</v>
      </c>
      <c r="F177" s="48" t="n">
        <f aca="false">IF(F$8=1,N(Reales!F12),IF(F$171=1,IF(AND(AND(1&gt;Corte,1&lt;=Corte+n_Ventana),ISNUMBER(Detalle_24m!F$14)),Detalle_24m!F$14,INDEX(Vol_V,1,F$170)/12)*(1+V_dVol),0))</f>
        <v>1000</v>
      </c>
      <c r="G177" s="48" t="n">
        <f aca="false">IF(G$8=1,N(Reales!G12),IF(G$171=1,IF(AND(AND(2&gt;Corte,2&lt;=Corte+n_Ventana),ISNUMBER(Detalle_24m!G$14)),Detalle_24m!G$14,INDEX(Vol_V,1,G$170)/12)*(1+V_dVol),0))</f>
        <v>1000</v>
      </c>
      <c r="H177" s="48" t="n">
        <f aca="false">IF(H$8=1,N(Reales!H12),IF(H$171=1,IF(AND(AND(3&gt;Corte,3&lt;=Corte+n_Ventana),ISNUMBER(Detalle_24m!H$14)),Detalle_24m!H$14,INDEX(Vol_V,1,H$170)/12)*(1+V_dVol),0))</f>
        <v>1000</v>
      </c>
      <c r="I177" s="48" t="n">
        <f aca="false">IF(I$8=1,N(Reales!I12),IF(I$171=1,IF(AND(AND(4&gt;Corte,4&lt;=Corte+n_Ventana),ISNUMBER(Detalle_24m!I$14)),Detalle_24m!I$14,INDEX(Vol_V,1,I$170)/12)*(1+V_dVol),0))</f>
        <v>1000</v>
      </c>
      <c r="J177" s="48" t="n">
        <f aca="false">IF(J$8=1,N(Reales!J12),IF(J$171=1,IF(AND(AND(5&gt;Corte,5&lt;=Corte+n_Ventana),ISNUMBER(Detalle_24m!J$14)),Detalle_24m!J$14,INDEX(Vol_V,1,J$170)/12)*(1+V_dVol),0))</f>
        <v>1000</v>
      </c>
      <c r="K177" s="48" t="n">
        <f aca="false">IF(K$8=1,N(Reales!K12),IF(K$171=1,IF(AND(AND(6&gt;Corte,6&lt;=Corte+n_Ventana),ISNUMBER(Detalle_24m!K$14)),Detalle_24m!K$14,INDEX(Vol_V,1,K$170)/12)*(1+V_dVol),0))</f>
        <v>1000</v>
      </c>
      <c r="L177" s="48" t="n">
        <f aca="false">IF(L$8=1,N(Reales!L12),IF(L$171=1,IF(AND(AND(7&gt;Corte,7&lt;=Corte+n_Ventana),ISNUMBER(Detalle_24m!L$14)),Detalle_24m!L$14,INDEX(Vol_V,1,L$170)/12)*(1+V_dVol),0))</f>
        <v>1000</v>
      </c>
      <c r="M177" s="48" t="n">
        <f aca="false">IF(M$8=1,N(Reales!M12),IF(M$171=1,IF(AND(AND(8&gt;Corte,8&lt;=Corte+n_Ventana),ISNUMBER(Detalle_24m!M$14)),Detalle_24m!M$14,INDEX(Vol_V,1,M$170)/12)*(1+V_dVol),0))</f>
        <v>1000</v>
      </c>
      <c r="N177" s="48" t="n">
        <f aca="false">IF(N$8=1,N(Reales!N12),IF(N$171=1,IF(AND(AND(9&gt;Corte,9&lt;=Corte+n_Ventana),ISNUMBER(Detalle_24m!N$14)),Detalle_24m!N$14,INDEX(Vol_V,1,N$170)/12)*(1+V_dVol),0))</f>
        <v>1000</v>
      </c>
      <c r="O177" s="48" t="n">
        <f aca="false">IF(O$8=1,N(Reales!O12),IF(O$171=1,IF(AND(AND(10&gt;Corte,10&lt;=Corte+n_Ventana),ISNUMBER(Detalle_24m!O$14)),Detalle_24m!O$14,INDEX(Vol_V,1,O$170)/12)*(1+V_dVol),0))</f>
        <v>1000</v>
      </c>
      <c r="P177" s="48" t="n">
        <f aca="false">IF(P$8=1,N(Reales!P12),IF(P$171=1,IF(AND(AND(11&gt;Corte,11&lt;=Corte+n_Ventana),ISNUMBER(Detalle_24m!P$14)),Detalle_24m!P$14,INDEX(Vol_V,1,P$170)/12)*(1+V_dVol),0))</f>
        <v>1000</v>
      </c>
      <c r="Q177" s="48" t="n">
        <f aca="false">IF(Q$8=1,N(Reales!Q12),IF(Q$171=1,IF(AND(AND(12&gt;Corte,12&lt;=Corte+n_Ventana),ISNUMBER(Detalle_24m!Q$14)),Detalle_24m!Q$14,INDEX(Vol_V,1,Q$170)/12)*(1+V_dVol),0))</f>
        <v>1000</v>
      </c>
      <c r="R177" s="48" t="n">
        <f aca="false">IF(R$8=1,N(Reales!R12),IF(R$171=1,IF(AND(AND(13&gt;Corte,13&lt;=Corte+n_Ventana),ISNUMBER(Detalle_24m!R$14)),Detalle_24m!R$14,INDEX(Vol_V,1,R$170)/12)*(1+V_dVol),0))</f>
        <v>1250</v>
      </c>
      <c r="S177" s="48" t="n">
        <f aca="false">IF(S$8=1,N(Reales!S12),IF(S$171=1,IF(AND(AND(14&gt;Corte,14&lt;=Corte+n_Ventana),ISNUMBER(Detalle_24m!S$14)),Detalle_24m!S$14,INDEX(Vol_V,1,S$170)/12)*(1+V_dVol),0))</f>
        <v>1250</v>
      </c>
      <c r="T177" s="48" t="n">
        <f aca="false">IF(T$8=1,N(Reales!T12),IF(T$171=1,IF(AND(AND(15&gt;Corte,15&lt;=Corte+n_Ventana),ISNUMBER(Detalle_24m!T$14)),Detalle_24m!T$14,INDEX(Vol_V,1,T$170)/12)*(1+V_dVol),0))</f>
        <v>1250</v>
      </c>
      <c r="U177" s="48" t="n">
        <f aca="false">IF(U$8=1,N(Reales!U12),IF(U$171=1,IF(AND(AND(16&gt;Corte,16&lt;=Corte+n_Ventana),ISNUMBER(Detalle_24m!U$14)),Detalle_24m!U$14,INDEX(Vol_V,1,U$170)/12)*(1+V_dVol),0))</f>
        <v>1250</v>
      </c>
      <c r="V177" s="48" t="n">
        <f aca="false">IF(V$8=1,N(Reales!V12),IF(V$171=1,IF(AND(AND(17&gt;Corte,17&lt;=Corte+n_Ventana),ISNUMBER(Detalle_24m!V$14)),Detalle_24m!V$14,INDEX(Vol_V,1,V$170)/12)*(1+V_dVol),0))</f>
        <v>1250</v>
      </c>
      <c r="W177" s="48" t="n">
        <f aca="false">IF(W$8=1,N(Reales!W12),IF(W$171=1,IF(AND(AND(18&gt;Corte,18&lt;=Corte+n_Ventana),ISNUMBER(Detalle_24m!W$14)),Detalle_24m!W$14,INDEX(Vol_V,1,W$170)/12)*(1+V_dVol),0))</f>
        <v>1250</v>
      </c>
      <c r="X177" s="48" t="n">
        <f aca="false">IF(X$8=1,N(Reales!X12),IF(X$171=1,IF(AND(AND(19&gt;Corte,19&lt;=Corte+n_Ventana),ISNUMBER(Detalle_24m!X$14)),Detalle_24m!X$14,INDEX(Vol_V,1,X$170)/12)*(1+V_dVol),0))</f>
        <v>1250</v>
      </c>
      <c r="Y177" s="48" t="n">
        <f aca="false">IF(Y$8=1,N(Reales!Y12),IF(Y$171=1,IF(AND(AND(20&gt;Corte,20&lt;=Corte+n_Ventana),ISNUMBER(Detalle_24m!Y$14)),Detalle_24m!Y$14,INDEX(Vol_V,1,Y$170)/12)*(1+V_dVol),0))</f>
        <v>1250</v>
      </c>
      <c r="Z177" s="48" t="n">
        <f aca="false">IF(Z$8=1,N(Reales!Z12),IF(Z$171=1,IF(AND(AND(21&gt;Corte,21&lt;=Corte+n_Ventana),ISNUMBER(Detalle_24m!Z$14)),Detalle_24m!Z$14,INDEX(Vol_V,1,Z$170)/12)*(1+V_dVol),0))</f>
        <v>1250</v>
      </c>
      <c r="AA177" s="48" t="n">
        <f aca="false">IF(AA$8=1,N(Reales!AA12),IF(AA$171=1,IF(AND(AND(22&gt;Corte,22&lt;=Corte+n_Ventana),ISNUMBER(Detalle_24m!AA$14)),Detalle_24m!AA$14,INDEX(Vol_V,1,AA$170)/12)*(1+V_dVol),0))</f>
        <v>1250</v>
      </c>
      <c r="AB177" s="48" t="n">
        <f aca="false">IF(AB$8=1,N(Reales!AB12),IF(AB$171=1,IF(AND(AND(23&gt;Corte,23&lt;=Corte+n_Ventana),ISNUMBER(Detalle_24m!AB$14)),Detalle_24m!AB$14,INDEX(Vol_V,1,AB$170)/12)*(1+V_dVol),0))</f>
        <v>1250</v>
      </c>
      <c r="AC177" s="48" t="n">
        <f aca="false">IF(AC$8=1,N(Reales!AC12),IF(AC$171=1,IF(AND(AND(24&gt;Corte,24&lt;=Corte+n_Ventana),ISNUMBER(Detalle_24m!AC$14)),Detalle_24m!AC$14,INDEX(Vol_V,1,AC$170)/12)*(1+V_dVol),0))</f>
        <v>1250</v>
      </c>
      <c r="AD177" s="48" t="n">
        <f aca="false">IF(AD$8=1,N(Reales!AD12),IF(AD$171=1,IF(AND(AND(25&gt;Corte,25&lt;=Corte+n_Ventana),ISNUMBER(Detalle_24m!AD$14)),Detalle_24m!AD$14,INDEX(Vol_V,1,AD$170)/12)*(1+V_dVol),0))</f>
        <v>1500</v>
      </c>
      <c r="AE177" s="48" t="n">
        <f aca="false">IF(AE$8=1,N(Reales!AE12),IF(AE$171=1,IF(AND(AND(26&gt;Corte,26&lt;=Corte+n_Ventana),ISNUMBER(Detalle_24m!AE$14)),Detalle_24m!AE$14,INDEX(Vol_V,1,AE$170)/12)*(1+V_dVol),0))</f>
        <v>1500</v>
      </c>
      <c r="AF177" s="48" t="n">
        <f aca="false">IF(AF$8=1,N(Reales!AF12),IF(AF$171=1,IF(AND(AND(27&gt;Corte,27&lt;=Corte+n_Ventana),ISNUMBER(Detalle_24m!AF$14)),Detalle_24m!AF$14,INDEX(Vol_V,1,AF$170)/12)*(1+V_dVol),0))</f>
        <v>1500</v>
      </c>
      <c r="AG177" s="48" t="n">
        <f aca="false">IF(AG$8=1,N(Reales!AG12),IF(AG$171=1,IF(AND(AND(28&gt;Corte,28&lt;=Corte+n_Ventana),ISNUMBER(Detalle_24m!AG$14)),Detalle_24m!AG$14,INDEX(Vol_V,1,AG$170)/12)*(1+V_dVol),0))</f>
        <v>1500</v>
      </c>
      <c r="AH177" s="48" t="n">
        <f aca="false">IF(AH$8=1,N(Reales!AH12),IF(AH$171=1,IF(AND(AND(29&gt;Corte,29&lt;=Corte+n_Ventana),ISNUMBER(Detalle_24m!AH$14)),Detalle_24m!AH$14,INDEX(Vol_V,1,AH$170)/12)*(1+V_dVol),0))</f>
        <v>1500</v>
      </c>
      <c r="AI177" s="48" t="n">
        <f aca="false">IF(AI$8=1,N(Reales!AI12),IF(AI$171=1,IF(AND(AND(30&gt;Corte,30&lt;=Corte+n_Ventana),ISNUMBER(Detalle_24m!AI$14)),Detalle_24m!AI$14,INDEX(Vol_V,1,AI$170)/12)*(1+V_dVol),0))</f>
        <v>1500</v>
      </c>
      <c r="AJ177" s="48" t="n">
        <f aca="false">IF(AJ$8=1,N(Reales!AJ12),IF(AJ$171=1,IF(AND(AND(31&gt;Corte,31&lt;=Corte+n_Ventana),ISNUMBER(Detalle_24m!AJ$14)),Detalle_24m!AJ$14,INDEX(Vol_V,1,AJ$170)/12)*(1+V_dVol),0))</f>
        <v>1500</v>
      </c>
      <c r="AK177" s="48" t="n">
        <f aca="false">IF(AK$8=1,N(Reales!AK12),IF(AK$171=1,IF(AND(AND(32&gt;Corte,32&lt;=Corte+n_Ventana),ISNUMBER(Detalle_24m!AK$14)),Detalle_24m!AK$14,INDEX(Vol_V,1,AK$170)/12)*(1+V_dVol),0))</f>
        <v>1500</v>
      </c>
      <c r="AL177" s="48" t="n">
        <f aca="false">IF(AL$8=1,N(Reales!AL12),IF(AL$171=1,IF(AND(AND(33&gt;Corte,33&lt;=Corte+n_Ventana),ISNUMBER(Detalle_24m!AL$14)),Detalle_24m!AL$14,INDEX(Vol_V,1,AL$170)/12)*(1+V_dVol),0))</f>
        <v>1500</v>
      </c>
      <c r="AM177" s="48" t="n">
        <f aca="false">IF(AM$8=1,N(Reales!AM12),IF(AM$171=1,IF(AND(AND(34&gt;Corte,34&lt;=Corte+n_Ventana),ISNUMBER(Detalle_24m!AM$14)),Detalle_24m!AM$14,INDEX(Vol_V,1,AM$170)/12)*(1+V_dVol),0))</f>
        <v>1500</v>
      </c>
      <c r="AN177" s="48" t="n">
        <f aca="false">IF(AN$8=1,N(Reales!AN12),IF(AN$171=1,IF(AND(AND(35&gt;Corte,35&lt;=Corte+n_Ventana),ISNUMBER(Detalle_24m!AN$14)),Detalle_24m!AN$14,INDEX(Vol_V,1,AN$170)/12)*(1+V_dVol),0))</f>
        <v>1500</v>
      </c>
      <c r="AO177" s="48" t="n">
        <f aca="false">IF(AO$8=1,N(Reales!AO12),IF(AO$171=1,IF(AND(AND(36&gt;Corte,36&lt;=Corte+n_Ventana),ISNUMBER(Detalle_24m!AO$14)),Detalle_24m!AO$14,INDEX(Vol_V,1,AO$170)/12)*(1+V_dVol),0))</f>
        <v>1500</v>
      </c>
      <c r="AP177" s="48" t="n">
        <f aca="false">IF(AP$8=1,N(Reales!AP12),IF(AP$171=1,IF(AND(AND(37&gt;Corte,37&lt;=Corte+n_Ventana),ISNUMBER(Detalle_24m!AP$14)),Detalle_24m!AP$14,INDEX(Vol_V,1,AP$170)/12)*(1+V_dVol),0))</f>
        <v>1750</v>
      </c>
      <c r="AQ177" s="48" t="n">
        <f aca="false">IF(AQ$8=1,N(Reales!AQ12),IF(AQ$171=1,IF(AND(AND(38&gt;Corte,38&lt;=Corte+n_Ventana),ISNUMBER(Detalle_24m!AQ$14)),Detalle_24m!AQ$14,INDEX(Vol_V,1,AQ$170)/12)*(1+V_dVol),0))</f>
        <v>1750</v>
      </c>
      <c r="AR177" s="48" t="n">
        <f aca="false">IF(AR$8=1,N(Reales!AR12),IF(AR$171=1,IF(AND(AND(39&gt;Corte,39&lt;=Corte+n_Ventana),ISNUMBER(Detalle_24m!AR$14)),Detalle_24m!AR$14,INDEX(Vol_V,1,AR$170)/12)*(1+V_dVol),0))</f>
        <v>1750</v>
      </c>
      <c r="AS177" s="48" t="n">
        <f aca="false">IF(AS$8=1,N(Reales!AS12),IF(AS$171=1,IF(AND(AND(40&gt;Corte,40&lt;=Corte+n_Ventana),ISNUMBER(Detalle_24m!AS$14)),Detalle_24m!AS$14,INDEX(Vol_V,1,AS$170)/12)*(1+V_dVol),0))</f>
        <v>1750</v>
      </c>
      <c r="AT177" s="48" t="n">
        <f aca="false">IF(AT$8=1,N(Reales!AT12),IF(AT$171=1,IF(AND(AND(41&gt;Corte,41&lt;=Corte+n_Ventana),ISNUMBER(Detalle_24m!AT$14)),Detalle_24m!AT$14,INDEX(Vol_V,1,AT$170)/12)*(1+V_dVol),0))</f>
        <v>1750</v>
      </c>
      <c r="AU177" s="48" t="n">
        <f aca="false">IF(AU$8=1,N(Reales!AU12),IF(AU$171=1,IF(AND(AND(42&gt;Corte,42&lt;=Corte+n_Ventana),ISNUMBER(Detalle_24m!AU$14)),Detalle_24m!AU$14,INDEX(Vol_V,1,AU$170)/12)*(1+V_dVol),0))</f>
        <v>1750</v>
      </c>
      <c r="AV177" s="48" t="n">
        <f aca="false">IF(AV$8=1,N(Reales!AV12),IF(AV$171=1,IF(AND(AND(43&gt;Corte,43&lt;=Corte+n_Ventana),ISNUMBER(Detalle_24m!AV$14)),Detalle_24m!AV$14,INDEX(Vol_V,1,AV$170)/12)*(1+V_dVol),0))</f>
        <v>1750</v>
      </c>
      <c r="AW177" s="48" t="n">
        <f aca="false">IF(AW$8=1,N(Reales!AW12),IF(AW$171=1,IF(AND(AND(44&gt;Corte,44&lt;=Corte+n_Ventana),ISNUMBER(Detalle_24m!AW$14)),Detalle_24m!AW$14,INDEX(Vol_V,1,AW$170)/12)*(1+V_dVol),0))</f>
        <v>1750</v>
      </c>
      <c r="AX177" s="48" t="n">
        <f aca="false">IF(AX$8=1,N(Reales!AX12),IF(AX$171=1,IF(AND(AND(45&gt;Corte,45&lt;=Corte+n_Ventana),ISNUMBER(Detalle_24m!AX$14)),Detalle_24m!AX$14,INDEX(Vol_V,1,AX$170)/12)*(1+V_dVol),0))</f>
        <v>1750</v>
      </c>
      <c r="AY177" s="48" t="n">
        <f aca="false">IF(AY$8=1,N(Reales!AY12),IF(AY$171=1,IF(AND(AND(46&gt;Corte,46&lt;=Corte+n_Ventana),ISNUMBER(Detalle_24m!AY$14)),Detalle_24m!AY$14,INDEX(Vol_V,1,AY$170)/12)*(1+V_dVol),0))</f>
        <v>1750</v>
      </c>
      <c r="AZ177" s="48" t="n">
        <f aca="false">IF(AZ$8=1,N(Reales!AZ12),IF(AZ$171=1,IF(AND(AND(47&gt;Corte,47&lt;=Corte+n_Ventana),ISNUMBER(Detalle_24m!AZ$14)),Detalle_24m!AZ$14,INDEX(Vol_V,1,AZ$170)/12)*(1+V_dVol),0))</f>
        <v>1750</v>
      </c>
      <c r="BA177" s="48" t="n">
        <f aca="false">IF(BA$8=1,N(Reales!BA12),IF(BA$171=1,IF(AND(AND(48&gt;Corte,48&lt;=Corte+n_Ventana),ISNUMBER(Detalle_24m!BA$14)),Detalle_24m!BA$14,INDEX(Vol_V,1,BA$170)/12)*(1+V_dVol),0))</f>
        <v>1750</v>
      </c>
      <c r="BB177" s="48" t="n">
        <f aca="false">IF(BB$8=1,N(Reales!BB12),IF(BB$171=1,IF(AND(AND(49&gt;Corte,49&lt;=Corte+n_Ventana),ISNUMBER(Detalle_24m!BB$14)),Detalle_24m!BB$14,INDEX(Vol_V,1,BB$170)/12)*(1+V_dVol),0))</f>
        <v>1750</v>
      </c>
      <c r="BC177" s="48" t="n">
        <f aca="false">IF(BC$8=1,N(Reales!BC12),IF(BC$171=1,IF(AND(AND(50&gt;Corte,50&lt;=Corte+n_Ventana),ISNUMBER(Detalle_24m!BC$14)),Detalle_24m!BC$14,INDEX(Vol_V,1,BC$170)/12)*(1+V_dVol),0))</f>
        <v>1750</v>
      </c>
      <c r="BD177" s="48" t="n">
        <f aca="false">IF(BD$8=1,N(Reales!BD12),IF(BD$171=1,IF(AND(AND(51&gt;Corte,51&lt;=Corte+n_Ventana),ISNUMBER(Detalle_24m!BD$14)),Detalle_24m!BD$14,INDEX(Vol_V,1,BD$170)/12)*(1+V_dVol),0))</f>
        <v>1750</v>
      </c>
      <c r="BE177" s="48" t="n">
        <f aca="false">IF(BE$8=1,N(Reales!BE12),IF(BE$171=1,IF(AND(AND(52&gt;Corte,52&lt;=Corte+n_Ventana),ISNUMBER(Detalle_24m!BE$14)),Detalle_24m!BE$14,INDEX(Vol_V,1,BE$170)/12)*(1+V_dVol),0))</f>
        <v>1750</v>
      </c>
      <c r="BF177" s="48" t="n">
        <f aca="false">IF(BF$8=1,N(Reales!BF12),IF(BF$171=1,IF(AND(AND(53&gt;Corte,53&lt;=Corte+n_Ventana),ISNUMBER(Detalle_24m!BF$14)),Detalle_24m!BF$14,INDEX(Vol_V,1,BF$170)/12)*(1+V_dVol),0))</f>
        <v>1750</v>
      </c>
      <c r="BG177" s="48" t="n">
        <f aca="false">IF(BG$8=1,N(Reales!BG12),IF(BG$171=1,IF(AND(AND(54&gt;Corte,54&lt;=Corte+n_Ventana),ISNUMBER(Detalle_24m!BG$14)),Detalle_24m!BG$14,INDEX(Vol_V,1,BG$170)/12)*(1+V_dVol),0))</f>
        <v>1750</v>
      </c>
      <c r="BH177" s="48" t="n">
        <f aca="false">IF(BH$8=1,N(Reales!BH12),IF(BH$171=1,IF(AND(AND(55&gt;Corte,55&lt;=Corte+n_Ventana),ISNUMBER(Detalle_24m!BH$14)),Detalle_24m!BH$14,INDEX(Vol_V,1,BH$170)/12)*(1+V_dVol),0))</f>
        <v>1750</v>
      </c>
      <c r="BI177" s="48" t="n">
        <f aca="false">IF(BI$8=1,N(Reales!BI12),IF(BI$171=1,IF(AND(AND(56&gt;Corte,56&lt;=Corte+n_Ventana),ISNUMBER(Detalle_24m!BI$14)),Detalle_24m!BI$14,INDEX(Vol_V,1,BI$170)/12)*(1+V_dVol),0))</f>
        <v>1750</v>
      </c>
      <c r="BJ177" s="48" t="n">
        <f aca="false">IF(BJ$8=1,N(Reales!BJ12),IF(BJ$171=1,IF(AND(AND(57&gt;Corte,57&lt;=Corte+n_Ventana),ISNUMBER(Detalle_24m!BJ$14)),Detalle_24m!BJ$14,INDEX(Vol_V,1,BJ$170)/12)*(1+V_dVol),0))</f>
        <v>1750</v>
      </c>
      <c r="BK177" s="48" t="n">
        <f aca="false">IF(BK$8=1,N(Reales!BK12),IF(BK$171=1,IF(AND(AND(58&gt;Corte,58&lt;=Corte+n_Ventana),ISNUMBER(Detalle_24m!BK$14)),Detalle_24m!BK$14,INDEX(Vol_V,1,BK$170)/12)*(1+V_dVol),0))</f>
        <v>1750</v>
      </c>
      <c r="BL177" s="48" t="n">
        <f aca="false">IF(BL$8=1,N(Reales!BL12),IF(BL$171=1,IF(AND(AND(59&gt;Corte,59&lt;=Corte+n_Ventana),ISNUMBER(Detalle_24m!BL$14)),Detalle_24m!BL$14,INDEX(Vol_V,1,BL$170)/12)*(1+V_dVol),0))</f>
        <v>1750</v>
      </c>
      <c r="BM177" s="48" t="n">
        <f aca="false">IF(BM$8=1,N(Reales!BM12),IF(BM$171=1,IF(AND(AND(60&gt;Corte,60&lt;=Corte+n_Ventana),ISNUMBER(Detalle_24m!BM$14)),Detalle_24m!BM$14,INDEX(Vol_V,1,BM$170)/12)*(1+V_dVol),0))</f>
        <v>1750</v>
      </c>
      <c r="BN177" s="48" t="n">
        <f aca="false">IF(BN$8=1,N(Reales!BN12),IF(BN$171=1,IF(AND(AND(61&gt;Corte,61&lt;=Corte+n_Ventana),ISNUMBER(Detalle_24m!BN$14)),Detalle_24m!BN$14,INDEX(Vol_V,1,BN$170)/12)*(1+V_dVol),0))</f>
        <v>1750</v>
      </c>
      <c r="BO177" s="48" t="n">
        <f aca="false">IF(BO$8=1,N(Reales!BO12),IF(BO$171=1,IF(AND(AND(62&gt;Corte,62&lt;=Corte+n_Ventana),ISNUMBER(Detalle_24m!BO$14)),Detalle_24m!BO$14,INDEX(Vol_V,1,BO$170)/12)*(1+V_dVol),0))</f>
        <v>1750</v>
      </c>
      <c r="BP177" s="48" t="n">
        <f aca="false">IF(BP$8=1,N(Reales!BP12),IF(BP$171=1,IF(AND(AND(63&gt;Corte,63&lt;=Corte+n_Ventana),ISNUMBER(Detalle_24m!BP$14)),Detalle_24m!BP$14,INDEX(Vol_V,1,BP$170)/12)*(1+V_dVol),0))</f>
        <v>1750</v>
      </c>
      <c r="BQ177" s="48" t="n">
        <f aca="false">IF(BQ$8=1,N(Reales!BQ12),IF(BQ$171=1,IF(AND(AND(64&gt;Corte,64&lt;=Corte+n_Ventana),ISNUMBER(Detalle_24m!BQ$14)),Detalle_24m!BQ$14,INDEX(Vol_V,1,BQ$170)/12)*(1+V_dVol),0))</f>
        <v>1750</v>
      </c>
      <c r="BR177" s="48" t="n">
        <f aca="false">IF(BR$8=1,N(Reales!BR12),IF(BR$171=1,IF(AND(AND(65&gt;Corte,65&lt;=Corte+n_Ventana),ISNUMBER(Detalle_24m!BR$14)),Detalle_24m!BR$14,INDEX(Vol_V,1,BR$170)/12)*(1+V_dVol),0))</f>
        <v>1750</v>
      </c>
      <c r="BS177" s="48" t="n">
        <f aca="false">IF(BS$8=1,N(Reales!BS12),IF(BS$171=1,IF(AND(AND(66&gt;Corte,66&lt;=Corte+n_Ventana),ISNUMBER(Detalle_24m!BS$14)),Detalle_24m!BS$14,INDEX(Vol_V,1,BS$170)/12)*(1+V_dVol),0))</f>
        <v>1750</v>
      </c>
      <c r="BT177" s="48" t="n">
        <f aca="false">IF(BT$8=1,N(Reales!BT12),IF(BT$171=1,IF(AND(AND(67&gt;Corte,67&lt;=Corte+n_Ventana),ISNUMBER(Detalle_24m!BT$14)),Detalle_24m!BT$14,INDEX(Vol_V,1,BT$170)/12)*(1+V_dVol),0))</f>
        <v>1750</v>
      </c>
      <c r="BU177" s="48" t="n">
        <f aca="false">IF(BU$8=1,N(Reales!BU12),IF(BU$171=1,IF(AND(AND(68&gt;Corte,68&lt;=Corte+n_Ventana),ISNUMBER(Detalle_24m!BU$14)),Detalle_24m!BU$14,INDEX(Vol_V,1,BU$170)/12)*(1+V_dVol),0))</f>
        <v>1750</v>
      </c>
      <c r="BV177" s="48" t="n">
        <f aca="false">IF(BV$8=1,N(Reales!BV12),IF(BV$171=1,IF(AND(AND(69&gt;Corte,69&lt;=Corte+n_Ventana),ISNUMBER(Detalle_24m!BV$14)),Detalle_24m!BV$14,INDEX(Vol_V,1,BV$170)/12)*(1+V_dVol),0))</f>
        <v>1750</v>
      </c>
      <c r="BW177" s="48" t="n">
        <f aca="false">IF(BW$8=1,N(Reales!BW12),IF(BW$171=1,IF(AND(AND(70&gt;Corte,70&lt;=Corte+n_Ventana),ISNUMBER(Detalle_24m!BW$14)),Detalle_24m!BW$14,INDEX(Vol_V,1,BW$170)/12)*(1+V_dVol),0))</f>
        <v>1750</v>
      </c>
      <c r="BX177" s="48" t="n">
        <f aca="false">IF(BX$8=1,N(Reales!BX12),IF(BX$171=1,IF(AND(AND(71&gt;Corte,71&lt;=Corte+n_Ventana),ISNUMBER(Detalle_24m!BX$14)),Detalle_24m!BX$14,INDEX(Vol_V,1,BX$170)/12)*(1+V_dVol),0))</f>
        <v>1750</v>
      </c>
      <c r="BY177" s="48" t="n">
        <f aca="false">IF(BY$8=1,N(Reales!BY12),IF(BY$171=1,IF(AND(AND(72&gt;Corte,72&lt;=Corte+n_Ventana),ISNUMBER(Detalle_24m!BY$14)),Detalle_24m!BY$14,INDEX(Vol_V,1,BY$170)/12)*(1+V_dVol),0))</f>
        <v>1750</v>
      </c>
      <c r="BZ177" s="48" t="n">
        <f aca="false">IF(BZ$8=1,N(Reales!BZ12),IF(BZ$171=1,IF(AND(AND(73&gt;Corte,73&lt;=Corte+n_Ventana),ISNUMBER(Detalle_24m!BZ$14)),Detalle_24m!BZ$14,INDEX(Vol_V,1,BZ$170)/12)*(1+V_dVol),0))</f>
        <v>1750</v>
      </c>
      <c r="CA177" s="48" t="n">
        <f aca="false">IF(CA$8=1,N(Reales!CA12),IF(CA$171=1,IF(AND(AND(74&gt;Corte,74&lt;=Corte+n_Ventana),ISNUMBER(Detalle_24m!CA$14)),Detalle_24m!CA$14,INDEX(Vol_V,1,CA$170)/12)*(1+V_dVol),0))</f>
        <v>1750</v>
      </c>
      <c r="CB177" s="48" t="n">
        <f aca="false">IF(CB$8=1,N(Reales!CB12),IF(CB$171=1,IF(AND(AND(75&gt;Corte,75&lt;=Corte+n_Ventana),ISNUMBER(Detalle_24m!CB$14)),Detalle_24m!CB$14,INDEX(Vol_V,1,CB$170)/12)*(1+V_dVol),0))</f>
        <v>1750</v>
      </c>
      <c r="CC177" s="48" t="n">
        <f aca="false">IF(CC$8=1,N(Reales!CC12),IF(CC$171=1,IF(AND(AND(76&gt;Corte,76&lt;=Corte+n_Ventana),ISNUMBER(Detalle_24m!CC$14)),Detalle_24m!CC$14,INDEX(Vol_V,1,CC$170)/12)*(1+V_dVol),0))</f>
        <v>1750</v>
      </c>
      <c r="CD177" s="48" t="n">
        <f aca="false">IF(CD$8=1,N(Reales!CD12),IF(CD$171=1,IF(AND(AND(77&gt;Corte,77&lt;=Corte+n_Ventana),ISNUMBER(Detalle_24m!CD$14)),Detalle_24m!CD$14,INDEX(Vol_V,1,CD$170)/12)*(1+V_dVol),0))</f>
        <v>1750</v>
      </c>
      <c r="CE177" s="48" t="n">
        <f aca="false">IF(CE$8=1,N(Reales!CE12),IF(CE$171=1,IF(AND(AND(78&gt;Corte,78&lt;=Corte+n_Ventana),ISNUMBER(Detalle_24m!CE$14)),Detalle_24m!CE$14,INDEX(Vol_V,1,CE$170)/12)*(1+V_dVol),0))</f>
        <v>1750</v>
      </c>
      <c r="CF177" s="48" t="n">
        <f aca="false">IF(CF$8=1,N(Reales!CF12),IF(CF$171=1,IF(AND(AND(79&gt;Corte,79&lt;=Corte+n_Ventana),ISNUMBER(Detalle_24m!CF$14)),Detalle_24m!CF$14,INDEX(Vol_V,1,CF$170)/12)*(1+V_dVol),0))</f>
        <v>1750</v>
      </c>
      <c r="CG177" s="48" t="n">
        <f aca="false">IF(CG$8=1,N(Reales!CG12),IF(CG$171=1,IF(AND(AND(80&gt;Corte,80&lt;=Corte+n_Ventana),ISNUMBER(Detalle_24m!CG$14)),Detalle_24m!CG$14,INDEX(Vol_V,1,CG$170)/12)*(1+V_dVol),0))</f>
        <v>1750</v>
      </c>
      <c r="CH177" s="48" t="n">
        <f aca="false">IF(CH$8=1,N(Reales!CH12),IF(CH$171=1,IF(AND(AND(81&gt;Corte,81&lt;=Corte+n_Ventana),ISNUMBER(Detalle_24m!CH$14)),Detalle_24m!CH$14,INDEX(Vol_V,1,CH$170)/12)*(1+V_dVol),0))</f>
        <v>1750</v>
      </c>
      <c r="CI177" s="48" t="n">
        <f aca="false">IF(CI$8=1,N(Reales!CI12),IF(CI$171=1,IF(AND(AND(82&gt;Corte,82&lt;=Corte+n_Ventana),ISNUMBER(Detalle_24m!CI$14)),Detalle_24m!CI$14,INDEX(Vol_V,1,CI$170)/12)*(1+V_dVol),0))</f>
        <v>1750</v>
      </c>
      <c r="CJ177" s="48" t="n">
        <f aca="false">IF(CJ$8=1,N(Reales!CJ12),IF(CJ$171=1,IF(AND(AND(83&gt;Corte,83&lt;=Corte+n_Ventana),ISNUMBER(Detalle_24m!CJ$14)),Detalle_24m!CJ$14,INDEX(Vol_V,1,CJ$170)/12)*(1+V_dVol),0))</f>
        <v>1750</v>
      </c>
      <c r="CK177" s="48" t="n">
        <f aca="false">IF(CK$8=1,N(Reales!CK12),IF(CK$171=1,IF(AND(AND(84&gt;Corte,84&lt;=Corte+n_Ventana),ISNUMBER(Detalle_24m!CK$14)),Detalle_24m!CK$14,INDEX(Vol_V,1,CK$170)/12)*(1+V_dVol),0))</f>
        <v>1750</v>
      </c>
      <c r="CL177" s="48" t="n">
        <f aca="false">IF(CL$8=1,N(Reales!CL12),IF(CL$171=1,IF(AND(AND(85&gt;Corte,85&lt;=Corte+n_Ventana),ISNUMBER(Detalle_24m!CL$14)),Detalle_24m!CL$14,INDEX(Vol_V,1,CL$170)/12)*(1+V_dVol),0))</f>
        <v>1750</v>
      </c>
      <c r="CM177" s="48" t="n">
        <f aca="false">IF(CM$8=1,N(Reales!CM12),IF(CM$171=1,IF(AND(AND(86&gt;Corte,86&lt;=Corte+n_Ventana),ISNUMBER(Detalle_24m!CM$14)),Detalle_24m!CM$14,INDEX(Vol_V,1,CM$170)/12)*(1+V_dVol),0))</f>
        <v>1750</v>
      </c>
      <c r="CN177" s="48" t="n">
        <f aca="false">IF(CN$8=1,N(Reales!CN12),IF(CN$171=1,IF(AND(AND(87&gt;Corte,87&lt;=Corte+n_Ventana),ISNUMBER(Detalle_24m!CN$14)),Detalle_24m!CN$14,INDEX(Vol_V,1,CN$170)/12)*(1+V_dVol),0))</f>
        <v>1750</v>
      </c>
      <c r="CO177" s="48" t="n">
        <f aca="false">IF(CO$8=1,N(Reales!CO12),IF(CO$171=1,IF(AND(AND(88&gt;Corte,88&lt;=Corte+n_Ventana),ISNUMBER(Detalle_24m!CO$14)),Detalle_24m!CO$14,INDEX(Vol_V,1,CO$170)/12)*(1+V_dVol),0))</f>
        <v>1750</v>
      </c>
      <c r="CP177" s="48" t="n">
        <f aca="false">IF(CP$8=1,N(Reales!CP12),IF(CP$171=1,IF(AND(AND(89&gt;Corte,89&lt;=Corte+n_Ventana),ISNUMBER(Detalle_24m!CP$14)),Detalle_24m!CP$14,INDEX(Vol_V,1,CP$170)/12)*(1+V_dVol),0))</f>
        <v>1750</v>
      </c>
      <c r="CQ177" s="48" t="n">
        <f aca="false">IF(CQ$8=1,N(Reales!CQ12),IF(CQ$171=1,IF(AND(AND(90&gt;Corte,90&lt;=Corte+n_Ventana),ISNUMBER(Detalle_24m!CQ$14)),Detalle_24m!CQ$14,INDEX(Vol_V,1,CQ$170)/12)*(1+V_dVol),0))</f>
        <v>1750</v>
      </c>
      <c r="CR177" s="48" t="n">
        <f aca="false">IF(CR$8=1,N(Reales!CR12),IF(CR$171=1,IF(AND(AND(91&gt;Corte,91&lt;=Corte+n_Ventana),ISNUMBER(Detalle_24m!CR$14)),Detalle_24m!CR$14,INDEX(Vol_V,1,CR$170)/12)*(1+V_dVol),0))</f>
        <v>1750</v>
      </c>
      <c r="CS177" s="48" t="n">
        <f aca="false">IF(CS$8=1,N(Reales!CS12),IF(CS$171=1,IF(AND(AND(92&gt;Corte,92&lt;=Corte+n_Ventana),ISNUMBER(Detalle_24m!CS$14)),Detalle_24m!CS$14,INDEX(Vol_V,1,CS$170)/12)*(1+V_dVol),0))</f>
        <v>1750</v>
      </c>
      <c r="CT177" s="48" t="n">
        <f aca="false">IF(CT$8=1,N(Reales!CT12),IF(CT$171=1,IF(AND(AND(93&gt;Corte,93&lt;=Corte+n_Ventana),ISNUMBER(Detalle_24m!CT$14)),Detalle_24m!CT$14,INDEX(Vol_V,1,CT$170)/12)*(1+V_dVol),0))</f>
        <v>1750</v>
      </c>
      <c r="CU177" s="48" t="n">
        <f aca="false">IF(CU$8=1,N(Reales!CU12),IF(CU$171=1,IF(AND(AND(94&gt;Corte,94&lt;=Corte+n_Ventana),ISNUMBER(Detalle_24m!CU$14)),Detalle_24m!CU$14,INDEX(Vol_V,1,CU$170)/12)*(1+V_dVol),0))</f>
        <v>1750</v>
      </c>
      <c r="CV177" s="48" t="n">
        <f aca="false">IF(CV$8=1,N(Reales!CV12),IF(CV$171=1,IF(AND(AND(95&gt;Corte,95&lt;=Corte+n_Ventana),ISNUMBER(Detalle_24m!CV$14)),Detalle_24m!CV$14,INDEX(Vol_V,1,CV$170)/12)*(1+V_dVol),0))</f>
        <v>1750</v>
      </c>
      <c r="CW177" s="48" t="n">
        <f aca="false">IF(CW$8=1,N(Reales!CW12),IF(CW$171=1,IF(AND(AND(96&gt;Corte,96&lt;=Corte+n_Ventana),ISNUMBER(Detalle_24m!CW$14)),Detalle_24m!CW$14,INDEX(Vol_V,1,CW$170)/12)*(1+V_dVol),0))</f>
        <v>1750</v>
      </c>
      <c r="CX177" s="48" t="n">
        <f aca="false">IF(CX$8=1,N(Reales!CX12),IF(CX$171=1,IF(AND(AND(97&gt;Corte,97&lt;=Corte+n_Ventana),ISNUMBER(Detalle_24m!CX$14)),Detalle_24m!CX$14,INDEX(Vol_V,1,CX$170)/12)*(1+V_dVol),0))</f>
        <v>1750</v>
      </c>
      <c r="CY177" s="48" t="n">
        <f aca="false">IF(CY$8=1,N(Reales!CY12),IF(CY$171=1,IF(AND(AND(98&gt;Corte,98&lt;=Corte+n_Ventana),ISNUMBER(Detalle_24m!CY$14)),Detalle_24m!CY$14,INDEX(Vol_V,1,CY$170)/12)*(1+V_dVol),0))</f>
        <v>1750</v>
      </c>
      <c r="CZ177" s="48" t="n">
        <f aca="false">IF(CZ$8=1,N(Reales!CZ12),IF(CZ$171=1,IF(AND(AND(99&gt;Corte,99&lt;=Corte+n_Ventana),ISNUMBER(Detalle_24m!CZ$14)),Detalle_24m!CZ$14,INDEX(Vol_V,1,CZ$170)/12)*(1+V_dVol),0))</f>
        <v>1750</v>
      </c>
      <c r="DA177" s="48" t="n">
        <f aca="false">IF(DA$8=1,N(Reales!DA12),IF(DA$171=1,IF(AND(AND(100&gt;Corte,100&lt;=Corte+n_Ventana),ISNUMBER(Detalle_24m!DA$14)),Detalle_24m!DA$14,INDEX(Vol_V,1,DA$170)/12)*(1+V_dVol),0))</f>
        <v>1750</v>
      </c>
      <c r="DB177" s="48" t="n">
        <f aca="false">IF(DB$8=1,N(Reales!DB12),IF(DB$171=1,IF(AND(AND(101&gt;Corte,101&lt;=Corte+n_Ventana),ISNUMBER(Detalle_24m!DB$14)),Detalle_24m!DB$14,INDEX(Vol_V,1,DB$170)/12)*(1+V_dVol),0))</f>
        <v>1750</v>
      </c>
      <c r="DC177" s="48" t="n">
        <f aca="false">IF(DC$8=1,N(Reales!DC12),IF(DC$171=1,IF(AND(AND(102&gt;Corte,102&lt;=Corte+n_Ventana),ISNUMBER(Detalle_24m!DC$14)),Detalle_24m!DC$14,INDEX(Vol_V,1,DC$170)/12)*(1+V_dVol),0))</f>
        <v>1750</v>
      </c>
      <c r="DD177" s="48" t="n">
        <f aca="false">IF(DD$8=1,N(Reales!DD12),IF(DD$171=1,IF(AND(AND(103&gt;Corte,103&lt;=Corte+n_Ventana),ISNUMBER(Detalle_24m!DD$14)),Detalle_24m!DD$14,INDEX(Vol_V,1,DD$170)/12)*(1+V_dVol),0))</f>
        <v>1750</v>
      </c>
      <c r="DE177" s="48" t="n">
        <f aca="false">IF(DE$8=1,N(Reales!DE12),IF(DE$171=1,IF(AND(AND(104&gt;Corte,104&lt;=Corte+n_Ventana),ISNUMBER(Detalle_24m!DE$14)),Detalle_24m!DE$14,INDEX(Vol_V,1,DE$170)/12)*(1+V_dVol),0))</f>
        <v>1750</v>
      </c>
      <c r="DF177" s="48" t="n">
        <f aca="false">IF(DF$8=1,N(Reales!DF12),IF(DF$171=1,IF(AND(AND(105&gt;Corte,105&lt;=Corte+n_Ventana),ISNUMBER(Detalle_24m!DF$14)),Detalle_24m!DF$14,INDEX(Vol_V,1,DF$170)/12)*(1+V_dVol),0))</f>
        <v>1750</v>
      </c>
      <c r="DG177" s="48" t="n">
        <f aca="false">IF(DG$8=1,N(Reales!DG12),IF(DG$171=1,IF(AND(AND(106&gt;Corte,106&lt;=Corte+n_Ventana),ISNUMBER(Detalle_24m!DG$14)),Detalle_24m!DG$14,INDEX(Vol_V,1,DG$170)/12)*(1+V_dVol),0))</f>
        <v>1750</v>
      </c>
      <c r="DH177" s="48" t="n">
        <f aca="false">IF(DH$8=1,N(Reales!DH12),IF(DH$171=1,IF(AND(AND(107&gt;Corte,107&lt;=Corte+n_Ventana),ISNUMBER(Detalle_24m!DH$14)),Detalle_24m!DH$14,INDEX(Vol_V,1,DH$170)/12)*(1+V_dVol),0))</f>
        <v>1750</v>
      </c>
      <c r="DI177" s="48" t="n">
        <f aca="false">IF(DI$8=1,N(Reales!DI12),IF(DI$171=1,IF(AND(AND(108&gt;Corte,108&lt;=Corte+n_Ventana),ISNUMBER(Detalle_24m!DI$14)),Detalle_24m!DI$14,INDEX(Vol_V,1,DI$170)/12)*(1+V_dVol),0))</f>
        <v>1750</v>
      </c>
      <c r="DJ177" s="48" t="n">
        <f aca="false">IF(DJ$8=1,N(Reales!DJ12),IF(DJ$171=1,IF(AND(AND(109&gt;Corte,109&lt;=Corte+n_Ventana),ISNUMBER(Detalle_24m!DJ$14)),Detalle_24m!DJ$14,INDEX(Vol_V,1,DJ$170)/12)*(1+V_dVol),0))</f>
        <v>1750</v>
      </c>
      <c r="DK177" s="48" t="n">
        <f aca="false">IF(DK$8=1,N(Reales!DK12),IF(DK$171=1,IF(AND(AND(110&gt;Corte,110&lt;=Corte+n_Ventana),ISNUMBER(Detalle_24m!DK$14)),Detalle_24m!DK$14,INDEX(Vol_V,1,DK$170)/12)*(1+V_dVol),0))</f>
        <v>1750</v>
      </c>
      <c r="DL177" s="48" t="n">
        <f aca="false">IF(DL$8=1,N(Reales!DL12),IF(DL$171=1,IF(AND(AND(111&gt;Corte,111&lt;=Corte+n_Ventana),ISNUMBER(Detalle_24m!DL$14)),Detalle_24m!DL$14,INDEX(Vol_V,1,DL$170)/12)*(1+V_dVol),0))</f>
        <v>1750</v>
      </c>
      <c r="DM177" s="48" t="n">
        <f aca="false">IF(DM$8=1,N(Reales!DM12),IF(DM$171=1,IF(AND(AND(112&gt;Corte,112&lt;=Corte+n_Ventana),ISNUMBER(Detalle_24m!DM$14)),Detalle_24m!DM$14,INDEX(Vol_V,1,DM$170)/12)*(1+V_dVol),0))</f>
        <v>1750</v>
      </c>
      <c r="DN177" s="48" t="n">
        <f aca="false">IF(DN$8=1,N(Reales!DN12),IF(DN$171=1,IF(AND(AND(113&gt;Corte,113&lt;=Corte+n_Ventana),ISNUMBER(Detalle_24m!DN$14)),Detalle_24m!DN$14,INDEX(Vol_V,1,DN$170)/12)*(1+V_dVol),0))</f>
        <v>1750</v>
      </c>
      <c r="DO177" s="48" t="n">
        <f aca="false">IF(DO$8=1,N(Reales!DO12),IF(DO$171=1,IF(AND(AND(114&gt;Corte,114&lt;=Corte+n_Ventana),ISNUMBER(Detalle_24m!DO$14)),Detalle_24m!DO$14,INDEX(Vol_V,1,DO$170)/12)*(1+V_dVol),0))</f>
        <v>1750</v>
      </c>
      <c r="DP177" s="48" t="n">
        <f aca="false">IF(DP$8=1,N(Reales!DP12),IF(DP$171=1,IF(AND(AND(115&gt;Corte,115&lt;=Corte+n_Ventana),ISNUMBER(Detalle_24m!DP$14)),Detalle_24m!DP$14,INDEX(Vol_V,1,DP$170)/12)*(1+V_dVol),0))</f>
        <v>1750</v>
      </c>
      <c r="DQ177" s="48" t="n">
        <f aca="false">IF(DQ$8=1,N(Reales!DQ12),IF(DQ$171=1,IF(AND(AND(116&gt;Corte,116&lt;=Corte+n_Ventana),ISNUMBER(Detalle_24m!DQ$14)),Detalle_24m!DQ$14,INDEX(Vol_V,1,DQ$170)/12)*(1+V_dVol),0))</f>
        <v>1750</v>
      </c>
      <c r="DR177" s="48" t="n">
        <f aca="false">IF(DR$8=1,N(Reales!DR12),IF(DR$171=1,IF(AND(AND(117&gt;Corte,117&lt;=Corte+n_Ventana),ISNUMBER(Detalle_24m!DR$14)),Detalle_24m!DR$14,INDEX(Vol_V,1,DR$170)/12)*(1+V_dVol),0))</f>
        <v>1750</v>
      </c>
      <c r="DS177" s="48" t="n">
        <f aca="false">IF(DS$8=1,N(Reales!DS12),IF(DS$171=1,IF(AND(AND(118&gt;Corte,118&lt;=Corte+n_Ventana),ISNUMBER(Detalle_24m!DS$14)),Detalle_24m!DS$14,INDEX(Vol_V,1,DS$170)/12)*(1+V_dVol),0))</f>
        <v>1750</v>
      </c>
      <c r="DT177" s="48" t="n">
        <f aca="false">IF(DT$8=1,N(Reales!DT12),IF(DT$171=1,IF(AND(AND(119&gt;Corte,119&lt;=Corte+n_Ventana),ISNUMBER(Detalle_24m!DT$14)),Detalle_24m!DT$14,INDEX(Vol_V,1,DT$170)/12)*(1+V_dVol),0))</f>
        <v>1750</v>
      </c>
      <c r="DU177" s="48" t="n">
        <f aca="false">IF(DU$8=1,N(Reales!DU12),IF(DU$171=1,IF(AND(AND(120&gt;Corte,120&lt;=Corte+n_Ventana),ISNUMBER(Detalle_24m!DU$14)),Detalle_24m!DU$14,INDEX(Vol_V,1,DU$170)/12)*(1+V_dVol),0))</f>
        <v>1750</v>
      </c>
      <c r="DV177" s="48" t="n">
        <f aca="false">IF(DV$8=1,N(Reales!DV12),IF(DV$171=1,IF(AND(AND(121&gt;Corte,121&lt;=Corte+n_Ventana),ISNUMBER(Detalle_24m!DV$14)),Detalle_24m!DV$14,INDEX(Vol_V,1,DV$170)/12)*(1+V_dVol),0))</f>
        <v>0</v>
      </c>
      <c r="DW177" s="48" t="n">
        <f aca="false">IF(DW$8=1,N(Reales!DW12),IF(DW$171=1,IF(AND(AND(122&gt;Corte,122&lt;=Corte+n_Ventana),ISNUMBER(Detalle_24m!DW$14)),Detalle_24m!DW$14,INDEX(Vol_V,1,DW$170)/12)*(1+V_dVol),0))</f>
        <v>0</v>
      </c>
      <c r="DX177" s="48" t="n">
        <f aca="false">IF(DX$8=1,N(Reales!DX12),IF(DX$171=1,IF(AND(AND(123&gt;Corte,123&lt;=Corte+n_Ventana),ISNUMBER(Detalle_24m!DX$14)),Detalle_24m!DX$14,INDEX(Vol_V,1,DX$170)/12)*(1+V_dVol),0))</f>
        <v>0</v>
      </c>
      <c r="DY177" s="48" t="n">
        <f aca="false">IF(DY$8=1,N(Reales!DY12),IF(DY$171=1,IF(AND(AND(124&gt;Corte,124&lt;=Corte+n_Ventana),ISNUMBER(Detalle_24m!DY$14)),Detalle_24m!DY$14,INDEX(Vol_V,1,DY$170)/12)*(1+V_dVol),0))</f>
        <v>0</v>
      </c>
      <c r="DZ177" s="48" t="n">
        <f aca="false">IF(DZ$8=1,N(Reales!DZ12),IF(DZ$171=1,IF(AND(AND(125&gt;Corte,125&lt;=Corte+n_Ventana),ISNUMBER(Detalle_24m!DZ$14)),Detalle_24m!DZ$14,INDEX(Vol_V,1,DZ$170)/12)*(1+V_dVol),0))</f>
        <v>0</v>
      </c>
      <c r="EA177" s="48" t="n">
        <f aca="false">IF(EA$8=1,N(Reales!EA12),IF(EA$171=1,IF(AND(AND(126&gt;Corte,126&lt;=Corte+n_Ventana),ISNUMBER(Detalle_24m!EA$14)),Detalle_24m!EA$14,INDEX(Vol_V,1,EA$170)/12)*(1+V_dVol),0))</f>
        <v>0</v>
      </c>
      <c r="EB177" s="48" t="n">
        <f aca="false">IF(EB$8=1,N(Reales!EB12),IF(EB$171=1,IF(AND(AND(127&gt;Corte,127&lt;=Corte+n_Ventana),ISNUMBER(Detalle_24m!EB$14)),Detalle_24m!EB$14,INDEX(Vol_V,1,EB$170)/12)*(1+V_dVol),0))</f>
        <v>0</v>
      </c>
      <c r="EC177" s="48" t="n">
        <f aca="false">IF(EC$8=1,N(Reales!EC12),IF(EC$171=1,IF(AND(AND(128&gt;Corte,128&lt;=Corte+n_Ventana),ISNUMBER(Detalle_24m!EC$14)),Detalle_24m!EC$14,INDEX(Vol_V,1,EC$170)/12)*(1+V_dVol),0))</f>
        <v>0</v>
      </c>
      <c r="ED177" s="48" t="n">
        <f aca="false">IF(ED$8=1,N(Reales!ED12),IF(ED$171=1,IF(AND(AND(129&gt;Corte,129&lt;=Corte+n_Ventana),ISNUMBER(Detalle_24m!ED$14)),Detalle_24m!ED$14,INDEX(Vol_V,1,ED$170)/12)*(1+V_dVol),0))</f>
        <v>0</v>
      </c>
      <c r="EE177" s="48" t="n">
        <f aca="false">IF(EE$8=1,N(Reales!EE12),IF(EE$171=1,IF(AND(AND(130&gt;Corte,130&lt;=Corte+n_Ventana),ISNUMBER(Detalle_24m!EE$14)),Detalle_24m!EE$14,INDEX(Vol_V,1,EE$170)/12)*(1+V_dVol),0))</f>
        <v>0</v>
      </c>
      <c r="EF177" s="48" t="n">
        <f aca="false">IF(EF$8=1,N(Reales!EF12),IF(EF$171=1,IF(AND(AND(131&gt;Corte,131&lt;=Corte+n_Ventana),ISNUMBER(Detalle_24m!EF$14)),Detalle_24m!EF$14,INDEX(Vol_V,1,EF$170)/12)*(1+V_dVol),0))</f>
        <v>0</v>
      </c>
      <c r="EG177" s="48" t="n">
        <f aca="false">IF(EG$8=1,N(Reales!EG12),IF(EG$171=1,IF(AND(AND(132&gt;Corte,132&lt;=Corte+n_Ventana),ISNUMBER(Detalle_24m!EG$14)),Detalle_24m!EG$14,INDEX(Vol_V,1,EG$170)/12)*(1+V_dVol),0))</f>
        <v>0</v>
      </c>
      <c r="EH177" s="48" t="n">
        <f aca="false">IF(EH$8=1,N(Reales!EH12),IF(EH$171=1,IF(AND(AND(133&gt;Corte,133&lt;=Corte+n_Ventana),ISNUMBER(Detalle_24m!EH$14)),Detalle_24m!EH$14,INDEX(Vol_V,1,EH$170)/12)*(1+V_dVol),0))</f>
        <v>0</v>
      </c>
      <c r="EI177" s="48" t="n">
        <f aca="false">IF(EI$8=1,N(Reales!EI12),IF(EI$171=1,IF(AND(AND(134&gt;Corte,134&lt;=Corte+n_Ventana),ISNUMBER(Detalle_24m!EI$14)),Detalle_24m!EI$14,INDEX(Vol_V,1,EI$170)/12)*(1+V_dVol),0))</f>
        <v>0</v>
      </c>
      <c r="EJ177" s="48" t="n">
        <f aca="false">IF(EJ$8=1,N(Reales!EJ12),IF(EJ$171=1,IF(AND(AND(135&gt;Corte,135&lt;=Corte+n_Ventana),ISNUMBER(Detalle_24m!EJ$14)),Detalle_24m!EJ$14,INDEX(Vol_V,1,EJ$170)/12)*(1+V_dVol),0))</f>
        <v>0</v>
      </c>
      <c r="EK177" s="48" t="n">
        <f aca="false">IF(EK$8=1,N(Reales!EK12),IF(EK$171=1,IF(AND(AND(136&gt;Corte,136&lt;=Corte+n_Ventana),ISNUMBER(Detalle_24m!EK$14)),Detalle_24m!EK$14,INDEX(Vol_V,1,EK$170)/12)*(1+V_dVol),0))</f>
        <v>0</v>
      </c>
      <c r="EL177" s="48" t="n">
        <f aca="false">IF(EL$8=1,N(Reales!EL12),IF(EL$171=1,IF(AND(AND(137&gt;Corte,137&lt;=Corte+n_Ventana),ISNUMBER(Detalle_24m!EL$14)),Detalle_24m!EL$14,INDEX(Vol_V,1,EL$170)/12)*(1+V_dVol),0))</f>
        <v>0</v>
      </c>
      <c r="EM177" s="48" t="n">
        <f aca="false">IF(EM$8=1,N(Reales!EM12),IF(EM$171=1,IF(AND(AND(138&gt;Corte,138&lt;=Corte+n_Ventana),ISNUMBER(Detalle_24m!EM$14)),Detalle_24m!EM$14,INDEX(Vol_V,1,EM$170)/12)*(1+V_dVol),0))</f>
        <v>0</v>
      </c>
      <c r="EN177" s="48" t="n">
        <f aca="false">IF(EN$8=1,N(Reales!EN12),IF(EN$171=1,IF(AND(AND(139&gt;Corte,139&lt;=Corte+n_Ventana),ISNUMBER(Detalle_24m!EN$14)),Detalle_24m!EN$14,INDEX(Vol_V,1,EN$170)/12)*(1+V_dVol),0))</f>
        <v>0</v>
      </c>
      <c r="EO177" s="48" t="n">
        <f aca="false">IF(EO$8=1,N(Reales!EO12),IF(EO$171=1,IF(AND(AND(140&gt;Corte,140&lt;=Corte+n_Ventana),ISNUMBER(Detalle_24m!EO$14)),Detalle_24m!EO$14,INDEX(Vol_V,1,EO$170)/12)*(1+V_dVol),0))</f>
        <v>0</v>
      </c>
      <c r="EP177" s="48" t="n">
        <f aca="false">IF(EP$8=1,N(Reales!EP12),IF(EP$171=1,IF(AND(AND(141&gt;Corte,141&lt;=Corte+n_Ventana),ISNUMBER(Detalle_24m!EP$14)),Detalle_24m!EP$14,INDEX(Vol_V,1,EP$170)/12)*(1+V_dVol),0))</f>
        <v>0</v>
      </c>
      <c r="EQ177" s="48" t="n">
        <f aca="false">IF(EQ$8=1,N(Reales!EQ12),IF(EQ$171=1,IF(AND(AND(142&gt;Corte,142&lt;=Corte+n_Ventana),ISNUMBER(Detalle_24m!EQ$14)),Detalle_24m!EQ$14,INDEX(Vol_V,1,EQ$170)/12)*(1+V_dVol),0))</f>
        <v>0</v>
      </c>
      <c r="ER177" s="48" t="n">
        <f aca="false">IF(ER$8=1,N(Reales!ER12),IF(ER$171=1,IF(AND(AND(143&gt;Corte,143&lt;=Corte+n_Ventana),ISNUMBER(Detalle_24m!ER$14)),Detalle_24m!ER$14,INDEX(Vol_V,1,ER$170)/12)*(1+V_dVol),0))</f>
        <v>0</v>
      </c>
      <c r="ES177" s="48" t="n">
        <f aca="false">IF(ES$8=1,N(Reales!ES12),IF(ES$171=1,IF(AND(AND(144&gt;Corte,144&lt;=Corte+n_Ventana),ISNUMBER(Detalle_24m!ES$14)),Detalle_24m!ES$14,INDEX(Vol_V,1,ES$170)/12)*(1+V_dVol),0))</f>
        <v>0</v>
      </c>
    </row>
    <row r="178" customFormat="false" ht="15" hidden="false" customHeight="false" outlineLevel="0" collapsed="false">
      <c r="A178" s="11" t="s">
        <v>1301</v>
      </c>
      <c r="B178" s="53" t="str">
        <f aca="false">IF(INDEX(Prod_Nombre,2)="","Producto 2",INDEX(Prod_Nombre,2))&amp;" — unidades"</f>
        <v>Cajas metálicas 13 kg — unidades</v>
      </c>
      <c r="C178" s="15" t="s">
        <v>544</v>
      </c>
      <c r="E178" s="54" t="n">
        <f aca="false">SUM(F178:ES178)</f>
        <v>1110000</v>
      </c>
      <c r="F178" s="48" t="n">
        <f aca="false">IF(F$8=1,N(Reales!F13),IF(F$171=1,IF(AND(AND(1&gt;Corte,1&lt;=Corte+n_Ventana),ISNUMBER(Detalle_24m!F$15)),Detalle_24m!F$15,INDEX(Vol_V,2,F$170)/12)*(1+V_dVol),0))</f>
        <v>5833.33333333333</v>
      </c>
      <c r="G178" s="48" t="n">
        <f aca="false">IF(G$8=1,N(Reales!G13),IF(G$171=1,IF(AND(AND(2&gt;Corte,2&lt;=Corte+n_Ventana),ISNUMBER(Detalle_24m!G$15)),Detalle_24m!G$15,INDEX(Vol_V,2,G$170)/12)*(1+V_dVol),0))</f>
        <v>5833.33333333333</v>
      </c>
      <c r="H178" s="48" t="n">
        <f aca="false">IF(H$8=1,N(Reales!H13),IF(H$171=1,IF(AND(AND(3&gt;Corte,3&lt;=Corte+n_Ventana),ISNUMBER(Detalle_24m!H$15)),Detalle_24m!H$15,INDEX(Vol_V,2,H$170)/12)*(1+V_dVol),0))</f>
        <v>5833.33333333333</v>
      </c>
      <c r="I178" s="48" t="n">
        <f aca="false">IF(I$8=1,N(Reales!I13),IF(I$171=1,IF(AND(AND(4&gt;Corte,4&lt;=Corte+n_Ventana),ISNUMBER(Detalle_24m!I$15)),Detalle_24m!I$15,INDEX(Vol_V,2,I$170)/12)*(1+V_dVol),0))</f>
        <v>5833.33333333333</v>
      </c>
      <c r="J178" s="48" t="n">
        <f aca="false">IF(J$8=1,N(Reales!J13),IF(J$171=1,IF(AND(AND(5&gt;Corte,5&lt;=Corte+n_Ventana),ISNUMBER(Detalle_24m!J$15)),Detalle_24m!J$15,INDEX(Vol_V,2,J$170)/12)*(1+V_dVol),0))</f>
        <v>5833.33333333333</v>
      </c>
      <c r="K178" s="48" t="n">
        <f aca="false">IF(K$8=1,N(Reales!K13),IF(K$171=1,IF(AND(AND(6&gt;Corte,6&lt;=Corte+n_Ventana),ISNUMBER(Detalle_24m!K$15)),Detalle_24m!K$15,INDEX(Vol_V,2,K$170)/12)*(1+V_dVol),0))</f>
        <v>5833.33333333333</v>
      </c>
      <c r="L178" s="48" t="n">
        <f aca="false">IF(L$8=1,N(Reales!L13),IF(L$171=1,IF(AND(AND(7&gt;Corte,7&lt;=Corte+n_Ventana),ISNUMBER(Detalle_24m!L$15)),Detalle_24m!L$15,INDEX(Vol_V,2,L$170)/12)*(1+V_dVol),0))</f>
        <v>5833.33333333333</v>
      </c>
      <c r="M178" s="48" t="n">
        <f aca="false">IF(M$8=1,N(Reales!M13),IF(M$171=1,IF(AND(AND(8&gt;Corte,8&lt;=Corte+n_Ventana),ISNUMBER(Detalle_24m!M$15)),Detalle_24m!M$15,INDEX(Vol_V,2,M$170)/12)*(1+V_dVol),0))</f>
        <v>5833.33333333333</v>
      </c>
      <c r="N178" s="48" t="n">
        <f aca="false">IF(N$8=1,N(Reales!N13),IF(N$171=1,IF(AND(AND(9&gt;Corte,9&lt;=Corte+n_Ventana),ISNUMBER(Detalle_24m!N$15)),Detalle_24m!N$15,INDEX(Vol_V,2,N$170)/12)*(1+V_dVol),0))</f>
        <v>5833.33333333333</v>
      </c>
      <c r="O178" s="48" t="n">
        <f aca="false">IF(O$8=1,N(Reales!O13),IF(O$171=1,IF(AND(AND(10&gt;Corte,10&lt;=Corte+n_Ventana),ISNUMBER(Detalle_24m!O$15)),Detalle_24m!O$15,INDEX(Vol_V,2,O$170)/12)*(1+V_dVol),0))</f>
        <v>5833.33333333333</v>
      </c>
      <c r="P178" s="48" t="n">
        <f aca="false">IF(P$8=1,N(Reales!P13),IF(P$171=1,IF(AND(AND(11&gt;Corte,11&lt;=Corte+n_Ventana),ISNUMBER(Detalle_24m!P$15)),Detalle_24m!P$15,INDEX(Vol_V,2,P$170)/12)*(1+V_dVol),0))</f>
        <v>5833.33333333333</v>
      </c>
      <c r="Q178" s="48" t="n">
        <f aca="false">IF(Q$8=1,N(Reales!Q13),IF(Q$171=1,IF(AND(AND(12&gt;Corte,12&lt;=Corte+n_Ventana),ISNUMBER(Detalle_24m!Q$15)),Detalle_24m!Q$15,INDEX(Vol_V,2,Q$170)/12)*(1+V_dVol),0))</f>
        <v>5833.33333333333</v>
      </c>
      <c r="R178" s="48" t="n">
        <f aca="false">IF(R$8=1,N(Reales!R13),IF(R$171=1,IF(AND(AND(13&gt;Corte,13&lt;=Corte+n_Ventana),ISNUMBER(Detalle_24m!R$15)),Detalle_24m!R$15,INDEX(Vol_V,2,R$170)/12)*(1+V_dVol),0))</f>
        <v>7500</v>
      </c>
      <c r="S178" s="48" t="n">
        <f aca="false">IF(S$8=1,N(Reales!S13),IF(S$171=1,IF(AND(AND(14&gt;Corte,14&lt;=Corte+n_Ventana),ISNUMBER(Detalle_24m!S$15)),Detalle_24m!S$15,INDEX(Vol_V,2,S$170)/12)*(1+V_dVol),0))</f>
        <v>7500</v>
      </c>
      <c r="T178" s="48" t="n">
        <f aca="false">IF(T$8=1,N(Reales!T13),IF(T$171=1,IF(AND(AND(15&gt;Corte,15&lt;=Corte+n_Ventana),ISNUMBER(Detalle_24m!T$15)),Detalle_24m!T$15,INDEX(Vol_V,2,T$170)/12)*(1+V_dVol),0))</f>
        <v>7500</v>
      </c>
      <c r="U178" s="48" t="n">
        <f aca="false">IF(U$8=1,N(Reales!U13),IF(U$171=1,IF(AND(AND(16&gt;Corte,16&lt;=Corte+n_Ventana),ISNUMBER(Detalle_24m!U$15)),Detalle_24m!U$15,INDEX(Vol_V,2,U$170)/12)*(1+V_dVol),0))</f>
        <v>7500</v>
      </c>
      <c r="V178" s="48" t="n">
        <f aca="false">IF(V$8=1,N(Reales!V13),IF(V$171=1,IF(AND(AND(17&gt;Corte,17&lt;=Corte+n_Ventana),ISNUMBER(Detalle_24m!V$15)),Detalle_24m!V$15,INDEX(Vol_V,2,V$170)/12)*(1+V_dVol),0))</f>
        <v>7500</v>
      </c>
      <c r="W178" s="48" t="n">
        <f aca="false">IF(W$8=1,N(Reales!W13),IF(W$171=1,IF(AND(AND(18&gt;Corte,18&lt;=Corte+n_Ventana),ISNUMBER(Detalle_24m!W$15)),Detalle_24m!W$15,INDEX(Vol_V,2,W$170)/12)*(1+V_dVol),0))</f>
        <v>7500</v>
      </c>
      <c r="X178" s="48" t="n">
        <f aca="false">IF(X$8=1,N(Reales!X13),IF(X$171=1,IF(AND(AND(19&gt;Corte,19&lt;=Corte+n_Ventana),ISNUMBER(Detalle_24m!X$15)),Detalle_24m!X$15,INDEX(Vol_V,2,X$170)/12)*(1+V_dVol),0))</f>
        <v>7500</v>
      </c>
      <c r="Y178" s="48" t="n">
        <f aca="false">IF(Y$8=1,N(Reales!Y13),IF(Y$171=1,IF(AND(AND(20&gt;Corte,20&lt;=Corte+n_Ventana),ISNUMBER(Detalle_24m!Y$15)),Detalle_24m!Y$15,INDEX(Vol_V,2,Y$170)/12)*(1+V_dVol),0))</f>
        <v>7500</v>
      </c>
      <c r="Z178" s="48" t="n">
        <f aca="false">IF(Z$8=1,N(Reales!Z13),IF(Z$171=1,IF(AND(AND(21&gt;Corte,21&lt;=Corte+n_Ventana),ISNUMBER(Detalle_24m!Z$15)),Detalle_24m!Z$15,INDEX(Vol_V,2,Z$170)/12)*(1+V_dVol),0))</f>
        <v>7500</v>
      </c>
      <c r="AA178" s="48" t="n">
        <f aca="false">IF(AA$8=1,N(Reales!AA13),IF(AA$171=1,IF(AND(AND(22&gt;Corte,22&lt;=Corte+n_Ventana),ISNUMBER(Detalle_24m!AA$15)),Detalle_24m!AA$15,INDEX(Vol_V,2,AA$170)/12)*(1+V_dVol),0))</f>
        <v>7500</v>
      </c>
      <c r="AB178" s="48" t="n">
        <f aca="false">IF(AB$8=1,N(Reales!AB13),IF(AB$171=1,IF(AND(AND(23&gt;Corte,23&lt;=Corte+n_Ventana),ISNUMBER(Detalle_24m!AB$15)),Detalle_24m!AB$15,INDEX(Vol_V,2,AB$170)/12)*(1+V_dVol),0))</f>
        <v>7500</v>
      </c>
      <c r="AC178" s="48" t="n">
        <f aca="false">IF(AC$8=1,N(Reales!AC13),IF(AC$171=1,IF(AND(AND(24&gt;Corte,24&lt;=Corte+n_Ventana),ISNUMBER(Detalle_24m!AC$15)),Detalle_24m!AC$15,INDEX(Vol_V,2,AC$170)/12)*(1+V_dVol),0))</f>
        <v>7500</v>
      </c>
      <c r="AD178" s="48" t="n">
        <f aca="false">IF(AD$8=1,N(Reales!AD13),IF(AD$171=1,IF(AND(AND(25&gt;Corte,25&lt;=Corte+n_Ventana),ISNUMBER(Detalle_24m!AD$15)),Detalle_24m!AD$15,INDEX(Vol_V,2,AD$170)/12)*(1+V_dVol),0))</f>
        <v>9166.66666666667</v>
      </c>
      <c r="AE178" s="48" t="n">
        <f aca="false">IF(AE$8=1,N(Reales!AE13),IF(AE$171=1,IF(AND(AND(26&gt;Corte,26&lt;=Corte+n_Ventana),ISNUMBER(Detalle_24m!AE$15)),Detalle_24m!AE$15,INDEX(Vol_V,2,AE$170)/12)*(1+V_dVol),0))</f>
        <v>9166.66666666667</v>
      </c>
      <c r="AF178" s="48" t="n">
        <f aca="false">IF(AF$8=1,N(Reales!AF13),IF(AF$171=1,IF(AND(AND(27&gt;Corte,27&lt;=Corte+n_Ventana),ISNUMBER(Detalle_24m!AF$15)),Detalle_24m!AF$15,INDEX(Vol_V,2,AF$170)/12)*(1+V_dVol),0))</f>
        <v>9166.66666666667</v>
      </c>
      <c r="AG178" s="48" t="n">
        <f aca="false">IF(AG$8=1,N(Reales!AG13),IF(AG$171=1,IF(AND(AND(28&gt;Corte,28&lt;=Corte+n_Ventana),ISNUMBER(Detalle_24m!AG$15)),Detalle_24m!AG$15,INDEX(Vol_V,2,AG$170)/12)*(1+V_dVol),0))</f>
        <v>9166.66666666667</v>
      </c>
      <c r="AH178" s="48" t="n">
        <f aca="false">IF(AH$8=1,N(Reales!AH13),IF(AH$171=1,IF(AND(AND(29&gt;Corte,29&lt;=Corte+n_Ventana),ISNUMBER(Detalle_24m!AH$15)),Detalle_24m!AH$15,INDEX(Vol_V,2,AH$170)/12)*(1+V_dVol),0))</f>
        <v>9166.66666666667</v>
      </c>
      <c r="AI178" s="48" t="n">
        <f aca="false">IF(AI$8=1,N(Reales!AI13),IF(AI$171=1,IF(AND(AND(30&gt;Corte,30&lt;=Corte+n_Ventana),ISNUMBER(Detalle_24m!AI$15)),Detalle_24m!AI$15,INDEX(Vol_V,2,AI$170)/12)*(1+V_dVol),0))</f>
        <v>9166.66666666667</v>
      </c>
      <c r="AJ178" s="48" t="n">
        <f aca="false">IF(AJ$8=1,N(Reales!AJ13),IF(AJ$171=1,IF(AND(AND(31&gt;Corte,31&lt;=Corte+n_Ventana),ISNUMBER(Detalle_24m!AJ$15)),Detalle_24m!AJ$15,INDEX(Vol_V,2,AJ$170)/12)*(1+V_dVol),0))</f>
        <v>9166.66666666667</v>
      </c>
      <c r="AK178" s="48" t="n">
        <f aca="false">IF(AK$8=1,N(Reales!AK13),IF(AK$171=1,IF(AND(AND(32&gt;Corte,32&lt;=Corte+n_Ventana),ISNUMBER(Detalle_24m!AK$15)),Detalle_24m!AK$15,INDEX(Vol_V,2,AK$170)/12)*(1+V_dVol),0))</f>
        <v>9166.66666666667</v>
      </c>
      <c r="AL178" s="48" t="n">
        <f aca="false">IF(AL$8=1,N(Reales!AL13),IF(AL$171=1,IF(AND(AND(33&gt;Corte,33&lt;=Corte+n_Ventana),ISNUMBER(Detalle_24m!AL$15)),Detalle_24m!AL$15,INDEX(Vol_V,2,AL$170)/12)*(1+V_dVol),0))</f>
        <v>9166.66666666667</v>
      </c>
      <c r="AM178" s="48" t="n">
        <f aca="false">IF(AM$8=1,N(Reales!AM13),IF(AM$171=1,IF(AND(AND(34&gt;Corte,34&lt;=Corte+n_Ventana),ISNUMBER(Detalle_24m!AM$15)),Detalle_24m!AM$15,INDEX(Vol_V,2,AM$170)/12)*(1+V_dVol),0))</f>
        <v>9166.66666666667</v>
      </c>
      <c r="AN178" s="48" t="n">
        <f aca="false">IF(AN$8=1,N(Reales!AN13),IF(AN$171=1,IF(AND(AND(35&gt;Corte,35&lt;=Corte+n_Ventana),ISNUMBER(Detalle_24m!AN$15)),Detalle_24m!AN$15,INDEX(Vol_V,2,AN$170)/12)*(1+V_dVol),0))</f>
        <v>9166.66666666667</v>
      </c>
      <c r="AO178" s="48" t="n">
        <f aca="false">IF(AO$8=1,N(Reales!AO13),IF(AO$171=1,IF(AND(AND(36&gt;Corte,36&lt;=Corte+n_Ventana),ISNUMBER(Detalle_24m!AO$15)),Detalle_24m!AO$15,INDEX(Vol_V,2,AO$170)/12)*(1+V_dVol),0))</f>
        <v>9166.66666666667</v>
      </c>
      <c r="AP178" s="48" t="n">
        <f aca="false">IF(AP$8=1,N(Reales!AP13),IF(AP$171=1,IF(AND(AND(37&gt;Corte,37&lt;=Corte+n_Ventana),ISNUMBER(Detalle_24m!AP$15)),Detalle_24m!AP$15,INDEX(Vol_V,2,AP$170)/12)*(1+V_dVol),0))</f>
        <v>10000</v>
      </c>
      <c r="AQ178" s="48" t="n">
        <f aca="false">IF(AQ$8=1,N(Reales!AQ13),IF(AQ$171=1,IF(AND(AND(38&gt;Corte,38&lt;=Corte+n_Ventana),ISNUMBER(Detalle_24m!AQ$15)),Detalle_24m!AQ$15,INDEX(Vol_V,2,AQ$170)/12)*(1+V_dVol),0))</f>
        <v>10000</v>
      </c>
      <c r="AR178" s="48" t="n">
        <f aca="false">IF(AR$8=1,N(Reales!AR13),IF(AR$171=1,IF(AND(AND(39&gt;Corte,39&lt;=Corte+n_Ventana),ISNUMBER(Detalle_24m!AR$15)),Detalle_24m!AR$15,INDEX(Vol_V,2,AR$170)/12)*(1+V_dVol),0))</f>
        <v>10000</v>
      </c>
      <c r="AS178" s="48" t="n">
        <f aca="false">IF(AS$8=1,N(Reales!AS13),IF(AS$171=1,IF(AND(AND(40&gt;Corte,40&lt;=Corte+n_Ventana),ISNUMBER(Detalle_24m!AS$15)),Detalle_24m!AS$15,INDEX(Vol_V,2,AS$170)/12)*(1+V_dVol),0))</f>
        <v>10000</v>
      </c>
      <c r="AT178" s="48" t="n">
        <f aca="false">IF(AT$8=1,N(Reales!AT13),IF(AT$171=1,IF(AND(AND(41&gt;Corte,41&lt;=Corte+n_Ventana),ISNUMBER(Detalle_24m!AT$15)),Detalle_24m!AT$15,INDEX(Vol_V,2,AT$170)/12)*(1+V_dVol),0))</f>
        <v>10000</v>
      </c>
      <c r="AU178" s="48" t="n">
        <f aca="false">IF(AU$8=1,N(Reales!AU13),IF(AU$171=1,IF(AND(AND(42&gt;Corte,42&lt;=Corte+n_Ventana),ISNUMBER(Detalle_24m!AU$15)),Detalle_24m!AU$15,INDEX(Vol_V,2,AU$170)/12)*(1+V_dVol),0))</f>
        <v>10000</v>
      </c>
      <c r="AV178" s="48" t="n">
        <f aca="false">IF(AV$8=1,N(Reales!AV13),IF(AV$171=1,IF(AND(AND(43&gt;Corte,43&lt;=Corte+n_Ventana),ISNUMBER(Detalle_24m!AV$15)),Detalle_24m!AV$15,INDEX(Vol_V,2,AV$170)/12)*(1+V_dVol),0))</f>
        <v>10000</v>
      </c>
      <c r="AW178" s="48" t="n">
        <f aca="false">IF(AW$8=1,N(Reales!AW13),IF(AW$171=1,IF(AND(AND(44&gt;Corte,44&lt;=Corte+n_Ventana),ISNUMBER(Detalle_24m!AW$15)),Detalle_24m!AW$15,INDEX(Vol_V,2,AW$170)/12)*(1+V_dVol),0))</f>
        <v>10000</v>
      </c>
      <c r="AX178" s="48" t="n">
        <f aca="false">IF(AX$8=1,N(Reales!AX13),IF(AX$171=1,IF(AND(AND(45&gt;Corte,45&lt;=Corte+n_Ventana),ISNUMBER(Detalle_24m!AX$15)),Detalle_24m!AX$15,INDEX(Vol_V,2,AX$170)/12)*(1+V_dVol),0))</f>
        <v>10000</v>
      </c>
      <c r="AY178" s="48" t="n">
        <f aca="false">IF(AY$8=1,N(Reales!AY13),IF(AY$171=1,IF(AND(AND(46&gt;Corte,46&lt;=Corte+n_Ventana),ISNUMBER(Detalle_24m!AY$15)),Detalle_24m!AY$15,INDEX(Vol_V,2,AY$170)/12)*(1+V_dVol),0))</f>
        <v>10000</v>
      </c>
      <c r="AZ178" s="48" t="n">
        <f aca="false">IF(AZ$8=1,N(Reales!AZ13),IF(AZ$171=1,IF(AND(AND(47&gt;Corte,47&lt;=Corte+n_Ventana),ISNUMBER(Detalle_24m!AZ$15)),Detalle_24m!AZ$15,INDEX(Vol_V,2,AZ$170)/12)*(1+V_dVol),0))</f>
        <v>10000</v>
      </c>
      <c r="BA178" s="48" t="n">
        <f aca="false">IF(BA$8=1,N(Reales!BA13),IF(BA$171=1,IF(AND(AND(48&gt;Corte,48&lt;=Corte+n_Ventana),ISNUMBER(Detalle_24m!BA$15)),Detalle_24m!BA$15,INDEX(Vol_V,2,BA$170)/12)*(1+V_dVol),0))</f>
        <v>10000</v>
      </c>
      <c r="BB178" s="48" t="n">
        <f aca="false">IF(BB$8=1,N(Reales!BB13),IF(BB$171=1,IF(AND(AND(49&gt;Corte,49&lt;=Corte+n_Ventana),ISNUMBER(Detalle_24m!BB$15)),Detalle_24m!BB$15,INDEX(Vol_V,2,BB$170)/12)*(1+V_dVol),0))</f>
        <v>10000</v>
      </c>
      <c r="BC178" s="48" t="n">
        <f aca="false">IF(BC$8=1,N(Reales!BC13),IF(BC$171=1,IF(AND(AND(50&gt;Corte,50&lt;=Corte+n_Ventana),ISNUMBER(Detalle_24m!BC$15)),Detalle_24m!BC$15,INDEX(Vol_V,2,BC$170)/12)*(1+V_dVol),0))</f>
        <v>10000</v>
      </c>
      <c r="BD178" s="48" t="n">
        <f aca="false">IF(BD$8=1,N(Reales!BD13),IF(BD$171=1,IF(AND(AND(51&gt;Corte,51&lt;=Corte+n_Ventana),ISNUMBER(Detalle_24m!BD$15)),Detalle_24m!BD$15,INDEX(Vol_V,2,BD$170)/12)*(1+V_dVol),0))</f>
        <v>10000</v>
      </c>
      <c r="BE178" s="48" t="n">
        <f aca="false">IF(BE$8=1,N(Reales!BE13),IF(BE$171=1,IF(AND(AND(52&gt;Corte,52&lt;=Corte+n_Ventana),ISNUMBER(Detalle_24m!BE$15)),Detalle_24m!BE$15,INDEX(Vol_V,2,BE$170)/12)*(1+V_dVol),0))</f>
        <v>10000</v>
      </c>
      <c r="BF178" s="48" t="n">
        <f aca="false">IF(BF$8=1,N(Reales!BF13),IF(BF$171=1,IF(AND(AND(53&gt;Corte,53&lt;=Corte+n_Ventana),ISNUMBER(Detalle_24m!BF$15)),Detalle_24m!BF$15,INDEX(Vol_V,2,BF$170)/12)*(1+V_dVol),0))</f>
        <v>10000</v>
      </c>
      <c r="BG178" s="48" t="n">
        <f aca="false">IF(BG$8=1,N(Reales!BG13),IF(BG$171=1,IF(AND(AND(54&gt;Corte,54&lt;=Corte+n_Ventana),ISNUMBER(Detalle_24m!BG$15)),Detalle_24m!BG$15,INDEX(Vol_V,2,BG$170)/12)*(1+V_dVol),0))</f>
        <v>10000</v>
      </c>
      <c r="BH178" s="48" t="n">
        <f aca="false">IF(BH$8=1,N(Reales!BH13),IF(BH$171=1,IF(AND(AND(55&gt;Corte,55&lt;=Corte+n_Ventana),ISNUMBER(Detalle_24m!BH$15)),Detalle_24m!BH$15,INDEX(Vol_V,2,BH$170)/12)*(1+V_dVol),0))</f>
        <v>10000</v>
      </c>
      <c r="BI178" s="48" t="n">
        <f aca="false">IF(BI$8=1,N(Reales!BI13),IF(BI$171=1,IF(AND(AND(56&gt;Corte,56&lt;=Corte+n_Ventana),ISNUMBER(Detalle_24m!BI$15)),Detalle_24m!BI$15,INDEX(Vol_V,2,BI$170)/12)*(1+V_dVol),0))</f>
        <v>10000</v>
      </c>
      <c r="BJ178" s="48" t="n">
        <f aca="false">IF(BJ$8=1,N(Reales!BJ13),IF(BJ$171=1,IF(AND(AND(57&gt;Corte,57&lt;=Corte+n_Ventana),ISNUMBER(Detalle_24m!BJ$15)),Detalle_24m!BJ$15,INDEX(Vol_V,2,BJ$170)/12)*(1+V_dVol),0))</f>
        <v>10000</v>
      </c>
      <c r="BK178" s="48" t="n">
        <f aca="false">IF(BK$8=1,N(Reales!BK13),IF(BK$171=1,IF(AND(AND(58&gt;Corte,58&lt;=Corte+n_Ventana),ISNUMBER(Detalle_24m!BK$15)),Detalle_24m!BK$15,INDEX(Vol_V,2,BK$170)/12)*(1+V_dVol),0))</f>
        <v>10000</v>
      </c>
      <c r="BL178" s="48" t="n">
        <f aca="false">IF(BL$8=1,N(Reales!BL13),IF(BL$171=1,IF(AND(AND(59&gt;Corte,59&lt;=Corte+n_Ventana),ISNUMBER(Detalle_24m!BL$15)),Detalle_24m!BL$15,INDEX(Vol_V,2,BL$170)/12)*(1+V_dVol),0))</f>
        <v>10000</v>
      </c>
      <c r="BM178" s="48" t="n">
        <f aca="false">IF(BM$8=1,N(Reales!BM13),IF(BM$171=1,IF(AND(AND(60&gt;Corte,60&lt;=Corte+n_Ventana),ISNUMBER(Detalle_24m!BM$15)),Detalle_24m!BM$15,INDEX(Vol_V,2,BM$170)/12)*(1+V_dVol),0))</f>
        <v>10000</v>
      </c>
      <c r="BN178" s="48" t="n">
        <f aca="false">IF(BN$8=1,N(Reales!BN13),IF(BN$171=1,IF(AND(AND(61&gt;Corte,61&lt;=Corte+n_Ventana),ISNUMBER(Detalle_24m!BN$15)),Detalle_24m!BN$15,INDEX(Vol_V,2,BN$170)/12)*(1+V_dVol),0))</f>
        <v>10000</v>
      </c>
      <c r="BO178" s="48" t="n">
        <f aca="false">IF(BO$8=1,N(Reales!BO13),IF(BO$171=1,IF(AND(AND(62&gt;Corte,62&lt;=Corte+n_Ventana),ISNUMBER(Detalle_24m!BO$15)),Detalle_24m!BO$15,INDEX(Vol_V,2,BO$170)/12)*(1+V_dVol),0))</f>
        <v>10000</v>
      </c>
      <c r="BP178" s="48" t="n">
        <f aca="false">IF(BP$8=1,N(Reales!BP13),IF(BP$171=1,IF(AND(AND(63&gt;Corte,63&lt;=Corte+n_Ventana),ISNUMBER(Detalle_24m!BP$15)),Detalle_24m!BP$15,INDEX(Vol_V,2,BP$170)/12)*(1+V_dVol),0))</f>
        <v>10000</v>
      </c>
      <c r="BQ178" s="48" t="n">
        <f aca="false">IF(BQ$8=1,N(Reales!BQ13),IF(BQ$171=1,IF(AND(AND(64&gt;Corte,64&lt;=Corte+n_Ventana),ISNUMBER(Detalle_24m!BQ$15)),Detalle_24m!BQ$15,INDEX(Vol_V,2,BQ$170)/12)*(1+V_dVol),0))</f>
        <v>10000</v>
      </c>
      <c r="BR178" s="48" t="n">
        <f aca="false">IF(BR$8=1,N(Reales!BR13),IF(BR$171=1,IF(AND(AND(65&gt;Corte,65&lt;=Corte+n_Ventana),ISNUMBER(Detalle_24m!BR$15)),Detalle_24m!BR$15,INDEX(Vol_V,2,BR$170)/12)*(1+V_dVol),0))</f>
        <v>10000</v>
      </c>
      <c r="BS178" s="48" t="n">
        <f aca="false">IF(BS$8=1,N(Reales!BS13),IF(BS$171=1,IF(AND(AND(66&gt;Corte,66&lt;=Corte+n_Ventana),ISNUMBER(Detalle_24m!BS$15)),Detalle_24m!BS$15,INDEX(Vol_V,2,BS$170)/12)*(1+V_dVol),0))</f>
        <v>10000</v>
      </c>
      <c r="BT178" s="48" t="n">
        <f aca="false">IF(BT$8=1,N(Reales!BT13),IF(BT$171=1,IF(AND(AND(67&gt;Corte,67&lt;=Corte+n_Ventana),ISNUMBER(Detalle_24m!BT$15)),Detalle_24m!BT$15,INDEX(Vol_V,2,BT$170)/12)*(1+V_dVol),0))</f>
        <v>10000</v>
      </c>
      <c r="BU178" s="48" t="n">
        <f aca="false">IF(BU$8=1,N(Reales!BU13),IF(BU$171=1,IF(AND(AND(68&gt;Corte,68&lt;=Corte+n_Ventana),ISNUMBER(Detalle_24m!BU$15)),Detalle_24m!BU$15,INDEX(Vol_V,2,BU$170)/12)*(1+V_dVol),0))</f>
        <v>10000</v>
      </c>
      <c r="BV178" s="48" t="n">
        <f aca="false">IF(BV$8=1,N(Reales!BV13),IF(BV$171=1,IF(AND(AND(69&gt;Corte,69&lt;=Corte+n_Ventana),ISNUMBER(Detalle_24m!BV$15)),Detalle_24m!BV$15,INDEX(Vol_V,2,BV$170)/12)*(1+V_dVol),0))</f>
        <v>10000</v>
      </c>
      <c r="BW178" s="48" t="n">
        <f aca="false">IF(BW$8=1,N(Reales!BW13),IF(BW$171=1,IF(AND(AND(70&gt;Corte,70&lt;=Corte+n_Ventana),ISNUMBER(Detalle_24m!BW$15)),Detalle_24m!BW$15,INDEX(Vol_V,2,BW$170)/12)*(1+V_dVol),0))</f>
        <v>10000</v>
      </c>
      <c r="BX178" s="48" t="n">
        <f aca="false">IF(BX$8=1,N(Reales!BX13),IF(BX$171=1,IF(AND(AND(71&gt;Corte,71&lt;=Corte+n_Ventana),ISNUMBER(Detalle_24m!BX$15)),Detalle_24m!BX$15,INDEX(Vol_V,2,BX$170)/12)*(1+V_dVol),0))</f>
        <v>10000</v>
      </c>
      <c r="BY178" s="48" t="n">
        <f aca="false">IF(BY$8=1,N(Reales!BY13),IF(BY$171=1,IF(AND(AND(72&gt;Corte,72&lt;=Corte+n_Ventana),ISNUMBER(Detalle_24m!BY$15)),Detalle_24m!BY$15,INDEX(Vol_V,2,BY$170)/12)*(1+V_dVol),0))</f>
        <v>10000</v>
      </c>
      <c r="BZ178" s="48" t="n">
        <f aca="false">IF(BZ$8=1,N(Reales!BZ13),IF(BZ$171=1,IF(AND(AND(73&gt;Corte,73&lt;=Corte+n_Ventana),ISNUMBER(Detalle_24m!BZ$15)),Detalle_24m!BZ$15,INDEX(Vol_V,2,BZ$170)/12)*(1+V_dVol),0))</f>
        <v>10000</v>
      </c>
      <c r="CA178" s="48" t="n">
        <f aca="false">IF(CA$8=1,N(Reales!CA13),IF(CA$171=1,IF(AND(AND(74&gt;Corte,74&lt;=Corte+n_Ventana),ISNUMBER(Detalle_24m!CA$15)),Detalle_24m!CA$15,INDEX(Vol_V,2,CA$170)/12)*(1+V_dVol),0))</f>
        <v>10000</v>
      </c>
      <c r="CB178" s="48" t="n">
        <f aca="false">IF(CB$8=1,N(Reales!CB13),IF(CB$171=1,IF(AND(AND(75&gt;Corte,75&lt;=Corte+n_Ventana),ISNUMBER(Detalle_24m!CB$15)),Detalle_24m!CB$15,INDEX(Vol_V,2,CB$170)/12)*(1+V_dVol),0))</f>
        <v>10000</v>
      </c>
      <c r="CC178" s="48" t="n">
        <f aca="false">IF(CC$8=1,N(Reales!CC13),IF(CC$171=1,IF(AND(AND(76&gt;Corte,76&lt;=Corte+n_Ventana),ISNUMBER(Detalle_24m!CC$15)),Detalle_24m!CC$15,INDEX(Vol_V,2,CC$170)/12)*(1+V_dVol),0))</f>
        <v>10000</v>
      </c>
      <c r="CD178" s="48" t="n">
        <f aca="false">IF(CD$8=1,N(Reales!CD13),IF(CD$171=1,IF(AND(AND(77&gt;Corte,77&lt;=Corte+n_Ventana),ISNUMBER(Detalle_24m!CD$15)),Detalle_24m!CD$15,INDEX(Vol_V,2,CD$170)/12)*(1+V_dVol),0))</f>
        <v>10000</v>
      </c>
      <c r="CE178" s="48" t="n">
        <f aca="false">IF(CE$8=1,N(Reales!CE13),IF(CE$171=1,IF(AND(AND(78&gt;Corte,78&lt;=Corte+n_Ventana),ISNUMBER(Detalle_24m!CE$15)),Detalle_24m!CE$15,INDEX(Vol_V,2,CE$170)/12)*(1+V_dVol),0))</f>
        <v>10000</v>
      </c>
      <c r="CF178" s="48" t="n">
        <f aca="false">IF(CF$8=1,N(Reales!CF13),IF(CF$171=1,IF(AND(AND(79&gt;Corte,79&lt;=Corte+n_Ventana),ISNUMBER(Detalle_24m!CF$15)),Detalle_24m!CF$15,INDEX(Vol_V,2,CF$170)/12)*(1+V_dVol),0))</f>
        <v>10000</v>
      </c>
      <c r="CG178" s="48" t="n">
        <f aca="false">IF(CG$8=1,N(Reales!CG13),IF(CG$171=1,IF(AND(AND(80&gt;Corte,80&lt;=Corte+n_Ventana),ISNUMBER(Detalle_24m!CG$15)),Detalle_24m!CG$15,INDEX(Vol_V,2,CG$170)/12)*(1+V_dVol),0))</f>
        <v>10000</v>
      </c>
      <c r="CH178" s="48" t="n">
        <f aca="false">IF(CH$8=1,N(Reales!CH13),IF(CH$171=1,IF(AND(AND(81&gt;Corte,81&lt;=Corte+n_Ventana),ISNUMBER(Detalle_24m!CH$15)),Detalle_24m!CH$15,INDEX(Vol_V,2,CH$170)/12)*(1+V_dVol),0))</f>
        <v>10000</v>
      </c>
      <c r="CI178" s="48" t="n">
        <f aca="false">IF(CI$8=1,N(Reales!CI13),IF(CI$171=1,IF(AND(AND(82&gt;Corte,82&lt;=Corte+n_Ventana),ISNUMBER(Detalle_24m!CI$15)),Detalle_24m!CI$15,INDEX(Vol_V,2,CI$170)/12)*(1+V_dVol),0))</f>
        <v>10000</v>
      </c>
      <c r="CJ178" s="48" t="n">
        <f aca="false">IF(CJ$8=1,N(Reales!CJ13),IF(CJ$171=1,IF(AND(AND(83&gt;Corte,83&lt;=Corte+n_Ventana),ISNUMBER(Detalle_24m!CJ$15)),Detalle_24m!CJ$15,INDEX(Vol_V,2,CJ$170)/12)*(1+V_dVol),0))</f>
        <v>10000</v>
      </c>
      <c r="CK178" s="48" t="n">
        <f aca="false">IF(CK$8=1,N(Reales!CK13),IF(CK$171=1,IF(AND(AND(84&gt;Corte,84&lt;=Corte+n_Ventana),ISNUMBER(Detalle_24m!CK$15)),Detalle_24m!CK$15,INDEX(Vol_V,2,CK$170)/12)*(1+V_dVol),0))</f>
        <v>10000</v>
      </c>
      <c r="CL178" s="48" t="n">
        <f aca="false">IF(CL$8=1,N(Reales!CL13),IF(CL$171=1,IF(AND(AND(85&gt;Corte,85&lt;=Corte+n_Ventana),ISNUMBER(Detalle_24m!CL$15)),Detalle_24m!CL$15,INDEX(Vol_V,2,CL$170)/12)*(1+V_dVol),0))</f>
        <v>10000</v>
      </c>
      <c r="CM178" s="48" t="n">
        <f aca="false">IF(CM$8=1,N(Reales!CM13),IF(CM$171=1,IF(AND(AND(86&gt;Corte,86&lt;=Corte+n_Ventana),ISNUMBER(Detalle_24m!CM$15)),Detalle_24m!CM$15,INDEX(Vol_V,2,CM$170)/12)*(1+V_dVol),0))</f>
        <v>10000</v>
      </c>
      <c r="CN178" s="48" t="n">
        <f aca="false">IF(CN$8=1,N(Reales!CN13),IF(CN$171=1,IF(AND(AND(87&gt;Corte,87&lt;=Corte+n_Ventana),ISNUMBER(Detalle_24m!CN$15)),Detalle_24m!CN$15,INDEX(Vol_V,2,CN$170)/12)*(1+V_dVol),0))</f>
        <v>10000</v>
      </c>
      <c r="CO178" s="48" t="n">
        <f aca="false">IF(CO$8=1,N(Reales!CO13),IF(CO$171=1,IF(AND(AND(88&gt;Corte,88&lt;=Corte+n_Ventana),ISNUMBER(Detalle_24m!CO$15)),Detalle_24m!CO$15,INDEX(Vol_V,2,CO$170)/12)*(1+V_dVol),0))</f>
        <v>10000</v>
      </c>
      <c r="CP178" s="48" t="n">
        <f aca="false">IF(CP$8=1,N(Reales!CP13),IF(CP$171=1,IF(AND(AND(89&gt;Corte,89&lt;=Corte+n_Ventana),ISNUMBER(Detalle_24m!CP$15)),Detalle_24m!CP$15,INDEX(Vol_V,2,CP$170)/12)*(1+V_dVol),0))</f>
        <v>10000</v>
      </c>
      <c r="CQ178" s="48" t="n">
        <f aca="false">IF(CQ$8=1,N(Reales!CQ13),IF(CQ$171=1,IF(AND(AND(90&gt;Corte,90&lt;=Corte+n_Ventana),ISNUMBER(Detalle_24m!CQ$15)),Detalle_24m!CQ$15,INDEX(Vol_V,2,CQ$170)/12)*(1+V_dVol),0))</f>
        <v>10000</v>
      </c>
      <c r="CR178" s="48" t="n">
        <f aca="false">IF(CR$8=1,N(Reales!CR13),IF(CR$171=1,IF(AND(AND(91&gt;Corte,91&lt;=Corte+n_Ventana),ISNUMBER(Detalle_24m!CR$15)),Detalle_24m!CR$15,INDEX(Vol_V,2,CR$170)/12)*(1+V_dVol),0))</f>
        <v>10000</v>
      </c>
      <c r="CS178" s="48" t="n">
        <f aca="false">IF(CS$8=1,N(Reales!CS13),IF(CS$171=1,IF(AND(AND(92&gt;Corte,92&lt;=Corte+n_Ventana),ISNUMBER(Detalle_24m!CS$15)),Detalle_24m!CS$15,INDEX(Vol_V,2,CS$170)/12)*(1+V_dVol),0))</f>
        <v>10000</v>
      </c>
      <c r="CT178" s="48" t="n">
        <f aca="false">IF(CT$8=1,N(Reales!CT13),IF(CT$171=1,IF(AND(AND(93&gt;Corte,93&lt;=Corte+n_Ventana),ISNUMBER(Detalle_24m!CT$15)),Detalle_24m!CT$15,INDEX(Vol_V,2,CT$170)/12)*(1+V_dVol),0))</f>
        <v>10000</v>
      </c>
      <c r="CU178" s="48" t="n">
        <f aca="false">IF(CU$8=1,N(Reales!CU13),IF(CU$171=1,IF(AND(AND(94&gt;Corte,94&lt;=Corte+n_Ventana),ISNUMBER(Detalle_24m!CU$15)),Detalle_24m!CU$15,INDEX(Vol_V,2,CU$170)/12)*(1+V_dVol),0))</f>
        <v>10000</v>
      </c>
      <c r="CV178" s="48" t="n">
        <f aca="false">IF(CV$8=1,N(Reales!CV13),IF(CV$171=1,IF(AND(AND(95&gt;Corte,95&lt;=Corte+n_Ventana),ISNUMBER(Detalle_24m!CV$15)),Detalle_24m!CV$15,INDEX(Vol_V,2,CV$170)/12)*(1+V_dVol),0))</f>
        <v>10000</v>
      </c>
      <c r="CW178" s="48" t="n">
        <f aca="false">IF(CW$8=1,N(Reales!CW13),IF(CW$171=1,IF(AND(AND(96&gt;Corte,96&lt;=Corte+n_Ventana),ISNUMBER(Detalle_24m!CW$15)),Detalle_24m!CW$15,INDEX(Vol_V,2,CW$170)/12)*(1+V_dVol),0))</f>
        <v>10000</v>
      </c>
      <c r="CX178" s="48" t="n">
        <f aca="false">IF(CX$8=1,N(Reales!CX13),IF(CX$171=1,IF(AND(AND(97&gt;Corte,97&lt;=Corte+n_Ventana),ISNUMBER(Detalle_24m!CX$15)),Detalle_24m!CX$15,INDEX(Vol_V,2,CX$170)/12)*(1+V_dVol),0))</f>
        <v>10000</v>
      </c>
      <c r="CY178" s="48" t="n">
        <f aca="false">IF(CY$8=1,N(Reales!CY13),IF(CY$171=1,IF(AND(AND(98&gt;Corte,98&lt;=Corte+n_Ventana),ISNUMBER(Detalle_24m!CY$15)),Detalle_24m!CY$15,INDEX(Vol_V,2,CY$170)/12)*(1+V_dVol),0))</f>
        <v>10000</v>
      </c>
      <c r="CZ178" s="48" t="n">
        <f aca="false">IF(CZ$8=1,N(Reales!CZ13),IF(CZ$171=1,IF(AND(AND(99&gt;Corte,99&lt;=Corte+n_Ventana),ISNUMBER(Detalle_24m!CZ$15)),Detalle_24m!CZ$15,INDEX(Vol_V,2,CZ$170)/12)*(1+V_dVol),0))</f>
        <v>10000</v>
      </c>
      <c r="DA178" s="48" t="n">
        <f aca="false">IF(DA$8=1,N(Reales!DA13),IF(DA$171=1,IF(AND(AND(100&gt;Corte,100&lt;=Corte+n_Ventana),ISNUMBER(Detalle_24m!DA$15)),Detalle_24m!DA$15,INDEX(Vol_V,2,DA$170)/12)*(1+V_dVol),0))</f>
        <v>10000</v>
      </c>
      <c r="DB178" s="48" t="n">
        <f aca="false">IF(DB$8=1,N(Reales!DB13),IF(DB$171=1,IF(AND(AND(101&gt;Corte,101&lt;=Corte+n_Ventana),ISNUMBER(Detalle_24m!DB$15)),Detalle_24m!DB$15,INDEX(Vol_V,2,DB$170)/12)*(1+V_dVol),0))</f>
        <v>10000</v>
      </c>
      <c r="DC178" s="48" t="n">
        <f aca="false">IF(DC$8=1,N(Reales!DC13),IF(DC$171=1,IF(AND(AND(102&gt;Corte,102&lt;=Corte+n_Ventana),ISNUMBER(Detalle_24m!DC$15)),Detalle_24m!DC$15,INDEX(Vol_V,2,DC$170)/12)*(1+V_dVol),0))</f>
        <v>10000</v>
      </c>
      <c r="DD178" s="48" t="n">
        <f aca="false">IF(DD$8=1,N(Reales!DD13),IF(DD$171=1,IF(AND(AND(103&gt;Corte,103&lt;=Corte+n_Ventana),ISNUMBER(Detalle_24m!DD$15)),Detalle_24m!DD$15,INDEX(Vol_V,2,DD$170)/12)*(1+V_dVol),0))</f>
        <v>10000</v>
      </c>
      <c r="DE178" s="48" t="n">
        <f aca="false">IF(DE$8=1,N(Reales!DE13),IF(DE$171=1,IF(AND(AND(104&gt;Corte,104&lt;=Corte+n_Ventana),ISNUMBER(Detalle_24m!DE$15)),Detalle_24m!DE$15,INDEX(Vol_V,2,DE$170)/12)*(1+V_dVol),0))</f>
        <v>10000</v>
      </c>
      <c r="DF178" s="48" t="n">
        <f aca="false">IF(DF$8=1,N(Reales!DF13),IF(DF$171=1,IF(AND(AND(105&gt;Corte,105&lt;=Corte+n_Ventana),ISNUMBER(Detalle_24m!DF$15)),Detalle_24m!DF$15,INDEX(Vol_V,2,DF$170)/12)*(1+V_dVol),0))</f>
        <v>10000</v>
      </c>
      <c r="DG178" s="48" t="n">
        <f aca="false">IF(DG$8=1,N(Reales!DG13),IF(DG$171=1,IF(AND(AND(106&gt;Corte,106&lt;=Corte+n_Ventana),ISNUMBER(Detalle_24m!DG$15)),Detalle_24m!DG$15,INDEX(Vol_V,2,DG$170)/12)*(1+V_dVol),0))</f>
        <v>10000</v>
      </c>
      <c r="DH178" s="48" t="n">
        <f aca="false">IF(DH$8=1,N(Reales!DH13),IF(DH$171=1,IF(AND(AND(107&gt;Corte,107&lt;=Corte+n_Ventana),ISNUMBER(Detalle_24m!DH$15)),Detalle_24m!DH$15,INDEX(Vol_V,2,DH$170)/12)*(1+V_dVol),0))</f>
        <v>10000</v>
      </c>
      <c r="DI178" s="48" t="n">
        <f aca="false">IF(DI$8=1,N(Reales!DI13),IF(DI$171=1,IF(AND(AND(108&gt;Corte,108&lt;=Corte+n_Ventana),ISNUMBER(Detalle_24m!DI$15)),Detalle_24m!DI$15,INDEX(Vol_V,2,DI$170)/12)*(1+V_dVol),0))</f>
        <v>10000</v>
      </c>
      <c r="DJ178" s="48" t="n">
        <f aca="false">IF(DJ$8=1,N(Reales!DJ13),IF(DJ$171=1,IF(AND(AND(109&gt;Corte,109&lt;=Corte+n_Ventana),ISNUMBER(Detalle_24m!DJ$15)),Detalle_24m!DJ$15,INDEX(Vol_V,2,DJ$170)/12)*(1+V_dVol),0))</f>
        <v>10000</v>
      </c>
      <c r="DK178" s="48" t="n">
        <f aca="false">IF(DK$8=1,N(Reales!DK13),IF(DK$171=1,IF(AND(AND(110&gt;Corte,110&lt;=Corte+n_Ventana),ISNUMBER(Detalle_24m!DK$15)),Detalle_24m!DK$15,INDEX(Vol_V,2,DK$170)/12)*(1+V_dVol),0))</f>
        <v>10000</v>
      </c>
      <c r="DL178" s="48" t="n">
        <f aca="false">IF(DL$8=1,N(Reales!DL13),IF(DL$171=1,IF(AND(AND(111&gt;Corte,111&lt;=Corte+n_Ventana),ISNUMBER(Detalle_24m!DL$15)),Detalle_24m!DL$15,INDEX(Vol_V,2,DL$170)/12)*(1+V_dVol),0))</f>
        <v>10000</v>
      </c>
      <c r="DM178" s="48" t="n">
        <f aca="false">IF(DM$8=1,N(Reales!DM13),IF(DM$171=1,IF(AND(AND(112&gt;Corte,112&lt;=Corte+n_Ventana),ISNUMBER(Detalle_24m!DM$15)),Detalle_24m!DM$15,INDEX(Vol_V,2,DM$170)/12)*(1+V_dVol),0))</f>
        <v>10000</v>
      </c>
      <c r="DN178" s="48" t="n">
        <f aca="false">IF(DN$8=1,N(Reales!DN13),IF(DN$171=1,IF(AND(AND(113&gt;Corte,113&lt;=Corte+n_Ventana),ISNUMBER(Detalle_24m!DN$15)),Detalle_24m!DN$15,INDEX(Vol_V,2,DN$170)/12)*(1+V_dVol),0))</f>
        <v>10000</v>
      </c>
      <c r="DO178" s="48" t="n">
        <f aca="false">IF(DO$8=1,N(Reales!DO13),IF(DO$171=1,IF(AND(AND(114&gt;Corte,114&lt;=Corte+n_Ventana),ISNUMBER(Detalle_24m!DO$15)),Detalle_24m!DO$15,INDEX(Vol_V,2,DO$170)/12)*(1+V_dVol),0))</f>
        <v>10000</v>
      </c>
      <c r="DP178" s="48" t="n">
        <f aca="false">IF(DP$8=1,N(Reales!DP13),IF(DP$171=1,IF(AND(AND(115&gt;Corte,115&lt;=Corte+n_Ventana),ISNUMBER(Detalle_24m!DP$15)),Detalle_24m!DP$15,INDEX(Vol_V,2,DP$170)/12)*(1+V_dVol),0))</f>
        <v>10000</v>
      </c>
      <c r="DQ178" s="48" t="n">
        <f aca="false">IF(DQ$8=1,N(Reales!DQ13),IF(DQ$171=1,IF(AND(AND(116&gt;Corte,116&lt;=Corte+n_Ventana),ISNUMBER(Detalle_24m!DQ$15)),Detalle_24m!DQ$15,INDEX(Vol_V,2,DQ$170)/12)*(1+V_dVol),0))</f>
        <v>10000</v>
      </c>
      <c r="DR178" s="48" t="n">
        <f aca="false">IF(DR$8=1,N(Reales!DR13),IF(DR$171=1,IF(AND(AND(117&gt;Corte,117&lt;=Corte+n_Ventana),ISNUMBER(Detalle_24m!DR$15)),Detalle_24m!DR$15,INDEX(Vol_V,2,DR$170)/12)*(1+V_dVol),0))</f>
        <v>10000</v>
      </c>
      <c r="DS178" s="48" t="n">
        <f aca="false">IF(DS$8=1,N(Reales!DS13),IF(DS$171=1,IF(AND(AND(118&gt;Corte,118&lt;=Corte+n_Ventana),ISNUMBER(Detalle_24m!DS$15)),Detalle_24m!DS$15,INDEX(Vol_V,2,DS$170)/12)*(1+V_dVol),0))</f>
        <v>10000</v>
      </c>
      <c r="DT178" s="48" t="n">
        <f aca="false">IF(DT$8=1,N(Reales!DT13),IF(DT$171=1,IF(AND(AND(119&gt;Corte,119&lt;=Corte+n_Ventana),ISNUMBER(Detalle_24m!DT$15)),Detalle_24m!DT$15,INDEX(Vol_V,2,DT$170)/12)*(1+V_dVol),0))</f>
        <v>10000</v>
      </c>
      <c r="DU178" s="48" t="n">
        <f aca="false">IF(DU$8=1,N(Reales!DU13),IF(DU$171=1,IF(AND(AND(120&gt;Corte,120&lt;=Corte+n_Ventana),ISNUMBER(Detalle_24m!DU$15)),Detalle_24m!DU$15,INDEX(Vol_V,2,DU$170)/12)*(1+V_dVol),0))</f>
        <v>10000</v>
      </c>
      <c r="DV178" s="48" t="n">
        <f aca="false">IF(DV$8=1,N(Reales!DV13),IF(DV$171=1,IF(AND(AND(121&gt;Corte,121&lt;=Corte+n_Ventana),ISNUMBER(Detalle_24m!DV$15)),Detalle_24m!DV$15,INDEX(Vol_V,2,DV$170)/12)*(1+V_dVol),0))</f>
        <v>0</v>
      </c>
      <c r="DW178" s="48" t="n">
        <f aca="false">IF(DW$8=1,N(Reales!DW13),IF(DW$171=1,IF(AND(AND(122&gt;Corte,122&lt;=Corte+n_Ventana),ISNUMBER(Detalle_24m!DW$15)),Detalle_24m!DW$15,INDEX(Vol_V,2,DW$170)/12)*(1+V_dVol),0))</f>
        <v>0</v>
      </c>
      <c r="DX178" s="48" t="n">
        <f aca="false">IF(DX$8=1,N(Reales!DX13),IF(DX$171=1,IF(AND(AND(123&gt;Corte,123&lt;=Corte+n_Ventana),ISNUMBER(Detalle_24m!DX$15)),Detalle_24m!DX$15,INDEX(Vol_V,2,DX$170)/12)*(1+V_dVol),0))</f>
        <v>0</v>
      </c>
      <c r="DY178" s="48" t="n">
        <f aca="false">IF(DY$8=1,N(Reales!DY13),IF(DY$171=1,IF(AND(AND(124&gt;Corte,124&lt;=Corte+n_Ventana),ISNUMBER(Detalle_24m!DY$15)),Detalle_24m!DY$15,INDEX(Vol_V,2,DY$170)/12)*(1+V_dVol),0))</f>
        <v>0</v>
      </c>
      <c r="DZ178" s="48" t="n">
        <f aca="false">IF(DZ$8=1,N(Reales!DZ13),IF(DZ$171=1,IF(AND(AND(125&gt;Corte,125&lt;=Corte+n_Ventana),ISNUMBER(Detalle_24m!DZ$15)),Detalle_24m!DZ$15,INDEX(Vol_V,2,DZ$170)/12)*(1+V_dVol),0))</f>
        <v>0</v>
      </c>
      <c r="EA178" s="48" t="n">
        <f aca="false">IF(EA$8=1,N(Reales!EA13),IF(EA$171=1,IF(AND(AND(126&gt;Corte,126&lt;=Corte+n_Ventana),ISNUMBER(Detalle_24m!EA$15)),Detalle_24m!EA$15,INDEX(Vol_V,2,EA$170)/12)*(1+V_dVol),0))</f>
        <v>0</v>
      </c>
      <c r="EB178" s="48" t="n">
        <f aca="false">IF(EB$8=1,N(Reales!EB13),IF(EB$171=1,IF(AND(AND(127&gt;Corte,127&lt;=Corte+n_Ventana),ISNUMBER(Detalle_24m!EB$15)),Detalle_24m!EB$15,INDEX(Vol_V,2,EB$170)/12)*(1+V_dVol),0))</f>
        <v>0</v>
      </c>
      <c r="EC178" s="48" t="n">
        <f aca="false">IF(EC$8=1,N(Reales!EC13),IF(EC$171=1,IF(AND(AND(128&gt;Corte,128&lt;=Corte+n_Ventana),ISNUMBER(Detalle_24m!EC$15)),Detalle_24m!EC$15,INDEX(Vol_V,2,EC$170)/12)*(1+V_dVol),0))</f>
        <v>0</v>
      </c>
      <c r="ED178" s="48" t="n">
        <f aca="false">IF(ED$8=1,N(Reales!ED13),IF(ED$171=1,IF(AND(AND(129&gt;Corte,129&lt;=Corte+n_Ventana),ISNUMBER(Detalle_24m!ED$15)),Detalle_24m!ED$15,INDEX(Vol_V,2,ED$170)/12)*(1+V_dVol),0))</f>
        <v>0</v>
      </c>
      <c r="EE178" s="48" t="n">
        <f aca="false">IF(EE$8=1,N(Reales!EE13),IF(EE$171=1,IF(AND(AND(130&gt;Corte,130&lt;=Corte+n_Ventana),ISNUMBER(Detalle_24m!EE$15)),Detalle_24m!EE$15,INDEX(Vol_V,2,EE$170)/12)*(1+V_dVol),0))</f>
        <v>0</v>
      </c>
      <c r="EF178" s="48" t="n">
        <f aca="false">IF(EF$8=1,N(Reales!EF13),IF(EF$171=1,IF(AND(AND(131&gt;Corte,131&lt;=Corte+n_Ventana),ISNUMBER(Detalle_24m!EF$15)),Detalle_24m!EF$15,INDEX(Vol_V,2,EF$170)/12)*(1+V_dVol),0))</f>
        <v>0</v>
      </c>
      <c r="EG178" s="48" t="n">
        <f aca="false">IF(EG$8=1,N(Reales!EG13),IF(EG$171=1,IF(AND(AND(132&gt;Corte,132&lt;=Corte+n_Ventana),ISNUMBER(Detalle_24m!EG$15)),Detalle_24m!EG$15,INDEX(Vol_V,2,EG$170)/12)*(1+V_dVol),0))</f>
        <v>0</v>
      </c>
      <c r="EH178" s="48" t="n">
        <f aca="false">IF(EH$8=1,N(Reales!EH13),IF(EH$171=1,IF(AND(AND(133&gt;Corte,133&lt;=Corte+n_Ventana),ISNUMBER(Detalle_24m!EH$15)),Detalle_24m!EH$15,INDEX(Vol_V,2,EH$170)/12)*(1+V_dVol),0))</f>
        <v>0</v>
      </c>
      <c r="EI178" s="48" t="n">
        <f aca="false">IF(EI$8=1,N(Reales!EI13),IF(EI$171=1,IF(AND(AND(134&gt;Corte,134&lt;=Corte+n_Ventana),ISNUMBER(Detalle_24m!EI$15)),Detalle_24m!EI$15,INDEX(Vol_V,2,EI$170)/12)*(1+V_dVol),0))</f>
        <v>0</v>
      </c>
      <c r="EJ178" s="48" t="n">
        <f aca="false">IF(EJ$8=1,N(Reales!EJ13),IF(EJ$171=1,IF(AND(AND(135&gt;Corte,135&lt;=Corte+n_Ventana),ISNUMBER(Detalle_24m!EJ$15)),Detalle_24m!EJ$15,INDEX(Vol_V,2,EJ$170)/12)*(1+V_dVol),0))</f>
        <v>0</v>
      </c>
      <c r="EK178" s="48" t="n">
        <f aca="false">IF(EK$8=1,N(Reales!EK13),IF(EK$171=1,IF(AND(AND(136&gt;Corte,136&lt;=Corte+n_Ventana),ISNUMBER(Detalle_24m!EK$15)),Detalle_24m!EK$15,INDEX(Vol_V,2,EK$170)/12)*(1+V_dVol),0))</f>
        <v>0</v>
      </c>
      <c r="EL178" s="48" t="n">
        <f aca="false">IF(EL$8=1,N(Reales!EL13),IF(EL$171=1,IF(AND(AND(137&gt;Corte,137&lt;=Corte+n_Ventana),ISNUMBER(Detalle_24m!EL$15)),Detalle_24m!EL$15,INDEX(Vol_V,2,EL$170)/12)*(1+V_dVol),0))</f>
        <v>0</v>
      </c>
      <c r="EM178" s="48" t="n">
        <f aca="false">IF(EM$8=1,N(Reales!EM13),IF(EM$171=1,IF(AND(AND(138&gt;Corte,138&lt;=Corte+n_Ventana),ISNUMBER(Detalle_24m!EM$15)),Detalle_24m!EM$15,INDEX(Vol_V,2,EM$170)/12)*(1+V_dVol),0))</f>
        <v>0</v>
      </c>
      <c r="EN178" s="48" t="n">
        <f aca="false">IF(EN$8=1,N(Reales!EN13),IF(EN$171=1,IF(AND(AND(139&gt;Corte,139&lt;=Corte+n_Ventana),ISNUMBER(Detalle_24m!EN$15)),Detalle_24m!EN$15,INDEX(Vol_V,2,EN$170)/12)*(1+V_dVol),0))</f>
        <v>0</v>
      </c>
      <c r="EO178" s="48" t="n">
        <f aca="false">IF(EO$8=1,N(Reales!EO13),IF(EO$171=1,IF(AND(AND(140&gt;Corte,140&lt;=Corte+n_Ventana),ISNUMBER(Detalle_24m!EO$15)),Detalle_24m!EO$15,INDEX(Vol_V,2,EO$170)/12)*(1+V_dVol),0))</f>
        <v>0</v>
      </c>
      <c r="EP178" s="48" t="n">
        <f aca="false">IF(EP$8=1,N(Reales!EP13),IF(EP$171=1,IF(AND(AND(141&gt;Corte,141&lt;=Corte+n_Ventana),ISNUMBER(Detalle_24m!EP$15)),Detalle_24m!EP$15,INDEX(Vol_V,2,EP$170)/12)*(1+V_dVol),0))</f>
        <v>0</v>
      </c>
      <c r="EQ178" s="48" t="n">
        <f aca="false">IF(EQ$8=1,N(Reales!EQ13),IF(EQ$171=1,IF(AND(AND(142&gt;Corte,142&lt;=Corte+n_Ventana),ISNUMBER(Detalle_24m!EQ$15)),Detalle_24m!EQ$15,INDEX(Vol_V,2,EQ$170)/12)*(1+V_dVol),0))</f>
        <v>0</v>
      </c>
      <c r="ER178" s="48" t="n">
        <f aca="false">IF(ER$8=1,N(Reales!ER13),IF(ER$171=1,IF(AND(AND(143&gt;Corte,143&lt;=Corte+n_Ventana),ISNUMBER(Detalle_24m!ER$15)),Detalle_24m!ER$15,INDEX(Vol_V,2,ER$170)/12)*(1+V_dVol),0))</f>
        <v>0</v>
      </c>
      <c r="ES178" s="48" t="n">
        <f aca="false">IF(ES$8=1,N(Reales!ES13),IF(ES$171=1,IF(AND(AND(144&gt;Corte,144&lt;=Corte+n_Ventana),ISNUMBER(Detalle_24m!ES$15)),Detalle_24m!ES$15,INDEX(Vol_V,2,ES$170)/12)*(1+V_dVol),0))</f>
        <v>0</v>
      </c>
    </row>
    <row r="179" customFormat="false" ht="15" hidden="false" customHeight="false" outlineLevel="0" collapsed="false">
      <c r="A179" s="11" t="s">
        <v>1302</v>
      </c>
      <c r="B179" s="53" t="str">
        <f aca="false">IF(INDEX(Prod_Nombre,3)="","Producto 3",INDEX(Prod_Nombre,3))&amp;" — unidades"</f>
        <v>Producto 3 — unidades</v>
      </c>
      <c r="C179" s="15" t="s">
        <v>544</v>
      </c>
      <c r="E179" s="54" t="n">
        <f aca="false">SUM(F179:ES179)</f>
        <v>0</v>
      </c>
      <c r="F179" s="48" t="n">
        <f aca="false">IF(F$8=1,N(Reales!F14),IF(F$171=1,IF(AND(AND(1&gt;Corte,1&lt;=Corte+n_Ventana),ISNUMBER(Detalle_24m!F$16)),Detalle_24m!F$16,INDEX(Vol_V,3,F$170)/12)*(1+V_dVol),0))</f>
        <v>0</v>
      </c>
      <c r="G179" s="48" t="n">
        <f aca="false">IF(G$8=1,N(Reales!G14),IF(G$171=1,IF(AND(AND(2&gt;Corte,2&lt;=Corte+n_Ventana),ISNUMBER(Detalle_24m!G$16)),Detalle_24m!G$16,INDEX(Vol_V,3,G$170)/12)*(1+V_dVol),0))</f>
        <v>0</v>
      </c>
      <c r="H179" s="48" t="n">
        <f aca="false">IF(H$8=1,N(Reales!H14),IF(H$171=1,IF(AND(AND(3&gt;Corte,3&lt;=Corte+n_Ventana),ISNUMBER(Detalle_24m!H$16)),Detalle_24m!H$16,INDEX(Vol_V,3,H$170)/12)*(1+V_dVol),0))</f>
        <v>0</v>
      </c>
      <c r="I179" s="48" t="n">
        <f aca="false">IF(I$8=1,N(Reales!I14),IF(I$171=1,IF(AND(AND(4&gt;Corte,4&lt;=Corte+n_Ventana),ISNUMBER(Detalle_24m!I$16)),Detalle_24m!I$16,INDEX(Vol_V,3,I$170)/12)*(1+V_dVol),0))</f>
        <v>0</v>
      </c>
      <c r="J179" s="48" t="n">
        <f aca="false">IF(J$8=1,N(Reales!J14),IF(J$171=1,IF(AND(AND(5&gt;Corte,5&lt;=Corte+n_Ventana),ISNUMBER(Detalle_24m!J$16)),Detalle_24m!J$16,INDEX(Vol_V,3,J$170)/12)*(1+V_dVol),0))</f>
        <v>0</v>
      </c>
      <c r="K179" s="48" t="n">
        <f aca="false">IF(K$8=1,N(Reales!K14),IF(K$171=1,IF(AND(AND(6&gt;Corte,6&lt;=Corte+n_Ventana),ISNUMBER(Detalle_24m!K$16)),Detalle_24m!K$16,INDEX(Vol_V,3,K$170)/12)*(1+V_dVol),0))</f>
        <v>0</v>
      </c>
      <c r="L179" s="48" t="n">
        <f aca="false">IF(L$8=1,N(Reales!L14),IF(L$171=1,IF(AND(AND(7&gt;Corte,7&lt;=Corte+n_Ventana),ISNUMBER(Detalle_24m!L$16)),Detalle_24m!L$16,INDEX(Vol_V,3,L$170)/12)*(1+V_dVol),0))</f>
        <v>0</v>
      </c>
      <c r="M179" s="48" t="n">
        <f aca="false">IF(M$8=1,N(Reales!M14),IF(M$171=1,IF(AND(AND(8&gt;Corte,8&lt;=Corte+n_Ventana),ISNUMBER(Detalle_24m!M$16)),Detalle_24m!M$16,INDEX(Vol_V,3,M$170)/12)*(1+V_dVol),0))</f>
        <v>0</v>
      </c>
      <c r="N179" s="48" t="n">
        <f aca="false">IF(N$8=1,N(Reales!N14),IF(N$171=1,IF(AND(AND(9&gt;Corte,9&lt;=Corte+n_Ventana),ISNUMBER(Detalle_24m!N$16)),Detalle_24m!N$16,INDEX(Vol_V,3,N$170)/12)*(1+V_dVol),0))</f>
        <v>0</v>
      </c>
      <c r="O179" s="48" t="n">
        <f aca="false">IF(O$8=1,N(Reales!O14),IF(O$171=1,IF(AND(AND(10&gt;Corte,10&lt;=Corte+n_Ventana),ISNUMBER(Detalle_24m!O$16)),Detalle_24m!O$16,INDEX(Vol_V,3,O$170)/12)*(1+V_dVol),0))</f>
        <v>0</v>
      </c>
      <c r="P179" s="48" t="n">
        <f aca="false">IF(P$8=1,N(Reales!P14),IF(P$171=1,IF(AND(AND(11&gt;Corte,11&lt;=Corte+n_Ventana),ISNUMBER(Detalle_24m!P$16)),Detalle_24m!P$16,INDEX(Vol_V,3,P$170)/12)*(1+V_dVol),0))</f>
        <v>0</v>
      </c>
      <c r="Q179" s="48" t="n">
        <f aca="false">IF(Q$8=1,N(Reales!Q14),IF(Q$171=1,IF(AND(AND(12&gt;Corte,12&lt;=Corte+n_Ventana),ISNUMBER(Detalle_24m!Q$16)),Detalle_24m!Q$16,INDEX(Vol_V,3,Q$170)/12)*(1+V_dVol),0))</f>
        <v>0</v>
      </c>
      <c r="R179" s="48" t="n">
        <f aca="false">IF(R$8=1,N(Reales!R14),IF(R$171=1,IF(AND(AND(13&gt;Corte,13&lt;=Corte+n_Ventana),ISNUMBER(Detalle_24m!R$16)),Detalle_24m!R$16,INDEX(Vol_V,3,R$170)/12)*(1+V_dVol),0))</f>
        <v>0</v>
      </c>
      <c r="S179" s="48" t="n">
        <f aca="false">IF(S$8=1,N(Reales!S14),IF(S$171=1,IF(AND(AND(14&gt;Corte,14&lt;=Corte+n_Ventana),ISNUMBER(Detalle_24m!S$16)),Detalle_24m!S$16,INDEX(Vol_V,3,S$170)/12)*(1+V_dVol),0))</f>
        <v>0</v>
      </c>
      <c r="T179" s="48" t="n">
        <f aca="false">IF(T$8=1,N(Reales!T14),IF(T$171=1,IF(AND(AND(15&gt;Corte,15&lt;=Corte+n_Ventana),ISNUMBER(Detalle_24m!T$16)),Detalle_24m!T$16,INDEX(Vol_V,3,T$170)/12)*(1+V_dVol),0))</f>
        <v>0</v>
      </c>
      <c r="U179" s="48" t="n">
        <f aca="false">IF(U$8=1,N(Reales!U14),IF(U$171=1,IF(AND(AND(16&gt;Corte,16&lt;=Corte+n_Ventana),ISNUMBER(Detalle_24m!U$16)),Detalle_24m!U$16,INDEX(Vol_V,3,U$170)/12)*(1+V_dVol),0))</f>
        <v>0</v>
      </c>
      <c r="V179" s="48" t="n">
        <f aca="false">IF(V$8=1,N(Reales!V14),IF(V$171=1,IF(AND(AND(17&gt;Corte,17&lt;=Corte+n_Ventana),ISNUMBER(Detalle_24m!V$16)),Detalle_24m!V$16,INDEX(Vol_V,3,V$170)/12)*(1+V_dVol),0))</f>
        <v>0</v>
      </c>
      <c r="W179" s="48" t="n">
        <f aca="false">IF(W$8=1,N(Reales!W14),IF(W$171=1,IF(AND(AND(18&gt;Corte,18&lt;=Corte+n_Ventana),ISNUMBER(Detalle_24m!W$16)),Detalle_24m!W$16,INDEX(Vol_V,3,W$170)/12)*(1+V_dVol),0))</f>
        <v>0</v>
      </c>
      <c r="X179" s="48" t="n">
        <f aca="false">IF(X$8=1,N(Reales!X14),IF(X$171=1,IF(AND(AND(19&gt;Corte,19&lt;=Corte+n_Ventana),ISNUMBER(Detalle_24m!X$16)),Detalle_24m!X$16,INDEX(Vol_V,3,X$170)/12)*(1+V_dVol),0))</f>
        <v>0</v>
      </c>
      <c r="Y179" s="48" t="n">
        <f aca="false">IF(Y$8=1,N(Reales!Y14),IF(Y$171=1,IF(AND(AND(20&gt;Corte,20&lt;=Corte+n_Ventana),ISNUMBER(Detalle_24m!Y$16)),Detalle_24m!Y$16,INDEX(Vol_V,3,Y$170)/12)*(1+V_dVol),0))</f>
        <v>0</v>
      </c>
      <c r="Z179" s="48" t="n">
        <f aca="false">IF(Z$8=1,N(Reales!Z14),IF(Z$171=1,IF(AND(AND(21&gt;Corte,21&lt;=Corte+n_Ventana),ISNUMBER(Detalle_24m!Z$16)),Detalle_24m!Z$16,INDEX(Vol_V,3,Z$170)/12)*(1+V_dVol),0))</f>
        <v>0</v>
      </c>
      <c r="AA179" s="48" t="n">
        <f aca="false">IF(AA$8=1,N(Reales!AA14),IF(AA$171=1,IF(AND(AND(22&gt;Corte,22&lt;=Corte+n_Ventana),ISNUMBER(Detalle_24m!AA$16)),Detalle_24m!AA$16,INDEX(Vol_V,3,AA$170)/12)*(1+V_dVol),0))</f>
        <v>0</v>
      </c>
      <c r="AB179" s="48" t="n">
        <f aca="false">IF(AB$8=1,N(Reales!AB14),IF(AB$171=1,IF(AND(AND(23&gt;Corte,23&lt;=Corte+n_Ventana),ISNUMBER(Detalle_24m!AB$16)),Detalle_24m!AB$16,INDEX(Vol_V,3,AB$170)/12)*(1+V_dVol),0))</f>
        <v>0</v>
      </c>
      <c r="AC179" s="48" t="n">
        <f aca="false">IF(AC$8=1,N(Reales!AC14),IF(AC$171=1,IF(AND(AND(24&gt;Corte,24&lt;=Corte+n_Ventana),ISNUMBER(Detalle_24m!AC$16)),Detalle_24m!AC$16,INDEX(Vol_V,3,AC$170)/12)*(1+V_dVol),0))</f>
        <v>0</v>
      </c>
      <c r="AD179" s="48" t="n">
        <f aca="false">IF(AD$8=1,N(Reales!AD14),IF(AD$171=1,IF(AND(AND(25&gt;Corte,25&lt;=Corte+n_Ventana),ISNUMBER(Detalle_24m!AD$16)),Detalle_24m!AD$16,INDEX(Vol_V,3,AD$170)/12)*(1+V_dVol),0))</f>
        <v>0</v>
      </c>
      <c r="AE179" s="48" t="n">
        <f aca="false">IF(AE$8=1,N(Reales!AE14),IF(AE$171=1,IF(AND(AND(26&gt;Corte,26&lt;=Corte+n_Ventana),ISNUMBER(Detalle_24m!AE$16)),Detalle_24m!AE$16,INDEX(Vol_V,3,AE$170)/12)*(1+V_dVol),0))</f>
        <v>0</v>
      </c>
      <c r="AF179" s="48" t="n">
        <f aca="false">IF(AF$8=1,N(Reales!AF14),IF(AF$171=1,IF(AND(AND(27&gt;Corte,27&lt;=Corte+n_Ventana),ISNUMBER(Detalle_24m!AF$16)),Detalle_24m!AF$16,INDEX(Vol_V,3,AF$170)/12)*(1+V_dVol),0))</f>
        <v>0</v>
      </c>
      <c r="AG179" s="48" t="n">
        <f aca="false">IF(AG$8=1,N(Reales!AG14),IF(AG$171=1,IF(AND(AND(28&gt;Corte,28&lt;=Corte+n_Ventana),ISNUMBER(Detalle_24m!AG$16)),Detalle_24m!AG$16,INDEX(Vol_V,3,AG$170)/12)*(1+V_dVol),0))</f>
        <v>0</v>
      </c>
      <c r="AH179" s="48" t="n">
        <f aca="false">IF(AH$8=1,N(Reales!AH14),IF(AH$171=1,IF(AND(AND(29&gt;Corte,29&lt;=Corte+n_Ventana),ISNUMBER(Detalle_24m!AH$16)),Detalle_24m!AH$16,INDEX(Vol_V,3,AH$170)/12)*(1+V_dVol),0))</f>
        <v>0</v>
      </c>
      <c r="AI179" s="48" t="n">
        <f aca="false">IF(AI$8=1,N(Reales!AI14),IF(AI$171=1,IF(AND(AND(30&gt;Corte,30&lt;=Corte+n_Ventana),ISNUMBER(Detalle_24m!AI$16)),Detalle_24m!AI$16,INDEX(Vol_V,3,AI$170)/12)*(1+V_dVol),0))</f>
        <v>0</v>
      </c>
      <c r="AJ179" s="48" t="n">
        <f aca="false">IF(AJ$8=1,N(Reales!AJ14),IF(AJ$171=1,IF(AND(AND(31&gt;Corte,31&lt;=Corte+n_Ventana),ISNUMBER(Detalle_24m!AJ$16)),Detalle_24m!AJ$16,INDEX(Vol_V,3,AJ$170)/12)*(1+V_dVol),0))</f>
        <v>0</v>
      </c>
      <c r="AK179" s="48" t="n">
        <f aca="false">IF(AK$8=1,N(Reales!AK14),IF(AK$171=1,IF(AND(AND(32&gt;Corte,32&lt;=Corte+n_Ventana),ISNUMBER(Detalle_24m!AK$16)),Detalle_24m!AK$16,INDEX(Vol_V,3,AK$170)/12)*(1+V_dVol),0))</f>
        <v>0</v>
      </c>
      <c r="AL179" s="48" t="n">
        <f aca="false">IF(AL$8=1,N(Reales!AL14),IF(AL$171=1,IF(AND(AND(33&gt;Corte,33&lt;=Corte+n_Ventana),ISNUMBER(Detalle_24m!AL$16)),Detalle_24m!AL$16,INDEX(Vol_V,3,AL$170)/12)*(1+V_dVol),0))</f>
        <v>0</v>
      </c>
      <c r="AM179" s="48" t="n">
        <f aca="false">IF(AM$8=1,N(Reales!AM14),IF(AM$171=1,IF(AND(AND(34&gt;Corte,34&lt;=Corte+n_Ventana),ISNUMBER(Detalle_24m!AM$16)),Detalle_24m!AM$16,INDEX(Vol_V,3,AM$170)/12)*(1+V_dVol),0))</f>
        <v>0</v>
      </c>
      <c r="AN179" s="48" t="n">
        <f aca="false">IF(AN$8=1,N(Reales!AN14),IF(AN$171=1,IF(AND(AND(35&gt;Corte,35&lt;=Corte+n_Ventana),ISNUMBER(Detalle_24m!AN$16)),Detalle_24m!AN$16,INDEX(Vol_V,3,AN$170)/12)*(1+V_dVol),0))</f>
        <v>0</v>
      </c>
      <c r="AO179" s="48" t="n">
        <f aca="false">IF(AO$8=1,N(Reales!AO14),IF(AO$171=1,IF(AND(AND(36&gt;Corte,36&lt;=Corte+n_Ventana),ISNUMBER(Detalle_24m!AO$16)),Detalle_24m!AO$16,INDEX(Vol_V,3,AO$170)/12)*(1+V_dVol),0))</f>
        <v>0</v>
      </c>
      <c r="AP179" s="48" t="n">
        <f aca="false">IF(AP$8=1,N(Reales!AP14),IF(AP$171=1,IF(AND(AND(37&gt;Corte,37&lt;=Corte+n_Ventana),ISNUMBER(Detalle_24m!AP$16)),Detalle_24m!AP$16,INDEX(Vol_V,3,AP$170)/12)*(1+V_dVol),0))</f>
        <v>0</v>
      </c>
      <c r="AQ179" s="48" t="n">
        <f aca="false">IF(AQ$8=1,N(Reales!AQ14),IF(AQ$171=1,IF(AND(AND(38&gt;Corte,38&lt;=Corte+n_Ventana),ISNUMBER(Detalle_24m!AQ$16)),Detalle_24m!AQ$16,INDEX(Vol_V,3,AQ$170)/12)*(1+V_dVol),0))</f>
        <v>0</v>
      </c>
      <c r="AR179" s="48" t="n">
        <f aca="false">IF(AR$8=1,N(Reales!AR14),IF(AR$171=1,IF(AND(AND(39&gt;Corte,39&lt;=Corte+n_Ventana),ISNUMBER(Detalle_24m!AR$16)),Detalle_24m!AR$16,INDEX(Vol_V,3,AR$170)/12)*(1+V_dVol),0))</f>
        <v>0</v>
      </c>
      <c r="AS179" s="48" t="n">
        <f aca="false">IF(AS$8=1,N(Reales!AS14),IF(AS$171=1,IF(AND(AND(40&gt;Corte,40&lt;=Corte+n_Ventana),ISNUMBER(Detalle_24m!AS$16)),Detalle_24m!AS$16,INDEX(Vol_V,3,AS$170)/12)*(1+V_dVol),0))</f>
        <v>0</v>
      </c>
      <c r="AT179" s="48" t="n">
        <f aca="false">IF(AT$8=1,N(Reales!AT14),IF(AT$171=1,IF(AND(AND(41&gt;Corte,41&lt;=Corte+n_Ventana),ISNUMBER(Detalle_24m!AT$16)),Detalle_24m!AT$16,INDEX(Vol_V,3,AT$170)/12)*(1+V_dVol),0))</f>
        <v>0</v>
      </c>
      <c r="AU179" s="48" t="n">
        <f aca="false">IF(AU$8=1,N(Reales!AU14),IF(AU$171=1,IF(AND(AND(42&gt;Corte,42&lt;=Corte+n_Ventana),ISNUMBER(Detalle_24m!AU$16)),Detalle_24m!AU$16,INDEX(Vol_V,3,AU$170)/12)*(1+V_dVol),0))</f>
        <v>0</v>
      </c>
      <c r="AV179" s="48" t="n">
        <f aca="false">IF(AV$8=1,N(Reales!AV14),IF(AV$171=1,IF(AND(AND(43&gt;Corte,43&lt;=Corte+n_Ventana),ISNUMBER(Detalle_24m!AV$16)),Detalle_24m!AV$16,INDEX(Vol_V,3,AV$170)/12)*(1+V_dVol),0))</f>
        <v>0</v>
      </c>
      <c r="AW179" s="48" t="n">
        <f aca="false">IF(AW$8=1,N(Reales!AW14),IF(AW$171=1,IF(AND(AND(44&gt;Corte,44&lt;=Corte+n_Ventana),ISNUMBER(Detalle_24m!AW$16)),Detalle_24m!AW$16,INDEX(Vol_V,3,AW$170)/12)*(1+V_dVol),0))</f>
        <v>0</v>
      </c>
      <c r="AX179" s="48" t="n">
        <f aca="false">IF(AX$8=1,N(Reales!AX14),IF(AX$171=1,IF(AND(AND(45&gt;Corte,45&lt;=Corte+n_Ventana),ISNUMBER(Detalle_24m!AX$16)),Detalle_24m!AX$16,INDEX(Vol_V,3,AX$170)/12)*(1+V_dVol),0))</f>
        <v>0</v>
      </c>
      <c r="AY179" s="48" t="n">
        <f aca="false">IF(AY$8=1,N(Reales!AY14),IF(AY$171=1,IF(AND(AND(46&gt;Corte,46&lt;=Corte+n_Ventana),ISNUMBER(Detalle_24m!AY$16)),Detalle_24m!AY$16,INDEX(Vol_V,3,AY$170)/12)*(1+V_dVol),0))</f>
        <v>0</v>
      </c>
      <c r="AZ179" s="48" t="n">
        <f aca="false">IF(AZ$8=1,N(Reales!AZ14),IF(AZ$171=1,IF(AND(AND(47&gt;Corte,47&lt;=Corte+n_Ventana),ISNUMBER(Detalle_24m!AZ$16)),Detalle_24m!AZ$16,INDEX(Vol_V,3,AZ$170)/12)*(1+V_dVol),0))</f>
        <v>0</v>
      </c>
      <c r="BA179" s="48" t="n">
        <f aca="false">IF(BA$8=1,N(Reales!BA14),IF(BA$171=1,IF(AND(AND(48&gt;Corte,48&lt;=Corte+n_Ventana),ISNUMBER(Detalle_24m!BA$16)),Detalle_24m!BA$16,INDEX(Vol_V,3,BA$170)/12)*(1+V_dVol),0))</f>
        <v>0</v>
      </c>
      <c r="BB179" s="48" t="n">
        <f aca="false">IF(BB$8=1,N(Reales!BB14),IF(BB$171=1,IF(AND(AND(49&gt;Corte,49&lt;=Corte+n_Ventana),ISNUMBER(Detalle_24m!BB$16)),Detalle_24m!BB$16,INDEX(Vol_V,3,BB$170)/12)*(1+V_dVol),0))</f>
        <v>0</v>
      </c>
      <c r="BC179" s="48" t="n">
        <f aca="false">IF(BC$8=1,N(Reales!BC14),IF(BC$171=1,IF(AND(AND(50&gt;Corte,50&lt;=Corte+n_Ventana),ISNUMBER(Detalle_24m!BC$16)),Detalle_24m!BC$16,INDEX(Vol_V,3,BC$170)/12)*(1+V_dVol),0))</f>
        <v>0</v>
      </c>
      <c r="BD179" s="48" t="n">
        <f aca="false">IF(BD$8=1,N(Reales!BD14),IF(BD$171=1,IF(AND(AND(51&gt;Corte,51&lt;=Corte+n_Ventana),ISNUMBER(Detalle_24m!BD$16)),Detalle_24m!BD$16,INDEX(Vol_V,3,BD$170)/12)*(1+V_dVol),0))</f>
        <v>0</v>
      </c>
      <c r="BE179" s="48" t="n">
        <f aca="false">IF(BE$8=1,N(Reales!BE14),IF(BE$171=1,IF(AND(AND(52&gt;Corte,52&lt;=Corte+n_Ventana),ISNUMBER(Detalle_24m!BE$16)),Detalle_24m!BE$16,INDEX(Vol_V,3,BE$170)/12)*(1+V_dVol),0))</f>
        <v>0</v>
      </c>
      <c r="BF179" s="48" t="n">
        <f aca="false">IF(BF$8=1,N(Reales!BF14),IF(BF$171=1,IF(AND(AND(53&gt;Corte,53&lt;=Corte+n_Ventana),ISNUMBER(Detalle_24m!BF$16)),Detalle_24m!BF$16,INDEX(Vol_V,3,BF$170)/12)*(1+V_dVol),0))</f>
        <v>0</v>
      </c>
      <c r="BG179" s="48" t="n">
        <f aca="false">IF(BG$8=1,N(Reales!BG14),IF(BG$171=1,IF(AND(AND(54&gt;Corte,54&lt;=Corte+n_Ventana),ISNUMBER(Detalle_24m!BG$16)),Detalle_24m!BG$16,INDEX(Vol_V,3,BG$170)/12)*(1+V_dVol),0))</f>
        <v>0</v>
      </c>
      <c r="BH179" s="48" t="n">
        <f aca="false">IF(BH$8=1,N(Reales!BH14),IF(BH$171=1,IF(AND(AND(55&gt;Corte,55&lt;=Corte+n_Ventana),ISNUMBER(Detalle_24m!BH$16)),Detalle_24m!BH$16,INDEX(Vol_V,3,BH$170)/12)*(1+V_dVol),0))</f>
        <v>0</v>
      </c>
      <c r="BI179" s="48" t="n">
        <f aca="false">IF(BI$8=1,N(Reales!BI14),IF(BI$171=1,IF(AND(AND(56&gt;Corte,56&lt;=Corte+n_Ventana),ISNUMBER(Detalle_24m!BI$16)),Detalle_24m!BI$16,INDEX(Vol_V,3,BI$170)/12)*(1+V_dVol),0))</f>
        <v>0</v>
      </c>
      <c r="BJ179" s="48" t="n">
        <f aca="false">IF(BJ$8=1,N(Reales!BJ14),IF(BJ$171=1,IF(AND(AND(57&gt;Corte,57&lt;=Corte+n_Ventana),ISNUMBER(Detalle_24m!BJ$16)),Detalle_24m!BJ$16,INDEX(Vol_V,3,BJ$170)/12)*(1+V_dVol),0))</f>
        <v>0</v>
      </c>
      <c r="BK179" s="48" t="n">
        <f aca="false">IF(BK$8=1,N(Reales!BK14),IF(BK$171=1,IF(AND(AND(58&gt;Corte,58&lt;=Corte+n_Ventana),ISNUMBER(Detalle_24m!BK$16)),Detalle_24m!BK$16,INDEX(Vol_V,3,BK$170)/12)*(1+V_dVol),0))</f>
        <v>0</v>
      </c>
      <c r="BL179" s="48" t="n">
        <f aca="false">IF(BL$8=1,N(Reales!BL14),IF(BL$171=1,IF(AND(AND(59&gt;Corte,59&lt;=Corte+n_Ventana),ISNUMBER(Detalle_24m!BL$16)),Detalle_24m!BL$16,INDEX(Vol_V,3,BL$170)/12)*(1+V_dVol),0))</f>
        <v>0</v>
      </c>
      <c r="BM179" s="48" t="n">
        <f aca="false">IF(BM$8=1,N(Reales!BM14),IF(BM$171=1,IF(AND(AND(60&gt;Corte,60&lt;=Corte+n_Ventana),ISNUMBER(Detalle_24m!BM$16)),Detalle_24m!BM$16,INDEX(Vol_V,3,BM$170)/12)*(1+V_dVol),0))</f>
        <v>0</v>
      </c>
      <c r="BN179" s="48" t="n">
        <f aca="false">IF(BN$8=1,N(Reales!BN14),IF(BN$171=1,IF(AND(AND(61&gt;Corte,61&lt;=Corte+n_Ventana),ISNUMBER(Detalle_24m!BN$16)),Detalle_24m!BN$16,INDEX(Vol_V,3,BN$170)/12)*(1+V_dVol),0))</f>
        <v>0</v>
      </c>
      <c r="BO179" s="48" t="n">
        <f aca="false">IF(BO$8=1,N(Reales!BO14),IF(BO$171=1,IF(AND(AND(62&gt;Corte,62&lt;=Corte+n_Ventana),ISNUMBER(Detalle_24m!BO$16)),Detalle_24m!BO$16,INDEX(Vol_V,3,BO$170)/12)*(1+V_dVol),0))</f>
        <v>0</v>
      </c>
      <c r="BP179" s="48" t="n">
        <f aca="false">IF(BP$8=1,N(Reales!BP14),IF(BP$171=1,IF(AND(AND(63&gt;Corte,63&lt;=Corte+n_Ventana),ISNUMBER(Detalle_24m!BP$16)),Detalle_24m!BP$16,INDEX(Vol_V,3,BP$170)/12)*(1+V_dVol),0))</f>
        <v>0</v>
      </c>
      <c r="BQ179" s="48" t="n">
        <f aca="false">IF(BQ$8=1,N(Reales!BQ14),IF(BQ$171=1,IF(AND(AND(64&gt;Corte,64&lt;=Corte+n_Ventana),ISNUMBER(Detalle_24m!BQ$16)),Detalle_24m!BQ$16,INDEX(Vol_V,3,BQ$170)/12)*(1+V_dVol),0))</f>
        <v>0</v>
      </c>
      <c r="BR179" s="48" t="n">
        <f aca="false">IF(BR$8=1,N(Reales!BR14),IF(BR$171=1,IF(AND(AND(65&gt;Corte,65&lt;=Corte+n_Ventana),ISNUMBER(Detalle_24m!BR$16)),Detalle_24m!BR$16,INDEX(Vol_V,3,BR$170)/12)*(1+V_dVol),0))</f>
        <v>0</v>
      </c>
      <c r="BS179" s="48" t="n">
        <f aca="false">IF(BS$8=1,N(Reales!BS14),IF(BS$171=1,IF(AND(AND(66&gt;Corte,66&lt;=Corte+n_Ventana),ISNUMBER(Detalle_24m!BS$16)),Detalle_24m!BS$16,INDEX(Vol_V,3,BS$170)/12)*(1+V_dVol),0))</f>
        <v>0</v>
      </c>
      <c r="BT179" s="48" t="n">
        <f aca="false">IF(BT$8=1,N(Reales!BT14),IF(BT$171=1,IF(AND(AND(67&gt;Corte,67&lt;=Corte+n_Ventana),ISNUMBER(Detalle_24m!BT$16)),Detalle_24m!BT$16,INDEX(Vol_V,3,BT$170)/12)*(1+V_dVol),0))</f>
        <v>0</v>
      </c>
      <c r="BU179" s="48" t="n">
        <f aca="false">IF(BU$8=1,N(Reales!BU14),IF(BU$171=1,IF(AND(AND(68&gt;Corte,68&lt;=Corte+n_Ventana),ISNUMBER(Detalle_24m!BU$16)),Detalle_24m!BU$16,INDEX(Vol_V,3,BU$170)/12)*(1+V_dVol),0))</f>
        <v>0</v>
      </c>
      <c r="BV179" s="48" t="n">
        <f aca="false">IF(BV$8=1,N(Reales!BV14),IF(BV$171=1,IF(AND(AND(69&gt;Corte,69&lt;=Corte+n_Ventana),ISNUMBER(Detalle_24m!BV$16)),Detalle_24m!BV$16,INDEX(Vol_V,3,BV$170)/12)*(1+V_dVol),0))</f>
        <v>0</v>
      </c>
      <c r="BW179" s="48" t="n">
        <f aca="false">IF(BW$8=1,N(Reales!BW14),IF(BW$171=1,IF(AND(AND(70&gt;Corte,70&lt;=Corte+n_Ventana),ISNUMBER(Detalle_24m!BW$16)),Detalle_24m!BW$16,INDEX(Vol_V,3,BW$170)/12)*(1+V_dVol),0))</f>
        <v>0</v>
      </c>
      <c r="BX179" s="48" t="n">
        <f aca="false">IF(BX$8=1,N(Reales!BX14),IF(BX$171=1,IF(AND(AND(71&gt;Corte,71&lt;=Corte+n_Ventana),ISNUMBER(Detalle_24m!BX$16)),Detalle_24m!BX$16,INDEX(Vol_V,3,BX$170)/12)*(1+V_dVol),0))</f>
        <v>0</v>
      </c>
      <c r="BY179" s="48" t="n">
        <f aca="false">IF(BY$8=1,N(Reales!BY14),IF(BY$171=1,IF(AND(AND(72&gt;Corte,72&lt;=Corte+n_Ventana),ISNUMBER(Detalle_24m!BY$16)),Detalle_24m!BY$16,INDEX(Vol_V,3,BY$170)/12)*(1+V_dVol),0))</f>
        <v>0</v>
      </c>
      <c r="BZ179" s="48" t="n">
        <f aca="false">IF(BZ$8=1,N(Reales!BZ14),IF(BZ$171=1,IF(AND(AND(73&gt;Corte,73&lt;=Corte+n_Ventana),ISNUMBER(Detalle_24m!BZ$16)),Detalle_24m!BZ$16,INDEX(Vol_V,3,BZ$170)/12)*(1+V_dVol),0))</f>
        <v>0</v>
      </c>
      <c r="CA179" s="48" t="n">
        <f aca="false">IF(CA$8=1,N(Reales!CA14),IF(CA$171=1,IF(AND(AND(74&gt;Corte,74&lt;=Corte+n_Ventana),ISNUMBER(Detalle_24m!CA$16)),Detalle_24m!CA$16,INDEX(Vol_V,3,CA$170)/12)*(1+V_dVol),0))</f>
        <v>0</v>
      </c>
      <c r="CB179" s="48" t="n">
        <f aca="false">IF(CB$8=1,N(Reales!CB14),IF(CB$171=1,IF(AND(AND(75&gt;Corte,75&lt;=Corte+n_Ventana),ISNUMBER(Detalle_24m!CB$16)),Detalle_24m!CB$16,INDEX(Vol_V,3,CB$170)/12)*(1+V_dVol),0))</f>
        <v>0</v>
      </c>
      <c r="CC179" s="48" t="n">
        <f aca="false">IF(CC$8=1,N(Reales!CC14),IF(CC$171=1,IF(AND(AND(76&gt;Corte,76&lt;=Corte+n_Ventana),ISNUMBER(Detalle_24m!CC$16)),Detalle_24m!CC$16,INDEX(Vol_V,3,CC$170)/12)*(1+V_dVol),0))</f>
        <v>0</v>
      </c>
      <c r="CD179" s="48" t="n">
        <f aca="false">IF(CD$8=1,N(Reales!CD14),IF(CD$171=1,IF(AND(AND(77&gt;Corte,77&lt;=Corte+n_Ventana),ISNUMBER(Detalle_24m!CD$16)),Detalle_24m!CD$16,INDEX(Vol_V,3,CD$170)/12)*(1+V_dVol),0))</f>
        <v>0</v>
      </c>
      <c r="CE179" s="48" t="n">
        <f aca="false">IF(CE$8=1,N(Reales!CE14),IF(CE$171=1,IF(AND(AND(78&gt;Corte,78&lt;=Corte+n_Ventana),ISNUMBER(Detalle_24m!CE$16)),Detalle_24m!CE$16,INDEX(Vol_V,3,CE$170)/12)*(1+V_dVol),0))</f>
        <v>0</v>
      </c>
      <c r="CF179" s="48" t="n">
        <f aca="false">IF(CF$8=1,N(Reales!CF14),IF(CF$171=1,IF(AND(AND(79&gt;Corte,79&lt;=Corte+n_Ventana),ISNUMBER(Detalle_24m!CF$16)),Detalle_24m!CF$16,INDEX(Vol_V,3,CF$170)/12)*(1+V_dVol),0))</f>
        <v>0</v>
      </c>
      <c r="CG179" s="48" t="n">
        <f aca="false">IF(CG$8=1,N(Reales!CG14),IF(CG$171=1,IF(AND(AND(80&gt;Corte,80&lt;=Corte+n_Ventana),ISNUMBER(Detalle_24m!CG$16)),Detalle_24m!CG$16,INDEX(Vol_V,3,CG$170)/12)*(1+V_dVol),0))</f>
        <v>0</v>
      </c>
      <c r="CH179" s="48" t="n">
        <f aca="false">IF(CH$8=1,N(Reales!CH14),IF(CH$171=1,IF(AND(AND(81&gt;Corte,81&lt;=Corte+n_Ventana),ISNUMBER(Detalle_24m!CH$16)),Detalle_24m!CH$16,INDEX(Vol_V,3,CH$170)/12)*(1+V_dVol),0))</f>
        <v>0</v>
      </c>
      <c r="CI179" s="48" t="n">
        <f aca="false">IF(CI$8=1,N(Reales!CI14),IF(CI$171=1,IF(AND(AND(82&gt;Corte,82&lt;=Corte+n_Ventana),ISNUMBER(Detalle_24m!CI$16)),Detalle_24m!CI$16,INDEX(Vol_V,3,CI$170)/12)*(1+V_dVol),0))</f>
        <v>0</v>
      </c>
      <c r="CJ179" s="48" t="n">
        <f aca="false">IF(CJ$8=1,N(Reales!CJ14),IF(CJ$171=1,IF(AND(AND(83&gt;Corte,83&lt;=Corte+n_Ventana),ISNUMBER(Detalle_24m!CJ$16)),Detalle_24m!CJ$16,INDEX(Vol_V,3,CJ$170)/12)*(1+V_dVol),0))</f>
        <v>0</v>
      </c>
      <c r="CK179" s="48" t="n">
        <f aca="false">IF(CK$8=1,N(Reales!CK14),IF(CK$171=1,IF(AND(AND(84&gt;Corte,84&lt;=Corte+n_Ventana),ISNUMBER(Detalle_24m!CK$16)),Detalle_24m!CK$16,INDEX(Vol_V,3,CK$170)/12)*(1+V_dVol),0))</f>
        <v>0</v>
      </c>
      <c r="CL179" s="48" t="n">
        <f aca="false">IF(CL$8=1,N(Reales!CL14),IF(CL$171=1,IF(AND(AND(85&gt;Corte,85&lt;=Corte+n_Ventana),ISNUMBER(Detalle_24m!CL$16)),Detalle_24m!CL$16,INDEX(Vol_V,3,CL$170)/12)*(1+V_dVol),0))</f>
        <v>0</v>
      </c>
      <c r="CM179" s="48" t="n">
        <f aca="false">IF(CM$8=1,N(Reales!CM14),IF(CM$171=1,IF(AND(AND(86&gt;Corte,86&lt;=Corte+n_Ventana),ISNUMBER(Detalle_24m!CM$16)),Detalle_24m!CM$16,INDEX(Vol_V,3,CM$170)/12)*(1+V_dVol),0))</f>
        <v>0</v>
      </c>
      <c r="CN179" s="48" t="n">
        <f aca="false">IF(CN$8=1,N(Reales!CN14),IF(CN$171=1,IF(AND(AND(87&gt;Corte,87&lt;=Corte+n_Ventana),ISNUMBER(Detalle_24m!CN$16)),Detalle_24m!CN$16,INDEX(Vol_V,3,CN$170)/12)*(1+V_dVol),0))</f>
        <v>0</v>
      </c>
      <c r="CO179" s="48" t="n">
        <f aca="false">IF(CO$8=1,N(Reales!CO14),IF(CO$171=1,IF(AND(AND(88&gt;Corte,88&lt;=Corte+n_Ventana),ISNUMBER(Detalle_24m!CO$16)),Detalle_24m!CO$16,INDEX(Vol_V,3,CO$170)/12)*(1+V_dVol),0))</f>
        <v>0</v>
      </c>
      <c r="CP179" s="48" t="n">
        <f aca="false">IF(CP$8=1,N(Reales!CP14),IF(CP$171=1,IF(AND(AND(89&gt;Corte,89&lt;=Corte+n_Ventana),ISNUMBER(Detalle_24m!CP$16)),Detalle_24m!CP$16,INDEX(Vol_V,3,CP$170)/12)*(1+V_dVol),0))</f>
        <v>0</v>
      </c>
      <c r="CQ179" s="48" t="n">
        <f aca="false">IF(CQ$8=1,N(Reales!CQ14),IF(CQ$171=1,IF(AND(AND(90&gt;Corte,90&lt;=Corte+n_Ventana),ISNUMBER(Detalle_24m!CQ$16)),Detalle_24m!CQ$16,INDEX(Vol_V,3,CQ$170)/12)*(1+V_dVol),0))</f>
        <v>0</v>
      </c>
      <c r="CR179" s="48" t="n">
        <f aca="false">IF(CR$8=1,N(Reales!CR14),IF(CR$171=1,IF(AND(AND(91&gt;Corte,91&lt;=Corte+n_Ventana),ISNUMBER(Detalle_24m!CR$16)),Detalle_24m!CR$16,INDEX(Vol_V,3,CR$170)/12)*(1+V_dVol),0))</f>
        <v>0</v>
      </c>
      <c r="CS179" s="48" t="n">
        <f aca="false">IF(CS$8=1,N(Reales!CS14),IF(CS$171=1,IF(AND(AND(92&gt;Corte,92&lt;=Corte+n_Ventana),ISNUMBER(Detalle_24m!CS$16)),Detalle_24m!CS$16,INDEX(Vol_V,3,CS$170)/12)*(1+V_dVol),0))</f>
        <v>0</v>
      </c>
      <c r="CT179" s="48" t="n">
        <f aca="false">IF(CT$8=1,N(Reales!CT14),IF(CT$171=1,IF(AND(AND(93&gt;Corte,93&lt;=Corte+n_Ventana),ISNUMBER(Detalle_24m!CT$16)),Detalle_24m!CT$16,INDEX(Vol_V,3,CT$170)/12)*(1+V_dVol),0))</f>
        <v>0</v>
      </c>
      <c r="CU179" s="48" t="n">
        <f aca="false">IF(CU$8=1,N(Reales!CU14),IF(CU$171=1,IF(AND(AND(94&gt;Corte,94&lt;=Corte+n_Ventana),ISNUMBER(Detalle_24m!CU$16)),Detalle_24m!CU$16,INDEX(Vol_V,3,CU$170)/12)*(1+V_dVol),0))</f>
        <v>0</v>
      </c>
      <c r="CV179" s="48" t="n">
        <f aca="false">IF(CV$8=1,N(Reales!CV14),IF(CV$171=1,IF(AND(AND(95&gt;Corte,95&lt;=Corte+n_Ventana),ISNUMBER(Detalle_24m!CV$16)),Detalle_24m!CV$16,INDEX(Vol_V,3,CV$170)/12)*(1+V_dVol),0))</f>
        <v>0</v>
      </c>
      <c r="CW179" s="48" t="n">
        <f aca="false">IF(CW$8=1,N(Reales!CW14),IF(CW$171=1,IF(AND(AND(96&gt;Corte,96&lt;=Corte+n_Ventana),ISNUMBER(Detalle_24m!CW$16)),Detalle_24m!CW$16,INDEX(Vol_V,3,CW$170)/12)*(1+V_dVol),0))</f>
        <v>0</v>
      </c>
      <c r="CX179" s="48" t="n">
        <f aca="false">IF(CX$8=1,N(Reales!CX14),IF(CX$171=1,IF(AND(AND(97&gt;Corte,97&lt;=Corte+n_Ventana),ISNUMBER(Detalle_24m!CX$16)),Detalle_24m!CX$16,INDEX(Vol_V,3,CX$170)/12)*(1+V_dVol),0))</f>
        <v>0</v>
      </c>
      <c r="CY179" s="48" t="n">
        <f aca="false">IF(CY$8=1,N(Reales!CY14),IF(CY$171=1,IF(AND(AND(98&gt;Corte,98&lt;=Corte+n_Ventana),ISNUMBER(Detalle_24m!CY$16)),Detalle_24m!CY$16,INDEX(Vol_V,3,CY$170)/12)*(1+V_dVol),0))</f>
        <v>0</v>
      </c>
      <c r="CZ179" s="48" t="n">
        <f aca="false">IF(CZ$8=1,N(Reales!CZ14),IF(CZ$171=1,IF(AND(AND(99&gt;Corte,99&lt;=Corte+n_Ventana),ISNUMBER(Detalle_24m!CZ$16)),Detalle_24m!CZ$16,INDEX(Vol_V,3,CZ$170)/12)*(1+V_dVol),0))</f>
        <v>0</v>
      </c>
      <c r="DA179" s="48" t="n">
        <f aca="false">IF(DA$8=1,N(Reales!DA14),IF(DA$171=1,IF(AND(AND(100&gt;Corte,100&lt;=Corte+n_Ventana),ISNUMBER(Detalle_24m!DA$16)),Detalle_24m!DA$16,INDEX(Vol_V,3,DA$170)/12)*(1+V_dVol),0))</f>
        <v>0</v>
      </c>
      <c r="DB179" s="48" t="n">
        <f aca="false">IF(DB$8=1,N(Reales!DB14),IF(DB$171=1,IF(AND(AND(101&gt;Corte,101&lt;=Corte+n_Ventana),ISNUMBER(Detalle_24m!DB$16)),Detalle_24m!DB$16,INDEX(Vol_V,3,DB$170)/12)*(1+V_dVol),0))</f>
        <v>0</v>
      </c>
      <c r="DC179" s="48" t="n">
        <f aca="false">IF(DC$8=1,N(Reales!DC14),IF(DC$171=1,IF(AND(AND(102&gt;Corte,102&lt;=Corte+n_Ventana),ISNUMBER(Detalle_24m!DC$16)),Detalle_24m!DC$16,INDEX(Vol_V,3,DC$170)/12)*(1+V_dVol),0))</f>
        <v>0</v>
      </c>
      <c r="DD179" s="48" t="n">
        <f aca="false">IF(DD$8=1,N(Reales!DD14),IF(DD$171=1,IF(AND(AND(103&gt;Corte,103&lt;=Corte+n_Ventana),ISNUMBER(Detalle_24m!DD$16)),Detalle_24m!DD$16,INDEX(Vol_V,3,DD$170)/12)*(1+V_dVol),0))</f>
        <v>0</v>
      </c>
      <c r="DE179" s="48" t="n">
        <f aca="false">IF(DE$8=1,N(Reales!DE14),IF(DE$171=1,IF(AND(AND(104&gt;Corte,104&lt;=Corte+n_Ventana),ISNUMBER(Detalle_24m!DE$16)),Detalle_24m!DE$16,INDEX(Vol_V,3,DE$170)/12)*(1+V_dVol),0))</f>
        <v>0</v>
      </c>
      <c r="DF179" s="48" t="n">
        <f aca="false">IF(DF$8=1,N(Reales!DF14),IF(DF$171=1,IF(AND(AND(105&gt;Corte,105&lt;=Corte+n_Ventana),ISNUMBER(Detalle_24m!DF$16)),Detalle_24m!DF$16,INDEX(Vol_V,3,DF$170)/12)*(1+V_dVol),0))</f>
        <v>0</v>
      </c>
      <c r="DG179" s="48" t="n">
        <f aca="false">IF(DG$8=1,N(Reales!DG14),IF(DG$171=1,IF(AND(AND(106&gt;Corte,106&lt;=Corte+n_Ventana),ISNUMBER(Detalle_24m!DG$16)),Detalle_24m!DG$16,INDEX(Vol_V,3,DG$170)/12)*(1+V_dVol),0))</f>
        <v>0</v>
      </c>
      <c r="DH179" s="48" t="n">
        <f aca="false">IF(DH$8=1,N(Reales!DH14),IF(DH$171=1,IF(AND(AND(107&gt;Corte,107&lt;=Corte+n_Ventana),ISNUMBER(Detalle_24m!DH$16)),Detalle_24m!DH$16,INDEX(Vol_V,3,DH$170)/12)*(1+V_dVol),0))</f>
        <v>0</v>
      </c>
      <c r="DI179" s="48" t="n">
        <f aca="false">IF(DI$8=1,N(Reales!DI14),IF(DI$171=1,IF(AND(AND(108&gt;Corte,108&lt;=Corte+n_Ventana),ISNUMBER(Detalle_24m!DI$16)),Detalle_24m!DI$16,INDEX(Vol_V,3,DI$170)/12)*(1+V_dVol),0))</f>
        <v>0</v>
      </c>
      <c r="DJ179" s="48" t="n">
        <f aca="false">IF(DJ$8=1,N(Reales!DJ14),IF(DJ$171=1,IF(AND(AND(109&gt;Corte,109&lt;=Corte+n_Ventana),ISNUMBER(Detalle_24m!DJ$16)),Detalle_24m!DJ$16,INDEX(Vol_V,3,DJ$170)/12)*(1+V_dVol),0))</f>
        <v>0</v>
      </c>
      <c r="DK179" s="48" t="n">
        <f aca="false">IF(DK$8=1,N(Reales!DK14),IF(DK$171=1,IF(AND(AND(110&gt;Corte,110&lt;=Corte+n_Ventana),ISNUMBER(Detalle_24m!DK$16)),Detalle_24m!DK$16,INDEX(Vol_V,3,DK$170)/12)*(1+V_dVol),0))</f>
        <v>0</v>
      </c>
      <c r="DL179" s="48" t="n">
        <f aca="false">IF(DL$8=1,N(Reales!DL14),IF(DL$171=1,IF(AND(AND(111&gt;Corte,111&lt;=Corte+n_Ventana),ISNUMBER(Detalle_24m!DL$16)),Detalle_24m!DL$16,INDEX(Vol_V,3,DL$170)/12)*(1+V_dVol),0))</f>
        <v>0</v>
      </c>
      <c r="DM179" s="48" t="n">
        <f aca="false">IF(DM$8=1,N(Reales!DM14),IF(DM$171=1,IF(AND(AND(112&gt;Corte,112&lt;=Corte+n_Ventana),ISNUMBER(Detalle_24m!DM$16)),Detalle_24m!DM$16,INDEX(Vol_V,3,DM$170)/12)*(1+V_dVol),0))</f>
        <v>0</v>
      </c>
      <c r="DN179" s="48" t="n">
        <f aca="false">IF(DN$8=1,N(Reales!DN14),IF(DN$171=1,IF(AND(AND(113&gt;Corte,113&lt;=Corte+n_Ventana),ISNUMBER(Detalle_24m!DN$16)),Detalle_24m!DN$16,INDEX(Vol_V,3,DN$170)/12)*(1+V_dVol),0))</f>
        <v>0</v>
      </c>
      <c r="DO179" s="48" t="n">
        <f aca="false">IF(DO$8=1,N(Reales!DO14),IF(DO$171=1,IF(AND(AND(114&gt;Corte,114&lt;=Corte+n_Ventana),ISNUMBER(Detalle_24m!DO$16)),Detalle_24m!DO$16,INDEX(Vol_V,3,DO$170)/12)*(1+V_dVol),0))</f>
        <v>0</v>
      </c>
      <c r="DP179" s="48" t="n">
        <f aca="false">IF(DP$8=1,N(Reales!DP14),IF(DP$171=1,IF(AND(AND(115&gt;Corte,115&lt;=Corte+n_Ventana),ISNUMBER(Detalle_24m!DP$16)),Detalle_24m!DP$16,INDEX(Vol_V,3,DP$170)/12)*(1+V_dVol),0))</f>
        <v>0</v>
      </c>
      <c r="DQ179" s="48" t="n">
        <f aca="false">IF(DQ$8=1,N(Reales!DQ14),IF(DQ$171=1,IF(AND(AND(116&gt;Corte,116&lt;=Corte+n_Ventana),ISNUMBER(Detalle_24m!DQ$16)),Detalle_24m!DQ$16,INDEX(Vol_V,3,DQ$170)/12)*(1+V_dVol),0))</f>
        <v>0</v>
      </c>
      <c r="DR179" s="48" t="n">
        <f aca="false">IF(DR$8=1,N(Reales!DR14),IF(DR$171=1,IF(AND(AND(117&gt;Corte,117&lt;=Corte+n_Ventana),ISNUMBER(Detalle_24m!DR$16)),Detalle_24m!DR$16,INDEX(Vol_V,3,DR$170)/12)*(1+V_dVol),0))</f>
        <v>0</v>
      </c>
      <c r="DS179" s="48" t="n">
        <f aca="false">IF(DS$8=1,N(Reales!DS14),IF(DS$171=1,IF(AND(AND(118&gt;Corte,118&lt;=Corte+n_Ventana),ISNUMBER(Detalle_24m!DS$16)),Detalle_24m!DS$16,INDEX(Vol_V,3,DS$170)/12)*(1+V_dVol),0))</f>
        <v>0</v>
      </c>
      <c r="DT179" s="48" t="n">
        <f aca="false">IF(DT$8=1,N(Reales!DT14),IF(DT$171=1,IF(AND(AND(119&gt;Corte,119&lt;=Corte+n_Ventana),ISNUMBER(Detalle_24m!DT$16)),Detalle_24m!DT$16,INDEX(Vol_V,3,DT$170)/12)*(1+V_dVol),0))</f>
        <v>0</v>
      </c>
      <c r="DU179" s="48" t="n">
        <f aca="false">IF(DU$8=1,N(Reales!DU14),IF(DU$171=1,IF(AND(AND(120&gt;Corte,120&lt;=Corte+n_Ventana),ISNUMBER(Detalle_24m!DU$16)),Detalle_24m!DU$16,INDEX(Vol_V,3,DU$170)/12)*(1+V_dVol),0))</f>
        <v>0</v>
      </c>
      <c r="DV179" s="48" t="n">
        <f aca="false">IF(DV$8=1,N(Reales!DV14),IF(DV$171=1,IF(AND(AND(121&gt;Corte,121&lt;=Corte+n_Ventana),ISNUMBER(Detalle_24m!DV$16)),Detalle_24m!DV$16,INDEX(Vol_V,3,DV$170)/12)*(1+V_dVol),0))</f>
        <v>0</v>
      </c>
      <c r="DW179" s="48" t="n">
        <f aca="false">IF(DW$8=1,N(Reales!DW14),IF(DW$171=1,IF(AND(AND(122&gt;Corte,122&lt;=Corte+n_Ventana),ISNUMBER(Detalle_24m!DW$16)),Detalle_24m!DW$16,INDEX(Vol_V,3,DW$170)/12)*(1+V_dVol),0))</f>
        <v>0</v>
      </c>
      <c r="DX179" s="48" t="n">
        <f aca="false">IF(DX$8=1,N(Reales!DX14),IF(DX$171=1,IF(AND(AND(123&gt;Corte,123&lt;=Corte+n_Ventana),ISNUMBER(Detalle_24m!DX$16)),Detalle_24m!DX$16,INDEX(Vol_V,3,DX$170)/12)*(1+V_dVol),0))</f>
        <v>0</v>
      </c>
      <c r="DY179" s="48" t="n">
        <f aca="false">IF(DY$8=1,N(Reales!DY14),IF(DY$171=1,IF(AND(AND(124&gt;Corte,124&lt;=Corte+n_Ventana),ISNUMBER(Detalle_24m!DY$16)),Detalle_24m!DY$16,INDEX(Vol_V,3,DY$170)/12)*(1+V_dVol),0))</f>
        <v>0</v>
      </c>
      <c r="DZ179" s="48" t="n">
        <f aca="false">IF(DZ$8=1,N(Reales!DZ14),IF(DZ$171=1,IF(AND(AND(125&gt;Corte,125&lt;=Corte+n_Ventana),ISNUMBER(Detalle_24m!DZ$16)),Detalle_24m!DZ$16,INDEX(Vol_V,3,DZ$170)/12)*(1+V_dVol),0))</f>
        <v>0</v>
      </c>
      <c r="EA179" s="48" t="n">
        <f aca="false">IF(EA$8=1,N(Reales!EA14),IF(EA$171=1,IF(AND(AND(126&gt;Corte,126&lt;=Corte+n_Ventana),ISNUMBER(Detalle_24m!EA$16)),Detalle_24m!EA$16,INDEX(Vol_V,3,EA$170)/12)*(1+V_dVol),0))</f>
        <v>0</v>
      </c>
      <c r="EB179" s="48" t="n">
        <f aca="false">IF(EB$8=1,N(Reales!EB14),IF(EB$171=1,IF(AND(AND(127&gt;Corte,127&lt;=Corte+n_Ventana),ISNUMBER(Detalle_24m!EB$16)),Detalle_24m!EB$16,INDEX(Vol_V,3,EB$170)/12)*(1+V_dVol),0))</f>
        <v>0</v>
      </c>
      <c r="EC179" s="48" t="n">
        <f aca="false">IF(EC$8=1,N(Reales!EC14),IF(EC$171=1,IF(AND(AND(128&gt;Corte,128&lt;=Corte+n_Ventana),ISNUMBER(Detalle_24m!EC$16)),Detalle_24m!EC$16,INDEX(Vol_V,3,EC$170)/12)*(1+V_dVol),0))</f>
        <v>0</v>
      </c>
      <c r="ED179" s="48" t="n">
        <f aca="false">IF(ED$8=1,N(Reales!ED14),IF(ED$171=1,IF(AND(AND(129&gt;Corte,129&lt;=Corte+n_Ventana),ISNUMBER(Detalle_24m!ED$16)),Detalle_24m!ED$16,INDEX(Vol_V,3,ED$170)/12)*(1+V_dVol),0))</f>
        <v>0</v>
      </c>
      <c r="EE179" s="48" t="n">
        <f aca="false">IF(EE$8=1,N(Reales!EE14),IF(EE$171=1,IF(AND(AND(130&gt;Corte,130&lt;=Corte+n_Ventana),ISNUMBER(Detalle_24m!EE$16)),Detalle_24m!EE$16,INDEX(Vol_V,3,EE$170)/12)*(1+V_dVol),0))</f>
        <v>0</v>
      </c>
      <c r="EF179" s="48" t="n">
        <f aca="false">IF(EF$8=1,N(Reales!EF14),IF(EF$171=1,IF(AND(AND(131&gt;Corte,131&lt;=Corte+n_Ventana),ISNUMBER(Detalle_24m!EF$16)),Detalle_24m!EF$16,INDEX(Vol_V,3,EF$170)/12)*(1+V_dVol),0))</f>
        <v>0</v>
      </c>
      <c r="EG179" s="48" t="n">
        <f aca="false">IF(EG$8=1,N(Reales!EG14),IF(EG$171=1,IF(AND(AND(132&gt;Corte,132&lt;=Corte+n_Ventana),ISNUMBER(Detalle_24m!EG$16)),Detalle_24m!EG$16,INDEX(Vol_V,3,EG$170)/12)*(1+V_dVol),0))</f>
        <v>0</v>
      </c>
      <c r="EH179" s="48" t="n">
        <f aca="false">IF(EH$8=1,N(Reales!EH14),IF(EH$171=1,IF(AND(AND(133&gt;Corte,133&lt;=Corte+n_Ventana),ISNUMBER(Detalle_24m!EH$16)),Detalle_24m!EH$16,INDEX(Vol_V,3,EH$170)/12)*(1+V_dVol),0))</f>
        <v>0</v>
      </c>
      <c r="EI179" s="48" t="n">
        <f aca="false">IF(EI$8=1,N(Reales!EI14),IF(EI$171=1,IF(AND(AND(134&gt;Corte,134&lt;=Corte+n_Ventana),ISNUMBER(Detalle_24m!EI$16)),Detalle_24m!EI$16,INDEX(Vol_V,3,EI$170)/12)*(1+V_dVol),0))</f>
        <v>0</v>
      </c>
      <c r="EJ179" s="48" t="n">
        <f aca="false">IF(EJ$8=1,N(Reales!EJ14),IF(EJ$171=1,IF(AND(AND(135&gt;Corte,135&lt;=Corte+n_Ventana),ISNUMBER(Detalle_24m!EJ$16)),Detalle_24m!EJ$16,INDEX(Vol_V,3,EJ$170)/12)*(1+V_dVol),0))</f>
        <v>0</v>
      </c>
      <c r="EK179" s="48" t="n">
        <f aca="false">IF(EK$8=1,N(Reales!EK14),IF(EK$171=1,IF(AND(AND(136&gt;Corte,136&lt;=Corte+n_Ventana),ISNUMBER(Detalle_24m!EK$16)),Detalle_24m!EK$16,INDEX(Vol_V,3,EK$170)/12)*(1+V_dVol),0))</f>
        <v>0</v>
      </c>
      <c r="EL179" s="48" t="n">
        <f aca="false">IF(EL$8=1,N(Reales!EL14),IF(EL$171=1,IF(AND(AND(137&gt;Corte,137&lt;=Corte+n_Ventana),ISNUMBER(Detalle_24m!EL$16)),Detalle_24m!EL$16,INDEX(Vol_V,3,EL$170)/12)*(1+V_dVol),0))</f>
        <v>0</v>
      </c>
      <c r="EM179" s="48" t="n">
        <f aca="false">IF(EM$8=1,N(Reales!EM14),IF(EM$171=1,IF(AND(AND(138&gt;Corte,138&lt;=Corte+n_Ventana),ISNUMBER(Detalle_24m!EM$16)),Detalle_24m!EM$16,INDEX(Vol_V,3,EM$170)/12)*(1+V_dVol),0))</f>
        <v>0</v>
      </c>
      <c r="EN179" s="48" t="n">
        <f aca="false">IF(EN$8=1,N(Reales!EN14),IF(EN$171=1,IF(AND(AND(139&gt;Corte,139&lt;=Corte+n_Ventana),ISNUMBER(Detalle_24m!EN$16)),Detalle_24m!EN$16,INDEX(Vol_V,3,EN$170)/12)*(1+V_dVol),0))</f>
        <v>0</v>
      </c>
      <c r="EO179" s="48" t="n">
        <f aca="false">IF(EO$8=1,N(Reales!EO14),IF(EO$171=1,IF(AND(AND(140&gt;Corte,140&lt;=Corte+n_Ventana),ISNUMBER(Detalle_24m!EO$16)),Detalle_24m!EO$16,INDEX(Vol_V,3,EO$170)/12)*(1+V_dVol),0))</f>
        <v>0</v>
      </c>
      <c r="EP179" s="48" t="n">
        <f aca="false">IF(EP$8=1,N(Reales!EP14),IF(EP$171=1,IF(AND(AND(141&gt;Corte,141&lt;=Corte+n_Ventana),ISNUMBER(Detalle_24m!EP$16)),Detalle_24m!EP$16,INDEX(Vol_V,3,EP$170)/12)*(1+V_dVol),0))</f>
        <v>0</v>
      </c>
      <c r="EQ179" s="48" t="n">
        <f aca="false">IF(EQ$8=1,N(Reales!EQ14),IF(EQ$171=1,IF(AND(AND(142&gt;Corte,142&lt;=Corte+n_Ventana),ISNUMBER(Detalle_24m!EQ$16)),Detalle_24m!EQ$16,INDEX(Vol_V,3,EQ$170)/12)*(1+V_dVol),0))</f>
        <v>0</v>
      </c>
      <c r="ER179" s="48" t="n">
        <f aca="false">IF(ER$8=1,N(Reales!ER14),IF(ER$171=1,IF(AND(AND(143&gt;Corte,143&lt;=Corte+n_Ventana),ISNUMBER(Detalle_24m!ER$16)),Detalle_24m!ER$16,INDEX(Vol_V,3,ER$170)/12)*(1+V_dVol),0))</f>
        <v>0</v>
      </c>
      <c r="ES179" s="48" t="n">
        <f aca="false">IF(ES$8=1,N(Reales!ES14),IF(ES$171=1,IF(AND(AND(144&gt;Corte,144&lt;=Corte+n_Ventana),ISNUMBER(Detalle_24m!ES$16)),Detalle_24m!ES$16,INDEX(Vol_V,3,ES$170)/12)*(1+V_dVol),0))</f>
        <v>0</v>
      </c>
    </row>
    <row r="180" customFormat="false" ht="15" hidden="false" customHeight="false" outlineLevel="0" collapsed="false">
      <c r="A180" s="11" t="s">
        <v>1303</v>
      </c>
      <c r="B180" s="53" t="str">
        <f aca="false">IF(INDEX(Prod_Nombre,4)="","Producto 4",INDEX(Prod_Nombre,4))&amp;" — unidades"</f>
        <v>Producto 4 — unidades</v>
      </c>
      <c r="C180" s="15" t="s">
        <v>544</v>
      </c>
      <c r="E180" s="54" t="n">
        <f aca="false">SUM(F180:ES180)</f>
        <v>0</v>
      </c>
      <c r="F180" s="48" t="n">
        <f aca="false">IF(F$8=1,N(Reales!F15),IF(F$171=1,IF(AND(AND(1&gt;Corte,1&lt;=Corte+n_Ventana),ISNUMBER(Detalle_24m!F$17)),Detalle_24m!F$17,INDEX(Vol_V,4,F$170)/12)*(1+V_dVol),0))</f>
        <v>0</v>
      </c>
      <c r="G180" s="48" t="n">
        <f aca="false">IF(G$8=1,N(Reales!G15),IF(G$171=1,IF(AND(AND(2&gt;Corte,2&lt;=Corte+n_Ventana),ISNUMBER(Detalle_24m!G$17)),Detalle_24m!G$17,INDEX(Vol_V,4,G$170)/12)*(1+V_dVol),0))</f>
        <v>0</v>
      </c>
      <c r="H180" s="48" t="n">
        <f aca="false">IF(H$8=1,N(Reales!H15),IF(H$171=1,IF(AND(AND(3&gt;Corte,3&lt;=Corte+n_Ventana),ISNUMBER(Detalle_24m!H$17)),Detalle_24m!H$17,INDEX(Vol_V,4,H$170)/12)*(1+V_dVol),0))</f>
        <v>0</v>
      </c>
      <c r="I180" s="48" t="n">
        <f aca="false">IF(I$8=1,N(Reales!I15),IF(I$171=1,IF(AND(AND(4&gt;Corte,4&lt;=Corte+n_Ventana),ISNUMBER(Detalle_24m!I$17)),Detalle_24m!I$17,INDEX(Vol_V,4,I$170)/12)*(1+V_dVol),0))</f>
        <v>0</v>
      </c>
      <c r="J180" s="48" t="n">
        <f aca="false">IF(J$8=1,N(Reales!J15),IF(J$171=1,IF(AND(AND(5&gt;Corte,5&lt;=Corte+n_Ventana),ISNUMBER(Detalle_24m!J$17)),Detalle_24m!J$17,INDEX(Vol_V,4,J$170)/12)*(1+V_dVol),0))</f>
        <v>0</v>
      </c>
      <c r="K180" s="48" t="n">
        <f aca="false">IF(K$8=1,N(Reales!K15),IF(K$171=1,IF(AND(AND(6&gt;Corte,6&lt;=Corte+n_Ventana),ISNUMBER(Detalle_24m!K$17)),Detalle_24m!K$17,INDEX(Vol_V,4,K$170)/12)*(1+V_dVol),0))</f>
        <v>0</v>
      </c>
      <c r="L180" s="48" t="n">
        <f aca="false">IF(L$8=1,N(Reales!L15),IF(L$171=1,IF(AND(AND(7&gt;Corte,7&lt;=Corte+n_Ventana),ISNUMBER(Detalle_24m!L$17)),Detalle_24m!L$17,INDEX(Vol_V,4,L$170)/12)*(1+V_dVol),0))</f>
        <v>0</v>
      </c>
      <c r="M180" s="48" t="n">
        <f aca="false">IF(M$8=1,N(Reales!M15),IF(M$171=1,IF(AND(AND(8&gt;Corte,8&lt;=Corte+n_Ventana),ISNUMBER(Detalle_24m!M$17)),Detalle_24m!M$17,INDEX(Vol_V,4,M$170)/12)*(1+V_dVol),0))</f>
        <v>0</v>
      </c>
      <c r="N180" s="48" t="n">
        <f aca="false">IF(N$8=1,N(Reales!N15),IF(N$171=1,IF(AND(AND(9&gt;Corte,9&lt;=Corte+n_Ventana),ISNUMBER(Detalle_24m!N$17)),Detalle_24m!N$17,INDEX(Vol_V,4,N$170)/12)*(1+V_dVol),0))</f>
        <v>0</v>
      </c>
      <c r="O180" s="48" t="n">
        <f aca="false">IF(O$8=1,N(Reales!O15),IF(O$171=1,IF(AND(AND(10&gt;Corte,10&lt;=Corte+n_Ventana),ISNUMBER(Detalle_24m!O$17)),Detalle_24m!O$17,INDEX(Vol_V,4,O$170)/12)*(1+V_dVol),0))</f>
        <v>0</v>
      </c>
      <c r="P180" s="48" t="n">
        <f aca="false">IF(P$8=1,N(Reales!P15),IF(P$171=1,IF(AND(AND(11&gt;Corte,11&lt;=Corte+n_Ventana),ISNUMBER(Detalle_24m!P$17)),Detalle_24m!P$17,INDEX(Vol_V,4,P$170)/12)*(1+V_dVol),0))</f>
        <v>0</v>
      </c>
      <c r="Q180" s="48" t="n">
        <f aca="false">IF(Q$8=1,N(Reales!Q15),IF(Q$171=1,IF(AND(AND(12&gt;Corte,12&lt;=Corte+n_Ventana),ISNUMBER(Detalle_24m!Q$17)),Detalle_24m!Q$17,INDEX(Vol_V,4,Q$170)/12)*(1+V_dVol),0))</f>
        <v>0</v>
      </c>
      <c r="R180" s="48" t="n">
        <f aca="false">IF(R$8=1,N(Reales!R15),IF(R$171=1,IF(AND(AND(13&gt;Corte,13&lt;=Corte+n_Ventana),ISNUMBER(Detalle_24m!R$17)),Detalle_24m!R$17,INDEX(Vol_V,4,R$170)/12)*(1+V_dVol),0))</f>
        <v>0</v>
      </c>
      <c r="S180" s="48" t="n">
        <f aca="false">IF(S$8=1,N(Reales!S15),IF(S$171=1,IF(AND(AND(14&gt;Corte,14&lt;=Corte+n_Ventana),ISNUMBER(Detalle_24m!S$17)),Detalle_24m!S$17,INDEX(Vol_V,4,S$170)/12)*(1+V_dVol),0))</f>
        <v>0</v>
      </c>
      <c r="T180" s="48" t="n">
        <f aca="false">IF(T$8=1,N(Reales!T15),IF(T$171=1,IF(AND(AND(15&gt;Corte,15&lt;=Corte+n_Ventana),ISNUMBER(Detalle_24m!T$17)),Detalle_24m!T$17,INDEX(Vol_V,4,T$170)/12)*(1+V_dVol),0))</f>
        <v>0</v>
      </c>
      <c r="U180" s="48" t="n">
        <f aca="false">IF(U$8=1,N(Reales!U15),IF(U$171=1,IF(AND(AND(16&gt;Corte,16&lt;=Corte+n_Ventana),ISNUMBER(Detalle_24m!U$17)),Detalle_24m!U$17,INDEX(Vol_V,4,U$170)/12)*(1+V_dVol),0))</f>
        <v>0</v>
      </c>
      <c r="V180" s="48" t="n">
        <f aca="false">IF(V$8=1,N(Reales!V15),IF(V$171=1,IF(AND(AND(17&gt;Corte,17&lt;=Corte+n_Ventana),ISNUMBER(Detalle_24m!V$17)),Detalle_24m!V$17,INDEX(Vol_V,4,V$170)/12)*(1+V_dVol),0))</f>
        <v>0</v>
      </c>
      <c r="W180" s="48" t="n">
        <f aca="false">IF(W$8=1,N(Reales!W15),IF(W$171=1,IF(AND(AND(18&gt;Corte,18&lt;=Corte+n_Ventana),ISNUMBER(Detalle_24m!W$17)),Detalle_24m!W$17,INDEX(Vol_V,4,W$170)/12)*(1+V_dVol),0))</f>
        <v>0</v>
      </c>
      <c r="X180" s="48" t="n">
        <f aca="false">IF(X$8=1,N(Reales!X15),IF(X$171=1,IF(AND(AND(19&gt;Corte,19&lt;=Corte+n_Ventana),ISNUMBER(Detalle_24m!X$17)),Detalle_24m!X$17,INDEX(Vol_V,4,X$170)/12)*(1+V_dVol),0))</f>
        <v>0</v>
      </c>
      <c r="Y180" s="48" t="n">
        <f aca="false">IF(Y$8=1,N(Reales!Y15),IF(Y$171=1,IF(AND(AND(20&gt;Corte,20&lt;=Corte+n_Ventana),ISNUMBER(Detalle_24m!Y$17)),Detalle_24m!Y$17,INDEX(Vol_V,4,Y$170)/12)*(1+V_dVol),0))</f>
        <v>0</v>
      </c>
      <c r="Z180" s="48" t="n">
        <f aca="false">IF(Z$8=1,N(Reales!Z15),IF(Z$171=1,IF(AND(AND(21&gt;Corte,21&lt;=Corte+n_Ventana),ISNUMBER(Detalle_24m!Z$17)),Detalle_24m!Z$17,INDEX(Vol_V,4,Z$170)/12)*(1+V_dVol),0))</f>
        <v>0</v>
      </c>
      <c r="AA180" s="48" t="n">
        <f aca="false">IF(AA$8=1,N(Reales!AA15),IF(AA$171=1,IF(AND(AND(22&gt;Corte,22&lt;=Corte+n_Ventana),ISNUMBER(Detalle_24m!AA$17)),Detalle_24m!AA$17,INDEX(Vol_V,4,AA$170)/12)*(1+V_dVol),0))</f>
        <v>0</v>
      </c>
      <c r="AB180" s="48" t="n">
        <f aca="false">IF(AB$8=1,N(Reales!AB15),IF(AB$171=1,IF(AND(AND(23&gt;Corte,23&lt;=Corte+n_Ventana),ISNUMBER(Detalle_24m!AB$17)),Detalle_24m!AB$17,INDEX(Vol_V,4,AB$170)/12)*(1+V_dVol),0))</f>
        <v>0</v>
      </c>
      <c r="AC180" s="48" t="n">
        <f aca="false">IF(AC$8=1,N(Reales!AC15),IF(AC$171=1,IF(AND(AND(24&gt;Corte,24&lt;=Corte+n_Ventana),ISNUMBER(Detalle_24m!AC$17)),Detalle_24m!AC$17,INDEX(Vol_V,4,AC$170)/12)*(1+V_dVol),0))</f>
        <v>0</v>
      </c>
      <c r="AD180" s="48" t="n">
        <f aca="false">IF(AD$8=1,N(Reales!AD15),IF(AD$171=1,IF(AND(AND(25&gt;Corte,25&lt;=Corte+n_Ventana),ISNUMBER(Detalle_24m!AD$17)),Detalle_24m!AD$17,INDEX(Vol_V,4,AD$170)/12)*(1+V_dVol),0))</f>
        <v>0</v>
      </c>
      <c r="AE180" s="48" t="n">
        <f aca="false">IF(AE$8=1,N(Reales!AE15),IF(AE$171=1,IF(AND(AND(26&gt;Corte,26&lt;=Corte+n_Ventana),ISNUMBER(Detalle_24m!AE$17)),Detalle_24m!AE$17,INDEX(Vol_V,4,AE$170)/12)*(1+V_dVol),0))</f>
        <v>0</v>
      </c>
      <c r="AF180" s="48" t="n">
        <f aca="false">IF(AF$8=1,N(Reales!AF15),IF(AF$171=1,IF(AND(AND(27&gt;Corte,27&lt;=Corte+n_Ventana),ISNUMBER(Detalle_24m!AF$17)),Detalle_24m!AF$17,INDEX(Vol_V,4,AF$170)/12)*(1+V_dVol),0))</f>
        <v>0</v>
      </c>
      <c r="AG180" s="48" t="n">
        <f aca="false">IF(AG$8=1,N(Reales!AG15),IF(AG$171=1,IF(AND(AND(28&gt;Corte,28&lt;=Corte+n_Ventana),ISNUMBER(Detalle_24m!AG$17)),Detalle_24m!AG$17,INDEX(Vol_V,4,AG$170)/12)*(1+V_dVol),0))</f>
        <v>0</v>
      </c>
      <c r="AH180" s="48" t="n">
        <f aca="false">IF(AH$8=1,N(Reales!AH15),IF(AH$171=1,IF(AND(AND(29&gt;Corte,29&lt;=Corte+n_Ventana),ISNUMBER(Detalle_24m!AH$17)),Detalle_24m!AH$17,INDEX(Vol_V,4,AH$170)/12)*(1+V_dVol),0))</f>
        <v>0</v>
      </c>
      <c r="AI180" s="48" t="n">
        <f aca="false">IF(AI$8=1,N(Reales!AI15),IF(AI$171=1,IF(AND(AND(30&gt;Corte,30&lt;=Corte+n_Ventana),ISNUMBER(Detalle_24m!AI$17)),Detalle_24m!AI$17,INDEX(Vol_V,4,AI$170)/12)*(1+V_dVol),0))</f>
        <v>0</v>
      </c>
      <c r="AJ180" s="48" t="n">
        <f aca="false">IF(AJ$8=1,N(Reales!AJ15),IF(AJ$171=1,IF(AND(AND(31&gt;Corte,31&lt;=Corte+n_Ventana),ISNUMBER(Detalle_24m!AJ$17)),Detalle_24m!AJ$17,INDEX(Vol_V,4,AJ$170)/12)*(1+V_dVol),0))</f>
        <v>0</v>
      </c>
      <c r="AK180" s="48" t="n">
        <f aca="false">IF(AK$8=1,N(Reales!AK15),IF(AK$171=1,IF(AND(AND(32&gt;Corte,32&lt;=Corte+n_Ventana),ISNUMBER(Detalle_24m!AK$17)),Detalle_24m!AK$17,INDEX(Vol_V,4,AK$170)/12)*(1+V_dVol),0))</f>
        <v>0</v>
      </c>
      <c r="AL180" s="48" t="n">
        <f aca="false">IF(AL$8=1,N(Reales!AL15),IF(AL$171=1,IF(AND(AND(33&gt;Corte,33&lt;=Corte+n_Ventana),ISNUMBER(Detalle_24m!AL$17)),Detalle_24m!AL$17,INDEX(Vol_V,4,AL$170)/12)*(1+V_dVol),0))</f>
        <v>0</v>
      </c>
      <c r="AM180" s="48" t="n">
        <f aca="false">IF(AM$8=1,N(Reales!AM15),IF(AM$171=1,IF(AND(AND(34&gt;Corte,34&lt;=Corte+n_Ventana),ISNUMBER(Detalle_24m!AM$17)),Detalle_24m!AM$17,INDEX(Vol_V,4,AM$170)/12)*(1+V_dVol),0))</f>
        <v>0</v>
      </c>
      <c r="AN180" s="48" t="n">
        <f aca="false">IF(AN$8=1,N(Reales!AN15),IF(AN$171=1,IF(AND(AND(35&gt;Corte,35&lt;=Corte+n_Ventana),ISNUMBER(Detalle_24m!AN$17)),Detalle_24m!AN$17,INDEX(Vol_V,4,AN$170)/12)*(1+V_dVol),0))</f>
        <v>0</v>
      </c>
      <c r="AO180" s="48" t="n">
        <f aca="false">IF(AO$8=1,N(Reales!AO15),IF(AO$171=1,IF(AND(AND(36&gt;Corte,36&lt;=Corte+n_Ventana),ISNUMBER(Detalle_24m!AO$17)),Detalle_24m!AO$17,INDEX(Vol_V,4,AO$170)/12)*(1+V_dVol),0))</f>
        <v>0</v>
      </c>
      <c r="AP180" s="48" t="n">
        <f aca="false">IF(AP$8=1,N(Reales!AP15),IF(AP$171=1,IF(AND(AND(37&gt;Corte,37&lt;=Corte+n_Ventana),ISNUMBER(Detalle_24m!AP$17)),Detalle_24m!AP$17,INDEX(Vol_V,4,AP$170)/12)*(1+V_dVol),0))</f>
        <v>0</v>
      </c>
      <c r="AQ180" s="48" t="n">
        <f aca="false">IF(AQ$8=1,N(Reales!AQ15),IF(AQ$171=1,IF(AND(AND(38&gt;Corte,38&lt;=Corte+n_Ventana),ISNUMBER(Detalle_24m!AQ$17)),Detalle_24m!AQ$17,INDEX(Vol_V,4,AQ$170)/12)*(1+V_dVol),0))</f>
        <v>0</v>
      </c>
      <c r="AR180" s="48" t="n">
        <f aca="false">IF(AR$8=1,N(Reales!AR15),IF(AR$171=1,IF(AND(AND(39&gt;Corte,39&lt;=Corte+n_Ventana),ISNUMBER(Detalle_24m!AR$17)),Detalle_24m!AR$17,INDEX(Vol_V,4,AR$170)/12)*(1+V_dVol),0))</f>
        <v>0</v>
      </c>
      <c r="AS180" s="48" t="n">
        <f aca="false">IF(AS$8=1,N(Reales!AS15),IF(AS$171=1,IF(AND(AND(40&gt;Corte,40&lt;=Corte+n_Ventana),ISNUMBER(Detalle_24m!AS$17)),Detalle_24m!AS$17,INDEX(Vol_V,4,AS$170)/12)*(1+V_dVol),0))</f>
        <v>0</v>
      </c>
      <c r="AT180" s="48" t="n">
        <f aca="false">IF(AT$8=1,N(Reales!AT15),IF(AT$171=1,IF(AND(AND(41&gt;Corte,41&lt;=Corte+n_Ventana),ISNUMBER(Detalle_24m!AT$17)),Detalle_24m!AT$17,INDEX(Vol_V,4,AT$170)/12)*(1+V_dVol),0))</f>
        <v>0</v>
      </c>
      <c r="AU180" s="48" t="n">
        <f aca="false">IF(AU$8=1,N(Reales!AU15),IF(AU$171=1,IF(AND(AND(42&gt;Corte,42&lt;=Corte+n_Ventana),ISNUMBER(Detalle_24m!AU$17)),Detalle_24m!AU$17,INDEX(Vol_V,4,AU$170)/12)*(1+V_dVol),0))</f>
        <v>0</v>
      </c>
      <c r="AV180" s="48" t="n">
        <f aca="false">IF(AV$8=1,N(Reales!AV15),IF(AV$171=1,IF(AND(AND(43&gt;Corte,43&lt;=Corte+n_Ventana),ISNUMBER(Detalle_24m!AV$17)),Detalle_24m!AV$17,INDEX(Vol_V,4,AV$170)/12)*(1+V_dVol),0))</f>
        <v>0</v>
      </c>
      <c r="AW180" s="48" t="n">
        <f aca="false">IF(AW$8=1,N(Reales!AW15),IF(AW$171=1,IF(AND(AND(44&gt;Corte,44&lt;=Corte+n_Ventana),ISNUMBER(Detalle_24m!AW$17)),Detalle_24m!AW$17,INDEX(Vol_V,4,AW$170)/12)*(1+V_dVol),0))</f>
        <v>0</v>
      </c>
      <c r="AX180" s="48" t="n">
        <f aca="false">IF(AX$8=1,N(Reales!AX15),IF(AX$171=1,IF(AND(AND(45&gt;Corte,45&lt;=Corte+n_Ventana),ISNUMBER(Detalle_24m!AX$17)),Detalle_24m!AX$17,INDEX(Vol_V,4,AX$170)/12)*(1+V_dVol),0))</f>
        <v>0</v>
      </c>
      <c r="AY180" s="48" t="n">
        <f aca="false">IF(AY$8=1,N(Reales!AY15),IF(AY$171=1,IF(AND(AND(46&gt;Corte,46&lt;=Corte+n_Ventana),ISNUMBER(Detalle_24m!AY$17)),Detalle_24m!AY$17,INDEX(Vol_V,4,AY$170)/12)*(1+V_dVol),0))</f>
        <v>0</v>
      </c>
      <c r="AZ180" s="48" t="n">
        <f aca="false">IF(AZ$8=1,N(Reales!AZ15),IF(AZ$171=1,IF(AND(AND(47&gt;Corte,47&lt;=Corte+n_Ventana),ISNUMBER(Detalle_24m!AZ$17)),Detalle_24m!AZ$17,INDEX(Vol_V,4,AZ$170)/12)*(1+V_dVol),0))</f>
        <v>0</v>
      </c>
      <c r="BA180" s="48" t="n">
        <f aca="false">IF(BA$8=1,N(Reales!BA15),IF(BA$171=1,IF(AND(AND(48&gt;Corte,48&lt;=Corte+n_Ventana),ISNUMBER(Detalle_24m!BA$17)),Detalle_24m!BA$17,INDEX(Vol_V,4,BA$170)/12)*(1+V_dVol),0))</f>
        <v>0</v>
      </c>
      <c r="BB180" s="48" t="n">
        <f aca="false">IF(BB$8=1,N(Reales!BB15),IF(BB$171=1,IF(AND(AND(49&gt;Corte,49&lt;=Corte+n_Ventana),ISNUMBER(Detalle_24m!BB$17)),Detalle_24m!BB$17,INDEX(Vol_V,4,BB$170)/12)*(1+V_dVol),0))</f>
        <v>0</v>
      </c>
      <c r="BC180" s="48" t="n">
        <f aca="false">IF(BC$8=1,N(Reales!BC15),IF(BC$171=1,IF(AND(AND(50&gt;Corte,50&lt;=Corte+n_Ventana),ISNUMBER(Detalle_24m!BC$17)),Detalle_24m!BC$17,INDEX(Vol_V,4,BC$170)/12)*(1+V_dVol),0))</f>
        <v>0</v>
      </c>
      <c r="BD180" s="48" t="n">
        <f aca="false">IF(BD$8=1,N(Reales!BD15),IF(BD$171=1,IF(AND(AND(51&gt;Corte,51&lt;=Corte+n_Ventana),ISNUMBER(Detalle_24m!BD$17)),Detalle_24m!BD$17,INDEX(Vol_V,4,BD$170)/12)*(1+V_dVol),0))</f>
        <v>0</v>
      </c>
      <c r="BE180" s="48" t="n">
        <f aca="false">IF(BE$8=1,N(Reales!BE15),IF(BE$171=1,IF(AND(AND(52&gt;Corte,52&lt;=Corte+n_Ventana),ISNUMBER(Detalle_24m!BE$17)),Detalle_24m!BE$17,INDEX(Vol_V,4,BE$170)/12)*(1+V_dVol),0))</f>
        <v>0</v>
      </c>
      <c r="BF180" s="48" t="n">
        <f aca="false">IF(BF$8=1,N(Reales!BF15),IF(BF$171=1,IF(AND(AND(53&gt;Corte,53&lt;=Corte+n_Ventana),ISNUMBER(Detalle_24m!BF$17)),Detalle_24m!BF$17,INDEX(Vol_V,4,BF$170)/12)*(1+V_dVol),0))</f>
        <v>0</v>
      </c>
      <c r="BG180" s="48" t="n">
        <f aca="false">IF(BG$8=1,N(Reales!BG15),IF(BG$171=1,IF(AND(AND(54&gt;Corte,54&lt;=Corte+n_Ventana),ISNUMBER(Detalle_24m!BG$17)),Detalle_24m!BG$17,INDEX(Vol_V,4,BG$170)/12)*(1+V_dVol),0))</f>
        <v>0</v>
      </c>
      <c r="BH180" s="48" t="n">
        <f aca="false">IF(BH$8=1,N(Reales!BH15),IF(BH$171=1,IF(AND(AND(55&gt;Corte,55&lt;=Corte+n_Ventana),ISNUMBER(Detalle_24m!BH$17)),Detalle_24m!BH$17,INDEX(Vol_V,4,BH$170)/12)*(1+V_dVol),0))</f>
        <v>0</v>
      </c>
      <c r="BI180" s="48" t="n">
        <f aca="false">IF(BI$8=1,N(Reales!BI15),IF(BI$171=1,IF(AND(AND(56&gt;Corte,56&lt;=Corte+n_Ventana),ISNUMBER(Detalle_24m!BI$17)),Detalle_24m!BI$17,INDEX(Vol_V,4,BI$170)/12)*(1+V_dVol),0))</f>
        <v>0</v>
      </c>
      <c r="BJ180" s="48" t="n">
        <f aca="false">IF(BJ$8=1,N(Reales!BJ15),IF(BJ$171=1,IF(AND(AND(57&gt;Corte,57&lt;=Corte+n_Ventana),ISNUMBER(Detalle_24m!BJ$17)),Detalle_24m!BJ$17,INDEX(Vol_V,4,BJ$170)/12)*(1+V_dVol),0))</f>
        <v>0</v>
      </c>
      <c r="BK180" s="48" t="n">
        <f aca="false">IF(BK$8=1,N(Reales!BK15),IF(BK$171=1,IF(AND(AND(58&gt;Corte,58&lt;=Corte+n_Ventana),ISNUMBER(Detalle_24m!BK$17)),Detalle_24m!BK$17,INDEX(Vol_V,4,BK$170)/12)*(1+V_dVol),0))</f>
        <v>0</v>
      </c>
      <c r="BL180" s="48" t="n">
        <f aca="false">IF(BL$8=1,N(Reales!BL15),IF(BL$171=1,IF(AND(AND(59&gt;Corte,59&lt;=Corte+n_Ventana),ISNUMBER(Detalle_24m!BL$17)),Detalle_24m!BL$17,INDEX(Vol_V,4,BL$170)/12)*(1+V_dVol),0))</f>
        <v>0</v>
      </c>
      <c r="BM180" s="48" t="n">
        <f aca="false">IF(BM$8=1,N(Reales!BM15),IF(BM$171=1,IF(AND(AND(60&gt;Corte,60&lt;=Corte+n_Ventana),ISNUMBER(Detalle_24m!BM$17)),Detalle_24m!BM$17,INDEX(Vol_V,4,BM$170)/12)*(1+V_dVol),0))</f>
        <v>0</v>
      </c>
      <c r="BN180" s="48" t="n">
        <f aca="false">IF(BN$8=1,N(Reales!BN15),IF(BN$171=1,IF(AND(AND(61&gt;Corte,61&lt;=Corte+n_Ventana),ISNUMBER(Detalle_24m!BN$17)),Detalle_24m!BN$17,INDEX(Vol_V,4,BN$170)/12)*(1+V_dVol),0))</f>
        <v>0</v>
      </c>
      <c r="BO180" s="48" t="n">
        <f aca="false">IF(BO$8=1,N(Reales!BO15),IF(BO$171=1,IF(AND(AND(62&gt;Corte,62&lt;=Corte+n_Ventana),ISNUMBER(Detalle_24m!BO$17)),Detalle_24m!BO$17,INDEX(Vol_V,4,BO$170)/12)*(1+V_dVol),0))</f>
        <v>0</v>
      </c>
      <c r="BP180" s="48" t="n">
        <f aca="false">IF(BP$8=1,N(Reales!BP15),IF(BP$171=1,IF(AND(AND(63&gt;Corte,63&lt;=Corte+n_Ventana),ISNUMBER(Detalle_24m!BP$17)),Detalle_24m!BP$17,INDEX(Vol_V,4,BP$170)/12)*(1+V_dVol),0))</f>
        <v>0</v>
      </c>
      <c r="BQ180" s="48" t="n">
        <f aca="false">IF(BQ$8=1,N(Reales!BQ15),IF(BQ$171=1,IF(AND(AND(64&gt;Corte,64&lt;=Corte+n_Ventana),ISNUMBER(Detalle_24m!BQ$17)),Detalle_24m!BQ$17,INDEX(Vol_V,4,BQ$170)/12)*(1+V_dVol),0))</f>
        <v>0</v>
      </c>
      <c r="BR180" s="48" t="n">
        <f aca="false">IF(BR$8=1,N(Reales!BR15),IF(BR$171=1,IF(AND(AND(65&gt;Corte,65&lt;=Corte+n_Ventana),ISNUMBER(Detalle_24m!BR$17)),Detalle_24m!BR$17,INDEX(Vol_V,4,BR$170)/12)*(1+V_dVol),0))</f>
        <v>0</v>
      </c>
      <c r="BS180" s="48" t="n">
        <f aca="false">IF(BS$8=1,N(Reales!BS15),IF(BS$171=1,IF(AND(AND(66&gt;Corte,66&lt;=Corte+n_Ventana),ISNUMBER(Detalle_24m!BS$17)),Detalle_24m!BS$17,INDEX(Vol_V,4,BS$170)/12)*(1+V_dVol),0))</f>
        <v>0</v>
      </c>
      <c r="BT180" s="48" t="n">
        <f aca="false">IF(BT$8=1,N(Reales!BT15),IF(BT$171=1,IF(AND(AND(67&gt;Corte,67&lt;=Corte+n_Ventana),ISNUMBER(Detalle_24m!BT$17)),Detalle_24m!BT$17,INDEX(Vol_V,4,BT$170)/12)*(1+V_dVol),0))</f>
        <v>0</v>
      </c>
      <c r="BU180" s="48" t="n">
        <f aca="false">IF(BU$8=1,N(Reales!BU15),IF(BU$171=1,IF(AND(AND(68&gt;Corte,68&lt;=Corte+n_Ventana),ISNUMBER(Detalle_24m!BU$17)),Detalle_24m!BU$17,INDEX(Vol_V,4,BU$170)/12)*(1+V_dVol),0))</f>
        <v>0</v>
      </c>
      <c r="BV180" s="48" t="n">
        <f aca="false">IF(BV$8=1,N(Reales!BV15),IF(BV$171=1,IF(AND(AND(69&gt;Corte,69&lt;=Corte+n_Ventana),ISNUMBER(Detalle_24m!BV$17)),Detalle_24m!BV$17,INDEX(Vol_V,4,BV$170)/12)*(1+V_dVol),0))</f>
        <v>0</v>
      </c>
      <c r="BW180" s="48" t="n">
        <f aca="false">IF(BW$8=1,N(Reales!BW15),IF(BW$171=1,IF(AND(AND(70&gt;Corte,70&lt;=Corte+n_Ventana),ISNUMBER(Detalle_24m!BW$17)),Detalle_24m!BW$17,INDEX(Vol_V,4,BW$170)/12)*(1+V_dVol),0))</f>
        <v>0</v>
      </c>
      <c r="BX180" s="48" t="n">
        <f aca="false">IF(BX$8=1,N(Reales!BX15),IF(BX$171=1,IF(AND(AND(71&gt;Corte,71&lt;=Corte+n_Ventana),ISNUMBER(Detalle_24m!BX$17)),Detalle_24m!BX$17,INDEX(Vol_V,4,BX$170)/12)*(1+V_dVol),0))</f>
        <v>0</v>
      </c>
      <c r="BY180" s="48" t="n">
        <f aca="false">IF(BY$8=1,N(Reales!BY15),IF(BY$171=1,IF(AND(AND(72&gt;Corte,72&lt;=Corte+n_Ventana),ISNUMBER(Detalle_24m!BY$17)),Detalle_24m!BY$17,INDEX(Vol_V,4,BY$170)/12)*(1+V_dVol),0))</f>
        <v>0</v>
      </c>
      <c r="BZ180" s="48" t="n">
        <f aca="false">IF(BZ$8=1,N(Reales!BZ15),IF(BZ$171=1,IF(AND(AND(73&gt;Corte,73&lt;=Corte+n_Ventana),ISNUMBER(Detalle_24m!BZ$17)),Detalle_24m!BZ$17,INDEX(Vol_V,4,BZ$170)/12)*(1+V_dVol),0))</f>
        <v>0</v>
      </c>
      <c r="CA180" s="48" t="n">
        <f aca="false">IF(CA$8=1,N(Reales!CA15),IF(CA$171=1,IF(AND(AND(74&gt;Corte,74&lt;=Corte+n_Ventana),ISNUMBER(Detalle_24m!CA$17)),Detalle_24m!CA$17,INDEX(Vol_V,4,CA$170)/12)*(1+V_dVol),0))</f>
        <v>0</v>
      </c>
      <c r="CB180" s="48" t="n">
        <f aca="false">IF(CB$8=1,N(Reales!CB15),IF(CB$171=1,IF(AND(AND(75&gt;Corte,75&lt;=Corte+n_Ventana),ISNUMBER(Detalle_24m!CB$17)),Detalle_24m!CB$17,INDEX(Vol_V,4,CB$170)/12)*(1+V_dVol),0))</f>
        <v>0</v>
      </c>
      <c r="CC180" s="48" t="n">
        <f aca="false">IF(CC$8=1,N(Reales!CC15),IF(CC$171=1,IF(AND(AND(76&gt;Corte,76&lt;=Corte+n_Ventana),ISNUMBER(Detalle_24m!CC$17)),Detalle_24m!CC$17,INDEX(Vol_V,4,CC$170)/12)*(1+V_dVol),0))</f>
        <v>0</v>
      </c>
      <c r="CD180" s="48" t="n">
        <f aca="false">IF(CD$8=1,N(Reales!CD15),IF(CD$171=1,IF(AND(AND(77&gt;Corte,77&lt;=Corte+n_Ventana),ISNUMBER(Detalle_24m!CD$17)),Detalle_24m!CD$17,INDEX(Vol_V,4,CD$170)/12)*(1+V_dVol),0))</f>
        <v>0</v>
      </c>
      <c r="CE180" s="48" t="n">
        <f aca="false">IF(CE$8=1,N(Reales!CE15),IF(CE$171=1,IF(AND(AND(78&gt;Corte,78&lt;=Corte+n_Ventana),ISNUMBER(Detalle_24m!CE$17)),Detalle_24m!CE$17,INDEX(Vol_V,4,CE$170)/12)*(1+V_dVol),0))</f>
        <v>0</v>
      </c>
      <c r="CF180" s="48" t="n">
        <f aca="false">IF(CF$8=1,N(Reales!CF15),IF(CF$171=1,IF(AND(AND(79&gt;Corte,79&lt;=Corte+n_Ventana),ISNUMBER(Detalle_24m!CF$17)),Detalle_24m!CF$17,INDEX(Vol_V,4,CF$170)/12)*(1+V_dVol),0))</f>
        <v>0</v>
      </c>
      <c r="CG180" s="48" t="n">
        <f aca="false">IF(CG$8=1,N(Reales!CG15),IF(CG$171=1,IF(AND(AND(80&gt;Corte,80&lt;=Corte+n_Ventana),ISNUMBER(Detalle_24m!CG$17)),Detalle_24m!CG$17,INDEX(Vol_V,4,CG$170)/12)*(1+V_dVol),0))</f>
        <v>0</v>
      </c>
      <c r="CH180" s="48" t="n">
        <f aca="false">IF(CH$8=1,N(Reales!CH15),IF(CH$171=1,IF(AND(AND(81&gt;Corte,81&lt;=Corte+n_Ventana),ISNUMBER(Detalle_24m!CH$17)),Detalle_24m!CH$17,INDEX(Vol_V,4,CH$170)/12)*(1+V_dVol),0))</f>
        <v>0</v>
      </c>
      <c r="CI180" s="48" t="n">
        <f aca="false">IF(CI$8=1,N(Reales!CI15),IF(CI$171=1,IF(AND(AND(82&gt;Corte,82&lt;=Corte+n_Ventana),ISNUMBER(Detalle_24m!CI$17)),Detalle_24m!CI$17,INDEX(Vol_V,4,CI$170)/12)*(1+V_dVol),0))</f>
        <v>0</v>
      </c>
      <c r="CJ180" s="48" t="n">
        <f aca="false">IF(CJ$8=1,N(Reales!CJ15),IF(CJ$171=1,IF(AND(AND(83&gt;Corte,83&lt;=Corte+n_Ventana),ISNUMBER(Detalle_24m!CJ$17)),Detalle_24m!CJ$17,INDEX(Vol_V,4,CJ$170)/12)*(1+V_dVol),0))</f>
        <v>0</v>
      </c>
      <c r="CK180" s="48" t="n">
        <f aca="false">IF(CK$8=1,N(Reales!CK15),IF(CK$171=1,IF(AND(AND(84&gt;Corte,84&lt;=Corte+n_Ventana),ISNUMBER(Detalle_24m!CK$17)),Detalle_24m!CK$17,INDEX(Vol_V,4,CK$170)/12)*(1+V_dVol),0))</f>
        <v>0</v>
      </c>
      <c r="CL180" s="48" t="n">
        <f aca="false">IF(CL$8=1,N(Reales!CL15),IF(CL$171=1,IF(AND(AND(85&gt;Corte,85&lt;=Corte+n_Ventana),ISNUMBER(Detalle_24m!CL$17)),Detalle_24m!CL$17,INDEX(Vol_V,4,CL$170)/12)*(1+V_dVol),0))</f>
        <v>0</v>
      </c>
      <c r="CM180" s="48" t="n">
        <f aca="false">IF(CM$8=1,N(Reales!CM15),IF(CM$171=1,IF(AND(AND(86&gt;Corte,86&lt;=Corte+n_Ventana),ISNUMBER(Detalle_24m!CM$17)),Detalle_24m!CM$17,INDEX(Vol_V,4,CM$170)/12)*(1+V_dVol),0))</f>
        <v>0</v>
      </c>
      <c r="CN180" s="48" t="n">
        <f aca="false">IF(CN$8=1,N(Reales!CN15),IF(CN$171=1,IF(AND(AND(87&gt;Corte,87&lt;=Corte+n_Ventana),ISNUMBER(Detalle_24m!CN$17)),Detalle_24m!CN$17,INDEX(Vol_V,4,CN$170)/12)*(1+V_dVol),0))</f>
        <v>0</v>
      </c>
      <c r="CO180" s="48" t="n">
        <f aca="false">IF(CO$8=1,N(Reales!CO15),IF(CO$171=1,IF(AND(AND(88&gt;Corte,88&lt;=Corte+n_Ventana),ISNUMBER(Detalle_24m!CO$17)),Detalle_24m!CO$17,INDEX(Vol_V,4,CO$170)/12)*(1+V_dVol),0))</f>
        <v>0</v>
      </c>
      <c r="CP180" s="48" t="n">
        <f aca="false">IF(CP$8=1,N(Reales!CP15),IF(CP$171=1,IF(AND(AND(89&gt;Corte,89&lt;=Corte+n_Ventana),ISNUMBER(Detalle_24m!CP$17)),Detalle_24m!CP$17,INDEX(Vol_V,4,CP$170)/12)*(1+V_dVol),0))</f>
        <v>0</v>
      </c>
      <c r="CQ180" s="48" t="n">
        <f aca="false">IF(CQ$8=1,N(Reales!CQ15),IF(CQ$171=1,IF(AND(AND(90&gt;Corte,90&lt;=Corte+n_Ventana),ISNUMBER(Detalle_24m!CQ$17)),Detalle_24m!CQ$17,INDEX(Vol_V,4,CQ$170)/12)*(1+V_dVol),0))</f>
        <v>0</v>
      </c>
      <c r="CR180" s="48" t="n">
        <f aca="false">IF(CR$8=1,N(Reales!CR15),IF(CR$171=1,IF(AND(AND(91&gt;Corte,91&lt;=Corte+n_Ventana),ISNUMBER(Detalle_24m!CR$17)),Detalle_24m!CR$17,INDEX(Vol_V,4,CR$170)/12)*(1+V_dVol),0))</f>
        <v>0</v>
      </c>
      <c r="CS180" s="48" t="n">
        <f aca="false">IF(CS$8=1,N(Reales!CS15),IF(CS$171=1,IF(AND(AND(92&gt;Corte,92&lt;=Corte+n_Ventana),ISNUMBER(Detalle_24m!CS$17)),Detalle_24m!CS$17,INDEX(Vol_V,4,CS$170)/12)*(1+V_dVol),0))</f>
        <v>0</v>
      </c>
      <c r="CT180" s="48" t="n">
        <f aca="false">IF(CT$8=1,N(Reales!CT15),IF(CT$171=1,IF(AND(AND(93&gt;Corte,93&lt;=Corte+n_Ventana),ISNUMBER(Detalle_24m!CT$17)),Detalle_24m!CT$17,INDEX(Vol_V,4,CT$170)/12)*(1+V_dVol),0))</f>
        <v>0</v>
      </c>
      <c r="CU180" s="48" t="n">
        <f aca="false">IF(CU$8=1,N(Reales!CU15),IF(CU$171=1,IF(AND(AND(94&gt;Corte,94&lt;=Corte+n_Ventana),ISNUMBER(Detalle_24m!CU$17)),Detalle_24m!CU$17,INDEX(Vol_V,4,CU$170)/12)*(1+V_dVol),0))</f>
        <v>0</v>
      </c>
      <c r="CV180" s="48" t="n">
        <f aca="false">IF(CV$8=1,N(Reales!CV15),IF(CV$171=1,IF(AND(AND(95&gt;Corte,95&lt;=Corte+n_Ventana),ISNUMBER(Detalle_24m!CV$17)),Detalle_24m!CV$17,INDEX(Vol_V,4,CV$170)/12)*(1+V_dVol),0))</f>
        <v>0</v>
      </c>
      <c r="CW180" s="48" t="n">
        <f aca="false">IF(CW$8=1,N(Reales!CW15),IF(CW$171=1,IF(AND(AND(96&gt;Corte,96&lt;=Corte+n_Ventana),ISNUMBER(Detalle_24m!CW$17)),Detalle_24m!CW$17,INDEX(Vol_V,4,CW$170)/12)*(1+V_dVol),0))</f>
        <v>0</v>
      </c>
      <c r="CX180" s="48" t="n">
        <f aca="false">IF(CX$8=1,N(Reales!CX15),IF(CX$171=1,IF(AND(AND(97&gt;Corte,97&lt;=Corte+n_Ventana),ISNUMBER(Detalle_24m!CX$17)),Detalle_24m!CX$17,INDEX(Vol_V,4,CX$170)/12)*(1+V_dVol),0))</f>
        <v>0</v>
      </c>
      <c r="CY180" s="48" t="n">
        <f aca="false">IF(CY$8=1,N(Reales!CY15),IF(CY$171=1,IF(AND(AND(98&gt;Corte,98&lt;=Corte+n_Ventana),ISNUMBER(Detalle_24m!CY$17)),Detalle_24m!CY$17,INDEX(Vol_V,4,CY$170)/12)*(1+V_dVol),0))</f>
        <v>0</v>
      </c>
      <c r="CZ180" s="48" t="n">
        <f aca="false">IF(CZ$8=1,N(Reales!CZ15),IF(CZ$171=1,IF(AND(AND(99&gt;Corte,99&lt;=Corte+n_Ventana),ISNUMBER(Detalle_24m!CZ$17)),Detalle_24m!CZ$17,INDEX(Vol_V,4,CZ$170)/12)*(1+V_dVol),0))</f>
        <v>0</v>
      </c>
      <c r="DA180" s="48" t="n">
        <f aca="false">IF(DA$8=1,N(Reales!DA15),IF(DA$171=1,IF(AND(AND(100&gt;Corte,100&lt;=Corte+n_Ventana),ISNUMBER(Detalle_24m!DA$17)),Detalle_24m!DA$17,INDEX(Vol_V,4,DA$170)/12)*(1+V_dVol),0))</f>
        <v>0</v>
      </c>
      <c r="DB180" s="48" t="n">
        <f aca="false">IF(DB$8=1,N(Reales!DB15),IF(DB$171=1,IF(AND(AND(101&gt;Corte,101&lt;=Corte+n_Ventana),ISNUMBER(Detalle_24m!DB$17)),Detalle_24m!DB$17,INDEX(Vol_V,4,DB$170)/12)*(1+V_dVol),0))</f>
        <v>0</v>
      </c>
      <c r="DC180" s="48" t="n">
        <f aca="false">IF(DC$8=1,N(Reales!DC15),IF(DC$171=1,IF(AND(AND(102&gt;Corte,102&lt;=Corte+n_Ventana),ISNUMBER(Detalle_24m!DC$17)),Detalle_24m!DC$17,INDEX(Vol_V,4,DC$170)/12)*(1+V_dVol),0))</f>
        <v>0</v>
      </c>
      <c r="DD180" s="48" t="n">
        <f aca="false">IF(DD$8=1,N(Reales!DD15),IF(DD$171=1,IF(AND(AND(103&gt;Corte,103&lt;=Corte+n_Ventana),ISNUMBER(Detalle_24m!DD$17)),Detalle_24m!DD$17,INDEX(Vol_V,4,DD$170)/12)*(1+V_dVol),0))</f>
        <v>0</v>
      </c>
      <c r="DE180" s="48" t="n">
        <f aca="false">IF(DE$8=1,N(Reales!DE15),IF(DE$171=1,IF(AND(AND(104&gt;Corte,104&lt;=Corte+n_Ventana),ISNUMBER(Detalle_24m!DE$17)),Detalle_24m!DE$17,INDEX(Vol_V,4,DE$170)/12)*(1+V_dVol),0))</f>
        <v>0</v>
      </c>
      <c r="DF180" s="48" t="n">
        <f aca="false">IF(DF$8=1,N(Reales!DF15),IF(DF$171=1,IF(AND(AND(105&gt;Corte,105&lt;=Corte+n_Ventana),ISNUMBER(Detalle_24m!DF$17)),Detalle_24m!DF$17,INDEX(Vol_V,4,DF$170)/12)*(1+V_dVol),0))</f>
        <v>0</v>
      </c>
      <c r="DG180" s="48" t="n">
        <f aca="false">IF(DG$8=1,N(Reales!DG15),IF(DG$171=1,IF(AND(AND(106&gt;Corte,106&lt;=Corte+n_Ventana),ISNUMBER(Detalle_24m!DG$17)),Detalle_24m!DG$17,INDEX(Vol_V,4,DG$170)/12)*(1+V_dVol),0))</f>
        <v>0</v>
      </c>
      <c r="DH180" s="48" t="n">
        <f aca="false">IF(DH$8=1,N(Reales!DH15),IF(DH$171=1,IF(AND(AND(107&gt;Corte,107&lt;=Corte+n_Ventana),ISNUMBER(Detalle_24m!DH$17)),Detalle_24m!DH$17,INDEX(Vol_V,4,DH$170)/12)*(1+V_dVol),0))</f>
        <v>0</v>
      </c>
      <c r="DI180" s="48" t="n">
        <f aca="false">IF(DI$8=1,N(Reales!DI15),IF(DI$171=1,IF(AND(AND(108&gt;Corte,108&lt;=Corte+n_Ventana),ISNUMBER(Detalle_24m!DI$17)),Detalle_24m!DI$17,INDEX(Vol_V,4,DI$170)/12)*(1+V_dVol),0))</f>
        <v>0</v>
      </c>
      <c r="DJ180" s="48" t="n">
        <f aca="false">IF(DJ$8=1,N(Reales!DJ15),IF(DJ$171=1,IF(AND(AND(109&gt;Corte,109&lt;=Corte+n_Ventana),ISNUMBER(Detalle_24m!DJ$17)),Detalle_24m!DJ$17,INDEX(Vol_V,4,DJ$170)/12)*(1+V_dVol),0))</f>
        <v>0</v>
      </c>
      <c r="DK180" s="48" t="n">
        <f aca="false">IF(DK$8=1,N(Reales!DK15),IF(DK$171=1,IF(AND(AND(110&gt;Corte,110&lt;=Corte+n_Ventana),ISNUMBER(Detalle_24m!DK$17)),Detalle_24m!DK$17,INDEX(Vol_V,4,DK$170)/12)*(1+V_dVol),0))</f>
        <v>0</v>
      </c>
      <c r="DL180" s="48" t="n">
        <f aca="false">IF(DL$8=1,N(Reales!DL15),IF(DL$171=1,IF(AND(AND(111&gt;Corte,111&lt;=Corte+n_Ventana),ISNUMBER(Detalle_24m!DL$17)),Detalle_24m!DL$17,INDEX(Vol_V,4,DL$170)/12)*(1+V_dVol),0))</f>
        <v>0</v>
      </c>
      <c r="DM180" s="48" t="n">
        <f aca="false">IF(DM$8=1,N(Reales!DM15),IF(DM$171=1,IF(AND(AND(112&gt;Corte,112&lt;=Corte+n_Ventana),ISNUMBER(Detalle_24m!DM$17)),Detalle_24m!DM$17,INDEX(Vol_V,4,DM$170)/12)*(1+V_dVol),0))</f>
        <v>0</v>
      </c>
      <c r="DN180" s="48" t="n">
        <f aca="false">IF(DN$8=1,N(Reales!DN15),IF(DN$171=1,IF(AND(AND(113&gt;Corte,113&lt;=Corte+n_Ventana),ISNUMBER(Detalle_24m!DN$17)),Detalle_24m!DN$17,INDEX(Vol_V,4,DN$170)/12)*(1+V_dVol),0))</f>
        <v>0</v>
      </c>
      <c r="DO180" s="48" t="n">
        <f aca="false">IF(DO$8=1,N(Reales!DO15),IF(DO$171=1,IF(AND(AND(114&gt;Corte,114&lt;=Corte+n_Ventana),ISNUMBER(Detalle_24m!DO$17)),Detalle_24m!DO$17,INDEX(Vol_V,4,DO$170)/12)*(1+V_dVol),0))</f>
        <v>0</v>
      </c>
      <c r="DP180" s="48" t="n">
        <f aca="false">IF(DP$8=1,N(Reales!DP15),IF(DP$171=1,IF(AND(AND(115&gt;Corte,115&lt;=Corte+n_Ventana),ISNUMBER(Detalle_24m!DP$17)),Detalle_24m!DP$17,INDEX(Vol_V,4,DP$170)/12)*(1+V_dVol),0))</f>
        <v>0</v>
      </c>
      <c r="DQ180" s="48" t="n">
        <f aca="false">IF(DQ$8=1,N(Reales!DQ15),IF(DQ$171=1,IF(AND(AND(116&gt;Corte,116&lt;=Corte+n_Ventana),ISNUMBER(Detalle_24m!DQ$17)),Detalle_24m!DQ$17,INDEX(Vol_V,4,DQ$170)/12)*(1+V_dVol),0))</f>
        <v>0</v>
      </c>
      <c r="DR180" s="48" t="n">
        <f aca="false">IF(DR$8=1,N(Reales!DR15),IF(DR$171=1,IF(AND(AND(117&gt;Corte,117&lt;=Corte+n_Ventana),ISNUMBER(Detalle_24m!DR$17)),Detalle_24m!DR$17,INDEX(Vol_V,4,DR$170)/12)*(1+V_dVol),0))</f>
        <v>0</v>
      </c>
      <c r="DS180" s="48" t="n">
        <f aca="false">IF(DS$8=1,N(Reales!DS15),IF(DS$171=1,IF(AND(AND(118&gt;Corte,118&lt;=Corte+n_Ventana),ISNUMBER(Detalle_24m!DS$17)),Detalle_24m!DS$17,INDEX(Vol_V,4,DS$170)/12)*(1+V_dVol),0))</f>
        <v>0</v>
      </c>
      <c r="DT180" s="48" t="n">
        <f aca="false">IF(DT$8=1,N(Reales!DT15),IF(DT$171=1,IF(AND(AND(119&gt;Corte,119&lt;=Corte+n_Ventana),ISNUMBER(Detalle_24m!DT$17)),Detalle_24m!DT$17,INDEX(Vol_V,4,DT$170)/12)*(1+V_dVol),0))</f>
        <v>0</v>
      </c>
      <c r="DU180" s="48" t="n">
        <f aca="false">IF(DU$8=1,N(Reales!DU15),IF(DU$171=1,IF(AND(AND(120&gt;Corte,120&lt;=Corte+n_Ventana),ISNUMBER(Detalle_24m!DU$17)),Detalle_24m!DU$17,INDEX(Vol_V,4,DU$170)/12)*(1+V_dVol),0))</f>
        <v>0</v>
      </c>
      <c r="DV180" s="48" t="n">
        <f aca="false">IF(DV$8=1,N(Reales!DV15),IF(DV$171=1,IF(AND(AND(121&gt;Corte,121&lt;=Corte+n_Ventana),ISNUMBER(Detalle_24m!DV$17)),Detalle_24m!DV$17,INDEX(Vol_V,4,DV$170)/12)*(1+V_dVol),0))</f>
        <v>0</v>
      </c>
      <c r="DW180" s="48" t="n">
        <f aca="false">IF(DW$8=1,N(Reales!DW15),IF(DW$171=1,IF(AND(AND(122&gt;Corte,122&lt;=Corte+n_Ventana),ISNUMBER(Detalle_24m!DW$17)),Detalle_24m!DW$17,INDEX(Vol_V,4,DW$170)/12)*(1+V_dVol),0))</f>
        <v>0</v>
      </c>
      <c r="DX180" s="48" t="n">
        <f aca="false">IF(DX$8=1,N(Reales!DX15),IF(DX$171=1,IF(AND(AND(123&gt;Corte,123&lt;=Corte+n_Ventana),ISNUMBER(Detalle_24m!DX$17)),Detalle_24m!DX$17,INDEX(Vol_V,4,DX$170)/12)*(1+V_dVol),0))</f>
        <v>0</v>
      </c>
      <c r="DY180" s="48" t="n">
        <f aca="false">IF(DY$8=1,N(Reales!DY15),IF(DY$171=1,IF(AND(AND(124&gt;Corte,124&lt;=Corte+n_Ventana),ISNUMBER(Detalle_24m!DY$17)),Detalle_24m!DY$17,INDEX(Vol_V,4,DY$170)/12)*(1+V_dVol),0))</f>
        <v>0</v>
      </c>
      <c r="DZ180" s="48" t="n">
        <f aca="false">IF(DZ$8=1,N(Reales!DZ15),IF(DZ$171=1,IF(AND(AND(125&gt;Corte,125&lt;=Corte+n_Ventana),ISNUMBER(Detalle_24m!DZ$17)),Detalle_24m!DZ$17,INDEX(Vol_V,4,DZ$170)/12)*(1+V_dVol),0))</f>
        <v>0</v>
      </c>
      <c r="EA180" s="48" t="n">
        <f aca="false">IF(EA$8=1,N(Reales!EA15),IF(EA$171=1,IF(AND(AND(126&gt;Corte,126&lt;=Corte+n_Ventana),ISNUMBER(Detalle_24m!EA$17)),Detalle_24m!EA$17,INDEX(Vol_V,4,EA$170)/12)*(1+V_dVol),0))</f>
        <v>0</v>
      </c>
      <c r="EB180" s="48" t="n">
        <f aca="false">IF(EB$8=1,N(Reales!EB15),IF(EB$171=1,IF(AND(AND(127&gt;Corte,127&lt;=Corte+n_Ventana),ISNUMBER(Detalle_24m!EB$17)),Detalle_24m!EB$17,INDEX(Vol_V,4,EB$170)/12)*(1+V_dVol),0))</f>
        <v>0</v>
      </c>
      <c r="EC180" s="48" t="n">
        <f aca="false">IF(EC$8=1,N(Reales!EC15),IF(EC$171=1,IF(AND(AND(128&gt;Corte,128&lt;=Corte+n_Ventana),ISNUMBER(Detalle_24m!EC$17)),Detalle_24m!EC$17,INDEX(Vol_V,4,EC$170)/12)*(1+V_dVol),0))</f>
        <v>0</v>
      </c>
      <c r="ED180" s="48" t="n">
        <f aca="false">IF(ED$8=1,N(Reales!ED15),IF(ED$171=1,IF(AND(AND(129&gt;Corte,129&lt;=Corte+n_Ventana),ISNUMBER(Detalle_24m!ED$17)),Detalle_24m!ED$17,INDEX(Vol_V,4,ED$170)/12)*(1+V_dVol),0))</f>
        <v>0</v>
      </c>
      <c r="EE180" s="48" t="n">
        <f aca="false">IF(EE$8=1,N(Reales!EE15),IF(EE$171=1,IF(AND(AND(130&gt;Corte,130&lt;=Corte+n_Ventana),ISNUMBER(Detalle_24m!EE$17)),Detalle_24m!EE$17,INDEX(Vol_V,4,EE$170)/12)*(1+V_dVol),0))</f>
        <v>0</v>
      </c>
      <c r="EF180" s="48" t="n">
        <f aca="false">IF(EF$8=1,N(Reales!EF15),IF(EF$171=1,IF(AND(AND(131&gt;Corte,131&lt;=Corte+n_Ventana),ISNUMBER(Detalle_24m!EF$17)),Detalle_24m!EF$17,INDEX(Vol_V,4,EF$170)/12)*(1+V_dVol),0))</f>
        <v>0</v>
      </c>
      <c r="EG180" s="48" t="n">
        <f aca="false">IF(EG$8=1,N(Reales!EG15),IF(EG$171=1,IF(AND(AND(132&gt;Corte,132&lt;=Corte+n_Ventana),ISNUMBER(Detalle_24m!EG$17)),Detalle_24m!EG$17,INDEX(Vol_V,4,EG$170)/12)*(1+V_dVol),0))</f>
        <v>0</v>
      </c>
      <c r="EH180" s="48" t="n">
        <f aca="false">IF(EH$8=1,N(Reales!EH15),IF(EH$171=1,IF(AND(AND(133&gt;Corte,133&lt;=Corte+n_Ventana),ISNUMBER(Detalle_24m!EH$17)),Detalle_24m!EH$17,INDEX(Vol_V,4,EH$170)/12)*(1+V_dVol),0))</f>
        <v>0</v>
      </c>
      <c r="EI180" s="48" t="n">
        <f aca="false">IF(EI$8=1,N(Reales!EI15),IF(EI$171=1,IF(AND(AND(134&gt;Corte,134&lt;=Corte+n_Ventana),ISNUMBER(Detalle_24m!EI$17)),Detalle_24m!EI$17,INDEX(Vol_V,4,EI$170)/12)*(1+V_dVol),0))</f>
        <v>0</v>
      </c>
      <c r="EJ180" s="48" t="n">
        <f aca="false">IF(EJ$8=1,N(Reales!EJ15),IF(EJ$171=1,IF(AND(AND(135&gt;Corte,135&lt;=Corte+n_Ventana),ISNUMBER(Detalle_24m!EJ$17)),Detalle_24m!EJ$17,INDEX(Vol_V,4,EJ$170)/12)*(1+V_dVol),0))</f>
        <v>0</v>
      </c>
      <c r="EK180" s="48" t="n">
        <f aca="false">IF(EK$8=1,N(Reales!EK15),IF(EK$171=1,IF(AND(AND(136&gt;Corte,136&lt;=Corte+n_Ventana),ISNUMBER(Detalle_24m!EK$17)),Detalle_24m!EK$17,INDEX(Vol_V,4,EK$170)/12)*(1+V_dVol),0))</f>
        <v>0</v>
      </c>
      <c r="EL180" s="48" t="n">
        <f aca="false">IF(EL$8=1,N(Reales!EL15),IF(EL$171=1,IF(AND(AND(137&gt;Corte,137&lt;=Corte+n_Ventana),ISNUMBER(Detalle_24m!EL$17)),Detalle_24m!EL$17,INDEX(Vol_V,4,EL$170)/12)*(1+V_dVol),0))</f>
        <v>0</v>
      </c>
      <c r="EM180" s="48" t="n">
        <f aca="false">IF(EM$8=1,N(Reales!EM15),IF(EM$171=1,IF(AND(AND(138&gt;Corte,138&lt;=Corte+n_Ventana),ISNUMBER(Detalle_24m!EM$17)),Detalle_24m!EM$17,INDEX(Vol_V,4,EM$170)/12)*(1+V_dVol),0))</f>
        <v>0</v>
      </c>
      <c r="EN180" s="48" t="n">
        <f aca="false">IF(EN$8=1,N(Reales!EN15),IF(EN$171=1,IF(AND(AND(139&gt;Corte,139&lt;=Corte+n_Ventana),ISNUMBER(Detalle_24m!EN$17)),Detalle_24m!EN$17,INDEX(Vol_V,4,EN$170)/12)*(1+V_dVol),0))</f>
        <v>0</v>
      </c>
      <c r="EO180" s="48" t="n">
        <f aca="false">IF(EO$8=1,N(Reales!EO15),IF(EO$171=1,IF(AND(AND(140&gt;Corte,140&lt;=Corte+n_Ventana),ISNUMBER(Detalle_24m!EO$17)),Detalle_24m!EO$17,INDEX(Vol_V,4,EO$170)/12)*(1+V_dVol),0))</f>
        <v>0</v>
      </c>
      <c r="EP180" s="48" t="n">
        <f aca="false">IF(EP$8=1,N(Reales!EP15),IF(EP$171=1,IF(AND(AND(141&gt;Corte,141&lt;=Corte+n_Ventana),ISNUMBER(Detalle_24m!EP$17)),Detalle_24m!EP$17,INDEX(Vol_V,4,EP$170)/12)*(1+V_dVol),0))</f>
        <v>0</v>
      </c>
      <c r="EQ180" s="48" t="n">
        <f aca="false">IF(EQ$8=1,N(Reales!EQ15),IF(EQ$171=1,IF(AND(AND(142&gt;Corte,142&lt;=Corte+n_Ventana),ISNUMBER(Detalle_24m!EQ$17)),Detalle_24m!EQ$17,INDEX(Vol_V,4,EQ$170)/12)*(1+V_dVol),0))</f>
        <v>0</v>
      </c>
      <c r="ER180" s="48" t="n">
        <f aca="false">IF(ER$8=1,N(Reales!ER15),IF(ER$171=1,IF(AND(AND(143&gt;Corte,143&lt;=Corte+n_Ventana),ISNUMBER(Detalle_24m!ER$17)),Detalle_24m!ER$17,INDEX(Vol_V,4,ER$170)/12)*(1+V_dVol),0))</f>
        <v>0</v>
      </c>
      <c r="ES180" s="48" t="n">
        <f aca="false">IF(ES$8=1,N(Reales!ES15),IF(ES$171=1,IF(AND(AND(144&gt;Corte,144&lt;=Corte+n_Ventana),ISNUMBER(Detalle_24m!ES$17)),Detalle_24m!ES$17,INDEX(Vol_V,4,ES$170)/12)*(1+V_dVol),0))</f>
        <v>0</v>
      </c>
    </row>
    <row r="181" customFormat="false" ht="15" hidden="false" customHeight="false" outlineLevel="0" collapsed="false">
      <c r="A181" s="11" t="s">
        <v>1304</v>
      </c>
      <c r="B181" s="53" t="str">
        <f aca="false">IF(INDEX(Prod_Nombre,5)="","Producto 5",INDEX(Prod_Nombre,5))&amp;" — unidades"</f>
        <v>Producto 5 — unidades</v>
      </c>
      <c r="C181" s="15" t="s">
        <v>544</v>
      </c>
      <c r="E181" s="54" t="n">
        <f aca="false">SUM(F181:ES181)</f>
        <v>0</v>
      </c>
      <c r="F181" s="48" t="n">
        <f aca="false">IF(F$8=1,N(Reales!F16),IF(F$171=1,IF(AND(AND(1&gt;Corte,1&lt;=Corte+n_Ventana),ISNUMBER(Detalle_24m!F$18)),Detalle_24m!F$18,INDEX(Vol_V,5,F$170)/12)*(1+V_dVol),0))</f>
        <v>0</v>
      </c>
      <c r="G181" s="48" t="n">
        <f aca="false">IF(G$8=1,N(Reales!G16),IF(G$171=1,IF(AND(AND(2&gt;Corte,2&lt;=Corte+n_Ventana),ISNUMBER(Detalle_24m!G$18)),Detalle_24m!G$18,INDEX(Vol_V,5,G$170)/12)*(1+V_dVol),0))</f>
        <v>0</v>
      </c>
      <c r="H181" s="48" t="n">
        <f aca="false">IF(H$8=1,N(Reales!H16),IF(H$171=1,IF(AND(AND(3&gt;Corte,3&lt;=Corte+n_Ventana),ISNUMBER(Detalle_24m!H$18)),Detalle_24m!H$18,INDEX(Vol_V,5,H$170)/12)*(1+V_dVol),0))</f>
        <v>0</v>
      </c>
      <c r="I181" s="48" t="n">
        <f aca="false">IF(I$8=1,N(Reales!I16),IF(I$171=1,IF(AND(AND(4&gt;Corte,4&lt;=Corte+n_Ventana),ISNUMBER(Detalle_24m!I$18)),Detalle_24m!I$18,INDEX(Vol_V,5,I$170)/12)*(1+V_dVol),0))</f>
        <v>0</v>
      </c>
      <c r="J181" s="48" t="n">
        <f aca="false">IF(J$8=1,N(Reales!J16),IF(J$171=1,IF(AND(AND(5&gt;Corte,5&lt;=Corte+n_Ventana),ISNUMBER(Detalle_24m!J$18)),Detalle_24m!J$18,INDEX(Vol_V,5,J$170)/12)*(1+V_dVol),0))</f>
        <v>0</v>
      </c>
      <c r="K181" s="48" t="n">
        <f aca="false">IF(K$8=1,N(Reales!K16),IF(K$171=1,IF(AND(AND(6&gt;Corte,6&lt;=Corte+n_Ventana),ISNUMBER(Detalle_24m!K$18)),Detalle_24m!K$18,INDEX(Vol_V,5,K$170)/12)*(1+V_dVol),0))</f>
        <v>0</v>
      </c>
      <c r="L181" s="48" t="n">
        <f aca="false">IF(L$8=1,N(Reales!L16),IF(L$171=1,IF(AND(AND(7&gt;Corte,7&lt;=Corte+n_Ventana),ISNUMBER(Detalle_24m!L$18)),Detalle_24m!L$18,INDEX(Vol_V,5,L$170)/12)*(1+V_dVol),0))</f>
        <v>0</v>
      </c>
      <c r="M181" s="48" t="n">
        <f aca="false">IF(M$8=1,N(Reales!M16),IF(M$171=1,IF(AND(AND(8&gt;Corte,8&lt;=Corte+n_Ventana),ISNUMBER(Detalle_24m!M$18)),Detalle_24m!M$18,INDEX(Vol_V,5,M$170)/12)*(1+V_dVol),0))</f>
        <v>0</v>
      </c>
      <c r="N181" s="48" t="n">
        <f aca="false">IF(N$8=1,N(Reales!N16),IF(N$171=1,IF(AND(AND(9&gt;Corte,9&lt;=Corte+n_Ventana),ISNUMBER(Detalle_24m!N$18)),Detalle_24m!N$18,INDEX(Vol_V,5,N$170)/12)*(1+V_dVol),0))</f>
        <v>0</v>
      </c>
      <c r="O181" s="48" t="n">
        <f aca="false">IF(O$8=1,N(Reales!O16),IF(O$171=1,IF(AND(AND(10&gt;Corte,10&lt;=Corte+n_Ventana),ISNUMBER(Detalle_24m!O$18)),Detalle_24m!O$18,INDEX(Vol_V,5,O$170)/12)*(1+V_dVol),0))</f>
        <v>0</v>
      </c>
      <c r="P181" s="48" t="n">
        <f aca="false">IF(P$8=1,N(Reales!P16),IF(P$171=1,IF(AND(AND(11&gt;Corte,11&lt;=Corte+n_Ventana),ISNUMBER(Detalle_24m!P$18)),Detalle_24m!P$18,INDEX(Vol_V,5,P$170)/12)*(1+V_dVol),0))</f>
        <v>0</v>
      </c>
      <c r="Q181" s="48" t="n">
        <f aca="false">IF(Q$8=1,N(Reales!Q16),IF(Q$171=1,IF(AND(AND(12&gt;Corte,12&lt;=Corte+n_Ventana),ISNUMBER(Detalle_24m!Q$18)),Detalle_24m!Q$18,INDEX(Vol_V,5,Q$170)/12)*(1+V_dVol),0))</f>
        <v>0</v>
      </c>
      <c r="R181" s="48" t="n">
        <f aca="false">IF(R$8=1,N(Reales!R16),IF(R$171=1,IF(AND(AND(13&gt;Corte,13&lt;=Corte+n_Ventana),ISNUMBER(Detalle_24m!R$18)),Detalle_24m!R$18,INDEX(Vol_V,5,R$170)/12)*(1+V_dVol),0))</f>
        <v>0</v>
      </c>
      <c r="S181" s="48" t="n">
        <f aca="false">IF(S$8=1,N(Reales!S16),IF(S$171=1,IF(AND(AND(14&gt;Corte,14&lt;=Corte+n_Ventana),ISNUMBER(Detalle_24m!S$18)),Detalle_24m!S$18,INDEX(Vol_V,5,S$170)/12)*(1+V_dVol),0))</f>
        <v>0</v>
      </c>
      <c r="T181" s="48" t="n">
        <f aca="false">IF(T$8=1,N(Reales!T16),IF(T$171=1,IF(AND(AND(15&gt;Corte,15&lt;=Corte+n_Ventana),ISNUMBER(Detalle_24m!T$18)),Detalle_24m!T$18,INDEX(Vol_V,5,T$170)/12)*(1+V_dVol),0))</f>
        <v>0</v>
      </c>
      <c r="U181" s="48" t="n">
        <f aca="false">IF(U$8=1,N(Reales!U16),IF(U$171=1,IF(AND(AND(16&gt;Corte,16&lt;=Corte+n_Ventana),ISNUMBER(Detalle_24m!U$18)),Detalle_24m!U$18,INDEX(Vol_V,5,U$170)/12)*(1+V_dVol),0))</f>
        <v>0</v>
      </c>
      <c r="V181" s="48" t="n">
        <f aca="false">IF(V$8=1,N(Reales!V16),IF(V$171=1,IF(AND(AND(17&gt;Corte,17&lt;=Corte+n_Ventana),ISNUMBER(Detalle_24m!V$18)),Detalle_24m!V$18,INDEX(Vol_V,5,V$170)/12)*(1+V_dVol),0))</f>
        <v>0</v>
      </c>
      <c r="W181" s="48" t="n">
        <f aca="false">IF(W$8=1,N(Reales!W16),IF(W$171=1,IF(AND(AND(18&gt;Corte,18&lt;=Corte+n_Ventana),ISNUMBER(Detalle_24m!W$18)),Detalle_24m!W$18,INDEX(Vol_V,5,W$170)/12)*(1+V_dVol),0))</f>
        <v>0</v>
      </c>
      <c r="X181" s="48" t="n">
        <f aca="false">IF(X$8=1,N(Reales!X16),IF(X$171=1,IF(AND(AND(19&gt;Corte,19&lt;=Corte+n_Ventana),ISNUMBER(Detalle_24m!X$18)),Detalle_24m!X$18,INDEX(Vol_V,5,X$170)/12)*(1+V_dVol),0))</f>
        <v>0</v>
      </c>
      <c r="Y181" s="48" t="n">
        <f aca="false">IF(Y$8=1,N(Reales!Y16),IF(Y$171=1,IF(AND(AND(20&gt;Corte,20&lt;=Corte+n_Ventana),ISNUMBER(Detalle_24m!Y$18)),Detalle_24m!Y$18,INDEX(Vol_V,5,Y$170)/12)*(1+V_dVol),0))</f>
        <v>0</v>
      </c>
      <c r="Z181" s="48" t="n">
        <f aca="false">IF(Z$8=1,N(Reales!Z16),IF(Z$171=1,IF(AND(AND(21&gt;Corte,21&lt;=Corte+n_Ventana),ISNUMBER(Detalle_24m!Z$18)),Detalle_24m!Z$18,INDEX(Vol_V,5,Z$170)/12)*(1+V_dVol),0))</f>
        <v>0</v>
      </c>
      <c r="AA181" s="48" t="n">
        <f aca="false">IF(AA$8=1,N(Reales!AA16),IF(AA$171=1,IF(AND(AND(22&gt;Corte,22&lt;=Corte+n_Ventana),ISNUMBER(Detalle_24m!AA$18)),Detalle_24m!AA$18,INDEX(Vol_V,5,AA$170)/12)*(1+V_dVol),0))</f>
        <v>0</v>
      </c>
      <c r="AB181" s="48" t="n">
        <f aca="false">IF(AB$8=1,N(Reales!AB16),IF(AB$171=1,IF(AND(AND(23&gt;Corte,23&lt;=Corte+n_Ventana),ISNUMBER(Detalle_24m!AB$18)),Detalle_24m!AB$18,INDEX(Vol_V,5,AB$170)/12)*(1+V_dVol),0))</f>
        <v>0</v>
      </c>
      <c r="AC181" s="48" t="n">
        <f aca="false">IF(AC$8=1,N(Reales!AC16),IF(AC$171=1,IF(AND(AND(24&gt;Corte,24&lt;=Corte+n_Ventana),ISNUMBER(Detalle_24m!AC$18)),Detalle_24m!AC$18,INDEX(Vol_V,5,AC$170)/12)*(1+V_dVol),0))</f>
        <v>0</v>
      </c>
      <c r="AD181" s="48" t="n">
        <f aca="false">IF(AD$8=1,N(Reales!AD16),IF(AD$171=1,IF(AND(AND(25&gt;Corte,25&lt;=Corte+n_Ventana),ISNUMBER(Detalle_24m!AD$18)),Detalle_24m!AD$18,INDEX(Vol_V,5,AD$170)/12)*(1+V_dVol),0))</f>
        <v>0</v>
      </c>
      <c r="AE181" s="48" t="n">
        <f aca="false">IF(AE$8=1,N(Reales!AE16),IF(AE$171=1,IF(AND(AND(26&gt;Corte,26&lt;=Corte+n_Ventana),ISNUMBER(Detalle_24m!AE$18)),Detalle_24m!AE$18,INDEX(Vol_V,5,AE$170)/12)*(1+V_dVol),0))</f>
        <v>0</v>
      </c>
      <c r="AF181" s="48" t="n">
        <f aca="false">IF(AF$8=1,N(Reales!AF16),IF(AF$171=1,IF(AND(AND(27&gt;Corte,27&lt;=Corte+n_Ventana),ISNUMBER(Detalle_24m!AF$18)),Detalle_24m!AF$18,INDEX(Vol_V,5,AF$170)/12)*(1+V_dVol),0))</f>
        <v>0</v>
      </c>
      <c r="AG181" s="48" t="n">
        <f aca="false">IF(AG$8=1,N(Reales!AG16),IF(AG$171=1,IF(AND(AND(28&gt;Corte,28&lt;=Corte+n_Ventana),ISNUMBER(Detalle_24m!AG$18)),Detalle_24m!AG$18,INDEX(Vol_V,5,AG$170)/12)*(1+V_dVol),0))</f>
        <v>0</v>
      </c>
      <c r="AH181" s="48" t="n">
        <f aca="false">IF(AH$8=1,N(Reales!AH16),IF(AH$171=1,IF(AND(AND(29&gt;Corte,29&lt;=Corte+n_Ventana),ISNUMBER(Detalle_24m!AH$18)),Detalle_24m!AH$18,INDEX(Vol_V,5,AH$170)/12)*(1+V_dVol),0))</f>
        <v>0</v>
      </c>
      <c r="AI181" s="48" t="n">
        <f aca="false">IF(AI$8=1,N(Reales!AI16),IF(AI$171=1,IF(AND(AND(30&gt;Corte,30&lt;=Corte+n_Ventana),ISNUMBER(Detalle_24m!AI$18)),Detalle_24m!AI$18,INDEX(Vol_V,5,AI$170)/12)*(1+V_dVol),0))</f>
        <v>0</v>
      </c>
      <c r="AJ181" s="48" t="n">
        <f aca="false">IF(AJ$8=1,N(Reales!AJ16),IF(AJ$171=1,IF(AND(AND(31&gt;Corte,31&lt;=Corte+n_Ventana),ISNUMBER(Detalle_24m!AJ$18)),Detalle_24m!AJ$18,INDEX(Vol_V,5,AJ$170)/12)*(1+V_dVol),0))</f>
        <v>0</v>
      </c>
      <c r="AK181" s="48" t="n">
        <f aca="false">IF(AK$8=1,N(Reales!AK16),IF(AK$171=1,IF(AND(AND(32&gt;Corte,32&lt;=Corte+n_Ventana),ISNUMBER(Detalle_24m!AK$18)),Detalle_24m!AK$18,INDEX(Vol_V,5,AK$170)/12)*(1+V_dVol),0))</f>
        <v>0</v>
      </c>
      <c r="AL181" s="48" t="n">
        <f aca="false">IF(AL$8=1,N(Reales!AL16),IF(AL$171=1,IF(AND(AND(33&gt;Corte,33&lt;=Corte+n_Ventana),ISNUMBER(Detalle_24m!AL$18)),Detalle_24m!AL$18,INDEX(Vol_V,5,AL$170)/12)*(1+V_dVol),0))</f>
        <v>0</v>
      </c>
      <c r="AM181" s="48" t="n">
        <f aca="false">IF(AM$8=1,N(Reales!AM16),IF(AM$171=1,IF(AND(AND(34&gt;Corte,34&lt;=Corte+n_Ventana),ISNUMBER(Detalle_24m!AM$18)),Detalle_24m!AM$18,INDEX(Vol_V,5,AM$170)/12)*(1+V_dVol),0))</f>
        <v>0</v>
      </c>
      <c r="AN181" s="48" t="n">
        <f aca="false">IF(AN$8=1,N(Reales!AN16),IF(AN$171=1,IF(AND(AND(35&gt;Corte,35&lt;=Corte+n_Ventana),ISNUMBER(Detalle_24m!AN$18)),Detalle_24m!AN$18,INDEX(Vol_V,5,AN$170)/12)*(1+V_dVol),0))</f>
        <v>0</v>
      </c>
      <c r="AO181" s="48" t="n">
        <f aca="false">IF(AO$8=1,N(Reales!AO16),IF(AO$171=1,IF(AND(AND(36&gt;Corte,36&lt;=Corte+n_Ventana),ISNUMBER(Detalle_24m!AO$18)),Detalle_24m!AO$18,INDEX(Vol_V,5,AO$170)/12)*(1+V_dVol),0))</f>
        <v>0</v>
      </c>
      <c r="AP181" s="48" t="n">
        <f aca="false">IF(AP$8=1,N(Reales!AP16),IF(AP$171=1,IF(AND(AND(37&gt;Corte,37&lt;=Corte+n_Ventana),ISNUMBER(Detalle_24m!AP$18)),Detalle_24m!AP$18,INDEX(Vol_V,5,AP$170)/12)*(1+V_dVol),0))</f>
        <v>0</v>
      </c>
      <c r="AQ181" s="48" t="n">
        <f aca="false">IF(AQ$8=1,N(Reales!AQ16),IF(AQ$171=1,IF(AND(AND(38&gt;Corte,38&lt;=Corte+n_Ventana),ISNUMBER(Detalle_24m!AQ$18)),Detalle_24m!AQ$18,INDEX(Vol_V,5,AQ$170)/12)*(1+V_dVol),0))</f>
        <v>0</v>
      </c>
      <c r="AR181" s="48" t="n">
        <f aca="false">IF(AR$8=1,N(Reales!AR16),IF(AR$171=1,IF(AND(AND(39&gt;Corte,39&lt;=Corte+n_Ventana),ISNUMBER(Detalle_24m!AR$18)),Detalle_24m!AR$18,INDEX(Vol_V,5,AR$170)/12)*(1+V_dVol),0))</f>
        <v>0</v>
      </c>
      <c r="AS181" s="48" t="n">
        <f aca="false">IF(AS$8=1,N(Reales!AS16),IF(AS$171=1,IF(AND(AND(40&gt;Corte,40&lt;=Corte+n_Ventana),ISNUMBER(Detalle_24m!AS$18)),Detalle_24m!AS$18,INDEX(Vol_V,5,AS$170)/12)*(1+V_dVol),0))</f>
        <v>0</v>
      </c>
      <c r="AT181" s="48" t="n">
        <f aca="false">IF(AT$8=1,N(Reales!AT16),IF(AT$171=1,IF(AND(AND(41&gt;Corte,41&lt;=Corte+n_Ventana),ISNUMBER(Detalle_24m!AT$18)),Detalle_24m!AT$18,INDEX(Vol_V,5,AT$170)/12)*(1+V_dVol),0))</f>
        <v>0</v>
      </c>
      <c r="AU181" s="48" t="n">
        <f aca="false">IF(AU$8=1,N(Reales!AU16),IF(AU$171=1,IF(AND(AND(42&gt;Corte,42&lt;=Corte+n_Ventana),ISNUMBER(Detalle_24m!AU$18)),Detalle_24m!AU$18,INDEX(Vol_V,5,AU$170)/12)*(1+V_dVol),0))</f>
        <v>0</v>
      </c>
      <c r="AV181" s="48" t="n">
        <f aca="false">IF(AV$8=1,N(Reales!AV16),IF(AV$171=1,IF(AND(AND(43&gt;Corte,43&lt;=Corte+n_Ventana),ISNUMBER(Detalle_24m!AV$18)),Detalle_24m!AV$18,INDEX(Vol_V,5,AV$170)/12)*(1+V_dVol),0))</f>
        <v>0</v>
      </c>
      <c r="AW181" s="48" t="n">
        <f aca="false">IF(AW$8=1,N(Reales!AW16),IF(AW$171=1,IF(AND(AND(44&gt;Corte,44&lt;=Corte+n_Ventana),ISNUMBER(Detalle_24m!AW$18)),Detalle_24m!AW$18,INDEX(Vol_V,5,AW$170)/12)*(1+V_dVol),0))</f>
        <v>0</v>
      </c>
      <c r="AX181" s="48" t="n">
        <f aca="false">IF(AX$8=1,N(Reales!AX16),IF(AX$171=1,IF(AND(AND(45&gt;Corte,45&lt;=Corte+n_Ventana),ISNUMBER(Detalle_24m!AX$18)),Detalle_24m!AX$18,INDEX(Vol_V,5,AX$170)/12)*(1+V_dVol),0))</f>
        <v>0</v>
      </c>
      <c r="AY181" s="48" t="n">
        <f aca="false">IF(AY$8=1,N(Reales!AY16),IF(AY$171=1,IF(AND(AND(46&gt;Corte,46&lt;=Corte+n_Ventana),ISNUMBER(Detalle_24m!AY$18)),Detalle_24m!AY$18,INDEX(Vol_V,5,AY$170)/12)*(1+V_dVol),0))</f>
        <v>0</v>
      </c>
      <c r="AZ181" s="48" t="n">
        <f aca="false">IF(AZ$8=1,N(Reales!AZ16),IF(AZ$171=1,IF(AND(AND(47&gt;Corte,47&lt;=Corte+n_Ventana),ISNUMBER(Detalle_24m!AZ$18)),Detalle_24m!AZ$18,INDEX(Vol_V,5,AZ$170)/12)*(1+V_dVol),0))</f>
        <v>0</v>
      </c>
      <c r="BA181" s="48" t="n">
        <f aca="false">IF(BA$8=1,N(Reales!BA16),IF(BA$171=1,IF(AND(AND(48&gt;Corte,48&lt;=Corte+n_Ventana),ISNUMBER(Detalle_24m!BA$18)),Detalle_24m!BA$18,INDEX(Vol_V,5,BA$170)/12)*(1+V_dVol),0))</f>
        <v>0</v>
      </c>
      <c r="BB181" s="48" t="n">
        <f aca="false">IF(BB$8=1,N(Reales!BB16),IF(BB$171=1,IF(AND(AND(49&gt;Corte,49&lt;=Corte+n_Ventana),ISNUMBER(Detalle_24m!BB$18)),Detalle_24m!BB$18,INDEX(Vol_V,5,BB$170)/12)*(1+V_dVol),0))</f>
        <v>0</v>
      </c>
      <c r="BC181" s="48" t="n">
        <f aca="false">IF(BC$8=1,N(Reales!BC16),IF(BC$171=1,IF(AND(AND(50&gt;Corte,50&lt;=Corte+n_Ventana),ISNUMBER(Detalle_24m!BC$18)),Detalle_24m!BC$18,INDEX(Vol_V,5,BC$170)/12)*(1+V_dVol),0))</f>
        <v>0</v>
      </c>
      <c r="BD181" s="48" t="n">
        <f aca="false">IF(BD$8=1,N(Reales!BD16),IF(BD$171=1,IF(AND(AND(51&gt;Corte,51&lt;=Corte+n_Ventana),ISNUMBER(Detalle_24m!BD$18)),Detalle_24m!BD$18,INDEX(Vol_V,5,BD$170)/12)*(1+V_dVol),0))</f>
        <v>0</v>
      </c>
      <c r="BE181" s="48" t="n">
        <f aca="false">IF(BE$8=1,N(Reales!BE16),IF(BE$171=1,IF(AND(AND(52&gt;Corte,52&lt;=Corte+n_Ventana),ISNUMBER(Detalle_24m!BE$18)),Detalle_24m!BE$18,INDEX(Vol_V,5,BE$170)/12)*(1+V_dVol),0))</f>
        <v>0</v>
      </c>
      <c r="BF181" s="48" t="n">
        <f aca="false">IF(BF$8=1,N(Reales!BF16),IF(BF$171=1,IF(AND(AND(53&gt;Corte,53&lt;=Corte+n_Ventana),ISNUMBER(Detalle_24m!BF$18)),Detalle_24m!BF$18,INDEX(Vol_V,5,BF$170)/12)*(1+V_dVol),0))</f>
        <v>0</v>
      </c>
      <c r="BG181" s="48" t="n">
        <f aca="false">IF(BG$8=1,N(Reales!BG16),IF(BG$171=1,IF(AND(AND(54&gt;Corte,54&lt;=Corte+n_Ventana),ISNUMBER(Detalle_24m!BG$18)),Detalle_24m!BG$18,INDEX(Vol_V,5,BG$170)/12)*(1+V_dVol),0))</f>
        <v>0</v>
      </c>
      <c r="BH181" s="48" t="n">
        <f aca="false">IF(BH$8=1,N(Reales!BH16),IF(BH$171=1,IF(AND(AND(55&gt;Corte,55&lt;=Corte+n_Ventana),ISNUMBER(Detalle_24m!BH$18)),Detalle_24m!BH$18,INDEX(Vol_V,5,BH$170)/12)*(1+V_dVol),0))</f>
        <v>0</v>
      </c>
      <c r="BI181" s="48" t="n">
        <f aca="false">IF(BI$8=1,N(Reales!BI16),IF(BI$171=1,IF(AND(AND(56&gt;Corte,56&lt;=Corte+n_Ventana),ISNUMBER(Detalle_24m!BI$18)),Detalle_24m!BI$18,INDEX(Vol_V,5,BI$170)/12)*(1+V_dVol),0))</f>
        <v>0</v>
      </c>
      <c r="BJ181" s="48" t="n">
        <f aca="false">IF(BJ$8=1,N(Reales!BJ16),IF(BJ$171=1,IF(AND(AND(57&gt;Corte,57&lt;=Corte+n_Ventana),ISNUMBER(Detalle_24m!BJ$18)),Detalle_24m!BJ$18,INDEX(Vol_V,5,BJ$170)/12)*(1+V_dVol),0))</f>
        <v>0</v>
      </c>
      <c r="BK181" s="48" t="n">
        <f aca="false">IF(BK$8=1,N(Reales!BK16),IF(BK$171=1,IF(AND(AND(58&gt;Corte,58&lt;=Corte+n_Ventana),ISNUMBER(Detalle_24m!BK$18)),Detalle_24m!BK$18,INDEX(Vol_V,5,BK$170)/12)*(1+V_dVol),0))</f>
        <v>0</v>
      </c>
      <c r="BL181" s="48" t="n">
        <f aca="false">IF(BL$8=1,N(Reales!BL16),IF(BL$171=1,IF(AND(AND(59&gt;Corte,59&lt;=Corte+n_Ventana),ISNUMBER(Detalle_24m!BL$18)),Detalle_24m!BL$18,INDEX(Vol_V,5,BL$170)/12)*(1+V_dVol),0))</f>
        <v>0</v>
      </c>
      <c r="BM181" s="48" t="n">
        <f aca="false">IF(BM$8=1,N(Reales!BM16),IF(BM$171=1,IF(AND(AND(60&gt;Corte,60&lt;=Corte+n_Ventana),ISNUMBER(Detalle_24m!BM$18)),Detalle_24m!BM$18,INDEX(Vol_V,5,BM$170)/12)*(1+V_dVol),0))</f>
        <v>0</v>
      </c>
      <c r="BN181" s="48" t="n">
        <f aca="false">IF(BN$8=1,N(Reales!BN16),IF(BN$171=1,IF(AND(AND(61&gt;Corte,61&lt;=Corte+n_Ventana),ISNUMBER(Detalle_24m!BN$18)),Detalle_24m!BN$18,INDEX(Vol_V,5,BN$170)/12)*(1+V_dVol),0))</f>
        <v>0</v>
      </c>
      <c r="BO181" s="48" t="n">
        <f aca="false">IF(BO$8=1,N(Reales!BO16),IF(BO$171=1,IF(AND(AND(62&gt;Corte,62&lt;=Corte+n_Ventana),ISNUMBER(Detalle_24m!BO$18)),Detalle_24m!BO$18,INDEX(Vol_V,5,BO$170)/12)*(1+V_dVol),0))</f>
        <v>0</v>
      </c>
      <c r="BP181" s="48" t="n">
        <f aca="false">IF(BP$8=1,N(Reales!BP16),IF(BP$171=1,IF(AND(AND(63&gt;Corte,63&lt;=Corte+n_Ventana),ISNUMBER(Detalle_24m!BP$18)),Detalle_24m!BP$18,INDEX(Vol_V,5,BP$170)/12)*(1+V_dVol),0))</f>
        <v>0</v>
      </c>
      <c r="BQ181" s="48" t="n">
        <f aca="false">IF(BQ$8=1,N(Reales!BQ16),IF(BQ$171=1,IF(AND(AND(64&gt;Corte,64&lt;=Corte+n_Ventana),ISNUMBER(Detalle_24m!BQ$18)),Detalle_24m!BQ$18,INDEX(Vol_V,5,BQ$170)/12)*(1+V_dVol),0))</f>
        <v>0</v>
      </c>
      <c r="BR181" s="48" t="n">
        <f aca="false">IF(BR$8=1,N(Reales!BR16),IF(BR$171=1,IF(AND(AND(65&gt;Corte,65&lt;=Corte+n_Ventana),ISNUMBER(Detalle_24m!BR$18)),Detalle_24m!BR$18,INDEX(Vol_V,5,BR$170)/12)*(1+V_dVol),0))</f>
        <v>0</v>
      </c>
      <c r="BS181" s="48" t="n">
        <f aca="false">IF(BS$8=1,N(Reales!BS16),IF(BS$171=1,IF(AND(AND(66&gt;Corte,66&lt;=Corte+n_Ventana),ISNUMBER(Detalle_24m!BS$18)),Detalle_24m!BS$18,INDEX(Vol_V,5,BS$170)/12)*(1+V_dVol),0))</f>
        <v>0</v>
      </c>
      <c r="BT181" s="48" t="n">
        <f aca="false">IF(BT$8=1,N(Reales!BT16),IF(BT$171=1,IF(AND(AND(67&gt;Corte,67&lt;=Corte+n_Ventana),ISNUMBER(Detalle_24m!BT$18)),Detalle_24m!BT$18,INDEX(Vol_V,5,BT$170)/12)*(1+V_dVol),0))</f>
        <v>0</v>
      </c>
      <c r="BU181" s="48" t="n">
        <f aca="false">IF(BU$8=1,N(Reales!BU16),IF(BU$171=1,IF(AND(AND(68&gt;Corte,68&lt;=Corte+n_Ventana),ISNUMBER(Detalle_24m!BU$18)),Detalle_24m!BU$18,INDEX(Vol_V,5,BU$170)/12)*(1+V_dVol),0))</f>
        <v>0</v>
      </c>
      <c r="BV181" s="48" t="n">
        <f aca="false">IF(BV$8=1,N(Reales!BV16),IF(BV$171=1,IF(AND(AND(69&gt;Corte,69&lt;=Corte+n_Ventana),ISNUMBER(Detalle_24m!BV$18)),Detalle_24m!BV$18,INDEX(Vol_V,5,BV$170)/12)*(1+V_dVol),0))</f>
        <v>0</v>
      </c>
      <c r="BW181" s="48" t="n">
        <f aca="false">IF(BW$8=1,N(Reales!BW16),IF(BW$171=1,IF(AND(AND(70&gt;Corte,70&lt;=Corte+n_Ventana),ISNUMBER(Detalle_24m!BW$18)),Detalle_24m!BW$18,INDEX(Vol_V,5,BW$170)/12)*(1+V_dVol),0))</f>
        <v>0</v>
      </c>
      <c r="BX181" s="48" t="n">
        <f aca="false">IF(BX$8=1,N(Reales!BX16),IF(BX$171=1,IF(AND(AND(71&gt;Corte,71&lt;=Corte+n_Ventana),ISNUMBER(Detalle_24m!BX$18)),Detalle_24m!BX$18,INDEX(Vol_V,5,BX$170)/12)*(1+V_dVol),0))</f>
        <v>0</v>
      </c>
      <c r="BY181" s="48" t="n">
        <f aca="false">IF(BY$8=1,N(Reales!BY16),IF(BY$171=1,IF(AND(AND(72&gt;Corte,72&lt;=Corte+n_Ventana),ISNUMBER(Detalle_24m!BY$18)),Detalle_24m!BY$18,INDEX(Vol_V,5,BY$170)/12)*(1+V_dVol),0))</f>
        <v>0</v>
      </c>
      <c r="BZ181" s="48" t="n">
        <f aca="false">IF(BZ$8=1,N(Reales!BZ16),IF(BZ$171=1,IF(AND(AND(73&gt;Corte,73&lt;=Corte+n_Ventana),ISNUMBER(Detalle_24m!BZ$18)),Detalle_24m!BZ$18,INDEX(Vol_V,5,BZ$170)/12)*(1+V_dVol),0))</f>
        <v>0</v>
      </c>
      <c r="CA181" s="48" t="n">
        <f aca="false">IF(CA$8=1,N(Reales!CA16),IF(CA$171=1,IF(AND(AND(74&gt;Corte,74&lt;=Corte+n_Ventana),ISNUMBER(Detalle_24m!CA$18)),Detalle_24m!CA$18,INDEX(Vol_V,5,CA$170)/12)*(1+V_dVol),0))</f>
        <v>0</v>
      </c>
      <c r="CB181" s="48" t="n">
        <f aca="false">IF(CB$8=1,N(Reales!CB16),IF(CB$171=1,IF(AND(AND(75&gt;Corte,75&lt;=Corte+n_Ventana),ISNUMBER(Detalle_24m!CB$18)),Detalle_24m!CB$18,INDEX(Vol_V,5,CB$170)/12)*(1+V_dVol),0))</f>
        <v>0</v>
      </c>
      <c r="CC181" s="48" t="n">
        <f aca="false">IF(CC$8=1,N(Reales!CC16),IF(CC$171=1,IF(AND(AND(76&gt;Corte,76&lt;=Corte+n_Ventana),ISNUMBER(Detalle_24m!CC$18)),Detalle_24m!CC$18,INDEX(Vol_V,5,CC$170)/12)*(1+V_dVol),0))</f>
        <v>0</v>
      </c>
      <c r="CD181" s="48" t="n">
        <f aca="false">IF(CD$8=1,N(Reales!CD16),IF(CD$171=1,IF(AND(AND(77&gt;Corte,77&lt;=Corte+n_Ventana),ISNUMBER(Detalle_24m!CD$18)),Detalle_24m!CD$18,INDEX(Vol_V,5,CD$170)/12)*(1+V_dVol),0))</f>
        <v>0</v>
      </c>
      <c r="CE181" s="48" t="n">
        <f aca="false">IF(CE$8=1,N(Reales!CE16),IF(CE$171=1,IF(AND(AND(78&gt;Corte,78&lt;=Corte+n_Ventana),ISNUMBER(Detalle_24m!CE$18)),Detalle_24m!CE$18,INDEX(Vol_V,5,CE$170)/12)*(1+V_dVol),0))</f>
        <v>0</v>
      </c>
      <c r="CF181" s="48" t="n">
        <f aca="false">IF(CF$8=1,N(Reales!CF16),IF(CF$171=1,IF(AND(AND(79&gt;Corte,79&lt;=Corte+n_Ventana),ISNUMBER(Detalle_24m!CF$18)),Detalle_24m!CF$18,INDEX(Vol_V,5,CF$170)/12)*(1+V_dVol),0))</f>
        <v>0</v>
      </c>
      <c r="CG181" s="48" t="n">
        <f aca="false">IF(CG$8=1,N(Reales!CG16),IF(CG$171=1,IF(AND(AND(80&gt;Corte,80&lt;=Corte+n_Ventana),ISNUMBER(Detalle_24m!CG$18)),Detalle_24m!CG$18,INDEX(Vol_V,5,CG$170)/12)*(1+V_dVol),0))</f>
        <v>0</v>
      </c>
      <c r="CH181" s="48" t="n">
        <f aca="false">IF(CH$8=1,N(Reales!CH16),IF(CH$171=1,IF(AND(AND(81&gt;Corte,81&lt;=Corte+n_Ventana),ISNUMBER(Detalle_24m!CH$18)),Detalle_24m!CH$18,INDEX(Vol_V,5,CH$170)/12)*(1+V_dVol),0))</f>
        <v>0</v>
      </c>
      <c r="CI181" s="48" t="n">
        <f aca="false">IF(CI$8=1,N(Reales!CI16),IF(CI$171=1,IF(AND(AND(82&gt;Corte,82&lt;=Corte+n_Ventana),ISNUMBER(Detalle_24m!CI$18)),Detalle_24m!CI$18,INDEX(Vol_V,5,CI$170)/12)*(1+V_dVol),0))</f>
        <v>0</v>
      </c>
      <c r="CJ181" s="48" t="n">
        <f aca="false">IF(CJ$8=1,N(Reales!CJ16),IF(CJ$171=1,IF(AND(AND(83&gt;Corte,83&lt;=Corte+n_Ventana),ISNUMBER(Detalle_24m!CJ$18)),Detalle_24m!CJ$18,INDEX(Vol_V,5,CJ$170)/12)*(1+V_dVol),0))</f>
        <v>0</v>
      </c>
      <c r="CK181" s="48" t="n">
        <f aca="false">IF(CK$8=1,N(Reales!CK16),IF(CK$171=1,IF(AND(AND(84&gt;Corte,84&lt;=Corte+n_Ventana),ISNUMBER(Detalle_24m!CK$18)),Detalle_24m!CK$18,INDEX(Vol_V,5,CK$170)/12)*(1+V_dVol),0))</f>
        <v>0</v>
      </c>
      <c r="CL181" s="48" t="n">
        <f aca="false">IF(CL$8=1,N(Reales!CL16),IF(CL$171=1,IF(AND(AND(85&gt;Corte,85&lt;=Corte+n_Ventana),ISNUMBER(Detalle_24m!CL$18)),Detalle_24m!CL$18,INDEX(Vol_V,5,CL$170)/12)*(1+V_dVol),0))</f>
        <v>0</v>
      </c>
      <c r="CM181" s="48" t="n">
        <f aca="false">IF(CM$8=1,N(Reales!CM16),IF(CM$171=1,IF(AND(AND(86&gt;Corte,86&lt;=Corte+n_Ventana),ISNUMBER(Detalle_24m!CM$18)),Detalle_24m!CM$18,INDEX(Vol_V,5,CM$170)/12)*(1+V_dVol),0))</f>
        <v>0</v>
      </c>
      <c r="CN181" s="48" t="n">
        <f aca="false">IF(CN$8=1,N(Reales!CN16),IF(CN$171=1,IF(AND(AND(87&gt;Corte,87&lt;=Corte+n_Ventana),ISNUMBER(Detalle_24m!CN$18)),Detalle_24m!CN$18,INDEX(Vol_V,5,CN$170)/12)*(1+V_dVol),0))</f>
        <v>0</v>
      </c>
      <c r="CO181" s="48" t="n">
        <f aca="false">IF(CO$8=1,N(Reales!CO16),IF(CO$171=1,IF(AND(AND(88&gt;Corte,88&lt;=Corte+n_Ventana),ISNUMBER(Detalle_24m!CO$18)),Detalle_24m!CO$18,INDEX(Vol_V,5,CO$170)/12)*(1+V_dVol),0))</f>
        <v>0</v>
      </c>
      <c r="CP181" s="48" t="n">
        <f aca="false">IF(CP$8=1,N(Reales!CP16),IF(CP$171=1,IF(AND(AND(89&gt;Corte,89&lt;=Corte+n_Ventana),ISNUMBER(Detalle_24m!CP$18)),Detalle_24m!CP$18,INDEX(Vol_V,5,CP$170)/12)*(1+V_dVol),0))</f>
        <v>0</v>
      </c>
      <c r="CQ181" s="48" t="n">
        <f aca="false">IF(CQ$8=1,N(Reales!CQ16),IF(CQ$171=1,IF(AND(AND(90&gt;Corte,90&lt;=Corte+n_Ventana),ISNUMBER(Detalle_24m!CQ$18)),Detalle_24m!CQ$18,INDEX(Vol_V,5,CQ$170)/12)*(1+V_dVol),0))</f>
        <v>0</v>
      </c>
      <c r="CR181" s="48" t="n">
        <f aca="false">IF(CR$8=1,N(Reales!CR16),IF(CR$171=1,IF(AND(AND(91&gt;Corte,91&lt;=Corte+n_Ventana),ISNUMBER(Detalle_24m!CR$18)),Detalle_24m!CR$18,INDEX(Vol_V,5,CR$170)/12)*(1+V_dVol),0))</f>
        <v>0</v>
      </c>
      <c r="CS181" s="48" t="n">
        <f aca="false">IF(CS$8=1,N(Reales!CS16),IF(CS$171=1,IF(AND(AND(92&gt;Corte,92&lt;=Corte+n_Ventana),ISNUMBER(Detalle_24m!CS$18)),Detalle_24m!CS$18,INDEX(Vol_V,5,CS$170)/12)*(1+V_dVol),0))</f>
        <v>0</v>
      </c>
      <c r="CT181" s="48" t="n">
        <f aca="false">IF(CT$8=1,N(Reales!CT16),IF(CT$171=1,IF(AND(AND(93&gt;Corte,93&lt;=Corte+n_Ventana),ISNUMBER(Detalle_24m!CT$18)),Detalle_24m!CT$18,INDEX(Vol_V,5,CT$170)/12)*(1+V_dVol),0))</f>
        <v>0</v>
      </c>
      <c r="CU181" s="48" t="n">
        <f aca="false">IF(CU$8=1,N(Reales!CU16),IF(CU$171=1,IF(AND(AND(94&gt;Corte,94&lt;=Corte+n_Ventana),ISNUMBER(Detalle_24m!CU$18)),Detalle_24m!CU$18,INDEX(Vol_V,5,CU$170)/12)*(1+V_dVol),0))</f>
        <v>0</v>
      </c>
      <c r="CV181" s="48" t="n">
        <f aca="false">IF(CV$8=1,N(Reales!CV16),IF(CV$171=1,IF(AND(AND(95&gt;Corte,95&lt;=Corte+n_Ventana),ISNUMBER(Detalle_24m!CV$18)),Detalle_24m!CV$18,INDEX(Vol_V,5,CV$170)/12)*(1+V_dVol),0))</f>
        <v>0</v>
      </c>
      <c r="CW181" s="48" t="n">
        <f aca="false">IF(CW$8=1,N(Reales!CW16),IF(CW$171=1,IF(AND(AND(96&gt;Corte,96&lt;=Corte+n_Ventana),ISNUMBER(Detalle_24m!CW$18)),Detalle_24m!CW$18,INDEX(Vol_V,5,CW$170)/12)*(1+V_dVol),0))</f>
        <v>0</v>
      </c>
      <c r="CX181" s="48" t="n">
        <f aca="false">IF(CX$8=1,N(Reales!CX16),IF(CX$171=1,IF(AND(AND(97&gt;Corte,97&lt;=Corte+n_Ventana),ISNUMBER(Detalle_24m!CX$18)),Detalle_24m!CX$18,INDEX(Vol_V,5,CX$170)/12)*(1+V_dVol),0))</f>
        <v>0</v>
      </c>
      <c r="CY181" s="48" t="n">
        <f aca="false">IF(CY$8=1,N(Reales!CY16),IF(CY$171=1,IF(AND(AND(98&gt;Corte,98&lt;=Corte+n_Ventana),ISNUMBER(Detalle_24m!CY$18)),Detalle_24m!CY$18,INDEX(Vol_V,5,CY$170)/12)*(1+V_dVol),0))</f>
        <v>0</v>
      </c>
      <c r="CZ181" s="48" t="n">
        <f aca="false">IF(CZ$8=1,N(Reales!CZ16),IF(CZ$171=1,IF(AND(AND(99&gt;Corte,99&lt;=Corte+n_Ventana),ISNUMBER(Detalle_24m!CZ$18)),Detalle_24m!CZ$18,INDEX(Vol_V,5,CZ$170)/12)*(1+V_dVol),0))</f>
        <v>0</v>
      </c>
      <c r="DA181" s="48" t="n">
        <f aca="false">IF(DA$8=1,N(Reales!DA16),IF(DA$171=1,IF(AND(AND(100&gt;Corte,100&lt;=Corte+n_Ventana),ISNUMBER(Detalle_24m!DA$18)),Detalle_24m!DA$18,INDEX(Vol_V,5,DA$170)/12)*(1+V_dVol),0))</f>
        <v>0</v>
      </c>
      <c r="DB181" s="48" t="n">
        <f aca="false">IF(DB$8=1,N(Reales!DB16),IF(DB$171=1,IF(AND(AND(101&gt;Corte,101&lt;=Corte+n_Ventana),ISNUMBER(Detalle_24m!DB$18)),Detalle_24m!DB$18,INDEX(Vol_V,5,DB$170)/12)*(1+V_dVol),0))</f>
        <v>0</v>
      </c>
      <c r="DC181" s="48" t="n">
        <f aca="false">IF(DC$8=1,N(Reales!DC16),IF(DC$171=1,IF(AND(AND(102&gt;Corte,102&lt;=Corte+n_Ventana),ISNUMBER(Detalle_24m!DC$18)),Detalle_24m!DC$18,INDEX(Vol_V,5,DC$170)/12)*(1+V_dVol),0))</f>
        <v>0</v>
      </c>
      <c r="DD181" s="48" t="n">
        <f aca="false">IF(DD$8=1,N(Reales!DD16),IF(DD$171=1,IF(AND(AND(103&gt;Corte,103&lt;=Corte+n_Ventana),ISNUMBER(Detalle_24m!DD$18)),Detalle_24m!DD$18,INDEX(Vol_V,5,DD$170)/12)*(1+V_dVol),0))</f>
        <v>0</v>
      </c>
      <c r="DE181" s="48" t="n">
        <f aca="false">IF(DE$8=1,N(Reales!DE16),IF(DE$171=1,IF(AND(AND(104&gt;Corte,104&lt;=Corte+n_Ventana),ISNUMBER(Detalle_24m!DE$18)),Detalle_24m!DE$18,INDEX(Vol_V,5,DE$170)/12)*(1+V_dVol),0))</f>
        <v>0</v>
      </c>
      <c r="DF181" s="48" t="n">
        <f aca="false">IF(DF$8=1,N(Reales!DF16),IF(DF$171=1,IF(AND(AND(105&gt;Corte,105&lt;=Corte+n_Ventana),ISNUMBER(Detalle_24m!DF$18)),Detalle_24m!DF$18,INDEX(Vol_V,5,DF$170)/12)*(1+V_dVol),0))</f>
        <v>0</v>
      </c>
      <c r="DG181" s="48" t="n">
        <f aca="false">IF(DG$8=1,N(Reales!DG16),IF(DG$171=1,IF(AND(AND(106&gt;Corte,106&lt;=Corte+n_Ventana),ISNUMBER(Detalle_24m!DG$18)),Detalle_24m!DG$18,INDEX(Vol_V,5,DG$170)/12)*(1+V_dVol),0))</f>
        <v>0</v>
      </c>
      <c r="DH181" s="48" t="n">
        <f aca="false">IF(DH$8=1,N(Reales!DH16),IF(DH$171=1,IF(AND(AND(107&gt;Corte,107&lt;=Corte+n_Ventana),ISNUMBER(Detalle_24m!DH$18)),Detalle_24m!DH$18,INDEX(Vol_V,5,DH$170)/12)*(1+V_dVol),0))</f>
        <v>0</v>
      </c>
      <c r="DI181" s="48" t="n">
        <f aca="false">IF(DI$8=1,N(Reales!DI16),IF(DI$171=1,IF(AND(AND(108&gt;Corte,108&lt;=Corte+n_Ventana),ISNUMBER(Detalle_24m!DI$18)),Detalle_24m!DI$18,INDEX(Vol_V,5,DI$170)/12)*(1+V_dVol),0))</f>
        <v>0</v>
      </c>
      <c r="DJ181" s="48" t="n">
        <f aca="false">IF(DJ$8=1,N(Reales!DJ16),IF(DJ$171=1,IF(AND(AND(109&gt;Corte,109&lt;=Corte+n_Ventana),ISNUMBER(Detalle_24m!DJ$18)),Detalle_24m!DJ$18,INDEX(Vol_V,5,DJ$170)/12)*(1+V_dVol),0))</f>
        <v>0</v>
      </c>
      <c r="DK181" s="48" t="n">
        <f aca="false">IF(DK$8=1,N(Reales!DK16),IF(DK$171=1,IF(AND(AND(110&gt;Corte,110&lt;=Corte+n_Ventana),ISNUMBER(Detalle_24m!DK$18)),Detalle_24m!DK$18,INDEX(Vol_V,5,DK$170)/12)*(1+V_dVol),0))</f>
        <v>0</v>
      </c>
      <c r="DL181" s="48" t="n">
        <f aca="false">IF(DL$8=1,N(Reales!DL16),IF(DL$171=1,IF(AND(AND(111&gt;Corte,111&lt;=Corte+n_Ventana),ISNUMBER(Detalle_24m!DL$18)),Detalle_24m!DL$18,INDEX(Vol_V,5,DL$170)/12)*(1+V_dVol),0))</f>
        <v>0</v>
      </c>
      <c r="DM181" s="48" t="n">
        <f aca="false">IF(DM$8=1,N(Reales!DM16),IF(DM$171=1,IF(AND(AND(112&gt;Corte,112&lt;=Corte+n_Ventana),ISNUMBER(Detalle_24m!DM$18)),Detalle_24m!DM$18,INDEX(Vol_V,5,DM$170)/12)*(1+V_dVol),0))</f>
        <v>0</v>
      </c>
      <c r="DN181" s="48" t="n">
        <f aca="false">IF(DN$8=1,N(Reales!DN16),IF(DN$171=1,IF(AND(AND(113&gt;Corte,113&lt;=Corte+n_Ventana),ISNUMBER(Detalle_24m!DN$18)),Detalle_24m!DN$18,INDEX(Vol_V,5,DN$170)/12)*(1+V_dVol),0))</f>
        <v>0</v>
      </c>
      <c r="DO181" s="48" t="n">
        <f aca="false">IF(DO$8=1,N(Reales!DO16),IF(DO$171=1,IF(AND(AND(114&gt;Corte,114&lt;=Corte+n_Ventana),ISNUMBER(Detalle_24m!DO$18)),Detalle_24m!DO$18,INDEX(Vol_V,5,DO$170)/12)*(1+V_dVol),0))</f>
        <v>0</v>
      </c>
      <c r="DP181" s="48" t="n">
        <f aca="false">IF(DP$8=1,N(Reales!DP16),IF(DP$171=1,IF(AND(AND(115&gt;Corte,115&lt;=Corte+n_Ventana),ISNUMBER(Detalle_24m!DP$18)),Detalle_24m!DP$18,INDEX(Vol_V,5,DP$170)/12)*(1+V_dVol),0))</f>
        <v>0</v>
      </c>
      <c r="DQ181" s="48" t="n">
        <f aca="false">IF(DQ$8=1,N(Reales!DQ16),IF(DQ$171=1,IF(AND(AND(116&gt;Corte,116&lt;=Corte+n_Ventana),ISNUMBER(Detalle_24m!DQ$18)),Detalle_24m!DQ$18,INDEX(Vol_V,5,DQ$170)/12)*(1+V_dVol),0))</f>
        <v>0</v>
      </c>
      <c r="DR181" s="48" t="n">
        <f aca="false">IF(DR$8=1,N(Reales!DR16),IF(DR$171=1,IF(AND(AND(117&gt;Corte,117&lt;=Corte+n_Ventana),ISNUMBER(Detalle_24m!DR$18)),Detalle_24m!DR$18,INDEX(Vol_V,5,DR$170)/12)*(1+V_dVol),0))</f>
        <v>0</v>
      </c>
      <c r="DS181" s="48" t="n">
        <f aca="false">IF(DS$8=1,N(Reales!DS16),IF(DS$171=1,IF(AND(AND(118&gt;Corte,118&lt;=Corte+n_Ventana),ISNUMBER(Detalle_24m!DS$18)),Detalle_24m!DS$18,INDEX(Vol_V,5,DS$170)/12)*(1+V_dVol),0))</f>
        <v>0</v>
      </c>
      <c r="DT181" s="48" t="n">
        <f aca="false">IF(DT$8=1,N(Reales!DT16),IF(DT$171=1,IF(AND(AND(119&gt;Corte,119&lt;=Corte+n_Ventana),ISNUMBER(Detalle_24m!DT$18)),Detalle_24m!DT$18,INDEX(Vol_V,5,DT$170)/12)*(1+V_dVol),0))</f>
        <v>0</v>
      </c>
      <c r="DU181" s="48" t="n">
        <f aca="false">IF(DU$8=1,N(Reales!DU16),IF(DU$171=1,IF(AND(AND(120&gt;Corte,120&lt;=Corte+n_Ventana),ISNUMBER(Detalle_24m!DU$18)),Detalle_24m!DU$18,INDEX(Vol_V,5,DU$170)/12)*(1+V_dVol),0))</f>
        <v>0</v>
      </c>
      <c r="DV181" s="48" t="n">
        <f aca="false">IF(DV$8=1,N(Reales!DV16),IF(DV$171=1,IF(AND(AND(121&gt;Corte,121&lt;=Corte+n_Ventana),ISNUMBER(Detalle_24m!DV$18)),Detalle_24m!DV$18,INDEX(Vol_V,5,DV$170)/12)*(1+V_dVol),0))</f>
        <v>0</v>
      </c>
      <c r="DW181" s="48" t="n">
        <f aca="false">IF(DW$8=1,N(Reales!DW16),IF(DW$171=1,IF(AND(AND(122&gt;Corte,122&lt;=Corte+n_Ventana),ISNUMBER(Detalle_24m!DW$18)),Detalle_24m!DW$18,INDEX(Vol_V,5,DW$170)/12)*(1+V_dVol),0))</f>
        <v>0</v>
      </c>
      <c r="DX181" s="48" t="n">
        <f aca="false">IF(DX$8=1,N(Reales!DX16),IF(DX$171=1,IF(AND(AND(123&gt;Corte,123&lt;=Corte+n_Ventana),ISNUMBER(Detalle_24m!DX$18)),Detalle_24m!DX$18,INDEX(Vol_V,5,DX$170)/12)*(1+V_dVol),0))</f>
        <v>0</v>
      </c>
      <c r="DY181" s="48" t="n">
        <f aca="false">IF(DY$8=1,N(Reales!DY16),IF(DY$171=1,IF(AND(AND(124&gt;Corte,124&lt;=Corte+n_Ventana),ISNUMBER(Detalle_24m!DY$18)),Detalle_24m!DY$18,INDEX(Vol_V,5,DY$170)/12)*(1+V_dVol),0))</f>
        <v>0</v>
      </c>
      <c r="DZ181" s="48" t="n">
        <f aca="false">IF(DZ$8=1,N(Reales!DZ16),IF(DZ$171=1,IF(AND(AND(125&gt;Corte,125&lt;=Corte+n_Ventana),ISNUMBER(Detalle_24m!DZ$18)),Detalle_24m!DZ$18,INDEX(Vol_V,5,DZ$170)/12)*(1+V_dVol),0))</f>
        <v>0</v>
      </c>
      <c r="EA181" s="48" t="n">
        <f aca="false">IF(EA$8=1,N(Reales!EA16),IF(EA$171=1,IF(AND(AND(126&gt;Corte,126&lt;=Corte+n_Ventana),ISNUMBER(Detalle_24m!EA$18)),Detalle_24m!EA$18,INDEX(Vol_V,5,EA$170)/12)*(1+V_dVol),0))</f>
        <v>0</v>
      </c>
      <c r="EB181" s="48" t="n">
        <f aca="false">IF(EB$8=1,N(Reales!EB16),IF(EB$171=1,IF(AND(AND(127&gt;Corte,127&lt;=Corte+n_Ventana),ISNUMBER(Detalle_24m!EB$18)),Detalle_24m!EB$18,INDEX(Vol_V,5,EB$170)/12)*(1+V_dVol),0))</f>
        <v>0</v>
      </c>
      <c r="EC181" s="48" t="n">
        <f aca="false">IF(EC$8=1,N(Reales!EC16),IF(EC$171=1,IF(AND(AND(128&gt;Corte,128&lt;=Corte+n_Ventana),ISNUMBER(Detalle_24m!EC$18)),Detalle_24m!EC$18,INDEX(Vol_V,5,EC$170)/12)*(1+V_dVol),0))</f>
        <v>0</v>
      </c>
      <c r="ED181" s="48" t="n">
        <f aca="false">IF(ED$8=1,N(Reales!ED16),IF(ED$171=1,IF(AND(AND(129&gt;Corte,129&lt;=Corte+n_Ventana),ISNUMBER(Detalle_24m!ED$18)),Detalle_24m!ED$18,INDEX(Vol_V,5,ED$170)/12)*(1+V_dVol),0))</f>
        <v>0</v>
      </c>
      <c r="EE181" s="48" t="n">
        <f aca="false">IF(EE$8=1,N(Reales!EE16),IF(EE$171=1,IF(AND(AND(130&gt;Corte,130&lt;=Corte+n_Ventana),ISNUMBER(Detalle_24m!EE$18)),Detalle_24m!EE$18,INDEX(Vol_V,5,EE$170)/12)*(1+V_dVol),0))</f>
        <v>0</v>
      </c>
      <c r="EF181" s="48" t="n">
        <f aca="false">IF(EF$8=1,N(Reales!EF16),IF(EF$171=1,IF(AND(AND(131&gt;Corte,131&lt;=Corte+n_Ventana),ISNUMBER(Detalle_24m!EF$18)),Detalle_24m!EF$18,INDEX(Vol_V,5,EF$170)/12)*(1+V_dVol),0))</f>
        <v>0</v>
      </c>
      <c r="EG181" s="48" t="n">
        <f aca="false">IF(EG$8=1,N(Reales!EG16),IF(EG$171=1,IF(AND(AND(132&gt;Corte,132&lt;=Corte+n_Ventana),ISNUMBER(Detalle_24m!EG$18)),Detalle_24m!EG$18,INDEX(Vol_V,5,EG$170)/12)*(1+V_dVol),0))</f>
        <v>0</v>
      </c>
      <c r="EH181" s="48" t="n">
        <f aca="false">IF(EH$8=1,N(Reales!EH16),IF(EH$171=1,IF(AND(AND(133&gt;Corte,133&lt;=Corte+n_Ventana),ISNUMBER(Detalle_24m!EH$18)),Detalle_24m!EH$18,INDEX(Vol_V,5,EH$170)/12)*(1+V_dVol),0))</f>
        <v>0</v>
      </c>
      <c r="EI181" s="48" t="n">
        <f aca="false">IF(EI$8=1,N(Reales!EI16),IF(EI$171=1,IF(AND(AND(134&gt;Corte,134&lt;=Corte+n_Ventana),ISNUMBER(Detalle_24m!EI$18)),Detalle_24m!EI$18,INDEX(Vol_V,5,EI$170)/12)*(1+V_dVol),0))</f>
        <v>0</v>
      </c>
      <c r="EJ181" s="48" t="n">
        <f aca="false">IF(EJ$8=1,N(Reales!EJ16),IF(EJ$171=1,IF(AND(AND(135&gt;Corte,135&lt;=Corte+n_Ventana),ISNUMBER(Detalle_24m!EJ$18)),Detalle_24m!EJ$18,INDEX(Vol_V,5,EJ$170)/12)*(1+V_dVol),0))</f>
        <v>0</v>
      </c>
      <c r="EK181" s="48" t="n">
        <f aca="false">IF(EK$8=1,N(Reales!EK16),IF(EK$171=1,IF(AND(AND(136&gt;Corte,136&lt;=Corte+n_Ventana),ISNUMBER(Detalle_24m!EK$18)),Detalle_24m!EK$18,INDEX(Vol_V,5,EK$170)/12)*(1+V_dVol),0))</f>
        <v>0</v>
      </c>
      <c r="EL181" s="48" t="n">
        <f aca="false">IF(EL$8=1,N(Reales!EL16),IF(EL$171=1,IF(AND(AND(137&gt;Corte,137&lt;=Corte+n_Ventana),ISNUMBER(Detalle_24m!EL$18)),Detalle_24m!EL$18,INDEX(Vol_V,5,EL$170)/12)*(1+V_dVol),0))</f>
        <v>0</v>
      </c>
      <c r="EM181" s="48" t="n">
        <f aca="false">IF(EM$8=1,N(Reales!EM16),IF(EM$171=1,IF(AND(AND(138&gt;Corte,138&lt;=Corte+n_Ventana),ISNUMBER(Detalle_24m!EM$18)),Detalle_24m!EM$18,INDEX(Vol_V,5,EM$170)/12)*(1+V_dVol),0))</f>
        <v>0</v>
      </c>
      <c r="EN181" s="48" t="n">
        <f aca="false">IF(EN$8=1,N(Reales!EN16),IF(EN$171=1,IF(AND(AND(139&gt;Corte,139&lt;=Corte+n_Ventana),ISNUMBER(Detalle_24m!EN$18)),Detalle_24m!EN$18,INDEX(Vol_V,5,EN$170)/12)*(1+V_dVol),0))</f>
        <v>0</v>
      </c>
      <c r="EO181" s="48" t="n">
        <f aca="false">IF(EO$8=1,N(Reales!EO16),IF(EO$171=1,IF(AND(AND(140&gt;Corte,140&lt;=Corte+n_Ventana),ISNUMBER(Detalle_24m!EO$18)),Detalle_24m!EO$18,INDEX(Vol_V,5,EO$170)/12)*(1+V_dVol),0))</f>
        <v>0</v>
      </c>
      <c r="EP181" s="48" t="n">
        <f aca="false">IF(EP$8=1,N(Reales!EP16),IF(EP$171=1,IF(AND(AND(141&gt;Corte,141&lt;=Corte+n_Ventana),ISNUMBER(Detalle_24m!EP$18)),Detalle_24m!EP$18,INDEX(Vol_V,5,EP$170)/12)*(1+V_dVol),0))</f>
        <v>0</v>
      </c>
      <c r="EQ181" s="48" t="n">
        <f aca="false">IF(EQ$8=1,N(Reales!EQ16),IF(EQ$171=1,IF(AND(AND(142&gt;Corte,142&lt;=Corte+n_Ventana),ISNUMBER(Detalle_24m!EQ$18)),Detalle_24m!EQ$18,INDEX(Vol_V,5,EQ$170)/12)*(1+V_dVol),0))</f>
        <v>0</v>
      </c>
      <c r="ER181" s="48" t="n">
        <f aca="false">IF(ER$8=1,N(Reales!ER16),IF(ER$171=1,IF(AND(AND(143&gt;Corte,143&lt;=Corte+n_Ventana),ISNUMBER(Detalle_24m!ER$18)),Detalle_24m!ER$18,INDEX(Vol_V,5,ER$170)/12)*(1+V_dVol),0))</f>
        <v>0</v>
      </c>
      <c r="ES181" s="48" t="n">
        <f aca="false">IF(ES$8=1,N(Reales!ES16),IF(ES$171=1,IF(AND(AND(144&gt;Corte,144&lt;=Corte+n_Ventana),ISNUMBER(Detalle_24m!ES$18)),Detalle_24m!ES$18,INDEX(Vol_V,5,ES$170)/12)*(1+V_dVol),0))</f>
        <v>0</v>
      </c>
    </row>
    <row r="182" customFormat="false" ht="15" hidden="false" customHeight="false" outlineLevel="0" collapsed="false">
      <c r="A182" s="11" t="s">
        <v>1305</v>
      </c>
      <c r="B182" s="53" t="str">
        <f aca="false">IF(INDEX(Prod_Nombre,6)="","Producto 6",INDEX(Prod_Nombre,6))&amp;" — unidades"</f>
        <v>Producto 6 — unidades</v>
      </c>
      <c r="C182" s="15" t="s">
        <v>544</v>
      </c>
      <c r="E182" s="54" t="n">
        <f aca="false">SUM(F182:ES182)</f>
        <v>0</v>
      </c>
      <c r="F182" s="48" t="n">
        <f aca="false">IF(F$8=1,N(Reales!F17),IF(F$171=1,IF(AND(AND(1&gt;Corte,1&lt;=Corte+n_Ventana),ISNUMBER(Detalle_24m!F$19)),Detalle_24m!F$19,INDEX(Vol_V,6,F$170)/12)*(1+V_dVol),0))</f>
        <v>0</v>
      </c>
      <c r="G182" s="48" t="n">
        <f aca="false">IF(G$8=1,N(Reales!G17),IF(G$171=1,IF(AND(AND(2&gt;Corte,2&lt;=Corte+n_Ventana),ISNUMBER(Detalle_24m!G$19)),Detalle_24m!G$19,INDEX(Vol_V,6,G$170)/12)*(1+V_dVol),0))</f>
        <v>0</v>
      </c>
      <c r="H182" s="48" t="n">
        <f aca="false">IF(H$8=1,N(Reales!H17),IF(H$171=1,IF(AND(AND(3&gt;Corte,3&lt;=Corte+n_Ventana),ISNUMBER(Detalle_24m!H$19)),Detalle_24m!H$19,INDEX(Vol_V,6,H$170)/12)*(1+V_dVol),0))</f>
        <v>0</v>
      </c>
      <c r="I182" s="48" t="n">
        <f aca="false">IF(I$8=1,N(Reales!I17),IF(I$171=1,IF(AND(AND(4&gt;Corte,4&lt;=Corte+n_Ventana),ISNUMBER(Detalle_24m!I$19)),Detalle_24m!I$19,INDEX(Vol_V,6,I$170)/12)*(1+V_dVol),0))</f>
        <v>0</v>
      </c>
      <c r="J182" s="48" t="n">
        <f aca="false">IF(J$8=1,N(Reales!J17),IF(J$171=1,IF(AND(AND(5&gt;Corte,5&lt;=Corte+n_Ventana),ISNUMBER(Detalle_24m!J$19)),Detalle_24m!J$19,INDEX(Vol_V,6,J$170)/12)*(1+V_dVol),0))</f>
        <v>0</v>
      </c>
      <c r="K182" s="48" t="n">
        <f aca="false">IF(K$8=1,N(Reales!K17),IF(K$171=1,IF(AND(AND(6&gt;Corte,6&lt;=Corte+n_Ventana),ISNUMBER(Detalle_24m!K$19)),Detalle_24m!K$19,INDEX(Vol_V,6,K$170)/12)*(1+V_dVol),0))</f>
        <v>0</v>
      </c>
      <c r="L182" s="48" t="n">
        <f aca="false">IF(L$8=1,N(Reales!L17),IF(L$171=1,IF(AND(AND(7&gt;Corte,7&lt;=Corte+n_Ventana),ISNUMBER(Detalle_24m!L$19)),Detalle_24m!L$19,INDEX(Vol_V,6,L$170)/12)*(1+V_dVol),0))</f>
        <v>0</v>
      </c>
      <c r="M182" s="48" t="n">
        <f aca="false">IF(M$8=1,N(Reales!M17),IF(M$171=1,IF(AND(AND(8&gt;Corte,8&lt;=Corte+n_Ventana),ISNUMBER(Detalle_24m!M$19)),Detalle_24m!M$19,INDEX(Vol_V,6,M$170)/12)*(1+V_dVol),0))</f>
        <v>0</v>
      </c>
      <c r="N182" s="48" t="n">
        <f aca="false">IF(N$8=1,N(Reales!N17),IF(N$171=1,IF(AND(AND(9&gt;Corte,9&lt;=Corte+n_Ventana),ISNUMBER(Detalle_24m!N$19)),Detalle_24m!N$19,INDEX(Vol_V,6,N$170)/12)*(1+V_dVol),0))</f>
        <v>0</v>
      </c>
      <c r="O182" s="48" t="n">
        <f aca="false">IF(O$8=1,N(Reales!O17),IF(O$171=1,IF(AND(AND(10&gt;Corte,10&lt;=Corte+n_Ventana),ISNUMBER(Detalle_24m!O$19)),Detalle_24m!O$19,INDEX(Vol_V,6,O$170)/12)*(1+V_dVol),0))</f>
        <v>0</v>
      </c>
      <c r="P182" s="48" t="n">
        <f aca="false">IF(P$8=1,N(Reales!P17),IF(P$171=1,IF(AND(AND(11&gt;Corte,11&lt;=Corte+n_Ventana),ISNUMBER(Detalle_24m!P$19)),Detalle_24m!P$19,INDEX(Vol_V,6,P$170)/12)*(1+V_dVol),0))</f>
        <v>0</v>
      </c>
      <c r="Q182" s="48" t="n">
        <f aca="false">IF(Q$8=1,N(Reales!Q17),IF(Q$171=1,IF(AND(AND(12&gt;Corte,12&lt;=Corte+n_Ventana),ISNUMBER(Detalle_24m!Q$19)),Detalle_24m!Q$19,INDEX(Vol_V,6,Q$170)/12)*(1+V_dVol),0))</f>
        <v>0</v>
      </c>
      <c r="R182" s="48" t="n">
        <f aca="false">IF(R$8=1,N(Reales!R17),IF(R$171=1,IF(AND(AND(13&gt;Corte,13&lt;=Corte+n_Ventana),ISNUMBER(Detalle_24m!R$19)),Detalle_24m!R$19,INDEX(Vol_V,6,R$170)/12)*(1+V_dVol),0))</f>
        <v>0</v>
      </c>
      <c r="S182" s="48" t="n">
        <f aca="false">IF(S$8=1,N(Reales!S17),IF(S$171=1,IF(AND(AND(14&gt;Corte,14&lt;=Corte+n_Ventana),ISNUMBER(Detalle_24m!S$19)),Detalle_24m!S$19,INDEX(Vol_V,6,S$170)/12)*(1+V_dVol),0))</f>
        <v>0</v>
      </c>
      <c r="T182" s="48" t="n">
        <f aca="false">IF(T$8=1,N(Reales!T17),IF(T$171=1,IF(AND(AND(15&gt;Corte,15&lt;=Corte+n_Ventana),ISNUMBER(Detalle_24m!T$19)),Detalle_24m!T$19,INDEX(Vol_V,6,T$170)/12)*(1+V_dVol),0))</f>
        <v>0</v>
      </c>
      <c r="U182" s="48" t="n">
        <f aca="false">IF(U$8=1,N(Reales!U17),IF(U$171=1,IF(AND(AND(16&gt;Corte,16&lt;=Corte+n_Ventana),ISNUMBER(Detalle_24m!U$19)),Detalle_24m!U$19,INDEX(Vol_V,6,U$170)/12)*(1+V_dVol),0))</f>
        <v>0</v>
      </c>
      <c r="V182" s="48" t="n">
        <f aca="false">IF(V$8=1,N(Reales!V17),IF(V$171=1,IF(AND(AND(17&gt;Corte,17&lt;=Corte+n_Ventana),ISNUMBER(Detalle_24m!V$19)),Detalle_24m!V$19,INDEX(Vol_V,6,V$170)/12)*(1+V_dVol),0))</f>
        <v>0</v>
      </c>
      <c r="W182" s="48" t="n">
        <f aca="false">IF(W$8=1,N(Reales!W17),IF(W$171=1,IF(AND(AND(18&gt;Corte,18&lt;=Corte+n_Ventana),ISNUMBER(Detalle_24m!W$19)),Detalle_24m!W$19,INDEX(Vol_V,6,W$170)/12)*(1+V_dVol),0))</f>
        <v>0</v>
      </c>
      <c r="X182" s="48" t="n">
        <f aca="false">IF(X$8=1,N(Reales!X17),IF(X$171=1,IF(AND(AND(19&gt;Corte,19&lt;=Corte+n_Ventana),ISNUMBER(Detalle_24m!X$19)),Detalle_24m!X$19,INDEX(Vol_V,6,X$170)/12)*(1+V_dVol),0))</f>
        <v>0</v>
      </c>
      <c r="Y182" s="48" t="n">
        <f aca="false">IF(Y$8=1,N(Reales!Y17),IF(Y$171=1,IF(AND(AND(20&gt;Corte,20&lt;=Corte+n_Ventana),ISNUMBER(Detalle_24m!Y$19)),Detalle_24m!Y$19,INDEX(Vol_V,6,Y$170)/12)*(1+V_dVol),0))</f>
        <v>0</v>
      </c>
      <c r="Z182" s="48" t="n">
        <f aca="false">IF(Z$8=1,N(Reales!Z17),IF(Z$171=1,IF(AND(AND(21&gt;Corte,21&lt;=Corte+n_Ventana),ISNUMBER(Detalle_24m!Z$19)),Detalle_24m!Z$19,INDEX(Vol_V,6,Z$170)/12)*(1+V_dVol),0))</f>
        <v>0</v>
      </c>
      <c r="AA182" s="48" t="n">
        <f aca="false">IF(AA$8=1,N(Reales!AA17),IF(AA$171=1,IF(AND(AND(22&gt;Corte,22&lt;=Corte+n_Ventana),ISNUMBER(Detalle_24m!AA$19)),Detalle_24m!AA$19,INDEX(Vol_V,6,AA$170)/12)*(1+V_dVol),0))</f>
        <v>0</v>
      </c>
      <c r="AB182" s="48" t="n">
        <f aca="false">IF(AB$8=1,N(Reales!AB17),IF(AB$171=1,IF(AND(AND(23&gt;Corte,23&lt;=Corte+n_Ventana),ISNUMBER(Detalle_24m!AB$19)),Detalle_24m!AB$19,INDEX(Vol_V,6,AB$170)/12)*(1+V_dVol),0))</f>
        <v>0</v>
      </c>
      <c r="AC182" s="48" t="n">
        <f aca="false">IF(AC$8=1,N(Reales!AC17),IF(AC$171=1,IF(AND(AND(24&gt;Corte,24&lt;=Corte+n_Ventana),ISNUMBER(Detalle_24m!AC$19)),Detalle_24m!AC$19,INDEX(Vol_V,6,AC$170)/12)*(1+V_dVol),0))</f>
        <v>0</v>
      </c>
      <c r="AD182" s="48" t="n">
        <f aca="false">IF(AD$8=1,N(Reales!AD17),IF(AD$171=1,IF(AND(AND(25&gt;Corte,25&lt;=Corte+n_Ventana),ISNUMBER(Detalle_24m!AD$19)),Detalle_24m!AD$19,INDEX(Vol_V,6,AD$170)/12)*(1+V_dVol),0))</f>
        <v>0</v>
      </c>
      <c r="AE182" s="48" t="n">
        <f aca="false">IF(AE$8=1,N(Reales!AE17),IF(AE$171=1,IF(AND(AND(26&gt;Corte,26&lt;=Corte+n_Ventana),ISNUMBER(Detalle_24m!AE$19)),Detalle_24m!AE$19,INDEX(Vol_V,6,AE$170)/12)*(1+V_dVol),0))</f>
        <v>0</v>
      </c>
      <c r="AF182" s="48" t="n">
        <f aca="false">IF(AF$8=1,N(Reales!AF17),IF(AF$171=1,IF(AND(AND(27&gt;Corte,27&lt;=Corte+n_Ventana),ISNUMBER(Detalle_24m!AF$19)),Detalle_24m!AF$19,INDEX(Vol_V,6,AF$170)/12)*(1+V_dVol),0))</f>
        <v>0</v>
      </c>
      <c r="AG182" s="48" t="n">
        <f aca="false">IF(AG$8=1,N(Reales!AG17),IF(AG$171=1,IF(AND(AND(28&gt;Corte,28&lt;=Corte+n_Ventana),ISNUMBER(Detalle_24m!AG$19)),Detalle_24m!AG$19,INDEX(Vol_V,6,AG$170)/12)*(1+V_dVol),0))</f>
        <v>0</v>
      </c>
      <c r="AH182" s="48" t="n">
        <f aca="false">IF(AH$8=1,N(Reales!AH17),IF(AH$171=1,IF(AND(AND(29&gt;Corte,29&lt;=Corte+n_Ventana),ISNUMBER(Detalle_24m!AH$19)),Detalle_24m!AH$19,INDEX(Vol_V,6,AH$170)/12)*(1+V_dVol),0))</f>
        <v>0</v>
      </c>
      <c r="AI182" s="48" t="n">
        <f aca="false">IF(AI$8=1,N(Reales!AI17),IF(AI$171=1,IF(AND(AND(30&gt;Corte,30&lt;=Corte+n_Ventana),ISNUMBER(Detalle_24m!AI$19)),Detalle_24m!AI$19,INDEX(Vol_V,6,AI$170)/12)*(1+V_dVol),0))</f>
        <v>0</v>
      </c>
      <c r="AJ182" s="48" t="n">
        <f aca="false">IF(AJ$8=1,N(Reales!AJ17),IF(AJ$171=1,IF(AND(AND(31&gt;Corte,31&lt;=Corte+n_Ventana),ISNUMBER(Detalle_24m!AJ$19)),Detalle_24m!AJ$19,INDEX(Vol_V,6,AJ$170)/12)*(1+V_dVol),0))</f>
        <v>0</v>
      </c>
      <c r="AK182" s="48" t="n">
        <f aca="false">IF(AK$8=1,N(Reales!AK17),IF(AK$171=1,IF(AND(AND(32&gt;Corte,32&lt;=Corte+n_Ventana),ISNUMBER(Detalle_24m!AK$19)),Detalle_24m!AK$19,INDEX(Vol_V,6,AK$170)/12)*(1+V_dVol),0))</f>
        <v>0</v>
      </c>
      <c r="AL182" s="48" t="n">
        <f aca="false">IF(AL$8=1,N(Reales!AL17),IF(AL$171=1,IF(AND(AND(33&gt;Corte,33&lt;=Corte+n_Ventana),ISNUMBER(Detalle_24m!AL$19)),Detalle_24m!AL$19,INDEX(Vol_V,6,AL$170)/12)*(1+V_dVol),0))</f>
        <v>0</v>
      </c>
      <c r="AM182" s="48" t="n">
        <f aca="false">IF(AM$8=1,N(Reales!AM17),IF(AM$171=1,IF(AND(AND(34&gt;Corte,34&lt;=Corte+n_Ventana),ISNUMBER(Detalle_24m!AM$19)),Detalle_24m!AM$19,INDEX(Vol_V,6,AM$170)/12)*(1+V_dVol),0))</f>
        <v>0</v>
      </c>
      <c r="AN182" s="48" t="n">
        <f aca="false">IF(AN$8=1,N(Reales!AN17),IF(AN$171=1,IF(AND(AND(35&gt;Corte,35&lt;=Corte+n_Ventana),ISNUMBER(Detalle_24m!AN$19)),Detalle_24m!AN$19,INDEX(Vol_V,6,AN$170)/12)*(1+V_dVol),0))</f>
        <v>0</v>
      </c>
      <c r="AO182" s="48" t="n">
        <f aca="false">IF(AO$8=1,N(Reales!AO17),IF(AO$171=1,IF(AND(AND(36&gt;Corte,36&lt;=Corte+n_Ventana),ISNUMBER(Detalle_24m!AO$19)),Detalle_24m!AO$19,INDEX(Vol_V,6,AO$170)/12)*(1+V_dVol),0))</f>
        <v>0</v>
      </c>
      <c r="AP182" s="48" t="n">
        <f aca="false">IF(AP$8=1,N(Reales!AP17),IF(AP$171=1,IF(AND(AND(37&gt;Corte,37&lt;=Corte+n_Ventana),ISNUMBER(Detalle_24m!AP$19)),Detalle_24m!AP$19,INDEX(Vol_V,6,AP$170)/12)*(1+V_dVol),0))</f>
        <v>0</v>
      </c>
      <c r="AQ182" s="48" t="n">
        <f aca="false">IF(AQ$8=1,N(Reales!AQ17),IF(AQ$171=1,IF(AND(AND(38&gt;Corte,38&lt;=Corte+n_Ventana),ISNUMBER(Detalle_24m!AQ$19)),Detalle_24m!AQ$19,INDEX(Vol_V,6,AQ$170)/12)*(1+V_dVol),0))</f>
        <v>0</v>
      </c>
      <c r="AR182" s="48" t="n">
        <f aca="false">IF(AR$8=1,N(Reales!AR17),IF(AR$171=1,IF(AND(AND(39&gt;Corte,39&lt;=Corte+n_Ventana),ISNUMBER(Detalle_24m!AR$19)),Detalle_24m!AR$19,INDEX(Vol_V,6,AR$170)/12)*(1+V_dVol),0))</f>
        <v>0</v>
      </c>
      <c r="AS182" s="48" t="n">
        <f aca="false">IF(AS$8=1,N(Reales!AS17),IF(AS$171=1,IF(AND(AND(40&gt;Corte,40&lt;=Corte+n_Ventana),ISNUMBER(Detalle_24m!AS$19)),Detalle_24m!AS$19,INDEX(Vol_V,6,AS$170)/12)*(1+V_dVol),0))</f>
        <v>0</v>
      </c>
      <c r="AT182" s="48" t="n">
        <f aca="false">IF(AT$8=1,N(Reales!AT17),IF(AT$171=1,IF(AND(AND(41&gt;Corte,41&lt;=Corte+n_Ventana),ISNUMBER(Detalle_24m!AT$19)),Detalle_24m!AT$19,INDEX(Vol_V,6,AT$170)/12)*(1+V_dVol),0))</f>
        <v>0</v>
      </c>
      <c r="AU182" s="48" t="n">
        <f aca="false">IF(AU$8=1,N(Reales!AU17),IF(AU$171=1,IF(AND(AND(42&gt;Corte,42&lt;=Corte+n_Ventana),ISNUMBER(Detalle_24m!AU$19)),Detalle_24m!AU$19,INDEX(Vol_V,6,AU$170)/12)*(1+V_dVol),0))</f>
        <v>0</v>
      </c>
      <c r="AV182" s="48" t="n">
        <f aca="false">IF(AV$8=1,N(Reales!AV17),IF(AV$171=1,IF(AND(AND(43&gt;Corte,43&lt;=Corte+n_Ventana),ISNUMBER(Detalle_24m!AV$19)),Detalle_24m!AV$19,INDEX(Vol_V,6,AV$170)/12)*(1+V_dVol),0))</f>
        <v>0</v>
      </c>
      <c r="AW182" s="48" t="n">
        <f aca="false">IF(AW$8=1,N(Reales!AW17),IF(AW$171=1,IF(AND(AND(44&gt;Corte,44&lt;=Corte+n_Ventana),ISNUMBER(Detalle_24m!AW$19)),Detalle_24m!AW$19,INDEX(Vol_V,6,AW$170)/12)*(1+V_dVol),0))</f>
        <v>0</v>
      </c>
      <c r="AX182" s="48" t="n">
        <f aca="false">IF(AX$8=1,N(Reales!AX17),IF(AX$171=1,IF(AND(AND(45&gt;Corte,45&lt;=Corte+n_Ventana),ISNUMBER(Detalle_24m!AX$19)),Detalle_24m!AX$19,INDEX(Vol_V,6,AX$170)/12)*(1+V_dVol),0))</f>
        <v>0</v>
      </c>
      <c r="AY182" s="48" t="n">
        <f aca="false">IF(AY$8=1,N(Reales!AY17),IF(AY$171=1,IF(AND(AND(46&gt;Corte,46&lt;=Corte+n_Ventana),ISNUMBER(Detalle_24m!AY$19)),Detalle_24m!AY$19,INDEX(Vol_V,6,AY$170)/12)*(1+V_dVol),0))</f>
        <v>0</v>
      </c>
      <c r="AZ182" s="48" t="n">
        <f aca="false">IF(AZ$8=1,N(Reales!AZ17),IF(AZ$171=1,IF(AND(AND(47&gt;Corte,47&lt;=Corte+n_Ventana),ISNUMBER(Detalle_24m!AZ$19)),Detalle_24m!AZ$19,INDEX(Vol_V,6,AZ$170)/12)*(1+V_dVol),0))</f>
        <v>0</v>
      </c>
      <c r="BA182" s="48" t="n">
        <f aca="false">IF(BA$8=1,N(Reales!BA17),IF(BA$171=1,IF(AND(AND(48&gt;Corte,48&lt;=Corte+n_Ventana),ISNUMBER(Detalle_24m!BA$19)),Detalle_24m!BA$19,INDEX(Vol_V,6,BA$170)/12)*(1+V_dVol),0))</f>
        <v>0</v>
      </c>
      <c r="BB182" s="48" t="n">
        <f aca="false">IF(BB$8=1,N(Reales!BB17),IF(BB$171=1,IF(AND(AND(49&gt;Corte,49&lt;=Corte+n_Ventana),ISNUMBER(Detalle_24m!BB$19)),Detalle_24m!BB$19,INDEX(Vol_V,6,BB$170)/12)*(1+V_dVol),0))</f>
        <v>0</v>
      </c>
      <c r="BC182" s="48" t="n">
        <f aca="false">IF(BC$8=1,N(Reales!BC17),IF(BC$171=1,IF(AND(AND(50&gt;Corte,50&lt;=Corte+n_Ventana),ISNUMBER(Detalle_24m!BC$19)),Detalle_24m!BC$19,INDEX(Vol_V,6,BC$170)/12)*(1+V_dVol),0))</f>
        <v>0</v>
      </c>
      <c r="BD182" s="48" t="n">
        <f aca="false">IF(BD$8=1,N(Reales!BD17),IF(BD$171=1,IF(AND(AND(51&gt;Corte,51&lt;=Corte+n_Ventana),ISNUMBER(Detalle_24m!BD$19)),Detalle_24m!BD$19,INDEX(Vol_V,6,BD$170)/12)*(1+V_dVol),0))</f>
        <v>0</v>
      </c>
      <c r="BE182" s="48" t="n">
        <f aca="false">IF(BE$8=1,N(Reales!BE17),IF(BE$171=1,IF(AND(AND(52&gt;Corte,52&lt;=Corte+n_Ventana),ISNUMBER(Detalle_24m!BE$19)),Detalle_24m!BE$19,INDEX(Vol_V,6,BE$170)/12)*(1+V_dVol),0))</f>
        <v>0</v>
      </c>
      <c r="BF182" s="48" t="n">
        <f aca="false">IF(BF$8=1,N(Reales!BF17),IF(BF$171=1,IF(AND(AND(53&gt;Corte,53&lt;=Corte+n_Ventana),ISNUMBER(Detalle_24m!BF$19)),Detalle_24m!BF$19,INDEX(Vol_V,6,BF$170)/12)*(1+V_dVol),0))</f>
        <v>0</v>
      </c>
      <c r="BG182" s="48" t="n">
        <f aca="false">IF(BG$8=1,N(Reales!BG17),IF(BG$171=1,IF(AND(AND(54&gt;Corte,54&lt;=Corte+n_Ventana),ISNUMBER(Detalle_24m!BG$19)),Detalle_24m!BG$19,INDEX(Vol_V,6,BG$170)/12)*(1+V_dVol),0))</f>
        <v>0</v>
      </c>
      <c r="BH182" s="48" t="n">
        <f aca="false">IF(BH$8=1,N(Reales!BH17),IF(BH$171=1,IF(AND(AND(55&gt;Corte,55&lt;=Corte+n_Ventana),ISNUMBER(Detalle_24m!BH$19)),Detalle_24m!BH$19,INDEX(Vol_V,6,BH$170)/12)*(1+V_dVol),0))</f>
        <v>0</v>
      </c>
      <c r="BI182" s="48" t="n">
        <f aca="false">IF(BI$8=1,N(Reales!BI17),IF(BI$171=1,IF(AND(AND(56&gt;Corte,56&lt;=Corte+n_Ventana),ISNUMBER(Detalle_24m!BI$19)),Detalle_24m!BI$19,INDEX(Vol_V,6,BI$170)/12)*(1+V_dVol),0))</f>
        <v>0</v>
      </c>
      <c r="BJ182" s="48" t="n">
        <f aca="false">IF(BJ$8=1,N(Reales!BJ17),IF(BJ$171=1,IF(AND(AND(57&gt;Corte,57&lt;=Corte+n_Ventana),ISNUMBER(Detalle_24m!BJ$19)),Detalle_24m!BJ$19,INDEX(Vol_V,6,BJ$170)/12)*(1+V_dVol),0))</f>
        <v>0</v>
      </c>
      <c r="BK182" s="48" t="n">
        <f aca="false">IF(BK$8=1,N(Reales!BK17),IF(BK$171=1,IF(AND(AND(58&gt;Corte,58&lt;=Corte+n_Ventana),ISNUMBER(Detalle_24m!BK$19)),Detalle_24m!BK$19,INDEX(Vol_V,6,BK$170)/12)*(1+V_dVol),0))</f>
        <v>0</v>
      </c>
      <c r="BL182" s="48" t="n">
        <f aca="false">IF(BL$8=1,N(Reales!BL17),IF(BL$171=1,IF(AND(AND(59&gt;Corte,59&lt;=Corte+n_Ventana),ISNUMBER(Detalle_24m!BL$19)),Detalle_24m!BL$19,INDEX(Vol_V,6,BL$170)/12)*(1+V_dVol),0))</f>
        <v>0</v>
      </c>
      <c r="BM182" s="48" t="n">
        <f aca="false">IF(BM$8=1,N(Reales!BM17),IF(BM$171=1,IF(AND(AND(60&gt;Corte,60&lt;=Corte+n_Ventana),ISNUMBER(Detalle_24m!BM$19)),Detalle_24m!BM$19,INDEX(Vol_V,6,BM$170)/12)*(1+V_dVol),0))</f>
        <v>0</v>
      </c>
      <c r="BN182" s="48" t="n">
        <f aca="false">IF(BN$8=1,N(Reales!BN17),IF(BN$171=1,IF(AND(AND(61&gt;Corte,61&lt;=Corte+n_Ventana),ISNUMBER(Detalle_24m!BN$19)),Detalle_24m!BN$19,INDEX(Vol_V,6,BN$170)/12)*(1+V_dVol),0))</f>
        <v>0</v>
      </c>
      <c r="BO182" s="48" t="n">
        <f aca="false">IF(BO$8=1,N(Reales!BO17),IF(BO$171=1,IF(AND(AND(62&gt;Corte,62&lt;=Corte+n_Ventana),ISNUMBER(Detalle_24m!BO$19)),Detalle_24m!BO$19,INDEX(Vol_V,6,BO$170)/12)*(1+V_dVol),0))</f>
        <v>0</v>
      </c>
      <c r="BP182" s="48" t="n">
        <f aca="false">IF(BP$8=1,N(Reales!BP17),IF(BP$171=1,IF(AND(AND(63&gt;Corte,63&lt;=Corte+n_Ventana),ISNUMBER(Detalle_24m!BP$19)),Detalle_24m!BP$19,INDEX(Vol_V,6,BP$170)/12)*(1+V_dVol),0))</f>
        <v>0</v>
      </c>
      <c r="BQ182" s="48" t="n">
        <f aca="false">IF(BQ$8=1,N(Reales!BQ17),IF(BQ$171=1,IF(AND(AND(64&gt;Corte,64&lt;=Corte+n_Ventana),ISNUMBER(Detalle_24m!BQ$19)),Detalle_24m!BQ$19,INDEX(Vol_V,6,BQ$170)/12)*(1+V_dVol),0))</f>
        <v>0</v>
      </c>
      <c r="BR182" s="48" t="n">
        <f aca="false">IF(BR$8=1,N(Reales!BR17),IF(BR$171=1,IF(AND(AND(65&gt;Corte,65&lt;=Corte+n_Ventana),ISNUMBER(Detalle_24m!BR$19)),Detalle_24m!BR$19,INDEX(Vol_V,6,BR$170)/12)*(1+V_dVol),0))</f>
        <v>0</v>
      </c>
      <c r="BS182" s="48" t="n">
        <f aca="false">IF(BS$8=1,N(Reales!BS17),IF(BS$171=1,IF(AND(AND(66&gt;Corte,66&lt;=Corte+n_Ventana),ISNUMBER(Detalle_24m!BS$19)),Detalle_24m!BS$19,INDEX(Vol_V,6,BS$170)/12)*(1+V_dVol),0))</f>
        <v>0</v>
      </c>
      <c r="BT182" s="48" t="n">
        <f aca="false">IF(BT$8=1,N(Reales!BT17),IF(BT$171=1,IF(AND(AND(67&gt;Corte,67&lt;=Corte+n_Ventana),ISNUMBER(Detalle_24m!BT$19)),Detalle_24m!BT$19,INDEX(Vol_V,6,BT$170)/12)*(1+V_dVol),0))</f>
        <v>0</v>
      </c>
      <c r="BU182" s="48" t="n">
        <f aca="false">IF(BU$8=1,N(Reales!BU17),IF(BU$171=1,IF(AND(AND(68&gt;Corte,68&lt;=Corte+n_Ventana),ISNUMBER(Detalle_24m!BU$19)),Detalle_24m!BU$19,INDEX(Vol_V,6,BU$170)/12)*(1+V_dVol),0))</f>
        <v>0</v>
      </c>
      <c r="BV182" s="48" t="n">
        <f aca="false">IF(BV$8=1,N(Reales!BV17),IF(BV$171=1,IF(AND(AND(69&gt;Corte,69&lt;=Corte+n_Ventana),ISNUMBER(Detalle_24m!BV$19)),Detalle_24m!BV$19,INDEX(Vol_V,6,BV$170)/12)*(1+V_dVol),0))</f>
        <v>0</v>
      </c>
      <c r="BW182" s="48" t="n">
        <f aca="false">IF(BW$8=1,N(Reales!BW17),IF(BW$171=1,IF(AND(AND(70&gt;Corte,70&lt;=Corte+n_Ventana),ISNUMBER(Detalle_24m!BW$19)),Detalle_24m!BW$19,INDEX(Vol_V,6,BW$170)/12)*(1+V_dVol),0))</f>
        <v>0</v>
      </c>
      <c r="BX182" s="48" t="n">
        <f aca="false">IF(BX$8=1,N(Reales!BX17),IF(BX$171=1,IF(AND(AND(71&gt;Corte,71&lt;=Corte+n_Ventana),ISNUMBER(Detalle_24m!BX$19)),Detalle_24m!BX$19,INDEX(Vol_V,6,BX$170)/12)*(1+V_dVol),0))</f>
        <v>0</v>
      </c>
      <c r="BY182" s="48" t="n">
        <f aca="false">IF(BY$8=1,N(Reales!BY17),IF(BY$171=1,IF(AND(AND(72&gt;Corte,72&lt;=Corte+n_Ventana),ISNUMBER(Detalle_24m!BY$19)),Detalle_24m!BY$19,INDEX(Vol_V,6,BY$170)/12)*(1+V_dVol),0))</f>
        <v>0</v>
      </c>
      <c r="BZ182" s="48" t="n">
        <f aca="false">IF(BZ$8=1,N(Reales!BZ17),IF(BZ$171=1,IF(AND(AND(73&gt;Corte,73&lt;=Corte+n_Ventana),ISNUMBER(Detalle_24m!BZ$19)),Detalle_24m!BZ$19,INDEX(Vol_V,6,BZ$170)/12)*(1+V_dVol),0))</f>
        <v>0</v>
      </c>
      <c r="CA182" s="48" t="n">
        <f aca="false">IF(CA$8=1,N(Reales!CA17),IF(CA$171=1,IF(AND(AND(74&gt;Corte,74&lt;=Corte+n_Ventana),ISNUMBER(Detalle_24m!CA$19)),Detalle_24m!CA$19,INDEX(Vol_V,6,CA$170)/12)*(1+V_dVol),0))</f>
        <v>0</v>
      </c>
      <c r="CB182" s="48" t="n">
        <f aca="false">IF(CB$8=1,N(Reales!CB17),IF(CB$171=1,IF(AND(AND(75&gt;Corte,75&lt;=Corte+n_Ventana),ISNUMBER(Detalle_24m!CB$19)),Detalle_24m!CB$19,INDEX(Vol_V,6,CB$170)/12)*(1+V_dVol),0))</f>
        <v>0</v>
      </c>
      <c r="CC182" s="48" t="n">
        <f aca="false">IF(CC$8=1,N(Reales!CC17),IF(CC$171=1,IF(AND(AND(76&gt;Corte,76&lt;=Corte+n_Ventana),ISNUMBER(Detalle_24m!CC$19)),Detalle_24m!CC$19,INDEX(Vol_V,6,CC$170)/12)*(1+V_dVol),0))</f>
        <v>0</v>
      </c>
      <c r="CD182" s="48" t="n">
        <f aca="false">IF(CD$8=1,N(Reales!CD17),IF(CD$171=1,IF(AND(AND(77&gt;Corte,77&lt;=Corte+n_Ventana),ISNUMBER(Detalle_24m!CD$19)),Detalle_24m!CD$19,INDEX(Vol_V,6,CD$170)/12)*(1+V_dVol),0))</f>
        <v>0</v>
      </c>
      <c r="CE182" s="48" t="n">
        <f aca="false">IF(CE$8=1,N(Reales!CE17),IF(CE$171=1,IF(AND(AND(78&gt;Corte,78&lt;=Corte+n_Ventana),ISNUMBER(Detalle_24m!CE$19)),Detalle_24m!CE$19,INDEX(Vol_V,6,CE$170)/12)*(1+V_dVol),0))</f>
        <v>0</v>
      </c>
      <c r="CF182" s="48" t="n">
        <f aca="false">IF(CF$8=1,N(Reales!CF17),IF(CF$171=1,IF(AND(AND(79&gt;Corte,79&lt;=Corte+n_Ventana),ISNUMBER(Detalle_24m!CF$19)),Detalle_24m!CF$19,INDEX(Vol_V,6,CF$170)/12)*(1+V_dVol),0))</f>
        <v>0</v>
      </c>
      <c r="CG182" s="48" t="n">
        <f aca="false">IF(CG$8=1,N(Reales!CG17),IF(CG$171=1,IF(AND(AND(80&gt;Corte,80&lt;=Corte+n_Ventana),ISNUMBER(Detalle_24m!CG$19)),Detalle_24m!CG$19,INDEX(Vol_V,6,CG$170)/12)*(1+V_dVol),0))</f>
        <v>0</v>
      </c>
      <c r="CH182" s="48" t="n">
        <f aca="false">IF(CH$8=1,N(Reales!CH17),IF(CH$171=1,IF(AND(AND(81&gt;Corte,81&lt;=Corte+n_Ventana),ISNUMBER(Detalle_24m!CH$19)),Detalle_24m!CH$19,INDEX(Vol_V,6,CH$170)/12)*(1+V_dVol),0))</f>
        <v>0</v>
      </c>
      <c r="CI182" s="48" t="n">
        <f aca="false">IF(CI$8=1,N(Reales!CI17),IF(CI$171=1,IF(AND(AND(82&gt;Corte,82&lt;=Corte+n_Ventana),ISNUMBER(Detalle_24m!CI$19)),Detalle_24m!CI$19,INDEX(Vol_V,6,CI$170)/12)*(1+V_dVol),0))</f>
        <v>0</v>
      </c>
      <c r="CJ182" s="48" t="n">
        <f aca="false">IF(CJ$8=1,N(Reales!CJ17),IF(CJ$171=1,IF(AND(AND(83&gt;Corte,83&lt;=Corte+n_Ventana),ISNUMBER(Detalle_24m!CJ$19)),Detalle_24m!CJ$19,INDEX(Vol_V,6,CJ$170)/12)*(1+V_dVol),0))</f>
        <v>0</v>
      </c>
      <c r="CK182" s="48" t="n">
        <f aca="false">IF(CK$8=1,N(Reales!CK17),IF(CK$171=1,IF(AND(AND(84&gt;Corte,84&lt;=Corte+n_Ventana),ISNUMBER(Detalle_24m!CK$19)),Detalle_24m!CK$19,INDEX(Vol_V,6,CK$170)/12)*(1+V_dVol),0))</f>
        <v>0</v>
      </c>
      <c r="CL182" s="48" t="n">
        <f aca="false">IF(CL$8=1,N(Reales!CL17),IF(CL$171=1,IF(AND(AND(85&gt;Corte,85&lt;=Corte+n_Ventana),ISNUMBER(Detalle_24m!CL$19)),Detalle_24m!CL$19,INDEX(Vol_V,6,CL$170)/12)*(1+V_dVol),0))</f>
        <v>0</v>
      </c>
      <c r="CM182" s="48" t="n">
        <f aca="false">IF(CM$8=1,N(Reales!CM17),IF(CM$171=1,IF(AND(AND(86&gt;Corte,86&lt;=Corte+n_Ventana),ISNUMBER(Detalle_24m!CM$19)),Detalle_24m!CM$19,INDEX(Vol_V,6,CM$170)/12)*(1+V_dVol),0))</f>
        <v>0</v>
      </c>
      <c r="CN182" s="48" t="n">
        <f aca="false">IF(CN$8=1,N(Reales!CN17),IF(CN$171=1,IF(AND(AND(87&gt;Corte,87&lt;=Corte+n_Ventana),ISNUMBER(Detalle_24m!CN$19)),Detalle_24m!CN$19,INDEX(Vol_V,6,CN$170)/12)*(1+V_dVol),0))</f>
        <v>0</v>
      </c>
      <c r="CO182" s="48" t="n">
        <f aca="false">IF(CO$8=1,N(Reales!CO17),IF(CO$171=1,IF(AND(AND(88&gt;Corte,88&lt;=Corte+n_Ventana),ISNUMBER(Detalle_24m!CO$19)),Detalle_24m!CO$19,INDEX(Vol_V,6,CO$170)/12)*(1+V_dVol),0))</f>
        <v>0</v>
      </c>
      <c r="CP182" s="48" t="n">
        <f aca="false">IF(CP$8=1,N(Reales!CP17),IF(CP$171=1,IF(AND(AND(89&gt;Corte,89&lt;=Corte+n_Ventana),ISNUMBER(Detalle_24m!CP$19)),Detalle_24m!CP$19,INDEX(Vol_V,6,CP$170)/12)*(1+V_dVol),0))</f>
        <v>0</v>
      </c>
      <c r="CQ182" s="48" t="n">
        <f aca="false">IF(CQ$8=1,N(Reales!CQ17),IF(CQ$171=1,IF(AND(AND(90&gt;Corte,90&lt;=Corte+n_Ventana),ISNUMBER(Detalle_24m!CQ$19)),Detalle_24m!CQ$19,INDEX(Vol_V,6,CQ$170)/12)*(1+V_dVol),0))</f>
        <v>0</v>
      </c>
      <c r="CR182" s="48" t="n">
        <f aca="false">IF(CR$8=1,N(Reales!CR17),IF(CR$171=1,IF(AND(AND(91&gt;Corte,91&lt;=Corte+n_Ventana),ISNUMBER(Detalle_24m!CR$19)),Detalle_24m!CR$19,INDEX(Vol_V,6,CR$170)/12)*(1+V_dVol),0))</f>
        <v>0</v>
      </c>
      <c r="CS182" s="48" t="n">
        <f aca="false">IF(CS$8=1,N(Reales!CS17),IF(CS$171=1,IF(AND(AND(92&gt;Corte,92&lt;=Corte+n_Ventana),ISNUMBER(Detalle_24m!CS$19)),Detalle_24m!CS$19,INDEX(Vol_V,6,CS$170)/12)*(1+V_dVol),0))</f>
        <v>0</v>
      </c>
      <c r="CT182" s="48" t="n">
        <f aca="false">IF(CT$8=1,N(Reales!CT17),IF(CT$171=1,IF(AND(AND(93&gt;Corte,93&lt;=Corte+n_Ventana),ISNUMBER(Detalle_24m!CT$19)),Detalle_24m!CT$19,INDEX(Vol_V,6,CT$170)/12)*(1+V_dVol),0))</f>
        <v>0</v>
      </c>
      <c r="CU182" s="48" t="n">
        <f aca="false">IF(CU$8=1,N(Reales!CU17),IF(CU$171=1,IF(AND(AND(94&gt;Corte,94&lt;=Corte+n_Ventana),ISNUMBER(Detalle_24m!CU$19)),Detalle_24m!CU$19,INDEX(Vol_V,6,CU$170)/12)*(1+V_dVol),0))</f>
        <v>0</v>
      </c>
      <c r="CV182" s="48" t="n">
        <f aca="false">IF(CV$8=1,N(Reales!CV17),IF(CV$171=1,IF(AND(AND(95&gt;Corte,95&lt;=Corte+n_Ventana),ISNUMBER(Detalle_24m!CV$19)),Detalle_24m!CV$19,INDEX(Vol_V,6,CV$170)/12)*(1+V_dVol),0))</f>
        <v>0</v>
      </c>
      <c r="CW182" s="48" t="n">
        <f aca="false">IF(CW$8=1,N(Reales!CW17),IF(CW$171=1,IF(AND(AND(96&gt;Corte,96&lt;=Corte+n_Ventana),ISNUMBER(Detalle_24m!CW$19)),Detalle_24m!CW$19,INDEX(Vol_V,6,CW$170)/12)*(1+V_dVol),0))</f>
        <v>0</v>
      </c>
      <c r="CX182" s="48" t="n">
        <f aca="false">IF(CX$8=1,N(Reales!CX17),IF(CX$171=1,IF(AND(AND(97&gt;Corte,97&lt;=Corte+n_Ventana),ISNUMBER(Detalle_24m!CX$19)),Detalle_24m!CX$19,INDEX(Vol_V,6,CX$170)/12)*(1+V_dVol),0))</f>
        <v>0</v>
      </c>
      <c r="CY182" s="48" t="n">
        <f aca="false">IF(CY$8=1,N(Reales!CY17),IF(CY$171=1,IF(AND(AND(98&gt;Corte,98&lt;=Corte+n_Ventana),ISNUMBER(Detalle_24m!CY$19)),Detalle_24m!CY$19,INDEX(Vol_V,6,CY$170)/12)*(1+V_dVol),0))</f>
        <v>0</v>
      </c>
      <c r="CZ182" s="48" t="n">
        <f aca="false">IF(CZ$8=1,N(Reales!CZ17),IF(CZ$171=1,IF(AND(AND(99&gt;Corte,99&lt;=Corte+n_Ventana),ISNUMBER(Detalle_24m!CZ$19)),Detalle_24m!CZ$19,INDEX(Vol_V,6,CZ$170)/12)*(1+V_dVol),0))</f>
        <v>0</v>
      </c>
      <c r="DA182" s="48" t="n">
        <f aca="false">IF(DA$8=1,N(Reales!DA17),IF(DA$171=1,IF(AND(AND(100&gt;Corte,100&lt;=Corte+n_Ventana),ISNUMBER(Detalle_24m!DA$19)),Detalle_24m!DA$19,INDEX(Vol_V,6,DA$170)/12)*(1+V_dVol),0))</f>
        <v>0</v>
      </c>
      <c r="DB182" s="48" t="n">
        <f aca="false">IF(DB$8=1,N(Reales!DB17),IF(DB$171=1,IF(AND(AND(101&gt;Corte,101&lt;=Corte+n_Ventana),ISNUMBER(Detalle_24m!DB$19)),Detalle_24m!DB$19,INDEX(Vol_V,6,DB$170)/12)*(1+V_dVol),0))</f>
        <v>0</v>
      </c>
      <c r="DC182" s="48" t="n">
        <f aca="false">IF(DC$8=1,N(Reales!DC17),IF(DC$171=1,IF(AND(AND(102&gt;Corte,102&lt;=Corte+n_Ventana),ISNUMBER(Detalle_24m!DC$19)),Detalle_24m!DC$19,INDEX(Vol_V,6,DC$170)/12)*(1+V_dVol),0))</f>
        <v>0</v>
      </c>
      <c r="DD182" s="48" t="n">
        <f aca="false">IF(DD$8=1,N(Reales!DD17),IF(DD$171=1,IF(AND(AND(103&gt;Corte,103&lt;=Corte+n_Ventana),ISNUMBER(Detalle_24m!DD$19)),Detalle_24m!DD$19,INDEX(Vol_V,6,DD$170)/12)*(1+V_dVol),0))</f>
        <v>0</v>
      </c>
      <c r="DE182" s="48" t="n">
        <f aca="false">IF(DE$8=1,N(Reales!DE17),IF(DE$171=1,IF(AND(AND(104&gt;Corte,104&lt;=Corte+n_Ventana),ISNUMBER(Detalle_24m!DE$19)),Detalle_24m!DE$19,INDEX(Vol_V,6,DE$170)/12)*(1+V_dVol),0))</f>
        <v>0</v>
      </c>
      <c r="DF182" s="48" t="n">
        <f aca="false">IF(DF$8=1,N(Reales!DF17),IF(DF$171=1,IF(AND(AND(105&gt;Corte,105&lt;=Corte+n_Ventana),ISNUMBER(Detalle_24m!DF$19)),Detalle_24m!DF$19,INDEX(Vol_V,6,DF$170)/12)*(1+V_dVol),0))</f>
        <v>0</v>
      </c>
      <c r="DG182" s="48" t="n">
        <f aca="false">IF(DG$8=1,N(Reales!DG17),IF(DG$171=1,IF(AND(AND(106&gt;Corte,106&lt;=Corte+n_Ventana),ISNUMBER(Detalle_24m!DG$19)),Detalle_24m!DG$19,INDEX(Vol_V,6,DG$170)/12)*(1+V_dVol),0))</f>
        <v>0</v>
      </c>
      <c r="DH182" s="48" t="n">
        <f aca="false">IF(DH$8=1,N(Reales!DH17),IF(DH$171=1,IF(AND(AND(107&gt;Corte,107&lt;=Corte+n_Ventana),ISNUMBER(Detalle_24m!DH$19)),Detalle_24m!DH$19,INDEX(Vol_V,6,DH$170)/12)*(1+V_dVol),0))</f>
        <v>0</v>
      </c>
      <c r="DI182" s="48" t="n">
        <f aca="false">IF(DI$8=1,N(Reales!DI17),IF(DI$171=1,IF(AND(AND(108&gt;Corte,108&lt;=Corte+n_Ventana),ISNUMBER(Detalle_24m!DI$19)),Detalle_24m!DI$19,INDEX(Vol_V,6,DI$170)/12)*(1+V_dVol),0))</f>
        <v>0</v>
      </c>
      <c r="DJ182" s="48" t="n">
        <f aca="false">IF(DJ$8=1,N(Reales!DJ17),IF(DJ$171=1,IF(AND(AND(109&gt;Corte,109&lt;=Corte+n_Ventana),ISNUMBER(Detalle_24m!DJ$19)),Detalle_24m!DJ$19,INDEX(Vol_V,6,DJ$170)/12)*(1+V_dVol),0))</f>
        <v>0</v>
      </c>
      <c r="DK182" s="48" t="n">
        <f aca="false">IF(DK$8=1,N(Reales!DK17),IF(DK$171=1,IF(AND(AND(110&gt;Corte,110&lt;=Corte+n_Ventana),ISNUMBER(Detalle_24m!DK$19)),Detalle_24m!DK$19,INDEX(Vol_V,6,DK$170)/12)*(1+V_dVol),0))</f>
        <v>0</v>
      </c>
      <c r="DL182" s="48" t="n">
        <f aca="false">IF(DL$8=1,N(Reales!DL17),IF(DL$171=1,IF(AND(AND(111&gt;Corte,111&lt;=Corte+n_Ventana),ISNUMBER(Detalle_24m!DL$19)),Detalle_24m!DL$19,INDEX(Vol_V,6,DL$170)/12)*(1+V_dVol),0))</f>
        <v>0</v>
      </c>
      <c r="DM182" s="48" t="n">
        <f aca="false">IF(DM$8=1,N(Reales!DM17),IF(DM$171=1,IF(AND(AND(112&gt;Corte,112&lt;=Corte+n_Ventana),ISNUMBER(Detalle_24m!DM$19)),Detalle_24m!DM$19,INDEX(Vol_V,6,DM$170)/12)*(1+V_dVol),0))</f>
        <v>0</v>
      </c>
      <c r="DN182" s="48" t="n">
        <f aca="false">IF(DN$8=1,N(Reales!DN17),IF(DN$171=1,IF(AND(AND(113&gt;Corte,113&lt;=Corte+n_Ventana),ISNUMBER(Detalle_24m!DN$19)),Detalle_24m!DN$19,INDEX(Vol_V,6,DN$170)/12)*(1+V_dVol),0))</f>
        <v>0</v>
      </c>
      <c r="DO182" s="48" t="n">
        <f aca="false">IF(DO$8=1,N(Reales!DO17),IF(DO$171=1,IF(AND(AND(114&gt;Corte,114&lt;=Corte+n_Ventana),ISNUMBER(Detalle_24m!DO$19)),Detalle_24m!DO$19,INDEX(Vol_V,6,DO$170)/12)*(1+V_dVol),0))</f>
        <v>0</v>
      </c>
      <c r="DP182" s="48" t="n">
        <f aca="false">IF(DP$8=1,N(Reales!DP17),IF(DP$171=1,IF(AND(AND(115&gt;Corte,115&lt;=Corte+n_Ventana),ISNUMBER(Detalle_24m!DP$19)),Detalle_24m!DP$19,INDEX(Vol_V,6,DP$170)/12)*(1+V_dVol),0))</f>
        <v>0</v>
      </c>
      <c r="DQ182" s="48" t="n">
        <f aca="false">IF(DQ$8=1,N(Reales!DQ17),IF(DQ$171=1,IF(AND(AND(116&gt;Corte,116&lt;=Corte+n_Ventana),ISNUMBER(Detalle_24m!DQ$19)),Detalle_24m!DQ$19,INDEX(Vol_V,6,DQ$170)/12)*(1+V_dVol),0))</f>
        <v>0</v>
      </c>
      <c r="DR182" s="48" t="n">
        <f aca="false">IF(DR$8=1,N(Reales!DR17),IF(DR$171=1,IF(AND(AND(117&gt;Corte,117&lt;=Corte+n_Ventana),ISNUMBER(Detalle_24m!DR$19)),Detalle_24m!DR$19,INDEX(Vol_V,6,DR$170)/12)*(1+V_dVol),0))</f>
        <v>0</v>
      </c>
      <c r="DS182" s="48" t="n">
        <f aca="false">IF(DS$8=1,N(Reales!DS17),IF(DS$171=1,IF(AND(AND(118&gt;Corte,118&lt;=Corte+n_Ventana),ISNUMBER(Detalle_24m!DS$19)),Detalle_24m!DS$19,INDEX(Vol_V,6,DS$170)/12)*(1+V_dVol),0))</f>
        <v>0</v>
      </c>
      <c r="DT182" s="48" t="n">
        <f aca="false">IF(DT$8=1,N(Reales!DT17),IF(DT$171=1,IF(AND(AND(119&gt;Corte,119&lt;=Corte+n_Ventana),ISNUMBER(Detalle_24m!DT$19)),Detalle_24m!DT$19,INDEX(Vol_V,6,DT$170)/12)*(1+V_dVol),0))</f>
        <v>0</v>
      </c>
      <c r="DU182" s="48" t="n">
        <f aca="false">IF(DU$8=1,N(Reales!DU17),IF(DU$171=1,IF(AND(AND(120&gt;Corte,120&lt;=Corte+n_Ventana),ISNUMBER(Detalle_24m!DU$19)),Detalle_24m!DU$19,INDEX(Vol_V,6,DU$170)/12)*(1+V_dVol),0))</f>
        <v>0</v>
      </c>
      <c r="DV182" s="48" t="n">
        <f aca="false">IF(DV$8=1,N(Reales!DV17),IF(DV$171=1,IF(AND(AND(121&gt;Corte,121&lt;=Corte+n_Ventana),ISNUMBER(Detalle_24m!DV$19)),Detalle_24m!DV$19,INDEX(Vol_V,6,DV$170)/12)*(1+V_dVol),0))</f>
        <v>0</v>
      </c>
      <c r="DW182" s="48" t="n">
        <f aca="false">IF(DW$8=1,N(Reales!DW17),IF(DW$171=1,IF(AND(AND(122&gt;Corte,122&lt;=Corte+n_Ventana),ISNUMBER(Detalle_24m!DW$19)),Detalle_24m!DW$19,INDEX(Vol_V,6,DW$170)/12)*(1+V_dVol),0))</f>
        <v>0</v>
      </c>
      <c r="DX182" s="48" t="n">
        <f aca="false">IF(DX$8=1,N(Reales!DX17),IF(DX$171=1,IF(AND(AND(123&gt;Corte,123&lt;=Corte+n_Ventana),ISNUMBER(Detalle_24m!DX$19)),Detalle_24m!DX$19,INDEX(Vol_V,6,DX$170)/12)*(1+V_dVol),0))</f>
        <v>0</v>
      </c>
      <c r="DY182" s="48" t="n">
        <f aca="false">IF(DY$8=1,N(Reales!DY17),IF(DY$171=1,IF(AND(AND(124&gt;Corte,124&lt;=Corte+n_Ventana),ISNUMBER(Detalle_24m!DY$19)),Detalle_24m!DY$19,INDEX(Vol_V,6,DY$170)/12)*(1+V_dVol),0))</f>
        <v>0</v>
      </c>
      <c r="DZ182" s="48" t="n">
        <f aca="false">IF(DZ$8=1,N(Reales!DZ17),IF(DZ$171=1,IF(AND(AND(125&gt;Corte,125&lt;=Corte+n_Ventana),ISNUMBER(Detalle_24m!DZ$19)),Detalle_24m!DZ$19,INDEX(Vol_V,6,DZ$170)/12)*(1+V_dVol),0))</f>
        <v>0</v>
      </c>
      <c r="EA182" s="48" t="n">
        <f aca="false">IF(EA$8=1,N(Reales!EA17),IF(EA$171=1,IF(AND(AND(126&gt;Corte,126&lt;=Corte+n_Ventana),ISNUMBER(Detalle_24m!EA$19)),Detalle_24m!EA$19,INDEX(Vol_V,6,EA$170)/12)*(1+V_dVol),0))</f>
        <v>0</v>
      </c>
      <c r="EB182" s="48" t="n">
        <f aca="false">IF(EB$8=1,N(Reales!EB17),IF(EB$171=1,IF(AND(AND(127&gt;Corte,127&lt;=Corte+n_Ventana),ISNUMBER(Detalle_24m!EB$19)),Detalle_24m!EB$19,INDEX(Vol_V,6,EB$170)/12)*(1+V_dVol),0))</f>
        <v>0</v>
      </c>
      <c r="EC182" s="48" t="n">
        <f aca="false">IF(EC$8=1,N(Reales!EC17),IF(EC$171=1,IF(AND(AND(128&gt;Corte,128&lt;=Corte+n_Ventana),ISNUMBER(Detalle_24m!EC$19)),Detalle_24m!EC$19,INDEX(Vol_V,6,EC$170)/12)*(1+V_dVol),0))</f>
        <v>0</v>
      </c>
      <c r="ED182" s="48" t="n">
        <f aca="false">IF(ED$8=1,N(Reales!ED17),IF(ED$171=1,IF(AND(AND(129&gt;Corte,129&lt;=Corte+n_Ventana),ISNUMBER(Detalle_24m!ED$19)),Detalle_24m!ED$19,INDEX(Vol_V,6,ED$170)/12)*(1+V_dVol),0))</f>
        <v>0</v>
      </c>
      <c r="EE182" s="48" t="n">
        <f aca="false">IF(EE$8=1,N(Reales!EE17),IF(EE$171=1,IF(AND(AND(130&gt;Corte,130&lt;=Corte+n_Ventana),ISNUMBER(Detalle_24m!EE$19)),Detalle_24m!EE$19,INDEX(Vol_V,6,EE$170)/12)*(1+V_dVol),0))</f>
        <v>0</v>
      </c>
      <c r="EF182" s="48" t="n">
        <f aca="false">IF(EF$8=1,N(Reales!EF17),IF(EF$171=1,IF(AND(AND(131&gt;Corte,131&lt;=Corte+n_Ventana),ISNUMBER(Detalle_24m!EF$19)),Detalle_24m!EF$19,INDEX(Vol_V,6,EF$170)/12)*(1+V_dVol),0))</f>
        <v>0</v>
      </c>
      <c r="EG182" s="48" t="n">
        <f aca="false">IF(EG$8=1,N(Reales!EG17),IF(EG$171=1,IF(AND(AND(132&gt;Corte,132&lt;=Corte+n_Ventana),ISNUMBER(Detalle_24m!EG$19)),Detalle_24m!EG$19,INDEX(Vol_V,6,EG$170)/12)*(1+V_dVol),0))</f>
        <v>0</v>
      </c>
      <c r="EH182" s="48" t="n">
        <f aca="false">IF(EH$8=1,N(Reales!EH17),IF(EH$171=1,IF(AND(AND(133&gt;Corte,133&lt;=Corte+n_Ventana),ISNUMBER(Detalle_24m!EH$19)),Detalle_24m!EH$19,INDEX(Vol_V,6,EH$170)/12)*(1+V_dVol),0))</f>
        <v>0</v>
      </c>
      <c r="EI182" s="48" t="n">
        <f aca="false">IF(EI$8=1,N(Reales!EI17),IF(EI$171=1,IF(AND(AND(134&gt;Corte,134&lt;=Corte+n_Ventana),ISNUMBER(Detalle_24m!EI$19)),Detalle_24m!EI$19,INDEX(Vol_V,6,EI$170)/12)*(1+V_dVol),0))</f>
        <v>0</v>
      </c>
      <c r="EJ182" s="48" t="n">
        <f aca="false">IF(EJ$8=1,N(Reales!EJ17),IF(EJ$171=1,IF(AND(AND(135&gt;Corte,135&lt;=Corte+n_Ventana),ISNUMBER(Detalle_24m!EJ$19)),Detalle_24m!EJ$19,INDEX(Vol_V,6,EJ$170)/12)*(1+V_dVol),0))</f>
        <v>0</v>
      </c>
      <c r="EK182" s="48" t="n">
        <f aca="false">IF(EK$8=1,N(Reales!EK17),IF(EK$171=1,IF(AND(AND(136&gt;Corte,136&lt;=Corte+n_Ventana),ISNUMBER(Detalle_24m!EK$19)),Detalle_24m!EK$19,INDEX(Vol_V,6,EK$170)/12)*(1+V_dVol),0))</f>
        <v>0</v>
      </c>
      <c r="EL182" s="48" t="n">
        <f aca="false">IF(EL$8=1,N(Reales!EL17),IF(EL$171=1,IF(AND(AND(137&gt;Corte,137&lt;=Corte+n_Ventana),ISNUMBER(Detalle_24m!EL$19)),Detalle_24m!EL$19,INDEX(Vol_V,6,EL$170)/12)*(1+V_dVol),0))</f>
        <v>0</v>
      </c>
      <c r="EM182" s="48" t="n">
        <f aca="false">IF(EM$8=1,N(Reales!EM17),IF(EM$171=1,IF(AND(AND(138&gt;Corte,138&lt;=Corte+n_Ventana),ISNUMBER(Detalle_24m!EM$19)),Detalle_24m!EM$19,INDEX(Vol_V,6,EM$170)/12)*(1+V_dVol),0))</f>
        <v>0</v>
      </c>
      <c r="EN182" s="48" t="n">
        <f aca="false">IF(EN$8=1,N(Reales!EN17),IF(EN$171=1,IF(AND(AND(139&gt;Corte,139&lt;=Corte+n_Ventana),ISNUMBER(Detalle_24m!EN$19)),Detalle_24m!EN$19,INDEX(Vol_V,6,EN$170)/12)*(1+V_dVol),0))</f>
        <v>0</v>
      </c>
      <c r="EO182" s="48" t="n">
        <f aca="false">IF(EO$8=1,N(Reales!EO17),IF(EO$171=1,IF(AND(AND(140&gt;Corte,140&lt;=Corte+n_Ventana),ISNUMBER(Detalle_24m!EO$19)),Detalle_24m!EO$19,INDEX(Vol_V,6,EO$170)/12)*(1+V_dVol),0))</f>
        <v>0</v>
      </c>
      <c r="EP182" s="48" t="n">
        <f aca="false">IF(EP$8=1,N(Reales!EP17),IF(EP$171=1,IF(AND(AND(141&gt;Corte,141&lt;=Corte+n_Ventana),ISNUMBER(Detalle_24m!EP$19)),Detalle_24m!EP$19,INDEX(Vol_V,6,EP$170)/12)*(1+V_dVol),0))</f>
        <v>0</v>
      </c>
      <c r="EQ182" s="48" t="n">
        <f aca="false">IF(EQ$8=1,N(Reales!EQ17),IF(EQ$171=1,IF(AND(AND(142&gt;Corte,142&lt;=Corte+n_Ventana),ISNUMBER(Detalle_24m!EQ$19)),Detalle_24m!EQ$19,INDEX(Vol_V,6,EQ$170)/12)*(1+V_dVol),0))</f>
        <v>0</v>
      </c>
      <c r="ER182" s="48" t="n">
        <f aca="false">IF(ER$8=1,N(Reales!ER17),IF(ER$171=1,IF(AND(AND(143&gt;Corte,143&lt;=Corte+n_Ventana),ISNUMBER(Detalle_24m!ER$19)),Detalle_24m!ER$19,INDEX(Vol_V,6,ER$170)/12)*(1+V_dVol),0))</f>
        <v>0</v>
      </c>
      <c r="ES182" s="48" t="n">
        <f aca="false">IF(ES$8=1,N(Reales!ES17),IF(ES$171=1,IF(AND(AND(144&gt;Corte,144&lt;=Corte+n_Ventana),ISNUMBER(Detalle_24m!ES$19)),Detalle_24m!ES$19,INDEX(Vol_V,6,ES$170)/12)*(1+V_dVol),0))</f>
        <v>0</v>
      </c>
    </row>
    <row r="183" customFormat="false" ht="15" hidden="false" customHeight="false" outlineLevel="0" collapsed="false">
      <c r="A183" s="11" t="s">
        <v>1306</v>
      </c>
      <c r="B183" s="53" t="str">
        <f aca="false">IF(INDEX(Prod_Nombre,7)="","Producto 7",INDEX(Prod_Nombre,7))&amp;" — unidades"</f>
        <v>Producto 7 — unidades</v>
      </c>
      <c r="C183" s="15" t="s">
        <v>544</v>
      </c>
      <c r="E183" s="54" t="n">
        <f aca="false">SUM(F183:ES183)</f>
        <v>0</v>
      </c>
      <c r="F183" s="48" t="n">
        <f aca="false">IF(F$8=1,N(Reales!F18),IF(F$171=1,IF(AND(AND(1&gt;Corte,1&lt;=Corte+n_Ventana),ISNUMBER(Detalle_24m!F$20)),Detalle_24m!F$20,INDEX(Vol_V,7,F$170)/12)*(1+V_dVol),0))</f>
        <v>0</v>
      </c>
      <c r="G183" s="48" t="n">
        <f aca="false">IF(G$8=1,N(Reales!G18),IF(G$171=1,IF(AND(AND(2&gt;Corte,2&lt;=Corte+n_Ventana),ISNUMBER(Detalle_24m!G$20)),Detalle_24m!G$20,INDEX(Vol_V,7,G$170)/12)*(1+V_dVol),0))</f>
        <v>0</v>
      </c>
      <c r="H183" s="48" t="n">
        <f aca="false">IF(H$8=1,N(Reales!H18),IF(H$171=1,IF(AND(AND(3&gt;Corte,3&lt;=Corte+n_Ventana),ISNUMBER(Detalle_24m!H$20)),Detalle_24m!H$20,INDEX(Vol_V,7,H$170)/12)*(1+V_dVol),0))</f>
        <v>0</v>
      </c>
      <c r="I183" s="48" t="n">
        <f aca="false">IF(I$8=1,N(Reales!I18),IF(I$171=1,IF(AND(AND(4&gt;Corte,4&lt;=Corte+n_Ventana),ISNUMBER(Detalle_24m!I$20)),Detalle_24m!I$20,INDEX(Vol_V,7,I$170)/12)*(1+V_dVol),0))</f>
        <v>0</v>
      </c>
      <c r="J183" s="48" t="n">
        <f aca="false">IF(J$8=1,N(Reales!J18),IF(J$171=1,IF(AND(AND(5&gt;Corte,5&lt;=Corte+n_Ventana),ISNUMBER(Detalle_24m!J$20)),Detalle_24m!J$20,INDEX(Vol_V,7,J$170)/12)*(1+V_dVol),0))</f>
        <v>0</v>
      </c>
      <c r="K183" s="48" t="n">
        <f aca="false">IF(K$8=1,N(Reales!K18),IF(K$171=1,IF(AND(AND(6&gt;Corte,6&lt;=Corte+n_Ventana),ISNUMBER(Detalle_24m!K$20)),Detalle_24m!K$20,INDEX(Vol_V,7,K$170)/12)*(1+V_dVol),0))</f>
        <v>0</v>
      </c>
      <c r="L183" s="48" t="n">
        <f aca="false">IF(L$8=1,N(Reales!L18),IF(L$171=1,IF(AND(AND(7&gt;Corte,7&lt;=Corte+n_Ventana),ISNUMBER(Detalle_24m!L$20)),Detalle_24m!L$20,INDEX(Vol_V,7,L$170)/12)*(1+V_dVol),0))</f>
        <v>0</v>
      </c>
      <c r="M183" s="48" t="n">
        <f aca="false">IF(M$8=1,N(Reales!M18),IF(M$171=1,IF(AND(AND(8&gt;Corte,8&lt;=Corte+n_Ventana),ISNUMBER(Detalle_24m!M$20)),Detalle_24m!M$20,INDEX(Vol_V,7,M$170)/12)*(1+V_dVol),0))</f>
        <v>0</v>
      </c>
      <c r="N183" s="48" t="n">
        <f aca="false">IF(N$8=1,N(Reales!N18),IF(N$171=1,IF(AND(AND(9&gt;Corte,9&lt;=Corte+n_Ventana),ISNUMBER(Detalle_24m!N$20)),Detalle_24m!N$20,INDEX(Vol_V,7,N$170)/12)*(1+V_dVol),0))</f>
        <v>0</v>
      </c>
      <c r="O183" s="48" t="n">
        <f aca="false">IF(O$8=1,N(Reales!O18),IF(O$171=1,IF(AND(AND(10&gt;Corte,10&lt;=Corte+n_Ventana),ISNUMBER(Detalle_24m!O$20)),Detalle_24m!O$20,INDEX(Vol_V,7,O$170)/12)*(1+V_dVol),0))</f>
        <v>0</v>
      </c>
      <c r="P183" s="48" t="n">
        <f aca="false">IF(P$8=1,N(Reales!P18),IF(P$171=1,IF(AND(AND(11&gt;Corte,11&lt;=Corte+n_Ventana),ISNUMBER(Detalle_24m!P$20)),Detalle_24m!P$20,INDEX(Vol_V,7,P$170)/12)*(1+V_dVol),0))</f>
        <v>0</v>
      </c>
      <c r="Q183" s="48" t="n">
        <f aca="false">IF(Q$8=1,N(Reales!Q18),IF(Q$171=1,IF(AND(AND(12&gt;Corte,12&lt;=Corte+n_Ventana),ISNUMBER(Detalle_24m!Q$20)),Detalle_24m!Q$20,INDEX(Vol_V,7,Q$170)/12)*(1+V_dVol),0))</f>
        <v>0</v>
      </c>
      <c r="R183" s="48" t="n">
        <f aca="false">IF(R$8=1,N(Reales!R18),IF(R$171=1,IF(AND(AND(13&gt;Corte,13&lt;=Corte+n_Ventana),ISNUMBER(Detalle_24m!R$20)),Detalle_24m!R$20,INDEX(Vol_V,7,R$170)/12)*(1+V_dVol),0))</f>
        <v>0</v>
      </c>
      <c r="S183" s="48" t="n">
        <f aca="false">IF(S$8=1,N(Reales!S18),IF(S$171=1,IF(AND(AND(14&gt;Corte,14&lt;=Corte+n_Ventana),ISNUMBER(Detalle_24m!S$20)),Detalle_24m!S$20,INDEX(Vol_V,7,S$170)/12)*(1+V_dVol),0))</f>
        <v>0</v>
      </c>
      <c r="T183" s="48" t="n">
        <f aca="false">IF(T$8=1,N(Reales!T18),IF(T$171=1,IF(AND(AND(15&gt;Corte,15&lt;=Corte+n_Ventana),ISNUMBER(Detalle_24m!T$20)),Detalle_24m!T$20,INDEX(Vol_V,7,T$170)/12)*(1+V_dVol),0))</f>
        <v>0</v>
      </c>
      <c r="U183" s="48" t="n">
        <f aca="false">IF(U$8=1,N(Reales!U18),IF(U$171=1,IF(AND(AND(16&gt;Corte,16&lt;=Corte+n_Ventana),ISNUMBER(Detalle_24m!U$20)),Detalle_24m!U$20,INDEX(Vol_V,7,U$170)/12)*(1+V_dVol),0))</f>
        <v>0</v>
      </c>
      <c r="V183" s="48" t="n">
        <f aca="false">IF(V$8=1,N(Reales!V18),IF(V$171=1,IF(AND(AND(17&gt;Corte,17&lt;=Corte+n_Ventana),ISNUMBER(Detalle_24m!V$20)),Detalle_24m!V$20,INDEX(Vol_V,7,V$170)/12)*(1+V_dVol),0))</f>
        <v>0</v>
      </c>
      <c r="W183" s="48" t="n">
        <f aca="false">IF(W$8=1,N(Reales!W18),IF(W$171=1,IF(AND(AND(18&gt;Corte,18&lt;=Corte+n_Ventana),ISNUMBER(Detalle_24m!W$20)),Detalle_24m!W$20,INDEX(Vol_V,7,W$170)/12)*(1+V_dVol),0))</f>
        <v>0</v>
      </c>
      <c r="X183" s="48" t="n">
        <f aca="false">IF(X$8=1,N(Reales!X18),IF(X$171=1,IF(AND(AND(19&gt;Corte,19&lt;=Corte+n_Ventana),ISNUMBER(Detalle_24m!X$20)),Detalle_24m!X$20,INDEX(Vol_V,7,X$170)/12)*(1+V_dVol),0))</f>
        <v>0</v>
      </c>
      <c r="Y183" s="48" t="n">
        <f aca="false">IF(Y$8=1,N(Reales!Y18),IF(Y$171=1,IF(AND(AND(20&gt;Corte,20&lt;=Corte+n_Ventana),ISNUMBER(Detalle_24m!Y$20)),Detalle_24m!Y$20,INDEX(Vol_V,7,Y$170)/12)*(1+V_dVol),0))</f>
        <v>0</v>
      </c>
      <c r="Z183" s="48" t="n">
        <f aca="false">IF(Z$8=1,N(Reales!Z18),IF(Z$171=1,IF(AND(AND(21&gt;Corte,21&lt;=Corte+n_Ventana),ISNUMBER(Detalle_24m!Z$20)),Detalle_24m!Z$20,INDEX(Vol_V,7,Z$170)/12)*(1+V_dVol),0))</f>
        <v>0</v>
      </c>
      <c r="AA183" s="48" t="n">
        <f aca="false">IF(AA$8=1,N(Reales!AA18),IF(AA$171=1,IF(AND(AND(22&gt;Corte,22&lt;=Corte+n_Ventana),ISNUMBER(Detalle_24m!AA$20)),Detalle_24m!AA$20,INDEX(Vol_V,7,AA$170)/12)*(1+V_dVol),0))</f>
        <v>0</v>
      </c>
      <c r="AB183" s="48" t="n">
        <f aca="false">IF(AB$8=1,N(Reales!AB18),IF(AB$171=1,IF(AND(AND(23&gt;Corte,23&lt;=Corte+n_Ventana),ISNUMBER(Detalle_24m!AB$20)),Detalle_24m!AB$20,INDEX(Vol_V,7,AB$170)/12)*(1+V_dVol),0))</f>
        <v>0</v>
      </c>
      <c r="AC183" s="48" t="n">
        <f aca="false">IF(AC$8=1,N(Reales!AC18),IF(AC$171=1,IF(AND(AND(24&gt;Corte,24&lt;=Corte+n_Ventana),ISNUMBER(Detalle_24m!AC$20)),Detalle_24m!AC$20,INDEX(Vol_V,7,AC$170)/12)*(1+V_dVol),0))</f>
        <v>0</v>
      </c>
      <c r="AD183" s="48" t="n">
        <f aca="false">IF(AD$8=1,N(Reales!AD18),IF(AD$171=1,IF(AND(AND(25&gt;Corte,25&lt;=Corte+n_Ventana),ISNUMBER(Detalle_24m!AD$20)),Detalle_24m!AD$20,INDEX(Vol_V,7,AD$170)/12)*(1+V_dVol),0))</f>
        <v>0</v>
      </c>
      <c r="AE183" s="48" t="n">
        <f aca="false">IF(AE$8=1,N(Reales!AE18),IF(AE$171=1,IF(AND(AND(26&gt;Corte,26&lt;=Corte+n_Ventana),ISNUMBER(Detalle_24m!AE$20)),Detalle_24m!AE$20,INDEX(Vol_V,7,AE$170)/12)*(1+V_dVol),0))</f>
        <v>0</v>
      </c>
      <c r="AF183" s="48" t="n">
        <f aca="false">IF(AF$8=1,N(Reales!AF18),IF(AF$171=1,IF(AND(AND(27&gt;Corte,27&lt;=Corte+n_Ventana),ISNUMBER(Detalle_24m!AF$20)),Detalle_24m!AF$20,INDEX(Vol_V,7,AF$170)/12)*(1+V_dVol),0))</f>
        <v>0</v>
      </c>
      <c r="AG183" s="48" t="n">
        <f aca="false">IF(AG$8=1,N(Reales!AG18),IF(AG$171=1,IF(AND(AND(28&gt;Corte,28&lt;=Corte+n_Ventana),ISNUMBER(Detalle_24m!AG$20)),Detalle_24m!AG$20,INDEX(Vol_V,7,AG$170)/12)*(1+V_dVol),0))</f>
        <v>0</v>
      </c>
      <c r="AH183" s="48" t="n">
        <f aca="false">IF(AH$8=1,N(Reales!AH18),IF(AH$171=1,IF(AND(AND(29&gt;Corte,29&lt;=Corte+n_Ventana),ISNUMBER(Detalle_24m!AH$20)),Detalle_24m!AH$20,INDEX(Vol_V,7,AH$170)/12)*(1+V_dVol),0))</f>
        <v>0</v>
      </c>
      <c r="AI183" s="48" t="n">
        <f aca="false">IF(AI$8=1,N(Reales!AI18),IF(AI$171=1,IF(AND(AND(30&gt;Corte,30&lt;=Corte+n_Ventana),ISNUMBER(Detalle_24m!AI$20)),Detalle_24m!AI$20,INDEX(Vol_V,7,AI$170)/12)*(1+V_dVol),0))</f>
        <v>0</v>
      </c>
      <c r="AJ183" s="48" t="n">
        <f aca="false">IF(AJ$8=1,N(Reales!AJ18),IF(AJ$171=1,IF(AND(AND(31&gt;Corte,31&lt;=Corte+n_Ventana),ISNUMBER(Detalle_24m!AJ$20)),Detalle_24m!AJ$20,INDEX(Vol_V,7,AJ$170)/12)*(1+V_dVol),0))</f>
        <v>0</v>
      </c>
      <c r="AK183" s="48" t="n">
        <f aca="false">IF(AK$8=1,N(Reales!AK18),IF(AK$171=1,IF(AND(AND(32&gt;Corte,32&lt;=Corte+n_Ventana),ISNUMBER(Detalle_24m!AK$20)),Detalle_24m!AK$20,INDEX(Vol_V,7,AK$170)/12)*(1+V_dVol),0))</f>
        <v>0</v>
      </c>
      <c r="AL183" s="48" t="n">
        <f aca="false">IF(AL$8=1,N(Reales!AL18),IF(AL$171=1,IF(AND(AND(33&gt;Corte,33&lt;=Corte+n_Ventana),ISNUMBER(Detalle_24m!AL$20)),Detalle_24m!AL$20,INDEX(Vol_V,7,AL$170)/12)*(1+V_dVol),0))</f>
        <v>0</v>
      </c>
      <c r="AM183" s="48" t="n">
        <f aca="false">IF(AM$8=1,N(Reales!AM18),IF(AM$171=1,IF(AND(AND(34&gt;Corte,34&lt;=Corte+n_Ventana),ISNUMBER(Detalle_24m!AM$20)),Detalle_24m!AM$20,INDEX(Vol_V,7,AM$170)/12)*(1+V_dVol),0))</f>
        <v>0</v>
      </c>
      <c r="AN183" s="48" t="n">
        <f aca="false">IF(AN$8=1,N(Reales!AN18),IF(AN$171=1,IF(AND(AND(35&gt;Corte,35&lt;=Corte+n_Ventana),ISNUMBER(Detalle_24m!AN$20)),Detalle_24m!AN$20,INDEX(Vol_V,7,AN$170)/12)*(1+V_dVol),0))</f>
        <v>0</v>
      </c>
      <c r="AO183" s="48" t="n">
        <f aca="false">IF(AO$8=1,N(Reales!AO18),IF(AO$171=1,IF(AND(AND(36&gt;Corte,36&lt;=Corte+n_Ventana),ISNUMBER(Detalle_24m!AO$20)),Detalle_24m!AO$20,INDEX(Vol_V,7,AO$170)/12)*(1+V_dVol),0))</f>
        <v>0</v>
      </c>
      <c r="AP183" s="48" t="n">
        <f aca="false">IF(AP$8=1,N(Reales!AP18),IF(AP$171=1,IF(AND(AND(37&gt;Corte,37&lt;=Corte+n_Ventana),ISNUMBER(Detalle_24m!AP$20)),Detalle_24m!AP$20,INDEX(Vol_V,7,AP$170)/12)*(1+V_dVol),0))</f>
        <v>0</v>
      </c>
      <c r="AQ183" s="48" t="n">
        <f aca="false">IF(AQ$8=1,N(Reales!AQ18),IF(AQ$171=1,IF(AND(AND(38&gt;Corte,38&lt;=Corte+n_Ventana),ISNUMBER(Detalle_24m!AQ$20)),Detalle_24m!AQ$20,INDEX(Vol_V,7,AQ$170)/12)*(1+V_dVol),0))</f>
        <v>0</v>
      </c>
      <c r="AR183" s="48" t="n">
        <f aca="false">IF(AR$8=1,N(Reales!AR18),IF(AR$171=1,IF(AND(AND(39&gt;Corte,39&lt;=Corte+n_Ventana),ISNUMBER(Detalle_24m!AR$20)),Detalle_24m!AR$20,INDEX(Vol_V,7,AR$170)/12)*(1+V_dVol),0))</f>
        <v>0</v>
      </c>
      <c r="AS183" s="48" t="n">
        <f aca="false">IF(AS$8=1,N(Reales!AS18),IF(AS$171=1,IF(AND(AND(40&gt;Corte,40&lt;=Corte+n_Ventana),ISNUMBER(Detalle_24m!AS$20)),Detalle_24m!AS$20,INDEX(Vol_V,7,AS$170)/12)*(1+V_dVol),0))</f>
        <v>0</v>
      </c>
      <c r="AT183" s="48" t="n">
        <f aca="false">IF(AT$8=1,N(Reales!AT18),IF(AT$171=1,IF(AND(AND(41&gt;Corte,41&lt;=Corte+n_Ventana),ISNUMBER(Detalle_24m!AT$20)),Detalle_24m!AT$20,INDEX(Vol_V,7,AT$170)/12)*(1+V_dVol),0))</f>
        <v>0</v>
      </c>
      <c r="AU183" s="48" t="n">
        <f aca="false">IF(AU$8=1,N(Reales!AU18),IF(AU$171=1,IF(AND(AND(42&gt;Corte,42&lt;=Corte+n_Ventana),ISNUMBER(Detalle_24m!AU$20)),Detalle_24m!AU$20,INDEX(Vol_V,7,AU$170)/12)*(1+V_dVol),0))</f>
        <v>0</v>
      </c>
      <c r="AV183" s="48" t="n">
        <f aca="false">IF(AV$8=1,N(Reales!AV18),IF(AV$171=1,IF(AND(AND(43&gt;Corte,43&lt;=Corte+n_Ventana),ISNUMBER(Detalle_24m!AV$20)),Detalle_24m!AV$20,INDEX(Vol_V,7,AV$170)/12)*(1+V_dVol),0))</f>
        <v>0</v>
      </c>
      <c r="AW183" s="48" t="n">
        <f aca="false">IF(AW$8=1,N(Reales!AW18),IF(AW$171=1,IF(AND(AND(44&gt;Corte,44&lt;=Corte+n_Ventana),ISNUMBER(Detalle_24m!AW$20)),Detalle_24m!AW$20,INDEX(Vol_V,7,AW$170)/12)*(1+V_dVol),0))</f>
        <v>0</v>
      </c>
      <c r="AX183" s="48" t="n">
        <f aca="false">IF(AX$8=1,N(Reales!AX18),IF(AX$171=1,IF(AND(AND(45&gt;Corte,45&lt;=Corte+n_Ventana),ISNUMBER(Detalle_24m!AX$20)),Detalle_24m!AX$20,INDEX(Vol_V,7,AX$170)/12)*(1+V_dVol),0))</f>
        <v>0</v>
      </c>
      <c r="AY183" s="48" t="n">
        <f aca="false">IF(AY$8=1,N(Reales!AY18),IF(AY$171=1,IF(AND(AND(46&gt;Corte,46&lt;=Corte+n_Ventana),ISNUMBER(Detalle_24m!AY$20)),Detalle_24m!AY$20,INDEX(Vol_V,7,AY$170)/12)*(1+V_dVol),0))</f>
        <v>0</v>
      </c>
      <c r="AZ183" s="48" t="n">
        <f aca="false">IF(AZ$8=1,N(Reales!AZ18),IF(AZ$171=1,IF(AND(AND(47&gt;Corte,47&lt;=Corte+n_Ventana),ISNUMBER(Detalle_24m!AZ$20)),Detalle_24m!AZ$20,INDEX(Vol_V,7,AZ$170)/12)*(1+V_dVol),0))</f>
        <v>0</v>
      </c>
      <c r="BA183" s="48" t="n">
        <f aca="false">IF(BA$8=1,N(Reales!BA18),IF(BA$171=1,IF(AND(AND(48&gt;Corte,48&lt;=Corte+n_Ventana),ISNUMBER(Detalle_24m!BA$20)),Detalle_24m!BA$20,INDEX(Vol_V,7,BA$170)/12)*(1+V_dVol),0))</f>
        <v>0</v>
      </c>
      <c r="BB183" s="48" t="n">
        <f aca="false">IF(BB$8=1,N(Reales!BB18),IF(BB$171=1,IF(AND(AND(49&gt;Corte,49&lt;=Corte+n_Ventana),ISNUMBER(Detalle_24m!BB$20)),Detalle_24m!BB$20,INDEX(Vol_V,7,BB$170)/12)*(1+V_dVol),0))</f>
        <v>0</v>
      </c>
      <c r="BC183" s="48" t="n">
        <f aca="false">IF(BC$8=1,N(Reales!BC18),IF(BC$171=1,IF(AND(AND(50&gt;Corte,50&lt;=Corte+n_Ventana),ISNUMBER(Detalle_24m!BC$20)),Detalle_24m!BC$20,INDEX(Vol_V,7,BC$170)/12)*(1+V_dVol),0))</f>
        <v>0</v>
      </c>
      <c r="BD183" s="48" t="n">
        <f aca="false">IF(BD$8=1,N(Reales!BD18),IF(BD$171=1,IF(AND(AND(51&gt;Corte,51&lt;=Corte+n_Ventana),ISNUMBER(Detalle_24m!BD$20)),Detalle_24m!BD$20,INDEX(Vol_V,7,BD$170)/12)*(1+V_dVol),0))</f>
        <v>0</v>
      </c>
      <c r="BE183" s="48" t="n">
        <f aca="false">IF(BE$8=1,N(Reales!BE18),IF(BE$171=1,IF(AND(AND(52&gt;Corte,52&lt;=Corte+n_Ventana),ISNUMBER(Detalle_24m!BE$20)),Detalle_24m!BE$20,INDEX(Vol_V,7,BE$170)/12)*(1+V_dVol),0))</f>
        <v>0</v>
      </c>
      <c r="BF183" s="48" t="n">
        <f aca="false">IF(BF$8=1,N(Reales!BF18),IF(BF$171=1,IF(AND(AND(53&gt;Corte,53&lt;=Corte+n_Ventana),ISNUMBER(Detalle_24m!BF$20)),Detalle_24m!BF$20,INDEX(Vol_V,7,BF$170)/12)*(1+V_dVol),0))</f>
        <v>0</v>
      </c>
      <c r="BG183" s="48" t="n">
        <f aca="false">IF(BG$8=1,N(Reales!BG18),IF(BG$171=1,IF(AND(AND(54&gt;Corte,54&lt;=Corte+n_Ventana),ISNUMBER(Detalle_24m!BG$20)),Detalle_24m!BG$20,INDEX(Vol_V,7,BG$170)/12)*(1+V_dVol),0))</f>
        <v>0</v>
      </c>
      <c r="BH183" s="48" t="n">
        <f aca="false">IF(BH$8=1,N(Reales!BH18),IF(BH$171=1,IF(AND(AND(55&gt;Corte,55&lt;=Corte+n_Ventana),ISNUMBER(Detalle_24m!BH$20)),Detalle_24m!BH$20,INDEX(Vol_V,7,BH$170)/12)*(1+V_dVol),0))</f>
        <v>0</v>
      </c>
      <c r="BI183" s="48" t="n">
        <f aca="false">IF(BI$8=1,N(Reales!BI18),IF(BI$171=1,IF(AND(AND(56&gt;Corte,56&lt;=Corte+n_Ventana),ISNUMBER(Detalle_24m!BI$20)),Detalle_24m!BI$20,INDEX(Vol_V,7,BI$170)/12)*(1+V_dVol),0))</f>
        <v>0</v>
      </c>
      <c r="BJ183" s="48" t="n">
        <f aca="false">IF(BJ$8=1,N(Reales!BJ18),IF(BJ$171=1,IF(AND(AND(57&gt;Corte,57&lt;=Corte+n_Ventana),ISNUMBER(Detalle_24m!BJ$20)),Detalle_24m!BJ$20,INDEX(Vol_V,7,BJ$170)/12)*(1+V_dVol),0))</f>
        <v>0</v>
      </c>
      <c r="BK183" s="48" t="n">
        <f aca="false">IF(BK$8=1,N(Reales!BK18),IF(BK$171=1,IF(AND(AND(58&gt;Corte,58&lt;=Corte+n_Ventana),ISNUMBER(Detalle_24m!BK$20)),Detalle_24m!BK$20,INDEX(Vol_V,7,BK$170)/12)*(1+V_dVol),0))</f>
        <v>0</v>
      </c>
      <c r="BL183" s="48" t="n">
        <f aca="false">IF(BL$8=1,N(Reales!BL18),IF(BL$171=1,IF(AND(AND(59&gt;Corte,59&lt;=Corte+n_Ventana),ISNUMBER(Detalle_24m!BL$20)),Detalle_24m!BL$20,INDEX(Vol_V,7,BL$170)/12)*(1+V_dVol),0))</f>
        <v>0</v>
      </c>
      <c r="BM183" s="48" t="n">
        <f aca="false">IF(BM$8=1,N(Reales!BM18),IF(BM$171=1,IF(AND(AND(60&gt;Corte,60&lt;=Corte+n_Ventana),ISNUMBER(Detalle_24m!BM$20)),Detalle_24m!BM$20,INDEX(Vol_V,7,BM$170)/12)*(1+V_dVol),0))</f>
        <v>0</v>
      </c>
      <c r="BN183" s="48" t="n">
        <f aca="false">IF(BN$8=1,N(Reales!BN18),IF(BN$171=1,IF(AND(AND(61&gt;Corte,61&lt;=Corte+n_Ventana),ISNUMBER(Detalle_24m!BN$20)),Detalle_24m!BN$20,INDEX(Vol_V,7,BN$170)/12)*(1+V_dVol),0))</f>
        <v>0</v>
      </c>
      <c r="BO183" s="48" t="n">
        <f aca="false">IF(BO$8=1,N(Reales!BO18),IF(BO$171=1,IF(AND(AND(62&gt;Corte,62&lt;=Corte+n_Ventana),ISNUMBER(Detalle_24m!BO$20)),Detalle_24m!BO$20,INDEX(Vol_V,7,BO$170)/12)*(1+V_dVol),0))</f>
        <v>0</v>
      </c>
      <c r="BP183" s="48" t="n">
        <f aca="false">IF(BP$8=1,N(Reales!BP18),IF(BP$171=1,IF(AND(AND(63&gt;Corte,63&lt;=Corte+n_Ventana),ISNUMBER(Detalle_24m!BP$20)),Detalle_24m!BP$20,INDEX(Vol_V,7,BP$170)/12)*(1+V_dVol),0))</f>
        <v>0</v>
      </c>
      <c r="BQ183" s="48" t="n">
        <f aca="false">IF(BQ$8=1,N(Reales!BQ18),IF(BQ$171=1,IF(AND(AND(64&gt;Corte,64&lt;=Corte+n_Ventana),ISNUMBER(Detalle_24m!BQ$20)),Detalle_24m!BQ$20,INDEX(Vol_V,7,BQ$170)/12)*(1+V_dVol),0))</f>
        <v>0</v>
      </c>
      <c r="BR183" s="48" t="n">
        <f aca="false">IF(BR$8=1,N(Reales!BR18),IF(BR$171=1,IF(AND(AND(65&gt;Corte,65&lt;=Corte+n_Ventana),ISNUMBER(Detalle_24m!BR$20)),Detalle_24m!BR$20,INDEX(Vol_V,7,BR$170)/12)*(1+V_dVol),0))</f>
        <v>0</v>
      </c>
      <c r="BS183" s="48" t="n">
        <f aca="false">IF(BS$8=1,N(Reales!BS18),IF(BS$171=1,IF(AND(AND(66&gt;Corte,66&lt;=Corte+n_Ventana),ISNUMBER(Detalle_24m!BS$20)),Detalle_24m!BS$20,INDEX(Vol_V,7,BS$170)/12)*(1+V_dVol),0))</f>
        <v>0</v>
      </c>
      <c r="BT183" s="48" t="n">
        <f aca="false">IF(BT$8=1,N(Reales!BT18),IF(BT$171=1,IF(AND(AND(67&gt;Corte,67&lt;=Corte+n_Ventana),ISNUMBER(Detalle_24m!BT$20)),Detalle_24m!BT$20,INDEX(Vol_V,7,BT$170)/12)*(1+V_dVol),0))</f>
        <v>0</v>
      </c>
      <c r="BU183" s="48" t="n">
        <f aca="false">IF(BU$8=1,N(Reales!BU18),IF(BU$171=1,IF(AND(AND(68&gt;Corte,68&lt;=Corte+n_Ventana),ISNUMBER(Detalle_24m!BU$20)),Detalle_24m!BU$20,INDEX(Vol_V,7,BU$170)/12)*(1+V_dVol),0))</f>
        <v>0</v>
      </c>
      <c r="BV183" s="48" t="n">
        <f aca="false">IF(BV$8=1,N(Reales!BV18),IF(BV$171=1,IF(AND(AND(69&gt;Corte,69&lt;=Corte+n_Ventana),ISNUMBER(Detalle_24m!BV$20)),Detalle_24m!BV$20,INDEX(Vol_V,7,BV$170)/12)*(1+V_dVol),0))</f>
        <v>0</v>
      </c>
      <c r="BW183" s="48" t="n">
        <f aca="false">IF(BW$8=1,N(Reales!BW18),IF(BW$171=1,IF(AND(AND(70&gt;Corte,70&lt;=Corte+n_Ventana),ISNUMBER(Detalle_24m!BW$20)),Detalle_24m!BW$20,INDEX(Vol_V,7,BW$170)/12)*(1+V_dVol),0))</f>
        <v>0</v>
      </c>
      <c r="BX183" s="48" t="n">
        <f aca="false">IF(BX$8=1,N(Reales!BX18),IF(BX$171=1,IF(AND(AND(71&gt;Corte,71&lt;=Corte+n_Ventana),ISNUMBER(Detalle_24m!BX$20)),Detalle_24m!BX$20,INDEX(Vol_V,7,BX$170)/12)*(1+V_dVol),0))</f>
        <v>0</v>
      </c>
      <c r="BY183" s="48" t="n">
        <f aca="false">IF(BY$8=1,N(Reales!BY18),IF(BY$171=1,IF(AND(AND(72&gt;Corte,72&lt;=Corte+n_Ventana),ISNUMBER(Detalle_24m!BY$20)),Detalle_24m!BY$20,INDEX(Vol_V,7,BY$170)/12)*(1+V_dVol),0))</f>
        <v>0</v>
      </c>
      <c r="BZ183" s="48" t="n">
        <f aca="false">IF(BZ$8=1,N(Reales!BZ18),IF(BZ$171=1,IF(AND(AND(73&gt;Corte,73&lt;=Corte+n_Ventana),ISNUMBER(Detalle_24m!BZ$20)),Detalle_24m!BZ$20,INDEX(Vol_V,7,BZ$170)/12)*(1+V_dVol),0))</f>
        <v>0</v>
      </c>
      <c r="CA183" s="48" t="n">
        <f aca="false">IF(CA$8=1,N(Reales!CA18),IF(CA$171=1,IF(AND(AND(74&gt;Corte,74&lt;=Corte+n_Ventana),ISNUMBER(Detalle_24m!CA$20)),Detalle_24m!CA$20,INDEX(Vol_V,7,CA$170)/12)*(1+V_dVol),0))</f>
        <v>0</v>
      </c>
      <c r="CB183" s="48" t="n">
        <f aca="false">IF(CB$8=1,N(Reales!CB18),IF(CB$171=1,IF(AND(AND(75&gt;Corte,75&lt;=Corte+n_Ventana),ISNUMBER(Detalle_24m!CB$20)),Detalle_24m!CB$20,INDEX(Vol_V,7,CB$170)/12)*(1+V_dVol),0))</f>
        <v>0</v>
      </c>
      <c r="CC183" s="48" t="n">
        <f aca="false">IF(CC$8=1,N(Reales!CC18),IF(CC$171=1,IF(AND(AND(76&gt;Corte,76&lt;=Corte+n_Ventana),ISNUMBER(Detalle_24m!CC$20)),Detalle_24m!CC$20,INDEX(Vol_V,7,CC$170)/12)*(1+V_dVol),0))</f>
        <v>0</v>
      </c>
      <c r="CD183" s="48" t="n">
        <f aca="false">IF(CD$8=1,N(Reales!CD18),IF(CD$171=1,IF(AND(AND(77&gt;Corte,77&lt;=Corte+n_Ventana),ISNUMBER(Detalle_24m!CD$20)),Detalle_24m!CD$20,INDEX(Vol_V,7,CD$170)/12)*(1+V_dVol),0))</f>
        <v>0</v>
      </c>
      <c r="CE183" s="48" t="n">
        <f aca="false">IF(CE$8=1,N(Reales!CE18),IF(CE$171=1,IF(AND(AND(78&gt;Corte,78&lt;=Corte+n_Ventana),ISNUMBER(Detalle_24m!CE$20)),Detalle_24m!CE$20,INDEX(Vol_V,7,CE$170)/12)*(1+V_dVol),0))</f>
        <v>0</v>
      </c>
      <c r="CF183" s="48" t="n">
        <f aca="false">IF(CF$8=1,N(Reales!CF18),IF(CF$171=1,IF(AND(AND(79&gt;Corte,79&lt;=Corte+n_Ventana),ISNUMBER(Detalle_24m!CF$20)),Detalle_24m!CF$20,INDEX(Vol_V,7,CF$170)/12)*(1+V_dVol),0))</f>
        <v>0</v>
      </c>
      <c r="CG183" s="48" t="n">
        <f aca="false">IF(CG$8=1,N(Reales!CG18),IF(CG$171=1,IF(AND(AND(80&gt;Corte,80&lt;=Corte+n_Ventana),ISNUMBER(Detalle_24m!CG$20)),Detalle_24m!CG$20,INDEX(Vol_V,7,CG$170)/12)*(1+V_dVol),0))</f>
        <v>0</v>
      </c>
      <c r="CH183" s="48" t="n">
        <f aca="false">IF(CH$8=1,N(Reales!CH18),IF(CH$171=1,IF(AND(AND(81&gt;Corte,81&lt;=Corte+n_Ventana),ISNUMBER(Detalle_24m!CH$20)),Detalle_24m!CH$20,INDEX(Vol_V,7,CH$170)/12)*(1+V_dVol),0))</f>
        <v>0</v>
      </c>
      <c r="CI183" s="48" t="n">
        <f aca="false">IF(CI$8=1,N(Reales!CI18),IF(CI$171=1,IF(AND(AND(82&gt;Corte,82&lt;=Corte+n_Ventana),ISNUMBER(Detalle_24m!CI$20)),Detalle_24m!CI$20,INDEX(Vol_V,7,CI$170)/12)*(1+V_dVol),0))</f>
        <v>0</v>
      </c>
      <c r="CJ183" s="48" t="n">
        <f aca="false">IF(CJ$8=1,N(Reales!CJ18),IF(CJ$171=1,IF(AND(AND(83&gt;Corte,83&lt;=Corte+n_Ventana),ISNUMBER(Detalle_24m!CJ$20)),Detalle_24m!CJ$20,INDEX(Vol_V,7,CJ$170)/12)*(1+V_dVol),0))</f>
        <v>0</v>
      </c>
      <c r="CK183" s="48" t="n">
        <f aca="false">IF(CK$8=1,N(Reales!CK18),IF(CK$171=1,IF(AND(AND(84&gt;Corte,84&lt;=Corte+n_Ventana),ISNUMBER(Detalle_24m!CK$20)),Detalle_24m!CK$20,INDEX(Vol_V,7,CK$170)/12)*(1+V_dVol),0))</f>
        <v>0</v>
      </c>
      <c r="CL183" s="48" t="n">
        <f aca="false">IF(CL$8=1,N(Reales!CL18),IF(CL$171=1,IF(AND(AND(85&gt;Corte,85&lt;=Corte+n_Ventana),ISNUMBER(Detalle_24m!CL$20)),Detalle_24m!CL$20,INDEX(Vol_V,7,CL$170)/12)*(1+V_dVol),0))</f>
        <v>0</v>
      </c>
      <c r="CM183" s="48" t="n">
        <f aca="false">IF(CM$8=1,N(Reales!CM18),IF(CM$171=1,IF(AND(AND(86&gt;Corte,86&lt;=Corte+n_Ventana),ISNUMBER(Detalle_24m!CM$20)),Detalle_24m!CM$20,INDEX(Vol_V,7,CM$170)/12)*(1+V_dVol),0))</f>
        <v>0</v>
      </c>
      <c r="CN183" s="48" t="n">
        <f aca="false">IF(CN$8=1,N(Reales!CN18),IF(CN$171=1,IF(AND(AND(87&gt;Corte,87&lt;=Corte+n_Ventana),ISNUMBER(Detalle_24m!CN$20)),Detalle_24m!CN$20,INDEX(Vol_V,7,CN$170)/12)*(1+V_dVol),0))</f>
        <v>0</v>
      </c>
      <c r="CO183" s="48" t="n">
        <f aca="false">IF(CO$8=1,N(Reales!CO18),IF(CO$171=1,IF(AND(AND(88&gt;Corte,88&lt;=Corte+n_Ventana),ISNUMBER(Detalle_24m!CO$20)),Detalle_24m!CO$20,INDEX(Vol_V,7,CO$170)/12)*(1+V_dVol),0))</f>
        <v>0</v>
      </c>
      <c r="CP183" s="48" t="n">
        <f aca="false">IF(CP$8=1,N(Reales!CP18),IF(CP$171=1,IF(AND(AND(89&gt;Corte,89&lt;=Corte+n_Ventana),ISNUMBER(Detalle_24m!CP$20)),Detalle_24m!CP$20,INDEX(Vol_V,7,CP$170)/12)*(1+V_dVol),0))</f>
        <v>0</v>
      </c>
      <c r="CQ183" s="48" t="n">
        <f aca="false">IF(CQ$8=1,N(Reales!CQ18),IF(CQ$171=1,IF(AND(AND(90&gt;Corte,90&lt;=Corte+n_Ventana),ISNUMBER(Detalle_24m!CQ$20)),Detalle_24m!CQ$20,INDEX(Vol_V,7,CQ$170)/12)*(1+V_dVol),0))</f>
        <v>0</v>
      </c>
      <c r="CR183" s="48" t="n">
        <f aca="false">IF(CR$8=1,N(Reales!CR18),IF(CR$171=1,IF(AND(AND(91&gt;Corte,91&lt;=Corte+n_Ventana),ISNUMBER(Detalle_24m!CR$20)),Detalle_24m!CR$20,INDEX(Vol_V,7,CR$170)/12)*(1+V_dVol),0))</f>
        <v>0</v>
      </c>
      <c r="CS183" s="48" t="n">
        <f aca="false">IF(CS$8=1,N(Reales!CS18),IF(CS$171=1,IF(AND(AND(92&gt;Corte,92&lt;=Corte+n_Ventana),ISNUMBER(Detalle_24m!CS$20)),Detalle_24m!CS$20,INDEX(Vol_V,7,CS$170)/12)*(1+V_dVol),0))</f>
        <v>0</v>
      </c>
      <c r="CT183" s="48" t="n">
        <f aca="false">IF(CT$8=1,N(Reales!CT18),IF(CT$171=1,IF(AND(AND(93&gt;Corte,93&lt;=Corte+n_Ventana),ISNUMBER(Detalle_24m!CT$20)),Detalle_24m!CT$20,INDEX(Vol_V,7,CT$170)/12)*(1+V_dVol),0))</f>
        <v>0</v>
      </c>
      <c r="CU183" s="48" t="n">
        <f aca="false">IF(CU$8=1,N(Reales!CU18),IF(CU$171=1,IF(AND(AND(94&gt;Corte,94&lt;=Corte+n_Ventana),ISNUMBER(Detalle_24m!CU$20)),Detalle_24m!CU$20,INDEX(Vol_V,7,CU$170)/12)*(1+V_dVol),0))</f>
        <v>0</v>
      </c>
      <c r="CV183" s="48" t="n">
        <f aca="false">IF(CV$8=1,N(Reales!CV18),IF(CV$171=1,IF(AND(AND(95&gt;Corte,95&lt;=Corte+n_Ventana),ISNUMBER(Detalle_24m!CV$20)),Detalle_24m!CV$20,INDEX(Vol_V,7,CV$170)/12)*(1+V_dVol),0))</f>
        <v>0</v>
      </c>
      <c r="CW183" s="48" t="n">
        <f aca="false">IF(CW$8=1,N(Reales!CW18),IF(CW$171=1,IF(AND(AND(96&gt;Corte,96&lt;=Corte+n_Ventana),ISNUMBER(Detalle_24m!CW$20)),Detalle_24m!CW$20,INDEX(Vol_V,7,CW$170)/12)*(1+V_dVol),0))</f>
        <v>0</v>
      </c>
      <c r="CX183" s="48" t="n">
        <f aca="false">IF(CX$8=1,N(Reales!CX18),IF(CX$171=1,IF(AND(AND(97&gt;Corte,97&lt;=Corte+n_Ventana),ISNUMBER(Detalle_24m!CX$20)),Detalle_24m!CX$20,INDEX(Vol_V,7,CX$170)/12)*(1+V_dVol),0))</f>
        <v>0</v>
      </c>
      <c r="CY183" s="48" t="n">
        <f aca="false">IF(CY$8=1,N(Reales!CY18),IF(CY$171=1,IF(AND(AND(98&gt;Corte,98&lt;=Corte+n_Ventana),ISNUMBER(Detalle_24m!CY$20)),Detalle_24m!CY$20,INDEX(Vol_V,7,CY$170)/12)*(1+V_dVol),0))</f>
        <v>0</v>
      </c>
      <c r="CZ183" s="48" t="n">
        <f aca="false">IF(CZ$8=1,N(Reales!CZ18),IF(CZ$171=1,IF(AND(AND(99&gt;Corte,99&lt;=Corte+n_Ventana),ISNUMBER(Detalle_24m!CZ$20)),Detalle_24m!CZ$20,INDEX(Vol_V,7,CZ$170)/12)*(1+V_dVol),0))</f>
        <v>0</v>
      </c>
      <c r="DA183" s="48" t="n">
        <f aca="false">IF(DA$8=1,N(Reales!DA18),IF(DA$171=1,IF(AND(AND(100&gt;Corte,100&lt;=Corte+n_Ventana),ISNUMBER(Detalle_24m!DA$20)),Detalle_24m!DA$20,INDEX(Vol_V,7,DA$170)/12)*(1+V_dVol),0))</f>
        <v>0</v>
      </c>
      <c r="DB183" s="48" t="n">
        <f aca="false">IF(DB$8=1,N(Reales!DB18),IF(DB$171=1,IF(AND(AND(101&gt;Corte,101&lt;=Corte+n_Ventana),ISNUMBER(Detalle_24m!DB$20)),Detalle_24m!DB$20,INDEX(Vol_V,7,DB$170)/12)*(1+V_dVol),0))</f>
        <v>0</v>
      </c>
      <c r="DC183" s="48" t="n">
        <f aca="false">IF(DC$8=1,N(Reales!DC18),IF(DC$171=1,IF(AND(AND(102&gt;Corte,102&lt;=Corte+n_Ventana),ISNUMBER(Detalle_24m!DC$20)),Detalle_24m!DC$20,INDEX(Vol_V,7,DC$170)/12)*(1+V_dVol),0))</f>
        <v>0</v>
      </c>
      <c r="DD183" s="48" t="n">
        <f aca="false">IF(DD$8=1,N(Reales!DD18),IF(DD$171=1,IF(AND(AND(103&gt;Corte,103&lt;=Corte+n_Ventana),ISNUMBER(Detalle_24m!DD$20)),Detalle_24m!DD$20,INDEX(Vol_V,7,DD$170)/12)*(1+V_dVol),0))</f>
        <v>0</v>
      </c>
      <c r="DE183" s="48" t="n">
        <f aca="false">IF(DE$8=1,N(Reales!DE18),IF(DE$171=1,IF(AND(AND(104&gt;Corte,104&lt;=Corte+n_Ventana),ISNUMBER(Detalle_24m!DE$20)),Detalle_24m!DE$20,INDEX(Vol_V,7,DE$170)/12)*(1+V_dVol),0))</f>
        <v>0</v>
      </c>
      <c r="DF183" s="48" t="n">
        <f aca="false">IF(DF$8=1,N(Reales!DF18),IF(DF$171=1,IF(AND(AND(105&gt;Corte,105&lt;=Corte+n_Ventana),ISNUMBER(Detalle_24m!DF$20)),Detalle_24m!DF$20,INDEX(Vol_V,7,DF$170)/12)*(1+V_dVol),0))</f>
        <v>0</v>
      </c>
      <c r="DG183" s="48" t="n">
        <f aca="false">IF(DG$8=1,N(Reales!DG18),IF(DG$171=1,IF(AND(AND(106&gt;Corte,106&lt;=Corte+n_Ventana),ISNUMBER(Detalle_24m!DG$20)),Detalle_24m!DG$20,INDEX(Vol_V,7,DG$170)/12)*(1+V_dVol),0))</f>
        <v>0</v>
      </c>
      <c r="DH183" s="48" t="n">
        <f aca="false">IF(DH$8=1,N(Reales!DH18),IF(DH$171=1,IF(AND(AND(107&gt;Corte,107&lt;=Corte+n_Ventana),ISNUMBER(Detalle_24m!DH$20)),Detalle_24m!DH$20,INDEX(Vol_V,7,DH$170)/12)*(1+V_dVol),0))</f>
        <v>0</v>
      </c>
      <c r="DI183" s="48" t="n">
        <f aca="false">IF(DI$8=1,N(Reales!DI18),IF(DI$171=1,IF(AND(AND(108&gt;Corte,108&lt;=Corte+n_Ventana),ISNUMBER(Detalle_24m!DI$20)),Detalle_24m!DI$20,INDEX(Vol_V,7,DI$170)/12)*(1+V_dVol),0))</f>
        <v>0</v>
      </c>
      <c r="DJ183" s="48" t="n">
        <f aca="false">IF(DJ$8=1,N(Reales!DJ18),IF(DJ$171=1,IF(AND(AND(109&gt;Corte,109&lt;=Corte+n_Ventana),ISNUMBER(Detalle_24m!DJ$20)),Detalle_24m!DJ$20,INDEX(Vol_V,7,DJ$170)/12)*(1+V_dVol),0))</f>
        <v>0</v>
      </c>
      <c r="DK183" s="48" t="n">
        <f aca="false">IF(DK$8=1,N(Reales!DK18),IF(DK$171=1,IF(AND(AND(110&gt;Corte,110&lt;=Corte+n_Ventana),ISNUMBER(Detalle_24m!DK$20)),Detalle_24m!DK$20,INDEX(Vol_V,7,DK$170)/12)*(1+V_dVol),0))</f>
        <v>0</v>
      </c>
      <c r="DL183" s="48" t="n">
        <f aca="false">IF(DL$8=1,N(Reales!DL18),IF(DL$171=1,IF(AND(AND(111&gt;Corte,111&lt;=Corte+n_Ventana),ISNUMBER(Detalle_24m!DL$20)),Detalle_24m!DL$20,INDEX(Vol_V,7,DL$170)/12)*(1+V_dVol),0))</f>
        <v>0</v>
      </c>
      <c r="DM183" s="48" t="n">
        <f aca="false">IF(DM$8=1,N(Reales!DM18),IF(DM$171=1,IF(AND(AND(112&gt;Corte,112&lt;=Corte+n_Ventana),ISNUMBER(Detalle_24m!DM$20)),Detalle_24m!DM$20,INDEX(Vol_V,7,DM$170)/12)*(1+V_dVol),0))</f>
        <v>0</v>
      </c>
      <c r="DN183" s="48" t="n">
        <f aca="false">IF(DN$8=1,N(Reales!DN18),IF(DN$171=1,IF(AND(AND(113&gt;Corte,113&lt;=Corte+n_Ventana),ISNUMBER(Detalle_24m!DN$20)),Detalle_24m!DN$20,INDEX(Vol_V,7,DN$170)/12)*(1+V_dVol),0))</f>
        <v>0</v>
      </c>
      <c r="DO183" s="48" t="n">
        <f aca="false">IF(DO$8=1,N(Reales!DO18),IF(DO$171=1,IF(AND(AND(114&gt;Corte,114&lt;=Corte+n_Ventana),ISNUMBER(Detalle_24m!DO$20)),Detalle_24m!DO$20,INDEX(Vol_V,7,DO$170)/12)*(1+V_dVol),0))</f>
        <v>0</v>
      </c>
      <c r="DP183" s="48" t="n">
        <f aca="false">IF(DP$8=1,N(Reales!DP18),IF(DP$171=1,IF(AND(AND(115&gt;Corte,115&lt;=Corte+n_Ventana),ISNUMBER(Detalle_24m!DP$20)),Detalle_24m!DP$20,INDEX(Vol_V,7,DP$170)/12)*(1+V_dVol),0))</f>
        <v>0</v>
      </c>
      <c r="DQ183" s="48" t="n">
        <f aca="false">IF(DQ$8=1,N(Reales!DQ18),IF(DQ$171=1,IF(AND(AND(116&gt;Corte,116&lt;=Corte+n_Ventana),ISNUMBER(Detalle_24m!DQ$20)),Detalle_24m!DQ$20,INDEX(Vol_V,7,DQ$170)/12)*(1+V_dVol),0))</f>
        <v>0</v>
      </c>
      <c r="DR183" s="48" t="n">
        <f aca="false">IF(DR$8=1,N(Reales!DR18),IF(DR$171=1,IF(AND(AND(117&gt;Corte,117&lt;=Corte+n_Ventana),ISNUMBER(Detalle_24m!DR$20)),Detalle_24m!DR$20,INDEX(Vol_V,7,DR$170)/12)*(1+V_dVol),0))</f>
        <v>0</v>
      </c>
      <c r="DS183" s="48" t="n">
        <f aca="false">IF(DS$8=1,N(Reales!DS18),IF(DS$171=1,IF(AND(AND(118&gt;Corte,118&lt;=Corte+n_Ventana),ISNUMBER(Detalle_24m!DS$20)),Detalle_24m!DS$20,INDEX(Vol_V,7,DS$170)/12)*(1+V_dVol),0))</f>
        <v>0</v>
      </c>
      <c r="DT183" s="48" t="n">
        <f aca="false">IF(DT$8=1,N(Reales!DT18),IF(DT$171=1,IF(AND(AND(119&gt;Corte,119&lt;=Corte+n_Ventana),ISNUMBER(Detalle_24m!DT$20)),Detalle_24m!DT$20,INDEX(Vol_V,7,DT$170)/12)*(1+V_dVol),0))</f>
        <v>0</v>
      </c>
      <c r="DU183" s="48" t="n">
        <f aca="false">IF(DU$8=1,N(Reales!DU18),IF(DU$171=1,IF(AND(AND(120&gt;Corte,120&lt;=Corte+n_Ventana),ISNUMBER(Detalle_24m!DU$20)),Detalle_24m!DU$20,INDEX(Vol_V,7,DU$170)/12)*(1+V_dVol),0))</f>
        <v>0</v>
      </c>
      <c r="DV183" s="48" t="n">
        <f aca="false">IF(DV$8=1,N(Reales!DV18),IF(DV$171=1,IF(AND(AND(121&gt;Corte,121&lt;=Corte+n_Ventana),ISNUMBER(Detalle_24m!DV$20)),Detalle_24m!DV$20,INDEX(Vol_V,7,DV$170)/12)*(1+V_dVol),0))</f>
        <v>0</v>
      </c>
      <c r="DW183" s="48" t="n">
        <f aca="false">IF(DW$8=1,N(Reales!DW18),IF(DW$171=1,IF(AND(AND(122&gt;Corte,122&lt;=Corte+n_Ventana),ISNUMBER(Detalle_24m!DW$20)),Detalle_24m!DW$20,INDEX(Vol_V,7,DW$170)/12)*(1+V_dVol),0))</f>
        <v>0</v>
      </c>
      <c r="DX183" s="48" t="n">
        <f aca="false">IF(DX$8=1,N(Reales!DX18),IF(DX$171=1,IF(AND(AND(123&gt;Corte,123&lt;=Corte+n_Ventana),ISNUMBER(Detalle_24m!DX$20)),Detalle_24m!DX$20,INDEX(Vol_V,7,DX$170)/12)*(1+V_dVol),0))</f>
        <v>0</v>
      </c>
      <c r="DY183" s="48" t="n">
        <f aca="false">IF(DY$8=1,N(Reales!DY18),IF(DY$171=1,IF(AND(AND(124&gt;Corte,124&lt;=Corte+n_Ventana),ISNUMBER(Detalle_24m!DY$20)),Detalle_24m!DY$20,INDEX(Vol_V,7,DY$170)/12)*(1+V_dVol),0))</f>
        <v>0</v>
      </c>
      <c r="DZ183" s="48" t="n">
        <f aca="false">IF(DZ$8=1,N(Reales!DZ18),IF(DZ$171=1,IF(AND(AND(125&gt;Corte,125&lt;=Corte+n_Ventana),ISNUMBER(Detalle_24m!DZ$20)),Detalle_24m!DZ$20,INDEX(Vol_V,7,DZ$170)/12)*(1+V_dVol),0))</f>
        <v>0</v>
      </c>
      <c r="EA183" s="48" t="n">
        <f aca="false">IF(EA$8=1,N(Reales!EA18),IF(EA$171=1,IF(AND(AND(126&gt;Corte,126&lt;=Corte+n_Ventana),ISNUMBER(Detalle_24m!EA$20)),Detalle_24m!EA$20,INDEX(Vol_V,7,EA$170)/12)*(1+V_dVol),0))</f>
        <v>0</v>
      </c>
      <c r="EB183" s="48" t="n">
        <f aca="false">IF(EB$8=1,N(Reales!EB18),IF(EB$171=1,IF(AND(AND(127&gt;Corte,127&lt;=Corte+n_Ventana),ISNUMBER(Detalle_24m!EB$20)),Detalle_24m!EB$20,INDEX(Vol_V,7,EB$170)/12)*(1+V_dVol),0))</f>
        <v>0</v>
      </c>
      <c r="EC183" s="48" t="n">
        <f aca="false">IF(EC$8=1,N(Reales!EC18),IF(EC$171=1,IF(AND(AND(128&gt;Corte,128&lt;=Corte+n_Ventana),ISNUMBER(Detalle_24m!EC$20)),Detalle_24m!EC$20,INDEX(Vol_V,7,EC$170)/12)*(1+V_dVol),0))</f>
        <v>0</v>
      </c>
      <c r="ED183" s="48" t="n">
        <f aca="false">IF(ED$8=1,N(Reales!ED18),IF(ED$171=1,IF(AND(AND(129&gt;Corte,129&lt;=Corte+n_Ventana),ISNUMBER(Detalle_24m!ED$20)),Detalle_24m!ED$20,INDEX(Vol_V,7,ED$170)/12)*(1+V_dVol),0))</f>
        <v>0</v>
      </c>
      <c r="EE183" s="48" t="n">
        <f aca="false">IF(EE$8=1,N(Reales!EE18),IF(EE$171=1,IF(AND(AND(130&gt;Corte,130&lt;=Corte+n_Ventana),ISNUMBER(Detalle_24m!EE$20)),Detalle_24m!EE$20,INDEX(Vol_V,7,EE$170)/12)*(1+V_dVol),0))</f>
        <v>0</v>
      </c>
      <c r="EF183" s="48" t="n">
        <f aca="false">IF(EF$8=1,N(Reales!EF18),IF(EF$171=1,IF(AND(AND(131&gt;Corte,131&lt;=Corte+n_Ventana),ISNUMBER(Detalle_24m!EF$20)),Detalle_24m!EF$20,INDEX(Vol_V,7,EF$170)/12)*(1+V_dVol),0))</f>
        <v>0</v>
      </c>
      <c r="EG183" s="48" t="n">
        <f aca="false">IF(EG$8=1,N(Reales!EG18),IF(EG$171=1,IF(AND(AND(132&gt;Corte,132&lt;=Corte+n_Ventana),ISNUMBER(Detalle_24m!EG$20)),Detalle_24m!EG$20,INDEX(Vol_V,7,EG$170)/12)*(1+V_dVol),0))</f>
        <v>0</v>
      </c>
      <c r="EH183" s="48" t="n">
        <f aca="false">IF(EH$8=1,N(Reales!EH18),IF(EH$171=1,IF(AND(AND(133&gt;Corte,133&lt;=Corte+n_Ventana),ISNUMBER(Detalle_24m!EH$20)),Detalle_24m!EH$20,INDEX(Vol_V,7,EH$170)/12)*(1+V_dVol),0))</f>
        <v>0</v>
      </c>
      <c r="EI183" s="48" t="n">
        <f aca="false">IF(EI$8=1,N(Reales!EI18),IF(EI$171=1,IF(AND(AND(134&gt;Corte,134&lt;=Corte+n_Ventana),ISNUMBER(Detalle_24m!EI$20)),Detalle_24m!EI$20,INDEX(Vol_V,7,EI$170)/12)*(1+V_dVol),0))</f>
        <v>0</v>
      </c>
      <c r="EJ183" s="48" t="n">
        <f aca="false">IF(EJ$8=1,N(Reales!EJ18),IF(EJ$171=1,IF(AND(AND(135&gt;Corte,135&lt;=Corte+n_Ventana),ISNUMBER(Detalle_24m!EJ$20)),Detalle_24m!EJ$20,INDEX(Vol_V,7,EJ$170)/12)*(1+V_dVol),0))</f>
        <v>0</v>
      </c>
      <c r="EK183" s="48" t="n">
        <f aca="false">IF(EK$8=1,N(Reales!EK18),IF(EK$171=1,IF(AND(AND(136&gt;Corte,136&lt;=Corte+n_Ventana),ISNUMBER(Detalle_24m!EK$20)),Detalle_24m!EK$20,INDEX(Vol_V,7,EK$170)/12)*(1+V_dVol),0))</f>
        <v>0</v>
      </c>
      <c r="EL183" s="48" t="n">
        <f aca="false">IF(EL$8=1,N(Reales!EL18),IF(EL$171=1,IF(AND(AND(137&gt;Corte,137&lt;=Corte+n_Ventana),ISNUMBER(Detalle_24m!EL$20)),Detalle_24m!EL$20,INDEX(Vol_V,7,EL$170)/12)*(1+V_dVol),0))</f>
        <v>0</v>
      </c>
      <c r="EM183" s="48" t="n">
        <f aca="false">IF(EM$8=1,N(Reales!EM18),IF(EM$171=1,IF(AND(AND(138&gt;Corte,138&lt;=Corte+n_Ventana),ISNUMBER(Detalle_24m!EM$20)),Detalle_24m!EM$20,INDEX(Vol_V,7,EM$170)/12)*(1+V_dVol),0))</f>
        <v>0</v>
      </c>
      <c r="EN183" s="48" t="n">
        <f aca="false">IF(EN$8=1,N(Reales!EN18),IF(EN$171=1,IF(AND(AND(139&gt;Corte,139&lt;=Corte+n_Ventana),ISNUMBER(Detalle_24m!EN$20)),Detalle_24m!EN$20,INDEX(Vol_V,7,EN$170)/12)*(1+V_dVol),0))</f>
        <v>0</v>
      </c>
      <c r="EO183" s="48" t="n">
        <f aca="false">IF(EO$8=1,N(Reales!EO18),IF(EO$171=1,IF(AND(AND(140&gt;Corte,140&lt;=Corte+n_Ventana),ISNUMBER(Detalle_24m!EO$20)),Detalle_24m!EO$20,INDEX(Vol_V,7,EO$170)/12)*(1+V_dVol),0))</f>
        <v>0</v>
      </c>
      <c r="EP183" s="48" t="n">
        <f aca="false">IF(EP$8=1,N(Reales!EP18),IF(EP$171=1,IF(AND(AND(141&gt;Corte,141&lt;=Corte+n_Ventana),ISNUMBER(Detalle_24m!EP$20)),Detalle_24m!EP$20,INDEX(Vol_V,7,EP$170)/12)*(1+V_dVol),0))</f>
        <v>0</v>
      </c>
      <c r="EQ183" s="48" t="n">
        <f aca="false">IF(EQ$8=1,N(Reales!EQ18),IF(EQ$171=1,IF(AND(AND(142&gt;Corte,142&lt;=Corte+n_Ventana),ISNUMBER(Detalle_24m!EQ$20)),Detalle_24m!EQ$20,INDEX(Vol_V,7,EQ$170)/12)*(1+V_dVol),0))</f>
        <v>0</v>
      </c>
      <c r="ER183" s="48" t="n">
        <f aca="false">IF(ER$8=1,N(Reales!ER18),IF(ER$171=1,IF(AND(AND(143&gt;Corte,143&lt;=Corte+n_Ventana),ISNUMBER(Detalle_24m!ER$20)),Detalle_24m!ER$20,INDEX(Vol_V,7,ER$170)/12)*(1+V_dVol),0))</f>
        <v>0</v>
      </c>
      <c r="ES183" s="48" t="n">
        <f aca="false">IF(ES$8=1,N(Reales!ES18),IF(ES$171=1,IF(AND(AND(144&gt;Corte,144&lt;=Corte+n_Ventana),ISNUMBER(Detalle_24m!ES$20)),Detalle_24m!ES$20,INDEX(Vol_V,7,ES$170)/12)*(1+V_dVol),0))</f>
        <v>0</v>
      </c>
    </row>
    <row r="184" customFormat="false" ht="15" hidden="false" customHeight="false" outlineLevel="0" collapsed="false">
      <c r="A184" s="11" t="s">
        <v>1307</v>
      </c>
      <c r="B184" s="53" t="str">
        <f aca="false">IF(INDEX(Prod_Nombre,8)="","Producto 8",INDEX(Prod_Nombre,8))&amp;" — unidades"</f>
        <v>Producto 8 — unidades</v>
      </c>
      <c r="C184" s="15" t="s">
        <v>544</v>
      </c>
      <c r="E184" s="54" t="n">
        <f aca="false">SUM(F184:ES184)</f>
        <v>0</v>
      </c>
      <c r="F184" s="48" t="n">
        <f aca="false">IF(F$8=1,N(Reales!F19),IF(F$171=1,IF(AND(AND(1&gt;Corte,1&lt;=Corte+n_Ventana),ISNUMBER(Detalle_24m!F$21)),Detalle_24m!F$21,INDEX(Vol_V,8,F$170)/12)*(1+V_dVol),0))</f>
        <v>0</v>
      </c>
      <c r="G184" s="48" t="n">
        <f aca="false">IF(G$8=1,N(Reales!G19),IF(G$171=1,IF(AND(AND(2&gt;Corte,2&lt;=Corte+n_Ventana),ISNUMBER(Detalle_24m!G$21)),Detalle_24m!G$21,INDEX(Vol_V,8,G$170)/12)*(1+V_dVol),0))</f>
        <v>0</v>
      </c>
      <c r="H184" s="48" t="n">
        <f aca="false">IF(H$8=1,N(Reales!H19),IF(H$171=1,IF(AND(AND(3&gt;Corte,3&lt;=Corte+n_Ventana),ISNUMBER(Detalle_24m!H$21)),Detalle_24m!H$21,INDEX(Vol_V,8,H$170)/12)*(1+V_dVol),0))</f>
        <v>0</v>
      </c>
      <c r="I184" s="48" t="n">
        <f aca="false">IF(I$8=1,N(Reales!I19),IF(I$171=1,IF(AND(AND(4&gt;Corte,4&lt;=Corte+n_Ventana),ISNUMBER(Detalle_24m!I$21)),Detalle_24m!I$21,INDEX(Vol_V,8,I$170)/12)*(1+V_dVol),0))</f>
        <v>0</v>
      </c>
      <c r="J184" s="48" t="n">
        <f aca="false">IF(J$8=1,N(Reales!J19),IF(J$171=1,IF(AND(AND(5&gt;Corte,5&lt;=Corte+n_Ventana),ISNUMBER(Detalle_24m!J$21)),Detalle_24m!J$21,INDEX(Vol_V,8,J$170)/12)*(1+V_dVol),0))</f>
        <v>0</v>
      </c>
      <c r="K184" s="48" t="n">
        <f aca="false">IF(K$8=1,N(Reales!K19),IF(K$171=1,IF(AND(AND(6&gt;Corte,6&lt;=Corte+n_Ventana),ISNUMBER(Detalle_24m!K$21)),Detalle_24m!K$21,INDEX(Vol_V,8,K$170)/12)*(1+V_dVol),0))</f>
        <v>0</v>
      </c>
      <c r="L184" s="48" t="n">
        <f aca="false">IF(L$8=1,N(Reales!L19),IF(L$171=1,IF(AND(AND(7&gt;Corte,7&lt;=Corte+n_Ventana),ISNUMBER(Detalle_24m!L$21)),Detalle_24m!L$21,INDEX(Vol_V,8,L$170)/12)*(1+V_dVol),0))</f>
        <v>0</v>
      </c>
      <c r="M184" s="48" t="n">
        <f aca="false">IF(M$8=1,N(Reales!M19),IF(M$171=1,IF(AND(AND(8&gt;Corte,8&lt;=Corte+n_Ventana),ISNUMBER(Detalle_24m!M$21)),Detalle_24m!M$21,INDEX(Vol_V,8,M$170)/12)*(1+V_dVol),0))</f>
        <v>0</v>
      </c>
      <c r="N184" s="48" t="n">
        <f aca="false">IF(N$8=1,N(Reales!N19),IF(N$171=1,IF(AND(AND(9&gt;Corte,9&lt;=Corte+n_Ventana),ISNUMBER(Detalle_24m!N$21)),Detalle_24m!N$21,INDEX(Vol_V,8,N$170)/12)*(1+V_dVol),0))</f>
        <v>0</v>
      </c>
      <c r="O184" s="48" t="n">
        <f aca="false">IF(O$8=1,N(Reales!O19),IF(O$171=1,IF(AND(AND(10&gt;Corte,10&lt;=Corte+n_Ventana),ISNUMBER(Detalle_24m!O$21)),Detalle_24m!O$21,INDEX(Vol_V,8,O$170)/12)*(1+V_dVol),0))</f>
        <v>0</v>
      </c>
      <c r="P184" s="48" t="n">
        <f aca="false">IF(P$8=1,N(Reales!P19),IF(P$171=1,IF(AND(AND(11&gt;Corte,11&lt;=Corte+n_Ventana),ISNUMBER(Detalle_24m!P$21)),Detalle_24m!P$21,INDEX(Vol_V,8,P$170)/12)*(1+V_dVol),0))</f>
        <v>0</v>
      </c>
      <c r="Q184" s="48" t="n">
        <f aca="false">IF(Q$8=1,N(Reales!Q19),IF(Q$171=1,IF(AND(AND(12&gt;Corte,12&lt;=Corte+n_Ventana),ISNUMBER(Detalle_24m!Q$21)),Detalle_24m!Q$21,INDEX(Vol_V,8,Q$170)/12)*(1+V_dVol),0))</f>
        <v>0</v>
      </c>
      <c r="R184" s="48" t="n">
        <f aca="false">IF(R$8=1,N(Reales!R19),IF(R$171=1,IF(AND(AND(13&gt;Corte,13&lt;=Corte+n_Ventana),ISNUMBER(Detalle_24m!R$21)),Detalle_24m!R$21,INDEX(Vol_V,8,R$170)/12)*(1+V_dVol),0))</f>
        <v>0</v>
      </c>
      <c r="S184" s="48" t="n">
        <f aca="false">IF(S$8=1,N(Reales!S19),IF(S$171=1,IF(AND(AND(14&gt;Corte,14&lt;=Corte+n_Ventana),ISNUMBER(Detalle_24m!S$21)),Detalle_24m!S$21,INDEX(Vol_V,8,S$170)/12)*(1+V_dVol),0))</f>
        <v>0</v>
      </c>
      <c r="T184" s="48" t="n">
        <f aca="false">IF(T$8=1,N(Reales!T19),IF(T$171=1,IF(AND(AND(15&gt;Corte,15&lt;=Corte+n_Ventana),ISNUMBER(Detalle_24m!T$21)),Detalle_24m!T$21,INDEX(Vol_V,8,T$170)/12)*(1+V_dVol),0))</f>
        <v>0</v>
      </c>
      <c r="U184" s="48" t="n">
        <f aca="false">IF(U$8=1,N(Reales!U19),IF(U$171=1,IF(AND(AND(16&gt;Corte,16&lt;=Corte+n_Ventana),ISNUMBER(Detalle_24m!U$21)),Detalle_24m!U$21,INDEX(Vol_V,8,U$170)/12)*(1+V_dVol),0))</f>
        <v>0</v>
      </c>
      <c r="V184" s="48" t="n">
        <f aca="false">IF(V$8=1,N(Reales!V19),IF(V$171=1,IF(AND(AND(17&gt;Corte,17&lt;=Corte+n_Ventana),ISNUMBER(Detalle_24m!V$21)),Detalle_24m!V$21,INDEX(Vol_V,8,V$170)/12)*(1+V_dVol),0))</f>
        <v>0</v>
      </c>
      <c r="W184" s="48" t="n">
        <f aca="false">IF(W$8=1,N(Reales!W19),IF(W$171=1,IF(AND(AND(18&gt;Corte,18&lt;=Corte+n_Ventana),ISNUMBER(Detalle_24m!W$21)),Detalle_24m!W$21,INDEX(Vol_V,8,W$170)/12)*(1+V_dVol),0))</f>
        <v>0</v>
      </c>
      <c r="X184" s="48" t="n">
        <f aca="false">IF(X$8=1,N(Reales!X19),IF(X$171=1,IF(AND(AND(19&gt;Corte,19&lt;=Corte+n_Ventana),ISNUMBER(Detalle_24m!X$21)),Detalle_24m!X$21,INDEX(Vol_V,8,X$170)/12)*(1+V_dVol),0))</f>
        <v>0</v>
      </c>
      <c r="Y184" s="48" t="n">
        <f aca="false">IF(Y$8=1,N(Reales!Y19),IF(Y$171=1,IF(AND(AND(20&gt;Corte,20&lt;=Corte+n_Ventana),ISNUMBER(Detalle_24m!Y$21)),Detalle_24m!Y$21,INDEX(Vol_V,8,Y$170)/12)*(1+V_dVol),0))</f>
        <v>0</v>
      </c>
      <c r="Z184" s="48" t="n">
        <f aca="false">IF(Z$8=1,N(Reales!Z19),IF(Z$171=1,IF(AND(AND(21&gt;Corte,21&lt;=Corte+n_Ventana),ISNUMBER(Detalle_24m!Z$21)),Detalle_24m!Z$21,INDEX(Vol_V,8,Z$170)/12)*(1+V_dVol),0))</f>
        <v>0</v>
      </c>
      <c r="AA184" s="48" t="n">
        <f aca="false">IF(AA$8=1,N(Reales!AA19),IF(AA$171=1,IF(AND(AND(22&gt;Corte,22&lt;=Corte+n_Ventana),ISNUMBER(Detalle_24m!AA$21)),Detalle_24m!AA$21,INDEX(Vol_V,8,AA$170)/12)*(1+V_dVol),0))</f>
        <v>0</v>
      </c>
      <c r="AB184" s="48" t="n">
        <f aca="false">IF(AB$8=1,N(Reales!AB19),IF(AB$171=1,IF(AND(AND(23&gt;Corte,23&lt;=Corte+n_Ventana),ISNUMBER(Detalle_24m!AB$21)),Detalle_24m!AB$21,INDEX(Vol_V,8,AB$170)/12)*(1+V_dVol),0))</f>
        <v>0</v>
      </c>
      <c r="AC184" s="48" t="n">
        <f aca="false">IF(AC$8=1,N(Reales!AC19),IF(AC$171=1,IF(AND(AND(24&gt;Corte,24&lt;=Corte+n_Ventana),ISNUMBER(Detalle_24m!AC$21)),Detalle_24m!AC$21,INDEX(Vol_V,8,AC$170)/12)*(1+V_dVol),0))</f>
        <v>0</v>
      </c>
      <c r="AD184" s="48" t="n">
        <f aca="false">IF(AD$8=1,N(Reales!AD19),IF(AD$171=1,IF(AND(AND(25&gt;Corte,25&lt;=Corte+n_Ventana),ISNUMBER(Detalle_24m!AD$21)),Detalle_24m!AD$21,INDEX(Vol_V,8,AD$170)/12)*(1+V_dVol),0))</f>
        <v>0</v>
      </c>
      <c r="AE184" s="48" t="n">
        <f aca="false">IF(AE$8=1,N(Reales!AE19),IF(AE$171=1,IF(AND(AND(26&gt;Corte,26&lt;=Corte+n_Ventana),ISNUMBER(Detalle_24m!AE$21)),Detalle_24m!AE$21,INDEX(Vol_V,8,AE$170)/12)*(1+V_dVol),0))</f>
        <v>0</v>
      </c>
      <c r="AF184" s="48" t="n">
        <f aca="false">IF(AF$8=1,N(Reales!AF19),IF(AF$171=1,IF(AND(AND(27&gt;Corte,27&lt;=Corte+n_Ventana),ISNUMBER(Detalle_24m!AF$21)),Detalle_24m!AF$21,INDEX(Vol_V,8,AF$170)/12)*(1+V_dVol),0))</f>
        <v>0</v>
      </c>
      <c r="AG184" s="48" t="n">
        <f aca="false">IF(AG$8=1,N(Reales!AG19),IF(AG$171=1,IF(AND(AND(28&gt;Corte,28&lt;=Corte+n_Ventana),ISNUMBER(Detalle_24m!AG$21)),Detalle_24m!AG$21,INDEX(Vol_V,8,AG$170)/12)*(1+V_dVol),0))</f>
        <v>0</v>
      </c>
      <c r="AH184" s="48" t="n">
        <f aca="false">IF(AH$8=1,N(Reales!AH19),IF(AH$171=1,IF(AND(AND(29&gt;Corte,29&lt;=Corte+n_Ventana),ISNUMBER(Detalle_24m!AH$21)),Detalle_24m!AH$21,INDEX(Vol_V,8,AH$170)/12)*(1+V_dVol),0))</f>
        <v>0</v>
      </c>
      <c r="AI184" s="48" t="n">
        <f aca="false">IF(AI$8=1,N(Reales!AI19),IF(AI$171=1,IF(AND(AND(30&gt;Corte,30&lt;=Corte+n_Ventana),ISNUMBER(Detalle_24m!AI$21)),Detalle_24m!AI$21,INDEX(Vol_V,8,AI$170)/12)*(1+V_dVol),0))</f>
        <v>0</v>
      </c>
      <c r="AJ184" s="48" t="n">
        <f aca="false">IF(AJ$8=1,N(Reales!AJ19),IF(AJ$171=1,IF(AND(AND(31&gt;Corte,31&lt;=Corte+n_Ventana),ISNUMBER(Detalle_24m!AJ$21)),Detalle_24m!AJ$21,INDEX(Vol_V,8,AJ$170)/12)*(1+V_dVol),0))</f>
        <v>0</v>
      </c>
      <c r="AK184" s="48" t="n">
        <f aca="false">IF(AK$8=1,N(Reales!AK19),IF(AK$171=1,IF(AND(AND(32&gt;Corte,32&lt;=Corte+n_Ventana),ISNUMBER(Detalle_24m!AK$21)),Detalle_24m!AK$21,INDEX(Vol_V,8,AK$170)/12)*(1+V_dVol),0))</f>
        <v>0</v>
      </c>
      <c r="AL184" s="48" t="n">
        <f aca="false">IF(AL$8=1,N(Reales!AL19),IF(AL$171=1,IF(AND(AND(33&gt;Corte,33&lt;=Corte+n_Ventana),ISNUMBER(Detalle_24m!AL$21)),Detalle_24m!AL$21,INDEX(Vol_V,8,AL$170)/12)*(1+V_dVol),0))</f>
        <v>0</v>
      </c>
      <c r="AM184" s="48" t="n">
        <f aca="false">IF(AM$8=1,N(Reales!AM19),IF(AM$171=1,IF(AND(AND(34&gt;Corte,34&lt;=Corte+n_Ventana),ISNUMBER(Detalle_24m!AM$21)),Detalle_24m!AM$21,INDEX(Vol_V,8,AM$170)/12)*(1+V_dVol),0))</f>
        <v>0</v>
      </c>
      <c r="AN184" s="48" t="n">
        <f aca="false">IF(AN$8=1,N(Reales!AN19),IF(AN$171=1,IF(AND(AND(35&gt;Corte,35&lt;=Corte+n_Ventana),ISNUMBER(Detalle_24m!AN$21)),Detalle_24m!AN$21,INDEX(Vol_V,8,AN$170)/12)*(1+V_dVol),0))</f>
        <v>0</v>
      </c>
      <c r="AO184" s="48" t="n">
        <f aca="false">IF(AO$8=1,N(Reales!AO19),IF(AO$171=1,IF(AND(AND(36&gt;Corte,36&lt;=Corte+n_Ventana),ISNUMBER(Detalle_24m!AO$21)),Detalle_24m!AO$21,INDEX(Vol_V,8,AO$170)/12)*(1+V_dVol),0))</f>
        <v>0</v>
      </c>
      <c r="AP184" s="48" t="n">
        <f aca="false">IF(AP$8=1,N(Reales!AP19),IF(AP$171=1,IF(AND(AND(37&gt;Corte,37&lt;=Corte+n_Ventana),ISNUMBER(Detalle_24m!AP$21)),Detalle_24m!AP$21,INDEX(Vol_V,8,AP$170)/12)*(1+V_dVol),0))</f>
        <v>0</v>
      </c>
      <c r="AQ184" s="48" t="n">
        <f aca="false">IF(AQ$8=1,N(Reales!AQ19),IF(AQ$171=1,IF(AND(AND(38&gt;Corte,38&lt;=Corte+n_Ventana),ISNUMBER(Detalle_24m!AQ$21)),Detalle_24m!AQ$21,INDEX(Vol_V,8,AQ$170)/12)*(1+V_dVol),0))</f>
        <v>0</v>
      </c>
      <c r="AR184" s="48" t="n">
        <f aca="false">IF(AR$8=1,N(Reales!AR19),IF(AR$171=1,IF(AND(AND(39&gt;Corte,39&lt;=Corte+n_Ventana),ISNUMBER(Detalle_24m!AR$21)),Detalle_24m!AR$21,INDEX(Vol_V,8,AR$170)/12)*(1+V_dVol),0))</f>
        <v>0</v>
      </c>
      <c r="AS184" s="48" t="n">
        <f aca="false">IF(AS$8=1,N(Reales!AS19),IF(AS$171=1,IF(AND(AND(40&gt;Corte,40&lt;=Corte+n_Ventana),ISNUMBER(Detalle_24m!AS$21)),Detalle_24m!AS$21,INDEX(Vol_V,8,AS$170)/12)*(1+V_dVol),0))</f>
        <v>0</v>
      </c>
      <c r="AT184" s="48" t="n">
        <f aca="false">IF(AT$8=1,N(Reales!AT19),IF(AT$171=1,IF(AND(AND(41&gt;Corte,41&lt;=Corte+n_Ventana),ISNUMBER(Detalle_24m!AT$21)),Detalle_24m!AT$21,INDEX(Vol_V,8,AT$170)/12)*(1+V_dVol),0))</f>
        <v>0</v>
      </c>
      <c r="AU184" s="48" t="n">
        <f aca="false">IF(AU$8=1,N(Reales!AU19),IF(AU$171=1,IF(AND(AND(42&gt;Corte,42&lt;=Corte+n_Ventana),ISNUMBER(Detalle_24m!AU$21)),Detalle_24m!AU$21,INDEX(Vol_V,8,AU$170)/12)*(1+V_dVol),0))</f>
        <v>0</v>
      </c>
      <c r="AV184" s="48" t="n">
        <f aca="false">IF(AV$8=1,N(Reales!AV19),IF(AV$171=1,IF(AND(AND(43&gt;Corte,43&lt;=Corte+n_Ventana),ISNUMBER(Detalle_24m!AV$21)),Detalle_24m!AV$21,INDEX(Vol_V,8,AV$170)/12)*(1+V_dVol),0))</f>
        <v>0</v>
      </c>
      <c r="AW184" s="48" t="n">
        <f aca="false">IF(AW$8=1,N(Reales!AW19),IF(AW$171=1,IF(AND(AND(44&gt;Corte,44&lt;=Corte+n_Ventana),ISNUMBER(Detalle_24m!AW$21)),Detalle_24m!AW$21,INDEX(Vol_V,8,AW$170)/12)*(1+V_dVol),0))</f>
        <v>0</v>
      </c>
      <c r="AX184" s="48" t="n">
        <f aca="false">IF(AX$8=1,N(Reales!AX19),IF(AX$171=1,IF(AND(AND(45&gt;Corte,45&lt;=Corte+n_Ventana),ISNUMBER(Detalle_24m!AX$21)),Detalle_24m!AX$21,INDEX(Vol_V,8,AX$170)/12)*(1+V_dVol),0))</f>
        <v>0</v>
      </c>
      <c r="AY184" s="48" t="n">
        <f aca="false">IF(AY$8=1,N(Reales!AY19),IF(AY$171=1,IF(AND(AND(46&gt;Corte,46&lt;=Corte+n_Ventana),ISNUMBER(Detalle_24m!AY$21)),Detalle_24m!AY$21,INDEX(Vol_V,8,AY$170)/12)*(1+V_dVol),0))</f>
        <v>0</v>
      </c>
      <c r="AZ184" s="48" t="n">
        <f aca="false">IF(AZ$8=1,N(Reales!AZ19),IF(AZ$171=1,IF(AND(AND(47&gt;Corte,47&lt;=Corte+n_Ventana),ISNUMBER(Detalle_24m!AZ$21)),Detalle_24m!AZ$21,INDEX(Vol_V,8,AZ$170)/12)*(1+V_dVol),0))</f>
        <v>0</v>
      </c>
      <c r="BA184" s="48" t="n">
        <f aca="false">IF(BA$8=1,N(Reales!BA19),IF(BA$171=1,IF(AND(AND(48&gt;Corte,48&lt;=Corte+n_Ventana),ISNUMBER(Detalle_24m!BA$21)),Detalle_24m!BA$21,INDEX(Vol_V,8,BA$170)/12)*(1+V_dVol),0))</f>
        <v>0</v>
      </c>
      <c r="BB184" s="48" t="n">
        <f aca="false">IF(BB$8=1,N(Reales!BB19),IF(BB$171=1,IF(AND(AND(49&gt;Corte,49&lt;=Corte+n_Ventana),ISNUMBER(Detalle_24m!BB$21)),Detalle_24m!BB$21,INDEX(Vol_V,8,BB$170)/12)*(1+V_dVol),0))</f>
        <v>0</v>
      </c>
      <c r="BC184" s="48" t="n">
        <f aca="false">IF(BC$8=1,N(Reales!BC19),IF(BC$171=1,IF(AND(AND(50&gt;Corte,50&lt;=Corte+n_Ventana),ISNUMBER(Detalle_24m!BC$21)),Detalle_24m!BC$21,INDEX(Vol_V,8,BC$170)/12)*(1+V_dVol),0))</f>
        <v>0</v>
      </c>
      <c r="BD184" s="48" t="n">
        <f aca="false">IF(BD$8=1,N(Reales!BD19),IF(BD$171=1,IF(AND(AND(51&gt;Corte,51&lt;=Corte+n_Ventana),ISNUMBER(Detalle_24m!BD$21)),Detalle_24m!BD$21,INDEX(Vol_V,8,BD$170)/12)*(1+V_dVol),0))</f>
        <v>0</v>
      </c>
      <c r="BE184" s="48" t="n">
        <f aca="false">IF(BE$8=1,N(Reales!BE19),IF(BE$171=1,IF(AND(AND(52&gt;Corte,52&lt;=Corte+n_Ventana),ISNUMBER(Detalle_24m!BE$21)),Detalle_24m!BE$21,INDEX(Vol_V,8,BE$170)/12)*(1+V_dVol),0))</f>
        <v>0</v>
      </c>
      <c r="BF184" s="48" t="n">
        <f aca="false">IF(BF$8=1,N(Reales!BF19),IF(BF$171=1,IF(AND(AND(53&gt;Corte,53&lt;=Corte+n_Ventana),ISNUMBER(Detalle_24m!BF$21)),Detalle_24m!BF$21,INDEX(Vol_V,8,BF$170)/12)*(1+V_dVol),0))</f>
        <v>0</v>
      </c>
      <c r="BG184" s="48" t="n">
        <f aca="false">IF(BG$8=1,N(Reales!BG19),IF(BG$171=1,IF(AND(AND(54&gt;Corte,54&lt;=Corte+n_Ventana),ISNUMBER(Detalle_24m!BG$21)),Detalle_24m!BG$21,INDEX(Vol_V,8,BG$170)/12)*(1+V_dVol),0))</f>
        <v>0</v>
      </c>
      <c r="BH184" s="48" t="n">
        <f aca="false">IF(BH$8=1,N(Reales!BH19),IF(BH$171=1,IF(AND(AND(55&gt;Corte,55&lt;=Corte+n_Ventana),ISNUMBER(Detalle_24m!BH$21)),Detalle_24m!BH$21,INDEX(Vol_V,8,BH$170)/12)*(1+V_dVol),0))</f>
        <v>0</v>
      </c>
      <c r="BI184" s="48" t="n">
        <f aca="false">IF(BI$8=1,N(Reales!BI19),IF(BI$171=1,IF(AND(AND(56&gt;Corte,56&lt;=Corte+n_Ventana),ISNUMBER(Detalle_24m!BI$21)),Detalle_24m!BI$21,INDEX(Vol_V,8,BI$170)/12)*(1+V_dVol),0))</f>
        <v>0</v>
      </c>
      <c r="BJ184" s="48" t="n">
        <f aca="false">IF(BJ$8=1,N(Reales!BJ19),IF(BJ$171=1,IF(AND(AND(57&gt;Corte,57&lt;=Corte+n_Ventana),ISNUMBER(Detalle_24m!BJ$21)),Detalle_24m!BJ$21,INDEX(Vol_V,8,BJ$170)/12)*(1+V_dVol),0))</f>
        <v>0</v>
      </c>
      <c r="BK184" s="48" t="n">
        <f aca="false">IF(BK$8=1,N(Reales!BK19),IF(BK$171=1,IF(AND(AND(58&gt;Corte,58&lt;=Corte+n_Ventana),ISNUMBER(Detalle_24m!BK$21)),Detalle_24m!BK$21,INDEX(Vol_V,8,BK$170)/12)*(1+V_dVol),0))</f>
        <v>0</v>
      </c>
      <c r="BL184" s="48" t="n">
        <f aca="false">IF(BL$8=1,N(Reales!BL19),IF(BL$171=1,IF(AND(AND(59&gt;Corte,59&lt;=Corte+n_Ventana),ISNUMBER(Detalle_24m!BL$21)),Detalle_24m!BL$21,INDEX(Vol_V,8,BL$170)/12)*(1+V_dVol),0))</f>
        <v>0</v>
      </c>
      <c r="BM184" s="48" t="n">
        <f aca="false">IF(BM$8=1,N(Reales!BM19),IF(BM$171=1,IF(AND(AND(60&gt;Corte,60&lt;=Corte+n_Ventana),ISNUMBER(Detalle_24m!BM$21)),Detalle_24m!BM$21,INDEX(Vol_V,8,BM$170)/12)*(1+V_dVol),0))</f>
        <v>0</v>
      </c>
      <c r="BN184" s="48" t="n">
        <f aca="false">IF(BN$8=1,N(Reales!BN19),IF(BN$171=1,IF(AND(AND(61&gt;Corte,61&lt;=Corte+n_Ventana),ISNUMBER(Detalle_24m!BN$21)),Detalle_24m!BN$21,INDEX(Vol_V,8,BN$170)/12)*(1+V_dVol),0))</f>
        <v>0</v>
      </c>
      <c r="BO184" s="48" t="n">
        <f aca="false">IF(BO$8=1,N(Reales!BO19),IF(BO$171=1,IF(AND(AND(62&gt;Corte,62&lt;=Corte+n_Ventana),ISNUMBER(Detalle_24m!BO$21)),Detalle_24m!BO$21,INDEX(Vol_V,8,BO$170)/12)*(1+V_dVol),0))</f>
        <v>0</v>
      </c>
      <c r="BP184" s="48" t="n">
        <f aca="false">IF(BP$8=1,N(Reales!BP19),IF(BP$171=1,IF(AND(AND(63&gt;Corte,63&lt;=Corte+n_Ventana),ISNUMBER(Detalle_24m!BP$21)),Detalle_24m!BP$21,INDEX(Vol_V,8,BP$170)/12)*(1+V_dVol),0))</f>
        <v>0</v>
      </c>
      <c r="BQ184" s="48" t="n">
        <f aca="false">IF(BQ$8=1,N(Reales!BQ19),IF(BQ$171=1,IF(AND(AND(64&gt;Corte,64&lt;=Corte+n_Ventana),ISNUMBER(Detalle_24m!BQ$21)),Detalle_24m!BQ$21,INDEX(Vol_V,8,BQ$170)/12)*(1+V_dVol),0))</f>
        <v>0</v>
      </c>
      <c r="BR184" s="48" t="n">
        <f aca="false">IF(BR$8=1,N(Reales!BR19),IF(BR$171=1,IF(AND(AND(65&gt;Corte,65&lt;=Corte+n_Ventana),ISNUMBER(Detalle_24m!BR$21)),Detalle_24m!BR$21,INDEX(Vol_V,8,BR$170)/12)*(1+V_dVol),0))</f>
        <v>0</v>
      </c>
      <c r="BS184" s="48" t="n">
        <f aca="false">IF(BS$8=1,N(Reales!BS19),IF(BS$171=1,IF(AND(AND(66&gt;Corte,66&lt;=Corte+n_Ventana),ISNUMBER(Detalle_24m!BS$21)),Detalle_24m!BS$21,INDEX(Vol_V,8,BS$170)/12)*(1+V_dVol),0))</f>
        <v>0</v>
      </c>
      <c r="BT184" s="48" t="n">
        <f aca="false">IF(BT$8=1,N(Reales!BT19),IF(BT$171=1,IF(AND(AND(67&gt;Corte,67&lt;=Corte+n_Ventana),ISNUMBER(Detalle_24m!BT$21)),Detalle_24m!BT$21,INDEX(Vol_V,8,BT$170)/12)*(1+V_dVol),0))</f>
        <v>0</v>
      </c>
      <c r="BU184" s="48" t="n">
        <f aca="false">IF(BU$8=1,N(Reales!BU19),IF(BU$171=1,IF(AND(AND(68&gt;Corte,68&lt;=Corte+n_Ventana),ISNUMBER(Detalle_24m!BU$21)),Detalle_24m!BU$21,INDEX(Vol_V,8,BU$170)/12)*(1+V_dVol),0))</f>
        <v>0</v>
      </c>
      <c r="BV184" s="48" t="n">
        <f aca="false">IF(BV$8=1,N(Reales!BV19),IF(BV$171=1,IF(AND(AND(69&gt;Corte,69&lt;=Corte+n_Ventana),ISNUMBER(Detalle_24m!BV$21)),Detalle_24m!BV$21,INDEX(Vol_V,8,BV$170)/12)*(1+V_dVol),0))</f>
        <v>0</v>
      </c>
      <c r="BW184" s="48" t="n">
        <f aca="false">IF(BW$8=1,N(Reales!BW19),IF(BW$171=1,IF(AND(AND(70&gt;Corte,70&lt;=Corte+n_Ventana),ISNUMBER(Detalle_24m!BW$21)),Detalle_24m!BW$21,INDEX(Vol_V,8,BW$170)/12)*(1+V_dVol),0))</f>
        <v>0</v>
      </c>
      <c r="BX184" s="48" t="n">
        <f aca="false">IF(BX$8=1,N(Reales!BX19),IF(BX$171=1,IF(AND(AND(71&gt;Corte,71&lt;=Corte+n_Ventana),ISNUMBER(Detalle_24m!BX$21)),Detalle_24m!BX$21,INDEX(Vol_V,8,BX$170)/12)*(1+V_dVol),0))</f>
        <v>0</v>
      </c>
      <c r="BY184" s="48" t="n">
        <f aca="false">IF(BY$8=1,N(Reales!BY19),IF(BY$171=1,IF(AND(AND(72&gt;Corte,72&lt;=Corte+n_Ventana),ISNUMBER(Detalle_24m!BY$21)),Detalle_24m!BY$21,INDEX(Vol_V,8,BY$170)/12)*(1+V_dVol),0))</f>
        <v>0</v>
      </c>
      <c r="BZ184" s="48" t="n">
        <f aca="false">IF(BZ$8=1,N(Reales!BZ19),IF(BZ$171=1,IF(AND(AND(73&gt;Corte,73&lt;=Corte+n_Ventana),ISNUMBER(Detalle_24m!BZ$21)),Detalle_24m!BZ$21,INDEX(Vol_V,8,BZ$170)/12)*(1+V_dVol),0))</f>
        <v>0</v>
      </c>
      <c r="CA184" s="48" t="n">
        <f aca="false">IF(CA$8=1,N(Reales!CA19),IF(CA$171=1,IF(AND(AND(74&gt;Corte,74&lt;=Corte+n_Ventana),ISNUMBER(Detalle_24m!CA$21)),Detalle_24m!CA$21,INDEX(Vol_V,8,CA$170)/12)*(1+V_dVol),0))</f>
        <v>0</v>
      </c>
      <c r="CB184" s="48" t="n">
        <f aca="false">IF(CB$8=1,N(Reales!CB19),IF(CB$171=1,IF(AND(AND(75&gt;Corte,75&lt;=Corte+n_Ventana),ISNUMBER(Detalle_24m!CB$21)),Detalle_24m!CB$21,INDEX(Vol_V,8,CB$170)/12)*(1+V_dVol),0))</f>
        <v>0</v>
      </c>
      <c r="CC184" s="48" t="n">
        <f aca="false">IF(CC$8=1,N(Reales!CC19),IF(CC$171=1,IF(AND(AND(76&gt;Corte,76&lt;=Corte+n_Ventana),ISNUMBER(Detalle_24m!CC$21)),Detalle_24m!CC$21,INDEX(Vol_V,8,CC$170)/12)*(1+V_dVol),0))</f>
        <v>0</v>
      </c>
      <c r="CD184" s="48" t="n">
        <f aca="false">IF(CD$8=1,N(Reales!CD19),IF(CD$171=1,IF(AND(AND(77&gt;Corte,77&lt;=Corte+n_Ventana),ISNUMBER(Detalle_24m!CD$21)),Detalle_24m!CD$21,INDEX(Vol_V,8,CD$170)/12)*(1+V_dVol),0))</f>
        <v>0</v>
      </c>
      <c r="CE184" s="48" t="n">
        <f aca="false">IF(CE$8=1,N(Reales!CE19),IF(CE$171=1,IF(AND(AND(78&gt;Corte,78&lt;=Corte+n_Ventana),ISNUMBER(Detalle_24m!CE$21)),Detalle_24m!CE$21,INDEX(Vol_V,8,CE$170)/12)*(1+V_dVol),0))</f>
        <v>0</v>
      </c>
      <c r="CF184" s="48" t="n">
        <f aca="false">IF(CF$8=1,N(Reales!CF19),IF(CF$171=1,IF(AND(AND(79&gt;Corte,79&lt;=Corte+n_Ventana),ISNUMBER(Detalle_24m!CF$21)),Detalle_24m!CF$21,INDEX(Vol_V,8,CF$170)/12)*(1+V_dVol),0))</f>
        <v>0</v>
      </c>
      <c r="CG184" s="48" t="n">
        <f aca="false">IF(CG$8=1,N(Reales!CG19),IF(CG$171=1,IF(AND(AND(80&gt;Corte,80&lt;=Corte+n_Ventana),ISNUMBER(Detalle_24m!CG$21)),Detalle_24m!CG$21,INDEX(Vol_V,8,CG$170)/12)*(1+V_dVol),0))</f>
        <v>0</v>
      </c>
      <c r="CH184" s="48" t="n">
        <f aca="false">IF(CH$8=1,N(Reales!CH19),IF(CH$171=1,IF(AND(AND(81&gt;Corte,81&lt;=Corte+n_Ventana),ISNUMBER(Detalle_24m!CH$21)),Detalle_24m!CH$21,INDEX(Vol_V,8,CH$170)/12)*(1+V_dVol),0))</f>
        <v>0</v>
      </c>
      <c r="CI184" s="48" t="n">
        <f aca="false">IF(CI$8=1,N(Reales!CI19),IF(CI$171=1,IF(AND(AND(82&gt;Corte,82&lt;=Corte+n_Ventana),ISNUMBER(Detalle_24m!CI$21)),Detalle_24m!CI$21,INDEX(Vol_V,8,CI$170)/12)*(1+V_dVol),0))</f>
        <v>0</v>
      </c>
      <c r="CJ184" s="48" t="n">
        <f aca="false">IF(CJ$8=1,N(Reales!CJ19),IF(CJ$171=1,IF(AND(AND(83&gt;Corte,83&lt;=Corte+n_Ventana),ISNUMBER(Detalle_24m!CJ$21)),Detalle_24m!CJ$21,INDEX(Vol_V,8,CJ$170)/12)*(1+V_dVol),0))</f>
        <v>0</v>
      </c>
      <c r="CK184" s="48" t="n">
        <f aca="false">IF(CK$8=1,N(Reales!CK19),IF(CK$171=1,IF(AND(AND(84&gt;Corte,84&lt;=Corte+n_Ventana),ISNUMBER(Detalle_24m!CK$21)),Detalle_24m!CK$21,INDEX(Vol_V,8,CK$170)/12)*(1+V_dVol),0))</f>
        <v>0</v>
      </c>
      <c r="CL184" s="48" t="n">
        <f aca="false">IF(CL$8=1,N(Reales!CL19),IF(CL$171=1,IF(AND(AND(85&gt;Corte,85&lt;=Corte+n_Ventana),ISNUMBER(Detalle_24m!CL$21)),Detalle_24m!CL$21,INDEX(Vol_V,8,CL$170)/12)*(1+V_dVol),0))</f>
        <v>0</v>
      </c>
      <c r="CM184" s="48" t="n">
        <f aca="false">IF(CM$8=1,N(Reales!CM19),IF(CM$171=1,IF(AND(AND(86&gt;Corte,86&lt;=Corte+n_Ventana),ISNUMBER(Detalle_24m!CM$21)),Detalle_24m!CM$21,INDEX(Vol_V,8,CM$170)/12)*(1+V_dVol),0))</f>
        <v>0</v>
      </c>
      <c r="CN184" s="48" t="n">
        <f aca="false">IF(CN$8=1,N(Reales!CN19),IF(CN$171=1,IF(AND(AND(87&gt;Corte,87&lt;=Corte+n_Ventana),ISNUMBER(Detalle_24m!CN$21)),Detalle_24m!CN$21,INDEX(Vol_V,8,CN$170)/12)*(1+V_dVol),0))</f>
        <v>0</v>
      </c>
      <c r="CO184" s="48" t="n">
        <f aca="false">IF(CO$8=1,N(Reales!CO19),IF(CO$171=1,IF(AND(AND(88&gt;Corte,88&lt;=Corte+n_Ventana),ISNUMBER(Detalle_24m!CO$21)),Detalle_24m!CO$21,INDEX(Vol_V,8,CO$170)/12)*(1+V_dVol),0))</f>
        <v>0</v>
      </c>
      <c r="CP184" s="48" t="n">
        <f aca="false">IF(CP$8=1,N(Reales!CP19),IF(CP$171=1,IF(AND(AND(89&gt;Corte,89&lt;=Corte+n_Ventana),ISNUMBER(Detalle_24m!CP$21)),Detalle_24m!CP$21,INDEX(Vol_V,8,CP$170)/12)*(1+V_dVol),0))</f>
        <v>0</v>
      </c>
      <c r="CQ184" s="48" t="n">
        <f aca="false">IF(CQ$8=1,N(Reales!CQ19),IF(CQ$171=1,IF(AND(AND(90&gt;Corte,90&lt;=Corte+n_Ventana),ISNUMBER(Detalle_24m!CQ$21)),Detalle_24m!CQ$21,INDEX(Vol_V,8,CQ$170)/12)*(1+V_dVol),0))</f>
        <v>0</v>
      </c>
      <c r="CR184" s="48" t="n">
        <f aca="false">IF(CR$8=1,N(Reales!CR19),IF(CR$171=1,IF(AND(AND(91&gt;Corte,91&lt;=Corte+n_Ventana),ISNUMBER(Detalle_24m!CR$21)),Detalle_24m!CR$21,INDEX(Vol_V,8,CR$170)/12)*(1+V_dVol),0))</f>
        <v>0</v>
      </c>
      <c r="CS184" s="48" t="n">
        <f aca="false">IF(CS$8=1,N(Reales!CS19),IF(CS$171=1,IF(AND(AND(92&gt;Corte,92&lt;=Corte+n_Ventana),ISNUMBER(Detalle_24m!CS$21)),Detalle_24m!CS$21,INDEX(Vol_V,8,CS$170)/12)*(1+V_dVol),0))</f>
        <v>0</v>
      </c>
      <c r="CT184" s="48" t="n">
        <f aca="false">IF(CT$8=1,N(Reales!CT19),IF(CT$171=1,IF(AND(AND(93&gt;Corte,93&lt;=Corte+n_Ventana),ISNUMBER(Detalle_24m!CT$21)),Detalle_24m!CT$21,INDEX(Vol_V,8,CT$170)/12)*(1+V_dVol),0))</f>
        <v>0</v>
      </c>
      <c r="CU184" s="48" t="n">
        <f aca="false">IF(CU$8=1,N(Reales!CU19),IF(CU$171=1,IF(AND(AND(94&gt;Corte,94&lt;=Corte+n_Ventana),ISNUMBER(Detalle_24m!CU$21)),Detalle_24m!CU$21,INDEX(Vol_V,8,CU$170)/12)*(1+V_dVol),0))</f>
        <v>0</v>
      </c>
      <c r="CV184" s="48" t="n">
        <f aca="false">IF(CV$8=1,N(Reales!CV19),IF(CV$171=1,IF(AND(AND(95&gt;Corte,95&lt;=Corte+n_Ventana),ISNUMBER(Detalle_24m!CV$21)),Detalle_24m!CV$21,INDEX(Vol_V,8,CV$170)/12)*(1+V_dVol),0))</f>
        <v>0</v>
      </c>
      <c r="CW184" s="48" t="n">
        <f aca="false">IF(CW$8=1,N(Reales!CW19),IF(CW$171=1,IF(AND(AND(96&gt;Corte,96&lt;=Corte+n_Ventana),ISNUMBER(Detalle_24m!CW$21)),Detalle_24m!CW$21,INDEX(Vol_V,8,CW$170)/12)*(1+V_dVol),0))</f>
        <v>0</v>
      </c>
      <c r="CX184" s="48" t="n">
        <f aca="false">IF(CX$8=1,N(Reales!CX19),IF(CX$171=1,IF(AND(AND(97&gt;Corte,97&lt;=Corte+n_Ventana),ISNUMBER(Detalle_24m!CX$21)),Detalle_24m!CX$21,INDEX(Vol_V,8,CX$170)/12)*(1+V_dVol),0))</f>
        <v>0</v>
      </c>
      <c r="CY184" s="48" t="n">
        <f aca="false">IF(CY$8=1,N(Reales!CY19),IF(CY$171=1,IF(AND(AND(98&gt;Corte,98&lt;=Corte+n_Ventana),ISNUMBER(Detalle_24m!CY$21)),Detalle_24m!CY$21,INDEX(Vol_V,8,CY$170)/12)*(1+V_dVol),0))</f>
        <v>0</v>
      </c>
      <c r="CZ184" s="48" t="n">
        <f aca="false">IF(CZ$8=1,N(Reales!CZ19),IF(CZ$171=1,IF(AND(AND(99&gt;Corte,99&lt;=Corte+n_Ventana),ISNUMBER(Detalle_24m!CZ$21)),Detalle_24m!CZ$21,INDEX(Vol_V,8,CZ$170)/12)*(1+V_dVol),0))</f>
        <v>0</v>
      </c>
      <c r="DA184" s="48" t="n">
        <f aca="false">IF(DA$8=1,N(Reales!DA19),IF(DA$171=1,IF(AND(AND(100&gt;Corte,100&lt;=Corte+n_Ventana),ISNUMBER(Detalle_24m!DA$21)),Detalle_24m!DA$21,INDEX(Vol_V,8,DA$170)/12)*(1+V_dVol),0))</f>
        <v>0</v>
      </c>
      <c r="DB184" s="48" t="n">
        <f aca="false">IF(DB$8=1,N(Reales!DB19),IF(DB$171=1,IF(AND(AND(101&gt;Corte,101&lt;=Corte+n_Ventana),ISNUMBER(Detalle_24m!DB$21)),Detalle_24m!DB$21,INDEX(Vol_V,8,DB$170)/12)*(1+V_dVol),0))</f>
        <v>0</v>
      </c>
      <c r="DC184" s="48" t="n">
        <f aca="false">IF(DC$8=1,N(Reales!DC19),IF(DC$171=1,IF(AND(AND(102&gt;Corte,102&lt;=Corte+n_Ventana),ISNUMBER(Detalle_24m!DC$21)),Detalle_24m!DC$21,INDEX(Vol_V,8,DC$170)/12)*(1+V_dVol),0))</f>
        <v>0</v>
      </c>
      <c r="DD184" s="48" t="n">
        <f aca="false">IF(DD$8=1,N(Reales!DD19),IF(DD$171=1,IF(AND(AND(103&gt;Corte,103&lt;=Corte+n_Ventana),ISNUMBER(Detalle_24m!DD$21)),Detalle_24m!DD$21,INDEX(Vol_V,8,DD$170)/12)*(1+V_dVol),0))</f>
        <v>0</v>
      </c>
      <c r="DE184" s="48" t="n">
        <f aca="false">IF(DE$8=1,N(Reales!DE19),IF(DE$171=1,IF(AND(AND(104&gt;Corte,104&lt;=Corte+n_Ventana),ISNUMBER(Detalle_24m!DE$21)),Detalle_24m!DE$21,INDEX(Vol_V,8,DE$170)/12)*(1+V_dVol),0))</f>
        <v>0</v>
      </c>
      <c r="DF184" s="48" t="n">
        <f aca="false">IF(DF$8=1,N(Reales!DF19),IF(DF$171=1,IF(AND(AND(105&gt;Corte,105&lt;=Corte+n_Ventana),ISNUMBER(Detalle_24m!DF$21)),Detalle_24m!DF$21,INDEX(Vol_V,8,DF$170)/12)*(1+V_dVol),0))</f>
        <v>0</v>
      </c>
      <c r="DG184" s="48" t="n">
        <f aca="false">IF(DG$8=1,N(Reales!DG19),IF(DG$171=1,IF(AND(AND(106&gt;Corte,106&lt;=Corte+n_Ventana),ISNUMBER(Detalle_24m!DG$21)),Detalle_24m!DG$21,INDEX(Vol_V,8,DG$170)/12)*(1+V_dVol),0))</f>
        <v>0</v>
      </c>
      <c r="DH184" s="48" t="n">
        <f aca="false">IF(DH$8=1,N(Reales!DH19),IF(DH$171=1,IF(AND(AND(107&gt;Corte,107&lt;=Corte+n_Ventana),ISNUMBER(Detalle_24m!DH$21)),Detalle_24m!DH$21,INDEX(Vol_V,8,DH$170)/12)*(1+V_dVol),0))</f>
        <v>0</v>
      </c>
      <c r="DI184" s="48" t="n">
        <f aca="false">IF(DI$8=1,N(Reales!DI19),IF(DI$171=1,IF(AND(AND(108&gt;Corte,108&lt;=Corte+n_Ventana),ISNUMBER(Detalle_24m!DI$21)),Detalle_24m!DI$21,INDEX(Vol_V,8,DI$170)/12)*(1+V_dVol),0))</f>
        <v>0</v>
      </c>
      <c r="DJ184" s="48" t="n">
        <f aca="false">IF(DJ$8=1,N(Reales!DJ19),IF(DJ$171=1,IF(AND(AND(109&gt;Corte,109&lt;=Corte+n_Ventana),ISNUMBER(Detalle_24m!DJ$21)),Detalle_24m!DJ$21,INDEX(Vol_V,8,DJ$170)/12)*(1+V_dVol),0))</f>
        <v>0</v>
      </c>
      <c r="DK184" s="48" t="n">
        <f aca="false">IF(DK$8=1,N(Reales!DK19),IF(DK$171=1,IF(AND(AND(110&gt;Corte,110&lt;=Corte+n_Ventana),ISNUMBER(Detalle_24m!DK$21)),Detalle_24m!DK$21,INDEX(Vol_V,8,DK$170)/12)*(1+V_dVol),0))</f>
        <v>0</v>
      </c>
      <c r="DL184" s="48" t="n">
        <f aca="false">IF(DL$8=1,N(Reales!DL19),IF(DL$171=1,IF(AND(AND(111&gt;Corte,111&lt;=Corte+n_Ventana),ISNUMBER(Detalle_24m!DL$21)),Detalle_24m!DL$21,INDEX(Vol_V,8,DL$170)/12)*(1+V_dVol),0))</f>
        <v>0</v>
      </c>
      <c r="DM184" s="48" t="n">
        <f aca="false">IF(DM$8=1,N(Reales!DM19),IF(DM$171=1,IF(AND(AND(112&gt;Corte,112&lt;=Corte+n_Ventana),ISNUMBER(Detalle_24m!DM$21)),Detalle_24m!DM$21,INDEX(Vol_V,8,DM$170)/12)*(1+V_dVol),0))</f>
        <v>0</v>
      </c>
      <c r="DN184" s="48" t="n">
        <f aca="false">IF(DN$8=1,N(Reales!DN19),IF(DN$171=1,IF(AND(AND(113&gt;Corte,113&lt;=Corte+n_Ventana),ISNUMBER(Detalle_24m!DN$21)),Detalle_24m!DN$21,INDEX(Vol_V,8,DN$170)/12)*(1+V_dVol),0))</f>
        <v>0</v>
      </c>
      <c r="DO184" s="48" t="n">
        <f aca="false">IF(DO$8=1,N(Reales!DO19),IF(DO$171=1,IF(AND(AND(114&gt;Corte,114&lt;=Corte+n_Ventana),ISNUMBER(Detalle_24m!DO$21)),Detalle_24m!DO$21,INDEX(Vol_V,8,DO$170)/12)*(1+V_dVol),0))</f>
        <v>0</v>
      </c>
      <c r="DP184" s="48" t="n">
        <f aca="false">IF(DP$8=1,N(Reales!DP19),IF(DP$171=1,IF(AND(AND(115&gt;Corte,115&lt;=Corte+n_Ventana),ISNUMBER(Detalle_24m!DP$21)),Detalle_24m!DP$21,INDEX(Vol_V,8,DP$170)/12)*(1+V_dVol),0))</f>
        <v>0</v>
      </c>
      <c r="DQ184" s="48" t="n">
        <f aca="false">IF(DQ$8=1,N(Reales!DQ19),IF(DQ$171=1,IF(AND(AND(116&gt;Corte,116&lt;=Corte+n_Ventana),ISNUMBER(Detalle_24m!DQ$21)),Detalle_24m!DQ$21,INDEX(Vol_V,8,DQ$170)/12)*(1+V_dVol),0))</f>
        <v>0</v>
      </c>
      <c r="DR184" s="48" t="n">
        <f aca="false">IF(DR$8=1,N(Reales!DR19),IF(DR$171=1,IF(AND(AND(117&gt;Corte,117&lt;=Corte+n_Ventana),ISNUMBER(Detalle_24m!DR$21)),Detalle_24m!DR$21,INDEX(Vol_V,8,DR$170)/12)*(1+V_dVol),0))</f>
        <v>0</v>
      </c>
      <c r="DS184" s="48" t="n">
        <f aca="false">IF(DS$8=1,N(Reales!DS19),IF(DS$171=1,IF(AND(AND(118&gt;Corte,118&lt;=Corte+n_Ventana),ISNUMBER(Detalle_24m!DS$21)),Detalle_24m!DS$21,INDEX(Vol_V,8,DS$170)/12)*(1+V_dVol),0))</f>
        <v>0</v>
      </c>
      <c r="DT184" s="48" t="n">
        <f aca="false">IF(DT$8=1,N(Reales!DT19),IF(DT$171=1,IF(AND(AND(119&gt;Corte,119&lt;=Corte+n_Ventana),ISNUMBER(Detalle_24m!DT$21)),Detalle_24m!DT$21,INDEX(Vol_V,8,DT$170)/12)*(1+V_dVol),0))</f>
        <v>0</v>
      </c>
      <c r="DU184" s="48" t="n">
        <f aca="false">IF(DU$8=1,N(Reales!DU19),IF(DU$171=1,IF(AND(AND(120&gt;Corte,120&lt;=Corte+n_Ventana),ISNUMBER(Detalle_24m!DU$21)),Detalle_24m!DU$21,INDEX(Vol_V,8,DU$170)/12)*(1+V_dVol),0))</f>
        <v>0</v>
      </c>
      <c r="DV184" s="48" t="n">
        <f aca="false">IF(DV$8=1,N(Reales!DV19),IF(DV$171=1,IF(AND(AND(121&gt;Corte,121&lt;=Corte+n_Ventana),ISNUMBER(Detalle_24m!DV$21)),Detalle_24m!DV$21,INDEX(Vol_V,8,DV$170)/12)*(1+V_dVol),0))</f>
        <v>0</v>
      </c>
      <c r="DW184" s="48" t="n">
        <f aca="false">IF(DW$8=1,N(Reales!DW19),IF(DW$171=1,IF(AND(AND(122&gt;Corte,122&lt;=Corte+n_Ventana),ISNUMBER(Detalle_24m!DW$21)),Detalle_24m!DW$21,INDEX(Vol_V,8,DW$170)/12)*(1+V_dVol),0))</f>
        <v>0</v>
      </c>
      <c r="DX184" s="48" t="n">
        <f aca="false">IF(DX$8=1,N(Reales!DX19),IF(DX$171=1,IF(AND(AND(123&gt;Corte,123&lt;=Corte+n_Ventana),ISNUMBER(Detalle_24m!DX$21)),Detalle_24m!DX$21,INDEX(Vol_V,8,DX$170)/12)*(1+V_dVol),0))</f>
        <v>0</v>
      </c>
      <c r="DY184" s="48" t="n">
        <f aca="false">IF(DY$8=1,N(Reales!DY19),IF(DY$171=1,IF(AND(AND(124&gt;Corte,124&lt;=Corte+n_Ventana),ISNUMBER(Detalle_24m!DY$21)),Detalle_24m!DY$21,INDEX(Vol_V,8,DY$170)/12)*(1+V_dVol),0))</f>
        <v>0</v>
      </c>
      <c r="DZ184" s="48" t="n">
        <f aca="false">IF(DZ$8=1,N(Reales!DZ19),IF(DZ$171=1,IF(AND(AND(125&gt;Corte,125&lt;=Corte+n_Ventana),ISNUMBER(Detalle_24m!DZ$21)),Detalle_24m!DZ$21,INDEX(Vol_V,8,DZ$170)/12)*(1+V_dVol),0))</f>
        <v>0</v>
      </c>
      <c r="EA184" s="48" t="n">
        <f aca="false">IF(EA$8=1,N(Reales!EA19),IF(EA$171=1,IF(AND(AND(126&gt;Corte,126&lt;=Corte+n_Ventana),ISNUMBER(Detalle_24m!EA$21)),Detalle_24m!EA$21,INDEX(Vol_V,8,EA$170)/12)*(1+V_dVol),0))</f>
        <v>0</v>
      </c>
      <c r="EB184" s="48" t="n">
        <f aca="false">IF(EB$8=1,N(Reales!EB19),IF(EB$171=1,IF(AND(AND(127&gt;Corte,127&lt;=Corte+n_Ventana),ISNUMBER(Detalle_24m!EB$21)),Detalle_24m!EB$21,INDEX(Vol_V,8,EB$170)/12)*(1+V_dVol),0))</f>
        <v>0</v>
      </c>
      <c r="EC184" s="48" t="n">
        <f aca="false">IF(EC$8=1,N(Reales!EC19),IF(EC$171=1,IF(AND(AND(128&gt;Corte,128&lt;=Corte+n_Ventana),ISNUMBER(Detalle_24m!EC$21)),Detalle_24m!EC$21,INDEX(Vol_V,8,EC$170)/12)*(1+V_dVol),0))</f>
        <v>0</v>
      </c>
      <c r="ED184" s="48" t="n">
        <f aca="false">IF(ED$8=1,N(Reales!ED19),IF(ED$171=1,IF(AND(AND(129&gt;Corte,129&lt;=Corte+n_Ventana),ISNUMBER(Detalle_24m!ED$21)),Detalle_24m!ED$21,INDEX(Vol_V,8,ED$170)/12)*(1+V_dVol),0))</f>
        <v>0</v>
      </c>
      <c r="EE184" s="48" t="n">
        <f aca="false">IF(EE$8=1,N(Reales!EE19),IF(EE$171=1,IF(AND(AND(130&gt;Corte,130&lt;=Corte+n_Ventana),ISNUMBER(Detalle_24m!EE$21)),Detalle_24m!EE$21,INDEX(Vol_V,8,EE$170)/12)*(1+V_dVol),0))</f>
        <v>0</v>
      </c>
      <c r="EF184" s="48" t="n">
        <f aca="false">IF(EF$8=1,N(Reales!EF19),IF(EF$171=1,IF(AND(AND(131&gt;Corte,131&lt;=Corte+n_Ventana),ISNUMBER(Detalle_24m!EF$21)),Detalle_24m!EF$21,INDEX(Vol_V,8,EF$170)/12)*(1+V_dVol),0))</f>
        <v>0</v>
      </c>
      <c r="EG184" s="48" t="n">
        <f aca="false">IF(EG$8=1,N(Reales!EG19),IF(EG$171=1,IF(AND(AND(132&gt;Corte,132&lt;=Corte+n_Ventana),ISNUMBER(Detalle_24m!EG$21)),Detalle_24m!EG$21,INDEX(Vol_V,8,EG$170)/12)*(1+V_dVol),0))</f>
        <v>0</v>
      </c>
      <c r="EH184" s="48" t="n">
        <f aca="false">IF(EH$8=1,N(Reales!EH19),IF(EH$171=1,IF(AND(AND(133&gt;Corte,133&lt;=Corte+n_Ventana),ISNUMBER(Detalle_24m!EH$21)),Detalle_24m!EH$21,INDEX(Vol_V,8,EH$170)/12)*(1+V_dVol),0))</f>
        <v>0</v>
      </c>
      <c r="EI184" s="48" t="n">
        <f aca="false">IF(EI$8=1,N(Reales!EI19),IF(EI$171=1,IF(AND(AND(134&gt;Corte,134&lt;=Corte+n_Ventana),ISNUMBER(Detalle_24m!EI$21)),Detalle_24m!EI$21,INDEX(Vol_V,8,EI$170)/12)*(1+V_dVol),0))</f>
        <v>0</v>
      </c>
      <c r="EJ184" s="48" t="n">
        <f aca="false">IF(EJ$8=1,N(Reales!EJ19),IF(EJ$171=1,IF(AND(AND(135&gt;Corte,135&lt;=Corte+n_Ventana),ISNUMBER(Detalle_24m!EJ$21)),Detalle_24m!EJ$21,INDEX(Vol_V,8,EJ$170)/12)*(1+V_dVol),0))</f>
        <v>0</v>
      </c>
      <c r="EK184" s="48" t="n">
        <f aca="false">IF(EK$8=1,N(Reales!EK19),IF(EK$171=1,IF(AND(AND(136&gt;Corte,136&lt;=Corte+n_Ventana),ISNUMBER(Detalle_24m!EK$21)),Detalle_24m!EK$21,INDEX(Vol_V,8,EK$170)/12)*(1+V_dVol),0))</f>
        <v>0</v>
      </c>
      <c r="EL184" s="48" t="n">
        <f aca="false">IF(EL$8=1,N(Reales!EL19),IF(EL$171=1,IF(AND(AND(137&gt;Corte,137&lt;=Corte+n_Ventana),ISNUMBER(Detalle_24m!EL$21)),Detalle_24m!EL$21,INDEX(Vol_V,8,EL$170)/12)*(1+V_dVol),0))</f>
        <v>0</v>
      </c>
      <c r="EM184" s="48" t="n">
        <f aca="false">IF(EM$8=1,N(Reales!EM19),IF(EM$171=1,IF(AND(AND(138&gt;Corte,138&lt;=Corte+n_Ventana),ISNUMBER(Detalle_24m!EM$21)),Detalle_24m!EM$21,INDEX(Vol_V,8,EM$170)/12)*(1+V_dVol),0))</f>
        <v>0</v>
      </c>
      <c r="EN184" s="48" t="n">
        <f aca="false">IF(EN$8=1,N(Reales!EN19),IF(EN$171=1,IF(AND(AND(139&gt;Corte,139&lt;=Corte+n_Ventana),ISNUMBER(Detalle_24m!EN$21)),Detalle_24m!EN$21,INDEX(Vol_V,8,EN$170)/12)*(1+V_dVol),0))</f>
        <v>0</v>
      </c>
      <c r="EO184" s="48" t="n">
        <f aca="false">IF(EO$8=1,N(Reales!EO19),IF(EO$171=1,IF(AND(AND(140&gt;Corte,140&lt;=Corte+n_Ventana),ISNUMBER(Detalle_24m!EO$21)),Detalle_24m!EO$21,INDEX(Vol_V,8,EO$170)/12)*(1+V_dVol),0))</f>
        <v>0</v>
      </c>
      <c r="EP184" s="48" t="n">
        <f aca="false">IF(EP$8=1,N(Reales!EP19),IF(EP$171=1,IF(AND(AND(141&gt;Corte,141&lt;=Corte+n_Ventana),ISNUMBER(Detalle_24m!EP$21)),Detalle_24m!EP$21,INDEX(Vol_V,8,EP$170)/12)*(1+V_dVol),0))</f>
        <v>0</v>
      </c>
      <c r="EQ184" s="48" t="n">
        <f aca="false">IF(EQ$8=1,N(Reales!EQ19),IF(EQ$171=1,IF(AND(AND(142&gt;Corte,142&lt;=Corte+n_Ventana),ISNUMBER(Detalle_24m!EQ$21)),Detalle_24m!EQ$21,INDEX(Vol_V,8,EQ$170)/12)*(1+V_dVol),0))</f>
        <v>0</v>
      </c>
      <c r="ER184" s="48" t="n">
        <f aca="false">IF(ER$8=1,N(Reales!ER19),IF(ER$171=1,IF(AND(AND(143&gt;Corte,143&lt;=Corte+n_Ventana),ISNUMBER(Detalle_24m!ER$21)),Detalle_24m!ER$21,INDEX(Vol_V,8,ER$170)/12)*(1+V_dVol),0))</f>
        <v>0</v>
      </c>
      <c r="ES184" s="48" t="n">
        <f aca="false">IF(ES$8=1,N(Reales!ES19),IF(ES$171=1,IF(AND(AND(144&gt;Corte,144&lt;=Corte+n_Ventana),ISNUMBER(Detalle_24m!ES$21)),Detalle_24m!ES$21,INDEX(Vol_V,8,ES$170)/12)*(1+V_dVol),0))</f>
        <v>0</v>
      </c>
    </row>
    <row r="185" customFormat="false" ht="15" hidden="false" customHeight="false" outlineLevel="0" collapsed="false">
      <c r="A185" s="11" t="s">
        <v>1308</v>
      </c>
      <c r="B185" s="53" t="str">
        <f aca="false">IF(INDEX(Prod_Nombre,9)="","Producto 9",INDEX(Prod_Nombre,9))&amp;" — unidades"</f>
        <v>Producto 9 — unidades</v>
      </c>
      <c r="C185" s="15" t="s">
        <v>544</v>
      </c>
      <c r="E185" s="54" t="n">
        <f aca="false">SUM(F185:ES185)</f>
        <v>0</v>
      </c>
      <c r="F185" s="48" t="n">
        <f aca="false">IF(F$8=1,N(Reales!F20),IF(F$171=1,IF(AND(AND(1&gt;Corte,1&lt;=Corte+n_Ventana),ISNUMBER(Detalle_24m!F$22)),Detalle_24m!F$22,INDEX(Vol_V,9,F$170)/12)*(1+V_dVol),0))</f>
        <v>0</v>
      </c>
      <c r="G185" s="48" t="n">
        <f aca="false">IF(G$8=1,N(Reales!G20),IF(G$171=1,IF(AND(AND(2&gt;Corte,2&lt;=Corte+n_Ventana),ISNUMBER(Detalle_24m!G$22)),Detalle_24m!G$22,INDEX(Vol_V,9,G$170)/12)*(1+V_dVol),0))</f>
        <v>0</v>
      </c>
      <c r="H185" s="48" t="n">
        <f aca="false">IF(H$8=1,N(Reales!H20),IF(H$171=1,IF(AND(AND(3&gt;Corte,3&lt;=Corte+n_Ventana),ISNUMBER(Detalle_24m!H$22)),Detalle_24m!H$22,INDEX(Vol_V,9,H$170)/12)*(1+V_dVol),0))</f>
        <v>0</v>
      </c>
      <c r="I185" s="48" t="n">
        <f aca="false">IF(I$8=1,N(Reales!I20),IF(I$171=1,IF(AND(AND(4&gt;Corte,4&lt;=Corte+n_Ventana),ISNUMBER(Detalle_24m!I$22)),Detalle_24m!I$22,INDEX(Vol_V,9,I$170)/12)*(1+V_dVol),0))</f>
        <v>0</v>
      </c>
      <c r="J185" s="48" t="n">
        <f aca="false">IF(J$8=1,N(Reales!J20),IF(J$171=1,IF(AND(AND(5&gt;Corte,5&lt;=Corte+n_Ventana),ISNUMBER(Detalle_24m!J$22)),Detalle_24m!J$22,INDEX(Vol_V,9,J$170)/12)*(1+V_dVol),0))</f>
        <v>0</v>
      </c>
      <c r="K185" s="48" t="n">
        <f aca="false">IF(K$8=1,N(Reales!K20),IF(K$171=1,IF(AND(AND(6&gt;Corte,6&lt;=Corte+n_Ventana),ISNUMBER(Detalle_24m!K$22)),Detalle_24m!K$22,INDEX(Vol_V,9,K$170)/12)*(1+V_dVol),0))</f>
        <v>0</v>
      </c>
      <c r="L185" s="48" t="n">
        <f aca="false">IF(L$8=1,N(Reales!L20),IF(L$171=1,IF(AND(AND(7&gt;Corte,7&lt;=Corte+n_Ventana),ISNUMBER(Detalle_24m!L$22)),Detalle_24m!L$22,INDEX(Vol_V,9,L$170)/12)*(1+V_dVol),0))</f>
        <v>0</v>
      </c>
      <c r="M185" s="48" t="n">
        <f aca="false">IF(M$8=1,N(Reales!M20),IF(M$171=1,IF(AND(AND(8&gt;Corte,8&lt;=Corte+n_Ventana),ISNUMBER(Detalle_24m!M$22)),Detalle_24m!M$22,INDEX(Vol_V,9,M$170)/12)*(1+V_dVol),0))</f>
        <v>0</v>
      </c>
      <c r="N185" s="48" t="n">
        <f aca="false">IF(N$8=1,N(Reales!N20),IF(N$171=1,IF(AND(AND(9&gt;Corte,9&lt;=Corte+n_Ventana),ISNUMBER(Detalle_24m!N$22)),Detalle_24m!N$22,INDEX(Vol_V,9,N$170)/12)*(1+V_dVol),0))</f>
        <v>0</v>
      </c>
      <c r="O185" s="48" t="n">
        <f aca="false">IF(O$8=1,N(Reales!O20),IF(O$171=1,IF(AND(AND(10&gt;Corte,10&lt;=Corte+n_Ventana),ISNUMBER(Detalle_24m!O$22)),Detalle_24m!O$22,INDEX(Vol_V,9,O$170)/12)*(1+V_dVol),0))</f>
        <v>0</v>
      </c>
      <c r="P185" s="48" t="n">
        <f aca="false">IF(P$8=1,N(Reales!P20),IF(P$171=1,IF(AND(AND(11&gt;Corte,11&lt;=Corte+n_Ventana),ISNUMBER(Detalle_24m!P$22)),Detalle_24m!P$22,INDEX(Vol_V,9,P$170)/12)*(1+V_dVol),0))</f>
        <v>0</v>
      </c>
      <c r="Q185" s="48" t="n">
        <f aca="false">IF(Q$8=1,N(Reales!Q20),IF(Q$171=1,IF(AND(AND(12&gt;Corte,12&lt;=Corte+n_Ventana),ISNUMBER(Detalle_24m!Q$22)),Detalle_24m!Q$22,INDEX(Vol_V,9,Q$170)/12)*(1+V_dVol),0))</f>
        <v>0</v>
      </c>
      <c r="R185" s="48" t="n">
        <f aca="false">IF(R$8=1,N(Reales!R20),IF(R$171=1,IF(AND(AND(13&gt;Corte,13&lt;=Corte+n_Ventana),ISNUMBER(Detalle_24m!R$22)),Detalle_24m!R$22,INDEX(Vol_V,9,R$170)/12)*(1+V_dVol),0))</f>
        <v>0</v>
      </c>
      <c r="S185" s="48" t="n">
        <f aca="false">IF(S$8=1,N(Reales!S20),IF(S$171=1,IF(AND(AND(14&gt;Corte,14&lt;=Corte+n_Ventana),ISNUMBER(Detalle_24m!S$22)),Detalle_24m!S$22,INDEX(Vol_V,9,S$170)/12)*(1+V_dVol),0))</f>
        <v>0</v>
      </c>
      <c r="T185" s="48" t="n">
        <f aca="false">IF(T$8=1,N(Reales!T20),IF(T$171=1,IF(AND(AND(15&gt;Corte,15&lt;=Corte+n_Ventana),ISNUMBER(Detalle_24m!T$22)),Detalle_24m!T$22,INDEX(Vol_V,9,T$170)/12)*(1+V_dVol),0))</f>
        <v>0</v>
      </c>
      <c r="U185" s="48" t="n">
        <f aca="false">IF(U$8=1,N(Reales!U20),IF(U$171=1,IF(AND(AND(16&gt;Corte,16&lt;=Corte+n_Ventana),ISNUMBER(Detalle_24m!U$22)),Detalle_24m!U$22,INDEX(Vol_V,9,U$170)/12)*(1+V_dVol),0))</f>
        <v>0</v>
      </c>
      <c r="V185" s="48" t="n">
        <f aca="false">IF(V$8=1,N(Reales!V20),IF(V$171=1,IF(AND(AND(17&gt;Corte,17&lt;=Corte+n_Ventana),ISNUMBER(Detalle_24m!V$22)),Detalle_24m!V$22,INDEX(Vol_V,9,V$170)/12)*(1+V_dVol),0))</f>
        <v>0</v>
      </c>
      <c r="W185" s="48" t="n">
        <f aca="false">IF(W$8=1,N(Reales!W20),IF(W$171=1,IF(AND(AND(18&gt;Corte,18&lt;=Corte+n_Ventana),ISNUMBER(Detalle_24m!W$22)),Detalle_24m!W$22,INDEX(Vol_V,9,W$170)/12)*(1+V_dVol),0))</f>
        <v>0</v>
      </c>
      <c r="X185" s="48" t="n">
        <f aca="false">IF(X$8=1,N(Reales!X20),IF(X$171=1,IF(AND(AND(19&gt;Corte,19&lt;=Corte+n_Ventana),ISNUMBER(Detalle_24m!X$22)),Detalle_24m!X$22,INDEX(Vol_V,9,X$170)/12)*(1+V_dVol),0))</f>
        <v>0</v>
      </c>
      <c r="Y185" s="48" t="n">
        <f aca="false">IF(Y$8=1,N(Reales!Y20),IF(Y$171=1,IF(AND(AND(20&gt;Corte,20&lt;=Corte+n_Ventana),ISNUMBER(Detalle_24m!Y$22)),Detalle_24m!Y$22,INDEX(Vol_V,9,Y$170)/12)*(1+V_dVol),0))</f>
        <v>0</v>
      </c>
      <c r="Z185" s="48" t="n">
        <f aca="false">IF(Z$8=1,N(Reales!Z20),IF(Z$171=1,IF(AND(AND(21&gt;Corte,21&lt;=Corte+n_Ventana),ISNUMBER(Detalle_24m!Z$22)),Detalle_24m!Z$22,INDEX(Vol_V,9,Z$170)/12)*(1+V_dVol),0))</f>
        <v>0</v>
      </c>
      <c r="AA185" s="48" t="n">
        <f aca="false">IF(AA$8=1,N(Reales!AA20),IF(AA$171=1,IF(AND(AND(22&gt;Corte,22&lt;=Corte+n_Ventana),ISNUMBER(Detalle_24m!AA$22)),Detalle_24m!AA$22,INDEX(Vol_V,9,AA$170)/12)*(1+V_dVol),0))</f>
        <v>0</v>
      </c>
      <c r="AB185" s="48" t="n">
        <f aca="false">IF(AB$8=1,N(Reales!AB20),IF(AB$171=1,IF(AND(AND(23&gt;Corte,23&lt;=Corte+n_Ventana),ISNUMBER(Detalle_24m!AB$22)),Detalle_24m!AB$22,INDEX(Vol_V,9,AB$170)/12)*(1+V_dVol),0))</f>
        <v>0</v>
      </c>
      <c r="AC185" s="48" t="n">
        <f aca="false">IF(AC$8=1,N(Reales!AC20),IF(AC$171=1,IF(AND(AND(24&gt;Corte,24&lt;=Corte+n_Ventana),ISNUMBER(Detalle_24m!AC$22)),Detalle_24m!AC$22,INDEX(Vol_V,9,AC$170)/12)*(1+V_dVol),0))</f>
        <v>0</v>
      </c>
      <c r="AD185" s="48" t="n">
        <f aca="false">IF(AD$8=1,N(Reales!AD20),IF(AD$171=1,IF(AND(AND(25&gt;Corte,25&lt;=Corte+n_Ventana),ISNUMBER(Detalle_24m!AD$22)),Detalle_24m!AD$22,INDEX(Vol_V,9,AD$170)/12)*(1+V_dVol),0))</f>
        <v>0</v>
      </c>
      <c r="AE185" s="48" t="n">
        <f aca="false">IF(AE$8=1,N(Reales!AE20),IF(AE$171=1,IF(AND(AND(26&gt;Corte,26&lt;=Corte+n_Ventana),ISNUMBER(Detalle_24m!AE$22)),Detalle_24m!AE$22,INDEX(Vol_V,9,AE$170)/12)*(1+V_dVol),0))</f>
        <v>0</v>
      </c>
      <c r="AF185" s="48" t="n">
        <f aca="false">IF(AF$8=1,N(Reales!AF20),IF(AF$171=1,IF(AND(AND(27&gt;Corte,27&lt;=Corte+n_Ventana),ISNUMBER(Detalle_24m!AF$22)),Detalle_24m!AF$22,INDEX(Vol_V,9,AF$170)/12)*(1+V_dVol),0))</f>
        <v>0</v>
      </c>
      <c r="AG185" s="48" t="n">
        <f aca="false">IF(AG$8=1,N(Reales!AG20),IF(AG$171=1,IF(AND(AND(28&gt;Corte,28&lt;=Corte+n_Ventana),ISNUMBER(Detalle_24m!AG$22)),Detalle_24m!AG$22,INDEX(Vol_V,9,AG$170)/12)*(1+V_dVol),0))</f>
        <v>0</v>
      </c>
      <c r="AH185" s="48" t="n">
        <f aca="false">IF(AH$8=1,N(Reales!AH20),IF(AH$171=1,IF(AND(AND(29&gt;Corte,29&lt;=Corte+n_Ventana),ISNUMBER(Detalle_24m!AH$22)),Detalle_24m!AH$22,INDEX(Vol_V,9,AH$170)/12)*(1+V_dVol),0))</f>
        <v>0</v>
      </c>
      <c r="AI185" s="48" t="n">
        <f aca="false">IF(AI$8=1,N(Reales!AI20),IF(AI$171=1,IF(AND(AND(30&gt;Corte,30&lt;=Corte+n_Ventana),ISNUMBER(Detalle_24m!AI$22)),Detalle_24m!AI$22,INDEX(Vol_V,9,AI$170)/12)*(1+V_dVol),0))</f>
        <v>0</v>
      </c>
      <c r="AJ185" s="48" t="n">
        <f aca="false">IF(AJ$8=1,N(Reales!AJ20),IF(AJ$171=1,IF(AND(AND(31&gt;Corte,31&lt;=Corte+n_Ventana),ISNUMBER(Detalle_24m!AJ$22)),Detalle_24m!AJ$22,INDEX(Vol_V,9,AJ$170)/12)*(1+V_dVol),0))</f>
        <v>0</v>
      </c>
      <c r="AK185" s="48" t="n">
        <f aca="false">IF(AK$8=1,N(Reales!AK20),IF(AK$171=1,IF(AND(AND(32&gt;Corte,32&lt;=Corte+n_Ventana),ISNUMBER(Detalle_24m!AK$22)),Detalle_24m!AK$22,INDEX(Vol_V,9,AK$170)/12)*(1+V_dVol),0))</f>
        <v>0</v>
      </c>
      <c r="AL185" s="48" t="n">
        <f aca="false">IF(AL$8=1,N(Reales!AL20),IF(AL$171=1,IF(AND(AND(33&gt;Corte,33&lt;=Corte+n_Ventana),ISNUMBER(Detalle_24m!AL$22)),Detalle_24m!AL$22,INDEX(Vol_V,9,AL$170)/12)*(1+V_dVol),0))</f>
        <v>0</v>
      </c>
      <c r="AM185" s="48" t="n">
        <f aca="false">IF(AM$8=1,N(Reales!AM20),IF(AM$171=1,IF(AND(AND(34&gt;Corte,34&lt;=Corte+n_Ventana),ISNUMBER(Detalle_24m!AM$22)),Detalle_24m!AM$22,INDEX(Vol_V,9,AM$170)/12)*(1+V_dVol),0))</f>
        <v>0</v>
      </c>
      <c r="AN185" s="48" t="n">
        <f aca="false">IF(AN$8=1,N(Reales!AN20),IF(AN$171=1,IF(AND(AND(35&gt;Corte,35&lt;=Corte+n_Ventana),ISNUMBER(Detalle_24m!AN$22)),Detalle_24m!AN$22,INDEX(Vol_V,9,AN$170)/12)*(1+V_dVol),0))</f>
        <v>0</v>
      </c>
      <c r="AO185" s="48" t="n">
        <f aca="false">IF(AO$8=1,N(Reales!AO20),IF(AO$171=1,IF(AND(AND(36&gt;Corte,36&lt;=Corte+n_Ventana),ISNUMBER(Detalle_24m!AO$22)),Detalle_24m!AO$22,INDEX(Vol_V,9,AO$170)/12)*(1+V_dVol),0))</f>
        <v>0</v>
      </c>
      <c r="AP185" s="48" t="n">
        <f aca="false">IF(AP$8=1,N(Reales!AP20),IF(AP$171=1,IF(AND(AND(37&gt;Corte,37&lt;=Corte+n_Ventana),ISNUMBER(Detalle_24m!AP$22)),Detalle_24m!AP$22,INDEX(Vol_V,9,AP$170)/12)*(1+V_dVol),0))</f>
        <v>0</v>
      </c>
      <c r="AQ185" s="48" t="n">
        <f aca="false">IF(AQ$8=1,N(Reales!AQ20),IF(AQ$171=1,IF(AND(AND(38&gt;Corte,38&lt;=Corte+n_Ventana),ISNUMBER(Detalle_24m!AQ$22)),Detalle_24m!AQ$22,INDEX(Vol_V,9,AQ$170)/12)*(1+V_dVol),0))</f>
        <v>0</v>
      </c>
      <c r="AR185" s="48" t="n">
        <f aca="false">IF(AR$8=1,N(Reales!AR20),IF(AR$171=1,IF(AND(AND(39&gt;Corte,39&lt;=Corte+n_Ventana),ISNUMBER(Detalle_24m!AR$22)),Detalle_24m!AR$22,INDEX(Vol_V,9,AR$170)/12)*(1+V_dVol),0))</f>
        <v>0</v>
      </c>
      <c r="AS185" s="48" t="n">
        <f aca="false">IF(AS$8=1,N(Reales!AS20),IF(AS$171=1,IF(AND(AND(40&gt;Corte,40&lt;=Corte+n_Ventana),ISNUMBER(Detalle_24m!AS$22)),Detalle_24m!AS$22,INDEX(Vol_V,9,AS$170)/12)*(1+V_dVol),0))</f>
        <v>0</v>
      </c>
      <c r="AT185" s="48" t="n">
        <f aca="false">IF(AT$8=1,N(Reales!AT20),IF(AT$171=1,IF(AND(AND(41&gt;Corte,41&lt;=Corte+n_Ventana),ISNUMBER(Detalle_24m!AT$22)),Detalle_24m!AT$22,INDEX(Vol_V,9,AT$170)/12)*(1+V_dVol),0))</f>
        <v>0</v>
      </c>
      <c r="AU185" s="48" t="n">
        <f aca="false">IF(AU$8=1,N(Reales!AU20),IF(AU$171=1,IF(AND(AND(42&gt;Corte,42&lt;=Corte+n_Ventana),ISNUMBER(Detalle_24m!AU$22)),Detalle_24m!AU$22,INDEX(Vol_V,9,AU$170)/12)*(1+V_dVol),0))</f>
        <v>0</v>
      </c>
      <c r="AV185" s="48" t="n">
        <f aca="false">IF(AV$8=1,N(Reales!AV20),IF(AV$171=1,IF(AND(AND(43&gt;Corte,43&lt;=Corte+n_Ventana),ISNUMBER(Detalle_24m!AV$22)),Detalle_24m!AV$22,INDEX(Vol_V,9,AV$170)/12)*(1+V_dVol),0))</f>
        <v>0</v>
      </c>
      <c r="AW185" s="48" t="n">
        <f aca="false">IF(AW$8=1,N(Reales!AW20),IF(AW$171=1,IF(AND(AND(44&gt;Corte,44&lt;=Corte+n_Ventana),ISNUMBER(Detalle_24m!AW$22)),Detalle_24m!AW$22,INDEX(Vol_V,9,AW$170)/12)*(1+V_dVol),0))</f>
        <v>0</v>
      </c>
      <c r="AX185" s="48" t="n">
        <f aca="false">IF(AX$8=1,N(Reales!AX20),IF(AX$171=1,IF(AND(AND(45&gt;Corte,45&lt;=Corte+n_Ventana),ISNUMBER(Detalle_24m!AX$22)),Detalle_24m!AX$22,INDEX(Vol_V,9,AX$170)/12)*(1+V_dVol),0))</f>
        <v>0</v>
      </c>
      <c r="AY185" s="48" t="n">
        <f aca="false">IF(AY$8=1,N(Reales!AY20),IF(AY$171=1,IF(AND(AND(46&gt;Corte,46&lt;=Corte+n_Ventana),ISNUMBER(Detalle_24m!AY$22)),Detalle_24m!AY$22,INDEX(Vol_V,9,AY$170)/12)*(1+V_dVol),0))</f>
        <v>0</v>
      </c>
      <c r="AZ185" s="48" t="n">
        <f aca="false">IF(AZ$8=1,N(Reales!AZ20),IF(AZ$171=1,IF(AND(AND(47&gt;Corte,47&lt;=Corte+n_Ventana),ISNUMBER(Detalle_24m!AZ$22)),Detalle_24m!AZ$22,INDEX(Vol_V,9,AZ$170)/12)*(1+V_dVol),0))</f>
        <v>0</v>
      </c>
      <c r="BA185" s="48" t="n">
        <f aca="false">IF(BA$8=1,N(Reales!BA20),IF(BA$171=1,IF(AND(AND(48&gt;Corte,48&lt;=Corte+n_Ventana),ISNUMBER(Detalle_24m!BA$22)),Detalle_24m!BA$22,INDEX(Vol_V,9,BA$170)/12)*(1+V_dVol),0))</f>
        <v>0</v>
      </c>
      <c r="BB185" s="48" t="n">
        <f aca="false">IF(BB$8=1,N(Reales!BB20),IF(BB$171=1,IF(AND(AND(49&gt;Corte,49&lt;=Corte+n_Ventana),ISNUMBER(Detalle_24m!BB$22)),Detalle_24m!BB$22,INDEX(Vol_V,9,BB$170)/12)*(1+V_dVol),0))</f>
        <v>0</v>
      </c>
      <c r="BC185" s="48" t="n">
        <f aca="false">IF(BC$8=1,N(Reales!BC20),IF(BC$171=1,IF(AND(AND(50&gt;Corte,50&lt;=Corte+n_Ventana),ISNUMBER(Detalle_24m!BC$22)),Detalle_24m!BC$22,INDEX(Vol_V,9,BC$170)/12)*(1+V_dVol),0))</f>
        <v>0</v>
      </c>
      <c r="BD185" s="48" t="n">
        <f aca="false">IF(BD$8=1,N(Reales!BD20),IF(BD$171=1,IF(AND(AND(51&gt;Corte,51&lt;=Corte+n_Ventana),ISNUMBER(Detalle_24m!BD$22)),Detalle_24m!BD$22,INDEX(Vol_V,9,BD$170)/12)*(1+V_dVol),0))</f>
        <v>0</v>
      </c>
      <c r="BE185" s="48" t="n">
        <f aca="false">IF(BE$8=1,N(Reales!BE20),IF(BE$171=1,IF(AND(AND(52&gt;Corte,52&lt;=Corte+n_Ventana),ISNUMBER(Detalle_24m!BE$22)),Detalle_24m!BE$22,INDEX(Vol_V,9,BE$170)/12)*(1+V_dVol),0))</f>
        <v>0</v>
      </c>
      <c r="BF185" s="48" t="n">
        <f aca="false">IF(BF$8=1,N(Reales!BF20),IF(BF$171=1,IF(AND(AND(53&gt;Corte,53&lt;=Corte+n_Ventana),ISNUMBER(Detalle_24m!BF$22)),Detalle_24m!BF$22,INDEX(Vol_V,9,BF$170)/12)*(1+V_dVol),0))</f>
        <v>0</v>
      </c>
      <c r="BG185" s="48" t="n">
        <f aca="false">IF(BG$8=1,N(Reales!BG20),IF(BG$171=1,IF(AND(AND(54&gt;Corte,54&lt;=Corte+n_Ventana),ISNUMBER(Detalle_24m!BG$22)),Detalle_24m!BG$22,INDEX(Vol_V,9,BG$170)/12)*(1+V_dVol),0))</f>
        <v>0</v>
      </c>
      <c r="BH185" s="48" t="n">
        <f aca="false">IF(BH$8=1,N(Reales!BH20),IF(BH$171=1,IF(AND(AND(55&gt;Corte,55&lt;=Corte+n_Ventana),ISNUMBER(Detalle_24m!BH$22)),Detalle_24m!BH$22,INDEX(Vol_V,9,BH$170)/12)*(1+V_dVol),0))</f>
        <v>0</v>
      </c>
      <c r="BI185" s="48" t="n">
        <f aca="false">IF(BI$8=1,N(Reales!BI20),IF(BI$171=1,IF(AND(AND(56&gt;Corte,56&lt;=Corte+n_Ventana),ISNUMBER(Detalle_24m!BI$22)),Detalle_24m!BI$22,INDEX(Vol_V,9,BI$170)/12)*(1+V_dVol),0))</f>
        <v>0</v>
      </c>
      <c r="BJ185" s="48" t="n">
        <f aca="false">IF(BJ$8=1,N(Reales!BJ20),IF(BJ$171=1,IF(AND(AND(57&gt;Corte,57&lt;=Corte+n_Ventana),ISNUMBER(Detalle_24m!BJ$22)),Detalle_24m!BJ$22,INDEX(Vol_V,9,BJ$170)/12)*(1+V_dVol),0))</f>
        <v>0</v>
      </c>
      <c r="BK185" s="48" t="n">
        <f aca="false">IF(BK$8=1,N(Reales!BK20),IF(BK$171=1,IF(AND(AND(58&gt;Corte,58&lt;=Corte+n_Ventana),ISNUMBER(Detalle_24m!BK$22)),Detalle_24m!BK$22,INDEX(Vol_V,9,BK$170)/12)*(1+V_dVol),0))</f>
        <v>0</v>
      </c>
      <c r="BL185" s="48" t="n">
        <f aca="false">IF(BL$8=1,N(Reales!BL20),IF(BL$171=1,IF(AND(AND(59&gt;Corte,59&lt;=Corte+n_Ventana),ISNUMBER(Detalle_24m!BL$22)),Detalle_24m!BL$22,INDEX(Vol_V,9,BL$170)/12)*(1+V_dVol),0))</f>
        <v>0</v>
      </c>
      <c r="BM185" s="48" t="n">
        <f aca="false">IF(BM$8=1,N(Reales!BM20),IF(BM$171=1,IF(AND(AND(60&gt;Corte,60&lt;=Corte+n_Ventana),ISNUMBER(Detalle_24m!BM$22)),Detalle_24m!BM$22,INDEX(Vol_V,9,BM$170)/12)*(1+V_dVol),0))</f>
        <v>0</v>
      </c>
      <c r="BN185" s="48" t="n">
        <f aca="false">IF(BN$8=1,N(Reales!BN20),IF(BN$171=1,IF(AND(AND(61&gt;Corte,61&lt;=Corte+n_Ventana),ISNUMBER(Detalle_24m!BN$22)),Detalle_24m!BN$22,INDEX(Vol_V,9,BN$170)/12)*(1+V_dVol),0))</f>
        <v>0</v>
      </c>
      <c r="BO185" s="48" t="n">
        <f aca="false">IF(BO$8=1,N(Reales!BO20),IF(BO$171=1,IF(AND(AND(62&gt;Corte,62&lt;=Corte+n_Ventana),ISNUMBER(Detalle_24m!BO$22)),Detalle_24m!BO$22,INDEX(Vol_V,9,BO$170)/12)*(1+V_dVol),0))</f>
        <v>0</v>
      </c>
      <c r="BP185" s="48" t="n">
        <f aca="false">IF(BP$8=1,N(Reales!BP20),IF(BP$171=1,IF(AND(AND(63&gt;Corte,63&lt;=Corte+n_Ventana),ISNUMBER(Detalle_24m!BP$22)),Detalle_24m!BP$22,INDEX(Vol_V,9,BP$170)/12)*(1+V_dVol),0))</f>
        <v>0</v>
      </c>
      <c r="BQ185" s="48" t="n">
        <f aca="false">IF(BQ$8=1,N(Reales!BQ20),IF(BQ$171=1,IF(AND(AND(64&gt;Corte,64&lt;=Corte+n_Ventana),ISNUMBER(Detalle_24m!BQ$22)),Detalle_24m!BQ$22,INDEX(Vol_V,9,BQ$170)/12)*(1+V_dVol),0))</f>
        <v>0</v>
      </c>
      <c r="BR185" s="48" t="n">
        <f aca="false">IF(BR$8=1,N(Reales!BR20),IF(BR$171=1,IF(AND(AND(65&gt;Corte,65&lt;=Corte+n_Ventana),ISNUMBER(Detalle_24m!BR$22)),Detalle_24m!BR$22,INDEX(Vol_V,9,BR$170)/12)*(1+V_dVol),0))</f>
        <v>0</v>
      </c>
      <c r="BS185" s="48" t="n">
        <f aca="false">IF(BS$8=1,N(Reales!BS20),IF(BS$171=1,IF(AND(AND(66&gt;Corte,66&lt;=Corte+n_Ventana),ISNUMBER(Detalle_24m!BS$22)),Detalle_24m!BS$22,INDEX(Vol_V,9,BS$170)/12)*(1+V_dVol),0))</f>
        <v>0</v>
      </c>
      <c r="BT185" s="48" t="n">
        <f aca="false">IF(BT$8=1,N(Reales!BT20),IF(BT$171=1,IF(AND(AND(67&gt;Corte,67&lt;=Corte+n_Ventana),ISNUMBER(Detalle_24m!BT$22)),Detalle_24m!BT$22,INDEX(Vol_V,9,BT$170)/12)*(1+V_dVol),0))</f>
        <v>0</v>
      </c>
      <c r="BU185" s="48" t="n">
        <f aca="false">IF(BU$8=1,N(Reales!BU20),IF(BU$171=1,IF(AND(AND(68&gt;Corte,68&lt;=Corte+n_Ventana),ISNUMBER(Detalle_24m!BU$22)),Detalle_24m!BU$22,INDEX(Vol_V,9,BU$170)/12)*(1+V_dVol),0))</f>
        <v>0</v>
      </c>
      <c r="BV185" s="48" t="n">
        <f aca="false">IF(BV$8=1,N(Reales!BV20),IF(BV$171=1,IF(AND(AND(69&gt;Corte,69&lt;=Corte+n_Ventana),ISNUMBER(Detalle_24m!BV$22)),Detalle_24m!BV$22,INDEX(Vol_V,9,BV$170)/12)*(1+V_dVol),0))</f>
        <v>0</v>
      </c>
      <c r="BW185" s="48" t="n">
        <f aca="false">IF(BW$8=1,N(Reales!BW20),IF(BW$171=1,IF(AND(AND(70&gt;Corte,70&lt;=Corte+n_Ventana),ISNUMBER(Detalle_24m!BW$22)),Detalle_24m!BW$22,INDEX(Vol_V,9,BW$170)/12)*(1+V_dVol),0))</f>
        <v>0</v>
      </c>
      <c r="BX185" s="48" t="n">
        <f aca="false">IF(BX$8=1,N(Reales!BX20),IF(BX$171=1,IF(AND(AND(71&gt;Corte,71&lt;=Corte+n_Ventana),ISNUMBER(Detalle_24m!BX$22)),Detalle_24m!BX$22,INDEX(Vol_V,9,BX$170)/12)*(1+V_dVol),0))</f>
        <v>0</v>
      </c>
      <c r="BY185" s="48" t="n">
        <f aca="false">IF(BY$8=1,N(Reales!BY20),IF(BY$171=1,IF(AND(AND(72&gt;Corte,72&lt;=Corte+n_Ventana),ISNUMBER(Detalle_24m!BY$22)),Detalle_24m!BY$22,INDEX(Vol_V,9,BY$170)/12)*(1+V_dVol),0))</f>
        <v>0</v>
      </c>
      <c r="BZ185" s="48" t="n">
        <f aca="false">IF(BZ$8=1,N(Reales!BZ20),IF(BZ$171=1,IF(AND(AND(73&gt;Corte,73&lt;=Corte+n_Ventana),ISNUMBER(Detalle_24m!BZ$22)),Detalle_24m!BZ$22,INDEX(Vol_V,9,BZ$170)/12)*(1+V_dVol),0))</f>
        <v>0</v>
      </c>
      <c r="CA185" s="48" t="n">
        <f aca="false">IF(CA$8=1,N(Reales!CA20),IF(CA$171=1,IF(AND(AND(74&gt;Corte,74&lt;=Corte+n_Ventana),ISNUMBER(Detalle_24m!CA$22)),Detalle_24m!CA$22,INDEX(Vol_V,9,CA$170)/12)*(1+V_dVol),0))</f>
        <v>0</v>
      </c>
      <c r="CB185" s="48" t="n">
        <f aca="false">IF(CB$8=1,N(Reales!CB20),IF(CB$171=1,IF(AND(AND(75&gt;Corte,75&lt;=Corte+n_Ventana),ISNUMBER(Detalle_24m!CB$22)),Detalle_24m!CB$22,INDEX(Vol_V,9,CB$170)/12)*(1+V_dVol),0))</f>
        <v>0</v>
      </c>
      <c r="CC185" s="48" t="n">
        <f aca="false">IF(CC$8=1,N(Reales!CC20),IF(CC$171=1,IF(AND(AND(76&gt;Corte,76&lt;=Corte+n_Ventana),ISNUMBER(Detalle_24m!CC$22)),Detalle_24m!CC$22,INDEX(Vol_V,9,CC$170)/12)*(1+V_dVol),0))</f>
        <v>0</v>
      </c>
      <c r="CD185" s="48" t="n">
        <f aca="false">IF(CD$8=1,N(Reales!CD20),IF(CD$171=1,IF(AND(AND(77&gt;Corte,77&lt;=Corte+n_Ventana),ISNUMBER(Detalle_24m!CD$22)),Detalle_24m!CD$22,INDEX(Vol_V,9,CD$170)/12)*(1+V_dVol),0))</f>
        <v>0</v>
      </c>
      <c r="CE185" s="48" t="n">
        <f aca="false">IF(CE$8=1,N(Reales!CE20),IF(CE$171=1,IF(AND(AND(78&gt;Corte,78&lt;=Corte+n_Ventana),ISNUMBER(Detalle_24m!CE$22)),Detalle_24m!CE$22,INDEX(Vol_V,9,CE$170)/12)*(1+V_dVol),0))</f>
        <v>0</v>
      </c>
      <c r="CF185" s="48" t="n">
        <f aca="false">IF(CF$8=1,N(Reales!CF20),IF(CF$171=1,IF(AND(AND(79&gt;Corte,79&lt;=Corte+n_Ventana),ISNUMBER(Detalle_24m!CF$22)),Detalle_24m!CF$22,INDEX(Vol_V,9,CF$170)/12)*(1+V_dVol),0))</f>
        <v>0</v>
      </c>
      <c r="CG185" s="48" t="n">
        <f aca="false">IF(CG$8=1,N(Reales!CG20),IF(CG$171=1,IF(AND(AND(80&gt;Corte,80&lt;=Corte+n_Ventana),ISNUMBER(Detalle_24m!CG$22)),Detalle_24m!CG$22,INDEX(Vol_V,9,CG$170)/12)*(1+V_dVol),0))</f>
        <v>0</v>
      </c>
      <c r="CH185" s="48" t="n">
        <f aca="false">IF(CH$8=1,N(Reales!CH20),IF(CH$171=1,IF(AND(AND(81&gt;Corte,81&lt;=Corte+n_Ventana),ISNUMBER(Detalle_24m!CH$22)),Detalle_24m!CH$22,INDEX(Vol_V,9,CH$170)/12)*(1+V_dVol),0))</f>
        <v>0</v>
      </c>
      <c r="CI185" s="48" t="n">
        <f aca="false">IF(CI$8=1,N(Reales!CI20),IF(CI$171=1,IF(AND(AND(82&gt;Corte,82&lt;=Corte+n_Ventana),ISNUMBER(Detalle_24m!CI$22)),Detalle_24m!CI$22,INDEX(Vol_V,9,CI$170)/12)*(1+V_dVol),0))</f>
        <v>0</v>
      </c>
      <c r="CJ185" s="48" t="n">
        <f aca="false">IF(CJ$8=1,N(Reales!CJ20),IF(CJ$171=1,IF(AND(AND(83&gt;Corte,83&lt;=Corte+n_Ventana),ISNUMBER(Detalle_24m!CJ$22)),Detalle_24m!CJ$22,INDEX(Vol_V,9,CJ$170)/12)*(1+V_dVol),0))</f>
        <v>0</v>
      </c>
      <c r="CK185" s="48" t="n">
        <f aca="false">IF(CK$8=1,N(Reales!CK20),IF(CK$171=1,IF(AND(AND(84&gt;Corte,84&lt;=Corte+n_Ventana),ISNUMBER(Detalle_24m!CK$22)),Detalle_24m!CK$22,INDEX(Vol_V,9,CK$170)/12)*(1+V_dVol),0))</f>
        <v>0</v>
      </c>
      <c r="CL185" s="48" t="n">
        <f aca="false">IF(CL$8=1,N(Reales!CL20),IF(CL$171=1,IF(AND(AND(85&gt;Corte,85&lt;=Corte+n_Ventana),ISNUMBER(Detalle_24m!CL$22)),Detalle_24m!CL$22,INDEX(Vol_V,9,CL$170)/12)*(1+V_dVol),0))</f>
        <v>0</v>
      </c>
      <c r="CM185" s="48" t="n">
        <f aca="false">IF(CM$8=1,N(Reales!CM20),IF(CM$171=1,IF(AND(AND(86&gt;Corte,86&lt;=Corte+n_Ventana),ISNUMBER(Detalle_24m!CM$22)),Detalle_24m!CM$22,INDEX(Vol_V,9,CM$170)/12)*(1+V_dVol),0))</f>
        <v>0</v>
      </c>
      <c r="CN185" s="48" t="n">
        <f aca="false">IF(CN$8=1,N(Reales!CN20),IF(CN$171=1,IF(AND(AND(87&gt;Corte,87&lt;=Corte+n_Ventana),ISNUMBER(Detalle_24m!CN$22)),Detalle_24m!CN$22,INDEX(Vol_V,9,CN$170)/12)*(1+V_dVol),0))</f>
        <v>0</v>
      </c>
      <c r="CO185" s="48" t="n">
        <f aca="false">IF(CO$8=1,N(Reales!CO20),IF(CO$171=1,IF(AND(AND(88&gt;Corte,88&lt;=Corte+n_Ventana),ISNUMBER(Detalle_24m!CO$22)),Detalle_24m!CO$22,INDEX(Vol_V,9,CO$170)/12)*(1+V_dVol),0))</f>
        <v>0</v>
      </c>
      <c r="CP185" s="48" t="n">
        <f aca="false">IF(CP$8=1,N(Reales!CP20),IF(CP$171=1,IF(AND(AND(89&gt;Corte,89&lt;=Corte+n_Ventana),ISNUMBER(Detalle_24m!CP$22)),Detalle_24m!CP$22,INDEX(Vol_V,9,CP$170)/12)*(1+V_dVol),0))</f>
        <v>0</v>
      </c>
      <c r="CQ185" s="48" t="n">
        <f aca="false">IF(CQ$8=1,N(Reales!CQ20),IF(CQ$171=1,IF(AND(AND(90&gt;Corte,90&lt;=Corte+n_Ventana),ISNUMBER(Detalle_24m!CQ$22)),Detalle_24m!CQ$22,INDEX(Vol_V,9,CQ$170)/12)*(1+V_dVol),0))</f>
        <v>0</v>
      </c>
      <c r="CR185" s="48" t="n">
        <f aca="false">IF(CR$8=1,N(Reales!CR20),IF(CR$171=1,IF(AND(AND(91&gt;Corte,91&lt;=Corte+n_Ventana),ISNUMBER(Detalle_24m!CR$22)),Detalle_24m!CR$22,INDEX(Vol_V,9,CR$170)/12)*(1+V_dVol),0))</f>
        <v>0</v>
      </c>
      <c r="CS185" s="48" t="n">
        <f aca="false">IF(CS$8=1,N(Reales!CS20),IF(CS$171=1,IF(AND(AND(92&gt;Corte,92&lt;=Corte+n_Ventana),ISNUMBER(Detalle_24m!CS$22)),Detalle_24m!CS$22,INDEX(Vol_V,9,CS$170)/12)*(1+V_dVol),0))</f>
        <v>0</v>
      </c>
      <c r="CT185" s="48" t="n">
        <f aca="false">IF(CT$8=1,N(Reales!CT20),IF(CT$171=1,IF(AND(AND(93&gt;Corte,93&lt;=Corte+n_Ventana),ISNUMBER(Detalle_24m!CT$22)),Detalle_24m!CT$22,INDEX(Vol_V,9,CT$170)/12)*(1+V_dVol),0))</f>
        <v>0</v>
      </c>
      <c r="CU185" s="48" t="n">
        <f aca="false">IF(CU$8=1,N(Reales!CU20),IF(CU$171=1,IF(AND(AND(94&gt;Corte,94&lt;=Corte+n_Ventana),ISNUMBER(Detalle_24m!CU$22)),Detalle_24m!CU$22,INDEX(Vol_V,9,CU$170)/12)*(1+V_dVol),0))</f>
        <v>0</v>
      </c>
      <c r="CV185" s="48" t="n">
        <f aca="false">IF(CV$8=1,N(Reales!CV20),IF(CV$171=1,IF(AND(AND(95&gt;Corte,95&lt;=Corte+n_Ventana),ISNUMBER(Detalle_24m!CV$22)),Detalle_24m!CV$22,INDEX(Vol_V,9,CV$170)/12)*(1+V_dVol),0))</f>
        <v>0</v>
      </c>
      <c r="CW185" s="48" t="n">
        <f aca="false">IF(CW$8=1,N(Reales!CW20),IF(CW$171=1,IF(AND(AND(96&gt;Corte,96&lt;=Corte+n_Ventana),ISNUMBER(Detalle_24m!CW$22)),Detalle_24m!CW$22,INDEX(Vol_V,9,CW$170)/12)*(1+V_dVol),0))</f>
        <v>0</v>
      </c>
      <c r="CX185" s="48" t="n">
        <f aca="false">IF(CX$8=1,N(Reales!CX20),IF(CX$171=1,IF(AND(AND(97&gt;Corte,97&lt;=Corte+n_Ventana),ISNUMBER(Detalle_24m!CX$22)),Detalle_24m!CX$22,INDEX(Vol_V,9,CX$170)/12)*(1+V_dVol),0))</f>
        <v>0</v>
      </c>
      <c r="CY185" s="48" t="n">
        <f aca="false">IF(CY$8=1,N(Reales!CY20),IF(CY$171=1,IF(AND(AND(98&gt;Corte,98&lt;=Corte+n_Ventana),ISNUMBER(Detalle_24m!CY$22)),Detalle_24m!CY$22,INDEX(Vol_V,9,CY$170)/12)*(1+V_dVol),0))</f>
        <v>0</v>
      </c>
      <c r="CZ185" s="48" t="n">
        <f aca="false">IF(CZ$8=1,N(Reales!CZ20),IF(CZ$171=1,IF(AND(AND(99&gt;Corte,99&lt;=Corte+n_Ventana),ISNUMBER(Detalle_24m!CZ$22)),Detalle_24m!CZ$22,INDEX(Vol_V,9,CZ$170)/12)*(1+V_dVol),0))</f>
        <v>0</v>
      </c>
      <c r="DA185" s="48" t="n">
        <f aca="false">IF(DA$8=1,N(Reales!DA20),IF(DA$171=1,IF(AND(AND(100&gt;Corte,100&lt;=Corte+n_Ventana),ISNUMBER(Detalle_24m!DA$22)),Detalle_24m!DA$22,INDEX(Vol_V,9,DA$170)/12)*(1+V_dVol),0))</f>
        <v>0</v>
      </c>
      <c r="DB185" s="48" t="n">
        <f aca="false">IF(DB$8=1,N(Reales!DB20),IF(DB$171=1,IF(AND(AND(101&gt;Corte,101&lt;=Corte+n_Ventana),ISNUMBER(Detalle_24m!DB$22)),Detalle_24m!DB$22,INDEX(Vol_V,9,DB$170)/12)*(1+V_dVol),0))</f>
        <v>0</v>
      </c>
      <c r="DC185" s="48" t="n">
        <f aca="false">IF(DC$8=1,N(Reales!DC20),IF(DC$171=1,IF(AND(AND(102&gt;Corte,102&lt;=Corte+n_Ventana),ISNUMBER(Detalle_24m!DC$22)),Detalle_24m!DC$22,INDEX(Vol_V,9,DC$170)/12)*(1+V_dVol),0))</f>
        <v>0</v>
      </c>
      <c r="DD185" s="48" t="n">
        <f aca="false">IF(DD$8=1,N(Reales!DD20),IF(DD$171=1,IF(AND(AND(103&gt;Corte,103&lt;=Corte+n_Ventana),ISNUMBER(Detalle_24m!DD$22)),Detalle_24m!DD$22,INDEX(Vol_V,9,DD$170)/12)*(1+V_dVol),0))</f>
        <v>0</v>
      </c>
      <c r="DE185" s="48" t="n">
        <f aca="false">IF(DE$8=1,N(Reales!DE20),IF(DE$171=1,IF(AND(AND(104&gt;Corte,104&lt;=Corte+n_Ventana),ISNUMBER(Detalle_24m!DE$22)),Detalle_24m!DE$22,INDEX(Vol_V,9,DE$170)/12)*(1+V_dVol),0))</f>
        <v>0</v>
      </c>
      <c r="DF185" s="48" t="n">
        <f aca="false">IF(DF$8=1,N(Reales!DF20),IF(DF$171=1,IF(AND(AND(105&gt;Corte,105&lt;=Corte+n_Ventana),ISNUMBER(Detalle_24m!DF$22)),Detalle_24m!DF$22,INDEX(Vol_V,9,DF$170)/12)*(1+V_dVol),0))</f>
        <v>0</v>
      </c>
      <c r="DG185" s="48" t="n">
        <f aca="false">IF(DG$8=1,N(Reales!DG20),IF(DG$171=1,IF(AND(AND(106&gt;Corte,106&lt;=Corte+n_Ventana),ISNUMBER(Detalle_24m!DG$22)),Detalle_24m!DG$22,INDEX(Vol_V,9,DG$170)/12)*(1+V_dVol),0))</f>
        <v>0</v>
      </c>
      <c r="DH185" s="48" t="n">
        <f aca="false">IF(DH$8=1,N(Reales!DH20),IF(DH$171=1,IF(AND(AND(107&gt;Corte,107&lt;=Corte+n_Ventana),ISNUMBER(Detalle_24m!DH$22)),Detalle_24m!DH$22,INDEX(Vol_V,9,DH$170)/12)*(1+V_dVol),0))</f>
        <v>0</v>
      </c>
      <c r="DI185" s="48" t="n">
        <f aca="false">IF(DI$8=1,N(Reales!DI20),IF(DI$171=1,IF(AND(AND(108&gt;Corte,108&lt;=Corte+n_Ventana),ISNUMBER(Detalle_24m!DI$22)),Detalle_24m!DI$22,INDEX(Vol_V,9,DI$170)/12)*(1+V_dVol),0))</f>
        <v>0</v>
      </c>
      <c r="DJ185" s="48" t="n">
        <f aca="false">IF(DJ$8=1,N(Reales!DJ20),IF(DJ$171=1,IF(AND(AND(109&gt;Corte,109&lt;=Corte+n_Ventana),ISNUMBER(Detalle_24m!DJ$22)),Detalle_24m!DJ$22,INDEX(Vol_V,9,DJ$170)/12)*(1+V_dVol),0))</f>
        <v>0</v>
      </c>
      <c r="DK185" s="48" t="n">
        <f aca="false">IF(DK$8=1,N(Reales!DK20),IF(DK$171=1,IF(AND(AND(110&gt;Corte,110&lt;=Corte+n_Ventana),ISNUMBER(Detalle_24m!DK$22)),Detalle_24m!DK$22,INDEX(Vol_V,9,DK$170)/12)*(1+V_dVol),0))</f>
        <v>0</v>
      </c>
      <c r="DL185" s="48" t="n">
        <f aca="false">IF(DL$8=1,N(Reales!DL20),IF(DL$171=1,IF(AND(AND(111&gt;Corte,111&lt;=Corte+n_Ventana),ISNUMBER(Detalle_24m!DL$22)),Detalle_24m!DL$22,INDEX(Vol_V,9,DL$170)/12)*(1+V_dVol),0))</f>
        <v>0</v>
      </c>
      <c r="DM185" s="48" t="n">
        <f aca="false">IF(DM$8=1,N(Reales!DM20),IF(DM$171=1,IF(AND(AND(112&gt;Corte,112&lt;=Corte+n_Ventana),ISNUMBER(Detalle_24m!DM$22)),Detalle_24m!DM$22,INDEX(Vol_V,9,DM$170)/12)*(1+V_dVol),0))</f>
        <v>0</v>
      </c>
      <c r="DN185" s="48" t="n">
        <f aca="false">IF(DN$8=1,N(Reales!DN20),IF(DN$171=1,IF(AND(AND(113&gt;Corte,113&lt;=Corte+n_Ventana),ISNUMBER(Detalle_24m!DN$22)),Detalle_24m!DN$22,INDEX(Vol_V,9,DN$170)/12)*(1+V_dVol),0))</f>
        <v>0</v>
      </c>
      <c r="DO185" s="48" t="n">
        <f aca="false">IF(DO$8=1,N(Reales!DO20),IF(DO$171=1,IF(AND(AND(114&gt;Corte,114&lt;=Corte+n_Ventana),ISNUMBER(Detalle_24m!DO$22)),Detalle_24m!DO$22,INDEX(Vol_V,9,DO$170)/12)*(1+V_dVol),0))</f>
        <v>0</v>
      </c>
      <c r="DP185" s="48" t="n">
        <f aca="false">IF(DP$8=1,N(Reales!DP20),IF(DP$171=1,IF(AND(AND(115&gt;Corte,115&lt;=Corte+n_Ventana),ISNUMBER(Detalle_24m!DP$22)),Detalle_24m!DP$22,INDEX(Vol_V,9,DP$170)/12)*(1+V_dVol),0))</f>
        <v>0</v>
      </c>
      <c r="DQ185" s="48" t="n">
        <f aca="false">IF(DQ$8=1,N(Reales!DQ20),IF(DQ$171=1,IF(AND(AND(116&gt;Corte,116&lt;=Corte+n_Ventana),ISNUMBER(Detalle_24m!DQ$22)),Detalle_24m!DQ$22,INDEX(Vol_V,9,DQ$170)/12)*(1+V_dVol),0))</f>
        <v>0</v>
      </c>
      <c r="DR185" s="48" t="n">
        <f aca="false">IF(DR$8=1,N(Reales!DR20),IF(DR$171=1,IF(AND(AND(117&gt;Corte,117&lt;=Corte+n_Ventana),ISNUMBER(Detalle_24m!DR$22)),Detalle_24m!DR$22,INDEX(Vol_V,9,DR$170)/12)*(1+V_dVol),0))</f>
        <v>0</v>
      </c>
      <c r="DS185" s="48" t="n">
        <f aca="false">IF(DS$8=1,N(Reales!DS20),IF(DS$171=1,IF(AND(AND(118&gt;Corte,118&lt;=Corte+n_Ventana),ISNUMBER(Detalle_24m!DS$22)),Detalle_24m!DS$22,INDEX(Vol_V,9,DS$170)/12)*(1+V_dVol),0))</f>
        <v>0</v>
      </c>
      <c r="DT185" s="48" t="n">
        <f aca="false">IF(DT$8=1,N(Reales!DT20),IF(DT$171=1,IF(AND(AND(119&gt;Corte,119&lt;=Corte+n_Ventana),ISNUMBER(Detalle_24m!DT$22)),Detalle_24m!DT$22,INDEX(Vol_V,9,DT$170)/12)*(1+V_dVol),0))</f>
        <v>0</v>
      </c>
      <c r="DU185" s="48" t="n">
        <f aca="false">IF(DU$8=1,N(Reales!DU20),IF(DU$171=1,IF(AND(AND(120&gt;Corte,120&lt;=Corte+n_Ventana),ISNUMBER(Detalle_24m!DU$22)),Detalle_24m!DU$22,INDEX(Vol_V,9,DU$170)/12)*(1+V_dVol),0))</f>
        <v>0</v>
      </c>
      <c r="DV185" s="48" t="n">
        <f aca="false">IF(DV$8=1,N(Reales!DV20),IF(DV$171=1,IF(AND(AND(121&gt;Corte,121&lt;=Corte+n_Ventana),ISNUMBER(Detalle_24m!DV$22)),Detalle_24m!DV$22,INDEX(Vol_V,9,DV$170)/12)*(1+V_dVol),0))</f>
        <v>0</v>
      </c>
      <c r="DW185" s="48" t="n">
        <f aca="false">IF(DW$8=1,N(Reales!DW20),IF(DW$171=1,IF(AND(AND(122&gt;Corte,122&lt;=Corte+n_Ventana),ISNUMBER(Detalle_24m!DW$22)),Detalle_24m!DW$22,INDEX(Vol_V,9,DW$170)/12)*(1+V_dVol),0))</f>
        <v>0</v>
      </c>
      <c r="DX185" s="48" t="n">
        <f aca="false">IF(DX$8=1,N(Reales!DX20),IF(DX$171=1,IF(AND(AND(123&gt;Corte,123&lt;=Corte+n_Ventana),ISNUMBER(Detalle_24m!DX$22)),Detalle_24m!DX$22,INDEX(Vol_V,9,DX$170)/12)*(1+V_dVol),0))</f>
        <v>0</v>
      </c>
      <c r="DY185" s="48" t="n">
        <f aca="false">IF(DY$8=1,N(Reales!DY20),IF(DY$171=1,IF(AND(AND(124&gt;Corte,124&lt;=Corte+n_Ventana),ISNUMBER(Detalle_24m!DY$22)),Detalle_24m!DY$22,INDEX(Vol_V,9,DY$170)/12)*(1+V_dVol),0))</f>
        <v>0</v>
      </c>
      <c r="DZ185" s="48" t="n">
        <f aca="false">IF(DZ$8=1,N(Reales!DZ20),IF(DZ$171=1,IF(AND(AND(125&gt;Corte,125&lt;=Corte+n_Ventana),ISNUMBER(Detalle_24m!DZ$22)),Detalle_24m!DZ$22,INDEX(Vol_V,9,DZ$170)/12)*(1+V_dVol),0))</f>
        <v>0</v>
      </c>
      <c r="EA185" s="48" t="n">
        <f aca="false">IF(EA$8=1,N(Reales!EA20),IF(EA$171=1,IF(AND(AND(126&gt;Corte,126&lt;=Corte+n_Ventana),ISNUMBER(Detalle_24m!EA$22)),Detalle_24m!EA$22,INDEX(Vol_V,9,EA$170)/12)*(1+V_dVol),0))</f>
        <v>0</v>
      </c>
      <c r="EB185" s="48" t="n">
        <f aca="false">IF(EB$8=1,N(Reales!EB20),IF(EB$171=1,IF(AND(AND(127&gt;Corte,127&lt;=Corte+n_Ventana),ISNUMBER(Detalle_24m!EB$22)),Detalle_24m!EB$22,INDEX(Vol_V,9,EB$170)/12)*(1+V_dVol),0))</f>
        <v>0</v>
      </c>
      <c r="EC185" s="48" t="n">
        <f aca="false">IF(EC$8=1,N(Reales!EC20),IF(EC$171=1,IF(AND(AND(128&gt;Corte,128&lt;=Corte+n_Ventana),ISNUMBER(Detalle_24m!EC$22)),Detalle_24m!EC$22,INDEX(Vol_V,9,EC$170)/12)*(1+V_dVol),0))</f>
        <v>0</v>
      </c>
      <c r="ED185" s="48" t="n">
        <f aca="false">IF(ED$8=1,N(Reales!ED20),IF(ED$171=1,IF(AND(AND(129&gt;Corte,129&lt;=Corte+n_Ventana),ISNUMBER(Detalle_24m!ED$22)),Detalle_24m!ED$22,INDEX(Vol_V,9,ED$170)/12)*(1+V_dVol),0))</f>
        <v>0</v>
      </c>
      <c r="EE185" s="48" t="n">
        <f aca="false">IF(EE$8=1,N(Reales!EE20),IF(EE$171=1,IF(AND(AND(130&gt;Corte,130&lt;=Corte+n_Ventana),ISNUMBER(Detalle_24m!EE$22)),Detalle_24m!EE$22,INDEX(Vol_V,9,EE$170)/12)*(1+V_dVol),0))</f>
        <v>0</v>
      </c>
      <c r="EF185" s="48" t="n">
        <f aca="false">IF(EF$8=1,N(Reales!EF20),IF(EF$171=1,IF(AND(AND(131&gt;Corte,131&lt;=Corte+n_Ventana),ISNUMBER(Detalle_24m!EF$22)),Detalle_24m!EF$22,INDEX(Vol_V,9,EF$170)/12)*(1+V_dVol),0))</f>
        <v>0</v>
      </c>
      <c r="EG185" s="48" t="n">
        <f aca="false">IF(EG$8=1,N(Reales!EG20),IF(EG$171=1,IF(AND(AND(132&gt;Corte,132&lt;=Corte+n_Ventana),ISNUMBER(Detalle_24m!EG$22)),Detalle_24m!EG$22,INDEX(Vol_V,9,EG$170)/12)*(1+V_dVol),0))</f>
        <v>0</v>
      </c>
      <c r="EH185" s="48" t="n">
        <f aca="false">IF(EH$8=1,N(Reales!EH20),IF(EH$171=1,IF(AND(AND(133&gt;Corte,133&lt;=Corte+n_Ventana),ISNUMBER(Detalle_24m!EH$22)),Detalle_24m!EH$22,INDEX(Vol_V,9,EH$170)/12)*(1+V_dVol),0))</f>
        <v>0</v>
      </c>
      <c r="EI185" s="48" t="n">
        <f aca="false">IF(EI$8=1,N(Reales!EI20),IF(EI$171=1,IF(AND(AND(134&gt;Corte,134&lt;=Corte+n_Ventana),ISNUMBER(Detalle_24m!EI$22)),Detalle_24m!EI$22,INDEX(Vol_V,9,EI$170)/12)*(1+V_dVol),0))</f>
        <v>0</v>
      </c>
      <c r="EJ185" s="48" t="n">
        <f aca="false">IF(EJ$8=1,N(Reales!EJ20),IF(EJ$171=1,IF(AND(AND(135&gt;Corte,135&lt;=Corte+n_Ventana),ISNUMBER(Detalle_24m!EJ$22)),Detalle_24m!EJ$22,INDEX(Vol_V,9,EJ$170)/12)*(1+V_dVol),0))</f>
        <v>0</v>
      </c>
      <c r="EK185" s="48" t="n">
        <f aca="false">IF(EK$8=1,N(Reales!EK20),IF(EK$171=1,IF(AND(AND(136&gt;Corte,136&lt;=Corte+n_Ventana),ISNUMBER(Detalle_24m!EK$22)),Detalle_24m!EK$22,INDEX(Vol_V,9,EK$170)/12)*(1+V_dVol),0))</f>
        <v>0</v>
      </c>
      <c r="EL185" s="48" t="n">
        <f aca="false">IF(EL$8=1,N(Reales!EL20),IF(EL$171=1,IF(AND(AND(137&gt;Corte,137&lt;=Corte+n_Ventana),ISNUMBER(Detalle_24m!EL$22)),Detalle_24m!EL$22,INDEX(Vol_V,9,EL$170)/12)*(1+V_dVol),0))</f>
        <v>0</v>
      </c>
      <c r="EM185" s="48" t="n">
        <f aca="false">IF(EM$8=1,N(Reales!EM20),IF(EM$171=1,IF(AND(AND(138&gt;Corte,138&lt;=Corte+n_Ventana),ISNUMBER(Detalle_24m!EM$22)),Detalle_24m!EM$22,INDEX(Vol_V,9,EM$170)/12)*(1+V_dVol),0))</f>
        <v>0</v>
      </c>
      <c r="EN185" s="48" t="n">
        <f aca="false">IF(EN$8=1,N(Reales!EN20),IF(EN$171=1,IF(AND(AND(139&gt;Corte,139&lt;=Corte+n_Ventana),ISNUMBER(Detalle_24m!EN$22)),Detalle_24m!EN$22,INDEX(Vol_V,9,EN$170)/12)*(1+V_dVol),0))</f>
        <v>0</v>
      </c>
      <c r="EO185" s="48" t="n">
        <f aca="false">IF(EO$8=1,N(Reales!EO20),IF(EO$171=1,IF(AND(AND(140&gt;Corte,140&lt;=Corte+n_Ventana),ISNUMBER(Detalle_24m!EO$22)),Detalle_24m!EO$22,INDEX(Vol_V,9,EO$170)/12)*(1+V_dVol),0))</f>
        <v>0</v>
      </c>
      <c r="EP185" s="48" t="n">
        <f aca="false">IF(EP$8=1,N(Reales!EP20),IF(EP$171=1,IF(AND(AND(141&gt;Corte,141&lt;=Corte+n_Ventana),ISNUMBER(Detalle_24m!EP$22)),Detalle_24m!EP$22,INDEX(Vol_V,9,EP$170)/12)*(1+V_dVol),0))</f>
        <v>0</v>
      </c>
      <c r="EQ185" s="48" t="n">
        <f aca="false">IF(EQ$8=1,N(Reales!EQ20),IF(EQ$171=1,IF(AND(AND(142&gt;Corte,142&lt;=Corte+n_Ventana),ISNUMBER(Detalle_24m!EQ$22)),Detalle_24m!EQ$22,INDEX(Vol_V,9,EQ$170)/12)*(1+V_dVol),0))</f>
        <v>0</v>
      </c>
      <c r="ER185" s="48" t="n">
        <f aca="false">IF(ER$8=1,N(Reales!ER20),IF(ER$171=1,IF(AND(AND(143&gt;Corte,143&lt;=Corte+n_Ventana),ISNUMBER(Detalle_24m!ER$22)),Detalle_24m!ER$22,INDEX(Vol_V,9,ER$170)/12)*(1+V_dVol),0))</f>
        <v>0</v>
      </c>
      <c r="ES185" s="48" t="n">
        <f aca="false">IF(ES$8=1,N(Reales!ES20),IF(ES$171=1,IF(AND(AND(144&gt;Corte,144&lt;=Corte+n_Ventana),ISNUMBER(Detalle_24m!ES$22)),Detalle_24m!ES$22,INDEX(Vol_V,9,ES$170)/12)*(1+V_dVol),0))</f>
        <v>0</v>
      </c>
    </row>
    <row r="186" customFormat="false" ht="15" hidden="false" customHeight="false" outlineLevel="0" collapsed="false">
      <c r="A186" s="11" t="s">
        <v>1309</v>
      </c>
      <c r="B186" s="53" t="str">
        <f aca="false">IF(INDEX(Prod_Nombre,10)="","Producto 10",INDEX(Prod_Nombre,10))&amp;" — unidades"</f>
        <v>Producto 10 — unidades</v>
      </c>
      <c r="C186" s="15" t="s">
        <v>544</v>
      </c>
      <c r="E186" s="54" t="n">
        <f aca="false">SUM(F186:ES186)</f>
        <v>0</v>
      </c>
      <c r="F186" s="48" t="n">
        <f aca="false">IF(F$8=1,N(Reales!F21),IF(F$171=1,IF(AND(AND(1&gt;Corte,1&lt;=Corte+n_Ventana),ISNUMBER(Detalle_24m!F$23)),Detalle_24m!F$23,INDEX(Vol_V,10,F$170)/12)*(1+V_dVol),0))</f>
        <v>0</v>
      </c>
      <c r="G186" s="48" t="n">
        <f aca="false">IF(G$8=1,N(Reales!G21),IF(G$171=1,IF(AND(AND(2&gt;Corte,2&lt;=Corte+n_Ventana),ISNUMBER(Detalle_24m!G$23)),Detalle_24m!G$23,INDEX(Vol_V,10,G$170)/12)*(1+V_dVol),0))</f>
        <v>0</v>
      </c>
      <c r="H186" s="48" t="n">
        <f aca="false">IF(H$8=1,N(Reales!H21),IF(H$171=1,IF(AND(AND(3&gt;Corte,3&lt;=Corte+n_Ventana),ISNUMBER(Detalle_24m!H$23)),Detalle_24m!H$23,INDEX(Vol_V,10,H$170)/12)*(1+V_dVol),0))</f>
        <v>0</v>
      </c>
      <c r="I186" s="48" t="n">
        <f aca="false">IF(I$8=1,N(Reales!I21),IF(I$171=1,IF(AND(AND(4&gt;Corte,4&lt;=Corte+n_Ventana),ISNUMBER(Detalle_24m!I$23)),Detalle_24m!I$23,INDEX(Vol_V,10,I$170)/12)*(1+V_dVol),0))</f>
        <v>0</v>
      </c>
      <c r="J186" s="48" t="n">
        <f aca="false">IF(J$8=1,N(Reales!J21),IF(J$171=1,IF(AND(AND(5&gt;Corte,5&lt;=Corte+n_Ventana),ISNUMBER(Detalle_24m!J$23)),Detalle_24m!J$23,INDEX(Vol_V,10,J$170)/12)*(1+V_dVol),0))</f>
        <v>0</v>
      </c>
      <c r="K186" s="48" t="n">
        <f aca="false">IF(K$8=1,N(Reales!K21),IF(K$171=1,IF(AND(AND(6&gt;Corte,6&lt;=Corte+n_Ventana),ISNUMBER(Detalle_24m!K$23)),Detalle_24m!K$23,INDEX(Vol_V,10,K$170)/12)*(1+V_dVol),0))</f>
        <v>0</v>
      </c>
      <c r="L186" s="48" t="n">
        <f aca="false">IF(L$8=1,N(Reales!L21),IF(L$171=1,IF(AND(AND(7&gt;Corte,7&lt;=Corte+n_Ventana),ISNUMBER(Detalle_24m!L$23)),Detalle_24m!L$23,INDEX(Vol_V,10,L$170)/12)*(1+V_dVol),0))</f>
        <v>0</v>
      </c>
      <c r="M186" s="48" t="n">
        <f aca="false">IF(M$8=1,N(Reales!M21),IF(M$171=1,IF(AND(AND(8&gt;Corte,8&lt;=Corte+n_Ventana),ISNUMBER(Detalle_24m!M$23)),Detalle_24m!M$23,INDEX(Vol_V,10,M$170)/12)*(1+V_dVol),0))</f>
        <v>0</v>
      </c>
      <c r="N186" s="48" t="n">
        <f aca="false">IF(N$8=1,N(Reales!N21),IF(N$171=1,IF(AND(AND(9&gt;Corte,9&lt;=Corte+n_Ventana),ISNUMBER(Detalle_24m!N$23)),Detalle_24m!N$23,INDEX(Vol_V,10,N$170)/12)*(1+V_dVol),0))</f>
        <v>0</v>
      </c>
      <c r="O186" s="48" t="n">
        <f aca="false">IF(O$8=1,N(Reales!O21),IF(O$171=1,IF(AND(AND(10&gt;Corte,10&lt;=Corte+n_Ventana),ISNUMBER(Detalle_24m!O$23)),Detalle_24m!O$23,INDEX(Vol_V,10,O$170)/12)*(1+V_dVol),0))</f>
        <v>0</v>
      </c>
      <c r="P186" s="48" t="n">
        <f aca="false">IF(P$8=1,N(Reales!P21),IF(P$171=1,IF(AND(AND(11&gt;Corte,11&lt;=Corte+n_Ventana),ISNUMBER(Detalle_24m!P$23)),Detalle_24m!P$23,INDEX(Vol_V,10,P$170)/12)*(1+V_dVol),0))</f>
        <v>0</v>
      </c>
      <c r="Q186" s="48" t="n">
        <f aca="false">IF(Q$8=1,N(Reales!Q21),IF(Q$171=1,IF(AND(AND(12&gt;Corte,12&lt;=Corte+n_Ventana),ISNUMBER(Detalle_24m!Q$23)),Detalle_24m!Q$23,INDEX(Vol_V,10,Q$170)/12)*(1+V_dVol),0))</f>
        <v>0</v>
      </c>
      <c r="R186" s="48" t="n">
        <f aca="false">IF(R$8=1,N(Reales!R21),IF(R$171=1,IF(AND(AND(13&gt;Corte,13&lt;=Corte+n_Ventana),ISNUMBER(Detalle_24m!R$23)),Detalle_24m!R$23,INDEX(Vol_V,10,R$170)/12)*(1+V_dVol),0))</f>
        <v>0</v>
      </c>
      <c r="S186" s="48" t="n">
        <f aca="false">IF(S$8=1,N(Reales!S21),IF(S$171=1,IF(AND(AND(14&gt;Corte,14&lt;=Corte+n_Ventana),ISNUMBER(Detalle_24m!S$23)),Detalle_24m!S$23,INDEX(Vol_V,10,S$170)/12)*(1+V_dVol),0))</f>
        <v>0</v>
      </c>
      <c r="T186" s="48" t="n">
        <f aca="false">IF(T$8=1,N(Reales!T21),IF(T$171=1,IF(AND(AND(15&gt;Corte,15&lt;=Corte+n_Ventana),ISNUMBER(Detalle_24m!T$23)),Detalle_24m!T$23,INDEX(Vol_V,10,T$170)/12)*(1+V_dVol),0))</f>
        <v>0</v>
      </c>
      <c r="U186" s="48" t="n">
        <f aca="false">IF(U$8=1,N(Reales!U21),IF(U$171=1,IF(AND(AND(16&gt;Corte,16&lt;=Corte+n_Ventana),ISNUMBER(Detalle_24m!U$23)),Detalle_24m!U$23,INDEX(Vol_V,10,U$170)/12)*(1+V_dVol),0))</f>
        <v>0</v>
      </c>
      <c r="V186" s="48" t="n">
        <f aca="false">IF(V$8=1,N(Reales!V21),IF(V$171=1,IF(AND(AND(17&gt;Corte,17&lt;=Corte+n_Ventana),ISNUMBER(Detalle_24m!V$23)),Detalle_24m!V$23,INDEX(Vol_V,10,V$170)/12)*(1+V_dVol),0))</f>
        <v>0</v>
      </c>
      <c r="W186" s="48" t="n">
        <f aca="false">IF(W$8=1,N(Reales!W21),IF(W$171=1,IF(AND(AND(18&gt;Corte,18&lt;=Corte+n_Ventana),ISNUMBER(Detalle_24m!W$23)),Detalle_24m!W$23,INDEX(Vol_V,10,W$170)/12)*(1+V_dVol),0))</f>
        <v>0</v>
      </c>
      <c r="X186" s="48" t="n">
        <f aca="false">IF(X$8=1,N(Reales!X21),IF(X$171=1,IF(AND(AND(19&gt;Corte,19&lt;=Corte+n_Ventana),ISNUMBER(Detalle_24m!X$23)),Detalle_24m!X$23,INDEX(Vol_V,10,X$170)/12)*(1+V_dVol),0))</f>
        <v>0</v>
      </c>
      <c r="Y186" s="48" t="n">
        <f aca="false">IF(Y$8=1,N(Reales!Y21),IF(Y$171=1,IF(AND(AND(20&gt;Corte,20&lt;=Corte+n_Ventana),ISNUMBER(Detalle_24m!Y$23)),Detalle_24m!Y$23,INDEX(Vol_V,10,Y$170)/12)*(1+V_dVol),0))</f>
        <v>0</v>
      </c>
      <c r="Z186" s="48" t="n">
        <f aca="false">IF(Z$8=1,N(Reales!Z21),IF(Z$171=1,IF(AND(AND(21&gt;Corte,21&lt;=Corte+n_Ventana),ISNUMBER(Detalle_24m!Z$23)),Detalle_24m!Z$23,INDEX(Vol_V,10,Z$170)/12)*(1+V_dVol),0))</f>
        <v>0</v>
      </c>
      <c r="AA186" s="48" t="n">
        <f aca="false">IF(AA$8=1,N(Reales!AA21),IF(AA$171=1,IF(AND(AND(22&gt;Corte,22&lt;=Corte+n_Ventana),ISNUMBER(Detalle_24m!AA$23)),Detalle_24m!AA$23,INDEX(Vol_V,10,AA$170)/12)*(1+V_dVol),0))</f>
        <v>0</v>
      </c>
      <c r="AB186" s="48" t="n">
        <f aca="false">IF(AB$8=1,N(Reales!AB21),IF(AB$171=1,IF(AND(AND(23&gt;Corte,23&lt;=Corte+n_Ventana),ISNUMBER(Detalle_24m!AB$23)),Detalle_24m!AB$23,INDEX(Vol_V,10,AB$170)/12)*(1+V_dVol),0))</f>
        <v>0</v>
      </c>
      <c r="AC186" s="48" t="n">
        <f aca="false">IF(AC$8=1,N(Reales!AC21),IF(AC$171=1,IF(AND(AND(24&gt;Corte,24&lt;=Corte+n_Ventana),ISNUMBER(Detalle_24m!AC$23)),Detalle_24m!AC$23,INDEX(Vol_V,10,AC$170)/12)*(1+V_dVol),0))</f>
        <v>0</v>
      </c>
      <c r="AD186" s="48" t="n">
        <f aca="false">IF(AD$8=1,N(Reales!AD21),IF(AD$171=1,IF(AND(AND(25&gt;Corte,25&lt;=Corte+n_Ventana),ISNUMBER(Detalle_24m!AD$23)),Detalle_24m!AD$23,INDEX(Vol_V,10,AD$170)/12)*(1+V_dVol),0))</f>
        <v>0</v>
      </c>
      <c r="AE186" s="48" t="n">
        <f aca="false">IF(AE$8=1,N(Reales!AE21),IF(AE$171=1,IF(AND(AND(26&gt;Corte,26&lt;=Corte+n_Ventana),ISNUMBER(Detalle_24m!AE$23)),Detalle_24m!AE$23,INDEX(Vol_V,10,AE$170)/12)*(1+V_dVol),0))</f>
        <v>0</v>
      </c>
      <c r="AF186" s="48" t="n">
        <f aca="false">IF(AF$8=1,N(Reales!AF21),IF(AF$171=1,IF(AND(AND(27&gt;Corte,27&lt;=Corte+n_Ventana),ISNUMBER(Detalle_24m!AF$23)),Detalle_24m!AF$23,INDEX(Vol_V,10,AF$170)/12)*(1+V_dVol),0))</f>
        <v>0</v>
      </c>
      <c r="AG186" s="48" t="n">
        <f aca="false">IF(AG$8=1,N(Reales!AG21),IF(AG$171=1,IF(AND(AND(28&gt;Corte,28&lt;=Corte+n_Ventana),ISNUMBER(Detalle_24m!AG$23)),Detalle_24m!AG$23,INDEX(Vol_V,10,AG$170)/12)*(1+V_dVol),0))</f>
        <v>0</v>
      </c>
      <c r="AH186" s="48" t="n">
        <f aca="false">IF(AH$8=1,N(Reales!AH21),IF(AH$171=1,IF(AND(AND(29&gt;Corte,29&lt;=Corte+n_Ventana),ISNUMBER(Detalle_24m!AH$23)),Detalle_24m!AH$23,INDEX(Vol_V,10,AH$170)/12)*(1+V_dVol),0))</f>
        <v>0</v>
      </c>
      <c r="AI186" s="48" t="n">
        <f aca="false">IF(AI$8=1,N(Reales!AI21),IF(AI$171=1,IF(AND(AND(30&gt;Corte,30&lt;=Corte+n_Ventana),ISNUMBER(Detalle_24m!AI$23)),Detalle_24m!AI$23,INDEX(Vol_V,10,AI$170)/12)*(1+V_dVol),0))</f>
        <v>0</v>
      </c>
      <c r="AJ186" s="48" t="n">
        <f aca="false">IF(AJ$8=1,N(Reales!AJ21),IF(AJ$171=1,IF(AND(AND(31&gt;Corte,31&lt;=Corte+n_Ventana),ISNUMBER(Detalle_24m!AJ$23)),Detalle_24m!AJ$23,INDEX(Vol_V,10,AJ$170)/12)*(1+V_dVol),0))</f>
        <v>0</v>
      </c>
      <c r="AK186" s="48" t="n">
        <f aca="false">IF(AK$8=1,N(Reales!AK21),IF(AK$171=1,IF(AND(AND(32&gt;Corte,32&lt;=Corte+n_Ventana),ISNUMBER(Detalle_24m!AK$23)),Detalle_24m!AK$23,INDEX(Vol_V,10,AK$170)/12)*(1+V_dVol),0))</f>
        <v>0</v>
      </c>
      <c r="AL186" s="48" t="n">
        <f aca="false">IF(AL$8=1,N(Reales!AL21),IF(AL$171=1,IF(AND(AND(33&gt;Corte,33&lt;=Corte+n_Ventana),ISNUMBER(Detalle_24m!AL$23)),Detalle_24m!AL$23,INDEX(Vol_V,10,AL$170)/12)*(1+V_dVol),0))</f>
        <v>0</v>
      </c>
      <c r="AM186" s="48" t="n">
        <f aca="false">IF(AM$8=1,N(Reales!AM21),IF(AM$171=1,IF(AND(AND(34&gt;Corte,34&lt;=Corte+n_Ventana),ISNUMBER(Detalle_24m!AM$23)),Detalle_24m!AM$23,INDEX(Vol_V,10,AM$170)/12)*(1+V_dVol),0))</f>
        <v>0</v>
      </c>
      <c r="AN186" s="48" t="n">
        <f aca="false">IF(AN$8=1,N(Reales!AN21),IF(AN$171=1,IF(AND(AND(35&gt;Corte,35&lt;=Corte+n_Ventana),ISNUMBER(Detalle_24m!AN$23)),Detalle_24m!AN$23,INDEX(Vol_V,10,AN$170)/12)*(1+V_dVol),0))</f>
        <v>0</v>
      </c>
      <c r="AO186" s="48" t="n">
        <f aca="false">IF(AO$8=1,N(Reales!AO21),IF(AO$171=1,IF(AND(AND(36&gt;Corte,36&lt;=Corte+n_Ventana),ISNUMBER(Detalle_24m!AO$23)),Detalle_24m!AO$23,INDEX(Vol_V,10,AO$170)/12)*(1+V_dVol),0))</f>
        <v>0</v>
      </c>
      <c r="AP186" s="48" t="n">
        <f aca="false">IF(AP$8=1,N(Reales!AP21),IF(AP$171=1,IF(AND(AND(37&gt;Corte,37&lt;=Corte+n_Ventana),ISNUMBER(Detalle_24m!AP$23)),Detalle_24m!AP$23,INDEX(Vol_V,10,AP$170)/12)*(1+V_dVol),0))</f>
        <v>0</v>
      </c>
      <c r="AQ186" s="48" t="n">
        <f aca="false">IF(AQ$8=1,N(Reales!AQ21),IF(AQ$171=1,IF(AND(AND(38&gt;Corte,38&lt;=Corte+n_Ventana),ISNUMBER(Detalle_24m!AQ$23)),Detalle_24m!AQ$23,INDEX(Vol_V,10,AQ$170)/12)*(1+V_dVol),0))</f>
        <v>0</v>
      </c>
      <c r="AR186" s="48" t="n">
        <f aca="false">IF(AR$8=1,N(Reales!AR21),IF(AR$171=1,IF(AND(AND(39&gt;Corte,39&lt;=Corte+n_Ventana),ISNUMBER(Detalle_24m!AR$23)),Detalle_24m!AR$23,INDEX(Vol_V,10,AR$170)/12)*(1+V_dVol),0))</f>
        <v>0</v>
      </c>
      <c r="AS186" s="48" t="n">
        <f aca="false">IF(AS$8=1,N(Reales!AS21),IF(AS$171=1,IF(AND(AND(40&gt;Corte,40&lt;=Corte+n_Ventana),ISNUMBER(Detalle_24m!AS$23)),Detalle_24m!AS$23,INDEX(Vol_V,10,AS$170)/12)*(1+V_dVol),0))</f>
        <v>0</v>
      </c>
      <c r="AT186" s="48" t="n">
        <f aca="false">IF(AT$8=1,N(Reales!AT21),IF(AT$171=1,IF(AND(AND(41&gt;Corte,41&lt;=Corte+n_Ventana),ISNUMBER(Detalle_24m!AT$23)),Detalle_24m!AT$23,INDEX(Vol_V,10,AT$170)/12)*(1+V_dVol),0))</f>
        <v>0</v>
      </c>
      <c r="AU186" s="48" t="n">
        <f aca="false">IF(AU$8=1,N(Reales!AU21),IF(AU$171=1,IF(AND(AND(42&gt;Corte,42&lt;=Corte+n_Ventana),ISNUMBER(Detalle_24m!AU$23)),Detalle_24m!AU$23,INDEX(Vol_V,10,AU$170)/12)*(1+V_dVol),0))</f>
        <v>0</v>
      </c>
      <c r="AV186" s="48" t="n">
        <f aca="false">IF(AV$8=1,N(Reales!AV21),IF(AV$171=1,IF(AND(AND(43&gt;Corte,43&lt;=Corte+n_Ventana),ISNUMBER(Detalle_24m!AV$23)),Detalle_24m!AV$23,INDEX(Vol_V,10,AV$170)/12)*(1+V_dVol),0))</f>
        <v>0</v>
      </c>
      <c r="AW186" s="48" t="n">
        <f aca="false">IF(AW$8=1,N(Reales!AW21),IF(AW$171=1,IF(AND(AND(44&gt;Corte,44&lt;=Corte+n_Ventana),ISNUMBER(Detalle_24m!AW$23)),Detalle_24m!AW$23,INDEX(Vol_V,10,AW$170)/12)*(1+V_dVol),0))</f>
        <v>0</v>
      </c>
      <c r="AX186" s="48" t="n">
        <f aca="false">IF(AX$8=1,N(Reales!AX21),IF(AX$171=1,IF(AND(AND(45&gt;Corte,45&lt;=Corte+n_Ventana),ISNUMBER(Detalle_24m!AX$23)),Detalle_24m!AX$23,INDEX(Vol_V,10,AX$170)/12)*(1+V_dVol),0))</f>
        <v>0</v>
      </c>
      <c r="AY186" s="48" t="n">
        <f aca="false">IF(AY$8=1,N(Reales!AY21),IF(AY$171=1,IF(AND(AND(46&gt;Corte,46&lt;=Corte+n_Ventana),ISNUMBER(Detalle_24m!AY$23)),Detalle_24m!AY$23,INDEX(Vol_V,10,AY$170)/12)*(1+V_dVol),0))</f>
        <v>0</v>
      </c>
      <c r="AZ186" s="48" t="n">
        <f aca="false">IF(AZ$8=1,N(Reales!AZ21),IF(AZ$171=1,IF(AND(AND(47&gt;Corte,47&lt;=Corte+n_Ventana),ISNUMBER(Detalle_24m!AZ$23)),Detalle_24m!AZ$23,INDEX(Vol_V,10,AZ$170)/12)*(1+V_dVol),0))</f>
        <v>0</v>
      </c>
      <c r="BA186" s="48" t="n">
        <f aca="false">IF(BA$8=1,N(Reales!BA21),IF(BA$171=1,IF(AND(AND(48&gt;Corte,48&lt;=Corte+n_Ventana),ISNUMBER(Detalle_24m!BA$23)),Detalle_24m!BA$23,INDEX(Vol_V,10,BA$170)/12)*(1+V_dVol),0))</f>
        <v>0</v>
      </c>
      <c r="BB186" s="48" t="n">
        <f aca="false">IF(BB$8=1,N(Reales!BB21),IF(BB$171=1,IF(AND(AND(49&gt;Corte,49&lt;=Corte+n_Ventana),ISNUMBER(Detalle_24m!BB$23)),Detalle_24m!BB$23,INDEX(Vol_V,10,BB$170)/12)*(1+V_dVol),0))</f>
        <v>0</v>
      </c>
      <c r="BC186" s="48" t="n">
        <f aca="false">IF(BC$8=1,N(Reales!BC21),IF(BC$171=1,IF(AND(AND(50&gt;Corte,50&lt;=Corte+n_Ventana),ISNUMBER(Detalle_24m!BC$23)),Detalle_24m!BC$23,INDEX(Vol_V,10,BC$170)/12)*(1+V_dVol),0))</f>
        <v>0</v>
      </c>
      <c r="BD186" s="48" t="n">
        <f aca="false">IF(BD$8=1,N(Reales!BD21),IF(BD$171=1,IF(AND(AND(51&gt;Corte,51&lt;=Corte+n_Ventana),ISNUMBER(Detalle_24m!BD$23)),Detalle_24m!BD$23,INDEX(Vol_V,10,BD$170)/12)*(1+V_dVol),0))</f>
        <v>0</v>
      </c>
      <c r="BE186" s="48" t="n">
        <f aca="false">IF(BE$8=1,N(Reales!BE21),IF(BE$171=1,IF(AND(AND(52&gt;Corte,52&lt;=Corte+n_Ventana),ISNUMBER(Detalle_24m!BE$23)),Detalle_24m!BE$23,INDEX(Vol_V,10,BE$170)/12)*(1+V_dVol),0))</f>
        <v>0</v>
      </c>
      <c r="BF186" s="48" t="n">
        <f aca="false">IF(BF$8=1,N(Reales!BF21),IF(BF$171=1,IF(AND(AND(53&gt;Corte,53&lt;=Corte+n_Ventana),ISNUMBER(Detalle_24m!BF$23)),Detalle_24m!BF$23,INDEX(Vol_V,10,BF$170)/12)*(1+V_dVol),0))</f>
        <v>0</v>
      </c>
      <c r="BG186" s="48" t="n">
        <f aca="false">IF(BG$8=1,N(Reales!BG21),IF(BG$171=1,IF(AND(AND(54&gt;Corte,54&lt;=Corte+n_Ventana),ISNUMBER(Detalle_24m!BG$23)),Detalle_24m!BG$23,INDEX(Vol_V,10,BG$170)/12)*(1+V_dVol),0))</f>
        <v>0</v>
      </c>
      <c r="BH186" s="48" t="n">
        <f aca="false">IF(BH$8=1,N(Reales!BH21),IF(BH$171=1,IF(AND(AND(55&gt;Corte,55&lt;=Corte+n_Ventana),ISNUMBER(Detalle_24m!BH$23)),Detalle_24m!BH$23,INDEX(Vol_V,10,BH$170)/12)*(1+V_dVol),0))</f>
        <v>0</v>
      </c>
      <c r="BI186" s="48" t="n">
        <f aca="false">IF(BI$8=1,N(Reales!BI21),IF(BI$171=1,IF(AND(AND(56&gt;Corte,56&lt;=Corte+n_Ventana),ISNUMBER(Detalle_24m!BI$23)),Detalle_24m!BI$23,INDEX(Vol_V,10,BI$170)/12)*(1+V_dVol),0))</f>
        <v>0</v>
      </c>
      <c r="BJ186" s="48" t="n">
        <f aca="false">IF(BJ$8=1,N(Reales!BJ21),IF(BJ$171=1,IF(AND(AND(57&gt;Corte,57&lt;=Corte+n_Ventana),ISNUMBER(Detalle_24m!BJ$23)),Detalle_24m!BJ$23,INDEX(Vol_V,10,BJ$170)/12)*(1+V_dVol),0))</f>
        <v>0</v>
      </c>
      <c r="BK186" s="48" t="n">
        <f aca="false">IF(BK$8=1,N(Reales!BK21),IF(BK$171=1,IF(AND(AND(58&gt;Corte,58&lt;=Corte+n_Ventana),ISNUMBER(Detalle_24m!BK$23)),Detalle_24m!BK$23,INDEX(Vol_V,10,BK$170)/12)*(1+V_dVol),0))</f>
        <v>0</v>
      </c>
      <c r="BL186" s="48" t="n">
        <f aca="false">IF(BL$8=1,N(Reales!BL21),IF(BL$171=1,IF(AND(AND(59&gt;Corte,59&lt;=Corte+n_Ventana),ISNUMBER(Detalle_24m!BL$23)),Detalle_24m!BL$23,INDEX(Vol_V,10,BL$170)/12)*(1+V_dVol),0))</f>
        <v>0</v>
      </c>
      <c r="BM186" s="48" t="n">
        <f aca="false">IF(BM$8=1,N(Reales!BM21),IF(BM$171=1,IF(AND(AND(60&gt;Corte,60&lt;=Corte+n_Ventana),ISNUMBER(Detalle_24m!BM$23)),Detalle_24m!BM$23,INDEX(Vol_V,10,BM$170)/12)*(1+V_dVol),0))</f>
        <v>0</v>
      </c>
      <c r="BN186" s="48" t="n">
        <f aca="false">IF(BN$8=1,N(Reales!BN21),IF(BN$171=1,IF(AND(AND(61&gt;Corte,61&lt;=Corte+n_Ventana),ISNUMBER(Detalle_24m!BN$23)),Detalle_24m!BN$23,INDEX(Vol_V,10,BN$170)/12)*(1+V_dVol),0))</f>
        <v>0</v>
      </c>
      <c r="BO186" s="48" t="n">
        <f aca="false">IF(BO$8=1,N(Reales!BO21),IF(BO$171=1,IF(AND(AND(62&gt;Corte,62&lt;=Corte+n_Ventana),ISNUMBER(Detalle_24m!BO$23)),Detalle_24m!BO$23,INDEX(Vol_V,10,BO$170)/12)*(1+V_dVol),0))</f>
        <v>0</v>
      </c>
      <c r="BP186" s="48" t="n">
        <f aca="false">IF(BP$8=1,N(Reales!BP21),IF(BP$171=1,IF(AND(AND(63&gt;Corte,63&lt;=Corte+n_Ventana),ISNUMBER(Detalle_24m!BP$23)),Detalle_24m!BP$23,INDEX(Vol_V,10,BP$170)/12)*(1+V_dVol),0))</f>
        <v>0</v>
      </c>
      <c r="BQ186" s="48" t="n">
        <f aca="false">IF(BQ$8=1,N(Reales!BQ21),IF(BQ$171=1,IF(AND(AND(64&gt;Corte,64&lt;=Corte+n_Ventana),ISNUMBER(Detalle_24m!BQ$23)),Detalle_24m!BQ$23,INDEX(Vol_V,10,BQ$170)/12)*(1+V_dVol),0))</f>
        <v>0</v>
      </c>
      <c r="BR186" s="48" t="n">
        <f aca="false">IF(BR$8=1,N(Reales!BR21),IF(BR$171=1,IF(AND(AND(65&gt;Corte,65&lt;=Corte+n_Ventana),ISNUMBER(Detalle_24m!BR$23)),Detalle_24m!BR$23,INDEX(Vol_V,10,BR$170)/12)*(1+V_dVol),0))</f>
        <v>0</v>
      </c>
      <c r="BS186" s="48" t="n">
        <f aca="false">IF(BS$8=1,N(Reales!BS21),IF(BS$171=1,IF(AND(AND(66&gt;Corte,66&lt;=Corte+n_Ventana),ISNUMBER(Detalle_24m!BS$23)),Detalle_24m!BS$23,INDEX(Vol_V,10,BS$170)/12)*(1+V_dVol),0))</f>
        <v>0</v>
      </c>
      <c r="BT186" s="48" t="n">
        <f aca="false">IF(BT$8=1,N(Reales!BT21),IF(BT$171=1,IF(AND(AND(67&gt;Corte,67&lt;=Corte+n_Ventana),ISNUMBER(Detalle_24m!BT$23)),Detalle_24m!BT$23,INDEX(Vol_V,10,BT$170)/12)*(1+V_dVol),0))</f>
        <v>0</v>
      </c>
      <c r="BU186" s="48" t="n">
        <f aca="false">IF(BU$8=1,N(Reales!BU21),IF(BU$171=1,IF(AND(AND(68&gt;Corte,68&lt;=Corte+n_Ventana),ISNUMBER(Detalle_24m!BU$23)),Detalle_24m!BU$23,INDEX(Vol_V,10,BU$170)/12)*(1+V_dVol),0))</f>
        <v>0</v>
      </c>
      <c r="BV186" s="48" t="n">
        <f aca="false">IF(BV$8=1,N(Reales!BV21),IF(BV$171=1,IF(AND(AND(69&gt;Corte,69&lt;=Corte+n_Ventana),ISNUMBER(Detalle_24m!BV$23)),Detalle_24m!BV$23,INDEX(Vol_V,10,BV$170)/12)*(1+V_dVol),0))</f>
        <v>0</v>
      </c>
      <c r="BW186" s="48" t="n">
        <f aca="false">IF(BW$8=1,N(Reales!BW21),IF(BW$171=1,IF(AND(AND(70&gt;Corte,70&lt;=Corte+n_Ventana),ISNUMBER(Detalle_24m!BW$23)),Detalle_24m!BW$23,INDEX(Vol_V,10,BW$170)/12)*(1+V_dVol),0))</f>
        <v>0</v>
      </c>
      <c r="BX186" s="48" t="n">
        <f aca="false">IF(BX$8=1,N(Reales!BX21),IF(BX$171=1,IF(AND(AND(71&gt;Corte,71&lt;=Corte+n_Ventana),ISNUMBER(Detalle_24m!BX$23)),Detalle_24m!BX$23,INDEX(Vol_V,10,BX$170)/12)*(1+V_dVol),0))</f>
        <v>0</v>
      </c>
      <c r="BY186" s="48" t="n">
        <f aca="false">IF(BY$8=1,N(Reales!BY21),IF(BY$171=1,IF(AND(AND(72&gt;Corte,72&lt;=Corte+n_Ventana),ISNUMBER(Detalle_24m!BY$23)),Detalle_24m!BY$23,INDEX(Vol_V,10,BY$170)/12)*(1+V_dVol),0))</f>
        <v>0</v>
      </c>
      <c r="BZ186" s="48" t="n">
        <f aca="false">IF(BZ$8=1,N(Reales!BZ21),IF(BZ$171=1,IF(AND(AND(73&gt;Corte,73&lt;=Corte+n_Ventana),ISNUMBER(Detalle_24m!BZ$23)),Detalle_24m!BZ$23,INDEX(Vol_V,10,BZ$170)/12)*(1+V_dVol),0))</f>
        <v>0</v>
      </c>
      <c r="CA186" s="48" t="n">
        <f aca="false">IF(CA$8=1,N(Reales!CA21),IF(CA$171=1,IF(AND(AND(74&gt;Corte,74&lt;=Corte+n_Ventana),ISNUMBER(Detalle_24m!CA$23)),Detalle_24m!CA$23,INDEX(Vol_V,10,CA$170)/12)*(1+V_dVol),0))</f>
        <v>0</v>
      </c>
      <c r="CB186" s="48" t="n">
        <f aca="false">IF(CB$8=1,N(Reales!CB21),IF(CB$171=1,IF(AND(AND(75&gt;Corte,75&lt;=Corte+n_Ventana),ISNUMBER(Detalle_24m!CB$23)),Detalle_24m!CB$23,INDEX(Vol_V,10,CB$170)/12)*(1+V_dVol),0))</f>
        <v>0</v>
      </c>
      <c r="CC186" s="48" t="n">
        <f aca="false">IF(CC$8=1,N(Reales!CC21),IF(CC$171=1,IF(AND(AND(76&gt;Corte,76&lt;=Corte+n_Ventana),ISNUMBER(Detalle_24m!CC$23)),Detalle_24m!CC$23,INDEX(Vol_V,10,CC$170)/12)*(1+V_dVol),0))</f>
        <v>0</v>
      </c>
      <c r="CD186" s="48" t="n">
        <f aca="false">IF(CD$8=1,N(Reales!CD21),IF(CD$171=1,IF(AND(AND(77&gt;Corte,77&lt;=Corte+n_Ventana),ISNUMBER(Detalle_24m!CD$23)),Detalle_24m!CD$23,INDEX(Vol_V,10,CD$170)/12)*(1+V_dVol),0))</f>
        <v>0</v>
      </c>
      <c r="CE186" s="48" t="n">
        <f aca="false">IF(CE$8=1,N(Reales!CE21),IF(CE$171=1,IF(AND(AND(78&gt;Corte,78&lt;=Corte+n_Ventana),ISNUMBER(Detalle_24m!CE$23)),Detalle_24m!CE$23,INDEX(Vol_V,10,CE$170)/12)*(1+V_dVol),0))</f>
        <v>0</v>
      </c>
      <c r="CF186" s="48" t="n">
        <f aca="false">IF(CF$8=1,N(Reales!CF21),IF(CF$171=1,IF(AND(AND(79&gt;Corte,79&lt;=Corte+n_Ventana),ISNUMBER(Detalle_24m!CF$23)),Detalle_24m!CF$23,INDEX(Vol_V,10,CF$170)/12)*(1+V_dVol),0))</f>
        <v>0</v>
      </c>
      <c r="CG186" s="48" t="n">
        <f aca="false">IF(CG$8=1,N(Reales!CG21),IF(CG$171=1,IF(AND(AND(80&gt;Corte,80&lt;=Corte+n_Ventana),ISNUMBER(Detalle_24m!CG$23)),Detalle_24m!CG$23,INDEX(Vol_V,10,CG$170)/12)*(1+V_dVol),0))</f>
        <v>0</v>
      </c>
      <c r="CH186" s="48" t="n">
        <f aca="false">IF(CH$8=1,N(Reales!CH21),IF(CH$171=1,IF(AND(AND(81&gt;Corte,81&lt;=Corte+n_Ventana),ISNUMBER(Detalle_24m!CH$23)),Detalle_24m!CH$23,INDEX(Vol_V,10,CH$170)/12)*(1+V_dVol),0))</f>
        <v>0</v>
      </c>
      <c r="CI186" s="48" t="n">
        <f aca="false">IF(CI$8=1,N(Reales!CI21),IF(CI$171=1,IF(AND(AND(82&gt;Corte,82&lt;=Corte+n_Ventana),ISNUMBER(Detalle_24m!CI$23)),Detalle_24m!CI$23,INDEX(Vol_V,10,CI$170)/12)*(1+V_dVol),0))</f>
        <v>0</v>
      </c>
      <c r="CJ186" s="48" t="n">
        <f aca="false">IF(CJ$8=1,N(Reales!CJ21),IF(CJ$171=1,IF(AND(AND(83&gt;Corte,83&lt;=Corte+n_Ventana),ISNUMBER(Detalle_24m!CJ$23)),Detalle_24m!CJ$23,INDEX(Vol_V,10,CJ$170)/12)*(1+V_dVol),0))</f>
        <v>0</v>
      </c>
      <c r="CK186" s="48" t="n">
        <f aca="false">IF(CK$8=1,N(Reales!CK21),IF(CK$171=1,IF(AND(AND(84&gt;Corte,84&lt;=Corte+n_Ventana),ISNUMBER(Detalle_24m!CK$23)),Detalle_24m!CK$23,INDEX(Vol_V,10,CK$170)/12)*(1+V_dVol),0))</f>
        <v>0</v>
      </c>
      <c r="CL186" s="48" t="n">
        <f aca="false">IF(CL$8=1,N(Reales!CL21),IF(CL$171=1,IF(AND(AND(85&gt;Corte,85&lt;=Corte+n_Ventana),ISNUMBER(Detalle_24m!CL$23)),Detalle_24m!CL$23,INDEX(Vol_V,10,CL$170)/12)*(1+V_dVol),0))</f>
        <v>0</v>
      </c>
      <c r="CM186" s="48" t="n">
        <f aca="false">IF(CM$8=1,N(Reales!CM21),IF(CM$171=1,IF(AND(AND(86&gt;Corte,86&lt;=Corte+n_Ventana),ISNUMBER(Detalle_24m!CM$23)),Detalle_24m!CM$23,INDEX(Vol_V,10,CM$170)/12)*(1+V_dVol),0))</f>
        <v>0</v>
      </c>
      <c r="CN186" s="48" t="n">
        <f aca="false">IF(CN$8=1,N(Reales!CN21),IF(CN$171=1,IF(AND(AND(87&gt;Corte,87&lt;=Corte+n_Ventana),ISNUMBER(Detalle_24m!CN$23)),Detalle_24m!CN$23,INDEX(Vol_V,10,CN$170)/12)*(1+V_dVol),0))</f>
        <v>0</v>
      </c>
      <c r="CO186" s="48" t="n">
        <f aca="false">IF(CO$8=1,N(Reales!CO21),IF(CO$171=1,IF(AND(AND(88&gt;Corte,88&lt;=Corte+n_Ventana),ISNUMBER(Detalle_24m!CO$23)),Detalle_24m!CO$23,INDEX(Vol_V,10,CO$170)/12)*(1+V_dVol),0))</f>
        <v>0</v>
      </c>
      <c r="CP186" s="48" t="n">
        <f aca="false">IF(CP$8=1,N(Reales!CP21),IF(CP$171=1,IF(AND(AND(89&gt;Corte,89&lt;=Corte+n_Ventana),ISNUMBER(Detalle_24m!CP$23)),Detalle_24m!CP$23,INDEX(Vol_V,10,CP$170)/12)*(1+V_dVol),0))</f>
        <v>0</v>
      </c>
      <c r="CQ186" s="48" t="n">
        <f aca="false">IF(CQ$8=1,N(Reales!CQ21),IF(CQ$171=1,IF(AND(AND(90&gt;Corte,90&lt;=Corte+n_Ventana),ISNUMBER(Detalle_24m!CQ$23)),Detalle_24m!CQ$23,INDEX(Vol_V,10,CQ$170)/12)*(1+V_dVol),0))</f>
        <v>0</v>
      </c>
      <c r="CR186" s="48" t="n">
        <f aca="false">IF(CR$8=1,N(Reales!CR21),IF(CR$171=1,IF(AND(AND(91&gt;Corte,91&lt;=Corte+n_Ventana),ISNUMBER(Detalle_24m!CR$23)),Detalle_24m!CR$23,INDEX(Vol_V,10,CR$170)/12)*(1+V_dVol),0))</f>
        <v>0</v>
      </c>
      <c r="CS186" s="48" t="n">
        <f aca="false">IF(CS$8=1,N(Reales!CS21),IF(CS$171=1,IF(AND(AND(92&gt;Corte,92&lt;=Corte+n_Ventana),ISNUMBER(Detalle_24m!CS$23)),Detalle_24m!CS$23,INDEX(Vol_V,10,CS$170)/12)*(1+V_dVol),0))</f>
        <v>0</v>
      </c>
      <c r="CT186" s="48" t="n">
        <f aca="false">IF(CT$8=1,N(Reales!CT21),IF(CT$171=1,IF(AND(AND(93&gt;Corte,93&lt;=Corte+n_Ventana),ISNUMBER(Detalle_24m!CT$23)),Detalle_24m!CT$23,INDEX(Vol_V,10,CT$170)/12)*(1+V_dVol),0))</f>
        <v>0</v>
      </c>
      <c r="CU186" s="48" t="n">
        <f aca="false">IF(CU$8=1,N(Reales!CU21),IF(CU$171=1,IF(AND(AND(94&gt;Corte,94&lt;=Corte+n_Ventana),ISNUMBER(Detalle_24m!CU$23)),Detalle_24m!CU$23,INDEX(Vol_V,10,CU$170)/12)*(1+V_dVol),0))</f>
        <v>0</v>
      </c>
      <c r="CV186" s="48" t="n">
        <f aca="false">IF(CV$8=1,N(Reales!CV21),IF(CV$171=1,IF(AND(AND(95&gt;Corte,95&lt;=Corte+n_Ventana),ISNUMBER(Detalle_24m!CV$23)),Detalle_24m!CV$23,INDEX(Vol_V,10,CV$170)/12)*(1+V_dVol),0))</f>
        <v>0</v>
      </c>
      <c r="CW186" s="48" t="n">
        <f aca="false">IF(CW$8=1,N(Reales!CW21),IF(CW$171=1,IF(AND(AND(96&gt;Corte,96&lt;=Corte+n_Ventana),ISNUMBER(Detalle_24m!CW$23)),Detalle_24m!CW$23,INDEX(Vol_V,10,CW$170)/12)*(1+V_dVol),0))</f>
        <v>0</v>
      </c>
      <c r="CX186" s="48" t="n">
        <f aca="false">IF(CX$8=1,N(Reales!CX21),IF(CX$171=1,IF(AND(AND(97&gt;Corte,97&lt;=Corte+n_Ventana),ISNUMBER(Detalle_24m!CX$23)),Detalle_24m!CX$23,INDEX(Vol_V,10,CX$170)/12)*(1+V_dVol),0))</f>
        <v>0</v>
      </c>
      <c r="CY186" s="48" t="n">
        <f aca="false">IF(CY$8=1,N(Reales!CY21),IF(CY$171=1,IF(AND(AND(98&gt;Corte,98&lt;=Corte+n_Ventana),ISNUMBER(Detalle_24m!CY$23)),Detalle_24m!CY$23,INDEX(Vol_V,10,CY$170)/12)*(1+V_dVol),0))</f>
        <v>0</v>
      </c>
      <c r="CZ186" s="48" t="n">
        <f aca="false">IF(CZ$8=1,N(Reales!CZ21),IF(CZ$171=1,IF(AND(AND(99&gt;Corte,99&lt;=Corte+n_Ventana),ISNUMBER(Detalle_24m!CZ$23)),Detalle_24m!CZ$23,INDEX(Vol_V,10,CZ$170)/12)*(1+V_dVol),0))</f>
        <v>0</v>
      </c>
      <c r="DA186" s="48" t="n">
        <f aca="false">IF(DA$8=1,N(Reales!DA21),IF(DA$171=1,IF(AND(AND(100&gt;Corte,100&lt;=Corte+n_Ventana),ISNUMBER(Detalle_24m!DA$23)),Detalle_24m!DA$23,INDEX(Vol_V,10,DA$170)/12)*(1+V_dVol),0))</f>
        <v>0</v>
      </c>
      <c r="DB186" s="48" t="n">
        <f aca="false">IF(DB$8=1,N(Reales!DB21),IF(DB$171=1,IF(AND(AND(101&gt;Corte,101&lt;=Corte+n_Ventana),ISNUMBER(Detalle_24m!DB$23)),Detalle_24m!DB$23,INDEX(Vol_V,10,DB$170)/12)*(1+V_dVol),0))</f>
        <v>0</v>
      </c>
      <c r="DC186" s="48" t="n">
        <f aca="false">IF(DC$8=1,N(Reales!DC21),IF(DC$171=1,IF(AND(AND(102&gt;Corte,102&lt;=Corte+n_Ventana),ISNUMBER(Detalle_24m!DC$23)),Detalle_24m!DC$23,INDEX(Vol_V,10,DC$170)/12)*(1+V_dVol),0))</f>
        <v>0</v>
      </c>
      <c r="DD186" s="48" t="n">
        <f aca="false">IF(DD$8=1,N(Reales!DD21),IF(DD$171=1,IF(AND(AND(103&gt;Corte,103&lt;=Corte+n_Ventana),ISNUMBER(Detalle_24m!DD$23)),Detalle_24m!DD$23,INDEX(Vol_V,10,DD$170)/12)*(1+V_dVol),0))</f>
        <v>0</v>
      </c>
      <c r="DE186" s="48" t="n">
        <f aca="false">IF(DE$8=1,N(Reales!DE21),IF(DE$171=1,IF(AND(AND(104&gt;Corte,104&lt;=Corte+n_Ventana),ISNUMBER(Detalle_24m!DE$23)),Detalle_24m!DE$23,INDEX(Vol_V,10,DE$170)/12)*(1+V_dVol),0))</f>
        <v>0</v>
      </c>
      <c r="DF186" s="48" t="n">
        <f aca="false">IF(DF$8=1,N(Reales!DF21),IF(DF$171=1,IF(AND(AND(105&gt;Corte,105&lt;=Corte+n_Ventana),ISNUMBER(Detalle_24m!DF$23)),Detalle_24m!DF$23,INDEX(Vol_V,10,DF$170)/12)*(1+V_dVol),0))</f>
        <v>0</v>
      </c>
      <c r="DG186" s="48" t="n">
        <f aca="false">IF(DG$8=1,N(Reales!DG21),IF(DG$171=1,IF(AND(AND(106&gt;Corte,106&lt;=Corte+n_Ventana),ISNUMBER(Detalle_24m!DG$23)),Detalle_24m!DG$23,INDEX(Vol_V,10,DG$170)/12)*(1+V_dVol),0))</f>
        <v>0</v>
      </c>
      <c r="DH186" s="48" t="n">
        <f aca="false">IF(DH$8=1,N(Reales!DH21),IF(DH$171=1,IF(AND(AND(107&gt;Corte,107&lt;=Corte+n_Ventana),ISNUMBER(Detalle_24m!DH$23)),Detalle_24m!DH$23,INDEX(Vol_V,10,DH$170)/12)*(1+V_dVol),0))</f>
        <v>0</v>
      </c>
      <c r="DI186" s="48" t="n">
        <f aca="false">IF(DI$8=1,N(Reales!DI21),IF(DI$171=1,IF(AND(AND(108&gt;Corte,108&lt;=Corte+n_Ventana),ISNUMBER(Detalle_24m!DI$23)),Detalle_24m!DI$23,INDEX(Vol_V,10,DI$170)/12)*(1+V_dVol),0))</f>
        <v>0</v>
      </c>
      <c r="DJ186" s="48" t="n">
        <f aca="false">IF(DJ$8=1,N(Reales!DJ21),IF(DJ$171=1,IF(AND(AND(109&gt;Corte,109&lt;=Corte+n_Ventana),ISNUMBER(Detalle_24m!DJ$23)),Detalle_24m!DJ$23,INDEX(Vol_V,10,DJ$170)/12)*(1+V_dVol),0))</f>
        <v>0</v>
      </c>
      <c r="DK186" s="48" t="n">
        <f aca="false">IF(DK$8=1,N(Reales!DK21),IF(DK$171=1,IF(AND(AND(110&gt;Corte,110&lt;=Corte+n_Ventana),ISNUMBER(Detalle_24m!DK$23)),Detalle_24m!DK$23,INDEX(Vol_V,10,DK$170)/12)*(1+V_dVol),0))</f>
        <v>0</v>
      </c>
      <c r="DL186" s="48" t="n">
        <f aca="false">IF(DL$8=1,N(Reales!DL21),IF(DL$171=1,IF(AND(AND(111&gt;Corte,111&lt;=Corte+n_Ventana),ISNUMBER(Detalle_24m!DL$23)),Detalle_24m!DL$23,INDEX(Vol_V,10,DL$170)/12)*(1+V_dVol),0))</f>
        <v>0</v>
      </c>
      <c r="DM186" s="48" t="n">
        <f aca="false">IF(DM$8=1,N(Reales!DM21),IF(DM$171=1,IF(AND(AND(112&gt;Corte,112&lt;=Corte+n_Ventana),ISNUMBER(Detalle_24m!DM$23)),Detalle_24m!DM$23,INDEX(Vol_V,10,DM$170)/12)*(1+V_dVol),0))</f>
        <v>0</v>
      </c>
      <c r="DN186" s="48" t="n">
        <f aca="false">IF(DN$8=1,N(Reales!DN21),IF(DN$171=1,IF(AND(AND(113&gt;Corte,113&lt;=Corte+n_Ventana),ISNUMBER(Detalle_24m!DN$23)),Detalle_24m!DN$23,INDEX(Vol_V,10,DN$170)/12)*(1+V_dVol),0))</f>
        <v>0</v>
      </c>
      <c r="DO186" s="48" t="n">
        <f aca="false">IF(DO$8=1,N(Reales!DO21),IF(DO$171=1,IF(AND(AND(114&gt;Corte,114&lt;=Corte+n_Ventana),ISNUMBER(Detalle_24m!DO$23)),Detalle_24m!DO$23,INDEX(Vol_V,10,DO$170)/12)*(1+V_dVol),0))</f>
        <v>0</v>
      </c>
      <c r="DP186" s="48" t="n">
        <f aca="false">IF(DP$8=1,N(Reales!DP21),IF(DP$171=1,IF(AND(AND(115&gt;Corte,115&lt;=Corte+n_Ventana),ISNUMBER(Detalle_24m!DP$23)),Detalle_24m!DP$23,INDEX(Vol_V,10,DP$170)/12)*(1+V_dVol),0))</f>
        <v>0</v>
      </c>
      <c r="DQ186" s="48" t="n">
        <f aca="false">IF(DQ$8=1,N(Reales!DQ21),IF(DQ$171=1,IF(AND(AND(116&gt;Corte,116&lt;=Corte+n_Ventana),ISNUMBER(Detalle_24m!DQ$23)),Detalle_24m!DQ$23,INDEX(Vol_V,10,DQ$170)/12)*(1+V_dVol),0))</f>
        <v>0</v>
      </c>
      <c r="DR186" s="48" t="n">
        <f aca="false">IF(DR$8=1,N(Reales!DR21),IF(DR$171=1,IF(AND(AND(117&gt;Corte,117&lt;=Corte+n_Ventana),ISNUMBER(Detalle_24m!DR$23)),Detalle_24m!DR$23,INDEX(Vol_V,10,DR$170)/12)*(1+V_dVol),0))</f>
        <v>0</v>
      </c>
      <c r="DS186" s="48" t="n">
        <f aca="false">IF(DS$8=1,N(Reales!DS21),IF(DS$171=1,IF(AND(AND(118&gt;Corte,118&lt;=Corte+n_Ventana),ISNUMBER(Detalle_24m!DS$23)),Detalle_24m!DS$23,INDEX(Vol_V,10,DS$170)/12)*(1+V_dVol),0))</f>
        <v>0</v>
      </c>
      <c r="DT186" s="48" t="n">
        <f aca="false">IF(DT$8=1,N(Reales!DT21),IF(DT$171=1,IF(AND(AND(119&gt;Corte,119&lt;=Corte+n_Ventana),ISNUMBER(Detalle_24m!DT$23)),Detalle_24m!DT$23,INDEX(Vol_V,10,DT$170)/12)*(1+V_dVol),0))</f>
        <v>0</v>
      </c>
      <c r="DU186" s="48" t="n">
        <f aca="false">IF(DU$8=1,N(Reales!DU21),IF(DU$171=1,IF(AND(AND(120&gt;Corte,120&lt;=Corte+n_Ventana),ISNUMBER(Detalle_24m!DU$23)),Detalle_24m!DU$23,INDEX(Vol_V,10,DU$170)/12)*(1+V_dVol),0))</f>
        <v>0</v>
      </c>
      <c r="DV186" s="48" t="n">
        <f aca="false">IF(DV$8=1,N(Reales!DV21),IF(DV$171=1,IF(AND(AND(121&gt;Corte,121&lt;=Corte+n_Ventana),ISNUMBER(Detalle_24m!DV$23)),Detalle_24m!DV$23,INDEX(Vol_V,10,DV$170)/12)*(1+V_dVol),0))</f>
        <v>0</v>
      </c>
      <c r="DW186" s="48" t="n">
        <f aca="false">IF(DW$8=1,N(Reales!DW21),IF(DW$171=1,IF(AND(AND(122&gt;Corte,122&lt;=Corte+n_Ventana),ISNUMBER(Detalle_24m!DW$23)),Detalle_24m!DW$23,INDEX(Vol_V,10,DW$170)/12)*(1+V_dVol),0))</f>
        <v>0</v>
      </c>
      <c r="DX186" s="48" t="n">
        <f aca="false">IF(DX$8=1,N(Reales!DX21),IF(DX$171=1,IF(AND(AND(123&gt;Corte,123&lt;=Corte+n_Ventana),ISNUMBER(Detalle_24m!DX$23)),Detalle_24m!DX$23,INDEX(Vol_V,10,DX$170)/12)*(1+V_dVol),0))</f>
        <v>0</v>
      </c>
      <c r="DY186" s="48" t="n">
        <f aca="false">IF(DY$8=1,N(Reales!DY21),IF(DY$171=1,IF(AND(AND(124&gt;Corte,124&lt;=Corte+n_Ventana),ISNUMBER(Detalle_24m!DY$23)),Detalle_24m!DY$23,INDEX(Vol_V,10,DY$170)/12)*(1+V_dVol),0))</f>
        <v>0</v>
      </c>
      <c r="DZ186" s="48" t="n">
        <f aca="false">IF(DZ$8=1,N(Reales!DZ21),IF(DZ$171=1,IF(AND(AND(125&gt;Corte,125&lt;=Corte+n_Ventana),ISNUMBER(Detalle_24m!DZ$23)),Detalle_24m!DZ$23,INDEX(Vol_V,10,DZ$170)/12)*(1+V_dVol),0))</f>
        <v>0</v>
      </c>
      <c r="EA186" s="48" t="n">
        <f aca="false">IF(EA$8=1,N(Reales!EA21),IF(EA$171=1,IF(AND(AND(126&gt;Corte,126&lt;=Corte+n_Ventana),ISNUMBER(Detalle_24m!EA$23)),Detalle_24m!EA$23,INDEX(Vol_V,10,EA$170)/12)*(1+V_dVol),0))</f>
        <v>0</v>
      </c>
      <c r="EB186" s="48" t="n">
        <f aca="false">IF(EB$8=1,N(Reales!EB21),IF(EB$171=1,IF(AND(AND(127&gt;Corte,127&lt;=Corte+n_Ventana),ISNUMBER(Detalle_24m!EB$23)),Detalle_24m!EB$23,INDEX(Vol_V,10,EB$170)/12)*(1+V_dVol),0))</f>
        <v>0</v>
      </c>
      <c r="EC186" s="48" t="n">
        <f aca="false">IF(EC$8=1,N(Reales!EC21),IF(EC$171=1,IF(AND(AND(128&gt;Corte,128&lt;=Corte+n_Ventana),ISNUMBER(Detalle_24m!EC$23)),Detalle_24m!EC$23,INDEX(Vol_V,10,EC$170)/12)*(1+V_dVol),0))</f>
        <v>0</v>
      </c>
      <c r="ED186" s="48" t="n">
        <f aca="false">IF(ED$8=1,N(Reales!ED21),IF(ED$171=1,IF(AND(AND(129&gt;Corte,129&lt;=Corte+n_Ventana),ISNUMBER(Detalle_24m!ED$23)),Detalle_24m!ED$23,INDEX(Vol_V,10,ED$170)/12)*(1+V_dVol),0))</f>
        <v>0</v>
      </c>
      <c r="EE186" s="48" t="n">
        <f aca="false">IF(EE$8=1,N(Reales!EE21),IF(EE$171=1,IF(AND(AND(130&gt;Corte,130&lt;=Corte+n_Ventana),ISNUMBER(Detalle_24m!EE$23)),Detalle_24m!EE$23,INDEX(Vol_V,10,EE$170)/12)*(1+V_dVol),0))</f>
        <v>0</v>
      </c>
      <c r="EF186" s="48" t="n">
        <f aca="false">IF(EF$8=1,N(Reales!EF21),IF(EF$171=1,IF(AND(AND(131&gt;Corte,131&lt;=Corte+n_Ventana),ISNUMBER(Detalle_24m!EF$23)),Detalle_24m!EF$23,INDEX(Vol_V,10,EF$170)/12)*(1+V_dVol),0))</f>
        <v>0</v>
      </c>
      <c r="EG186" s="48" t="n">
        <f aca="false">IF(EG$8=1,N(Reales!EG21),IF(EG$171=1,IF(AND(AND(132&gt;Corte,132&lt;=Corte+n_Ventana),ISNUMBER(Detalle_24m!EG$23)),Detalle_24m!EG$23,INDEX(Vol_V,10,EG$170)/12)*(1+V_dVol),0))</f>
        <v>0</v>
      </c>
      <c r="EH186" s="48" t="n">
        <f aca="false">IF(EH$8=1,N(Reales!EH21),IF(EH$171=1,IF(AND(AND(133&gt;Corte,133&lt;=Corte+n_Ventana),ISNUMBER(Detalle_24m!EH$23)),Detalle_24m!EH$23,INDEX(Vol_V,10,EH$170)/12)*(1+V_dVol),0))</f>
        <v>0</v>
      </c>
      <c r="EI186" s="48" t="n">
        <f aca="false">IF(EI$8=1,N(Reales!EI21),IF(EI$171=1,IF(AND(AND(134&gt;Corte,134&lt;=Corte+n_Ventana),ISNUMBER(Detalle_24m!EI$23)),Detalle_24m!EI$23,INDEX(Vol_V,10,EI$170)/12)*(1+V_dVol),0))</f>
        <v>0</v>
      </c>
      <c r="EJ186" s="48" t="n">
        <f aca="false">IF(EJ$8=1,N(Reales!EJ21),IF(EJ$171=1,IF(AND(AND(135&gt;Corte,135&lt;=Corte+n_Ventana),ISNUMBER(Detalle_24m!EJ$23)),Detalle_24m!EJ$23,INDEX(Vol_V,10,EJ$170)/12)*(1+V_dVol),0))</f>
        <v>0</v>
      </c>
      <c r="EK186" s="48" t="n">
        <f aca="false">IF(EK$8=1,N(Reales!EK21),IF(EK$171=1,IF(AND(AND(136&gt;Corte,136&lt;=Corte+n_Ventana),ISNUMBER(Detalle_24m!EK$23)),Detalle_24m!EK$23,INDEX(Vol_V,10,EK$170)/12)*(1+V_dVol),0))</f>
        <v>0</v>
      </c>
      <c r="EL186" s="48" t="n">
        <f aca="false">IF(EL$8=1,N(Reales!EL21),IF(EL$171=1,IF(AND(AND(137&gt;Corte,137&lt;=Corte+n_Ventana),ISNUMBER(Detalle_24m!EL$23)),Detalle_24m!EL$23,INDEX(Vol_V,10,EL$170)/12)*(1+V_dVol),0))</f>
        <v>0</v>
      </c>
      <c r="EM186" s="48" t="n">
        <f aca="false">IF(EM$8=1,N(Reales!EM21),IF(EM$171=1,IF(AND(AND(138&gt;Corte,138&lt;=Corte+n_Ventana),ISNUMBER(Detalle_24m!EM$23)),Detalle_24m!EM$23,INDEX(Vol_V,10,EM$170)/12)*(1+V_dVol),0))</f>
        <v>0</v>
      </c>
      <c r="EN186" s="48" t="n">
        <f aca="false">IF(EN$8=1,N(Reales!EN21),IF(EN$171=1,IF(AND(AND(139&gt;Corte,139&lt;=Corte+n_Ventana),ISNUMBER(Detalle_24m!EN$23)),Detalle_24m!EN$23,INDEX(Vol_V,10,EN$170)/12)*(1+V_dVol),0))</f>
        <v>0</v>
      </c>
      <c r="EO186" s="48" t="n">
        <f aca="false">IF(EO$8=1,N(Reales!EO21),IF(EO$171=1,IF(AND(AND(140&gt;Corte,140&lt;=Corte+n_Ventana),ISNUMBER(Detalle_24m!EO$23)),Detalle_24m!EO$23,INDEX(Vol_V,10,EO$170)/12)*(1+V_dVol),0))</f>
        <v>0</v>
      </c>
      <c r="EP186" s="48" t="n">
        <f aca="false">IF(EP$8=1,N(Reales!EP21),IF(EP$171=1,IF(AND(AND(141&gt;Corte,141&lt;=Corte+n_Ventana),ISNUMBER(Detalle_24m!EP$23)),Detalle_24m!EP$23,INDEX(Vol_V,10,EP$170)/12)*(1+V_dVol),0))</f>
        <v>0</v>
      </c>
      <c r="EQ186" s="48" t="n">
        <f aca="false">IF(EQ$8=1,N(Reales!EQ21),IF(EQ$171=1,IF(AND(AND(142&gt;Corte,142&lt;=Corte+n_Ventana),ISNUMBER(Detalle_24m!EQ$23)),Detalle_24m!EQ$23,INDEX(Vol_V,10,EQ$170)/12)*(1+V_dVol),0))</f>
        <v>0</v>
      </c>
      <c r="ER186" s="48" t="n">
        <f aca="false">IF(ER$8=1,N(Reales!ER21),IF(ER$171=1,IF(AND(AND(143&gt;Corte,143&lt;=Corte+n_Ventana),ISNUMBER(Detalle_24m!ER$23)),Detalle_24m!ER$23,INDEX(Vol_V,10,ER$170)/12)*(1+V_dVol),0))</f>
        <v>0</v>
      </c>
      <c r="ES186" s="48" t="n">
        <f aca="false">IF(ES$8=1,N(Reales!ES21),IF(ES$171=1,IF(AND(AND(144&gt;Corte,144&lt;=Corte+n_Ventana),ISNUMBER(Detalle_24m!ES$23)),Detalle_24m!ES$23,INDEX(Vol_V,10,ES$170)/12)*(1+V_dVol),0))</f>
        <v>0</v>
      </c>
    </row>
    <row r="187" customFormat="false" ht="15" hidden="false" customHeight="false" outlineLevel="0" collapsed="false">
      <c r="A187" s="11" t="s">
        <v>1310</v>
      </c>
      <c r="B187" s="53" t="str">
        <f aca="false">IF(INDEX(Prod_Nombre,11)="","Producto 11",INDEX(Prod_Nombre,11))&amp;" — unidades"</f>
        <v>Producto 11 — unidades</v>
      </c>
      <c r="C187" s="15" t="s">
        <v>544</v>
      </c>
      <c r="E187" s="54" t="n">
        <f aca="false">SUM(F187:ES187)</f>
        <v>0</v>
      </c>
      <c r="F187" s="48" t="n">
        <f aca="false">IF(F$8=1,N(Reales!F22),IF(F$171=1,IF(AND(AND(1&gt;Corte,1&lt;=Corte+n_Ventana),ISNUMBER(Detalle_24m!F$24)),Detalle_24m!F$24,INDEX(Vol_V,11,F$170)/12)*(1+V_dVol),0))</f>
        <v>0</v>
      </c>
      <c r="G187" s="48" t="n">
        <f aca="false">IF(G$8=1,N(Reales!G22),IF(G$171=1,IF(AND(AND(2&gt;Corte,2&lt;=Corte+n_Ventana),ISNUMBER(Detalle_24m!G$24)),Detalle_24m!G$24,INDEX(Vol_V,11,G$170)/12)*(1+V_dVol),0))</f>
        <v>0</v>
      </c>
      <c r="H187" s="48" t="n">
        <f aca="false">IF(H$8=1,N(Reales!H22),IF(H$171=1,IF(AND(AND(3&gt;Corte,3&lt;=Corte+n_Ventana),ISNUMBER(Detalle_24m!H$24)),Detalle_24m!H$24,INDEX(Vol_V,11,H$170)/12)*(1+V_dVol),0))</f>
        <v>0</v>
      </c>
      <c r="I187" s="48" t="n">
        <f aca="false">IF(I$8=1,N(Reales!I22),IF(I$171=1,IF(AND(AND(4&gt;Corte,4&lt;=Corte+n_Ventana),ISNUMBER(Detalle_24m!I$24)),Detalle_24m!I$24,INDEX(Vol_V,11,I$170)/12)*(1+V_dVol),0))</f>
        <v>0</v>
      </c>
      <c r="J187" s="48" t="n">
        <f aca="false">IF(J$8=1,N(Reales!J22),IF(J$171=1,IF(AND(AND(5&gt;Corte,5&lt;=Corte+n_Ventana),ISNUMBER(Detalle_24m!J$24)),Detalle_24m!J$24,INDEX(Vol_V,11,J$170)/12)*(1+V_dVol),0))</f>
        <v>0</v>
      </c>
      <c r="K187" s="48" t="n">
        <f aca="false">IF(K$8=1,N(Reales!K22),IF(K$171=1,IF(AND(AND(6&gt;Corte,6&lt;=Corte+n_Ventana),ISNUMBER(Detalle_24m!K$24)),Detalle_24m!K$24,INDEX(Vol_V,11,K$170)/12)*(1+V_dVol),0))</f>
        <v>0</v>
      </c>
      <c r="L187" s="48" t="n">
        <f aca="false">IF(L$8=1,N(Reales!L22),IF(L$171=1,IF(AND(AND(7&gt;Corte,7&lt;=Corte+n_Ventana),ISNUMBER(Detalle_24m!L$24)),Detalle_24m!L$24,INDEX(Vol_V,11,L$170)/12)*(1+V_dVol),0))</f>
        <v>0</v>
      </c>
      <c r="M187" s="48" t="n">
        <f aca="false">IF(M$8=1,N(Reales!M22),IF(M$171=1,IF(AND(AND(8&gt;Corte,8&lt;=Corte+n_Ventana),ISNUMBER(Detalle_24m!M$24)),Detalle_24m!M$24,INDEX(Vol_V,11,M$170)/12)*(1+V_dVol),0))</f>
        <v>0</v>
      </c>
      <c r="N187" s="48" t="n">
        <f aca="false">IF(N$8=1,N(Reales!N22),IF(N$171=1,IF(AND(AND(9&gt;Corte,9&lt;=Corte+n_Ventana),ISNUMBER(Detalle_24m!N$24)),Detalle_24m!N$24,INDEX(Vol_V,11,N$170)/12)*(1+V_dVol),0))</f>
        <v>0</v>
      </c>
      <c r="O187" s="48" t="n">
        <f aca="false">IF(O$8=1,N(Reales!O22),IF(O$171=1,IF(AND(AND(10&gt;Corte,10&lt;=Corte+n_Ventana),ISNUMBER(Detalle_24m!O$24)),Detalle_24m!O$24,INDEX(Vol_V,11,O$170)/12)*(1+V_dVol),0))</f>
        <v>0</v>
      </c>
      <c r="P187" s="48" t="n">
        <f aca="false">IF(P$8=1,N(Reales!P22),IF(P$171=1,IF(AND(AND(11&gt;Corte,11&lt;=Corte+n_Ventana),ISNUMBER(Detalle_24m!P$24)),Detalle_24m!P$24,INDEX(Vol_V,11,P$170)/12)*(1+V_dVol),0))</f>
        <v>0</v>
      </c>
      <c r="Q187" s="48" t="n">
        <f aca="false">IF(Q$8=1,N(Reales!Q22),IF(Q$171=1,IF(AND(AND(12&gt;Corte,12&lt;=Corte+n_Ventana),ISNUMBER(Detalle_24m!Q$24)),Detalle_24m!Q$24,INDEX(Vol_V,11,Q$170)/12)*(1+V_dVol),0))</f>
        <v>0</v>
      </c>
      <c r="R187" s="48" t="n">
        <f aca="false">IF(R$8=1,N(Reales!R22),IF(R$171=1,IF(AND(AND(13&gt;Corte,13&lt;=Corte+n_Ventana),ISNUMBER(Detalle_24m!R$24)),Detalle_24m!R$24,INDEX(Vol_V,11,R$170)/12)*(1+V_dVol),0))</f>
        <v>0</v>
      </c>
      <c r="S187" s="48" t="n">
        <f aca="false">IF(S$8=1,N(Reales!S22),IF(S$171=1,IF(AND(AND(14&gt;Corte,14&lt;=Corte+n_Ventana),ISNUMBER(Detalle_24m!S$24)),Detalle_24m!S$24,INDEX(Vol_V,11,S$170)/12)*(1+V_dVol),0))</f>
        <v>0</v>
      </c>
      <c r="T187" s="48" t="n">
        <f aca="false">IF(T$8=1,N(Reales!T22),IF(T$171=1,IF(AND(AND(15&gt;Corte,15&lt;=Corte+n_Ventana),ISNUMBER(Detalle_24m!T$24)),Detalle_24m!T$24,INDEX(Vol_V,11,T$170)/12)*(1+V_dVol),0))</f>
        <v>0</v>
      </c>
      <c r="U187" s="48" t="n">
        <f aca="false">IF(U$8=1,N(Reales!U22),IF(U$171=1,IF(AND(AND(16&gt;Corte,16&lt;=Corte+n_Ventana),ISNUMBER(Detalle_24m!U$24)),Detalle_24m!U$24,INDEX(Vol_V,11,U$170)/12)*(1+V_dVol),0))</f>
        <v>0</v>
      </c>
      <c r="V187" s="48" t="n">
        <f aca="false">IF(V$8=1,N(Reales!V22),IF(V$171=1,IF(AND(AND(17&gt;Corte,17&lt;=Corte+n_Ventana),ISNUMBER(Detalle_24m!V$24)),Detalle_24m!V$24,INDEX(Vol_V,11,V$170)/12)*(1+V_dVol),0))</f>
        <v>0</v>
      </c>
      <c r="W187" s="48" t="n">
        <f aca="false">IF(W$8=1,N(Reales!W22),IF(W$171=1,IF(AND(AND(18&gt;Corte,18&lt;=Corte+n_Ventana),ISNUMBER(Detalle_24m!W$24)),Detalle_24m!W$24,INDEX(Vol_V,11,W$170)/12)*(1+V_dVol),0))</f>
        <v>0</v>
      </c>
      <c r="X187" s="48" t="n">
        <f aca="false">IF(X$8=1,N(Reales!X22),IF(X$171=1,IF(AND(AND(19&gt;Corte,19&lt;=Corte+n_Ventana),ISNUMBER(Detalle_24m!X$24)),Detalle_24m!X$24,INDEX(Vol_V,11,X$170)/12)*(1+V_dVol),0))</f>
        <v>0</v>
      </c>
      <c r="Y187" s="48" t="n">
        <f aca="false">IF(Y$8=1,N(Reales!Y22),IF(Y$171=1,IF(AND(AND(20&gt;Corte,20&lt;=Corte+n_Ventana),ISNUMBER(Detalle_24m!Y$24)),Detalle_24m!Y$24,INDEX(Vol_V,11,Y$170)/12)*(1+V_dVol),0))</f>
        <v>0</v>
      </c>
      <c r="Z187" s="48" t="n">
        <f aca="false">IF(Z$8=1,N(Reales!Z22),IF(Z$171=1,IF(AND(AND(21&gt;Corte,21&lt;=Corte+n_Ventana),ISNUMBER(Detalle_24m!Z$24)),Detalle_24m!Z$24,INDEX(Vol_V,11,Z$170)/12)*(1+V_dVol),0))</f>
        <v>0</v>
      </c>
      <c r="AA187" s="48" t="n">
        <f aca="false">IF(AA$8=1,N(Reales!AA22),IF(AA$171=1,IF(AND(AND(22&gt;Corte,22&lt;=Corte+n_Ventana),ISNUMBER(Detalle_24m!AA$24)),Detalle_24m!AA$24,INDEX(Vol_V,11,AA$170)/12)*(1+V_dVol),0))</f>
        <v>0</v>
      </c>
      <c r="AB187" s="48" t="n">
        <f aca="false">IF(AB$8=1,N(Reales!AB22),IF(AB$171=1,IF(AND(AND(23&gt;Corte,23&lt;=Corte+n_Ventana),ISNUMBER(Detalle_24m!AB$24)),Detalle_24m!AB$24,INDEX(Vol_V,11,AB$170)/12)*(1+V_dVol),0))</f>
        <v>0</v>
      </c>
      <c r="AC187" s="48" t="n">
        <f aca="false">IF(AC$8=1,N(Reales!AC22),IF(AC$171=1,IF(AND(AND(24&gt;Corte,24&lt;=Corte+n_Ventana),ISNUMBER(Detalle_24m!AC$24)),Detalle_24m!AC$24,INDEX(Vol_V,11,AC$170)/12)*(1+V_dVol),0))</f>
        <v>0</v>
      </c>
      <c r="AD187" s="48" t="n">
        <f aca="false">IF(AD$8=1,N(Reales!AD22),IF(AD$171=1,IF(AND(AND(25&gt;Corte,25&lt;=Corte+n_Ventana),ISNUMBER(Detalle_24m!AD$24)),Detalle_24m!AD$24,INDEX(Vol_V,11,AD$170)/12)*(1+V_dVol),0))</f>
        <v>0</v>
      </c>
      <c r="AE187" s="48" t="n">
        <f aca="false">IF(AE$8=1,N(Reales!AE22),IF(AE$171=1,IF(AND(AND(26&gt;Corte,26&lt;=Corte+n_Ventana),ISNUMBER(Detalle_24m!AE$24)),Detalle_24m!AE$24,INDEX(Vol_V,11,AE$170)/12)*(1+V_dVol),0))</f>
        <v>0</v>
      </c>
      <c r="AF187" s="48" t="n">
        <f aca="false">IF(AF$8=1,N(Reales!AF22),IF(AF$171=1,IF(AND(AND(27&gt;Corte,27&lt;=Corte+n_Ventana),ISNUMBER(Detalle_24m!AF$24)),Detalle_24m!AF$24,INDEX(Vol_V,11,AF$170)/12)*(1+V_dVol),0))</f>
        <v>0</v>
      </c>
      <c r="AG187" s="48" t="n">
        <f aca="false">IF(AG$8=1,N(Reales!AG22),IF(AG$171=1,IF(AND(AND(28&gt;Corte,28&lt;=Corte+n_Ventana),ISNUMBER(Detalle_24m!AG$24)),Detalle_24m!AG$24,INDEX(Vol_V,11,AG$170)/12)*(1+V_dVol),0))</f>
        <v>0</v>
      </c>
      <c r="AH187" s="48" t="n">
        <f aca="false">IF(AH$8=1,N(Reales!AH22),IF(AH$171=1,IF(AND(AND(29&gt;Corte,29&lt;=Corte+n_Ventana),ISNUMBER(Detalle_24m!AH$24)),Detalle_24m!AH$24,INDEX(Vol_V,11,AH$170)/12)*(1+V_dVol),0))</f>
        <v>0</v>
      </c>
      <c r="AI187" s="48" t="n">
        <f aca="false">IF(AI$8=1,N(Reales!AI22),IF(AI$171=1,IF(AND(AND(30&gt;Corte,30&lt;=Corte+n_Ventana),ISNUMBER(Detalle_24m!AI$24)),Detalle_24m!AI$24,INDEX(Vol_V,11,AI$170)/12)*(1+V_dVol),0))</f>
        <v>0</v>
      </c>
      <c r="AJ187" s="48" t="n">
        <f aca="false">IF(AJ$8=1,N(Reales!AJ22),IF(AJ$171=1,IF(AND(AND(31&gt;Corte,31&lt;=Corte+n_Ventana),ISNUMBER(Detalle_24m!AJ$24)),Detalle_24m!AJ$24,INDEX(Vol_V,11,AJ$170)/12)*(1+V_dVol),0))</f>
        <v>0</v>
      </c>
      <c r="AK187" s="48" t="n">
        <f aca="false">IF(AK$8=1,N(Reales!AK22),IF(AK$171=1,IF(AND(AND(32&gt;Corte,32&lt;=Corte+n_Ventana),ISNUMBER(Detalle_24m!AK$24)),Detalle_24m!AK$24,INDEX(Vol_V,11,AK$170)/12)*(1+V_dVol),0))</f>
        <v>0</v>
      </c>
      <c r="AL187" s="48" t="n">
        <f aca="false">IF(AL$8=1,N(Reales!AL22),IF(AL$171=1,IF(AND(AND(33&gt;Corte,33&lt;=Corte+n_Ventana),ISNUMBER(Detalle_24m!AL$24)),Detalle_24m!AL$24,INDEX(Vol_V,11,AL$170)/12)*(1+V_dVol),0))</f>
        <v>0</v>
      </c>
      <c r="AM187" s="48" t="n">
        <f aca="false">IF(AM$8=1,N(Reales!AM22),IF(AM$171=1,IF(AND(AND(34&gt;Corte,34&lt;=Corte+n_Ventana),ISNUMBER(Detalle_24m!AM$24)),Detalle_24m!AM$24,INDEX(Vol_V,11,AM$170)/12)*(1+V_dVol),0))</f>
        <v>0</v>
      </c>
      <c r="AN187" s="48" t="n">
        <f aca="false">IF(AN$8=1,N(Reales!AN22),IF(AN$171=1,IF(AND(AND(35&gt;Corte,35&lt;=Corte+n_Ventana),ISNUMBER(Detalle_24m!AN$24)),Detalle_24m!AN$24,INDEX(Vol_V,11,AN$170)/12)*(1+V_dVol),0))</f>
        <v>0</v>
      </c>
      <c r="AO187" s="48" t="n">
        <f aca="false">IF(AO$8=1,N(Reales!AO22),IF(AO$171=1,IF(AND(AND(36&gt;Corte,36&lt;=Corte+n_Ventana),ISNUMBER(Detalle_24m!AO$24)),Detalle_24m!AO$24,INDEX(Vol_V,11,AO$170)/12)*(1+V_dVol),0))</f>
        <v>0</v>
      </c>
      <c r="AP187" s="48" t="n">
        <f aca="false">IF(AP$8=1,N(Reales!AP22),IF(AP$171=1,IF(AND(AND(37&gt;Corte,37&lt;=Corte+n_Ventana),ISNUMBER(Detalle_24m!AP$24)),Detalle_24m!AP$24,INDEX(Vol_V,11,AP$170)/12)*(1+V_dVol),0))</f>
        <v>0</v>
      </c>
      <c r="AQ187" s="48" t="n">
        <f aca="false">IF(AQ$8=1,N(Reales!AQ22),IF(AQ$171=1,IF(AND(AND(38&gt;Corte,38&lt;=Corte+n_Ventana),ISNUMBER(Detalle_24m!AQ$24)),Detalle_24m!AQ$24,INDEX(Vol_V,11,AQ$170)/12)*(1+V_dVol),0))</f>
        <v>0</v>
      </c>
      <c r="AR187" s="48" t="n">
        <f aca="false">IF(AR$8=1,N(Reales!AR22),IF(AR$171=1,IF(AND(AND(39&gt;Corte,39&lt;=Corte+n_Ventana),ISNUMBER(Detalle_24m!AR$24)),Detalle_24m!AR$24,INDEX(Vol_V,11,AR$170)/12)*(1+V_dVol),0))</f>
        <v>0</v>
      </c>
      <c r="AS187" s="48" t="n">
        <f aca="false">IF(AS$8=1,N(Reales!AS22),IF(AS$171=1,IF(AND(AND(40&gt;Corte,40&lt;=Corte+n_Ventana),ISNUMBER(Detalle_24m!AS$24)),Detalle_24m!AS$24,INDEX(Vol_V,11,AS$170)/12)*(1+V_dVol),0))</f>
        <v>0</v>
      </c>
      <c r="AT187" s="48" t="n">
        <f aca="false">IF(AT$8=1,N(Reales!AT22),IF(AT$171=1,IF(AND(AND(41&gt;Corte,41&lt;=Corte+n_Ventana),ISNUMBER(Detalle_24m!AT$24)),Detalle_24m!AT$24,INDEX(Vol_V,11,AT$170)/12)*(1+V_dVol),0))</f>
        <v>0</v>
      </c>
      <c r="AU187" s="48" t="n">
        <f aca="false">IF(AU$8=1,N(Reales!AU22),IF(AU$171=1,IF(AND(AND(42&gt;Corte,42&lt;=Corte+n_Ventana),ISNUMBER(Detalle_24m!AU$24)),Detalle_24m!AU$24,INDEX(Vol_V,11,AU$170)/12)*(1+V_dVol),0))</f>
        <v>0</v>
      </c>
      <c r="AV187" s="48" t="n">
        <f aca="false">IF(AV$8=1,N(Reales!AV22),IF(AV$171=1,IF(AND(AND(43&gt;Corte,43&lt;=Corte+n_Ventana),ISNUMBER(Detalle_24m!AV$24)),Detalle_24m!AV$24,INDEX(Vol_V,11,AV$170)/12)*(1+V_dVol),0))</f>
        <v>0</v>
      </c>
      <c r="AW187" s="48" t="n">
        <f aca="false">IF(AW$8=1,N(Reales!AW22),IF(AW$171=1,IF(AND(AND(44&gt;Corte,44&lt;=Corte+n_Ventana),ISNUMBER(Detalle_24m!AW$24)),Detalle_24m!AW$24,INDEX(Vol_V,11,AW$170)/12)*(1+V_dVol),0))</f>
        <v>0</v>
      </c>
      <c r="AX187" s="48" t="n">
        <f aca="false">IF(AX$8=1,N(Reales!AX22),IF(AX$171=1,IF(AND(AND(45&gt;Corte,45&lt;=Corte+n_Ventana),ISNUMBER(Detalle_24m!AX$24)),Detalle_24m!AX$24,INDEX(Vol_V,11,AX$170)/12)*(1+V_dVol),0))</f>
        <v>0</v>
      </c>
      <c r="AY187" s="48" t="n">
        <f aca="false">IF(AY$8=1,N(Reales!AY22),IF(AY$171=1,IF(AND(AND(46&gt;Corte,46&lt;=Corte+n_Ventana),ISNUMBER(Detalle_24m!AY$24)),Detalle_24m!AY$24,INDEX(Vol_V,11,AY$170)/12)*(1+V_dVol),0))</f>
        <v>0</v>
      </c>
      <c r="AZ187" s="48" t="n">
        <f aca="false">IF(AZ$8=1,N(Reales!AZ22),IF(AZ$171=1,IF(AND(AND(47&gt;Corte,47&lt;=Corte+n_Ventana),ISNUMBER(Detalle_24m!AZ$24)),Detalle_24m!AZ$24,INDEX(Vol_V,11,AZ$170)/12)*(1+V_dVol),0))</f>
        <v>0</v>
      </c>
      <c r="BA187" s="48" t="n">
        <f aca="false">IF(BA$8=1,N(Reales!BA22),IF(BA$171=1,IF(AND(AND(48&gt;Corte,48&lt;=Corte+n_Ventana),ISNUMBER(Detalle_24m!BA$24)),Detalle_24m!BA$24,INDEX(Vol_V,11,BA$170)/12)*(1+V_dVol),0))</f>
        <v>0</v>
      </c>
      <c r="BB187" s="48" t="n">
        <f aca="false">IF(BB$8=1,N(Reales!BB22),IF(BB$171=1,IF(AND(AND(49&gt;Corte,49&lt;=Corte+n_Ventana),ISNUMBER(Detalle_24m!BB$24)),Detalle_24m!BB$24,INDEX(Vol_V,11,BB$170)/12)*(1+V_dVol),0))</f>
        <v>0</v>
      </c>
      <c r="BC187" s="48" t="n">
        <f aca="false">IF(BC$8=1,N(Reales!BC22),IF(BC$171=1,IF(AND(AND(50&gt;Corte,50&lt;=Corte+n_Ventana),ISNUMBER(Detalle_24m!BC$24)),Detalle_24m!BC$24,INDEX(Vol_V,11,BC$170)/12)*(1+V_dVol),0))</f>
        <v>0</v>
      </c>
      <c r="BD187" s="48" t="n">
        <f aca="false">IF(BD$8=1,N(Reales!BD22),IF(BD$171=1,IF(AND(AND(51&gt;Corte,51&lt;=Corte+n_Ventana),ISNUMBER(Detalle_24m!BD$24)),Detalle_24m!BD$24,INDEX(Vol_V,11,BD$170)/12)*(1+V_dVol),0))</f>
        <v>0</v>
      </c>
      <c r="BE187" s="48" t="n">
        <f aca="false">IF(BE$8=1,N(Reales!BE22),IF(BE$171=1,IF(AND(AND(52&gt;Corte,52&lt;=Corte+n_Ventana),ISNUMBER(Detalle_24m!BE$24)),Detalle_24m!BE$24,INDEX(Vol_V,11,BE$170)/12)*(1+V_dVol),0))</f>
        <v>0</v>
      </c>
      <c r="BF187" s="48" t="n">
        <f aca="false">IF(BF$8=1,N(Reales!BF22),IF(BF$171=1,IF(AND(AND(53&gt;Corte,53&lt;=Corte+n_Ventana),ISNUMBER(Detalle_24m!BF$24)),Detalle_24m!BF$24,INDEX(Vol_V,11,BF$170)/12)*(1+V_dVol),0))</f>
        <v>0</v>
      </c>
      <c r="BG187" s="48" t="n">
        <f aca="false">IF(BG$8=1,N(Reales!BG22),IF(BG$171=1,IF(AND(AND(54&gt;Corte,54&lt;=Corte+n_Ventana),ISNUMBER(Detalle_24m!BG$24)),Detalle_24m!BG$24,INDEX(Vol_V,11,BG$170)/12)*(1+V_dVol),0))</f>
        <v>0</v>
      </c>
      <c r="BH187" s="48" t="n">
        <f aca="false">IF(BH$8=1,N(Reales!BH22),IF(BH$171=1,IF(AND(AND(55&gt;Corte,55&lt;=Corte+n_Ventana),ISNUMBER(Detalle_24m!BH$24)),Detalle_24m!BH$24,INDEX(Vol_V,11,BH$170)/12)*(1+V_dVol),0))</f>
        <v>0</v>
      </c>
      <c r="BI187" s="48" t="n">
        <f aca="false">IF(BI$8=1,N(Reales!BI22),IF(BI$171=1,IF(AND(AND(56&gt;Corte,56&lt;=Corte+n_Ventana),ISNUMBER(Detalle_24m!BI$24)),Detalle_24m!BI$24,INDEX(Vol_V,11,BI$170)/12)*(1+V_dVol),0))</f>
        <v>0</v>
      </c>
      <c r="BJ187" s="48" t="n">
        <f aca="false">IF(BJ$8=1,N(Reales!BJ22),IF(BJ$171=1,IF(AND(AND(57&gt;Corte,57&lt;=Corte+n_Ventana),ISNUMBER(Detalle_24m!BJ$24)),Detalle_24m!BJ$24,INDEX(Vol_V,11,BJ$170)/12)*(1+V_dVol),0))</f>
        <v>0</v>
      </c>
      <c r="BK187" s="48" t="n">
        <f aca="false">IF(BK$8=1,N(Reales!BK22),IF(BK$171=1,IF(AND(AND(58&gt;Corte,58&lt;=Corte+n_Ventana),ISNUMBER(Detalle_24m!BK$24)),Detalle_24m!BK$24,INDEX(Vol_V,11,BK$170)/12)*(1+V_dVol),0))</f>
        <v>0</v>
      </c>
      <c r="BL187" s="48" t="n">
        <f aca="false">IF(BL$8=1,N(Reales!BL22),IF(BL$171=1,IF(AND(AND(59&gt;Corte,59&lt;=Corte+n_Ventana),ISNUMBER(Detalle_24m!BL$24)),Detalle_24m!BL$24,INDEX(Vol_V,11,BL$170)/12)*(1+V_dVol),0))</f>
        <v>0</v>
      </c>
      <c r="BM187" s="48" t="n">
        <f aca="false">IF(BM$8=1,N(Reales!BM22),IF(BM$171=1,IF(AND(AND(60&gt;Corte,60&lt;=Corte+n_Ventana),ISNUMBER(Detalle_24m!BM$24)),Detalle_24m!BM$24,INDEX(Vol_V,11,BM$170)/12)*(1+V_dVol),0))</f>
        <v>0</v>
      </c>
      <c r="BN187" s="48" t="n">
        <f aca="false">IF(BN$8=1,N(Reales!BN22),IF(BN$171=1,IF(AND(AND(61&gt;Corte,61&lt;=Corte+n_Ventana),ISNUMBER(Detalle_24m!BN$24)),Detalle_24m!BN$24,INDEX(Vol_V,11,BN$170)/12)*(1+V_dVol),0))</f>
        <v>0</v>
      </c>
      <c r="BO187" s="48" t="n">
        <f aca="false">IF(BO$8=1,N(Reales!BO22),IF(BO$171=1,IF(AND(AND(62&gt;Corte,62&lt;=Corte+n_Ventana),ISNUMBER(Detalle_24m!BO$24)),Detalle_24m!BO$24,INDEX(Vol_V,11,BO$170)/12)*(1+V_dVol),0))</f>
        <v>0</v>
      </c>
      <c r="BP187" s="48" t="n">
        <f aca="false">IF(BP$8=1,N(Reales!BP22),IF(BP$171=1,IF(AND(AND(63&gt;Corte,63&lt;=Corte+n_Ventana),ISNUMBER(Detalle_24m!BP$24)),Detalle_24m!BP$24,INDEX(Vol_V,11,BP$170)/12)*(1+V_dVol),0))</f>
        <v>0</v>
      </c>
      <c r="BQ187" s="48" t="n">
        <f aca="false">IF(BQ$8=1,N(Reales!BQ22),IF(BQ$171=1,IF(AND(AND(64&gt;Corte,64&lt;=Corte+n_Ventana),ISNUMBER(Detalle_24m!BQ$24)),Detalle_24m!BQ$24,INDEX(Vol_V,11,BQ$170)/12)*(1+V_dVol),0))</f>
        <v>0</v>
      </c>
      <c r="BR187" s="48" t="n">
        <f aca="false">IF(BR$8=1,N(Reales!BR22),IF(BR$171=1,IF(AND(AND(65&gt;Corte,65&lt;=Corte+n_Ventana),ISNUMBER(Detalle_24m!BR$24)),Detalle_24m!BR$24,INDEX(Vol_V,11,BR$170)/12)*(1+V_dVol),0))</f>
        <v>0</v>
      </c>
      <c r="BS187" s="48" t="n">
        <f aca="false">IF(BS$8=1,N(Reales!BS22),IF(BS$171=1,IF(AND(AND(66&gt;Corte,66&lt;=Corte+n_Ventana),ISNUMBER(Detalle_24m!BS$24)),Detalle_24m!BS$24,INDEX(Vol_V,11,BS$170)/12)*(1+V_dVol),0))</f>
        <v>0</v>
      </c>
      <c r="BT187" s="48" t="n">
        <f aca="false">IF(BT$8=1,N(Reales!BT22),IF(BT$171=1,IF(AND(AND(67&gt;Corte,67&lt;=Corte+n_Ventana),ISNUMBER(Detalle_24m!BT$24)),Detalle_24m!BT$24,INDEX(Vol_V,11,BT$170)/12)*(1+V_dVol),0))</f>
        <v>0</v>
      </c>
      <c r="BU187" s="48" t="n">
        <f aca="false">IF(BU$8=1,N(Reales!BU22),IF(BU$171=1,IF(AND(AND(68&gt;Corte,68&lt;=Corte+n_Ventana),ISNUMBER(Detalle_24m!BU$24)),Detalle_24m!BU$24,INDEX(Vol_V,11,BU$170)/12)*(1+V_dVol),0))</f>
        <v>0</v>
      </c>
      <c r="BV187" s="48" t="n">
        <f aca="false">IF(BV$8=1,N(Reales!BV22),IF(BV$171=1,IF(AND(AND(69&gt;Corte,69&lt;=Corte+n_Ventana),ISNUMBER(Detalle_24m!BV$24)),Detalle_24m!BV$24,INDEX(Vol_V,11,BV$170)/12)*(1+V_dVol),0))</f>
        <v>0</v>
      </c>
      <c r="BW187" s="48" t="n">
        <f aca="false">IF(BW$8=1,N(Reales!BW22),IF(BW$171=1,IF(AND(AND(70&gt;Corte,70&lt;=Corte+n_Ventana),ISNUMBER(Detalle_24m!BW$24)),Detalle_24m!BW$24,INDEX(Vol_V,11,BW$170)/12)*(1+V_dVol),0))</f>
        <v>0</v>
      </c>
      <c r="BX187" s="48" t="n">
        <f aca="false">IF(BX$8=1,N(Reales!BX22),IF(BX$171=1,IF(AND(AND(71&gt;Corte,71&lt;=Corte+n_Ventana),ISNUMBER(Detalle_24m!BX$24)),Detalle_24m!BX$24,INDEX(Vol_V,11,BX$170)/12)*(1+V_dVol),0))</f>
        <v>0</v>
      </c>
      <c r="BY187" s="48" t="n">
        <f aca="false">IF(BY$8=1,N(Reales!BY22),IF(BY$171=1,IF(AND(AND(72&gt;Corte,72&lt;=Corte+n_Ventana),ISNUMBER(Detalle_24m!BY$24)),Detalle_24m!BY$24,INDEX(Vol_V,11,BY$170)/12)*(1+V_dVol),0))</f>
        <v>0</v>
      </c>
      <c r="BZ187" s="48" t="n">
        <f aca="false">IF(BZ$8=1,N(Reales!BZ22),IF(BZ$171=1,IF(AND(AND(73&gt;Corte,73&lt;=Corte+n_Ventana),ISNUMBER(Detalle_24m!BZ$24)),Detalle_24m!BZ$24,INDEX(Vol_V,11,BZ$170)/12)*(1+V_dVol),0))</f>
        <v>0</v>
      </c>
      <c r="CA187" s="48" t="n">
        <f aca="false">IF(CA$8=1,N(Reales!CA22),IF(CA$171=1,IF(AND(AND(74&gt;Corte,74&lt;=Corte+n_Ventana),ISNUMBER(Detalle_24m!CA$24)),Detalle_24m!CA$24,INDEX(Vol_V,11,CA$170)/12)*(1+V_dVol),0))</f>
        <v>0</v>
      </c>
      <c r="CB187" s="48" t="n">
        <f aca="false">IF(CB$8=1,N(Reales!CB22),IF(CB$171=1,IF(AND(AND(75&gt;Corte,75&lt;=Corte+n_Ventana),ISNUMBER(Detalle_24m!CB$24)),Detalle_24m!CB$24,INDEX(Vol_V,11,CB$170)/12)*(1+V_dVol),0))</f>
        <v>0</v>
      </c>
      <c r="CC187" s="48" t="n">
        <f aca="false">IF(CC$8=1,N(Reales!CC22),IF(CC$171=1,IF(AND(AND(76&gt;Corte,76&lt;=Corte+n_Ventana),ISNUMBER(Detalle_24m!CC$24)),Detalle_24m!CC$24,INDEX(Vol_V,11,CC$170)/12)*(1+V_dVol),0))</f>
        <v>0</v>
      </c>
      <c r="CD187" s="48" t="n">
        <f aca="false">IF(CD$8=1,N(Reales!CD22),IF(CD$171=1,IF(AND(AND(77&gt;Corte,77&lt;=Corte+n_Ventana),ISNUMBER(Detalle_24m!CD$24)),Detalle_24m!CD$24,INDEX(Vol_V,11,CD$170)/12)*(1+V_dVol),0))</f>
        <v>0</v>
      </c>
      <c r="CE187" s="48" t="n">
        <f aca="false">IF(CE$8=1,N(Reales!CE22),IF(CE$171=1,IF(AND(AND(78&gt;Corte,78&lt;=Corte+n_Ventana),ISNUMBER(Detalle_24m!CE$24)),Detalle_24m!CE$24,INDEX(Vol_V,11,CE$170)/12)*(1+V_dVol),0))</f>
        <v>0</v>
      </c>
      <c r="CF187" s="48" t="n">
        <f aca="false">IF(CF$8=1,N(Reales!CF22),IF(CF$171=1,IF(AND(AND(79&gt;Corte,79&lt;=Corte+n_Ventana),ISNUMBER(Detalle_24m!CF$24)),Detalle_24m!CF$24,INDEX(Vol_V,11,CF$170)/12)*(1+V_dVol),0))</f>
        <v>0</v>
      </c>
      <c r="CG187" s="48" t="n">
        <f aca="false">IF(CG$8=1,N(Reales!CG22),IF(CG$171=1,IF(AND(AND(80&gt;Corte,80&lt;=Corte+n_Ventana),ISNUMBER(Detalle_24m!CG$24)),Detalle_24m!CG$24,INDEX(Vol_V,11,CG$170)/12)*(1+V_dVol),0))</f>
        <v>0</v>
      </c>
      <c r="CH187" s="48" t="n">
        <f aca="false">IF(CH$8=1,N(Reales!CH22),IF(CH$171=1,IF(AND(AND(81&gt;Corte,81&lt;=Corte+n_Ventana),ISNUMBER(Detalle_24m!CH$24)),Detalle_24m!CH$24,INDEX(Vol_V,11,CH$170)/12)*(1+V_dVol),0))</f>
        <v>0</v>
      </c>
      <c r="CI187" s="48" t="n">
        <f aca="false">IF(CI$8=1,N(Reales!CI22),IF(CI$171=1,IF(AND(AND(82&gt;Corte,82&lt;=Corte+n_Ventana),ISNUMBER(Detalle_24m!CI$24)),Detalle_24m!CI$24,INDEX(Vol_V,11,CI$170)/12)*(1+V_dVol),0))</f>
        <v>0</v>
      </c>
      <c r="CJ187" s="48" t="n">
        <f aca="false">IF(CJ$8=1,N(Reales!CJ22),IF(CJ$171=1,IF(AND(AND(83&gt;Corte,83&lt;=Corte+n_Ventana),ISNUMBER(Detalle_24m!CJ$24)),Detalle_24m!CJ$24,INDEX(Vol_V,11,CJ$170)/12)*(1+V_dVol),0))</f>
        <v>0</v>
      </c>
      <c r="CK187" s="48" t="n">
        <f aca="false">IF(CK$8=1,N(Reales!CK22),IF(CK$171=1,IF(AND(AND(84&gt;Corte,84&lt;=Corte+n_Ventana),ISNUMBER(Detalle_24m!CK$24)),Detalle_24m!CK$24,INDEX(Vol_V,11,CK$170)/12)*(1+V_dVol),0))</f>
        <v>0</v>
      </c>
      <c r="CL187" s="48" t="n">
        <f aca="false">IF(CL$8=1,N(Reales!CL22),IF(CL$171=1,IF(AND(AND(85&gt;Corte,85&lt;=Corte+n_Ventana),ISNUMBER(Detalle_24m!CL$24)),Detalle_24m!CL$24,INDEX(Vol_V,11,CL$170)/12)*(1+V_dVol),0))</f>
        <v>0</v>
      </c>
      <c r="CM187" s="48" t="n">
        <f aca="false">IF(CM$8=1,N(Reales!CM22),IF(CM$171=1,IF(AND(AND(86&gt;Corte,86&lt;=Corte+n_Ventana),ISNUMBER(Detalle_24m!CM$24)),Detalle_24m!CM$24,INDEX(Vol_V,11,CM$170)/12)*(1+V_dVol),0))</f>
        <v>0</v>
      </c>
      <c r="CN187" s="48" t="n">
        <f aca="false">IF(CN$8=1,N(Reales!CN22),IF(CN$171=1,IF(AND(AND(87&gt;Corte,87&lt;=Corte+n_Ventana),ISNUMBER(Detalle_24m!CN$24)),Detalle_24m!CN$24,INDEX(Vol_V,11,CN$170)/12)*(1+V_dVol),0))</f>
        <v>0</v>
      </c>
      <c r="CO187" s="48" t="n">
        <f aca="false">IF(CO$8=1,N(Reales!CO22),IF(CO$171=1,IF(AND(AND(88&gt;Corte,88&lt;=Corte+n_Ventana),ISNUMBER(Detalle_24m!CO$24)),Detalle_24m!CO$24,INDEX(Vol_V,11,CO$170)/12)*(1+V_dVol),0))</f>
        <v>0</v>
      </c>
      <c r="CP187" s="48" t="n">
        <f aca="false">IF(CP$8=1,N(Reales!CP22),IF(CP$171=1,IF(AND(AND(89&gt;Corte,89&lt;=Corte+n_Ventana),ISNUMBER(Detalle_24m!CP$24)),Detalle_24m!CP$24,INDEX(Vol_V,11,CP$170)/12)*(1+V_dVol),0))</f>
        <v>0</v>
      </c>
      <c r="CQ187" s="48" t="n">
        <f aca="false">IF(CQ$8=1,N(Reales!CQ22),IF(CQ$171=1,IF(AND(AND(90&gt;Corte,90&lt;=Corte+n_Ventana),ISNUMBER(Detalle_24m!CQ$24)),Detalle_24m!CQ$24,INDEX(Vol_V,11,CQ$170)/12)*(1+V_dVol),0))</f>
        <v>0</v>
      </c>
      <c r="CR187" s="48" t="n">
        <f aca="false">IF(CR$8=1,N(Reales!CR22),IF(CR$171=1,IF(AND(AND(91&gt;Corte,91&lt;=Corte+n_Ventana),ISNUMBER(Detalle_24m!CR$24)),Detalle_24m!CR$24,INDEX(Vol_V,11,CR$170)/12)*(1+V_dVol),0))</f>
        <v>0</v>
      </c>
      <c r="CS187" s="48" t="n">
        <f aca="false">IF(CS$8=1,N(Reales!CS22),IF(CS$171=1,IF(AND(AND(92&gt;Corte,92&lt;=Corte+n_Ventana),ISNUMBER(Detalle_24m!CS$24)),Detalle_24m!CS$24,INDEX(Vol_V,11,CS$170)/12)*(1+V_dVol),0))</f>
        <v>0</v>
      </c>
      <c r="CT187" s="48" t="n">
        <f aca="false">IF(CT$8=1,N(Reales!CT22),IF(CT$171=1,IF(AND(AND(93&gt;Corte,93&lt;=Corte+n_Ventana),ISNUMBER(Detalle_24m!CT$24)),Detalle_24m!CT$24,INDEX(Vol_V,11,CT$170)/12)*(1+V_dVol),0))</f>
        <v>0</v>
      </c>
      <c r="CU187" s="48" t="n">
        <f aca="false">IF(CU$8=1,N(Reales!CU22),IF(CU$171=1,IF(AND(AND(94&gt;Corte,94&lt;=Corte+n_Ventana),ISNUMBER(Detalle_24m!CU$24)),Detalle_24m!CU$24,INDEX(Vol_V,11,CU$170)/12)*(1+V_dVol),0))</f>
        <v>0</v>
      </c>
      <c r="CV187" s="48" t="n">
        <f aca="false">IF(CV$8=1,N(Reales!CV22),IF(CV$171=1,IF(AND(AND(95&gt;Corte,95&lt;=Corte+n_Ventana),ISNUMBER(Detalle_24m!CV$24)),Detalle_24m!CV$24,INDEX(Vol_V,11,CV$170)/12)*(1+V_dVol),0))</f>
        <v>0</v>
      </c>
      <c r="CW187" s="48" t="n">
        <f aca="false">IF(CW$8=1,N(Reales!CW22),IF(CW$171=1,IF(AND(AND(96&gt;Corte,96&lt;=Corte+n_Ventana),ISNUMBER(Detalle_24m!CW$24)),Detalle_24m!CW$24,INDEX(Vol_V,11,CW$170)/12)*(1+V_dVol),0))</f>
        <v>0</v>
      </c>
      <c r="CX187" s="48" t="n">
        <f aca="false">IF(CX$8=1,N(Reales!CX22),IF(CX$171=1,IF(AND(AND(97&gt;Corte,97&lt;=Corte+n_Ventana),ISNUMBER(Detalle_24m!CX$24)),Detalle_24m!CX$24,INDEX(Vol_V,11,CX$170)/12)*(1+V_dVol),0))</f>
        <v>0</v>
      </c>
      <c r="CY187" s="48" t="n">
        <f aca="false">IF(CY$8=1,N(Reales!CY22),IF(CY$171=1,IF(AND(AND(98&gt;Corte,98&lt;=Corte+n_Ventana),ISNUMBER(Detalle_24m!CY$24)),Detalle_24m!CY$24,INDEX(Vol_V,11,CY$170)/12)*(1+V_dVol),0))</f>
        <v>0</v>
      </c>
      <c r="CZ187" s="48" t="n">
        <f aca="false">IF(CZ$8=1,N(Reales!CZ22),IF(CZ$171=1,IF(AND(AND(99&gt;Corte,99&lt;=Corte+n_Ventana),ISNUMBER(Detalle_24m!CZ$24)),Detalle_24m!CZ$24,INDEX(Vol_V,11,CZ$170)/12)*(1+V_dVol),0))</f>
        <v>0</v>
      </c>
      <c r="DA187" s="48" t="n">
        <f aca="false">IF(DA$8=1,N(Reales!DA22),IF(DA$171=1,IF(AND(AND(100&gt;Corte,100&lt;=Corte+n_Ventana),ISNUMBER(Detalle_24m!DA$24)),Detalle_24m!DA$24,INDEX(Vol_V,11,DA$170)/12)*(1+V_dVol),0))</f>
        <v>0</v>
      </c>
      <c r="DB187" s="48" t="n">
        <f aca="false">IF(DB$8=1,N(Reales!DB22),IF(DB$171=1,IF(AND(AND(101&gt;Corte,101&lt;=Corte+n_Ventana),ISNUMBER(Detalle_24m!DB$24)),Detalle_24m!DB$24,INDEX(Vol_V,11,DB$170)/12)*(1+V_dVol),0))</f>
        <v>0</v>
      </c>
      <c r="DC187" s="48" t="n">
        <f aca="false">IF(DC$8=1,N(Reales!DC22),IF(DC$171=1,IF(AND(AND(102&gt;Corte,102&lt;=Corte+n_Ventana),ISNUMBER(Detalle_24m!DC$24)),Detalle_24m!DC$24,INDEX(Vol_V,11,DC$170)/12)*(1+V_dVol),0))</f>
        <v>0</v>
      </c>
      <c r="DD187" s="48" t="n">
        <f aca="false">IF(DD$8=1,N(Reales!DD22),IF(DD$171=1,IF(AND(AND(103&gt;Corte,103&lt;=Corte+n_Ventana),ISNUMBER(Detalle_24m!DD$24)),Detalle_24m!DD$24,INDEX(Vol_V,11,DD$170)/12)*(1+V_dVol),0))</f>
        <v>0</v>
      </c>
      <c r="DE187" s="48" t="n">
        <f aca="false">IF(DE$8=1,N(Reales!DE22),IF(DE$171=1,IF(AND(AND(104&gt;Corte,104&lt;=Corte+n_Ventana),ISNUMBER(Detalle_24m!DE$24)),Detalle_24m!DE$24,INDEX(Vol_V,11,DE$170)/12)*(1+V_dVol),0))</f>
        <v>0</v>
      </c>
      <c r="DF187" s="48" t="n">
        <f aca="false">IF(DF$8=1,N(Reales!DF22),IF(DF$171=1,IF(AND(AND(105&gt;Corte,105&lt;=Corte+n_Ventana),ISNUMBER(Detalle_24m!DF$24)),Detalle_24m!DF$24,INDEX(Vol_V,11,DF$170)/12)*(1+V_dVol),0))</f>
        <v>0</v>
      </c>
      <c r="DG187" s="48" t="n">
        <f aca="false">IF(DG$8=1,N(Reales!DG22),IF(DG$171=1,IF(AND(AND(106&gt;Corte,106&lt;=Corte+n_Ventana),ISNUMBER(Detalle_24m!DG$24)),Detalle_24m!DG$24,INDEX(Vol_V,11,DG$170)/12)*(1+V_dVol),0))</f>
        <v>0</v>
      </c>
      <c r="DH187" s="48" t="n">
        <f aca="false">IF(DH$8=1,N(Reales!DH22),IF(DH$171=1,IF(AND(AND(107&gt;Corte,107&lt;=Corte+n_Ventana),ISNUMBER(Detalle_24m!DH$24)),Detalle_24m!DH$24,INDEX(Vol_V,11,DH$170)/12)*(1+V_dVol),0))</f>
        <v>0</v>
      </c>
      <c r="DI187" s="48" t="n">
        <f aca="false">IF(DI$8=1,N(Reales!DI22),IF(DI$171=1,IF(AND(AND(108&gt;Corte,108&lt;=Corte+n_Ventana),ISNUMBER(Detalle_24m!DI$24)),Detalle_24m!DI$24,INDEX(Vol_V,11,DI$170)/12)*(1+V_dVol),0))</f>
        <v>0</v>
      </c>
      <c r="DJ187" s="48" t="n">
        <f aca="false">IF(DJ$8=1,N(Reales!DJ22),IF(DJ$171=1,IF(AND(AND(109&gt;Corte,109&lt;=Corte+n_Ventana),ISNUMBER(Detalle_24m!DJ$24)),Detalle_24m!DJ$24,INDEX(Vol_V,11,DJ$170)/12)*(1+V_dVol),0))</f>
        <v>0</v>
      </c>
      <c r="DK187" s="48" t="n">
        <f aca="false">IF(DK$8=1,N(Reales!DK22),IF(DK$171=1,IF(AND(AND(110&gt;Corte,110&lt;=Corte+n_Ventana),ISNUMBER(Detalle_24m!DK$24)),Detalle_24m!DK$24,INDEX(Vol_V,11,DK$170)/12)*(1+V_dVol),0))</f>
        <v>0</v>
      </c>
      <c r="DL187" s="48" t="n">
        <f aca="false">IF(DL$8=1,N(Reales!DL22),IF(DL$171=1,IF(AND(AND(111&gt;Corte,111&lt;=Corte+n_Ventana),ISNUMBER(Detalle_24m!DL$24)),Detalle_24m!DL$24,INDEX(Vol_V,11,DL$170)/12)*(1+V_dVol),0))</f>
        <v>0</v>
      </c>
      <c r="DM187" s="48" t="n">
        <f aca="false">IF(DM$8=1,N(Reales!DM22),IF(DM$171=1,IF(AND(AND(112&gt;Corte,112&lt;=Corte+n_Ventana),ISNUMBER(Detalle_24m!DM$24)),Detalle_24m!DM$24,INDEX(Vol_V,11,DM$170)/12)*(1+V_dVol),0))</f>
        <v>0</v>
      </c>
      <c r="DN187" s="48" t="n">
        <f aca="false">IF(DN$8=1,N(Reales!DN22),IF(DN$171=1,IF(AND(AND(113&gt;Corte,113&lt;=Corte+n_Ventana),ISNUMBER(Detalle_24m!DN$24)),Detalle_24m!DN$24,INDEX(Vol_V,11,DN$170)/12)*(1+V_dVol),0))</f>
        <v>0</v>
      </c>
      <c r="DO187" s="48" t="n">
        <f aca="false">IF(DO$8=1,N(Reales!DO22),IF(DO$171=1,IF(AND(AND(114&gt;Corte,114&lt;=Corte+n_Ventana),ISNUMBER(Detalle_24m!DO$24)),Detalle_24m!DO$24,INDEX(Vol_V,11,DO$170)/12)*(1+V_dVol),0))</f>
        <v>0</v>
      </c>
      <c r="DP187" s="48" t="n">
        <f aca="false">IF(DP$8=1,N(Reales!DP22),IF(DP$171=1,IF(AND(AND(115&gt;Corte,115&lt;=Corte+n_Ventana),ISNUMBER(Detalle_24m!DP$24)),Detalle_24m!DP$24,INDEX(Vol_V,11,DP$170)/12)*(1+V_dVol),0))</f>
        <v>0</v>
      </c>
      <c r="DQ187" s="48" t="n">
        <f aca="false">IF(DQ$8=1,N(Reales!DQ22),IF(DQ$171=1,IF(AND(AND(116&gt;Corte,116&lt;=Corte+n_Ventana),ISNUMBER(Detalle_24m!DQ$24)),Detalle_24m!DQ$24,INDEX(Vol_V,11,DQ$170)/12)*(1+V_dVol),0))</f>
        <v>0</v>
      </c>
      <c r="DR187" s="48" t="n">
        <f aca="false">IF(DR$8=1,N(Reales!DR22),IF(DR$171=1,IF(AND(AND(117&gt;Corte,117&lt;=Corte+n_Ventana),ISNUMBER(Detalle_24m!DR$24)),Detalle_24m!DR$24,INDEX(Vol_V,11,DR$170)/12)*(1+V_dVol),0))</f>
        <v>0</v>
      </c>
      <c r="DS187" s="48" t="n">
        <f aca="false">IF(DS$8=1,N(Reales!DS22),IF(DS$171=1,IF(AND(AND(118&gt;Corte,118&lt;=Corte+n_Ventana),ISNUMBER(Detalle_24m!DS$24)),Detalle_24m!DS$24,INDEX(Vol_V,11,DS$170)/12)*(1+V_dVol),0))</f>
        <v>0</v>
      </c>
      <c r="DT187" s="48" t="n">
        <f aca="false">IF(DT$8=1,N(Reales!DT22),IF(DT$171=1,IF(AND(AND(119&gt;Corte,119&lt;=Corte+n_Ventana),ISNUMBER(Detalle_24m!DT$24)),Detalle_24m!DT$24,INDEX(Vol_V,11,DT$170)/12)*(1+V_dVol),0))</f>
        <v>0</v>
      </c>
      <c r="DU187" s="48" t="n">
        <f aca="false">IF(DU$8=1,N(Reales!DU22),IF(DU$171=1,IF(AND(AND(120&gt;Corte,120&lt;=Corte+n_Ventana),ISNUMBER(Detalle_24m!DU$24)),Detalle_24m!DU$24,INDEX(Vol_V,11,DU$170)/12)*(1+V_dVol),0))</f>
        <v>0</v>
      </c>
      <c r="DV187" s="48" t="n">
        <f aca="false">IF(DV$8=1,N(Reales!DV22),IF(DV$171=1,IF(AND(AND(121&gt;Corte,121&lt;=Corte+n_Ventana),ISNUMBER(Detalle_24m!DV$24)),Detalle_24m!DV$24,INDEX(Vol_V,11,DV$170)/12)*(1+V_dVol),0))</f>
        <v>0</v>
      </c>
      <c r="DW187" s="48" t="n">
        <f aca="false">IF(DW$8=1,N(Reales!DW22),IF(DW$171=1,IF(AND(AND(122&gt;Corte,122&lt;=Corte+n_Ventana),ISNUMBER(Detalle_24m!DW$24)),Detalle_24m!DW$24,INDEX(Vol_V,11,DW$170)/12)*(1+V_dVol),0))</f>
        <v>0</v>
      </c>
      <c r="DX187" s="48" t="n">
        <f aca="false">IF(DX$8=1,N(Reales!DX22),IF(DX$171=1,IF(AND(AND(123&gt;Corte,123&lt;=Corte+n_Ventana),ISNUMBER(Detalle_24m!DX$24)),Detalle_24m!DX$24,INDEX(Vol_V,11,DX$170)/12)*(1+V_dVol),0))</f>
        <v>0</v>
      </c>
      <c r="DY187" s="48" t="n">
        <f aca="false">IF(DY$8=1,N(Reales!DY22),IF(DY$171=1,IF(AND(AND(124&gt;Corte,124&lt;=Corte+n_Ventana),ISNUMBER(Detalle_24m!DY$24)),Detalle_24m!DY$24,INDEX(Vol_V,11,DY$170)/12)*(1+V_dVol),0))</f>
        <v>0</v>
      </c>
      <c r="DZ187" s="48" t="n">
        <f aca="false">IF(DZ$8=1,N(Reales!DZ22),IF(DZ$171=1,IF(AND(AND(125&gt;Corte,125&lt;=Corte+n_Ventana),ISNUMBER(Detalle_24m!DZ$24)),Detalle_24m!DZ$24,INDEX(Vol_V,11,DZ$170)/12)*(1+V_dVol),0))</f>
        <v>0</v>
      </c>
      <c r="EA187" s="48" t="n">
        <f aca="false">IF(EA$8=1,N(Reales!EA22),IF(EA$171=1,IF(AND(AND(126&gt;Corte,126&lt;=Corte+n_Ventana),ISNUMBER(Detalle_24m!EA$24)),Detalle_24m!EA$24,INDEX(Vol_V,11,EA$170)/12)*(1+V_dVol),0))</f>
        <v>0</v>
      </c>
      <c r="EB187" s="48" t="n">
        <f aca="false">IF(EB$8=1,N(Reales!EB22),IF(EB$171=1,IF(AND(AND(127&gt;Corte,127&lt;=Corte+n_Ventana),ISNUMBER(Detalle_24m!EB$24)),Detalle_24m!EB$24,INDEX(Vol_V,11,EB$170)/12)*(1+V_dVol),0))</f>
        <v>0</v>
      </c>
      <c r="EC187" s="48" t="n">
        <f aca="false">IF(EC$8=1,N(Reales!EC22),IF(EC$171=1,IF(AND(AND(128&gt;Corte,128&lt;=Corte+n_Ventana),ISNUMBER(Detalle_24m!EC$24)),Detalle_24m!EC$24,INDEX(Vol_V,11,EC$170)/12)*(1+V_dVol),0))</f>
        <v>0</v>
      </c>
      <c r="ED187" s="48" t="n">
        <f aca="false">IF(ED$8=1,N(Reales!ED22),IF(ED$171=1,IF(AND(AND(129&gt;Corte,129&lt;=Corte+n_Ventana),ISNUMBER(Detalle_24m!ED$24)),Detalle_24m!ED$24,INDEX(Vol_V,11,ED$170)/12)*(1+V_dVol),0))</f>
        <v>0</v>
      </c>
      <c r="EE187" s="48" t="n">
        <f aca="false">IF(EE$8=1,N(Reales!EE22),IF(EE$171=1,IF(AND(AND(130&gt;Corte,130&lt;=Corte+n_Ventana),ISNUMBER(Detalle_24m!EE$24)),Detalle_24m!EE$24,INDEX(Vol_V,11,EE$170)/12)*(1+V_dVol),0))</f>
        <v>0</v>
      </c>
      <c r="EF187" s="48" t="n">
        <f aca="false">IF(EF$8=1,N(Reales!EF22),IF(EF$171=1,IF(AND(AND(131&gt;Corte,131&lt;=Corte+n_Ventana),ISNUMBER(Detalle_24m!EF$24)),Detalle_24m!EF$24,INDEX(Vol_V,11,EF$170)/12)*(1+V_dVol),0))</f>
        <v>0</v>
      </c>
      <c r="EG187" s="48" t="n">
        <f aca="false">IF(EG$8=1,N(Reales!EG22),IF(EG$171=1,IF(AND(AND(132&gt;Corte,132&lt;=Corte+n_Ventana),ISNUMBER(Detalle_24m!EG$24)),Detalle_24m!EG$24,INDEX(Vol_V,11,EG$170)/12)*(1+V_dVol),0))</f>
        <v>0</v>
      </c>
      <c r="EH187" s="48" t="n">
        <f aca="false">IF(EH$8=1,N(Reales!EH22),IF(EH$171=1,IF(AND(AND(133&gt;Corte,133&lt;=Corte+n_Ventana),ISNUMBER(Detalle_24m!EH$24)),Detalle_24m!EH$24,INDEX(Vol_V,11,EH$170)/12)*(1+V_dVol),0))</f>
        <v>0</v>
      </c>
      <c r="EI187" s="48" t="n">
        <f aca="false">IF(EI$8=1,N(Reales!EI22),IF(EI$171=1,IF(AND(AND(134&gt;Corte,134&lt;=Corte+n_Ventana),ISNUMBER(Detalle_24m!EI$24)),Detalle_24m!EI$24,INDEX(Vol_V,11,EI$170)/12)*(1+V_dVol),0))</f>
        <v>0</v>
      </c>
      <c r="EJ187" s="48" t="n">
        <f aca="false">IF(EJ$8=1,N(Reales!EJ22),IF(EJ$171=1,IF(AND(AND(135&gt;Corte,135&lt;=Corte+n_Ventana),ISNUMBER(Detalle_24m!EJ$24)),Detalle_24m!EJ$24,INDEX(Vol_V,11,EJ$170)/12)*(1+V_dVol),0))</f>
        <v>0</v>
      </c>
      <c r="EK187" s="48" t="n">
        <f aca="false">IF(EK$8=1,N(Reales!EK22),IF(EK$171=1,IF(AND(AND(136&gt;Corte,136&lt;=Corte+n_Ventana),ISNUMBER(Detalle_24m!EK$24)),Detalle_24m!EK$24,INDEX(Vol_V,11,EK$170)/12)*(1+V_dVol),0))</f>
        <v>0</v>
      </c>
      <c r="EL187" s="48" t="n">
        <f aca="false">IF(EL$8=1,N(Reales!EL22),IF(EL$171=1,IF(AND(AND(137&gt;Corte,137&lt;=Corte+n_Ventana),ISNUMBER(Detalle_24m!EL$24)),Detalle_24m!EL$24,INDEX(Vol_V,11,EL$170)/12)*(1+V_dVol),0))</f>
        <v>0</v>
      </c>
      <c r="EM187" s="48" t="n">
        <f aca="false">IF(EM$8=1,N(Reales!EM22),IF(EM$171=1,IF(AND(AND(138&gt;Corte,138&lt;=Corte+n_Ventana),ISNUMBER(Detalle_24m!EM$24)),Detalle_24m!EM$24,INDEX(Vol_V,11,EM$170)/12)*(1+V_dVol),0))</f>
        <v>0</v>
      </c>
      <c r="EN187" s="48" t="n">
        <f aca="false">IF(EN$8=1,N(Reales!EN22),IF(EN$171=1,IF(AND(AND(139&gt;Corte,139&lt;=Corte+n_Ventana),ISNUMBER(Detalle_24m!EN$24)),Detalle_24m!EN$24,INDEX(Vol_V,11,EN$170)/12)*(1+V_dVol),0))</f>
        <v>0</v>
      </c>
      <c r="EO187" s="48" t="n">
        <f aca="false">IF(EO$8=1,N(Reales!EO22),IF(EO$171=1,IF(AND(AND(140&gt;Corte,140&lt;=Corte+n_Ventana),ISNUMBER(Detalle_24m!EO$24)),Detalle_24m!EO$24,INDEX(Vol_V,11,EO$170)/12)*(1+V_dVol),0))</f>
        <v>0</v>
      </c>
      <c r="EP187" s="48" t="n">
        <f aca="false">IF(EP$8=1,N(Reales!EP22),IF(EP$171=1,IF(AND(AND(141&gt;Corte,141&lt;=Corte+n_Ventana),ISNUMBER(Detalle_24m!EP$24)),Detalle_24m!EP$24,INDEX(Vol_V,11,EP$170)/12)*(1+V_dVol),0))</f>
        <v>0</v>
      </c>
      <c r="EQ187" s="48" t="n">
        <f aca="false">IF(EQ$8=1,N(Reales!EQ22),IF(EQ$171=1,IF(AND(AND(142&gt;Corte,142&lt;=Corte+n_Ventana),ISNUMBER(Detalle_24m!EQ$24)),Detalle_24m!EQ$24,INDEX(Vol_V,11,EQ$170)/12)*(1+V_dVol),0))</f>
        <v>0</v>
      </c>
      <c r="ER187" s="48" t="n">
        <f aca="false">IF(ER$8=1,N(Reales!ER22),IF(ER$171=1,IF(AND(AND(143&gt;Corte,143&lt;=Corte+n_Ventana),ISNUMBER(Detalle_24m!ER$24)),Detalle_24m!ER$24,INDEX(Vol_V,11,ER$170)/12)*(1+V_dVol),0))</f>
        <v>0</v>
      </c>
      <c r="ES187" s="48" t="n">
        <f aca="false">IF(ES$8=1,N(Reales!ES22),IF(ES$171=1,IF(AND(AND(144&gt;Corte,144&lt;=Corte+n_Ventana),ISNUMBER(Detalle_24m!ES$24)),Detalle_24m!ES$24,INDEX(Vol_V,11,ES$170)/12)*(1+V_dVol),0))</f>
        <v>0</v>
      </c>
    </row>
    <row r="188" customFormat="false" ht="15" hidden="false" customHeight="false" outlineLevel="0" collapsed="false">
      <c r="A188" s="11" t="s">
        <v>1311</v>
      </c>
      <c r="B188" s="53" t="str">
        <f aca="false">IF(INDEX(Prod_Nombre,12)="","Producto 12",INDEX(Prod_Nombre,12))&amp;" — unidades"</f>
        <v>Producto 12 — unidades</v>
      </c>
      <c r="C188" s="15" t="s">
        <v>544</v>
      </c>
      <c r="E188" s="54" t="n">
        <f aca="false">SUM(F188:ES188)</f>
        <v>0</v>
      </c>
      <c r="F188" s="48" t="n">
        <f aca="false">IF(F$8=1,N(Reales!F23),IF(F$171=1,IF(AND(AND(1&gt;Corte,1&lt;=Corte+n_Ventana),ISNUMBER(Detalle_24m!F$25)),Detalle_24m!F$25,INDEX(Vol_V,12,F$170)/12)*(1+V_dVol),0))</f>
        <v>0</v>
      </c>
      <c r="G188" s="48" t="n">
        <f aca="false">IF(G$8=1,N(Reales!G23),IF(G$171=1,IF(AND(AND(2&gt;Corte,2&lt;=Corte+n_Ventana),ISNUMBER(Detalle_24m!G$25)),Detalle_24m!G$25,INDEX(Vol_V,12,G$170)/12)*(1+V_dVol),0))</f>
        <v>0</v>
      </c>
      <c r="H188" s="48" t="n">
        <f aca="false">IF(H$8=1,N(Reales!H23),IF(H$171=1,IF(AND(AND(3&gt;Corte,3&lt;=Corte+n_Ventana),ISNUMBER(Detalle_24m!H$25)),Detalle_24m!H$25,INDEX(Vol_V,12,H$170)/12)*(1+V_dVol),0))</f>
        <v>0</v>
      </c>
      <c r="I188" s="48" t="n">
        <f aca="false">IF(I$8=1,N(Reales!I23),IF(I$171=1,IF(AND(AND(4&gt;Corte,4&lt;=Corte+n_Ventana),ISNUMBER(Detalle_24m!I$25)),Detalle_24m!I$25,INDEX(Vol_V,12,I$170)/12)*(1+V_dVol),0))</f>
        <v>0</v>
      </c>
      <c r="J188" s="48" t="n">
        <f aca="false">IF(J$8=1,N(Reales!J23),IF(J$171=1,IF(AND(AND(5&gt;Corte,5&lt;=Corte+n_Ventana),ISNUMBER(Detalle_24m!J$25)),Detalle_24m!J$25,INDEX(Vol_V,12,J$170)/12)*(1+V_dVol),0))</f>
        <v>0</v>
      </c>
      <c r="K188" s="48" t="n">
        <f aca="false">IF(K$8=1,N(Reales!K23),IF(K$171=1,IF(AND(AND(6&gt;Corte,6&lt;=Corte+n_Ventana),ISNUMBER(Detalle_24m!K$25)),Detalle_24m!K$25,INDEX(Vol_V,12,K$170)/12)*(1+V_dVol),0))</f>
        <v>0</v>
      </c>
      <c r="L188" s="48" t="n">
        <f aca="false">IF(L$8=1,N(Reales!L23),IF(L$171=1,IF(AND(AND(7&gt;Corte,7&lt;=Corte+n_Ventana),ISNUMBER(Detalle_24m!L$25)),Detalle_24m!L$25,INDEX(Vol_V,12,L$170)/12)*(1+V_dVol),0))</f>
        <v>0</v>
      </c>
      <c r="M188" s="48" t="n">
        <f aca="false">IF(M$8=1,N(Reales!M23),IF(M$171=1,IF(AND(AND(8&gt;Corte,8&lt;=Corte+n_Ventana),ISNUMBER(Detalle_24m!M$25)),Detalle_24m!M$25,INDEX(Vol_V,12,M$170)/12)*(1+V_dVol),0))</f>
        <v>0</v>
      </c>
      <c r="N188" s="48" t="n">
        <f aca="false">IF(N$8=1,N(Reales!N23),IF(N$171=1,IF(AND(AND(9&gt;Corte,9&lt;=Corte+n_Ventana),ISNUMBER(Detalle_24m!N$25)),Detalle_24m!N$25,INDEX(Vol_V,12,N$170)/12)*(1+V_dVol),0))</f>
        <v>0</v>
      </c>
      <c r="O188" s="48" t="n">
        <f aca="false">IF(O$8=1,N(Reales!O23),IF(O$171=1,IF(AND(AND(10&gt;Corte,10&lt;=Corte+n_Ventana),ISNUMBER(Detalle_24m!O$25)),Detalle_24m!O$25,INDEX(Vol_V,12,O$170)/12)*(1+V_dVol),0))</f>
        <v>0</v>
      </c>
      <c r="P188" s="48" t="n">
        <f aca="false">IF(P$8=1,N(Reales!P23),IF(P$171=1,IF(AND(AND(11&gt;Corte,11&lt;=Corte+n_Ventana),ISNUMBER(Detalle_24m!P$25)),Detalle_24m!P$25,INDEX(Vol_V,12,P$170)/12)*(1+V_dVol),0))</f>
        <v>0</v>
      </c>
      <c r="Q188" s="48" t="n">
        <f aca="false">IF(Q$8=1,N(Reales!Q23),IF(Q$171=1,IF(AND(AND(12&gt;Corte,12&lt;=Corte+n_Ventana),ISNUMBER(Detalle_24m!Q$25)),Detalle_24m!Q$25,INDEX(Vol_V,12,Q$170)/12)*(1+V_dVol),0))</f>
        <v>0</v>
      </c>
      <c r="R188" s="48" t="n">
        <f aca="false">IF(R$8=1,N(Reales!R23),IF(R$171=1,IF(AND(AND(13&gt;Corte,13&lt;=Corte+n_Ventana),ISNUMBER(Detalle_24m!R$25)),Detalle_24m!R$25,INDEX(Vol_V,12,R$170)/12)*(1+V_dVol),0))</f>
        <v>0</v>
      </c>
      <c r="S188" s="48" t="n">
        <f aca="false">IF(S$8=1,N(Reales!S23),IF(S$171=1,IF(AND(AND(14&gt;Corte,14&lt;=Corte+n_Ventana),ISNUMBER(Detalle_24m!S$25)),Detalle_24m!S$25,INDEX(Vol_V,12,S$170)/12)*(1+V_dVol),0))</f>
        <v>0</v>
      </c>
      <c r="T188" s="48" t="n">
        <f aca="false">IF(T$8=1,N(Reales!T23),IF(T$171=1,IF(AND(AND(15&gt;Corte,15&lt;=Corte+n_Ventana),ISNUMBER(Detalle_24m!T$25)),Detalle_24m!T$25,INDEX(Vol_V,12,T$170)/12)*(1+V_dVol),0))</f>
        <v>0</v>
      </c>
      <c r="U188" s="48" t="n">
        <f aca="false">IF(U$8=1,N(Reales!U23),IF(U$171=1,IF(AND(AND(16&gt;Corte,16&lt;=Corte+n_Ventana),ISNUMBER(Detalle_24m!U$25)),Detalle_24m!U$25,INDEX(Vol_V,12,U$170)/12)*(1+V_dVol),0))</f>
        <v>0</v>
      </c>
      <c r="V188" s="48" t="n">
        <f aca="false">IF(V$8=1,N(Reales!V23),IF(V$171=1,IF(AND(AND(17&gt;Corte,17&lt;=Corte+n_Ventana),ISNUMBER(Detalle_24m!V$25)),Detalle_24m!V$25,INDEX(Vol_V,12,V$170)/12)*(1+V_dVol),0))</f>
        <v>0</v>
      </c>
      <c r="W188" s="48" t="n">
        <f aca="false">IF(W$8=1,N(Reales!W23),IF(W$171=1,IF(AND(AND(18&gt;Corte,18&lt;=Corte+n_Ventana),ISNUMBER(Detalle_24m!W$25)),Detalle_24m!W$25,INDEX(Vol_V,12,W$170)/12)*(1+V_dVol),0))</f>
        <v>0</v>
      </c>
      <c r="X188" s="48" t="n">
        <f aca="false">IF(X$8=1,N(Reales!X23),IF(X$171=1,IF(AND(AND(19&gt;Corte,19&lt;=Corte+n_Ventana),ISNUMBER(Detalle_24m!X$25)),Detalle_24m!X$25,INDEX(Vol_V,12,X$170)/12)*(1+V_dVol),0))</f>
        <v>0</v>
      </c>
      <c r="Y188" s="48" t="n">
        <f aca="false">IF(Y$8=1,N(Reales!Y23),IF(Y$171=1,IF(AND(AND(20&gt;Corte,20&lt;=Corte+n_Ventana),ISNUMBER(Detalle_24m!Y$25)),Detalle_24m!Y$25,INDEX(Vol_V,12,Y$170)/12)*(1+V_dVol),0))</f>
        <v>0</v>
      </c>
      <c r="Z188" s="48" t="n">
        <f aca="false">IF(Z$8=1,N(Reales!Z23),IF(Z$171=1,IF(AND(AND(21&gt;Corte,21&lt;=Corte+n_Ventana),ISNUMBER(Detalle_24m!Z$25)),Detalle_24m!Z$25,INDEX(Vol_V,12,Z$170)/12)*(1+V_dVol),0))</f>
        <v>0</v>
      </c>
      <c r="AA188" s="48" t="n">
        <f aca="false">IF(AA$8=1,N(Reales!AA23),IF(AA$171=1,IF(AND(AND(22&gt;Corte,22&lt;=Corte+n_Ventana),ISNUMBER(Detalle_24m!AA$25)),Detalle_24m!AA$25,INDEX(Vol_V,12,AA$170)/12)*(1+V_dVol),0))</f>
        <v>0</v>
      </c>
      <c r="AB188" s="48" t="n">
        <f aca="false">IF(AB$8=1,N(Reales!AB23),IF(AB$171=1,IF(AND(AND(23&gt;Corte,23&lt;=Corte+n_Ventana),ISNUMBER(Detalle_24m!AB$25)),Detalle_24m!AB$25,INDEX(Vol_V,12,AB$170)/12)*(1+V_dVol),0))</f>
        <v>0</v>
      </c>
      <c r="AC188" s="48" t="n">
        <f aca="false">IF(AC$8=1,N(Reales!AC23),IF(AC$171=1,IF(AND(AND(24&gt;Corte,24&lt;=Corte+n_Ventana),ISNUMBER(Detalle_24m!AC$25)),Detalle_24m!AC$25,INDEX(Vol_V,12,AC$170)/12)*(1+V_dVol),0))</f>
        <v>0</v>
      </c>
      <c r="AD188" s="48" t="n">
        <f aca="false">IF(AD$8=1,N(Reales!AD23),IF(AD$171=1,IF(AND(AND(25&gt;Corte,25&lt;=Corte+n_Ventana),ISNUMBER(Detalle_24m!AD$25)),Detalle_24m!AD$25,INDEX(Vol_V,12,AD$170)/12)*(1+V_dVol),0))</f>
        <v>0</v>
      </c>
      <c r="AE188" s="48" t="n">
        <f aca="false">IF(AE$8=1,N(Reales!AE23),IF(AE$171=1,IF(AND(AND(26&gt;Corte,26&lt;=Corte+n_Ventana),ISNUMBER(Detalle_24m!AE$25)),Detalle_24m!AE$25,INDEX(Vol_V,12,AE$170)/12)*(1+V_dVol),0))</f>
        <v>0</v>
      </c>
      <c r="AF188" s="48" t="n">
        <f aca="false">IF(AF$8=1,N(Reales!AF23),IF(AF$171=1,IF(AND(AND(27&gt;Corte,27&lt;=Corte+n_Ventana),ISNUMBER(Detalle_24m!AF$25)),Detalle_24m!AF$25,INDEX(Vol_V,12,AF$170)/12)*(1+V_dVol),0))</f>
        <v>0</v>
      </c>
      <c r="AG188" s="48" t="n">
        <f aca="false">IF(AG$8=1,N(Reales!AG23),IF(AG$171=1,IF(AND(AND(28&gt;Corte,28&lt;=Corte+n_Ventana),ISNUMBER(Detalle_24m!AG$25)),Detalle_24m!AG$25,INDEX(Vol_V,12,AG$170)/12)*(1+V_dVol),0))</f>
        <v>0</v>
      </c>
      <c r="AH188" s="48" t="n">
        <f aca="false">IF(AH$8=1,N(Reales!AH23),IF(AH$171=1,IF(AND(AND(29&gt;Corte,29&lt;=Corte+n_Ventana),ISNUMBER(Detalle_24m!AH$25)),Detalle_24m!AH$25,INDEX(Vol_V,12,AH$170)/12)*(1+V_dVol),0))</f>
        <v>0</v>
      </c>
      <c r="AI188" s="48" t="n">
        <f aca="false">IF(AI$8=1,N(Reales!AI23),IF(AI$171=1,IF(AND(AND(30&gt;Corte,30&lt;=Corte+n_Ventana),ISNUMBER(Detalle_24m!AI$25)),Detalle_24m!AI$25,INDEX(Vol_V,12,AI$170)/12)*(1+V_dVol),0))</f>
        <v>0</v>
      </c>
      <c r="AJ188" s="48" t="n">
        <f aca="false">IF(AJ$8=1,N(Reales!AJ23),IF(AJ$171=1,IF(AND(AND(31&gt;Corte,31&lt;=Corte+n_Ventana),ISNUMBER(Detalle_24m!AJ$25)),Detalle_24m!AJ$25,INDEX(Vol_V,12,AJ$170)/12)*(1+V_dVol),0))</f>
        <v>0</v>
      </c>
      <c r="AK188" s="48" t="n">
        <f aca="false">IF(AK$8=1,N(Reales!AK23),IF(AK$171=1,IF(AND(AND(32&gt;Corte,32&lt;=Corte+n_Ventana),ISNUMBER(Detalle_24m!AK$25)),Detalle_24m!AK$25,INDEX(Vol_V,12,AK$170)/12)*(1+V_dVol),0))</f>
        <v>0</v>
      </c>
      <c r="AL188" s="48" t="n">
        <f aca="false">IF(AL$8=1,N(Reales!AL23),IF(AL$171=1,IF(AND(AND(33&gt;Corte,33&lt;=Corte+n_Ventana),ISNUMBER(Detalle_24m!AL$25)),Detalle_24m!AL$25,INDEX(Vol_V,12,AL$170)/12)*(1+V_dVol),0))</f>
        <v>0</v>
      </c>
      <c r="AM188" s="48" t="n">
        <f aca="false">IF(AM$8=1,N(Reales!AM23),IF(AM$171=1,IF(AND(AND(34&gt;Corte,34&lt;=Corte+n_Ventana),ISNUMBER(Detalle_24m!AM$25)),Detalle_24m!AM$25,INDEX(Vol_V,12,AM$170)/12)*(1+V_dVol),0))</f>
        <v>0</v>
      </c>
      <c r="AN188" s="48" t="n">
        <f aca="false">IF(AN$8=1,N(Reales!AN23),IF(AN$171=1,IF(AND(AND(35&gt;Corte,35&lt;=Corte+n_Ventana),ISNUMBER(Detalle_24m!AN$25)),Detalle_24m!AN$25,INDEX(Vol_V,12,AN$170)/12)*(1+V_dVol),0))</f>
        <v>0</v>
      </c>
      <c r="AO188" s="48" t="n">
        <f aca="false">IF(AO$8=1,N(Reales!AO23),IF(AO$171=1,IF(AND(AND(36&gt;Corte,36&lt;=Corte+n_Ventana),ISNUMBER(Detalle_24m!AO$25)),Detalle_24m!AO$25,INDEX(Vol_V,12,AO$170)/12)*(1+V_dVol),0))</f>
        <v>0</v>
      </c>
      <c r="AP188" s="48" t="n">
        <f aca="false">IF(AP$8=1,N(Reales!AP23),IF(AP$171=1,IF(AND(AND(37&gt;Corte,37&lt;=Corte+n_Ventana),ISNUMBER(Detalle_24m!AP$25)),Detalle_24m!AP$25,INDEX(Vol_V,12,AP$170)/12)*(1+V_dVol),0))</f>
        <v>0</v>
      </c>
      <c r="AQ188" s="48" t="n">
        <f aca="false">IF(AQ$8=1,N(Reales!AQ23),IF(AQ$171=1,IF(AND(AND(38&gt;Corte,38&lt;=Corte+n_Ventana),ISNUMBER(Detalle_24m!AQ$25)),Detalle_24m!AQ$25,INDEX(Vol_V,12,AQ$170)/12)*(1+V_dVol),0))</f>
        <v>0</v>
      </c>
      <c r="AR188" s="48" t="n">
        <f aca="false">IF(AR$8=1,N(Reales!AR23),IF(AR$171=1,IF(AND(AND(39&gt;Corte,39&lt;=Corte+n_Ventana),ISNUMBER(Detalle_24m!AR$25)),Detalle_24m!AR$25,INDEX(Vol_V,12,AR$170)/12)*(1+V_dVol),0))</f>
        <v>0</v>
      </c>
      <c r="AS188" s="48" t="n">
        <f aca="false">IF(AS$8=1,N(Reales!AS23),IF(AS$171=1,IF(AND(AND(40&gt;Corte,40&lt;=Corte+n_Ventana),ISNUMBER(Detalle_24m!AS$25)),Detalle_24m!AS$25,INDEX(Vol_V,12,AS$170)/12)*(1+V_dVol),0))</f>
        <v>0</v>
      </c>
      <c r="AT188" s="48" t="n">
        <f aca="false">IF(AT$8=1,N(Reales!AT23),IF(AT$171=1,IF(AND(AND(41&gt;Corte,41&lt;=Corte+n_Ventana),ISNUMBER(Detalle_24m!AT$25)),Detalle_24m!AT$25,INDEX(Vol_V,12,AT$170)/12)*(1+V_dVol),0))</f>
        <v>0</v>
      </c>
      <c r="AU188" s="48" t="n">
        <f aca="false">IF(AU$8=1,N(Reales!AU23),IF(AU$171=1,IF(AND(AND(42&gt;Corte,42&lt;=Corte+n_Ventana),ISNUMBER(Detalle_24m!AU$25)),Detalle_24m!AU$25,INDEX(Vol_V,12,AU$170)/12)*(1+V_dVol),0))</f>
        <v>0</v>
      </c>
      <c r="AV188" s="48" t="n">
        <f aca="false">IF(AV$8=1,N(Reales!AV23),IF(AV$171=1,IF(AND(AND(43&gt;Corte,43&lt;=Corte+n_Ventana),ISNUMBER(Detalle_24m!AV$25)),Detalle_24m!AV$25,INDEX(Vol_V,12,AV$170)/12)*(1+V_dVol),0))</f>
        <v>0</v>
      </c>
      <c r="AW188" s="48" t="n">
        <f aca="false">IF(AW$8=1,N(Reales!AW23),IF(AW$171=1,IF(AND(AND(44&gt;Corte,44&lt;=Corte+n_Ventana),ISNUMBER(Detalle_24m!AW$25)),Detalle_24m!AW$25,INDEX(Vol_V,12,AW$170)/12)*(1+V_dVol),0))</f>
        <v>0</v>
      </c>
      <c r="AX188" s="48" t="n">
        <f aca="false">IF(AX$8=1,N(Reales!AX23),IF(AX$171=1,IF(AND(AND(45&gt;Corte,45&lt;=Corte+n_Ventana),ISNUMBER(Detalle_24m!AX$25)),Detalle_24m!AX$25,INDEX(Vol_V,12,AX$170)/12)*(1+V_dVol),0))</f>
        <v>0</v>
      </c>
      <c r="AY188" s="48" t="n">
        <f aca="false">IF(AY$8=1,N(Reales!AY23),IF(AY$171=1,IF(AND(AND(46&gt;Corte,46&lt;=Corte+n_Ventana),ISNUMBER(Detalle_24m!AY$25)),Detalle_24m!AY$25,INDEX(Vol_V,12,AY$170)/12)*(1+V_dVol),0))</f>
        <v>0</v>
      </c>
      <c r="AZ188" s="48" t="n">
        <f aca="false">IF(AZ$8=1,N(Reales!AZ23),IF(AZ$171=1,IF(AND(AND(47&gt;Corte,47&lt;=Corte+n_Ventana),ISNUMBER(Detalle_24m!AZ$25)),Detalle_24m!AZ$25,INDEX(Vol_V,12,AZ$170)/12)*(1+V_dVol),0))</f>
        <v>0</v>
      </c>
      <c r="BA188" s="48" t="n">
        <f aca="false">IF(BA$8=1,N(Reales!BA23),IF(BA$171=1,IF(AND(AND(48&gt;Corte,48&lt;=Corte+n_Ventana),ISNUMBER(Detalle_24m!BA$25)),Detalle_24m!BA$25,INDEX(Vol_V,12,BA$170)/12)*(1+V_dVol),0))</f>
        <v>0</v>
      </c>
      <c r="BB188" s="48" t="n">
        <f aca="false">IF(BB$8=1,N(Reales!BB23),IF(BB$171=1,IF(AND(AND(49&gt;Corte,49&lt;=Corte+n_Ventana),ISNUMBER(Detalle_24m!BB$25)),Detalle_24m!BB$25,INDEX(Vol_V,12,BB$170)/12)*(1+V_dVol),0))</f>
        <v>0</v>
      </c>
      <c r="BC188" s="48" t="n">
        <f aca="false">IF(BC$8=1,N(Reales!BC23),IF(BC$171=1,IF(AND(AND(50&gt;Corte,50&lt;=Corte+n_Ventana),ISNUMBER(Detalle_24m!BC$25)),Detalle_24m!BC$25,INDEX(Vol_V,12,BC$170)/12)*(1+V_dVol),0))</f>
        <v>0</v>
      </c>
      <c r="BD188" s="48" t="n">
        <f aca="false">IF(BD$8=1,N(Reales!BD23),IF(BD$171=1,IF(AND(AND(51&gt;Corte,51&lt;=Corte+n_Ventana),ISNUMBER(Detalle_24m!BD$25)),Detalle_24m!BD$25,INDEX(Vol_V,12,BD$170)/12)*(1+V_dVol),0))</f>
        <v>0</v>
      </c>
      <c r="BE188" s="48" t="n">
        <f aca="false">IF(BE$8=1,N(Reales!BE23),IF(BE$171=1,IF(AND(AND(52&gt;Corte,52&lt;=Corte+n_Ventana),ISNUMBER(Detalle_24m!BE$25)),Detalle_24m!BE$25,INDEX(Vol_V,12,BE$170)/12)*(1+V_dVol),0))</f>
        <v>0</v>
      </c>
      <c r="BF188" s="48" t="n">
        <f aca="false">IF(BF$8=1,N(Reales!BF23),IF(BF$171=1,IF(AND(AND(53&gt;Corte,53&lt;=Corte+n_Ventana),ISNUMBER(Detalle_24m!BF$25)),Detalle_24m!BF$25,INDEX(Vol_V,12,BF$170)/12)*(1+V_dVol),0))</f>
        <v>0</v>
      </c>
      <c r="BG188" s="48" t="n">
        <f aca="false">IF(BG$8=1,N(Reales!BG23),IF(BG$171=1,IF(AND(AND(54&gt;Corte,54&lt;=Corte+n_Ventana),ISNUMBER(Detalle_24m!BG$25)),Detalle_24m!BG$25,INDEX(Vol_V,12,BG$170)/12)*(1+V_dVol),0))</f>
        <v>0</v>
      </c>
      <c r="BH188" s="48" t="n">
        <f aca="false">IF(BH$8=1,N(Reales!BH23),IF(BH$171=1,IF(AND(AND(55&gt;Corte,55&lt;=Corte+n_Ventana),ISNUMBER(Detalle_24m!BH$25)),Detalle_24m!BH$25,INDEX(Vol_V,12,BH$170)/12)*(1+V_dVol),0))</f>
        <v>0</v>
      </c>
      <c r="BI188" s="48" t="n">
        <f aca="false">IF(BI$8=1,N(Reales!BI23),IF(BI$171=1,IF(AND(AND(56&gt;Corte,56&lt;=Corte+n_Ventana),ISNUMBER(Detalle_24m!BI$25)),Detalle_24m!BI$25,INDEX(Vol_V,12,BI$170)/12)*(1+V_dVol),0))</f>
        <v>0</v>
      </c>
      <c r="BJ188" s="48" t="n">
        <f aca="false">IF(BJ$8=1,N(Reales!BJ23),IF(BJ$171=1,IF(AND(AND(57&gt;Corte,57&lt;=Corte+n_Ventana),ISNUMBER(Detalle_24m!BJ$25)),Detalle_24m!BJ$25,INDEX(Vol_V,12,BJ$170)/12)*(1+V_dVol),0))</f>
        <v>0</v>
      </c>
      <c r="BK188" s="48" t="n">
        <f aca="false">IF(BK$8=1,N(Reales!BK23),IF(BK$171=1,IF(AND(AND(58&gt;Corte,58&lt;=Corte+n_Ventana),ISNUMBER(Detalle_24m!BK$25)),Detalle_24m!BK$25,INDEX(Vol_V,12,BK$170)/12)*(1+V_dVol),0))</f>
        <v>0</v>
      </c>
      <c r="BL188" s="48" t="n">
        <f aca="false">IF(BL$8=1,N(Reales!BL23),IF(BL$171=1,IF(AND(AND(59&gt;Corte,59&lt;=Corte+n_Ventana),ISNUMBER(Detalle_24m!BL$25)),Detalle_24m!BL$25,INDEX(Vol_V,12,BL$170)/12)*(1+V_dVol),0))</f>
        <v>0</v>
      </c>
      <c r="BM188" s="48" t="n">
        <f aca="false">IF(BM$8=1,N(Reales!BM23),IF(BM$171=1,IF(AND(AND(60&gt;Corte,60&lt;=Corte+n_Ventana),ISNUMBER(Detalle_24m!BM$25)),Detalle_24m!BM$25,INDEX(Vol_V,12,BM$170)/12)*(1+V_dVol),0))</f>
        <v>0</v>
      </c>
      <c r="BN188" s="48" t="n">
        <f aca="false">IF(BN$8=1,N(Reales!BN23),IF(BN$171=1,IF(AND(AND(61&gt;Corte,61&lt;=Corte+n_Ventana),ISNUMBER(Detalle_24m!BN$25)),Detalle_24m!BN$25,INDEX(Vol_V,12,BN$170)/12)*(1+V_dVol),0))</f>
        <v>0</v>
      </c>
      <c r="BO188" s="48" t="n">
        <f aca="false">IF(BO$8=1,N(Reales!BO23),IF(BO$171=1,IF(AND(AND(62&gt;Corte,62&lt;=Corte+n_Ventana),ISNUMBER(Detalle_24m!BO$25)),Detalle_24m!BO$25,INDEX(Vol_V,12,BO$170)/12)*(1+V_dVol),0))</f>
        <v>0</v>
      </c>
      <c r="BP188" s="48" t="n">
        <f aca="false">IF(BP$8=1,N(Reales!BP23),IF(BP$171=1,IF(AND(AND(63&gt;Corte,63&lt;=Corte+n_Ventana),ISNUMBER(Detalle_24m!BP$25)),Detalle_24m!BP$25,INDEX(Vol_V,12,BP$170)/12)*(1+V_dVol),0))</f>
        <v>0</v>
      </c>
      <c r="BQ188" s="48" t="n">
        <f aca="false">IF(BQ$8=1,N(Reales!BQ23),IF(BQ$171=1,IF(AND(AND(64&gt;Corte,64&lt;=Corte+n_Ventana),ISNUMBER(Detalle_24m!BQ$25)),Detalle_24m!BQ$25,INDEX(Vol_V,12,BQ$170)/12)*(1+V_dVol),0))</f>
        <v>0</v>
      </c>
      <c r="BR188" s="48" t="n">
        <f aca="false">IF(BR$8=1,N(Reales!BR23),IF(BR$171=1,IF(AND(AND(65&gt;Corte,65&lt;=Corte+n_Ventana),ISNUMBER(Detalle_24m!BR$25)),Detalle_24m!BR$25,INDEX(Vol_V,12,BR$170)/12)*(1+V_dVol),0))</f>
        <v>0</v>
      </c>
      <c r="BS188" s="48" t="n">
        <f aca="false">IF(BS$8=1,N(Reales!BS23),IF(BS$171=1,IF(AND(AND(66&gt;Corte,66&lt;=Corte+n_Ventana),ISNUMBER(Detalle_24m!BS$25)),Detalle_24m!BS$25,INDEX(Vol_V,12,BS$170)/12)*(1+V_dVol),0))</f>
        <v>0</v>
      </c>
      <c r="BT188" s="48" t="n">
        <f aca="false">IF(BT$8=1,N(Reales!BT23),IF(BT$171=1,IF(AND(AND(67&gt;Corte,67&lt;=Corte+n_Ventana),ISNUMBER(Detalle_24m!BT$25)),Detalle_24m!BT$25,INDEX(Vol_V,12,BT$170)/12)*(1+V_dVol),0))</f>
        <v>0</v>
      </c>
      <c r="BU188" s="48" t="n">
        <f aca="false">IF(BU$8=1,N(Reales!BU23),IF(BU$171=1,IF(AND(AND(68&gt;Corte,68&lt;=Corte+n_Ventana),ISNUMBER(Detalle_24m!BU$25)),Detalle_24m!BU$25,INDEX(Vol_V,12,BU$170)/12)*(1+V_dVol),0))</f>
        <v>0</v>
      </c>
      <c r="BV188" s="48" t="n">
        <f aca="false">IF(BV$8=1,N(Reales!BV23),IF(BV$171=1,IF(AND(AND(69&gt;Corte,69&lt;=Corte+n_Ventana),ISNUMBER(Detalle_24m!BV$25)),Detalle_24m!BV$25,INDEX(Vol_V,12,BV$170)/12)*(1+V_dVol),0))</f>
        <v>0</v>
      </c>
      <c r="BW188" s="48" t="n">
        <f aca="false">IF(BW$8=1,N(Reales!BW23),IF(BW$171=1,IF(AND(AND(70&gt;Corte,70&lt;=Corte+n_Ventana),ISNUMBER(Detalle_24m!BW$25)),Detalle_24m!BW$25,INDEX(Vol_V,12,BW$170)/12)*(1+V_dVol),0))</f>
        <v>0</v>
      </c>
      <c r="BX188" s="48" t="n">
        <f aca="false">IF(BX$8=1,N(Reales!BX23),IF(BX$171=1,IF(AND(AND(71&gt;Corte,71&lt;=Corte+n_Ventana),ISNUMBER(Detalle_24m!BX$25)),Detalle_24m!BX$25,INDEX(Vol_V,12,BX$170)/12)*(1+V_dVol),0))</f>
        <v>0</v>
      </c>
      <c r="BY188" s="48" t="n">
        <f aca="false">IF(BY$8=1,N(Reales!BY23),IF(BY$171=1,IF(AND(AND(72&gt;Corte,72&lt;=Corte+n_Ventana),ISNUMBER(Detalle_24m!BY$25)),Detalle_24m!BY$25,INDEX(Vol_V,12,BY$170)/12)*(1+V_dVol),0))</f>
        <v>0</v>
      </c>
      <c r="BZ188" s="48" t="n">
        <f aca="false">IF(BZ$8=1,N(Reales!BZ23),IF(BZ$171=1,IF(AND(AND(73&gt;Corte,73&lt;=Corte+n_Ventana),ISNUMBER(Detalle_24m!BZ$25)),Detalle_24m!BZ$25,INDEX(Vol_V,12,BZ$170)/12)*(1+V_dVol),0))</f>
        <v>0</v>
      </c>
      <c r="CA188" s="48" t="n">
        <f aca="false">IF(CA$8=1,N(Reales!CA23),IF(CA$171=1,IF(AND(AND(74&gt;Corte,74&lt;=Corte+n_Ventana),ISNUMBER(Detalle_24m!CA$25)),Detalle_24m!CA$25,INDEX(Vol_V,12,CA$170)/12)*(1+V_dVol),0))</f>
        <v>0</v>
      </c>
      <c r="CB188" s="48" t="n">
        <f aca="false">IF(CB$8=1,N(Reales!CB23),IF(CB$171=1,IF(AND(AND(75&gt;Corte,75&lt;=Corte+n_Ventana),ISNUMBER(Detalle_24m!CB$25)),Detalle_24m!CB$25,INDEX(Vol_V,12,CB$170)/12)*(1+V_dVol),0))</f>
        <v>0</v>
      </c>
      <c r="CC188" s="48" t="n">
        <f aca="false">IF(CC$8=1,N(Reales!CC23),IF(CC$171=1,IF(AND(AND(76&gt;Corte,76&lt;=Corte+n_Ventana),ISNUMBER(Detalle_24m!CC$25)),Detalle_24m!CC$25,INDEX(Vol_V,12,CC$170)/12)*(1+V_dVol),0))</f>
        <v>0</v>
      </c>
      <c r="CD188" s="48" t="n">
        <f aca="false">IF(CD$8=1,N(Reales!CD23),IF(CD$171=1,IF(AND(AND(77&gt;Corte,77&lt;=Corte+n_Ventana),ISNUMBER(Detalle_24m!CD$25)),Detalle_24m!CD$25,INDEX(Vol_V,12,CD$170)/12)*(1+V_dVol),0))</f>
        <v>0</v>
      </c>
      <c r="CE188" s="48" t="n">
        <f aca="false">IF(CE$8=1,N(Reales!CE23),IF(CE$171=1,IF(AND(AND(78&gt;Corte,78&lt;=Corte+n_Ventana),ISNUMBER(Detalle_24m!CE$25)),Detalle_24m!CE$25,INDEX(Vol_V,12,CE$170)/12)*(1+V_dVol),0))</f>
        <v>0</v>
      </c>
      <c r="CF188" s="48" t="n">
        <f aca="false">IF(CF$8=1,N(Reales!CF23),IF(CF$171=1,IF(AND(AND(79&gt;Corte,79&lt;=Corte+n_Ventana),ISNUMBER(Detalle_24m!CF$25)),Detalle_24m!CF$25,INDEX(Vol_V,12,CF$170)/12)*(1+V_dVol),0))</f>
        <v>0</v>
      </c>
      <c r="CG188" s="48" t="n">
        <f aca="false">IF(CG$8=1,N(Reales!CG23),IF(CG$171=1,IF(AND(AND(80&gt;Corte,80&lt;=Corte+n_Ventana),ISNUMBER(Detalle_24m!CG$25)),Detalle_24m!CG$25,INDEX(Vol_V,12,CG$170)/12)*(1+V_dVol),0))</f>
        <v>0</v>
      </c>
      <c r="CH188" s="48" t="n">
        <f aca="false">IF(CH$8=1,N(Reales!CH23),IF(CH$171=1,IF(AND(AND(81&gt;Corte,81&lt;=Corte+n_Ventana),ISNUMBER(Detalle_24m!CH$25)),Detalle_24m!CH$25,INDEX(Vol_V,12,CH$170)/12)*(1+V_dVol),0))</f>
        <v>0</v>
      </c>
      <c r="CI188" s="48" t="n">
        <f aca="false">IF(CI$8=1,N(Reales!CI23),IF(CI$171=1,IF(AND(AND(82&gt;Corte,82&lt;=Corte+n_Ventana),ISNUMBER(Detalle_24m!CI$25)),Detalle_24m!CI$25,INDEX(Vol_V,12,CI$170)/12)*(1+V_dVol),0))</f>
        <v>0</v>
      </c>
      <c r="CJ188" s="48" t="n">
        <f aca="false">IF(CJ$8=1,N(Reales!CJ23),IF(CJ$171=1,IF(AND(AND(83&gt;Corte,83&lt;=Corte+n_Ventana),ISNUMBER(Detalle_24m!CJ$25)),Detalle_24m!CJ$25,INDEX(Vol_V,12,CJ$170)/12)*(1+V_dVol),0))</f>
        <v>0</v>
      </c>
      <c r="CK188" s="48" t="n">
        <f aca="false">IF(CK$8=1,N(Reales!CK23),IF(CK$171=1,IF(AND(AND(84&gt;Corte,84&lt;=Corte+n_Ventana),ISNUMBER(Detalle_24m!CK$25)),Detalle_24m!CK$25,INDEX(Vol_V,12,CK$170)/12)*(1+V_dVol),0))</f>
        <v>0</v>
      </c>
      <c r="CL188" s="48" t="n">
        <f aca="false">IF(CL$8=1,N(Reales!CL23),IF(CL$171=1,IF(AND(AND(85&gt;Corte,85&lt;=Corte+n_Ventana),ISNUMBER(Detalle_24m!CL$25)),Detalle_24m!CL$25,INDEX(Vol_V,12,CL$170)/12)*(1+V_dVol),0))</f>
        <v>0</v>
      </c>
      <c r="CM188" s="48" t="n">
        <f aca="false">IF(CM$8=1,N(Reales!CM23),IF(CM$171=1,IF(AND(AND(86&gt;Corte,86&lt;=Corte+n_Ventana),ISNUMBER(Detalle_24m!CM$25)),Detalle_24m!CM$25,INDEX(Vol_V,12,CM$170)/12)*(1+V_dVol),0))</f>
        <v>0</v>
      </c>
      <c r="CN188" s="48" t="n">
        <f aca="false">IF(CN$8=1,N(Reales!CN23),IF(CN$171=1,IF(AND(AND(87&gt;Corte,87&lt;=Corte+n_Ventana),ISNUMBER(Detalle_24m!CN$25)),Detalle_24m!CN$25,INDEX(Vol_V,12,CN$170)/12)*(1+V_dVol),0))</f>
        <v>0</v>
      </c>
      <c r="CO188" s="48" t="n">
        <f aca="false">IF(CO$8=1,N(Reales!CO23),IF(CO$171=1,IF(AND(AND(88&gt;Corte,88&lt;=Corte+n_Ventana),ISNUMBER(Detalle_24m!CO$25)),Detalle_24m!CO$25,INDEX(Vol_V,12,CO$170)/12)*(1+V_dVol),0))</f>
        <v>0</v>
      </c>
      <c r="CP188" s="48" t="n">
        <f aca="false">IF(CP$8=1,N(Reales!CP23),IF(CP$171=1,IF(AND(AND(89&gt;Corte,89&lt;=Corte+n_Ventana),ISNUMBER(Detalle_24m!CP$25)),Detalle_24m!CP$25,INDEX(Vol_V,12,CP$170)/12)*(1+V_dVol),0))</f>
        <v>0</v>
      </c>
      <c r="CQ188" s="48" t="n">
        <f aca="false">IF(CQ$8=1,N(Reales!CQ23),IF(CQ$171=1,IF(AND(AND(90&gt;Corte,90&lt;=Corte+n_Ventana),ISNUMBER(Detalle_24m!CQ$25)),Detalle_24m!CQ$25,INDEX(Vol_V,12,CQ$170)/12)*(1+V_dVol),0))</f>
        <v>0</v>
      </c>
      <c r="CR188" s="48" t="n">
        <f aca="false">IF(CR$8=1,N(Reales!CR23),IF(CR$171=1,IF(AND(AND(91&gt;Corte,91&lt;=Corte+n_Ventana),ISNUMBER(Detalle_24m!CR$25)),Detalle_24m!CR$25,INDEX(Vol_V,12,CR$170)/12)*(1+V_dVol),0))</f>
        <v>0</v>
      </c>
      <c r="CS188" s="48" t="n">
        <f aca="false">IF(CS$8=1,N(Reales!CS23),IF(CS$171=1,IF(AND(AND(92&gt;Corte,92&lt;=Corte+n_Ventana),ISNUMBER(Detalle_24m!CS$25)),Detalle_24m!CS$25,INDEX(Vol_V,12,CS$170)/12)*(1+V_dVol),0))</f>
        <v>0</v>
      </c>
      <c r="CT188" s="48" t="n">
        <f aca="false">IF(CT$8=1,N(Reales!CT23),IF(CT$171=1,IF(AND(AND(93&gt;Corte,93&lt;=Corte+n_Ventana),ISNUMBER(Detalle_24m!CT$25)),Detalle_24m!CT$25,INDEX(Vol_V,12,CT$170)/12)*(1+V_dVol),0))</f>
        <v>0</v>
      </c>
      <c r="CU188" s="48" t="n">
        <f aca="false">IF(CU$8=1,N(Reales!CU23),IF(CU$171=1,IF(AND(AND(94&gt;Corte,94&lt;=Corte+n_Ventana),ISNUMBER(Detalle_24m!CU$25)),Detalle_24m!CU$25,INDEX(Vol_V,12,CU$170)/12)*(1+V_dVol),0))</f>
        <v>0</v>
      </c>
      <c r="CV188" s="48" t="n">
        <f aca="false">IF(CV$8=1,N(Reales!CV23),IF(CV$171=1,IF(AND(AND(95&gt;Corte,95&lt;=Corte+n_Ventana),ISNUMBER(Detalle_24m!CV$25)),Detalle_24m!CV$25,INDEX(Vol_V,12,CV$170)/12)*(1+V_dVol),0))</f>
        <v>0</v>
      </c>
      <c r="CW188" s="48" t="n">
        <f aca="false">IF(CW$8=1,N(Reales!CW23),IF(CW$171=1,IF(AND(AND(96&gt;Corte,96&lt;=Corte+n_Ventana),ISNUMBER(Detalle_24m!CW$25)),Detalle_24m!CW$25,INDEX(Vol_V,12,CW$170)/12)*(1+V_dVol),0))</f>
        <v>0</v>
      </c>
      <c r="CX188" s="48" t="n">
        <f aca="false">IF(CX$8=1,N(Reales!CX23),IF(CX$171=1,IF(AND(AND(97&gt;Corte,97&lt;=Corte+n_Ventana),ISNUMBER(Detalle_24m!CX$25)),Detalle_24m!CX$25,INDEX(Vol_V,12,CX$170)/12)*(1+V_dVol),0))</f>
        <v>0</v>
      </c>
      <c r="CY188" s="48" t="n">
        <f aca="false">IF(CY$8=1,N(Reales!CY23),IF(CY$171=1,IF(AND(AND(98&gt;Corte,98&lt;=Corte+n_Ventana),ISNUMBER(Detalle_24m!CY$25)),Detalle_24m!CY$25,INDEX(Vol_V,12,CY$170)/12)*(1+V_dVol),0))</f>
        <v>0</v>
      </c>
      <c r="CZ188" s="48" t="n">
        <f aca="false">IF(CZ$8=1,N(Reales!CZ23),IF(CZ$171=1,IF(AND(AND(99&gt;Corte,99&lt;=Corte+n_Ventana),ISNUMBER(Detalle_24m!CZ$25)),Detalle_24m!CZ$25,INDEX(Vol_V,12,CZ$170)/12)*(1+V_dVol),0))</f>
        <v>0</v>
      </c>
      <c r="DA188" s="48" t="n">
        <f aca="false">IF(DA$8=1,N(Reales!DA23),IF(DA$171=1,IF(AND(AND(100&gt;Corte,100&lt;=Corte+n_Ventana),ISNUMBER(Detalle_24m!DA$25)),Detalle_24m!DA$25,INDEX(Vol_V,12,DA$170)/12)*(1+V_dVol),0))</f>
        <v>0</v>
      </c>
      <c r="DB188" s="48" t="n">
        <f aca="false">IF(DB$8=1,N(Reales!DB23),IF(DB$171=1,IF(AND(AND(101&gt;Corte,101&lt;=Corte+n_Ventana),ISNUMBER(Detalle_24m!DB$25)),Detalle_24m!DB$25,INDEX(Vol_V,12,DB$170)/12)*(1+V_dVol),0))</f>
        <v>0</v>
      </c>
      <c r="DC188" s="48" t="n">
        <f aca="false">IF(DC$8=1,N(Reales!DC23),IF(DC$171=1,IF(AND(AND(102&gt;Corte,102&lt;=Corte+n_Ventana),ISNUMBER(Detalle_24m!DC$25)),Detalle_24m!DC$25,INDEX(Vol_V,12,DC$170)/12)*(1+V_dVol),0))</f>
        <v>0</v>
      </c>
      <c r="DD188" s="48" t="n">
        <f aca="false">IF(DD$8=1,N(Reales!DD23),IF(DD$171=1,IF(AND(AND(103&gt;Corte,103&lt;=Corte+n_Ventana),ISNUMBER(Detalle_24m!DD$25)),Detalle_24m!DD$25,INDEX(Vol_V,12,DD$170)/12)*(1+V_dVol),0))</f>
        <v>0</v>
      </c>
      <c r="DE188" s="48" t="n">
        <f aca="false">IF(DE$8=1,N(Reales!DE23),IF(DE$171=1,IF(AND(AND(104&gt;Corte,104&lt;=Corte+n_Ventana),ISNUMBER(Detalle_24m!DE$25)),Detalle_24m!DE$25,INDEX(Vol_V,12,DE$170)/12)*(1+V_dVol),0))</f>
        <v>0</v>
      </c>
      <c r="DF188" s="48" t="n">
        <f aca="false">IF(DF$8=1,N(Reales!DF23),IF(DF$171=1,IF(AND(AND(105&gt;Corte,105&lt;=Corte+n_Ventana),ISNUMBER(Detalle_24m!DF$25)),Detalle_24m!DF$25,INDEX(Vol_V,12,DF$170)/12)*(1+V_dVol),0))</f>
        <v>0</v>
      </c>
      <c r="DG188" s="48" t="n">
        <f aca="false">IF(DG$8=1,N(Reales!DG23),IF(DG$171=1,IF(AND(AND(106&gt;Corte,106&lt;=Corte+n_Ventana),ISNUMBER(Detalle_24m!DG$25)),Detalle_24m!DG$25,INDEX(Vol_V,12,DG$170)/12)*(1+V_dVol),0))</f>
        <v>0</v>
      </c>
      <c r="DH188" s="48" t="n">
        <f aca="false">IF(DH$8=1,N(Reales!DH23),IF(DH$171=1,IF(AND(AND(107&gt;Corte,107&lt;=Corte+n_Ventana),ISNUMBER(Detalle_24m!DH$25)),Detalle_24m!DH$25,INDEX(Vol_V,12,DH$170)/12)*(1+V_dVol),0))</f>
        <v>0</v>
      </c>
      <c r="DI188" s="48" t="n">
        <f aca="false">IF(DI$8=1,N(Reales!DI23),IF(DI$171=1,IF(AND(AND(108&gt;Corte,108&lt;=Corte+n_Ventana),ISNUMBER(Detalle_24m!DI$25)),Detalle_24m!DI$25,INDEX(Vol_V,12,DI$170)/12)*(1+V_dVol),0))</f>
        <v>0</v>
      </c>
      <c r="DJ188" s="48" t="n">
        <f aca="false">IF(DJ$8=1,N(Reales!DJ23),IF(DJ$171=1,IF(AND(AND(109&gt;Corte,109&lt;=Corte+n_Ventana),ISNUMBER(Detalle_24m!DJ$25)),Detalle_24m!DJ$25,INDEX(Vol_V,12,DJ$170)/12)*(1+V_dVol),0))</f>
        <v>0</v>
      </c>
      <c r="DK188" s="48" t="n">
        <f aca="false">IF(DK$8=1,N(Reales!DK23),IF(DK$171=1,IF(AND(AND(110&gt;Corte,110&lt;=Corte+n_Ventana),ISNUMBER(Detalle_24m!DK$25)),Detalle_24m!DK$25,INDEX(Vol_V,12,DK$170)/12)*(1+V_dVol),0))</f>
        <v>0</v>
      </c>
      <c r="DL188" s="48" t="n">
        <f aca="false">IF(DL$8=1,N(Reales!DL23),IF(DL$171=1,IF(AND(AND(111&gt;Corte,111&lt;=Corte+n_Ventana),ISNUMBER(Detalle_24m!DL$25)),Detalle_24m!DL$25,INDEX(Vol_V,12,DL$170)/12)*(1+V_dVol),0))</f>
        <v>0</v>
      </c>
      <c r="DM188" s="48" t="n">
        <f aca="false">IF(DM$8=1,N(Reales!DM23),IF(DM$171=1,IF(AND(AND(112&gt;Corte,112&lt;=Corte+n_Ventana),ISNUMBER(Detalle_24m!DM$25)),Detalle_24m!DM$25,INDEX(Vol_V,12,DM$170)/12)*(1+V_dVol),0))</f>
        <v>0</v>
      </c>
      <c r="DN188" s="48" t="n">
        <f aca="false">IF(DN$8=1,N(Reales!DN23),IF(DN$171=1,IF(AND(AND(113&gt;Corte,113&lt;=Corte+n_Ventana),ISNUMBER(Detalle_24m!DN$25)),Detalle_24m!DN$25,INDEX(Vol_V,12,DN$170)/12)*(1+V_dVol),0))</f>
        <v>0</v>
      </c>
      <c r="DO188" s="48" t="n">
        <f aca="false">IF(DO$8=1,N(Reales!DO23),IF(DO$171=1,IF(AND(AND(114&gt;Corte,114&lt;=Corte+n_Ventana),ISNUMBER(Detalle_24m!DO$25)),Detalle_24m!DO$25,INDEX(Vol_V,12,DO$170)/12)*(1+V_dVol),0))</f>
        <v>0</v>
      </c>
      <c r="DP188" s="48" t="n">
        <f aca="false">IF(DP$8=1,N(Reales!DP23),IF(DP$171=1,IF(AND(AND(115&gt;Corte,115&lt;=Corte+n_Ventana),ISNUMBER(Detalle_24m!DP$25)),Detalle_24m!DP$25,INDEX(Vol_V,12,DP$170)/12)*(1+V_dVol),0))</f>
        <v>0</v>
      </c>
      <c r="DQ188" s="48" t="n">
        <f aca="false">IF(DQ$8=1,N(Reales!DQ23),IF(DQ$171=1,IF(AND(AND(116&gt;Corte,116&lt;=Corte+n_Ventana),ISNUMBER(Detalle_24m!DQ$25)),Detalle_24m!DQ$25,INDEX(Vol_V,12,DQ$170)/12)*(1+V_dVol),0))</f>
        <v>0</v>
      </c>
      <c r="DR188" s="48" t="n">
        <f aca="false">IF(DR$8=1,N(Reales!DR23),IF(DR$171=1,IF(AND(AND(117&gt;Corte,117&lt;=Corte+n_Ventana),ISNUMBER(Detalle_24m!DR$25)),Detalle_24m!DR$25,INDEX(Vol_V,12,DR$170)/12)*(1+V_dVol),0))</f>
        <v>0</v>
      </c>
      <c r="DS188" s="48" t="n">
        <f aca="false">IF(DS$8=1,N(Reales!DS23),IF(DS$171=1,IF(AND(AND(118&gt;Corte,118&lt;=Corte+n_Ventana),ISNUMBER(Detalle_24m!DS$25)),Detalle_24m!DS$25,INDEX(Vol_V,12,DS$170)/12)*(1+V_dVol),0))</f>
        <v>0</v>
      </c>
      <c r="DT188" s="48" t="n">
        <f aca="false">IF(DT$8=1,N(Reales!DT23),IF(DT$171=1,IF(AND(AND(119&gt;Corte,119&lt;=Corte+n_Ventana),ISNUMBER(Detalle_24m!DT$25)),Detalle_24m!DT$25,INDEX(Vol_V,12,DT$170)/12)*(1+V_dVol),0))</f>
        <v>0</v>
      </c>
      <c r="DU188" s="48" t="n">
        <f aca="false">IF(DU$8=1,N(Reales!DU23),IF(DU$171=1,IF(AND(AND(120&gt;Corte,120&lt;=Corte+n_Ventana),ISNUMBER(Detalle_24m!DU$25)),Detalle_24m!DU$25,INDEX(Vol_V,12,DU$170)/12)*(1+V_dVol),0))</f>
        <v>0</v>
      </c>
      <c r="DV188" s="48" t="n">
        <f aca="false">IF(DV$8=1,N(Reales!DV23),IF(DV$171=1,IF(AND(AND(121&gt;Corte,121&lt;=Corte+n_Ventana),ISNUMBER(Detalle_24m!DV$25)),Detalle_24m!DV$25,INDEX(Vol_V,12,DV$170)/12)*(1+V_dVol),0))</f>
        <v>0</v>
      </c>
      <c r="DW188" s="48" t="n">
        <f aca="false">IF(DW$8=1,N(Reales!DW23),IF(DW$171=1,IF(AND(AND(122&gt;Corte,122&lt;=Corte+n_Ventana),ISNUMBER(Detalle_24m!DW$25)),Detalle_24m!DW$25,INDEX(Vol_V,12,DW$170)/12)*(1+V_dVol),0))</f>
        <v>0</v>
      </c>
      <c r="DX188" s="48" t="n">
        <f aca="false">IF(DX$8=1,N(Reales!DX23),IF(DX$171=1,IF(AND(AND(123&gt;Corte,123&lt;=Corte+n_Ventana),ISNUMBER(Detalle_24m!DX$25)),Detalle_24m!DX$25,INDEX(Vol_V,12,DX$170)/12)*(1+V_dVol),0))</f>
        <v>0</v>
      </c>
      <c r="DY188" s="48" t="n">
        <f aca="false">IF(DY$8=1,N(Reales!DY23),IF(DY$171=1,IF(AND(AND(124&gt;Corte,124&lt;=Corte+n_Ventana),ISNUMBER(Detalle_24m!DY$25)),Detalle_24m!DY$25,INDEX(Vol_V,12,DY$170)/12)*(1+V_dVol),0))</f>
        <v>0</v>
      </c>
      <c r="DZ188" s="48" t="n">
        <f aca="false">IF(DZ$8=1,N(Reales!DZ23),IF(DZ$171=1,IF(AND(AND(125&gt;Corte,125&lt;=Corte+n_Ventana),ISNUMBER(Detalle_24m!DZ$25)),Detalle_24m!DZ$25,INDEX(Vol_V,12,DZ$170)/12)*(1+V_dVol),0))</f>
        <v>0</v>
      </c>
      <c r="EA188" s="48" t="n">
        <f aca="false">IF(EA$8=1,N(Reales!EA23),IF(EA$171=1,IF(AND(AND(126&gt;Corte,126&lt;=Corte+n_Ventana),ISNUMBER(Detalle_24m!EA$25)),Detalle_24m!EA$25,INDEX(Vol_V,12,EA$170)/12)*(1+V_dVol),0))</f>
        <v>0</v>
      </c>
      <c r="EB188" s="48" t="n">
        <f aca="false">IF(EB$8=1,N(Reales!EB23),IF(EB$171=1,IF(AND(AND(127&gt;Corte,127&lt;=Corte+n_Ventana),ISNUMBER(Detalle_24m!EB$25)),Detalle_24m!EB$25,INDEX(Vol_V,12,EB$170)/12)*(1+V_dVol),0))</f>
        <v>0</v>
      </c>
      <c r="EC188" s="48" t="n">
        <f aca="false">IF(EC$8=1,N(Reales!EC23),IF(EC$171=1,IF(AND(AND(128&gt;Corte,128&lt;=Corte+n_Ventana),ISNUMBER(Detalle_24m!EC$25)),Detalle_24m!EC$25,INDEX(Vol_V,12,EC$170)/12)*(1+V_dVol),0))</f>
        <v>0</v>
      </c>
      <c r="ED188" s="48" t="n">
        <f aca="false">IF(ED$8=1,N(Reales!ED23),IF(ED$171=1,IF(AND(AND(129&gt;Corte,129&lt;=Corte+n_Ventana),ISNUMBER(Detalle_24m!ED$25)),Detalle_24m!ED$25,INDEX(Vol_V,12,ED$170)/12)*(1+V_dVol),0))</f>
        <v>0</v>
      </c>
      <c r="EE188" s="48" t="n">
        <f aca="false">IF(EE$8=1,N(Reales!EE23),IF(EE$171=1,IF(AND(AND(130&gt;Corte,130&lt;=Corte+n_Ventana),ISNUMBER(Detalle_24m!EE$25)),Detalle_24m!EE$25,INDEX(Vol_V,12,EE$170)/12)*(1+V_dVol),0))</f>
        <v>0</v>
      </c>
      <c r="EF188" s="48" t="n">
        <f aca="false">IF(EF$8=1,N(Reales!EF23),IF(EF$171=1,IF(AND(AND(131&gt;Corte,131&lt;=Corte+n_Ventana),ISNUMBER(Detalle_24m!EF$25)),Detalle_24m!EF$25,INDEX(Vol_V,12,EF$170)/12)*(1+V_dVol),0))</f>
        <v>0</v>
      </c>
      <c r="EG188" s="48" t="n">
        <f aca="false">IF(EG$8=1,N(Reales!EG23),IF(EG$171=1,IF(AND(AND(132&gt;Corte,132&lt;=Corte+n_Ventana),ISNUMBER(Detalle_24m!EG$25)),Detalle_24m!EG$25,INDEX(Vol_V,12,EG$170)/12)*(1+V_dVol),0))</f>
        <v>0</v>
      </c>
      <c r="EH188" s="48" t="n">
        <f aca="false">IF(EH$8=1,N(Reales!EH23),IF(EH$171=1,IF(AND(AND(133&gt;Corte,133&lt;=Corte+n_Ventana),ISNUMBER(Detalle_24m!EH$25)),Detalle_24m!EH$25,INDEX(Vol_V,12,EH$170)/12)*(1+V_dVol),0))</f>
        <v>0</v>
      </c>
      <c r="EI188" s="48" t="n">
        <f aca="false">IF(EI$8=1,N(Reales!EI23),IF(EI$171=1,IF(AND(AND(134&gt;Corte,134&lt;=Corte+n_Ventana),ISNUMBER(Detalle_24m!EI$25)),Detalle_24m!EI$25,INDEX(Vol_V,12,EI$170)/12)*(1+V_dVol),0))</f>
        <v>0</v>
      </c>
      <c r="EJ188" s="48" t="n">
        <f aca="false">IF(EJ$8=1,N(Reales!EJ23),IF(EJ$171=1,IF(AND(AND(135&gt;Corte,135&lt;=Corte+n_Ventana),ISNUMBER(Detalle_24m!EJ$25)),Detalle_24m!EJ$25,INDEX(Vol_V,12,EJ$170)/12)*(1+V_dVol),0))</f>
        <v>0</v>
      </c>
      <c r="EK188" s="48" t="n">
        <f aca="false">IF(EK$8=1,N(Reales!EK23),IF(EK$171=1,IF(AND(AND(136&gt;Corte,136&lt;=Corte+n_Ventana),ISNUMBER(Detalle_24m!EK$25)),Detalle_24m!EK$25,INDEX(Vol_V,12,EK$170)/12)*(1+V_dVol),0))</f>
        <v>0</v>
      </c>
      <c r="EL188" s="48" t="n">
        <f aca="false">IF(EL$8=1,N(Reales!EL23),IF(EL$171=1,IF(AND(AND(137&gt;Corte,137&lt;=Corte+n_Ventana),ISNUMBER(Detalle_24m!EL$25)),Detalle_24m!EL$25,INDEX(Vol_V,12,EL$170)/12)*(1+V_dVol),0))</f>
        <v>0</v>
      </c>
      <c r="EM188" s="48" t="n">
        <f aca="false">IF(EM$8=1,N(Reales!EM23),IF(EM$171=1,IF(AND(AND(138&gt;Corte,138&lt;=Corte+n_Ventana),ISNUMBER(Detalle_24m!EM$25)),Detalle_24m!EM$25,INDEX(Vol_V,12,EM$170)/12)*(1+V_dVol),0))</f>
        <v>0</v>
      </c>
      <c r="EN188" s="48" t="n">
        <f aca="false">IF(EN$8=1,N(Reales!EN23),IF(EN$171=1,IF(AND(AND(139&gt;Corte,139&lt;=Corte+n_Ventana),ISNUMBER(Detalle_24m!EN$25)),Detalle_24m!EN$25,INDEX(Vol_V,12,EN$170)/12)*(1+V_dVol),0))</f>
        <v>0</v>
      </c>
      <c r="EO188" s="48" t="n">
        <f aca="false">IF(EO$8=1,N(Reales!EO23),IF(EO$171=1,IF(AND(AND(140&gt;Corte,140&lt;=Corte+n_Ventana),ISNUMBER(Detalle_24m!EO$25)),Detalle_24m!EO$25,INDEX(Vol_V,12,EO$170)/12)*(1+V_dVol),0))</f>
        <v>0</v>
      </c>
      <c r="EP188" s="48" t="n">
        <f aca="false">IF(EP$8=1,N(Reales!EP23),IF(EP$171=1,IF(AND(AND(141&gt;Corte,141&lt;=Corte+n_Ventana),ISNUMBER(Detalle_24m!EP$25)),Detalle_24m!EP$25,INDEX(Vol_V,12,EP$170)/12)*(1+V_dVol),0))</f>
        <v>0</v>
      </c>
      <c r="EQ188" s="48" t="n">
        <f aca="false">IF(EQ$8=1,N(Reales!EQ23),IF(EQ$171=1,IF(AND(AND(142&gt;Corte,142&lt;=Corte+n_Ventana),ISNUMBER(Detalle_24m!EQ$25)),Detalle_24m!EQ$25,INDEX(Vol_V,12,EQ$170)/12)*(1+V_dVol),0))</f>
        <v>0</v>
      </c>
      <c r="ER188" s="48" t="n">
        <f aca="false">IF(ER$8=1,N(Reales!ER23),IF(ER$171=1,IF(AND(AND(143&gt;Corte,143&lt;=Corte+n_Ventana),ISNUMBER(Detalle_24m!ER$25)),Detalle_24m!ER$25,INDEX(Vol_V,12,ER$170)/12)*(1+V_dVol),0))</f>
        <v>0</v>
      </c>
      <c r="ES188" s="48" t="n">
        <f aca="false">IF(ES$8=1,N(Reales!ES23),IF(ES$171=1,IF(AND(AND(144&gt;Corte,144&lt;=Corte+n_Ventana),ISNUMBER(Detalle_24m!ES$25)),Detalle_24m!ES$25,INDEX(Vol_V,12,ES$170)/12)*(1+V_dVol),0))</f>
        <v>0</v>
      </c>
    </row>
    <row r="189" customFormat="false" ht="15" hidden="false" customHeight="false" outlineLevel="0" collapsed="false">
      <c r="A189" s="11" t="s">
        <v>1312</v>
      </c>
      <c r="B189" s="53" t="str">
        <f aca="false">IF(INDEX(Prod_Nombre,13)="","Producto 13",INDEX(Prod_Nombre,13))&amp;" — unidades"</f>
        <v>Producto 13 — unidades</v>
      </c>
      <c r="C189" s="15" t="s">
        <v>544</v>
      </c>
      <c r="E189" s="54" t="n">
        <f aca="false">SUM(F189:ES189)</f>
        <v>0</v>
      </c>
      <c r="F189" s="48" t="n">
        <f aca="false">IF(F$8=1,N(Reales!F24),IF(F$171=1,IF(AND(AND(1&gt;Corte,1&lt;=Corte+n_Ventana),ISNUMBER(Detalle_24m!F$26)),Detalle_24m!F$26,INDEX(Vol_V,13,F$170)/12)*(1+V_dVol),0))</f>
        <v>0</v>
      </c>
      <c r="G189" s="48" t="n">
        <f aca="false">IF(G$8=1,N(Reales!G24),IF(G$171=1,IF(AND(AND(2&gt;Corte,2&lt;=Corte+n_Ventana),ISNUMBER(Detalle_24m!G$26)),Detalle_24m!G$26,INDEX(Vol_V,13,G$170)/12)*(1+V_dVol),0))</f>
        <v>0</v>
      </c>
      <c r="H189" s="48" t="n">
        <f aca="false">IF(H$8=1,N(Reales!H24),IF(H$171=1,IF(AND(AND(3&gt;Corte,3&lt;=Corte+n_Ventana),ISNUMBER(Detalle_24m!H$26)),Detalle_24m!H$26,INDEX(Vol_V,13,H$170)/12)*(1+V_dVol),0))</f>
        <v>0</v>
      </c>
      <c r="I189" s="48" t="n">
        <f aca="false">IF(I$8=1,N(Reales!I24),IF(I$171=1,IF(AND(AND(4&gt;Corte,4&lt;=Corte+n_Ventana),ISNUMBER(Detalle_24m!I$26)),Detalle_24m!I$26,INDEX(Vol_V,13,I$170)/12)*(1+V_dVol),0))</f>
        <v>0</v>
      </c>
      <c r="J189" s="48" t="n">
        <f aca="false">IF(J$8=1,N(Reales!J24),IF(J$171=1,IF(AND(AND(5&gt;Corte,5&lt;=Corte+n_Ventana),ISNUMBER(Detalle_24m!J$26)),Detalle_24m!J$26,INDEX(Vol_V,13,J$170)/12)*(1+V_dVol),0))</f>
        <v>0</v>
      </c>
      <c r="K189" s="48" t="n">
        <f aca="false">IF(K$8=1,N(Reales!K24),IF(K$171=1,IF(AND(AND(6&gt;Corte,6&lt;=Corte+n_Ventana),ISNUMBER(Detalle_24m!K$26)),Detalle_24m!K$26,INDEX(Vol_V,13,K$170)/12)*(1+V_dVol),0))</f>
        <v>0</v>
      </c>
      <c r="L189" s="48" t="n">
        <f aca="false">IF(L$8=1,N(Reales!L24),IF(L$171=1,IF(AND(AND(7&gt;Corte,7&lt;=Corte+n_Ventana),ISNUMBER(Detalle_24m!L$26)),Detalle_24m!L$26,INDEX(Vol_V,13,L$170)/12)*(1+V_dVol),0))</f>
        <v>0</v>
      </c>
      <c r="M189" s="48" t="n">
        <f aca="false">IF(M$8=1,N(Reales!M24),IF(M$171=1,IF(AND(AND(8&gt;Corte,8&lt;=Corte+n_Ventana),ISNUMBER(Detalle_24m!M$26)),Detalle_24m!M$26,INDEX(Vol_V,13,M$170)/12)*(1+V_dVol),0))</f>
        <v>0</v>
      </c>
      <c r="N189" s="48" t="n">
        <f aca="false">IF(N$8=1,N(Reales!N24),IF(N$171=1,IF(AND(AND(9&gt;Corte,9&lt;=Corte+n_Ventana),ISNUMBER(Detalle_24m!N$26)),Detalle_24m!N$26,INDEX(Vol_V,13,N$170)/12)*(1+V_dVol),0))</f>
        <v>0</v>
      </c>
      <c r="O189" s="48" t="n">
        <f aca="false">IF(O$8=1,N(Reales!O24),IF(O$171=1,IF(AND(AND(10&gt;Corte,10&lt;=Corte+n_Ventana),ISNUMBER(Detalle_24m!O$26)),Detalle_24m!O$26,INDEX(Vol_V,13,O$170)/12)*(1+V_dVol),0))</f>
        <v>0</v>
      </c>
      <c r="P189" s="48" t="n">
        <f aca="false">IF(P$8=1,N(Reales!P24),IF(P$171=1,IF(AND(AND(11&gt;Corte,11&lt;=Corte+n_Ventana),ISNUMBER(Detalle_24m!P$26)),Detalle_24m!P$26,INDEX(Vol_V,13,P$170)/12)*(1+V_dVol),0))</f>
        <v>0</v>
      </c>
      <c r="Q189" s="48" t="n">
        <f aca="false">IF(Q$8=1,N(Reales!Q24),IF(Q$171=1,IF(AND(AND(12&gt;Corte,12&lt;=Corte+n_Ventana),ISNUMBER(Detalle_24m!Q$26)),Detalle_24m!Q$26,INDEX(Vol_V,13,Q$170)/12)*(1+V_dVol),0))</f>
        <v>0</v>
      </c>
      <c r="R189" s="48" t="n">
        <f aca="false">IF(R$8=1,N(Reales!R24),IF(R$171=1,IF(AND(AND(13&gt;Corte,13&lt;=Corte+n_Ventana),ISNUMBER(Detalle_24m!R$26)),Detalle_24m!R$26,INDEX(Vol_V,13,R$170)/12)*(1+V_dVol),0))</f>
        <v>0</v>
      </c>
      <c r="S189" s="48" t="n">
        <f aca="false">IF(S$8=1,N(Reales!S24),IF(S$171=1,IF(AND(AND(14&gt;Corte,14&lt;=Corte+n_Ventana),ISNUMBER(Detalle_24m!S$26)),Detalle_24m!S$26,INDEX(Vol_V,13,S$170)/12)*(1+V_dVol),0))</f>
        <v>0</v>
      </c>
      <c r="T189" s="48" t="n">
        <f aca="false">IF(T$8=1,N(Reales!T24),IF(T$171=1,IF(AND(AND(15&gt;Corte,15&lt;=Corte+n_Ventana),ISNUMBER(Detalle_24m!T$26)),Detalle_24m!T$26,INDEX(Vol_V,13,T$170)/12)*(1+V_dVol),0))</f>
        <v>0</v>
      </c>
      <c r="U189" s="48" t="n">
        <f aca="false">IF(U$8=1,N(Reales!U24),IF(U$171=1,IF(AND(AND(16&gt;Corte,16&lt;=Corte+n_Ventana),ISNUMBER(Detalle_24m!U$26)),Detalle_24m!U$26,INDEX(Vol_V,13,U$170)/12)*(1+V_dVol),0))</f>
        <v>0</v>
      </c>
      <c r="V189" s="48" t="n">
        <f aca="false">IF(V$8=1,N(Reales!V24),IF(V$171=1,IF(AND(AND(17&gt;Corte,17&lt;=Corte+n_Ventana),ISNUMBER(Detalle_24m!V$26)),Detalle_24m!V$26,INDEX(Vol_V,13,V$170)/12)*(1+V_dVol),0))</f>
        <v>0</v>
      </c>
      <c r="W189" s="48" t="n">
        <f aca="false">IF(W$8=1,N(Reales!W24),IF(W$171=1,IF(AND(AND(18&gt;Corte,18&lt;=Corte+n_Ventana),ISNUMBER(Detalle_24m!W$26)),Detalle_24m!W$26,INDEX(Vol_V,13,W$170)/12)*(1+V_dVol),0))</f>
        <v>0</v>
      </c>
      <c r="X189" s="48" t="n">
        <f aca="false">IF(X$8=1,N(Reales!X24),IF(X$171=1,IF(AND(AND(19&gt;Corte,19&lt;=Corte+n_Ventana),ISNUMBER(Detalle_24m!X$26)),Detalle_24m!X$26,INDEX(Vol_V,13,X$170)/12)*(1+V_dVol),0))</f>
        <v>0</v>
      </c>
      <c r="Y189" s="48" t="n">
        <f aca="false">IF(Y$8=1,N(Reales!Y24),IF(Y$171=1,IF(AND(AND(20&gt;Corte,20&lt;=Corte+n_Ventana),ISNUMBER(Detalle_24m!Y$26)),Detalle_24m!Y$26,INDEX(Vol_V,13,Y$170)/12)*(1+V_dVol),0))</f>
        <v>0</v>
      </c>
      <c r="Z189" s="48" t="n">
        <f aca="false">IF(Z$8=1,N(Reales!Z24),IF(Z$171=1,IF(AND(AND(21&gt;Corte,21&lt;=Corte+n_Ventana),ISNUMBER(Detalle_24m!Z$26)),Detalle_24m!Z$26,INDEX(Vol_V,13,Z$170)/12)*(1+V_dVol),0))</f>
        <v>0</v>
      </c>
      <c r="AA189" s="48" t="n">
        <f aca="false">IF(AA$8=1,N(Reales!AA24),IF(AA$171=1,IF(AND(AND(22&gt;Corte,22&lt;=Corte+n_Ventana),ISNUMBER(Detalle_24m!AA$26)),Detalle_24m!AA$26,INDEX(Vol_V,13,AA$170)/12)*(1+V_dVol),0))</f>
        <v>0</v>
      </c>
      <c r="AB189" s="48" t="n">
        <f aca="false">IF(AB$8=1,N(Reales!AB24),IF(AB$171=1,IF(AND(AND(23&gt;Corte,23&lt;=Corte+n_Ventana),ISNUMBER(Detalle_24m!AB$26)),Detalle_24m!AB$26,INDEX(Vol_V,13,AB$170)/12)*(1+V_dVol),0))</f>
        <v>0</v>
      </c>
      <c r="AC189" s="48" t="n">
        <f aca="false">IF(AC$8=1,N(Reales!AC24),IF(AC$171=1,IF(AND(AND(24&gt;Corte,24&lt;=Corte+n_Ventana),ISNUMBER(Detalle_24m!AC$26)),Detalle_24m!AC$26,INDEX(Vol_V,13,AC$170)/12)*(1+V_dVol),0))</f>
        <v>0</v>
      </c>
      <c r="AD189" s="48" t="n">
        <f aca="false">IF(AD$8=1,N(Reales!AD24),IF(AD$171=1,IF(AND(AND(25&gt;Corte,25&lt;=Corte+n_Ventana),ISNUMBER(Detalle_24m!AD$26)),Detalle_24m!AD$26,INDEX(Vol_V,13,AD$170)/12)*(1+V_dVol),0))</f>
        <v>0</v>
      </c>
      <c r="AE189" s="48" t="n">
        <f aca="false">IF(AE$8=1,N(Reales!AE24),IF(AE$171=1,IF(AND(AND(26&gt;Corte,26&lt;=Corte+n_Ventana),ISNUMBER(Detalle_24m!AE$26)),Detalle_24m!AE$26,INDEX(Vol_V,13,AE$170)/12)*(1+V_dVol),0))</f>
        <v>0</v>
      </c>
      <c r="AF189" s="48" t="n">
        <f aca="false">IF(AF$8=1,N(Reales!AF24),IF(AF$171=1,IF(AND(AND(27&gt;Corte,27&lt;=Corte+n_Ventana),ISNUMBER(Detalle_24m!AF$26)),Detalle_24m!AF$26,INDEX(Vol_V,13,AF$170)/12)*(1+V_dVol),0))</f>
        <v>0</v>
      </c>
      <c r="AG189" s="48" t="n">
        <f aca="false">IF(AG$8=1,N(Reales!AG24),IF(AG$171=1,IF(AND(AND(28&gt;Corte,28&lt;=Corte+n_Ventana),ISNUMBER(Detalle_24m!AG$26)),Detalle_24m!AG$26,INDEX(Vol_V,13,AG$170)/12)*(1+V_dVol),0))</f>
        <v>0</v>
      </c>
      <c r="AH189" s="48" t="n">
        <f aca="false">IF(AH$8=1,N(Reales!AH24),IF(AH$171=1,IF(AND(AND(29&gt;Corte,29&lt;=Corte+n_Ventana),ISNUMBER(Detalle_24m!AH$26)),Detalle_24m!AH$26,INDEX(Vol_V,13,AH$170)/12)*(1+V_dVol),0))</f>
        <v>0</v>
      </c>
      <c r="AI189" s="48" t="n">
        <f aca="false">IF(AI$8=1,N(Reales!AI24),IF(AI$171=1,IF(AND(AND(30&gt;Corte,30&lt;=Corte+n_Ventana),ISNUMBER(Detalle_24m!AI$26)),Detalle_24m!AI$26,INDEX(Vol_V,13,AI$170)/12)*(1+V_dVol),0))</f>
        <v>0</v>
      </c>
      <c r="AJ189" s="48" t="n">
        <f aca="false">IF(AJ$8=1,N(Reales!AJ24),IF(AJ$171=1,IF(AND(AND(31&gt;Corte,31&lt;=Corte+n_Ventana),ISNUMBER(Detalle_24m!AJ$26)),Detalle_24m!AJ$26,INDEX(Vol_V,13,AJ$170)/12)*(1+V_dVol),0))</f>
        <v>0</v>
      </c>
      <c r="AK189" s="48" t="n">
        <f aca="false">IF(AK$8=1,N(Reales!AK24),IF(AK$171=1,IF(AND(AND(32&gt;Corte,32&lt;=Corte+n_Ventana),ISNUMBER(Detalle_24m!AK$26)),Detalle_24m!AK$26,INDEX(Vol_V,13,AK$170)/12)*(1+V_dVol),0))</f>
        <v>0</v>
      </c>
      <c r="AL189" s="48" t="n">
        <f aca="false">IF(AL$8=1,N(Reales!AL24),IF(AL$171=1,IF(AND(AND(33&gt;Corte,33&lt;=Corte+n_Ventana),ISNUMBER(Detalle_24m!AL$26)),Detalle_24m!AL$26,INDEX(Vol_V,13,AL$170)/12)*(1+V_dVol),0))</f>
        <v>0</v>
      </c>
      <c r="AM189" s="48" t="n">
        <f aca="false">IF(AM$8=1,N(Reales!AM24),IF(AM$171=1,IF(AND(AND(34&gt;Corte,34&lt;=Corte+n_Ventana),ISNUMBER(Detalle_24m!AM$26)),Detalle_24m!AM$26,INDEX(Vol_V,13,AM$170)/12)*(1+V_dVol),0))</f>
        <v>0</v>
      </c>
      <c r="AN189" s="48" t="n">
        <f aca="false">IF(AN$8=1,N(Reales!AN24),IF(AN$171=1,IF(AND(AND(35&gt;Corte,35&lt;=Corte+n_Ventana),ISNUMBER(Detalle_24m!AN$26)),Detalle_24m!AN$26,INDEX(Vol_V,13,AN$170)/12)*(1+V_dVol),0))</f>
        <v>0</v>
      </c>
      <c r="AO189" s="48" t="n">
        <f aca="false">IF(AO$8=1,N(Reales!AO24),IF(AO$171=1,IF(AND(AND(36&gt;Corte,36&lt;=Corte+n_Ventana),ISNUMBER(Detalle_24m!AO$26)),Detalle_24m!AO$26,INDEX(Vol_V,13,AO$170)/12)*(1+V_dVol),0))</f>
        <v>0</v>
      </c>
      <c r="AP189" s="48" t="n">
        <f aca="false">IF(AP$8=1,N(Reales!AP24),IF(AP$171=1,IF(AND(AND(37&gt;Corte,37&lt;=Corte+n_Ventana),ISNUMBER(Detalle_24m!AP$26)),Detalle_24m!AP$26,INDEX(Vol_V,13,AP$170)/12)*(1+V_dVol),0))</f>
        <v>0</v>
      </c>
      <c r="AQ189" s="48" t="n">
        <f aca="false">IF(AQ$8=1,N(Reales!AQ24),IF(AQ$171=1,IF(AND(AND(38&gt;Corte,38&lt;=Corte+n_Ventana),ISNUMBER(Detalle_24m!AQ$26)),Detalle_24m!AQ$26,INDEX(Vol_V,13,AQ$170)/12)*(1+V_dVol),0))</f>
        <v>0</v>
      </c>
      <c r="AR189" s="48" t="n">
        <f aca="false">IF(AR$8=1,N(Reales!AR24),IF(AR$171=1,IF(AND(AND(39&gt;Corte,39&lt;=Corte+n_Ventana),ISNUMBER(Detalle_24m!AR$26)),Detalle_24m!AR$26,INDEX(Vol_V,13,AR$170)/12)*(1+V_dVol),0))</f>
        <v>0</v>
      </c>
      <c r="AS189" s="48" t="n">
        <f aca="false">IF(AS$8=1,N(Reales!AS24),IF(AS$171=1,IF(AND(AND(40&gt;Corte,40&lt;=Corte+n_Ventana),ISNUMBER(Detalle_24m!AS$26)),Detalle_24m!AS$26,INDEX(Vol_V,13,AS$170)/12)*(1+V_dVol),0))</f>
        <v>0</v>
      </c>
      <c r="AT189" s="48" t="n">
        <f aca="false">IF(AT$8=1,N(Reales!AT24),IF(AT$171=1,IF(AND(AND(41&gt;Corte,41&lt;=Corte+n_Ventana),ISNUMBER(Detalle_24m!AT$26)),Detalle_24m!AT$26,INDEX(Vol_V,13,AT$170)/12)*(1+V_dVol),0))</f>
        <v>0</v>
      </c>
      <c r="AU189" s="48" t="n">
        <f aca="false">IF(AU$8=1,N(Reales!AU24),IF(AU$171=1,IF(AND(AND(42&gt;Corte,42&lt;=Corte+n_Ventana),ISNUMBER(Detalle_24m!AU$26)),Detalle_24m!AU$26,INDEX(Vol_V,13,AU$170)/12)*(1+V_dVol),0))</f>
        <v>0</v>
      </c>
      <c r="AV189" s="48" t="n">
        <f aca="false">IF(AV$8=1,N(Reales!AV24),IF(AV$171=1,IF(AND(AND(43&gt;Corte,43&lt;=Corte+n_Ventana),ISNUMBER(Detalle_24m!AV$26)),Detalle_24m!AV$26,INDEX(Vol_V,13,AV$170)/12)*(1+V_dVol),0))</f>
        <v>0</v>
      </c>
      <c r="AW189" s="48" t="n">
        <f aca="false">IF(AW$8=1,N(Reales!AW24),IF(AW$171=1,IF(AND(AND(44&gt;Corte,44&lt;=Corte+n_Ventana),ISNUMBER(Detalle_24m!AW$26)),Detalle_24m!AW$26,INDEX(Vol_V,13,AW$170)/12)*(1+V_dVol),0))</f>
        <v>0</v>
      </c>
      <c r="AX189" s="48" t="n">
        <f aca="false">IF(AX$8=1,N(Reales!AX24),IF(AX$171=1,IF(AND(AND(45&gt;Corte,45&lt;=Corte+n_Ventana),ISNUMBER(Detalle_24m!AX$26)),Detalle_24m!AX$26,INDEX(Vol_V,13,AX$170)/12)*(1+V_dVol),0))</f>
        <v>0</v>
      </c>
      <c r="AY189" s="48" t="n">
        <f aca="false">IF(AY$8=1,N(Reales!AY24),IF(AY$171=1,IF(AND(AND(46&gt;Corte,46&lt;=Corte+n_Ventana),ISNUMBER(Detalle_24m!AY$26)),Detalle_24m!AY$26,INDEX(Vol_V,13,AY$170)/12)*(1+V_dVol),0))</f>
        <v>0</v>
      </c>
      <c r="AZ189" s="48" t="n">
        <f aca="false">IF(AZ$8=1,N(Reales!AZ24),IF(AZ$171=1,IF(AND(AND(47&gt;Corte,47&lt;=Corte+n_Ventana),ISNUMBER(Detalle_24m!AZ$26)),Detalle_24m!AZ$26,INDEX(Vol_V,13,AZ$170)/12)*(1+V_dVol),0))</f>
        <v>0</v>
      </c>
      <c r="BA189" s="48" t="n">
        <f aca="false">IF(BA$8=1,N(Reales!BA24),IF(BA$171=1,IF(AND(AND(48&gt;Corte,48&lt;=Corte+n_Ventana),ISNUMBER(Detalle_24m!BA$26)),Detalle_24m!BA$26,INDEX(Vol_V,13,BA$170)/12)*(1+V_dVol),0))</f>
        <v>0</v>
      </c>
      <c r="BB189" s="48" t="n">
        <f aca="false">IF(BB$8=1,N(Reales!BB24),IF(BB$171=1,IF(AND(AND(49&gt;Corte,49&lt;=Corte+n_Ventana),ISNUMBER(Detalle_24m!BB$26)),Detalle_24m!BB$26,INDEX(Vol_V,13,BB$170)/12)*(1+V_dVol),0))</f>
        <v>0</v>
      </c>
      <c r="BC189" s="48" t="n">
        <f aca="false">IF(BC$8=1,N(Reales!BC24),IF(BC$171=1,IF(AND(AND(50&gt;Corte,50&lt;=Corte+n_Ventana),ISNUMBER(Detalle_24m!BC$26)),Detalle_24m!BC$26,INDEX(Vol_V,13,BC$170)/12)*(1+V_dVol),0))</f>
        <v>0</v>
      </c>
      <c r="BD189" s="48" t="n">
        <f aca="false">IF(BD$8=1,N(Reales!BD24),IF(BD$171=1,IF(AND(AND(51&gt;Corte,51&lt;=Corte+n_Ventana),ISNUMBER(Detalle_24m!BD$26)),Detalle_24m!BD$26,INDEX(Vol_V,13,BD$170)/12)*(1+V_dVol),0))</f>
        <v>0</v>
      </c>
      <c r="BE189" s="48" t="n">
        <f aca="false">IF(BE$8=1,N(Reales!BE24),IF(BE$171=1,IF(AND(AND(52&gt;Corte,52&lt;=Corte+n_Ventana),ISNUMBER(Detalle_24m!BE$26)),Detalle_24m!BE$26,INDEX(Vol_V,13,BE$170)/12)*(1+V_dVol),0))</f>
        <v>0</v>
      </c>
      <c r="BF189" s="48" t="n">
        <f aca="false">IF(BF$8=1,N(Reales!BF24),IF(BF$171=1,IF(AND(AND(53&gt;Corte,53&lt;=Corte+n_Ventana),ISNUMBER(Detalle_24m!BF$26)),Detalle_24m!BF$26,INDEX(Vol_V,13,BF$170)/12)*(1+V_dVol),0))</f>
        <v>0</v>
      </c>
      <c r="BG189" s="48" t="n">
        <f aca="false">IF(BG$8=1,N(Reales!BG24),IF(BG$171=1,IF(AND(AND(54&gt;Corte,54&lt;=Corte+n_Ventana),ISNUMBER(Detalle_24m!BG$26)),Detalle_24m!BG$26,INDEX(Vol_V,13,BG$170)/12)*(1+V_dVol),0))</f>
        <v>0</v>
      </c>
      <c r="BH189" s="48" t="n">
        <f aca="false">IF(BH$8=1,N(Reales!BH24),IF(BH$171=1,IF(AND(AND(55&gt;Corte,55&lt;=Corte+n_Ventana),ISNUMBER(Detalle_24m!BH$26)),Detalle_24m!BH$26,INDEX(Vol_V,13,BH$170)/12)*(1+V_dVol),0))</f>
        <v>0</v>
      </c>
      <c r="BI189" s="48" t="n">
        <f aca="false">IF(BI$8=1,N(Reales!BI24),IF(BI$171=1,IF(AND(AND(56&gt;Corte,56&lt;=Corte+n_Ventana),ISNUMBER(Detalle_24m!BI$26)),Detalle_24m!BI$26,INDEX(Vol_V,13,BI$170)/12)*(1+V_dVol),0))</f>
        <v>0</v>
      </c>
      <c r="BJ189" s="48" t="n">
        <f aca="false">IF(BJ$8=1,N(Reales!BJ24),IF(BJ$171=1,IF(AND(AND(57&gt;Corte,57&lt;=Corte+n_Ventana),ISNUMBER(Detalle_24m!BJ$26)),Detalle_24m!BJ$26,INDEX(Vol_V,13,BJ$170)/12)*(1+V_dVol),0))</f>
        <v>0</v>
      </c>
      <c r="BK189" s="48" t="n">
        <f aca="false">IF(BK$8=1,N(Reales!BK24),IF(BK$171=1,IF(AND(AND(58&gt;Corte,58&lt;=Corte+n_Ventana),ISNUMBER(Detalle_24m!BK$26)),Detalle_24m!BK$26,INDEX(Vol_V,13,BK$170)/12)*(1+V_dVol),0))</f>
        <v>0</v>
      </c>
      <c r="BL189" s="48" t="n">
        <f aca="false">IF(BL$8=1,N(Reales!BL24),IF(BL$171=1,IF(AND(AND(59&gt;Corte,59&lt;=Corte+n_Ventana),ISNUMBER(Detalle_24m!BL$26)),Detalle_24m!BL$26,INDEX(Vol_V,13,BL$170)/12)*(1+V_dVol),0))</f>
        <v>0</v>
      </c>
      <c r="BM189" s="48" t="n">
        <f aca="false">IF(BM$8=1,N(Reales!BM24),IF(BM$171=1,IF(AND(AND(60&gt;Corte,60&lt;=Corte+n_Ventana),ISNUMBER(Detalle_24m!BM$26)),Detalle_24m!BM$26,INDEX(Vol_V,13,BM$170)/12)*(1+V_dVol),0))</f>
        <v>0</v>
      </c>
      <c r="BN189" s="48" t="n">
        <f aca="false">IF(BN$8=1,N(Reales!BN24),IF(BN$171=1,IF(AND(AND(61&gt;Corte,61&lt;=Corte+n_Ventana),ISNUMBER(Detalle_24m!BN$26)),Detalle_24m!BN$26,INDEX(Vol_V,13,BN$170)/12)*(1+V_dVol),0))</f>
        <v>0</v>
      </c>
      <c r="BO189" s="48" t="n">
        <f aca="false">IF(BO$8=1,N(Reales!BO24),IF(BO$171=1,IF(AND(AND(62&gt;Corte,62&lt;=Corte+n_Ventana),ISNUMBER(Detalle_24m!BO$26)),Detalle_24m!BO$26,INDEX(Vol_V,13,BO$170)/12)*(1+V_dVol),0))</f>
        <v>0</v>
      </c>
      <c r="BP189" s="48" t="n">
        <f aca="false">IF(BP$8=1,N(Reales!BP24),IF(BP$171=1,IF(AND(AND(63&gt;Corte,63&lt;=Corte+n_Ventana),ISNUMBER(Detalle_24m!BP$26)),Detalle_24m!BP$26,INDEX(Vol_V,13,BP$170)/12)*(1+V_dVol),0))</f>
        <v>0</v>
      </c>
      <c r="BQ189" s="48" t="n">
        <f aca="false">IF(BQ$8=1,N(Reales!BQ24),IF(BQ$171=1,IF(AND(AND(64&gt;Corte,64&lt;=Corte+n_Ventana),ISNUMBER(Detalle_24m!BQ$26)),Detalle_24m!BQ$26,INDEX(Vol_V,13,BQ$170)/12)*(1+V_dVol),0))</f>
        <v>0</v>
      </c>
      <c r="BR189" s="48" t="n">
        <f aca="false">IF(BR$8=1,N(Reales!BR24),IF(BR$171=1,IF(AND(AND(65&gt;Corte,65&lt;=Corte+n_Ventana),ISNUMBER(Detalle_24m!BR$26)),Detalle_24m!BR$26,INDEX(Vol_V,13,BR$170)/12)*(1+V_dVol),0))</f>
        <v>0</v>
      </c>
      <c r="BS189" s="48" t="n">
        <f aca="false">IF(BS$8=1,N(Reales!BS24),IF(BS$171=1,IF(AND(AND(66&gt;Corte,66&lt;=Corte+n_Ventana),ISNUMBER(Detalle_24m!BS$26)),Detalle_24m!BS$26,INDEX(Vol_V,13,BS$170)/12)*(1+V_dVol),0))</f>
        <v>0</v>
      </c>
      <c r="BT189" s="48" t="n">
        <f aca="false">IF(BT$8=1,N(Reales!BT24),IF(BT$171=1,IF(AND(AND(67&gt;Corte,67&lt;=Corte+n_Ventana),ISNUMBER(Detalle_24m!BT$26)),Detalle_24m!BT$26,INDEX(Vol_V,13,BT$170)/12)*(1+V_dVol),0))</f>
        <v>0</v>
      </c>
      <c r="BU189" s="48" t="n">
        <f aca="false">IF(BU$8=1,N(Reales!BU24),IF(BU$171=1,IF(AND(AND(68&gt;Corte,68&lt;=Corte+n_Ventana),ISNUMBER(Detalle_24m!BU$26)),Detalle_24m!BU$26,INDEX(Vol_V,13,BU$170)/12)*(1+V_dVol),0))</f>
        <v>0</v>
      </c>
      <c r="BV189" s="48" t="n">
        <f aca="false">IF(BV$8=1,N(Reales!BV24),IF(BV$171=1,IF(AND(AND(69&gt;Corte,69&lt;=Corte+n_Ventana),ISNUMBER(Detalle_24m!BV$26)),Detalle_24m!BV$26,INDEX(Vol_V,13,BV$170)/12)*(1+V_dVol),0))</f>
        <v>0</v>
      </c>
      <c r="BW189" s="48" t="n">
        <f aca="false">IF(BW$8=1,N(Reales!BW24),IF(BW$171=1,IF(AND(AND(70&gt;Corte,70&lt;=Corte+n_Ventana),ISNUMBER(Detalle_24m!BW$26)),Detalle_24m!BW$26,INDEX(Vol_V,13,BW$170)/12)*(1+V_dVol),0))</f>
        <v>0</v>
      </c>
      <c r="BX189" s="48" t="n">
        <f aca="false">IF(BX$8=1,N(Reales!BX24),IF(BX$171=1,IF(AND(AND(71&gt;Corte,71&lt;=Corte+n_Ventana),ISNUMBER(Detalle_24m!BX$26)),Detalle_24m!BX$26,INDEX(Vol_V,13,BX$170)/12)*(1+V_dVol),0))</f>
        <v>0</v>
      </c>
      <c r="BY189" s="48" t="n">
        <f aca="false">IF(BY$8=1,N(Reales!BY24),IF(BY$171=1,IF(AND(AND(72&gt;Corte,72&lt;=Corte+n_Ventana),ISNUMBER(Detalle_24m!BY$26)),Detalle_24m!BY$26,INDEX(Vol_V,13,BY$170)/12)*(1+V_dVol),0))</f>
        <v>0</v>
      </c>
      <c r="BZ189" s="48" t="n">
        <f aca="false">IF(BZ$8=1,N(Reales!BZ24),IF(BZ$171=1,IF(AND(AND(73&gt;Corte,73&lt;=Corte+n_Ventana),ISNUMBER(Detalle_24m!BZ$26)),Detalle_24m!BZ$26,INDEX(Vol_V,13,BZ$170)/12)*(1+V_dVol),0))</f>
        <v>0</v>
      </c>
      <c r="CA189" s="48" t="n">
        <f aca="false">IF(CA$8=1,N(Reales!CA24),IF(CA$171=1,IF(AND(AND(74&gt;Corte,74&lt;=Corte+n_Ventana),ISNUMBER(Detalle_24m!CA$26)),Detalle_24m!CA$26,INDEX(Vol_V,13,CA$170)/12)*(1+V_dVol),0))</f>
        <v>0</v>
      </c>
      <c r="CB189" s="48" t="n">
        <f aca="false">IF(CB$8=1,N(Reales!CB24),IF(CB$171=1,IF(AND(AND(75&gt;Corte,75&lt;=Corte+n_Ventana),ISNUMBER(Detalle_24m!CB$26)),Detalle_24m!CB$26,INDEX(Vol_V,13,CB$170)/12)*(1+V_dVol),0))</f>
        <v>0</v>
      </c>
      <c r="CC189" s="48" t="n">
        <f aca="false">IF(CC$8=1,N(Reales!CC24),IF(CC$171=1,IF(AND(AND(76&gt;Corte,76&lt;=Corte+n_Ventana),ISNUMBER(Detalle_24m!CC$26)),Detalle_24m!CC$26,INDEX(Vol_V,13,CC$170)/12)*(1+V_dVol),0))</f>
        <v>0</v>
      </c>
      <c r="CD189" s="48" t="n">
        <f aca="false">IF(CD$8=1,N(Reales!CD24),IF(CD$171=1,IF(AND(AND(77&gt;Corte,77&lt;=Corte+n_Ventana),ISNUMBER(Detalle_24m!CD$26)),Detalle_24m!CD$26,INDEX(Vol_V,13,CD$170)/12)*(1+V_dVol),0))</f>
        <v>0</v>
      </c>
      <c r="CE189" s="48" t="n">
        <f aca="false">IF(CE$8=1,N(Reales!CE24),IF(CE$171=1,IF(AND(AND(78&gt;Corte,78&lt;=Corte+n_Ventana),ISNUMBER(Detalle_24m!CE$26)),Detalle_24m!CE$26,INDEX(Vol_V,13,CE$170)/12)*(1+V_dVol),0))</f>
        <v>0</v>
      </c>
      <c r="CF189" s="48" t="n">
        <f aca="false">IF(CF$8=1,N(Reales!CF24),IF(CF$171=1,IF(AND(AND(79&gt;Corte,79&lt;=Corte+n_Ventana),ISNUMBER(Detalle_24m!CF$26)),Detalle_24m!CF$26,INDEX(Vol_V,13,CF$170)/12)*(1+V_dVol),0))</f>
        <v>0</v>
      </c>
      <c r="CG189" s="48" t="n">
        <f aca="false">IF(CG$8=1,N(Reales!CG24),IF(CG$171=1,IF(AND(AND(80&gt;Corte,80&lt;=Corte+n_Ventana),ISNUMBER(Detalle_24m!CG$26)),Detalle_24m!CG$26,INDEX(Vol_V,13,CG$170)/12)*(1+V_dVol),0))</f>
        <v>0</v>
      </c>
      <c r="CH189" s="48" t="n">
        <f aca="false">IF(CH$8=1,N(Reales!CH24),IF(CH$171=1,IF(AND(AND(81&gt;Corte,81&lt;=Corte+n_Ventana),ISNUMBER(Detalle_24m!CH$26)),Detalle_24m!CH$26,INDEX(Vol_V,13,CH$170)/12)*(1+V_dVol),0))</f>
        <v>0</v>
      </c>
      <c r="CI189" s="48" t="n">
        <f aca="false">IF(CI$8=1,N(Reales!CI24),IF(CI$171=1,IF(AND(AND(82&gt;Corte,82&lt;=Corte+n_Ventana),ISNUMBER(Detalle_24m!CI$26)),Detalle_24m!CI$26,INDEX(Vol_V,13,CI$170)/12)*(1+V_dVol),0))</f>
        <v>0</v>
      </c>
      <c r="CJ189" s="48" t="n">
        <f aca="false">IF(CJ$8=1,N(Reales!CJ24),IF(CJ$171=1,IF(AND(AND(83&gt;Corte,83&lt;=Corte+n_Ventana),ISNUMBER(Detalle_24m!CJ$26)),Detalle_24m!CJ$26,INDEX(Vol_V,13,CJ$170)/12)*(1+V_dVol),0))</f>
        <v>0</v>
      </c>
      <c r="CK189" s="48" t="n">
        <f aca="false">IF(CK$8=1,N(Reales!CK24),IF(CK$171=1,IF(AND(AND(84&gt;Corte,84&lt;=Corte+n_Ventana),ISNUMBER(Detalle_24m!CK$26)),Detalle_24m!CK$26,INDEX(Vol_V,13,CK$170)/12)*(1+V_dVol),0))</f>
        <v>0</v>
      </c>
      <c r="CL189" s="48" t="n">
        <f aca="false">IF(CL$8=1,N(Reales!CL24),IF(CL$171=1,IF(AND(AND(85&gt;Corte,85&lt;=Corte+n_Ventana),ISNUMBER(Detalle_24m!CL$26)),Detalle_24m!CL$26,INDEX(Vol_V,13,CL$170)/12)*(1+V_dVol),0))</f>
        <v>0</v>
      </c>
      <c r="CM189" s="48" t="n">
        <f aca="false">IF(CM$8=1,N(Reales!CM24),IF(CM$171=1,IF(AND(AND(86&gt;Corte,86&lt;=Corte+n_Ventana),ISNUMBER(Detalle_24m!CM$26)),Detalle_24m!CM$26,INDEX(Vol_V,13,CM$170)/12)*(1+V_dVol),0))</f>
        <v>0</v>
      </c>
      <c r="CN189" s="48" t="n">
        <f aca="false">IF(CN$8=1,N(Reales!CN24),IF(CN$171=1,IF(AND(AND(87&gt;Corte,87&lt;=Corte+n_Ventana),ISNUMBER(Detalle_24m!CN$26)),Detalle_24m!CN$26,INDEX(Vol_V,13,CN$170)/12)*(1+V_dVol),0))</f>
        <v>0</v>
      </c>
      <c r="CO189" s="48" t="n">
        <f aca="false">IF(CO$8=1,N(Reales!CO24),IF(CO$171=1,IF(AND(AND(88&gt;Corte,88&lt;=Corte+n_Ventana),ISNUMBER(Detalle_24m!CO$26)),Detalle_24m!CO$26,INDEX(Vol_V,13,CO$170)/12)*(1+V_dVol),0))</f>
        <v>0</v>
      </c>
      <c r="CP189" s="48" t="n">
        <f aca="false">IF(CP$8=1,N(Reales!CP24),IF(CP$171=1,IF(AND(AND(89&gt;Corte,89&lt;=Corte+n_Ventana),ISNUMBER(Detalle_24m!CP$26)),Detalle_24m!CP$26,INDEX(Vol_V,13,CP$170)/12)*(1+V_dVol),0))</f>
        <v>0</v>
      </c>
      <c r="CQ189" s="48" t="n">
        <f aca="false">IF(CQ$8=1,N(Reales!CQ24),IF(CQ$171=1,IF(AND(AND(90&gt;Corte,90&lt;=Corte+n_Ventana),ISNUMBER(Detalle_24m!CQ$26)),Detalle_24m!CQ$26,INDEX(Vol_V,13,CQ$170)/12)*(1+V_dVol),0))</f>
        <v>0</v>
      </c>
      <c r="CR189" s="48" t="n">
        <f aca="false">IF(CR$8=1,N(Reales!CR24),IF(CR$171=1,IF(AND(AND(91&gt;Corte,91&lt;=Corte+n_Ventana),ISNUMBER(Detalle_24m!CR$26)),Detalle_24m!CR$26,INDEX(Vol_V,13,CR$170)/12)*(1+V_dVol),0))</f>
        <v>0</v>
      </c>
      <c r="CS189" s="48" t="n">
        <f aca="false">IF(CS$8=1,N(Reales!CS24),IF(CS$171=1,IF(AND(AND(92&gt;Corte,92&lt;=Corte+n_Ventana),ISNUMBER(Detalle_24m!CS$26)),Detalle_24m!CS$26,INDEX(Vol_V,13,CS$170)/12)*(1+V_dVol),0))</f>
        <v>0</v>
      </c>
      <c r="CT189" s="48" t="n">
        <f aca="false">IF(CT$8=1,N(Reales!CT24),IF(CT$171=1,IF(AND(AND(93&gt;Corte,93&lt;=Corte+n_Ventana),ISNUMBER(Detalle_24m!CT$26)),Detalle_24m!CT$26,INDEX(Vol_V,13,CT$170)/12)*(1+V_dVol),0))</f>
        <v>0</v>
      </c>
      <c r="CU189" s="48" t="n">
        <f aca="false">IF(CU$8=1,N(Reales!CU24),IF(CU$171=1,IF(AND(AND(94&gt;Corte,94&lt;=Corte+n_Ventana),ISNUMBER(Detalle_24m!CU$26)),Detalle_24m!CU$26,INDEX(Vol_V,13,CU$170)/12)*(1+V_dVol),0))</f>
        <v>0</v>
      </c>
      <c r="CV189" s="48" t="n">
        <f aca="false">IF(CV$8=1,N(Reales!CV24),IF(CV$171=1,IF(AND(AND(95&gt;Corte,95&lt;=Corte+n_Ventana),ISNUMBER(Detalle_24m!CV$26)),Detalle_24m!CV$26,INDEX(Vol_V,13,CV$170)/12)*(1+V_dVol),0))</f>
        <v>0</v>
      </c>
      <c r="CW189" s="48" t="n">
        <f aca="false">IF(CW$8=1,N(Reales!CW24),IF(CW$171=1,IF(AND(AND(96&gt;Corte,96&lt;=Corte+n_Ventana),ISNUMBER(Detalle_24m!CW$26)),Detalle_24m!CW$26,INDEX(Vol_V,13,CW$170)/12)*(1+V_dVol),0))</f>
        <v>0</v>
      </c>
      <c r="CX189" s="48" t="n">
        <f aca="false">IF(CX$8=1,N(Reales!CX24),IF(CX$171=1,IF(AND(AND(97&gt;Corte,97&lt;=Corte+n_Ventana),ISNUMBER(Detalle_24m!CX$26)),Detalle_24m!CX$26,INDEX(Vol_V,13,CX$170)/12)*(1+V_dVol),0))</f>
        <v>0</v>
      </c>
      <c r="CY189" s="48" t="n">
        <f aca="false">IF(CY$8=1,N(Reales!CY24),IF(CY$171=1,IF(AND(AND(98&gt;Corte,98&lt;=Corte+n_Ventana),ISNUMBER(Detalle_24m!CY$26)),Detalle_24m!CY$26,INDEX(Vol_V,13,CY$170)/12)*(1+V_dVol),0))</f>
        <v>0</v>
      </c>
      <c r="CZ189" s="48" t="n">
        <f aca="false">IF(CZ$8=1,N(Reales!CZ24),IF(CZ$171=1,IF(AND(AND(99&gt;Corte,99&lt;=Corte+n_Ventana),ISNUMBER(Detalle_24m!CZ$26)),Detalle_24m!CZ$26,INDEX(Vol_V,13,CZ$170)/12)*(1+V_dVol),0))</f>
        <v>0</v>
      </c>
      <c r="DA189" s="48" t="n">
        <f aca="false">IF(DA$8=1,N(Reales!DA24),IF(DA$171=1,IF(AND(AND(100&gt;Corte,100&lt;=Corte+n_Ventana),ISNUMBER(Detalle_24m!DA$26)),Detalle_24m!DA$26,INDEX(Vol_V,13,DA$170)/12)*(1+V_dVol),0))</f>
        <v>0</v>
      </c>
      <c r="DB189" s="48" t="n">
        <f aca="false">IF(DB$8=1,N(Reales!DB24),IF(DB$171=1,IF(AND(AND(101&gt;Corte,101&lt;=Corte+n_Ventana),ISNUMBER(Detalle_24m!DB$26)),Detalle_24m!DB$26,INDEX(Vol_V,13,DB$170)/12)*(1+V_dVol),0))</f>
        <v>0</v>
      </c>
      <c r="DC189" s="48" t="n">
        <f aca="false">IF(DC$8=1,N(Reales!DC24),IF(DC$171=1,IF(AND(AND(102&gt;Corte,102&lt;=Corte+n_Ventana),ISNUMBER(Detalle_24m!DC$26)),Detalle_24m!DC$26,INDEX(Vol_V,13,DC$170)/12)*(1+V_dVol),0))</f>
        <v>0</v>
      </c>
      <c r="DD189" s="48" t="n">
        <f aca="false">IF(DD$8=1,N(Reales!DD24),IF(DD$171=1,IF(AND(AND(103&gt;Corte,103&lt;=Corte+n_Ventana),ISNUMBER(Detalle_24m!DD$26)),Detalle_24m!DD$26,INDEX(Vol_V,13,DD$170)/12)*(1+V_dVol),0))</f>
        <v>0</v>
      </c>
      <c r="DE189" s="48" t="n">
        <f aca="false">IF(DE$8=1,N(Reales!DE24),IF(DE$171=1,IF(AND(AND(104&gt;Corte,104&lt;=Corte+n_Ventana),ISNUMBER(Detalle_24m!DE$26)),Detalle_24m!DE$26,INDEX(Vol_V,13,DE$170)/12)*(1+V_dVol),0))</f>
        <v>0</v>
      </c>
      <c r="DF189" s="48" t="n">
        <f aca="false">IF(DF$8=1,N(Reales!DF24),IF(DF$171=1,IF(AND(AND(105&gt;Corte,105&lt;=Corte+n_Ventana),ISNUMBER(Detalle_24m!DF$26)),Detalle_24m!DF$26,INDEX(Vol_V,13,DF$170)/12)*(1+V_dVol),0))</f>
        <v>0</v>
      </c>
      <c r="DG189" s="48" t="n">
        <f aca="false">IF(DG$8=1,N(Reales!DG24),IF(DG$171=1,IF(AND(AND(106&gt;Corte,106&lt;=Corte+n_Ventana),ISNUMBER(Detalle_24m!DG$26)),Detalle_24m!DG$26,INDEX(Vol_V,13,DG$170)/12)*(1+V_dVol),0))</f>
        <v>0</v>
      </c>
      <c r="DH189" s="48" t="n">
        <f aca="false">IF(DH$8=1,N(Reales!DH24),IF(DH$171=1,IF(AND(AND(107&gt;Corte,107&lt;=Corte+n_Ventana),ISNUMBER(Detalle_24m!DH$26)),Detalle_24m!DH$26,INDEX(Vol_V,13,DH$170)/12)*(1+V_dVol),0))</f>
        <v>0</v>
      </c>
      <c r="DI189" s="48" t="n">
        <f aca="false">IF(DI$8=1,N(Reales!DI24),IF(DI$171=1,IF(AND(AND(108&gt;Corte,108&lt;=Corte+n_Ventana),ISNUMBER(Detalle_24m!DI$26)),Detalle_24m!DI$26,INDEX(Vol_V,13,DI$170)/12)*(1+V_dVol),0))</f>
        <v>0</v>
      </c>
      <c r="DJ189" s="48" t="n">
        <f aca="false">IF(DJ$8=1,N(Reales!DJ24),IF(DJ$171=1,IF(AND(AND(109&gt;Corte,109&lt;=Corte+n_Ventana),ISNUMBER(Detalle_24m!DJ$26)),Detalle_24m!DJ$26,INDEX(Vol_V,13,DJ$170)/12)*(1+V_dVol),0))</f>
        <v>0</v>
      </c>
      <c r="DK189" s="48" t="n">
        <f aca="false">IF(DK$8=1,N(Reales!DK24),IF(DK$171=1,IF(AND(AND(110&gt;Corte,110&lt;=Corte+n_Ventana),ISNUMBER(Detalle_24m!DK$26)),Detalle_24m!DK$26,INDEX(Vol_V,13,DK$170)/12)*(1+V_dVol),0))</f>
        <v>0</v>
      </c>
      <c r="DL189" s="48" t="n">
        <f aca="false">IF(DL$8=1,N(Reales!DL24),IF(DL$171=1,IF(AND(AND(111&gt;Corte,111&lt;=Corte+n_Ventana),ISNUMBER(Detalle_24m!DL$26)),Detalle_24m!DL$26,INDEX(Vol_V,13,DL$170)/12)*(1+V_dVol),0))</f>
        <v>0</v>
      </c>
      <c r="DM189" s="48" t="n">
        <f aca="false">IF(DM$8=1,N(Reales!DM24),IF(DM$171=1,IF(AND(AND(112&gt;Corte,112&lt;=Corte+n_Ventana),ISNUMBER(Detalle_24m!DM$26)),Detalle_24m!DM$26,INDEX(Vol_V,13,DM$170)/12)*(1+V_dVol),0))</f>
        <v>0</v>
      </c>
      <c r="DN189" s="48" t="n">
        <f aca="false">IF(DN$8=1,N(Reales!DN24),IF(DN$171=1,IF(AND(AND(113&gt;Corte,113&lt;=Corte+n_Ventana),ISNUMBER(Detalle_24m!DN$26)),Detalle_24m!DN$26,INDEX(Vol_V,13,DN$170)/12)*(1+V_dVol),0))</f>
        <v>0</v>
      </c>
      <c r="DO189" s="48" t="n">
        <f aca="false">IF(DO$8=1,N(Reales!DO24),IF(DO$171=1,IF(AND(AND(114&gt;Corte,114&lt;=Corte+n_Ventana),ISNUMBER(Detalle_24m!DO$26)),Detalle_24m!DO$26,INDEX(Vol_V,13,DO$170)/12)*(1+V_dVol),0))</f>
        <v>0</v>
      </c>
      <c r="DP189" s="48" t="n">
        <f aca="false">IF(DP$8=1,N(Reales!DP24),IF(DP$171=1,IF(AND(AND(115&gt;Corte,115&lt;=Corte+n_Ventana),ISNUMBER(Detalle_24m!DP$26)),Detalle_24m!DP$26,INDEX(Vol_V,13,DP$170)/12)*(1+V_dVol),0))</f>
        <v>0</v>
      </c>
      <c r="DQ189" s="48" t="n">
        <f aca="false">IF(DQ$8=1,N(Reales!DQ24),IF(DQ$171=1,IF(AND(AND(116&gt;Corte,116&lt;=Corte+n_Ventana),ISNUMBER(Detalle_24m!DQ$26)),Detalle_24m!DQ$26,INDEX(Vol_V,13,DQ$170)/12)*(1+V_dVol),0))</f>
        <v>0</v>
      </c>
      <c r="DR189" s="48" t="n">
        <f aca="false">IF(DR$8=1,N(Reales!DR24),IF(DR$171=1,IF(AND(AND(117&gt;Corte,117&lt;=Corte+n_Ventana),ISNUMBER(Detalle_24m!DR$26)),Detalle_24m!DR$26,INDEX(Vol_V,13,DR$170)/12)*(1+V_dVol),0))</f>
        <v>0</v>
      </c>
      <c r="DS189" s="48" t="n">
        <f aca="false">IF(DS$8=1,N(Reales!DS24),IF(DS$171=1,IF(AND(AND(118&gt;Corte,118&lt;=Corte+n_Ventana),ISNUMBER(Detalle_24m!DS$26)),Detalle_24m!DS$26,INDEX(Vol_V,13,DS$170)/12)*(1+V_dVol),0))</f>
        <v>0</v>
      </c>
      <c r="DT189" s="48" t="n">
        <f aca="false">IF(DT$8=1,N(Reales!DT24),IF(DT$171=1,IF(AND(AND(119&gt;Corte,119&lt;=Corte+n_Ventana),ISNUMBER(Detalle_24m!DT$26)),Detalle_24m!DT$26,INDEX(Vol_V,13,DT$170)/12)*(1+V_dVol),0))</f>
        <v>0</v>
      </c>
      <c r="DU189" s="48" t="n">
        <f aca="false">IF(DU$8=1,N(Reales!DU24),IF(DU$171=1,IF(AND(AND(120&gt;Corte,120&lt;=Corte+n_Ventana),ISNUMBER(Detalle_24m!DU$26)),Detalle_24m!DU$26,INDEX(Vol_V,13,DU$170)/12)*(1+V_dVol),0))</f>
        <v>0</v>
      </c>
      <c r="DV189" s="48" t="n">
        <f aca="false">IF(DV$8=1,N(Reales!DV24),IF(DV$171=1,IF(AND(AND(121&gt;Corte,121&lt;=Corte+n_Ventana),ISNUMBER(Detalle_24m!DV$26)),Detalle_24m!DV$26,INDEX(Vol_V,13,DV$170)/12)*(1+V_dVol),0))</f>
        <v>0</v>
      </c>
      <c r="DW189" s="48" t="n">
        <f aca="false">IF(DW$8=1,N(Reales!DW24),IF(DW$171=1,IF(AND(AND(122&gt;Corte,122&lt;=Corte+n_Ventana),ISNUMBER(Detalle_24m!DW$26)),Detalle_24m!DW$26,INDEX(Vol_V,13,DW$170)/12)*(1+V_dVol),0))</f>
        <v>0</v>
      </c>
      <c r="DX189" s="48" t="n">
        <f aca="false">IF(DX$8=1,N(Reales!DX24),IF(DX$171=1,IF(AND(AND(123&gt;Corte,123&lt;=Corte+n_Ventana),ISNUMBER(Detalle_24m!DX$26)),Detalle_24m!DX$26,INDEX(Vol_V,13,DX$170)/12)*(1+V_dVol),0))</f>
        <v>0</v>
      </c>
      <c r="DY189" s="48" t="n">
        <f aca="false">IF(DY$8=1,N(Reales!DY24),IF(DY$171=1,IF(AND(AND(124&gt;Corte,124&lt;=Corte+n_Ventana),ISNUMBER(Detalle_24m!DY$26)),Detalle_24m!DY$26,INDEX(Vol_V,13,DY$170)/12)*(1+V_dVol),0))</f>
        <v>0</v>
      </c>
      <c r="DZ189" s="48" t="n">
        <f aca="false">IF(DZ$8=1,N(Reales!DZ24),IF(DZ$171=1,IF(AND(AND(125&gt;Corte,125&lt;=Corte+n_Ventana),ISNUMBER(Detalle_24m!DZ$26)),Detalle_24m!DZ$26,INDEX(Vol_V,13,DZ$170)/12)*(1+V_dVol),0))</f>
        <v>0</v>
      </c>
      <c r="EA189" s="48" t="n">
        <f aca="false">IF(EA$8=1,N(Reales!EA24),IF(EA$171=1,IF(AND(AND(126&gt;Corte,126&lt;=Corte+n_Ventana),ISNUMBER(Detalle_24m!EA$26)),Detalle_24m!EA$26,INDEX(Vol_V,13,EA$170)/12)*(1+V_dVol),0))</f>
        <v>0</v>
      </c>
      <c r="EB189" s="48" t="n">
        <f aca="false">IF(EB$8=1,N(Reales!EB24),IF(EB$171=1,IF(AND(AND(127&gt;Corte,127&lt;=Corte+n_Ventana),ISNUMBER(Detalle_24m!EB$26)),Detalle_24m!EB$26,INDEX(Vol_V,13,EB$170)/12)*(1+V_dVol),0))</f>
        <v>0</v>
      </c>
      <c r="EC189" s="48" t="n">
        <f aca="false">IF(EC$8=1,N(Reales!EC24),IF(EC$171=1,IF(AND(AND(128&gt;Corte,128&lt;=Corte+n_Ventana),ISNUMBER(Detalle_24m!EC$26)),Detalle_24m!EC$26,INDEX(Vol_V,13,EC$170)/12)*(1+V_dVol),0))</f>
        <v>0</v>
      </c>
      <c r="ED189" s="48" t="n">
        <f aca="false">IF(ED$8=1,N(Reales!ED24),IF(ED$171=1,IF(AND(AND(129&gt;Corte,129&lt;=Corte+n_Ventana),ISNUMBER(Detalle_24m!ED$26)),Detalle_24m!ED$26,INDEX(Vol_V,13,ED$170)/12)*(1+V_dVol),0))</f>
        <v>0</v>
      </c>
      <c r="EE189" s="48" t="n">
        <f aca="false">IF(EE$8=1,N(Reales!EE24),IF(EE$171=1,IF(AND(AND(130&gt;Corte,130&lt;=Corte+n_Ventana),ISNUMBER(Detalle_24m!EE$26)),Detalle_24m!EE$26,INDEX(Vol_V,13,EE$170)/12)*(1+V_dVol),0))</f>
        <v>0</v>
      </c>
      <c r="EF189" s="48" t="n">
        <f aca="false">IF(EF$8=1,N(Reales!EF24),IF(EF$171=1,IF(AND(AND(131&gt;Corte,131&lt;=Corte+n_Ventana),ISNUMBER(Detalle_24m!EF$26)),Detalle_24m!EF$26,INDEX(Vol_V,13,EF$170)/12)*(1+V_dVol),0))</f>
        <v>0</v>
      </c>
      <c r="EG189" s="48" t="n">
        <f aca="false">IF(EG$8=1,N(Reales!EG24),IF(EG$171=1,IF(AND(AND(132&gt;Corte,132&lt;=Corte+n_Ventana),ISNUMBER(Detalle_24m!EG$26)),Detalle_24m!EG$26,INDEX(Vol_V,13,EG$170)/12)*(1+V_dVol),0))</f>
        <v>0</v>
      </c>
      <c r="EH189" s="48" t="n">
        <f aca="false">IF(EH$8=1,N(Reales!EH24),IF(EH$171=1,IF(AND(AND(133&gt;Corte,133&lt;=Corte+n_Ventana),ISNUMBER(Detalle_24m!EH$26)),Detalle_24m!EH$26,INDEX(Vol_V,13,EH$170)/12)*(1+V_dVol),0))</f>
        <v>0</v>
      </c>
      <c r="EI189" s="48" t="n">
        <f aca="false">IF(EI$8=1,N(Reales!EI24),IF(EI$171=1,IF(AND(AND(134&gt;Corte,134&lt;=Corte+n_Ventana),ISNUMBER(Detalle_24m!EI$26)),Detalle_24m!EI$26,INDEX(Vol_V,13,EI$170)/12)*(1+V_dVol),0))</f>
        <v>0</v>
      </c>
      <c r="EJ189" s="48" t="n">
        <f aca="false">IF(EJ$8=1,N(Reales!EJ24),IF(EJ$171=1,IF(AND(AND(135&gt;Corte,135&lt;=Corte+n_Ventana),ISNUMBER(Detalle_24m!EJ$26)),Detalle_24m!EJ$26,INDEX(Vol_V,13,EJ$170)/12)*(1+V_dVol),0))</f>
        <v>0</v>
      </c>
      <c r="EK189" s="48" t="n">
        <f aca="false">IF(EK$8=1,N(Reales!EK24),IF(EK$171=1,IF(AND(AND(136&gt;Corte,136&lt;=Corte+n_Ventana),ISNUMBER(Detalle_24m!EK$26)),Detalle_24m!EK$26,INDEX(Vol_V,13,EK$170)/12)*(1+V_dVol),0))</f>
        <v>0</v>
      </c>
      <c r="EL189" s="48" t="n">
        <f aca="false">IF(EL$8=1,N(Reales!EL24),IF(EL$171=1,IF(AND(AND(137&gt;Corte,137&lt;=Corte+n_Ventana),ISNUMBER(Detalle_24m!EL$26)),Detalle_24m!EL$26,INDEX(Vol_V,13,EL$170)/12)*(1+V_dVol),0))</f>
        <v>0</v>
      </c>
      <c r="EM189" s="48" t="n">
        <f aca="false">IF(EM$8=1,N(Reales!EM24),IF(EM$171=1,IF(AND(AND(138&gt;Corte,138&lt;=Corte+n_Ventana),ISNUMBER(Detalle_24m!EM$26)),Detalle_24m!EM$26,INDEX(Vol_V,13,EM$170)/12)*(1+V_dVol),0))</f>
        <v>0</v>
      </c>
      <c r="EN189" s="48" t="n">
        <f aca="false">IF(EN$8=1,N(Reales!EN24),IF(EN$171=1,IF(AND(AND(139&gt;Corte,139&lt;=Corte+n_Ventana),ISNUMBER(Detalle_24m!EN$26)),Detalle_24m!EN$26,INDEX(Vol_V,13,EN$170)/12)*(1+V_dVol),0))</f>
        <v>0</v>
      </c>
      <c r="EO189" s="48" t="n">
        <f aca="false">IF(EO$8=1,N(Reales!EO24),IF(EO$171=1,IF(AND(AND(140&gt;Corte,140&lt;=Corte+n_Ventana),ISNUMBER(Detalle_24m!EO$26)),Detalle_24m!EO$26,INDEX(Vol_V,13,EO$170)/12)*(1+V_dVol),0))</f>
        <v>0</v>
      </c>
      <c r="EP189" s="48" t="n">
        <f aca="false">IF(EP$8=1,N(Reales!EP24),IF(EP$171=1,IF(AND(AND(141&gt;Corte,141&lt;=Corte+n_Ventana),ISNUMBER(Detalle_24m!EP$26)),Detalle_24m!EP$26,INDEX(Vol_V,13,EP$170)/12)*(1+V_dVol),0))</f>
        <v>0</v>
      </c>
      <c r="EQ189" s="48" t="n">
        <f aca="false">IF(EQ$8=1,N(Reales!EQ24),IF(EQ$171=1,IF(AND(AND(142&gt;Corte,142&lt;=Corte+n_Ventana),ISNUMBER(Detalle_24m!EQ$26)),Detalle_24m!EQ$26,INDEX(Vol_V,13,EQ$170)/12)*(1+V_dVol),0))</f>
        <v>0</v>
      </c>
      <c r="ER189" s="48" t="n">
        <f aca="false">IF(ER$8=1,N(Reales!ER24),IF(ER$171=1,IF(AND(AND(143&gt;Corte,143&lt;=Corte+n_Ventana),ISNUMBER(Detalle_24m!ER$26)),Detalle_24m!ER$26,INDEX(Vol_V,13,ER$170)/12)*(1+V_dVol),0))</f>
        <v>0</v>
      </c>
      <c r="ES189" s="48" t="n">
        <f aca="false">IF(ES$8=1,N(Reales!ES24),IF(ES$171=1,IF(AND(AND(144&gt;Corte,144&lt;=Corte+n_Ventana),ISNUMBER(Detalle_24m!ES$26)),Detalle_24m!ES$26,INDEX(Vol_V,13,ES$170)/12)*(1+V_dVol),0))</f>
        <v>0</v>
      </c>
    </row>
    <row r="190" customFormat="false" ht="15" hidden="false" customHeight="false" outlineLevel="0" collapsed="false">
      <c r="A190" s="11" t="s">
        <v>1313</v>
      </c>
      <c r="B190" s="53" t="str">
        <f aca="false">IF(INDEX(Prod_Nombre,14)="","Producto 14",INDEX(Prod_Nombre,14))&amp;" — unidades"</f>
        <v>Producto 14 — unidades</v>
      </c>
      <c r="C190" s="15" t="s">
        <v>544</v>
      </c>
      <c r="E190" s="54" t="n">
        <f aca="false">SUM(F190:ES190)</f>
        <v>0</v>
      </c>
      <c r="F190" s="48" t="n">
        <f aca="false">IF(F$8=1,N(Reales!F25),IF(F$171=1,IF(AND(AND(1&gt;Corte,1&lt;=Corte+n_Ventana),ISNUMBER(Detalle_24m!F$27)),Detalle_24m!F$27,INDEX(Vol_V,14,F$170)/12)*(1+V_dVol),0))</f>
        <v>0</v>
      </c>
      <c r="G190" s="48" t="n">
        <f aca="false">IF(G$8=1,N(Reales!G25),IF(G$171=1,IF(AND(AND(2&gt;Corte,2&lt;=Corte+n_Ventana),ISNUMBER(Detalle_24m!G$27)),Detalle_24m!G$27,INDEX(Vol_V,14,G$170)/12)*(1+V_dVol),0))</f>
        <v>0</v>
      </c>
      <c r="H190" s="48" t="n">
        <f aca="false">IF(H$8=1,N(Reales!H25),IF(H$171=1,IF(AND(AND(3&gt;Corte,3&lt;=Corte+n_Ventana),ISNUMBER(Detalle_24m!H$27)),Detalle_24m!H$27,INDEX(Vol_V,14,H$170)/12)*(1+V_dVol),0))</f>
        <v>0</v>
      </c>
      <c r="I190" s="48" t="n">
        <f aca="false">IF(I$8=1,N(Reales!I25),IF(I$171=1,IF(AND(AND(4&gt;Corte,4&lt;=Corte+n_Ventana),ISNUMBER(Detalle_24m!I$27)),Detalle_24m!I$27,INDEX(Vol_V,14,I$170)/12)*(1+V_dVol),0))</f>
        <v>0</v>
      </c>
      <c r="J190" s="48" t="n">
        <f aca="false">IF(J$8=1,N(Reales!J25),IF(J$171=1,IF(AND(AND(5&gt;Corte,5&lt;=Corte+n_Ventana),ISNUMBER(Detalle_24m!J$27)),Detalle_24m!J$27,INDEX(Vol_V,14,J$170)/12)*(1+V_dVol),0))</f>
        <v>0</v>
      </c>
      <c r="K190" s="48" t="n">
        <f aca="false">IF(K$8=1,N(Reales!K25),IF(K$171=1,IF(AND(AND(6&gt;Corte,6&lt;=Corte+n_Ventana),ISNUMBER(Detalle_24m!K$27)),Detalle_24m!K$27,INDEX(Vol_V,14,K$170)/12)*(1+V_dVol),0))</f>
        <v>0</v>
      </c>
      <c r="L190" s="48" t="n">
        <f aca="false">IF(L$8=1,N(Reales!L25),IF(L$171=1,IF(AND(AND(7&gt;Corte,7&lt;=Corte+n_Ventana),ISNUMBER(Detalle_24m!L$27)),Detalle_24m!L$27,INDEX(Vol_V,14,L$170)/12)*(1+V_dVol),0))</f>
        <v>0</v>
      </c>
      <c r="M190" s="48" t="n">
        <f aca="false">IF(M$8=1,N(Reales!M25),IF(M$171=1,IF(AND(AND(8&gt;Corte,8&lt;=Corte+n_Ventana),ISNUMBER(Detalle_24m!M$27)),Detalle_24m!M$27,INDEX(Vol_V,14,M$170)/12)*(1+V_dVol),0))</f>
        <v>0</v>
      </c>
      <c r="N190" s="48" t="n">
        <f aca="false">IF(N$8=1,N(Reales!N25),IF(N$171=1,IF(AND(AND(9&gt;Corte,9&lt;=Corte+n_Ventana),ISNUMBER(Detalle_24m!N$27)),Detalle_24m!N$27,INDEX(Vol_V,14,N$170)/12)*(1+V_dVol),0))</f>
        <v>0</v>
      </c>
      <c r="O190" s="48" t="n">
        <f aca="false">IF(O$8=1,N(Reales!O25),IF(O$171=1,IF(AND(AND(10&gt;Corte,10&lt;=Corte+n_Ventana),ISNUMBER(Detalle_24m!O$27)),Detalle_24m!O$27,INDEX(Vol_V,14,O$170)/12)*(1+V_dVol),0))</f>
        <v>0</v>
      </c>
      <c r="P190" s="48" t="n">
        <f aca="false">IF(P$8=1,N(Reales!P25),IF(P$171=1,IF(AND(AND(11&gt;Corte,11&lt;=Corte+n_Ventana),ISNUMBER(Detalle_24m!P$27)),Detalle_24m!P$27,INDEX(Vol_V,14,P$170)/12)*(1+V_dVol),0))</f>
        <v>0</v>
      </c>
      <c r="Q190" s="48" t="n">
        <f aca="false">IF(Q$8=1,N(Reales!Q25),IF(Q$171=1,IF(AND(AND(12&gt;Corte,12&lt;=Corte+n_Ventana),ISNUMBER(Detalle_24m!Q$27)),Detalle_24m!Q$27,INDEX(Vol_V,14,Q$170)/12)*(1+V_dVol),0))</f>
        <v>0</v>
      </c>
      <c r="R190" s="48" t="n">
        <f aca="false">IF(R$8=1,N(Reales!R25),IF(R$171=1,IF(AND(AND(13&gt;Corte,13&lt;=Corte+n_Ventana),ISNUMBER(Detalle_24m!R$27)),Detalle_24m!R$27,INDEX(Vol_V,14,R$170)/12)*(1+V_dVol),0))</f>
        <v>0</v>
      </c>
      <c r="S190" s="48" t="n">
        <f aca="false">IF(S$8=1,N(Reales!S25),IF(S$171=1,IF(AND(AND(14&gt;Corte,14&lt;=Corte+n_Ventana),ISNUMBER(Detalle_24m!S$27)),Detalle_24m!S$27,INDEX(Vol_V,14,S$170)/12)*(1+V_dVol),0))</f>
        <v>0</v>
      </c>
      <c r="T190" s="48" t="n">
        <f aca="false">IF(T$8=1,N(Reales!T25),IF(T$171=1,IF(AND(AND(15&gt;Corte,15&lt;=Corte+n_Ventana),ISNUMBER(Detalle_24m!T$27)),Detalle_24m!T$27,INDEX(Vol_V,14,T$170)/12)*(1+V_dVol),0))</f>
        <v>0</v>
      </c>
      <c r="U190" s="48" t="n">
        <f aca="false">IF(U$8=1,N(Reales!U25),IF(U$171=1,IF(AND(AND(16&gt;Corte,16&lt;=Corte+n_Ventana),ISNUMBER(Detalle_24m!U$27)),Detalle_24m!U$27,INDEX(Vol_V,14,U$170)/12)*(1+V_dVol),0))</f>
        <v>0</v>
      </c>
      <c r="V190" s="48" t="n">
        <f aca="false">IF(V$8=1,N(Reales!V25),IF(V$171=1,IF(AND(AND(17&gt;Corte,17&lt;=Corte+n_Ventana),ISNUMBER(Detalle_24m!V$27)),Detalle_24m!V$27,INDEX(Vol_V,14,V$170)/12)*(1+V_dVol),0))</f>
        <v>0</v>
      </c>
      <c r="W190" s="48" t="n">
        <f aca="false">IF(W$8=1,N(Reales!W25),IF(W$171=1,IF(AND(AND(18&gt;Corte,18&lt;=Corte+n_Ventana),ISNUMBER(Detalle_24m!W$27)),Detalle_24m!W$27,INDEX(Vol_V,14,W$170)/12)*(1+V_dVol),0))</f>
        <v>0</v>
      </c>
      <c r="X190" s="48" t="n">
        <f aca="false">IF(X$8=1,N(Reales!X25),IF(X$171=1,IF(AND(AND(19&gt;Corte,19&lt;=Corte+n_Ventana),ISNUMBER(Detalle_24m!X$27)),Detalle_24m!X$27,INDEX(Vol_V,14,X$170)/12)*(1+V_dVol),0))</f>
        <v>0</v>
      </c>
      <c r="Y190" s="48" t="n">
        <f aca="false">IF(Y$8=1,N(Reales!Y25),IF(Y$171=1,IF(AND(AND(20&gt;Corte,20&lt;=Corte+n_Ventana),ISNUMBER(Detalle_24m!Y$27)),Detalle_24m!Y$27,INDEX(Vol_V,14,Y$170)/12)*(1+V_dVol),0))</f>
        <v>0</v>
      </c>
      <c r="Z190" s="48" t="n">
        <f aca="false">IF(Z$8=1,N(Reales!Z25),IF(Z$171=1,IF(AND(AND(21&gt;Corte,21&lt;=Corte+n_Ventana),ISNUMBER(Detalle_24m!Z$27)),Detalle_24m!Z$27,INDEX(Vol_V,14,Z$170)/12)*(1+V_dVol),0))</f>
        <v>0</v>
      </c>
      <c r="AA190" s="48" t="n">
        <f aca="false">IF(AA$8=1,N(Reales!AA25),IF(AA$171=1,IF(AND(AND(22&gt;Corte,22&lt;=Corte+n_Ventana),ISNUMBER(Detalle_24m!AA$27)),Detalle_24m!AA$27,INDEX(Vol_V,14,AA$170)/12)*(1+V_dVol),0))</f>
        <v>0</v>
      </c>
      <c r="AB190" s="48" t="n">
        <f aca="false">IF(AB$8=1,N(Reales!AB25),IF(AB$171=1,IF(AND(AND(23&gt;Corte,23&lt;=Corte+n_Ventana),ISNUMBER(Detalle_24m!AB$27)),Detalle_24m!AB$27,INDEX(Vol_V,14,AB$170)/12)*(1+V_dVol),0))</f>
        <v>0</v>
      </c>
      <c r="AC190" s="48" t="n">
        <f aca="false">IF(AC$8=1,N(Reales!AC25),IF(AC$171=1,IF(AND(AND(24&gt;Corte,24&lt;=Corte+n_Ventana),ISNUMBER(Detalle_24m!AC$27)),Detalle_24m!AC$27,INDEX(Vol_V,14,AC$170)/12)*(1+V_dVol),0))</f>
        <v>0</v>
      </c>
      <c r="AD190" s="48" t="n">
        <f aca="false">IF(AD$8=1,N(Reales!AD25),IF(AD$171=1,IF(AND(AND(25&gt;Corte,25&lt;=Corte+n_Ventana),ISNUMBER(Detalle_24m!AD$27)),Detalle_24m!AD$27,INDEX(Vol_V,14,AD$170)/12)*(1+V_dVol),0))</f>
        <v>0</v>
      </c>
      <c r="AE190" s="48" t="n">
        <f aca="false">IF(AE$8=1,N(Reales!AE25),IF(AE$171=1,IF(AND(AND(26&gt;Corte,26&lt;=Corte+n_Ventana),ISNUMBER(Detalle_24m!AE$27)),Detalle_24m!AE$27,INDEX(Vol_V,14,AE$170)/12)*(1+V_dVol),0))</f>
        <v>0</v>
      </c>
      <c r="AF190" s="48" t="n">
        <f aca="false">IF(AF$8=1,N(Reales!AF25),IF(AF$171=1,IF(AND(AND(27&gt;Corte,27&lt;=Corte+n_Ventana),ISNUMBER(Detalle_24m!AF$27)),Detalle_24m!AF$27,INDEX(Vol_V,14,AF$170)/12)*(1+V_dVol),0))</f>
        <v>0</v>
      </c>
      <c r="AG190" s="48" t="n">
        <f aca="false">IF(AG$8=1,N(Reales!AG25),IF(AG$171=1,IF(AND(AND(28&gt;Corte,28&lt;=Corte+n_Ventana),ISNUMBER(Detalle_24m!AG$27)),Detalle_24m!AG$27,INDEX(Vol_V,14,AG$170)/12)*(1+V_dVol),0))</f>
        <v>0</v>
      </c>
      <c r="AH190" s="48" t="n">
        <f aca="false">IF(AH$8=1,N(Reales!AH25),IF(AH$171=1,IF(AND(AND(29&gt;Corte,29&lt;=Corte+n_Ventana),ISNUMBER(Detalle_24m!AH$27)),Detalle_24m!AH$27,INDEX(Vol_V,14,AH$170)/12)*(1+V_dVol),0))</f>
        <v>0</v>
      </c>
      <c r="AI190" s="48" t="n">
        <f aca="false">IF(AI$8=1,N(Reales!AI25),IF(AI$171=1,IF(AND(AND(30&gt;Corte,30&lt;=Corte+n_Ventana),ISNUMBER(Detalle_24m!AI$27)),Detalle_24m!AI$27,INDEX(Vol_V,14,AI$170)/12)*(1+V_dVol),0))</f>
        <v>0</v>
      </c>
      <c r="AJ190" s="48" t="n">
        <f aca="false">IF(AJ$8=1,N(Reales!AJ25),IF(AJ$171=1,IF(AND(AND(31&gt;Corte,31&lt;=Corte+n_Ventana),ISNUMBER(Detalle_24m!AJ$27)),Detalle_24m!AJ$27,INDEX(Vol_V,14,AJ$170)/12)*(1+V_dVol),0))</f>
        <v>0</v>
      </c>
      <c r="AK190" s="48" t="n">
        <f aca="false">IF(AK$8=1,N(Reales!AK25),IF(AK$171=1,IF(AND(AND(32&gt;Corte,32&lt;=Corte+n_Ventana),ISNUMBER(Detalle_24m!AK$27)),Detalle_24m!AK$27,INDEX(Vol_V,14,AK$170)/12)*(1+V_dVol),0))</f>
        <v>0</v>
      </c>
      <c r="AL190" s="48" t="n">
        <f aca="false">IF(AL$8=1,N(Reales!AL25),IF(AL$171=1,IF(AND(AND(33&gt;Corte,33&lt;=Corte+n_Ventana),ISNUMBER(Detalle_24m!AL$27)),Detalle_24m!AL$27,INDEX(Vol_V,14,AL$170)/12)*(1+V_dVol),0))</f>
        <v>0</v>
      </c>
      <c r="AM190" s="48" t="n">
        <f aca="false">IF(AM$8=1,N(Reales!AM25),IF(AM$171=1,IF(AND(AND(34&gt;Corte,34&lt;=Corte+n_Ventana),ISNUMBER(Detalle_24m!AM$27)),Detalle_24m!AM$27,INDEX(Vol_V,14,AM$170)/12)*(1+V_dVol),0))</f>
        <v>0</v>
      </c>
      <c r="AN190" s="48" t="n">
        <f aca="false">IF(AN$8=1,N(Reales!AN25),IF(AN$171=1,IF(AND(AND(35&gt;Corte,35&lt;=Corte+n_Ventana),ISNUMBER(Detalle_24m!AN$27)),Detalle_24m!AN$27,INDEX(Vol_V,14,AN$170)/12)*(1+V_dVol),0))</f>
        <v>0</v>
      </c>
      <c r="AO190" s="48" t="n">
        <f aca="false">IF(AO$8=1,N(Reales!AO25),IF(AO$171=1,IF(AND(AND(36&gt;Corte,36&lt;=Corte+n_Ventana),ISNUMBER(Detalle_24m!AO$27)),Detalle_24m!AO$27,INDEX(Vol_V,14,AO$170)/12)*(1+V_dVol),0))</f>
        <v>0</v>
      </c>
      <c r="AP190" s="48" t="n">
        <f aca="false">IF(AP$8=1,N(Reales!AP25),IF(AP$171=1,IF(AND(AND(37&gt;Corte,37&lt;=Corte+n_Ventana),ISNUMBER(Detalle_24m!AP$27)),Detalle_24m!AP$27,INDEX(Vol_V,14,AP$170)/12)*(1+V_dVol),0))</f>
        <v>0</v>
      </c>
      <c r="AQ190" s="48" t="n">
        <f aca="false">IF(AQ$8=1,N(Reales!AQ25),IF(AQ$171=1,IF(AND(AND(38&gt;Corte,38&lt;=Corte+n_Ventana),ISNUMBER(Detalle_24m!AQ$27)),Detalle_24m!AQ$27,INDEX(Vol_V,14,AQ$170)/12)*(1+V_dVol),0))</f>
        <v>0</v>
      </c>
      <c r="AR190" s="48" t="n">
        <f aca="false">IF(AR$8=1,N(Reales!AR25),IF(AR$171=1,IF(AND(AND(39&gt;Corte,39&lt;=Corte+n_Ventana),ISNUMBER(Detalle_24m!AR$27)),Detalle_24m!AR$27,INDEX(Vol_V,14,AR$170)/12)*(1+V_dVol),0))</f>
        <v>0</v>
      </c>
      <c r="AS190" s="48" t="n">
        <f aca="false">IF(AS$8=1,N(Reales!AS25),IF(AS$171=1,IF(AND(AND(40&gt;Corte,40&lt;=Corte+n_Ventana),ISNUMBER(Detalle_24m!AS$27)),Detalle_24m!AS$27,INDEX(Vol_V,14,AS$170)/12)*(1+V_dVol),0))</f>
        <v>0</v>
      </c>
      <c r="AT190" s="48" t="n">
        <f aca="false">IF(AT$8=1,N(Reales!AT25),IF(AT$171=1,IF(AND(AND(41&gt;Corte,41&lt;=Corte+n_Ventana),ISNUMBER(Detalle_24m!AT$27)),Detalle_24m!AT$27,INDEX(Vol_V,14,AT$170)/12)*(1+V_dVol),0))</f>
        <v>0</v>
      </c>
      <c r="AU190" s="48" t="n">
        <f aca="false">IF(AU$8=1,N(Reales!AU25),IF(AU$171=1,IF(AND(AND(42&gt;Corte,42&lt;=Corte+n_Ventana),ISNUMBER(Detalle_24m!AU$27)),Detalle_24m!AU$27,INDEX(Vol_V,14,AU$170)/12)*(1+V_dVol),0))</f>
        <v>0</v>
      </c>
      <c r="AV190" s="48" t="n">
        <f aca="false">IF(AV$8=1,N(Reales!AV25),IF(AV$171=1,IF(AND(AND(43&gt;Corte,43&lt;=Corte+n_Ventana),ISNUMBER(Detalle_24m!AV$27)),Detalle_24m!AV$27,INDEX(Vol_V,14,AV$170)/12)*(1+V_dVol),0))</f>
        <v>0</v>
      </c>
      <c r="AW190" s="48" t="n">
        <f aca="false">IF(AW$8=1,N(Reales!AW25),IF(AW$171=1,IF(AND(AND(44&gt;Corte,44&lt;=Corte+n_Ventana),ISNUMBER(Detalle_24m!AW$27)),Detalle_24m!AW$27,INDEX(Vol_V,14,AW$170)/12)*(1+V_dVol),0))</f>
        <v>0</v>
      </c>
      <c r="AX190" s="48" t="n">
        <f aca="false">IF(AX$8=1,N(Reales!AX25),IF(AX$171=1,IF(AND(AND(45&gt;Corte,45&lt;=Corte+n_Ventana),ISNUMBER(Detalle_24m!AX$27)),Detalle_24m!AX$27,INDEX(Vol_V,14,AX$170)/12)*(1+V_dVol),0))</f>
        <v>0</v>
      </c>
      <c r="AY190" s="48" t="n">
        <f aca="false">IF(AY$8=1,N(Reales!AY25),IF(AY$171=1,IF(AND(AND(46&gt;Corte,46&lt;=Corte+n_Ventana),ISNUMBER(Detalle_24m!AY$27)),Detalle_24m!AY$27,INDEX(Vol_V,14,AY$170)/12)*(1+V_dVol),0))</f>
        <v>0</v>
      </c>
      <c r="AZ190" s="48" t="n">
        <f aca="false">IF(AZ$8=1,N(Reales!AZ25),IF(AZ$171=1,IF(AND(AND(47&gt;Corte,47&lt;=Corte+n_Ventana),ISNUMBER(Detalle_24m!AZ$27)),Detalle_24m!AZ$27,INDEX(Vol_V,14,AZ$170)/12)*(1+V_dVol),0))</f>
        <v>0</v>
      </c>
      <c r="BA190" s="48" t="n">
        <f aca="false">IF(BA$8=1,N(Reales!BA25),IF(BA$171=1,IF(AND(AND(48&gt;Corte,48&lt;=Corte+n_Ventana),ISNUMBER(Detalle_24m!BA$27)),Detalle_24m!BA$27,INDEX(Vol_V,14,BA$170)/12)*(1+V_dVol),0))</f>
        <v>0</v>
      </c>
      <c r="BB190" s="48" t="n">
        <f aca="false">IF(BB$8=1,N(Reales!BB25),IF(BB$171=1,IF(AND(AND(49&gt;Corte,49&lt;=Corte+n_Ventana),ISNUMBER(Detalle_24m!BB$27)),Detalle_24m!BB$27,INDEX(Vol_V,14,BB$170)/12)*(1+V_dVol),0))</f>
        <v>0</v>
      </c>
      <c r="BC190" s="48" t="n">
        <f aca="false">IF(BC$8=1,N(Reales!BC25),IF(BC$171=1,IF(AND(AND(50&gt;Corte,50&lt;=Corte+n_Ventana),ISNUMBER(Detalle_24m!BC$27)),Detalle_24m!BC$27,INDEX(Vol_V,14,BC$170)/12)*(1+V_dVol),0))</f>
        <v>0</v>
      </c>
      <c r="BD190" s="48" t="n">
        <f aca="false">IF(BD$8=1,N(Reales!BD25),IF(BD$171=1,IF(AND(AND(51&gt;Corte,51&lt;=Corte+n_Ventana),ISNUMBER(Detalle_24m!BD$27)),Detalle_24m!BD$27,INDEX(Vol_V,14,BD$170)/12)*(1+V_dVol),0))</f>
        <v>0</v>
      </c>
      <c r="BE190" s="48" t="n">
        <f aca="false">IF(BE$8=1,N(Reales!BE25),IF(BE$171=1,IF(AND(AND(52&gt;Corte,52&lt;=Corte+n_Ventana),ISNUMBER(Detalle_24m!BE$27)),Detalle_24m!BE$27,INDEX(Vol_V,14,BE$170)/12)*(1+V_dVol),0))</f>
        <v>0</v>
      </c>
      <c r="BF190" s="48" t="n">
        <f aca="false">IF(BF$8=1,N(Reales!BF25),IF(BF$171=1,IF(AND(AND(53&gt;Corte,53&lt;=Corte+n_Ventana),ISNUMBER(Detalle_24m!BF$27)),Detalle_24m!BF$27,INDEX(Vol_V,14,BF$170)/12)*(1+V_dVol),0))</f>
        <v>0</v>
      </c>
      <c r="BG190" s="48" t="n">
        <f aca="false">IF(BG$8=1,N(Reales!BG25),IF(BG$171=1,IF(AND(AND(54&gt;Corte,54&lt;=Corte+n_Ventana),ISNUMBER(Detalle_24m!BG$27)),Detalle_24m!BG$27,INDEX(Vol_V,14,BG$170)/12)*(1+V_dVol),0))</f>
        <v>0</v>
      </c>
      <c r="BH190" s="48" t="n">
        <f aca="false">IF(BH$8=1,N(Reales!BH25),IF(BH$171=1,IF(AND(AND(55&gt;Corte,55&lt;=Corte+n_Ventana),ISNUMBER(Detalle_24m!BH$27)),Detalle_24m!BH$27,INDEX(Vol_V,14,BH$170)/12)*(1+V_dVol),0))</f>
        <v>0</v>
      </c>
      <c r="BI190" s="48" t="n">
        <f aca="false">IF(BI$8=1,N(Reales!BI25),IF(BI$171=1,IF(AND(AND(56&gt;Corte,56&lt;=Corte+n_Ventana),ISNUMBER(Detalle_24m!BI$27)),Detalle_24m!BI$27,INDEX(Vol_V,14,BI$170)/12)*(1+V_dVol),0))</f>
        <v>0</v>
      </c>
      <c r="BJ190" s="48" t="n">
        <f aca="false">IF(BJ$8=1,N(Reales!BJ25),IF(BJ$171=1,IF(AND(AND(57&gt;Corte,57&lt;=Corte+n_Ventana),ISNUMBER(Detalle_24m!BJ$27)),Detalle_24m!BJ$27,INDEX(Vol_V,14,BJ$170)/12)*(1+V_dVol),0))</f>
        <v>0</v>
      </c>
      <c r="BK190" s="48" t="n">
        <f aca="false">IF(BK$8=1,N(Reales!BK25),IF(BK$171=1,IF(AND(AND(58&gt;Corte,58&lt;=Corte+n_Ventana),ISNUMBER(Detalle_24m!BK$27)),Detalle_24m!BK$27,INDEX(Vol_V,14,BK$170)/12)*(1+V_dVol),0))</f>
        <v>0</v>
      </c>
      <c r="BL190" s="48" t="n">
        <f aca="false">IF(BL$8=1,N(Reales!BL25),IF(BL$171=1,IF(AND(AND(59&gt;Corte,59&lt;=Corte+n_Ventana),ISNUMBER(Detalle_24m!BL$27)),Detalle_24m!BL$27,INDEX(Vol_V,14,BL$170)/12)*(1+V_dVol),0))</f>
        <v>0</v>
      </c>
      <c r="BM190" s="48" t="n">
        <f aca="false">IF(BM$8=1,N(Reales!BM25),IF(BM$171=1,IF(AND(AND(60&gt;Corte,60&lt;=Corte+n_Ventana),ISNUMBER(Detalle_24m!BM$27)),Detalle_24m!BM$27,INDEX(Vol_V,14,BM$170)/12)*(1+V_dVol),0))</f>
        <v>0</v>
      </c>
      <c r="BN190" s="48" t="n">
        <f aca="false">IF(BN$8=1,N(Reales!BN25),IF(BN$171=1,IF(AND(AND(61&gt;Corte,61&lt;=Corte+n_Ventana),ISNUMBER(Detalle_24m!BN$27)),Detalle_24m!BN$27,INDEX(Vol_V,14,BN$170)/12)*(1+V_dVol),0))</f>
        <v>0</v>
      </c>
      <c r="BO190" s="48" t="n">
        <f aca="false">IF(BO$8=1,N(Reales!BO25),IF(BO$171=1,IF(AND(AND(62&gt;Corte,62&lt;=Corte+n_Ventana),ISNUMBER(Detalle_24m!BO$27)),Detalle_24m!BO$27,INDEX(Vol_V,14,BO$170)/12)*(1+V_dVol),0))</f>
        <v>0</v>
      </c>
      <c r="BP190" s="48" t="n">
        <f aca="false">IF(BP$8=1,N(Reales!BP25),IF(BP$171=1,IF(AND(AND(63&gt;Corte,63&lt;=Corte+n_Ventana),ISNUMBER(Detalle_24m!BP$27)),Detalle_24m!BP$27,INDEX(Vol_V,14,BP$170)/12)*(1+V_dVol),0))</f>
        <v>0</v>
      </c>
      <c r="BQ190" s="48" t="n">
        <f aca="false">IF(BQ$8=1,N(Reales!BQ25),IF(BQ$171=1,IF(AND(AND(64&gt;Corte,64&lt;=Corte+n_Ventana),ISNUMBER(Detalle_24m!BQ$27)),Detalle_24m!BQ$27,INDEX(Vol_V,14,BQ$170)/12)*(1+V_dVol),0))</f>
        <v>0</v>
      </c>
      <c r="BR190" s="48" t="n">
        <f aca="false">IF(BR$8=1,N(Reales!BR25),IF(BR$171=1,IF(AND(AND(65&gt;Corte,65&lt;=Corte+n_Ventana),ISNUMBER(Detalle_24m!BR$27)),Detalle_24m!BR$27,INDEX(Vol_V,14,BR$170)/12)*(1+V_dVol),0))</f>
        <v>0</v>
      </c>
      <c r="BS190" s="48" t="n">
        <f aca="false">IF(BS$8=1,N(Reales!BS25),IF(BS$171=1,IF(AND(AND(66&gt;Corte,66&lt;=Corte+n_Ventana),ISNUMBER(Detalle_24m!BS$27)),Detalle_24m!BS$27,INDEX(Vol_V,14,BS$170)/12)*(1+V_dVol),0))</f>
        <v>0</v>
      </c>
      <c r="BT190" s="48" t="n">
        <f aca="false">IF(BT$8=1,N(Reales!BT25),IF(BT$171=1,IF(AND(AND(67&gt;Corte,67&lt;=Corte+n_Ventana),ISNUMBER(Detalle_24m!BT$27)),Detalle_24m!BT$27,INDEX(Vol_V,14,BT$170)/12)*(1+V_dVol),0))</f>
        <v>0</v>
      </c>
      <c r="BU190" s="48" t="n">
        <f aca="false">IF(BU$8=1,N(Reales!BU25),IF(BU$171=1,IF(AND(AND(68&gt;Corte,68&lt;=Corte+n_Ventana),ISNUMBER(Detalle_24m!BU$27)),Detalle_24m!BU$27,INDEX(Vol_V,14,BU$170)/12)*(1+V_dVol),0))</f>
        <v>0</v>
      </c>
      <c r="BV190" s="48" t="n">
        <f aca="false">IF(BV$8=1,N(Reales!BV25),IF(BV$171=1,IF(AND(AND(69&gt;Corte,69&lt;=Corte+n_Ventana),ISNUMBER(Detalle_24m!BV$27)),Detalle_24m!BV$27,INDEX(Vol_V,14,BV$170)/12)*(1+V_dVol),0))</f>
        <v>0</v>
      </c>
      <c r="BW190" s="48" t="n">
        <f aca="false">IF(BW$8=1,N(Reales!BW25),IF(BW$171=1,IF(AND(AND(70&gt;Corte,70&lt;=Corte+n_Ventana),ISNUMBER(Detalle_24m!BW$27)),Detalle_24m!BW$27,INDEX(Vol_V,14,BW$170)/12)*(1+V_dVol),0))</f>
        <v>0</v>
      </c>
      <c r="BX190" s="48" t="n">
        <f aca="false">IF(BX$8=1,N(Reales!BX25),IF(BX$171=1,IF(AND(AND(71&gt;Corte,71&lt;=Corte+n_Ventana),ISNUMBER(Detalle_24m!BX$27)),Detalle_24m!BX$27,INDEX(Vol_V,14,BX$170)/12)*(1+V_dVol),0))</f>
        <v>0</v>
      </c>
      <c r="BY190" s="48" t="n">
        <f aca="false">IF(BY$8=1,N(Reales!BY25),IF(BY$171=1,IF(AND(AND(72&gt;Corte,72&lt;=Corte+n_Ventana),ISNUMBER(Detalle_24m!BY$27)),Detalle_24m!BY$27,INDEX(Vol_V,14,BY$170)/12)*(1+V_dVol),0))</f>
        <v>0</v>
      </c>
      <c r="BZ190" s="48" t="n">
        <f aca="false">IF(BZ$8=1,N(Reales!BZ25),IF(BZ$171=1,IF(AND(AND(73&gt;Corte,73&lt;=Corte+n_Ventana),ISNUMBER(Detalle_24m!BZ$27)),Detalle_24m!BZ$27,INDEX(Vol_V,14,BZ$170)/12)*(1+V_dVol),0))</f>
        <v>0</v>
      </c>
      <c r="CA190" s="48" t="n">
        <f aca="false">IF(CA$8=1,N(Reales!CA25),IF(CA$171=1,IF(AND(AND(74&gt;Corte,74&lt;=Corte+n_Ventana),ISNUMBER(Detalle_24m!CA$27)),Detalle_24m!CA$27,INDEX(Vol_V,14,CA$170)/12)*(1+V_dVol),0))</f>
        <v>0</v>
      </c>
      <c r="CB190" s="48" t="n">
        <f aca="false">IF(CB$8=1,N(Reales!CB25),IF(CB$171=1,IF(AND(AND(75&gt;Corte,75&lt;=Corte+n_Ventana),ISNUMBER(Detalle_24m!CB$27)),Detalle_24m!CB$27,INDEX(Vol_V,14,CB$170)/12)*(1+V_dVol),0))</f>
        <v>0</v>
      </c>
      <c r="CC190" s="48" t="n">
        <f aca="false">IF(CC$8=1,N(Reales!CC25),IF(CC$171=1,IF(AND(AND(76&gt;Corte,76&lt;=Corte+n_Ventana),ISNUMBER(Detalle_24m!CC$27)),Detalle_24m!CC$27,INDEX(Vol_V,14,CC$170)/12)*(1+V_dVol),0))</f>
        <v>0</v>
      </c>
      <c r="CD190" s="48" t="n">
        <f aca="false">IF(CD$8=1,N(Reales!CD25),IF(CD$171=1,IF(AND(AND(77&gt;Corte,77&lt;=Corte+n_Ventana),ISNUMBER(Detalle_24m!CD$27)),Detalle_24m!CD$27,INDEX(Vol_V,14,CD$170)/12)*(1+V_dVol),0))</f>
        <v>0</v>
      </c>
      <c r="CE190" s="48" t="n">
        <f aca="false">IF(CE$8=1,N(Reales!CE25),IF(CE$171=1,IF(AND(AND(78&gt;Corte,78&lt;=Corte+n_Ventana),ISNUMBER(Detalle_24m!CE$27)),Detalle_24m!CE$27,INDEX(Vol_V,14,CE$170)/12)*(1+V_dVol),0))</f>
        <v>0</v>
      </c>
      <c r="CF190" s="48" t="n">
        <f aca="false">IF(CF$8=1,N(Reales!CF25),IF(CF$171=1,IF(AND(AND(79&gt;Corte,79&lt;=Corte+n_Ventana),ISNUMBER(Detalle_24m!CF$27)),Detalle_24m!CF$27,INDEX(Vol_V,14,CF$170)/12)*(1+V_dVol),0))</f>
        <v>0</v>
      </c>
      <c r="CG190" s="48" t="n">
        <f aca="false">IF(CG$8=1,N(Reales!CG25),IF(CG$171=1,IF(AND(AND(80&gt;Corte,80&lt;=Corte+n_Ventana),ISNUMBER(Detalle_24m!CG$27)),Detalle_24m!CG$27,INDEX(Vol_V,14,CG$170)/12)*(1+V_dVol),0))</f>
        <v>0</v>
      </c>
      <c r="CH190" s="48" t="n">
        <f aca="false">IF(CH$8=1,N(Reales!CH25),IF(CH$171=1,IF(AND(AND(81&gt;Corte,81&lt;=Corte+n_Ventana),ISNUMBER(Detalle_24m!CH$27)),Detalle_24m!CH$27,INDEX(Vol_V,14,CH$170)/12)*(1+V_dVol),0))</f>
        <v>0</v>
      </c>
      <c r="CI190" s="48" t="n">
        <f aca="false">IF(CI$8=1,N(Reales!CI25),IF(CI$171=1,IF(AND(AND(82&gt;Corte,82&lt;=Corte+n_Ventana),ISNUMBER(Detalle_24m!CI$27)),Detalle_24m!CI$27,INDEX(Vol_V,14,CI$170)/12)*(1+V_dVol),0))</f>
        <v>0</v>
      </c>
      <c r="CJ190" s="48" t="n">
        <f aca="false">IF(CJ$8=1,N(Reales!CJ25),IF(CJ$171=1,IF(AND(AND(83&gt;Corte,83&lt;=Corte+n_Ventana),ISNUMBER(Detalle_24m!CJ$27)),Detalle_24m!CJ$27,INDEX(Vol_V,14,CJ$170)/12)*(1+V_dVol),0))</f>
        <v>0</v>
      </c>
      <c r="CK190" s="48" t="n">
        <f aca="false">IF(CK$8=1,N(Reales!CK25),IF(CK$171=1,IF(AND(AND(84&gt;Corte,84&lt;=Corte+n_Ventana),ISNUMBER(Detalle_24m!CK$27)),Detalle_24m!CK$27,INDEX(Vol_V,14,CK$170)/12)*(1+V_dVol),0))</f>
        <v>0</v>
      </c>
      <c r="CL190" s="48" t="n">
        <f aca="false">IF(CL$8=1,N(Reales!CL25),IF(CL$171=1,IF(AND(AND(85&gt;Corte,85&lt;=Corte+n_Ventana),ISNUMBER(Detalle_24m!CL$27)),Detalle_24m!CL$27,INDEX(Vol_V,14,CL$170)/12)*(1+V_dVol),0))</f>
        <v>0</v>
      </c>
      <c r="CM190" s="48" t="n">
        <f aca="false">IF(CM$8=1,N(Reales!CM25),IF(CM$171=1,IF(AND(AND(86&gt;Corte,86&lt;=Corte+n_Ventana),ISNUMBER(Detalle_24m!CM$27)),Detalle_24m!CM$27,INDEX(Vol_V,14,CM$170)/12)*(1+V_dVol),0))</f>
        <v>0</v>
      </c>
      <c r="CN190" s="48" t="n">
        <f aca="false">IF(CN$8=1,N(Reales!CN25),IF(CN$171=1,IF(AND(AND(87&gt;Corte,87&lt;=Corte+n_Ventana),ISNUMBER(Detalle_24m!CN$27)),Detalle_24m!CN$27,INDEX(Vol_V,14,CN$170)/12)*(1+V_dVol),0))</f>
        <v>0</v>
      </c>
      <c r="CO190" s="48" t="n">
        <f aca="false">IF(CO$8=1,N(Reales!CO25),IF(CO$171=1,IF(AND(AND(88&gt;Corte,88&lt;=Corte+n_Ventana),ISNUMBER(Detalle_24m!CO$27)),Detalle_24m!CO$27,INDEX(Vol_V,14,CO$170)/12)*(1+V_dVol),0))</f>
        <v>0</v>
      </c>
      <c r="CP190" s="48" t="n">
        <f aca="false">IF(CP$8=1,N(Reales!CP25),IF(CP$171=1,IF(AND(AND(89&gt;Corte,89&lt;=Corte+n_Ventana),ISNUMBER(Detalle_24m!CP$27)),Detalle_24m!CP$27,INDEX(Vol_V,14,CP$170)/12)*(1+V_dVol),0))</f>
        <v>0</v>
      </c>
      <c r="CQ190" s="48" t="n">
        <f aca="false">IF(CQ$8=1,N(Reales!CQ25),IF(CQ$171=1,IF(AND(AND(90&gt;Corte,90&lt;=Corte+n_Ventana),ISNUMBER(Detalle_24m!CQ$27)),Detalle_24m!CQ$27,INDEX(Vol_V,14,CQ$170)/12)*(1+V_dVol),0))</f>
        <v>0</v>
      </c>
      <c r="CR190" s="48" t="n">
        <f aca="false">IF(CR$8=1,N(Reales!CR25),IF(CR$171=1,IF(AND(AND(91&gt;Corte,91&lt;=Corte+n_Ventana),ISNUMBER(Detalle_24m!CR$27)),Detalle_24m!CR$27,INDEX(Vol_V,14,CR$170)/12)*(1+V_dVol),0))</f>
        <v>0</v>
      </c>
      <c r="CS190" s="48" t="n">
        <f aca="false">IF(CS$8=1,N(Reales!CS25),IF(CS$171=1,IF(AND(AND(92&gt;Corte,92&lt;=Corte+n_Ventana),ISNUMBER(Detalle_24m!CS$27)),Detalle_24m!CS$27,INDEX(Vol_V,14,CS$170)/12)*(1+V_dVol),0))</f>
        <v>0</v>
      </c>
      <c r="CT190" s="48" t="n">
        <f aca="false">IF(CT$8=1,N(Reales!CT25),IF(CT$171=1,IF(AND(AND(93&gt;Corte,93&lt;=Corte+n_Ventana),ISNUMBER(Detalle_24m!CT$27)),Detalle_24m!CT$27,INDEX(Vol_V,14,CT$170)/12)*(1+V_dVol),0))</f>
        <v>0</v>
      </c>
      <c r="CU190" s="48" t="n">
        <f aca="false">IF(CU$8=1,N(Reales!CU25),IF(CU$171=1,IF(AND(AND(94&gt;Corte,94&lt;=Corte+n_Ventana),ISNUMBER(Detalle_24m!CU$27)),Detalle_24m!CU$27,INDEX(Vol_V,14,CU$170)/12)*(1+V_dVol),0))</f>
        <v>0</v>
      </c>
      <c r="CV190" s="48" t="n">
        <f aca="false">IF(CV$8=1,N(Reales!CV25),IF(CV$171=1,IF(AND(AND(95&gt;Corte,95&lt;=Corte+n_Ventana),ISNUMBER(Detalle_24m!CV$27)),Detalle_24m!CV$27,INDEX(Vol_V,14,CV$170)/12)*(1+V_dVol),0))</f>
        <v>0</v>
      </c>
      <c r="CW190" s="48" t="n">
        <f aca="false">IF(CW$8=1,N(Reales!CW25),IF(CW$171=1,IF(AND(AND(96&gt;Corte,96&lt;=Corte+n_Ventana),ISNUMBER(Detalle_24m!CW$27)),Detalle_24m!CW$27,INDEX(Vol_V,14,CW$170)/12)*(1+V_dVol),0))</f>
        <v>0</v>
      </c>
      <c r="CX190" s="48" t="n">
        <f aca="false">IF(CX$8=1,N(Reales!CX25),IF(CX$171=1,IF(AND(AND(97&gt;Corte,97&lt;=Corte+n_Ventana),ISNUMBER(Detalle_24m!CX$27)),Detalle_24m!CX$27,INDEX(Vol_V,14,CX$170)/12)*(1+V_dVol),0))</f>
        <v>0</v>
      </c>
      <c r="CY190" s="48" t="n">
        <f aca="false">IF(CY$8=1,N(Reales!CY25),IF(CY$171=1,IF(AND(AND(98&gt;Corte,98&lt;=Corte+n_Ventana),ISNUMBER(Detalle_24m!CY$27)),Detalle_24m!CY$27,INDEX(Vol_V,14,CY$170)/12)*(1+V_dVol),0))</f>
        <v>0</v>
      </c>
      <c r="CZ190" s="48" t="n">
        <f aca="false">IF(CZ$8=1,N(Reales!CZ25),IF(CZ$171=1,IF(AND(AND(99&gt;Corte,99&lt;=Corte+n_Ventana),ISNUMBER(Detalle_24m!CZ$27)),Detalle_24m!CZ$27,INDEX(Vol_V,14,CZ$170)/12)*(1+V_dVol),0))</f>
        <v>0</v>
      </c>
      <c r="DA190" s="48" t="n">
        <f aca="false">IF(DA$8=1,N(Reales!DA25),IF(DA$171=1,IF(AND(AND(100&gt;Corte,100&lt;=Corte+n_Ventana),ISNUMBER(Detalle_24m!DA$27)),Detalle_24m!DA$27,INDEX(Vol_V,14,DA$170)/12)*(1+V_dVol),0))</f>
        <v>0</v>
      </c>
      <c r="DB190" s="48" t="n">
        <f aca="false">IF(DB$8=1,N(Reales!DB25),IF(DB$171=1,IF(AND(AND(101&gt;Corte,101&lt;=Corte+n_Ventana),ISNUMBER(Detalle_24m!DB$27)),Detalle_24m!DB$27,INDEX(Vol_V,14,DB$170)/12)*(1+V_dVol),0))</f>
        <v>0</v>
      </c>
      <c r="DC190" s="48" t="n">
        <f aca="false">IF(DC$8=1,N(Reales!DC25),IF(DC$171=1,IF(AND(AND(102&gt;Corte,102&lt;=Corte+n_Ventana),ISNUMBER(Detalle_24m!DC$27)),Detalle_24m!DC$27,INDEX(Vol_V,14,DC$170)/12)*(1+V_dVol),0))</f>
        <v>0</v>
      </c>
      <c r="DD190" s="48" t="n">
        <f aca="false">IF(DD$8=1,N(Reales!DD25),IF(DD$171=1,IF(AND(AND(103&gt;Corte,103&lt;=Corte+n_Ventana),ISNUMBER(Detalle_24m!DD$27)),Detalle_24m!DD$27,INDEX(Vol_V,14,DD$170)/12)*(1+V_dVol),0))</f>
        <v>0</v>
      </c>
      <c r="DE190" s="48" t="n">
        <f aca="false">IF(DE$8=1,N(Reales!DE25),IF(DE$171=1,IF(AND(AND(104&gt;Corte,104&lt;=Corte+n_Ventana),ISNUMBER(Detalle_24m!DE$27)),Detalle_24m!DE$27,INDEX(Vol_V,14,DE$170)/12)*(1+V_dVol),0))</f>
        <v>0</v>
      </c>
      <c r="DF190" s="48" t="n">
        <f aca="false">IF(DF$8=1,N(Reales!DF25),IF(DF$171=1,IF(AND(AND(105&gt;Corte,105&lt;=Corte+n_Ventana),ISNUMBER(Detalle_24m!DF$27)),Detalle_24m!DF$27,INDEX(Vol_V,14,DF$170)/12)*(1+V_dVol),0))</f>
        <v>0</v>
      </c>
      <c r="DG190" s="48" t="n">
        <f aca="false">IF(DG$8=1,N(Reales!DG25),IF(DG$171=1,IF(AND(AND(106&gt;Corte,106&lt;=Corte+n_Ventana),ISNUMBER(Detalle_24m!DG$27)),Detalle_24m!DG$27,INDEX(Vol_V,14,DG$170)/12)*(1+V_dVol),0))</f>
        <v>0</v>
      </c>
      <c r="DH190" s="48" t="n">
        <f aca="false">IF(DH$8=1,N(Reales!DH25),IF(DH$171=1,IF(AND(AND(107&gt;Corte,107&lt;=Corte+n_Ventana),ISNUMBER(Detalle_24m!DH$27)),Detalle_24m!DH$27,INDEX(Vol_V,14,DH$170)/12)*(1+V_dVol),0))</f>
        <v>0</v>
      </c>
      <c r="DI190" s="48" t="n">
        <f aca="false">IF(DI$8=1,N(Reales!DI25),IF(DI$171=1,IF(AND(AND(108&gt;Corte,108&lt;=Corte+n_Ventana),ISNUMBER(Detalle_24m!DI$27)),Detalle_24m!DI$27,INDEX(Vol_V,14,DI$170)/12)*(1+V_dVol),0))</f>
        <v>0</v>
      </c>
      <c r="DJ190" s="48" t="n">
        <f aca="false">IF(DJ$8=1,N(Reales!DJ25),IF(DJ$171=1,IF(AND(AND(109&gt;Corte,109&lt;=Corte+n_Ventana),ISNUMBER(Detalle_24m!DJ$27)),Detalle_24m!DJ$27,INDEX(Vol_V,14,DJ$170)/12)*(1+V_dVol),0))</f>
        <v>0</v>
      </c>
      <c r="DK190" s="48" t="n">
        <f aca="false">IF(DK$8=1,N(Reales!DK25),IF(DK$171=1,IF(AND(AND(110&gt;Corte,110&lt;=Corte+n_Ventana),ISNUMBER(Detalle_24m!DK$27)),Detalle_24m!DK$27,INDEX(Vol_V,14,DK$170)/12)*(1+V_dVol),0))</f>
        <v>0</v>
      </c>
      <c r="DL190" s="48" t="n">
        <f aca="false">IF(DL$8=1,N(Reales!DL25),IF(DL$171=1,IF(AND(AND(111&gt;Corte,111&lt;=Corte+n_Ventana),ISNUMBER(Detalle_24m!DL$27)),Detalle_24m!DL$27,INDEX(Vol_V,14,DL$170)/12)*(1+V_dVol),0))</f>
        <v>0</v>
      </c>
      <c r="DM190" s="48" t="n">
        <f aca="false">IF(DM$8=1,N(Reales!DM25),IF(DM$171=1,IF(AND(AND(112&gt;Corte,112&lt;=Corte+n_Ventana),ISNUMBER(Detalle_24m!DM$27)),Detalle_24m!DM$27,INDEX(Vol_V,14,DM$170)/12)*(1+V_dVol),0))</f>
        <v>0</v>
      </c>
      <c r="DN190" s="48" t="n">
        <f aca="false">IF(DN$8=1,N(Reales!DN25),IF(DN$171=1,IF(AND(AND(113&gt;Corte,113&lt;=Corte+n_Ventana),ISNUMBER(Detalle_24m!DN$27)),Detalle_24m!DN$27,INDEX(Vol_V,14,DN$170)/12)*(1+V_dVol),0))</f>
        <v>0</v>
      </c>
      <c r="DO190" s="48" t="n">
        <f aca="false">IF(DO$8=1,N(Reales!DO25),IF(DO$171=1,IF(AND(AND(114&gt;Corte,114&lt;=Corte+n_Ventana),ISNUMBER(Detalle_24m!DO$27)),Detalle_24m!DO$27,INDEX(Vol_V,14,DO$170)/12)*(1+V_dVol),0))</f>
        <v>0</v>
      </c>
      <c r="DP190" s="48" t="n">
        <f aca="false">IF(DP$8=1,N(Reales!DP25),IF(DP$171=1,IF(AND(AND(115&gt;Corte,115&lt;=Corte+n_Ventana),ISNUMBER(Detalle_24m!DP$27)),Detalle_24m!DP$27,INDEX(Vol_V,14,DP$170)/12)*(1+V_dVol),0))</f>
        <v>0</v>
      </c>
      <c r="DQ190" s="48" t="n">
        <f aca="false">IF(DQ$8=1,N(Reales!DQ25),IF(DQ$171=1,IF(AND(AND(116&gt;Corte,116&lt;=Corte+n_Ventana),ISNUMBER(Detalle_24m!DQ$27)),Detalle_24m!DQ$27,INDEX(Vol_V,14,DQ$170)/12)*(1+V_dVol),0))</f>
        <v>0</v>
      </c>
      <c r="DR190" s="48" t="n">
        <f aca="false">IF(DR$8=1,N(Reales!DR25),IF(DR$171=1,IF(AND(AND(117&gt;Corte,117&lt;=Corte+n_Ventana),ISNUMBER(Detalle_24m!DR$27)),Detalle_24m!DR$27,INDEX(Vol_V,14,DR$170)/12)*(1+V_dVol),0))</f>
        <v>0</v>
      </c>
      <c r="DS190" s="48" t="n">
        <f aca="false">IF(DS$8=1,N(Reales!DS25),IF(DS$171=1,IF(AND(AND(118&gt;Corte,118&lt;=Corte+n_Ventana),ISNUMBER(Detalle_24m!DS$27)),Detalle_24m!DS$27,INDEX(Vol_V,14,DS$170)/12)*(1+V_dVol),0))</f>
        <v>0</v>
      </c>
      <c r="DT190" s="48" t="n">
        <f aca="false">IF(DT$8=1,N(Reales!DT25),IF(DT$171=1,IF(AND(AND(119&gt;Corte,119&lt;=Corte+n_Ventana),ISNUMBER(Detalle_24m!DT$27)),Detalle_24m!DT$27,INDEX(Vol_V,14,DT$170)/12)*(1+V_dVol),0))</f>
        <v>0</v>
      </c>
      <c r="DU190" s="48" t="n">
        <f aca="false">IF(DU$8=1,N(Reales!DU25),IF(DU$171=1,IF(AND(AND(120&gt;Corte,120&lt;=Corte+n_Ventana),ISNUMBER(Detalle_24m!DU$27)),Detalle_24m!DU$27,INDEX(Vol_V,14,DU$170)/12)*(1+V_dVol),0))</f>
        <v>0</v>
      </c>
      <c r="DV190" s="48" t="n">
        <f aca="false">IF(DV$8=1,N(Reales!DV25),IF(DV$171=1,IF(AND(AND(121&gt;Corte,121&lt;=Corte+n_Ventana),ISNUMBER(Detalle_24m!DV$27)),Detalle_24m!DV$27,INDEX(Vol_V,14,DV$170)/12)*(1+V_dVol),0))</f>
        <v>0</v>
      </c>
      <c r="DW190" s="48" t="n">
        <f aca="false">IF(DW$8=1,N(Reales!DW25),IF(DW$171=1,IF(AND(AND(122&gt;Corte,122&lt;=Corte+n_Ventana),ISNUMBER(Detalle_24m!DW$27)),Detalle_24m!DW$27,INDEX(Vol_V,14,DW$170)/12)*(1+V_dVol),0))</f>
        <v>0</v>
      </c>
      <c r="DX190" s="48" t="n">
        <f aca="false">IF(DX$8=1,N(Reales!DX25),IF(DX$171=1,IF(AND(AND(123&gt;Corte,123&lt;=Corte+n_Ventana),ISNUMBER(Detalle_24m!DX$27)),Detalle_24m!DX$27,INDEX(Vol_V,14,DX$170)/12)*(1+V_dVol),0))</f>
        <v>0</v>
      </c>
      <c r="DY190" s="48" t="n">
        <f aca="false">IF(DY$8=1,N(Reales!DY25),IF(DY$171=1,IF(AND(AND(124&gt;Corte,124&lt;=Corte+n_Ventana),ISNUMBER(Detalle_24m!DY$27)),Detalle_24m!DY$27,INDEX(Vol_V,14,DY$170)/12)*(1+V_dVol),0))</f>
        <v>0</v>
      </c>
      <c r="DZ190" s="48" t="n">
        <f aca="false">IF(DZ$8=1,N(Reales!DZ25),IF(DZ$171=1,IF(AND(AND(125&gt;Corte,125&lt;=Corte+n_Ventana),ISNUMBER(Detalle_24m!DZ$27)),Detalle_24m!DZ$27,INDEX(Vol_V,14,DZ$170)/12)*(1+V_dVol),0))</f>
        <v>0</v>
      </c>
      <c r="EA190" s="48" t="n">
        <f aca="false">IF(EA$8=1,N(Reales!EA25),IF(EA$171=1,IF(AND(AND(126&gt;Corte,126&lt;=Corte+n_Ventana),ISNUMBER(Detalle_24m!EA$27)),Detalle_24m!EA$27,INDEX(Vol_V,14,EA$170)/12)*(1+V_dVol),0))</f>
        <v>0</v>
      </c>
      <c r="EB190" s="48" t="n">
        <f aca="false">IF(EB$8=1,N(Reales!EB25),IF(EB$171=1,IF(AND(AND(127&gt;Corte,127&lt;=Corte+n_Ventana),ISNUMBER(Detalle_24m!EB$27)),Detalle_24m!EB$27,INDEX(Vol_V,14,EB$170)/12)*(1+V_dVol),0))</f>
        <v>0</v>
      </c>
      <c r="EC190" s="48" t="n">
        <f aca="false">IF(EC$8=1,N(Reales!EC25),IF(EC$171=1,IF(AND(AND(128&gt;Corte,128&lt;=Corte+n_Ventana),ISNUMBER(Detalle_24m!EC$27)),Detalle_24m!EC$27,INDEX(Vol_V,14,EC$170)/12)*(1+V_dVol),0))</f>
        <v>0</v>
      </c>
      <c r="ED190" s="48" t="n">
        <f aca="false">IF(ED$8=1,N(Reales!ED25),IF(ED$171=1,IF(AND(AND(129&gt;Corte,129&lt;=Corte+n_Ventana),ISNUMBER(Detalle_24m!ED$27)),Detalle_24m!ED$27,INDEX(Vol_V,14,ED$170)/12)*(1+V_dVol),0))</f>
        <v>0</v>
      </c>
      <c r="EE190" s="48" t="n">
        <f aca="false">IF(EE$8=1,N(Reales!EE25),IF(EE$171=1,IF(AND(AND(130&gt;Corte,130&lt;=Corte+n_Ventana),ISNUMBER(Detalle_24m!EE$27)),Detalle_24m!EE$27,INDEX(Vol_V,14,EE$170)/12)*(1+V_dVol),0))</f>
        <v>0</v>
      </c>
      <c r="EF190" s="48" t="n">
        <f aca="false">IF(EF$8=1,N(Reales!EF25),IF(EF$171=1,IF(AND(AND(131&gt;Corte,131&lt;=Corte+n_Ventana),ISNUMBER(Detalle_24m!EF$27)),Detalle_24m!EF$27,INDEX(Vol_V,14,EF$170)/12)*(1+V_dVol),0))</f>
        <v>0</v>
      </c>
      <c r="EG190" s="48" t="n">
        <f aca="false">IF(EG$8=1,N(Reales!EG25),IF(EG$171=1,IF(AND(AND(132&gt;Corte,132&lt;=Corte+n_Ventana),ISNUMBER(Detalle_24m!EG$27)),Detalle_24m!EG$27,INDEX(Vol_V,14,EG$170)/12)*(1+V_dVol),0))</f>
        <v>0</v>
      </c>
      <c r="EH190" s="48" t="n">
        <f aca="false">IF(EH$8=1,N(Reales!EH25),IF(EH$171=1,IF(AND(AND(133&gt;Corte,133&lt;=Corte+n_Ventana),ISNUMBER(Detalle_24m!EH$27)),Detalle_24m!EH$27,INDEX(Vol_V,14,EH$170)/12)*(1+V_dVol),0))</f>
        <v>0</v>
      </c>
      <c r="EI190" s="48" t="n">
        <f aca="false">IF(EI$8=1,N(Reales!EI25),IF(EI$171=1,IF(AND(AND(134&gt;Corte,134&lt;=Corte+n_Ventana),ISNUMBER(Detalle_24m!EI$27)),Detalle_24m!EI$27,INDEX(Vol_V,14,EI$170)/12)*(1+V_dVol),0))</f>
        <v>0</v>
      </c>
      <c r="EJ190" s="48" t="n">
        <f aca="false">IF(EJ$8=1,N(Reales!EJ25),IF(EJ$171=1,IF(AND(AND(135&gt;Corte,135&lt;=Corte+n_Ventana),ISNUMBER(Detalle_24m!EJ$27)),Detalle_24m!EJ$27,INDEX(Vol_V,14,EJ$170)/12)*(1+V_dVol),0))</f>
        <v>0</v>
      </c>
      <c r="EK190" s="48" t="n">
        <f aca="false">IF(EK$8=1,N(Reales!EK25),IF(EK$171=1,IF(AND(AND(136&gt;Corte,136&lt;=Corte+n_Ventana),ISNUMBER(Detalle_24m!EK$27)),Detalle_24m!EK$27,INDEX(Vol_V,14,EK$170)/12)*(1+V_dVol),0))</f>
        <v>0</v>
      </c>
      <c r="EL190" s="48" t="n">
        <f aca="false">IF(EL$8=1,N(Reales!EL25),IF(EL$171=1,IF(AND(AND(137&gt;Corte,137&lt;=Corte+n_Ventana),ISNUMBER(Detalle_24m!EL$27)),Detalle_24m!EL$27,INDEX(Vol_V,14,EL$170)/12)*(1+V_dVol),0))</f>
        <v>0</v>
      </c>
      <c r="EM190" s="48" t="n">
        <f aca="false">IF(EM$8=1,N(Reales!EM25),IF(EM$171=1,IF(AND(AND(138&gt;Corte,138&lt;=Corte+n_Ventana),ISNUMBER(Detalle_24m!EM$27)),Detalle_24m!EM$27,INDEX(Vol_V,14,EM$170)/12)*(1+V_dVol),0))</f>
        <v>0</v>
      </c>
      <c r="EN190" s="48" t="n">
        <f aca="false">IF(EN$8=1,N(Reales!EN25),IF(EN$171=1,IF(AND(AND(139&gt;Corte,139&lt;=Corte+n_Ventana),ISNUMBER(Detalle_24m!EN$27)),Detalle_24m!EN$27,INDEX(Vol_V,14,EN$170)/12)*(1+V_dVol),0))</f>
        <v>0</v>
      </c>
      <c r="EO190" s="48" t="n">
        <f aca="false">IF(EO$8=1,N(Reales!EO25),IF(EO$171=1,IF(AND(AND(140&gt;Corte,140&lt;=Corte+n_Ventana),ISNUMBER(Detalle_24m!EO$27)),Detalle_24m!EO$27,INDEX(Vol_V,14,EO$170)/12)*(1+V_dVol),0))</f>
        <v>0</v>
      </c>
      <c r="EP190" s="48" t="n">
        <f aca="false">IF(EP$8=1,N(Reales!EP25),IF(EP$171=1,IF(AND(AND(141&gt;Corte,141&lt;=Corte+n_Ventana),ISNUMBER(Detalle_24m!EP$27)),Detalle_24m!EP$27,INDEX(Vol_V,14,EP$170)/12)*(1+V_dVol),0))</f>
        <v>0</v>
      </c>
      <c r="EQ190" s="48" t="n">
        <f aca="false">IF(EQ$8=1,N(Reales!EQ25),IF(EQ$171=1,IF(AND(AND(142&gt;Corte,142&lt;=Corte+n_Ventana),ISNUMBER(Detalle_24m!EQ$27)),Detalle_24m!EQ$27,INDEX(Vol_V,14,EQ$170)/12)*(1+V_dVol),0))</f>
        <v>0</v>
      </c>
      <c r="ER190" s="48" t="n">
        <f aca="false">IF(ER$8=1,N(Reales!ER25),IF(ER$171=1,IF(AND(AND(143&gt;Corte,143&lt;=Corte+n_Ventana),ISNUMBER(Detalle_24m!ER$27)),Detalle_24m!ER$27,INDEX(Vol_V,14,ER$170)/12)*(1+V_dVol),0))</f>
        <v>0</v>
      </c>
      <c r="ES190" s="48" t="n">
        <f aca="false">IF(ES$8=1,N(Reales!ES25),IF(ES$171=1,IF(AND(AND(144&gt;Corte,144&lt;=Corte+n_Ventana),ISNUMBER(Detalle_24m!ES$27)),Detalle_24m!ES$27,INDEX(Vol_V,14,ES$170)/12)*(1+V_dVol),0))</f>
        <v>0</v>
      </c>
    </row>
    <row r="191" customFormat="false" ht="15" hidden="false" customHeight="false" outlineLevel="0" collapsed="false">
      <c r="A191" s="11" t="s">
        <v>1314</v>
      </c>
      <c r="B191" s="53" t="str">
        <f aca="false">IF(INDEX(Prod_Nombre,15)="","Producto 15",INDEX(Prod_Nombre,15))&amp;" — unidades"</f>
        <v>Producto 15 — unidades</v>
      </c>
      <c r="C191" s="15" t="s">
        <v>544</v>
      </c>
      <c r="E191" s="54" t="n">
        <f aca="false">SUM(F191:ES191)</f>
        <v>0</v>
      </c>
      <c r="F191" s="48" t="n">
        <f aca="false">IF(F$8=1,N(Reales!F26),IF(F$171=1,IF(AND(AND(1&gt;Corte,1&lt;=Corte+n_Ventana),ISNUMBER(Detalle_24m!F$28)),Detalle_24m!F$28,INDEX(Vol_V,15,F$170)/12)*(1+V_dVol),0))</f>
        <v>0</v>
      </c>
      <c r="G191" s="48" t="n">
        <f aca="false">IF(G$8=1,N(Reales!G26),IF(G$171=1,IF(AND(AND(2&gt;Corte,2&lt;=Corte+n_Ventana),ISNUMBER(Detalle_24m!G$28)),Detalle_24m!G$28,INDEX(Vol_V,15,G$170)/12)*(1+V_dVol),0))</f>
        <v>0</v>
      </c>
      <c r="H191" s="48" t="n">
        <f aca="false">IF(H$8=1,N(Reales!H26),IF(H$171=1,IF(AND(AND(3&gt;Corte,3&lt;=Corte+n_Ventana),ISNUMBER(Detalle_24m!H$28)),Detalle_24m!H$28,INDEX(Vol_V,15,H$170)/12)*(1+V_dVol),0))</f>
        <v>0</v>
      </c>
      <c r="I191" s="48" t="n">
        <f aca="false">IF(I$8=1,N(Reales!I26),IF(I$171=1,IF(AND(AND(4&gt;Corte,4&lt;=Corte+n_Ventana),ISNUMBER(Detalle_24m!I$28)),Detalle_24m!I$28,INDEX(Vol_V,15,I$170)/12)*(1+V_dVol),0))</f>
        <v>0</v>
      </c>
      <c r="J191" s="48" t="n">
        <f aca="false">IF(J$8=1,N(Reales!J26),IF(J$171=1,IF(AND(AND(5&gt;Corte,5&lt;=Corte+n_Ventana),ISNUMBER(Detalle_24m!J$28)),Detalle_24m!J$28,INDEX(Vol_V,15,J$170)/12)*(1+V_dVol),0))</f>
        <v>0</v>
      </c>
      <c r="K191" s="48" t="n">
        <f aca="false">IF(K$8=1,N(Reales!K26),IF(K$171=1,IF(AND(AND(6&gt;Corte,6&lt;=Corte+n_Ventana),ISNUMBER(Detalle_24m!K$28)),Detalle_24m!K$28,INDEX(Vol_V,15,K$170)/12)*(1+V_dVol),0))</f>
        <v>0</v>
      </c>
      <c r="L191" s="48" t="n">
        <f aca="false">IF(L$8=1,N(Reales!L26),IF(L$171=1,IF(AND(AND(7&gt;Corte,7&lt;=Corte+n_Ventana),ISNUMBER(Detalle_24m!L$28)),Detalle_24m!L$28,INDEX(Vol_V,15,L$170)/12)*(1+V_dVol),0))</f>
        <v>0</v>
      </c>
      <c r="M191" s="48" t="n">
        <f aca="false">IF(M$8=1,N(Reales!M26),IF(M$171=1,IF(AND(AND(8&gt;Corte,8&lt;=Corte+n_Ventana),ISNUMBER(Detalle_24m!M$28)),Detalle_24m!M$28,INDEX(Vol_V,15,M$170)/12)*(1+V_dVol),0))</f>
        <v>0</v>
      </c>
      <c r="N191" s="48" t="n">
        <f aca="false">IF(N$8=1,N(Reales!N26),IF(N$171=1,IF(AND(AND(9&gt;Corte,9&lt;=Corte+n_Ventana),ISNUMBER(Detalle_24m!N$28)),Detalle_24m!N$28,INDEX(Vol_V,15,N$170)/12)*(1+V_dVol),0))</f>
        <v>0</v>
      </c>
      <c r="O191" s="48" t="n">
        <f aca="false">IF(O$8=1,N(Reales!O26),IF(O$171=1,IF(AND(AND(10&gt;Corte,10&lt;=Corte+n_Ventana),ISNUMBER(Detalle_24m!O$28)),Detalle_24m!O$28,INDEX(Vol_V,15,O$170)/12)*(1+V_dVol),0))</f>
        <v>0</v>
      </c>
      <c r="P191" s="48" t="n">
        <f aca="false">IF(P$8=1,N(Reales!P26),IF(P$171=1,IF(AND(AND(11&gt;Corte,11&lt;=Corte+n_Ventana),ISNUMBER(Detalle_24m!P$28)),Detalle_24m!P$28,INDEX(Vol_V,15,P$170)/12)*(1+V_dVol),0))</f>
        <v>0</v>
      </c>
      <c r="Q191" s="48" t="n">
        <f aca="false">IF(Q$8=1,N(Reales!Q26),IF(Q$171=1,IF(AND(AND(12&gt;Corte,12&lt;=Corte+n_Ventana),ISNUMBER(Detalle_24m!Q$28)),Detalle_24m!Q$28,INDEX(Vol_V,15,Q$170)/12)*(1+V_dVol),0))</f>
        <v>0</v>
      </c>
      <c r="R191" s="48" t="n">
        <f aca="false">IF(R$8=1,N(Reales!R26),IF(R$171=1,IF(AND(AND(13&gt;Corte,13&lt;=Corte+n_Ventana),ISNUMBER(Detalle_24m!R$28)),Detalle_24m!R$28,INDEX(Vol_V,15,R$170)/12)*(1+V_dVol),0))</f>
        <v>0</v>
      </c>
      <c r="S191" s="48" t="n">
        <f aca="false">IF(S$8=1,N(Reales!S26),IF(S$171=1,IF(AND(AND(14&gt;Corte,14&lt;=Corte+n_Ventana),ISNUMBER(Detalle_24m!S$28)),Detalle_24m!S$28,INDEX(Vol_V,15,S$170)/12)*(1+V_dVol),0))</f>
        <v>0</v>
      </c>
      <c r="T191" s="48" t="n">
        <f aca="false">IF(T$8=1,N(Reales!T26),IF(T$171=1,IF(AND(AND(15&gt;Corte,15&lt;=Corte+n_Ventana),ISNUMBER(Detalle_24m!T$28)),Detalle_24m!T$28,INDEX(Vol_V,15,T$170)/12)*(1+V_dVol),0))</f>
        <v>0</v>
      </c>
      <c r="U191" s="48" t="n">
        <f aca="false">IF(U$8=1,N(Reales!U26),IF(U$171=1,IF(AND(AND(16&gt;Corte,16&lt;=Corte+n_Ventana),ISNUMBER(Detalle_24m!U$28)),Detalle_24m!U$28,INDEX(Vol_V,15,U$170)/12)*(1+V_dVol),0))</f>
        <v>0</v>
      </c>
      <c r="V191" s="48" t="n">
        <f aca="false">IF(V$8=1,N(Reales!V26),IF(V$171=1,IF(AND(AND(17&gt;Corte,17&lt;=Corte+n_Ventana),ISNUMBER(Detalle_24m!V$28)),Detalle_24m!V$28,INDEX(Vol_V,15,V$170)/12)*(1+V_dVol),0))</f>
        <v>0</v>
      </c>
      <c r="W191" s="48" t="n">
        <f aca="false">IF(W$8=1,N(Reales!W26),IF(W$171=1,IF(AND(AND(18&gt;Corte,18&lt;=Corte+n_Ventana),ISNUMBER(Detalle_24m!W$28)),Detalle_24m!W$28,INDEX(Vol_V,15,W$170)/12)*(1+V_dVol),0))</f>
        <v>0</v>
      </c>
      <c r="X191" s="48" t="n">
        <f aca="false">IF(X$8=1,N(Reales!X26),IF(X$171=1,IF(AND(AND(19&gt;Corte,19&lt;=Corte+n_Ventana),ISNUMBER(Detalle_24m!X$28)),Detalle_24m!X$28,INDEX(Vol_V,15,X$170)/12)*(1+V_dVol),0))</f>
        <v>0</v>
      </c>
      <c r="Y191" s="48" t="n">
        <f aca="false">IF(Y$8=1,N(Reales!Y26),IF(Y$171=1,IF(AND(AND(20&gt;Corte,20&lt;=Corte+n_Ventana),ISNUMBER(Detalle_24m!Y$28)),Detalle_24m!Y$28,INDEX(Vol_V,15,Y$170)/12)*(1+V_dVol),0))</f>
        <v>0</v>
      </c>
      <c r="Z191" s="48" t="n">
        <f aca="false">IF(Z$8=1,N(Reales!Z26),IF(Z$171=1,IF(AND(AND(21&gt;Corte,21&lt;=Corte+n_Ventana),ISNUMBER(Detalle_24m!Z$28)),Detalle_24m!Z$28,INDEX(Vol_V,15,Z$170)/12)*(1+V_dVol),0))</f>
        <v>0</v>
      </c>
      <c r="AA191" s="48" t="n">
        <f aca="false">IF(AA$8=1,N(Reales!AA26),IF(AA$171=1,IF(AND(AND(22&gt;Corte,22&lt;=Corte+n_Ventana),ISNUMBER(Detalle_24m!AA$28)),Detalle_24m!AA$28,INDEX(Vol_V,15,AA$170)/12)*(1+V_dVol),0))</f>
        <v>0</v>
      </c>
      <c r="AB191" s="48" t="n">
        <f aca="false">IF(AB$8=1,N(Reales!AB26),IF(AB$171=1,IF(AND(AND(23&gt;Corte,23&lt;=Corte+n_Ventana),ISNUMBER(Detalle_24m!AB$28)),Detalle_24m!AB$28,INDEX(Vol_V,15,AB$170)/12)*(1+V_dVol),0))</f>
        <v>0</v>
      </c>
      <c r="AC191" s="48" t="n">
        <f aca="false">IF(AC$8=1,N(Reales!AC26),IF(AC$171=1,IF(AND(AND(24&gt;Corte,24&lt;=Corte+n_Ventana),ISNUMBER(Detalle_24m!AC$28)),Detalle_24m!AC$28,INDEX(Vol_V,15,AC$170)/12)*(1+V_dVol),0))</f>
        <v>0</v>
      </c>
      <c r="AD191" s="48" t="n">
        <f aca="false">IF(AD$8=1,N(Reales!AD26),IF(AD$171=1,IF(AND(AND(25&gt;Corte,25&lt;=Corte+n_Ventana),ISNUMBER(Detalle_24m!AD$28)),Detalle_24m!AD$28,INDEX(Vol_V,15,AD$170)/12)*(1+V_dVol),0))</f>
        <v>0</v>
      </c>
      <c r="AE191" s="48" t="n">
        <f aca="false">IF(AE$8=1,N(Reales!AE26),IF(AE$171=1,IF(AND(AND(26&gt;Corte,26&lt;=Corte+n_Ventana),ISNUMBER(Detalle_24m!AE$28)),Detalle_24m!AE$28,INDEX(Vol_V,15,AE$170)/12)*(1+V_dVol),0))</f>
        <v>0</v>
      </c>
      <c r="AF191" s="48" t="n">
        <f aca="false">IF(AF$8=1,N(Reales!AF26),IF(AF$171=1,IF(AND(AND(27&gt;Corte,27&lt;=Corte+n_Ventana),ISNUMBER(Detalle_24m!AF$28)),Detalle_24m!AF$28,INDEX(Vol_V,15,AF$170)/12)*(1+V_dVol),0))</f>
        <v>0</v>
      </c>
      <c r="AG191" s="48" t="n">
        <f aca="false">IF(AG$8=1,N(Reales!AG26),IF(AG$171=1,IF(AND(AND(28&gt;Corte,28&lt;=Corte+n_Ventana),ISNUMBER(Detalle_24m!AG$28)),Detalle_24m!AG$28,INDEX(Vol_V,15,AG$170)/12)*(1+V_dVol),0))</f>
        <v>0</v>
      </c>
      <c r="AH191" s="48" t="n">
        <f aca="false">IF(AH$8=1,N(Reales!AH26),IF(AH$171=1,IF(AND(AND(29&gt;Corte,29&lt;=Corte+n_Ventana),ISNUMBER(Detalle_24m!AH$28)),Detalle_24m!AH$28,INDEX(Vol_V,15,AH$170)/12)*(1+V_dVol),0))</f>
        <v>0</v>
      </c>
      <c r="AI191" s="48" t="n">
        <f aca="false">IF(AI$8=1,N(Reales!AI26),IF(AI$171=1,IF(AND(AND(30&gt;Corte,30&lt;=Corte+n_Ventana),ISNUMBER(Detalle_24m!AI$28)),Detalle_24m!AI$28,INDEX(Vol_V,15,AI$170)/12)*(1+V_dVol),0))</f>
        <v>0</v>
      </c>
      <c r="AJ191" s="48" t="n">
        <f aca="false">IF(AJ$8=1,N(Reales!AJ26),IF(AJ$171=1,IF(AND(AND(31&gt;Corte,31&lt;=Corte+n_Ventana),ISNUMBER(Detalle_24m!AJ$28)),Detalle_24m!AJ$28,INDEX(Vol_V,15,AJ$170)/12)*(1+V_dVol),0))</f>
        <v>0</v>
      </c>
      <c r="AK191" s="48" t="n">
        <f aca="false">IF(AK$8=1,N(Reales!AK26),IF(AK$171=1,IF(AND(AND(32&gt;Corte,32&lt;=Corte+n_Ventana),ISNUMBER(Detalle_24m!AK$28)),Detalle_24m!AK$28,INDEX(Vol_V,15,AK$170)/12)*(1+V_dVol),0))</f>
        <v>0</v>
      </c>
      <c r="AL191" s="48" t="n">
        <f aca="false">IF(AL$8=1,N(Reales!AL26),IF(AL$171=1,IF(AND(AND(33&gt;Corte,33&lt;=Corte+n_Ventana),ISNUMBER(Detalle_24m!AL$28)),Detalle_24m!AL$28,INDEX(Vol_V,15,AL$170)/12)*(1+V_dVol),0))</f>
        <v>0</v>
      </c>
      <c r="AM191" s="48" t="n">
        <f aca="false">IF(AM$8=1,N(Reales!AM26),IF(AM$171=1,IF(AND(AND(34&gt;Corte,34&lt;=Corte+n_Ventana),ISNUMBER(Detalle_24m!AM$28)),Detalle_24m!AM$28,INDEX(Vol_V,15,AM$170)/12)*(1+V_dVol),0))</f>
        <v>0</v>
      </c>
      <c r="AN191" s="48" t="n">
        <f aca="false">IF(AN$8=1,N(Reales!AN26),IF(AN$171=1,IF(AND(AND(35&gt;Corte,35&lt;=Corte+n_Ventana),ISNUMBER(Detalle_24m!AN$28)),Detalle_24m!AN$28,INDEX(Vol_V,15,AN$170)/12)*(1+V_dVol),0))</f>
        <v>0</v>
      </c>
      <c r="AO191" s="48" t="n">
        <f aca="false">IF(AO$8=1,N(Reales!AO26),IF(AO$171=1,IF(AND(AND(36&gt;Corte,36&lt;=Corte+n_Ventana),ISNUMBER(Detalle_24m!AO$28)),Detalle_24m!AO$28,INDEX(Vol_V,15,AO$170)/12)*(1+V_dVol),0))</f>
        <v>0</v>
      </c>
      <c r="AP191" s="48" t="n">
        <f aca="false">IF(AP$8=1,N(Reales!AP26),IF(AP$171=1,IF(AND(AND(37&gt;Corte,37&lt;=Corte+n_Ventana),ISNUMBER(Detalle_24m!AP$28)),Detalle_24m!AP$28,INDEX(Vol_V,15,AP$170)/12)*(1+V_dVol),0))</f>
        <v>0</v>
      </c>
      <c r="AQ191" s="48" t="n">
        <f aca="false">IF(AQ$8=1,N(Reales!AQ26),IF(AQ$171=1,IF(AND(AND(38&gt;Corte,38&lt;=Corte+n_Ventana),ISNUMBER(Detalle_24m!AQ$28)),Detalle_24m!AQ$28,INDEX(Vol_V,15,AQ$170)/12)*(1+V_dVol),0))</f>
        <v>0</v>
      </c>
      <c r="AR191" s="48" t="n">
        <f aca="false">IF(AR$8=1,N(Reales!AR26),IF(AR$171=1,IF(AND(AND(39&gt;Corte,39&lt;=Corte+n_Ventana),ISNUMBER(Detalle_24m!AR$28)),Detalle_24m!AR$28,INDEX(Vol_V,15,AR$170)/12)*(1+V_dVol),0))</f>
        <v>0</v>
      </c>
      <c r="AS191" s="48" t="n">
        <f aca="false">IF(AS$8=1,N(Reales!AS26),IF(AS$171=1,IF(AND(AND(40&gt;Corte,40&lt;=Corte+n_Ventana),ISNUMBER(Detalle_24m!AS$28)),Detalle_24m!AS$28,INDEX(Vol_V,15,AS$170)/12)*(1+V_dVol),0))</f>
        <v>0</v>
      </c>
      <c r="AT191" s="48" t="n">
        <f aca="false">IF(AT$8=1,N(Reales!AT26),IF(AT$171=1,IF(AND(AND(41&gt;Corte,41&lt;=Corte+n_Ventana),ISNUMBER(Detalle_24m!AT$28)),Detalle_24m!AT$28,INDEX(Vol_V,15,AT$170)/12)*(1+V_dVol),0))</f>
        <v>0</v>
      </c>
      <c r="AU191" s="48" t="n">
        <f aca="false">IF(AU$8=1,N(Reales!AU26),IF(AU$171=1,IF(AND(AND(42&gt;Corte,42&lt;=Corte+n_Ventana),ISNUMBER(Detalle_24m!AU$28)),Detalle_24m!AU$28,INDEX(Vol_V,15,AU$170)/12)*(1+V_dVol),0))</f>
        <v>0</v>
      </c>
      <c r="AV191" s="48" t="n">
        <f aca="false">IF(AV$8=1,N(Reales!AV26),IF(AV$171=1,IF(AND(AND(43&gt;Corte,43&lt;=Corte+n_Ventana),ISNUMBER(Detalle_24m!AV$28)),Detalle_24m!AV$28,INDEX(Vol_V,15,AV$170)/12)*(1+V_dVol),0))</f>
        <v>0</v>
      </c>
      <c r="AW191" s="48" t="n">
        <f aca="false">IF(AW$8=1,N(Reales!AW26),IF(AW$171=1,IF(AND(AND(44&gt;Corte,44&lt;=Corte+n_Ventana),ISNUMBER(Detalle_24m!AW$28)),Detalle_24m!AW$28,INDEX(Vol_V,15,AW$170)/12)*(1+V_dVol),0))</f>
        <v>0</v>
      </c>
      <c r="AX191" s="48" t="n">
        <f aca="false">IF(AX$8=1,N(Reales!AX26),IF(AX$171=1,IF(AND(AND(45&gt;Corte,45&lt;=Corte+n_Ventana),ISNUMBER(Detalle_24m!AX$28)),Detalle_24m!AX$28,INDEX(Vol_V,15,AX$170)/12)*(1+V_dVol),0))</f>
        <v>0</v>
      </c>
      <c r="AY191" s="48" t="n">
        <f aca="false">IF(AY$8=1,N(Reales!AY26),IF(AY$171=1,IF(AND(AND(46&gt;Corte,46&lt;=Corte+n_Ventana),ISNUMBER(Detalle_24m!AY$28)),Detalle_24m!AY$28,INDEX(Vol_V,15,AY$170)/12)*(1+V_dVol),0))</f>
        <v>0</v>
      </c>
      <c r="AZ191" s="48" t="n">
        <f aca="false">IF(AZ$8=1,N(Reales!AZ26),IF(AZ$171=1,IF(AND(AND(47&gt;Corte,47&lt;=Corte+n_Ventana),ISNUMBER(Detalle_24m!AZ$28)),Detalle_24m!AZ$28,INDEX(Vol_V,15,AZ$170)/12)*(1+V_dVol),0))</f>
        <v>0</v>
      </c>
      <c r="BA191" s="48" t="n">
        <f aca="false">IF(BA$8=1,N(Reales!BA26),IF(BA$171=1,IF(AND(AND(48&gt;Corte,48&lt;=Corte+n_Ventana),ISNUMBER(Detalle_24m!BA$28)),Detalle_24m!BA$28,INDEX(Vol_V,15,BA$170)/12)*(1+V_dVol),0))</f>
        <v>0</v>
      </c>
      <c r="BB191" s="48" t="n">
        <f aca="false">IF(BB$8=1,N(Reales!BB26),IF(BB$171=1,IF(AND(AND(49&gt;Corte,49&lt;=Corte+n_Ventana),ISNUMBER(Detalle_24m!BB$28)),Detalle_24m!BB$28,INDEX(Vol_V,15,BB$170)/12)*(1+V_dVol),0))</f>
        <v>0</v>
      </c>
      <c r="BC191" s="48" t="n">
        <f aca="false">IF(BC$8=1,N(Reales!BC26),IF(BC$171=1,IF(AND(AND(50&gt;Corte,50&lt;=Corte+n_Ventana),ISNUMBER(Detalle_24m!BC$28)),Detalle_24m!BC$28,INDEX(Vol_V,15,BC$170)/12)*(1+V_dVol),0))</f>
        <v>0</v>
      </c>
      <c r="BD191" s="48" t="n">
        <f aca="false">IF(BD$8=1,N(Reales!BD26),IF(BD$171=1,IF(AND(AND(51&gt;Corte,51&lt;=Corte+n_Ventana),ISNUMBER(Detalle_24m!BD$28)),Detalle_24m!BD$28,INDEX(Vol_V,15,BD$170)/12)*(1+V_dVol),0))</f>
        <v>0</v>
      </c>
      <c r="BE191" s="48" t="n">
        <f aca="false">IF(BE$8=1,N(Reales!BE26),IF(BE$171=1,IF(AND(AND(52&gt;Corte,52&lt;=Corte+n_Ventana),ISNUMBER(Detalle_24m!BE$28)),Detalle_24m!BE$28,INDEX(Vol_V,15,BE$170)/12)*(1+V_dVol),0))</f>
        <v>0</v>
      </c>
      <c r="BF191" s="48" t="n">
        <f aca="false">IF(BF$8=1,N(Reales!BF26),IF(BF$171=1,IF(AND(AND(53&gt;Corte,53&lt;=Corte+n_Ventana),ISNUMBER(Detalle_24m!BF$28)),Detalle_24m!BF$28,INDEX(Vol_V,15,BF$170)/12)*(1+V_dVol),0))</f>
        <v>0</v>
      </c>
      <c r="BG191" s="48" t="n">
        <f aca="false">IF(BG$8=1,N(Reales!BG26),IF(BG$171=1,IF(AND(AND(54&gt;Corte,54&lt;=Corte+n_Ventana),ISNUMBER(Detalle_24m!BG$28)),Detalle_24m!BG$28,INDEX(Vol_V,15,BG$170)/12)*(1+V_dVol),0))</f>
        <v>0</v>
      </c>
      <c r="BH191" s="48" t="n">
        <f aca="false">IF(BH$8=1,N(Reales!BH26),IF(BH$171=1,IF(AND(AND(55&gt;Corte,55&lt;=Corte+n_Ventana),ISNUMBER(Detalle_24m!BH$28)),Detalle_24m!BH$28,INDEX(Vol_V,15,BH$170)/12)*(1+V_dVol),0))</f>
        <v>0</v>
      </c>
      <c r="BI191" s="48" t="n">
        <f aca="false">IF(BI$8=1,N(Reales!BI26),IF(BI$171=1,IF(AND(AND(56&gt;Corte,56&lt;=Corte+n_Ventana),ISNUMBER(Detalle_24m!BI$28)),Detalle_24m!BI$28,INDEX(Vol_V,15,BI$170)/12)*(1+V_dVol),0))</f>
        <v>0</v>
      </c>
      <c r="BJ191" s="48" t="n">
        <f aca="false">IF(BJ$8=1,N(Reales!BJ26),IF(BJ$171=1,IF(AND(AND(57&gt;Corte,57&lt;=Corte+n_Ventana),ISNUMBER(Detalle_24m!BJ$28)),Detalle_24m!BJ$28,INDEX(Vol_V,15,BJ$170)/12)*(1+V_dVol),0))</f>
        <v>0</v>
      </c>
      <c r="BK191" s="48" t="n">
        <f aca="false">IF(BK$8=1,N(Reales!BK26),IF(BK$171=1,IF(AND(AND(58&gt;Corte,58&lt;=Corte+n_Ventana),ISNUMBER(Detalle_24m!BK$28)),Detalle_24m!BK$28,INDEX(Vol_V,15,BK$170)/12)*(1+V_dVol),0))</f>
        <v>0</v>
      </c>
      <c r="BL191" s="48" t="n">
        <f aca="false">IF(BL$8=1,N(Reales!BL26),IF(BL$171=1,IF(AND(AND(59&gt;Corte,59&lt;=Corte+n_Ventana),ISNUMBER(Detalle_24m!BL$28)),Detalle_24m!BL$28,INDEX(Vol_V,15,BL$170)/12)*(1+V_dVol),0))</f>
        <v>0</v>
      </c>
      <c r="BM191" s="48" t="n">
        <f aca="false">IF(BM$8=1,N(Reales!BM26),IF(BM$171=1,IF(AND(AND(60&gt;Corte,60&lt;=Corte+n_Ventana),ISNUMBER(Detalle_24m!BM$28)),Detalle_24m!BM$28,INDEX(Vol_V,15,BM$170)/12)*(1+V_dVol),0))</f>
        <v>0</v>
      </c>
      <c r="BN191" s="48" t="n">
        <f aca="false">IF(BN$8=1,N(Reales!BN26),IF(BN$171=1,IF(AND(AND(61&gt;Corte,61&lt;=Corte+n_Ventana),ISNUMBER(Detalle_24m!BN$28)),Detalle_24m!BN$28,INDEX(Vol_V,15,BN$170)/12)*(1+V_dVol),0))</f>
        <v>0</v>
      </c>
      <c r="BO191" s="48" t="n">
        <f aca="false">IF(BO$8=1,N(Reales!BO26),IF(BO$171=1,IF(AND(AND(62&gt;Corte,62&lt;=Corte+n_Ventana),ISNUMBER(Detalle_24m!BO$28)),Detalle_24m!BO$28,INDEX(Vol_V,15,BO$170)/12)*(1+V_dVol),0))</f>
        <v>0</v>
      </c>
      <c r="BP191" s="48" t="n">
        <f aca="false">IF(BP$8=1,N(Reales!BP26),IF(BP$171=1,IF(AND(AND(63&gt;Corte,63&lt;=Corte+n_Ventana),ISNUMBER(Detalle_24m!BP$28)),Detalle_24m!BP$28,INDEX(Vol_V,15,BP$170)/12)*(1+V_dVol),0))</f>
        <v>0</v>
      </c>
      <c r="BQ191" s="48" t="n">
        <f aca="false">IF(BQ$8=1,N(Reales!BQ26),IF(BQ$171=1,IF(AND(AND(64&gt;Corte,64&lt;=Corte+n_Ventana),ISNUMBER(Detalle_24m!BQ$28)),Detalle_24m!BQ$28,INDEX(Vol_V,15,BQ$170)/12)*(1+V_dVol),0))</f>
        <v>0</v>
      </c>
      <c r="BR191" s="48" t="n">
        <f aca="false">IF(BR$8=1,N(Reales!BR26),IF(BR$171=1,IF(AND(AND(65&gt;Corte,65&lt;=Corte+n_Ventana),ISNUMBER(Detalle_24m!BR$28)),Detalle_24m!BR$28,INDEX(Vol_V,15,BR$170)/12)*(1+V_dVol),0))</f>
        <v>0</v>
      </c>
      <c r="BS191" s="48" t="n">
        <f aca="false">IF(BS$8=1,N(Reales!BS26),IF(BS$171=1,IF(AND(AND(66&gt;Corte,66&lt;=Corte+n_Ventana),ISNUMBER(Detalle_24m!BS$28)),Detalle_24m!BS$28,INDEX(Vol_V,15,BS$170)/12)*(1+V_dVol),0))</f>
        <v>0</v>
      </c>
      <c r="BT191" s="48" t="n">
        <f aca="false">IF(BT$8=1,N(Reales!BT26),IF(BT$171=1,IF(AND(AND(67&gt;Corte,67&lt;=Corte+n_Ventana),ISNUMBER(Detalle_24m!BT$28)),Detalle_24m!BT$28,INDEX(Vol_V,15,BT$170)/12)*(1+V_dVol),0))</f>
        <v>0</v>
      </c>
      <c r="BU191" s="48" t="n">
        <f aca="false">IF(BU$8=1,N(Reales!BU26),IF(BU$171=1,IF(AND(AND(68&gt;Corte,68&lt;=Corte+n_Ventana),ISNUMBER(Detalle_24m!BU$28)),Detalle_24m!BU$28,INDEX(Vol_V,15,BU$170)/12)*(1+V_dVol),0))</f>
        <v>0</v>
      </c>
      <c r="BV191" s="48" t="n">
        <f aca="false">IF(BV$8=1,N(Reales!BV26),IF(BV$171=1,IF(AND(AND(69&gt;Corte,69&lt;=Corte+n_Ventana),ISNUMBER(Detalle_24m!BV$28)),Detalle_24m!BV$28,INDEX(Vol_V,15,BV$170)/12)*(1+V_dVol),0))</f>
        <v>0</v>
      </c>
      <c r="BW191" s="48" t="n">
        <f aca="false">IF(BW$8=1,N(Reales!BW26),IF(BW$171=1,IF(AND(AND(70&gt;Corte,70&lt;=Corte+n_Ventana),ISNUMBER(Detalle_24m!BW$28)),Detalle_24m!BW$28,INDEX(Vol_V,15,BW$170)/12)*(1+V_dVol),0))</f>
        <v>0</v>
      </c>
      <c r="BX191" s="48" t="n">
        <f aca="false">IF(BX$8=1,N(Reales!BX26),IF(BX$171=1,IF(AND(AND(71&gt;Corte,71&lt;=Corte+n_Ventana),ISNUMBER(Detalle_24m!BX$28)),Detalle_24m!BX$28,INDEX(Vol_V,15,BX$170)/12)*(1+V_dVol),0))</f>
        <v>0</v>
      </c>
      <c r="BY191" s="48" t="n">
        <f aca="false">IF(BY$8=1,N(Reales!BY26),IF(BY$171=1,IF(AND(AND(72&gt;Corte,72&lt;=Corte+n_Ventana),ISNUMBER(Detalle_24m!BY$28)),Detalle_24m!BY$28,INDEX(Vol_V,15,BY$170)/12)*(1+V_dVol),0))</f>
        <v>0</v>
      </c>
      <c r="BZ191" s="48" t="n">
        <f aca="false">IF(BZ$8=1,N(Reales!BZ26),IF(BZ$171=1,IF(AND(AND(73&gt;Corte,73&lt;=Corte+n_Ventana),ISNUMBER(Detalle_24m!BZ$28)),Detalle_24m!BZ$28,INDEX(Vol_V,15,BZ$170)/12)*(1+V_dVol),0))</f>
        <v>0</v>
      </c>
      <c r="CA191" s="48" t="n">
        <f aca="false">IF(CA$8=1,N(Reales!CA26),IF(CA$171=1,IF(AND(AND(74&gt;Corte,74&lt;=Corte+n_Ventana),ISNUMBER(Detalle_24m!CA$28)),Detalle_24m!CA$28,INDEX(Vol_V,15,CA$170)/12)*(1+V_dVol),0))</f>
        <v>0</v>
      </c>
      <c r="CB191" s="48" t="n">
        <f aca="false">IF(CB$8=1,N(Reales!CB26),IF(CB$171=1,IF(AND(AND(75&gt;Corte,75&lt;=Corte+n_Ventana),ISNUMBER(Detalle_24m!CB$28)),Detalle_24m!CB$28,INDEX(Vol_V,15,CB$170)/12)*(1+V_dVol),0))</f>
        <v>0</v>
      </c>
      <c r="CC191" s="48" t="n">
        <f aca="false">IF(CC$8=1,N(Reales!CC26),IF(CC$171=1,IF(AND(AND(76&gt;Corte,76&lt;=Corte+n_Ventana),ISNUMBER(Detalle_24m!CC$28)),Detalle_24m!CC$28,INDEX(Vol_V,15,CC$170)/12)*(1+V_dVol),0))</f>
        <v>0</v>
      </c>
      <c r="CD191" s="48" t="n">
        <f aca="false">IF(CD$8=1,N(Reales!CD26),IF(CD$171=1,IF(AND(AND(77&gt;Corte,77&lt;=Corte+n_Ventana),ISNUMBER(Detalle_24m!CD$28)),Detalle_24m!CD$28,INDEX(Vol_V,15,CD$170)/12)*(1+V_dVol),0))</f>
        <v>0</v>
      </c>
      <c r="CE191" s="48" t="n">
        <f aca="false">IF(CE$8=1,N(Reales!CE26),IF(CE$171=1,IF(AND(AND(78&gt;Corte,78&lt;=Corte+n_Ventana),ISNUMBER(Detalle_24m!CE$28)),Detalle_24m!CE$28,INDEX(Vol_V,15,CE$170)/12)*(1+V_dVol),0))</f>
        <v>0</v>
      </c>
      <c r="CF191" s="48" t="n">
        <f aca="false">IF(CF$8=1,N(Reales!CF26),IF(CF$171=1,IF(AND(AND(79&gt;Corte,79&lt;=Corte+n_Ventana),ISNUMBER(Detalle_24m!CF$28)),Detalle_24m!CF$28,INDEX(Vol_V,15,CF$170)/12)*(1+V_dVol),0))</f>
        <v>0</v>
      </c>
      <c r="CG191" s="48" t="n">
        <f aca="false">IF(CG$8=1,N(Reales!CG26),IF(CG$171=1,IF(AND(AND(80&gt;Corte,80&lt;=Corte+n_Ventana),ISNUMBER(Detalle_24m!CG$28)),Detalle_24m!CG$28,INDEX(Vol_V,15,CG$170)/12)*(1+V_dVol),0))</f>
        <v>0</v>
      </c>
      <c r="CH191" s="48" t="n">
        <f aca="false">IF(CH$8=1,N(Reales!CH26),IF(CH$171=1,IF(AND(AND(81&gt;Corte,81&lt;=Corte+n_Ventana),ISNUMBER(Detalle_24m!CH$28)),Detalle_24m!CH$28,INDEX(Vol_V,15,CH$170)/12)*(1+V_dVol),0))</f>
        <v>0</v>
      </c>
      <c r="CI191" s="48" t="n">
        <f aca="false">IF(CI$8=1,N(Reales!CI26),IF(CI$171=1,IF(AND(AND(82&gt;Corte,82&lt;=Corte+n_Ventana),ISNUMBER(Detalle_24m!CI$28)),Detalle_24m!CI$28,INDEX(Vol_V,15,CI$170)/12)*(1+V_dVol),0))</f>
        <v>0</v>
      </c>
      <c r="CJ191" s="48" t="n">
        <f aca="false">IF(CJ$8=1,N(Reales!CJ26),IF(CJ$171=1,IF(AND(AND(83&gt;Corte,83&lt;=Corte+n_Ventana),ISNUMBER(Detalle_24m!CJ$28)),Detalle_24m!CJ$28,INDEX(Vol_V,15,CJ$170)/12)*(1+V_dVol),0))</f>
        <v>0</v>
      </c>
      <c r="CK191" s="48" t="n">
        <f aca="false">IF(CK$8=1,N(Reales!CK26),IF(CK$171=1,IF(AND(AND(84&gt;Corte,84&lt;=Corte+n_Ventana),ISNUMBER(Detalle_24m!CK$28)),Detalle_24m!CK$28,INDEX(Vol_V,15,CK$170)/12)*(1+V_dVol),0))</f>
        <v>0</v>
      </c>
      <c r="CL191" s="48" t="n">
        <f aca="false">IF(CL$8=1,N(Reales!CL26),IF(CL$171=1,IF(AND(AND(85&gt;Corte,85&lt;=Corte+n_Ventana),ISNUMBER(Detalle_24m!CL$28)),Detalle_24m!CL$28,INDEX(Vol_V,15,CL$170)/12)*(1+V_dVol),0))</f>
        <v>0</v>
      </c>
      <c r="CM191" s="48" t="n">
        <f aca="false">IF(CM$8=1,N(Reales!CM26),IF(CM$171=1,IF(AND(AND(86&gt;Corte,86&lt;=Corte+n_Ventana),ISNUMBER(Detalle_24m!CM$28)),Detalle_24m!CM$28,INDEX(Vol_V,15,CM$170)/12)*(1+V_dVol),0))</f>
        <v>0</v>
      </c>
      <c r="CN191" s="48" t="n">
        <f aca="false">IF(CN$8=1,N(Reales!CN26),IF(CN$171=1,IF(AND(AND(87&gt;Corte,87&lt;=Corte+n_Ventana),ISNUMBER(Detalle_24m!CN$28)),Detalle_24m!CN$28,INDEX(Vol_V,15,CN$170)/12)*(1+V_dVol),0))</f>
        <v>0</v>
      </c>
      <c r="CO191" s="48" t="n">
        <f aca="false">IF(CO$8=1,N(Reales!CO26),IF(CO$171=1,IF(AND(AND(88&gt;Corte,88&lt;=Corte+n_Ventana),ISNUMBER(Detalle_24m!CO$28)),Detalle_24m!CO$28,INDEX(Vol_V,15,CO$170)/12)*(1+V_dVol),0))</f>
        <v>0</v>
      </c>
      <c r="CP191" s="48" t="n">
        <f aca="false">IF(CP$8=1,N(Reales!CP26),IF(CP$171=1,IF(AND(AND(89&gt;Corte,89&lt;=Corte+n_Ventana),ISNUMBER(Detalle_24m!CP$28)),Detalle_24m!CP$28,INDEX(Vol_V,15,CP$170)/12)*(1+V_dVol),0))</f>
        <v>0</v>
      </c>
      <c r="CQ191" s="48" t="n">
        <f aca="false">IF(CQ$8=1,N(Reales!CQ26),IF(CQ$171=1,IF(AND(AND(90&gt;Corte,90&lt;=Corte+n_Ventana),ISNUMBER(Detalle_24m!CQ$28)),Detalle_24m!CQ$28,INDEX(Vol_V,15,CQ$170)/12)*(1+V_dVol),0))</f>
        <v>0</v>
      </c>
      <c r="CR191" s="48" t="n">
        <f aca="false">IF(CR$8=1,N(Reales!CR26),IF(CR$171=1,IF(AND(AND(91&gt;Corte,91&lt;=Corte+n_Ventana),ISNUMBER(Detalle_24m!CR$28)),Detalle_24m!CR$28,INDEX(Vol_V,15,CR$170)/12)*(1+V_dVol),0))</f>
        <v>0</v>
      </c>
      <c r="CS191" s="48" t="n">
        <f aca="false">IF(CS$8=1,N(Reales!CS26),IF(CS$171=1,IF(AND(AND(92&gt;Corte,92&lt;=Corte+n_Ventana),ISNUMBER(Detalle_24m!CS$28)),Detalle_24m!CS$28,INDEX(Vol_V,15,CS$170)/12)*(1+V_dVol),0))</f>
        <v>0</v>
      </c>
      <c r="CT191" s="48" t="n">
        <f aca="false">IF(CT$8=1,N(Reales!CT26),IF(CT$171=1,IF(AND(AND(93&gt;Corte,93&lt;=Corte+n_Ventana),ISNUMBER(Detalle_24m!CT$28)),Detalle_24m!CT$28,INDEX(Vol_V,15,CT$170)/12)*(1+V_dVol),0))</f>
        <v>0</v>
      </c>
      <c r="CU191" s="48" t="n">
        <f aca="false">IF(CU$8=1,N(Reales!CU26),IF(CU$171=1,IF(AND(AND(94&gt;Corte,94&lt;=Corte+n_Ventana),ISNUMBER(Detalle_24m!CU$28)),Detalle_24m!CU$28,INDEX(Vol_V,15,CU$170)/12)*(1+V_dVol),0))</f>
        <v>0</v>
      </c>
      <c r="CV191" s="48" t="n">
        <f aca="false">IF(CV$8=1,N(Reales!CV26),IF(CV$171=1,IF(AND(AND(95&gt;Corte,95&lt;=Corte+n_Ventana),ISNUMBER(Detalle_24m!CV$28)),Detalle_24m!CV$28,INDEX(Vol_V,15,CV$170)/12)*(1+V_dVol),0))</f>
        <v>0</v>
      </c>
      <c r="CW191" s="48" t="n">
        <f aca="false">IF(CW$8=1,N(Reales!CW26),IF(CW$171=1,IF(AND(AND(96&gt;Corte,96&lt;=Corte+n_Ventana),ISNUMBER(Detalle_24m!CW$28)),Detalle_24m!CW$28,INDEX(Vol_V,15,CW$170)/12)*(1+V_dVol),0))</f>
        <v>0</v>
      </c>
      <c r="CX191" s="48" t="n">
        <f aca="false">IF(CX$8=1,N(Reales!CX26),IF(CX$171=1,IF(AND(AND(97&gt;Corte,97&lt;=Corte+n_Ventana),ISNUMBER(Detalle_24m!CX$28)),Detalle_24m!CX$28,INDEX(Vol_V,15,CX$170)/12)*(1+V_dVol),0))</f>
        <v>0</v>
      </c>
      <c r="CY191" s="48" t="n">
        <f aca="false">IF(CY$8=1,N(Reales!CY26),IF(CY$171=1,IF(AND(AND(98&gt;Corte,98&lt;=Corte+n_Ventana),ISNUMBER(Detalle_24m!CY$28)),Detalle_24m!CY$28,INDEX(Vol_V,15,CY$170)/12)*(1+V_dVol),0))</f>
        <v>0</v>
      </c>
      <c r="CZ191" s="48" t="n">
        <f aca="false">IF(CZ$8=1,N(Reales!CZ26),IF(CZ$171=1,IF(AND(AND(99&gt;Corte,99&lt;=Corte+n_Ventana),ISNUMBER(Detalle_24m!CZ$28)),Detalle_24m!CZ$28,INDEX(Vol_V,15,CZ$170)/12)*(1+V_dVol),0))</f>
        <v>0</v>
      </c>
      <c r="DA191" s="48" t="n">
        <f aca="false">IF(DA$8=1,N(Reales!DA26),IF(DA$171=1,IF(AND(AND(100&gt;Corte,100&lt;=Corte+n_Ventana),ISNUMBER(Detalle_24m!DA$28)),Detalle_24m!DA$28,INDEX(Vol_V,15,DA$170)/12)*(1+V_dVol),0))</f>
        <v>0</v>
      </c>
      <c r="DB191" s="48" t="n">
        <f aca="false">IF(DB$8=1,N(Reales!DB26),IF(DB$171=1,IF(AND(AND(101&gt;Corte,101&lt;=Corte+n_Ventana),ISNUMBER(Detalle_24m!DB$28)),Detalle_24m!DB$28,INDEX(Vol_V,15,DB$170)/12)*(1+V_dVol),0))</f>
        <v>0</v>
      </c>
      <c r="DC191" s="48" t="n">
        <f aca="false">IF(DC$8=1,N(Reales!DC26),IF(DC$171=1,IF(AND(AND(102&gt;Corte,102&lt;=Corte+n_Ventana),ISNUMBER(Detalle_24m!DC$28)),Detalle_24m!DC$28,INDEX(Vol_V,15,DC$170)/12)*(1+V_dVol),0))</f>
        <v>0</v>
      </c>
      <c r="DD191" s="48" t="n">
        <f aca="false">IF(DD$8=1,N(Reales!DD26),IF(DD$171=1,IF(AND(AND(103&gt;Corte,103&lt;=Corte+n_Ventana),ISNUMBER(Detalle_24m!DD$28)),Detalle_24m!DD$28,INDEX(Vol_V,15,DD$170)/12)*(1+V_dVol),0))</f>
        <v>0</v>
      </c>
      <c r="DE191" s="48" t="n">
        <f aca="false">IF(DE$8=1,N(Reales!DE26),IF(DE$171=1,IF(AND(AND(104&gt;Corte,104&lt;=Corte+n_Ventana),ISNUMBER(Detalle_24m!DE$28)),Detalle_24m!DE$28,INDEX(Vol_V,15,DE$170)/12)*(1+V_dVol),0))</f>
        <v>0</v>
      </c>
      <c r="DF191" s="48" t="n">
        <f aca="false">IF(DF$8=1,N(Reales!DF26),IF(DF$171=1,IF(AND(AND(105&gt;Corte,105&lt;=Corte+n_Ventana),ISNUMBER(Detalle_24m!DF$28)),Detalle_24m!DF$28,INDEX(Vol_V,15,DF$170)/12)*(1+V_dVol),0))</f>
        <v>0</v>
      </c>
      <c r="DG191" s="48" t="n">
        <f aca="false">IF(DG$8=1,N(Reales!DG26),IF(DG$171=1,IF(AND(AND(106&gt;Corte,106&lt;=Corte+n_Ventana),ISNUMBER(Detalle_24m!DG$28)),Detalle_24m!DG$28,INDEX(Vol_V,15,DG$170)/12)*(1+V_dVol),0))</f>
        <v>0</v>
      </c>
      <c r="DH191" s="48" t="n">
        <f aca="false">IF(DH$8=1,N(Reales!DH26),IF(DH$171=1,IF(AND(AND(107&gt;Corte,107&lt;=Corte+n_Ventana),ISNUMBER(Detalle_24m!DH$28)),Detalle_24m!DH$28,INDEX(Vol_V,15,DH$170)/12)*(1+V_dVol),0))</f>
        <v>0</v>
      </c>
      <c r="DI191" s="48" t="n">
        <f aca="false">IF(DI$8=1,N(Reales!DI26),IF(DI$171=1,IF(AND(AND(108&gt;Corte,108&lt;=Corte+n_Ventana),ISNUMBER(Detalle_24m!DI$28)),Detalle_24m!DI$28,INDEX(Vol_V,15,DI$170)/12)*(1+V_dVol),0))</f>
        <v>0</v>
      </c>
      <c r="DJ191" s="48" t="n">
        <f aca="false">IF(DJ$8=1,N(Reales!DJ26),IF(DJ$171=1,IF(AND(AND(109&gt;Corte,109&lt;=Corte+n_Ventana),ISNUMBER(Detalle_24m!DJ$28)),Detalle_24m!DJ$28,INDEX(Vol_V,15,DJ$170)/12)*(1+V_dVol),0))</f>
        <v>0</v>
      </c>
      <c r="DK191" s="48" t="n">
        <f aca="false">IF(DK$8=1,N(Reales!DK26),IF(DK$171=1,IF(AND(AND(110&gt;Corte,110&lt;=Corte+n_Ventana),ISNUMBER(Detalle_24m!DK$28)),Detalle_24m!DK$28,INDEX(Vol_V,15,DK$170)/12)*(1+V_dVol),0))</f>
        <v>0</v>
      </c>
      <c r="DL191" s="48" t="n">
        <f aca="false">IF(DL$8=1,N(Reales!DL26),IF(DL$171=1,IF(AND(AND(111&gt;Corte,111&lt;=Corte+n_Ventana),ISNUMBER(Detalle_24m!DL$28)),Detalle_24m!DL$28,INDEX(Vol_V,15,DL$170)/12)*(1+V_dVol),0))</f>
        <v>0</v>
      </c>
      <c r="DM191" s="48" t="n">
        <f aca="false">IF(DM$8=1,N(Reales!DM26),IF(DM$171=1,IF(AND(AND(112&gt;Corte,112&lt;=Corte+n_Ventana),ISNUMBER(Detalle_24m!DM$28)),Detalle_24m!DM$28,INDEX(Vol_V,15,DM$170)/12)*(1+V_dVol),0))</f>
        <v>0</v>
      </c>
      <c r="DN191" s="48" t="n">
        <f aca="false">IF(DN$8=1,N(Reales!DN26),IF(DN$171=1,IF(AND(AND(113&gt;Corte,113&lt;=Corte+n_Ventana),ISNUMBER(Detalle_24m!DN$28)),Detalle_24m!DN$28,INDEX(Vol_V,15,DN$170)/12)*(1+V_dVol),0))</f>
        <v>0</v>
      </c>
      <c r="DO191" s="48" t="n">
        <f aca="false">IF(DO$8=1,N(Reales!DO26),IF(DO$171=1,IF(AND(AND(114&gt;Corte,114&lt;=Corte+n_Ventana),ISNUMBER(Detalle_24m!DO$28)),Detalle_24m!DO$28,INDEX(Vol_V,15,DO$170)/12)*(1+V_dVol),0))</f>
        <v>0</v>
      </c>
      <c r="DP191" s="48" t="n">
        <f aca="false">IF(DP$8=1,N(Reales!DP26),IF(DP$171=1,IF(AND(AND(115&gt;Corte,115&lt;=Corte+n_Ventana),ISNUMBER(Detalle_24m!DP$28)),Detalle_24m!DP$28,INDEX(Vol_V,15,DP$170)/12)*(1+V_dVol),0))</f>
        <v>0</v>
      </c>
      <c r="DQ191" s="48" t="n">
        <f aca="false">IF(DQ$8=1,N(Reales!DQ26),IF(DQ$171=1,IF(AND(AND(116&gt;Corte,116&lt;=Corte+n_Ventana),ISNUMBER(Detalle_24m!DQ$28)),Detalle_24m!DQ$28,INDEX(Vol_V,15,DQ$170)/12)*(1+V_dVol),0))</f>
        <v>0</v>
      </c>
      <c r="DR191" s="48" t="n">
        <f aca="false">IF(DR$8=1,N(Reales!DR26),IF(DR$171=1,IF(AND(AND(117&gt;Corte,117&lt;=Corte+n_Ventana),ISNUMBER(Detalle_24m!DR$28)),Detalle_24m!DR$28,INDEX(Vol_V,15,DR$170)/12)*(1+V_dVol),0))</f>
        <v>0</v>
      </c>
      <c r="DS191" s="48" t="n">
        <f aca="false">IF(DS$8=1,N(Reales!DS26),IF(DS$171=1,IF(AND(AND(118&gt;Corte,118&lt;=Corte+n_Ventana),ISNUMBER(Detalle_24m!DS$28)),Detalle_24m!DS$28,INDEX(Vol_V,15,DS$170)/12)*(1+V_dVol),0))</f>
        <v>0</v>
      </c>
      <c r="DT191" s="48" t="n">
        <f aca="false">IF(DT$8=1,N(Reales!DT26),IF(DT$171=1,IF(AND(AND(119&gt;Corte,119&lt;=Corte+n_Ventana),ISNUMBER(Detalle_24m!DT$28)),Detalle_24m!DT$28,INDEX(Vol_V,15,DT$170)/12)*(1+V_dVol),0))</f>
        <v>0</v>
      </c>
      <c r="DU191" s="48" t="n">
        <f aca="false">IF(DU$8=1,N(Reales!DU26),IF(DU$171=1,IF(AND(AND(120&gt;Corte,120&lt;=Corte+n_Ventana),ISNUMBER(Detalle_24m!DU$28)),Detalle_24m!DU$28,INDEX(Vol_V,15,DU$170)/12)*(1+V_dVol),0))</f>
        <v>0</v>
      </c>
      <c r="DV191" s="48" t="n">
        <f aca="false">IF(DV$8=1,N(Reales!DV26),IF(DV$171=1,IF(AND(AND(121&gt;Corte,121&lt;=Corte+n_Ventana),ISNUMBER(Detalle_24m!DV$28)),Detalle_24m!DV$28,INDEX(Vol_V,15,DV$170)/12)*(1+V_dVol),0))</f>
        <v>0</v>
      </c>
      <c r="DW191" s="48" t="n">
        <f aca="false">IF(DW$8=1,N(Reales!DW26),IF(DW$171=1,IF(AND(AND(122&gt;Corte,122&lt;=Corte+n_Ventana),ISNUMBER(Detalle_24m!DW$28)),Detalle_24m!DW$28,INDEX(Vol_V,15,DW$170)/12)*(1+V_dVol),0))</f>
        <v>0</v>
      </c>
      <c r="DX191" s="48" t="n">
        <f aca="false">IF(DX$8=1,N(Reales!DX26),IF(DX$171=1,IF(AND(AND(123&gt;Corte,123&lt;=Corte+n_Ventana),ISNUMBER(Detalle_24m!DX$28)),Detalle_24m!DX$28,INDEX(Vol_V,15,DX$170)/12)*(1+V_dVol),0))</f>
        <v>0</v>
      </c>
      <c r="DY191" s="48" t="n">
        <f aca="false">IF(DY$8=1,N(Reales!DY26),IF(DY$171=1,IF(AND(AND(124&gt;Corte,124&lt;=Corte+n_Ventana),ISNUMBER(Detalle_24m!DY$28)),Detalle_24m!DY$28,INDEX(Vol_V,15,DY$170)/12)*(1+V_dVol),0))</f>
        <v>0</v>
      </c>
      <c r="DZ191" s="48" t="n">
        <f aca="false">IF(DZ$8=1,N(Reales!DZ26),IF(DZ$171=1,IF(AND(AND(125&gt;Corte,125&lt;=Corte+n_Ventana),ISNUMBER(Detalle_24m!DZ$28)),Detalle_24m!DZ$28,INDEX(Vol_V,15,DZ$170)/12)*(1+V_dVol),0))</f>
        <v>0</v>
      </c>
      <c r="EA191" s="48" t="n">
        <f aca="false">IF(EA$8=1,N(Reales!EA26),IF(EA$171=1,IF(AND(AND(126&gt;Corte,126&lt;=Corte+n_Ventana),ISNUMBER(Detalle_24m!EA$28)),Detalle_24m!EA$28,INDEX(Vol_V,15,EA$170)/12)*(1+V_dVol),0))</f>
        <v>0</v>
      </c>
      <c r="EB191" s="48" t="n">
        <f aca="false">IF(EB$8=1,N(Reales!EB26),IF(EB$171=1,IF(AND(AND(127&gt;Corte,127&lt;=Corte+n_Ventana),ISNUMBER(Detalle_24m!EB$28)),Detalle_24m!EB$28,INDEX(Vol_V,15,EB$170)/12)*(1+V_dVol),0))</f>
        <v>0</v>
      </c>
      <c r="EC191" s="48" t="n">
        <f aca="false">IF(EC$8=1,N(Reales!EC26),IF(EC$171=1,IF(AND(AND(128&gt;Corte,128&lt;=Corte+n_Ventana),ISNUMBER(Detalle_24m!EC$28)),Detalle_24m!EC$28,INDEX(Vol_V,15,EC$170)/12)*(1+V_dVol),0))</f>
        <v>0</v>
      </c>
      <c r="ED191" s="48" t="n">
        <f aca="false">IF(ED$8=1,N(Reales!ED26),IF(ED$171=1,IF(AND(AND(129&gt;Corte,129&lt;=Corte+n_Ventana),ISNUMBER(Detalle_24m!ED$28)),Detalle_24m!ED$28,INDEX(Vol_V,15,ED$170)/12)*(1+V_dVol),0))</f>
        <v>0</v>
      </c>
      <c r="EE191" s="48" t="n">
        <f aca="false">IF(EE$8=1,N(Reales!EE26),IF(EE$171=1,IF(AND(AND(130&gt;Corte,130&lt;=Corte+n_Ventana),ISNUMBER(Detalle_24m!EE$28)),Detalle_24m!EE$28,INDEX(Vol_V,15,EE$170)/12)*(1+V_dVol),0))</f>
        <v>0</v>
      </c>
      <c r="EF191" s="48" t="n">
        <f aca="false">IF(EF$8=1,N(Reales!EF26),IF(EF$171=1,IF(AND(AND(131&gt;Corte,131&lt;=Corte+n_Ventana),ISNUMBER(Detalle_24m!EF$28)),Detalle_24m!EF$28,INDEX(Vol_V,15,EF$170)/12)*(1+V_dVol),0))</f>
        <v>0</v>
      </c>
      <c r="EG191" s="48" t="n">
        <f aca="false">IF(EG$8=1,N(Reales!EG26),IF(EG$171=1,IF(AND(AND(132&gt;Corte,132&lt;=Corte+n_Ventana),ISNUMBER(Detalle_24m!EG$28)),Detalle_24m!EG$28,INDEX(Vol_V,15,EG$170)/12)*(1+V_dVol),0))</f>
        <v>0</v>
      </c>
      <c r="EH191" s="48" t="n">
        <f aca="false">IF(EH$8=1,N(Reales!EH26),IF(EH$171=1,IF(AND(AND(133&gt;Corte,133&lt;=Corte+n_Ventana),ISNUMBER(Detalle_24m!EH$28)),Detalle_24m!EH$28,INDEX(Vol_V,15,EH$170)/12)*(1+V_dVol),0))</f>
        <v>0</v>
      </c>
      <c r="EI191" s="48" t="n">
        <f aca="false">IF(EI$8=1,N(Reales!EI26),IF(EI$171=1,IF(AND(AND(134&gt;Corte,134&lt;=Corte+n_Ventana),ISNUMBER(Detalle_24m!EI$28)),Detalle_24m!EI$28,INDEX(Vol_V,15,EI$170)/12)*(1+V_dVol),0))</f>
        <v>0</v>
      </c>
      <c r="EJ191" s="48" t="n">
        <f aca="false">IF(EJ$8=1,N(Reales!EJ26),IF(EJ$171=1,IF(AND(AND(135&gt;Corte,135&lt;=Corte+n_Ventana),ISNUMBER(Detalle_24m!EJ$28)),Detalle_24m!EJ$28,INDEX(Vol_V,15,EJ$170)/12)*(1+V_dVol),0))</f>
        <v>0</v>
      </c>
      <c r="EK191" s="48" t="n">
        <f aca="false">IF(EK$8=1,N(Reales!EK26),IF(EK$171=1,IF(AND(AND(136&gt;Corte,136&lt;=Corte+n_Ventana),ISNUMBER(Detalle_24m!EK$28)),Detalle_24m!EK$28,INDEX(Vol_V,15,EK$170)/12)*(1+V_dVol),0))</f>
        <v>0</v>
      </c>
      <c r="EL191" s="48" t="n">
        <f aca="false">IF(EL$8=1,N(Reales!EL26),IF(EL$171=1,IF(AND(AND(137&gt;Corte,137&lt;=Corte+n_Ventana),ISNUMBER(Detalle_24m!EL$28)),Detalle_24m!EL$28,INDEX(Vol_V,15,EL$170)/12)*(1+V_dVol),0))</f>
        <v>0</v>
      </c>
      <c r="EM191" s="48" t="n">
        <f aca="false">IF(EM$8=1,N(Reales!EM26),IF(EM$171=1,IF(AND(AND(138&gt;Corte,138&lt;=Corte+n_Ventana),ISNUMBER(Detalle_24m!EM$28)),Detalle_24m!EM$28,INDEX(Vol_V,15,EM$170)/12)*(1+V_dVol),0))</f>
        <v>0</v>
      </c>
      <c r="EN191" s="48" t="n">
        <f aca="false">IF(EN$8=1,N(Reales!EN26),IF(EN$171=1,IF(AND(AND(139&gt;Corte,139&lt;=Corte+n_Ventana),ISNUMBER(Detalle_24m!EN$28)),Detalle_24m!EN$28,INDEX(Vol_V,15,EN$170)/12)*(1+V_dVol),0))</f>
        <v>0</v>
      </c>
      <c r="EO191" s="48" t="n">
        <f aca="false">IF(EO$8=1,N(Reales!EO26),IF(EO$171=1,IF(AND(AND(140&gt;Corte,140&lt;=Corte+n_Ventana),ISNUMBER(Detalle_24m!EO$28)),Detalle_24m!EO$28,INDEX(Vol_V,15,EO$170)/12)*(1+V_dVol),0))</f>
        <v>0</v>
      </c>
      <c r="EP191" s="48" t="n">
        <f aca="false">IF(EP$8=1,N(Reales!EP26),IF(EP$171=1,IF(AND(AND(141&gt;Corte,141&lt;=Corte+n_Ventana),ISNUMBER(Detalle_24m!EP$28)),Detalle_24m!EP$28,INDEX(Vol_V,15,EP$170)/12)*(1+V_dVol),0))</f>
        <v>0</v>
      </c>
      <c r="EQ191" s="48" t="n">
        <f aca="false">IF(EQ$8=1,N(Reales!EQ26),IF(EQ$171=1,IF(AND(AND(142&gt;Corte,142&lt;=Corte+n_Ventana),ISNUMBER(Detalle_24m!EQ$28)),Detalle_24m!EQ$28,INDEX(Vol_V,15,EQ$170)/12)*(1+V_dVol),0))</f>
        <v>0</v>
      </c>
      <c r="ER191" s="48" t="n">
        <f aca="false">IF(ER$8=1,N(Reales!ER26),IF(ER$171=1,IF(AND(AND(143&gt;Corte,143&lt;=Corte+n_Ventana),ISNUMBER(Detalle_24m!ER$28)),Detalle_24m!ER$28,INDEX(Vol_V,15,ER$170)/12)*(1+V_dVol),0))</f>
        <v>0</v>
      </c>
      <c r="ES191" s="48" t="n">
        <f aca="false">IF(ES$8=1,N(Reales!ES26),IF(ES$171=1,IF(AND(AND(144&gt;Corte,144&lt;=Corte+n_Ventana),ISNUMBER(Detalle_24m!ES$28)),Detalle_24m!ES$28,INDEX(Vol_V,15,ES$170)/12)*(1+V_dVol),0))</f>
        <v>0</v>
      </c>
    </row>
    <row r="192" customFormat="false" ht="15" hidden="false" customHeight="false" outlineLevel="0" collapsed="false">
      <c r="A192" s="11" t="s">
        <v>1315</v>
      </c>
      <c r="B192" s="53" t="str">
        <f aca="false">IF(INDEX(Prod_Nombre,16)="","Producto 16",INDEX(Prod_Nombre,16))&amp;" — unidades"</f>
        <v>Producto 16 — unidades</v>
      </c>
      <c r="C192" s="15" t="s">
        <v>544</v>
      </c>
      <c r="E192" s="54" t="n">
        <f aca="false">SUM(F192:ES192)</f>
        <v>0</v>
      </c>
      <c r="F192" s="48" t="n">
        <f aca="false">IF(F$8=1,N(Reales!F27),IF(F$171=1,IF(AND(AND(1&gt;Corte,1&lt;=Corte+n_Ventana),ISNUMBER(Detalle_24m!F$29)),Detalle_24m!F$29,INDEX(Vol_V,16,F$170)/12)*(1+V_dVol),0))</f>
        <v>0</v>
      </c>
      <c r="G192" s="48" t="n">
        <f aca="false">IF(G$8=1,N(Reales!G27),IF(G$171=1,IF(AND(AND(2&gt;Corte,2&lt;=Corte+n_Ventana),ISNUMBER(Detalle_24m!G$29)),Detalle_24m!G$29,INDEX(Vol_V,16,G$170)/12)*(1+V_dVol),0))</f>
        <v>0</v>
      </c>
      <c r="H192" s="48" t="n">
        <f aca="false">IF(H$8=1,N(Reales!H27),IF(H$171=1,IF(AND(AND(3&gt;Corte,3&lt;=Corte+n_Ventana),ISNUMBER(Detalle_24m!H$29)),Detalle_24m!H$29,INDEX(Vol_V,16,H$170)/12)*(1+V_dVol),0))</f>
        <v>0</v>
      </c>
      <c r="I192" s="48" t="n">
        <f aca="false">IF(I$8=1,N(Reales!I27),IF(I$171=1,IF(AND(AND(4&gt;Corte,4&lt;=Corte+n_Ventana),ISNUMBER(Detalle_24m!I$29)),Detalle_24m!I$29,INDEX(Vol_V,16,I$170)/12)*(1+V_dVol),0))</f>
        <v>0</v>
      </c>
      <c r="J192" s="48" t="n">
        <f aca="false">IF(J$8=1,N(Reales!J27),IF(J$171=1,IF(AND(AND(5&gt;Corte,5&lt;=Corte+n_Ventana),ISNUMBER(Detalle_24m!J$29)),Detalle_24m!J$29,INDEX(Vol_V,16,J$170)/12)*(1+V_dVol),0))</f>
        <v>0</v>
      </c>
      <c r="K192" s="48" t="n">
        <f aca="false">IF(K$8=1,N(Reales!K27),IF(K$171=1,IF(AND(AND(6&gt;Corte,6&lt;=Corte+n_Ventana),ISNUMBER(Detalle_24m!K$29)),Detalle_24m!K$29,INDEX(Vol_V,16,K$170)/12)*(1+V_dVol),0))</f>
        <v>0</v>
      </c>
      <c r="L192" s="48" t="n">
        <f aca="false">IF(L$8=1,N(Reales!L27),IF(L$171=1,IF(AND(AND(7&gt;Corte,7&lt;=Corte+n_Ventana),ISNUMBER(Detalle_24m!L$29)),Detalle_24m!L$29,INDEX(Vol_V,16,L$170)/12)*(1+V_dVol),0))</f>
        <v>0</v>
      </c>
      <c r="M192" s="48" t="n">
        <f aca="false">IF(M$8=1,N(Reales!M27),IF(M$171=1,IF(AND(AND(8&gt;Corte,8&lt;=Corte+n_Ventana),ISNUMBER(Detalle_24m!M$29)),Detalle_24m!M$29,INDEX(Vol_V,16,M$170)/12)*(1+V_dVol),0))</f>
        <v>0</v>
      </c>
      <c r="N192" s="48" t="n">
        <f aca="false">IF(N$8=1,N(Reales!N27),IF(N$171=1,IF(AND(AND(9&gt;Corte,9&lt;=Corte+n_Ventana),ISNUMBER(Detalle_24m!N$29)),Detalle_24m!N$29,INDEX(Vol_V,16,N$170)/12)*(1+V_dVol),0))</f>
        <v>0</v>
      </c>
      <c r="O192" s="48" t="n">
        <f aca="false">IF(O$8=1,N(Reales!O27),IF(O$171=1,IF(AND(AND(10&gt;Corte,10&lt;=Corte+n_Ventana),ISNUMBER(Detalle_24m!O$29)),Detalle_24m!O$29,INDEX(Vol_V,16,O$170)/12)*(1+V_dVol),0))</f>
        <v>0</v>
      </c>
      <c r="P192" s="48" t="n">
        <f aca="false">IF(P$8=1,N(Reales!P27),IF(P$171=1,IF(AND(AND(11&gt;Corte,11&lt;=Corte+n_Ventana),ISNUMBER(Detalle_24m!P$29)),Detalle_24m!P$29,INDEX(Vol_V,16,P$170)/12)*(1+V_dVol),0))</f>
        <v>0</v>
      </c>
      <c r="Q192" s="48" t="n">
        <f aca="false">IF(Q$8=1,N(Reales!Q27),IF(Q$171=1,IF(AND(AND(12&gt;Corte,12&lt;=Corte+n_Ventana),ISNUMBER(Detalle_24m!Q$29)),Detalle_24m!Q$29,INDEX(Vol_V,16,Q$170)/12)*(1+V_dVol),0))</f>
        <v>0</v>
      </c>
      <c r="R192" s="48" t="n">
        <f aca="false">IF(R$8=1,N(Reales!R27),IF(R$171=1,IF(AND(AND(13&gt;Corte,13&lt;=Corte+n_Ventana),ISNUMBER(Detalle_24m!R$29)),Detalle_24m!R$29,INDEX(Vol_V,16,R$170)/12)*(1+V_dVol),0))</f>
        <v>0</v>
      </c>
      <c r="S192" s="48" t="n">
        <f aca="false">IF(S$8=1,N(Reales!S27),IF(S$171=1,IF(AND(AND(14&gt;Corte,14&lt;=Corte+n_Ventana),ISNUMBER(Detalle_24m!S$29)),Detalle_24m!S$29,INDEX(Vol_V,16,S$170)/12)*(1+V_dVol),0))</f>
        <v>0</v>
      </c>
      <c r="T192" s="48" t="n">
        <f aca="false">IF(T$8=1,N(Reales!T27),IF(T$171=1,IF(AND(AND(15&gt;Corte,15&lt;=Corte+n_Ventana),ISNUMBER(Detalle_24m!T$29)),Detalle_24m!T$29,INDEX(Vol_V,16,T$170)/12)*(1+V_dVol),0))</f>
        <v>0</v>
      </c>
      <c r="U192" s="48" t="n">
        <f aca="false">IF(U$8=1,N(Reales!U27),IF(U$171=1,IF(AND(AND(16&gt;Corte,16&lt;=Corte+n_Ventana),ISNUMBER(Detalle_24m!U$29)),Detalle_24m!U$29,INDEX(Vol_V,16,U$170)/12)*(1+V_dVol),0))</f>
        <v>0</v>
      </c>
      <c r="V192" s="48" t="n">
        <f aca="false">IF(V$8=1,N(Reales!V27),IF(V$171=1,IF(AND(AND(17&gt;Corte,17&lt;=Corte+n_Ventana),ISNUMBER(Detalle_24m!V$29)),Detalle_24m!V$29,INDEX(Vol_V,16,V$170)/12)*(1+V_dVol),0))</f>
        <v>0</v>
      </c>
      <c r="W192" s="48" t="n">
        <f aca="false">IF(W$8=1,N(Reales!W27),IF(W$171=1,IF(AND(AND(18&gt;Corte,18&lt;=Corte+n_Ventana),ISNUMBER(Detalle_24m!W$29)),Detalle_24m!W$29,INDEX(Vol_V,16,W$170)/12)*(1+V_dVol),0))</f>
        <v>0</v>
      </c>
      <c r="X192" s="48" t="n">
        <f aca="false">IF(X$8=1,N(Reales!X27),IF(X$171=1,IF(AND(AND(19&gt;Corte,19&lt;=Corte+n_Ventana),ISNUMBER(Detalle_24m!X$29)),Detalle_24m!X$29,INDEX(Vol_V,16,X$170)/12)*(1+V_dVol),0))</f>
        <v>0</v>
      </c>
      <c r="Y192" s="48" t="n">
        <f aca="false">IF(Y$8=1,N(Reales!Y27),IF(Y$171=1,IF(AND(AND(20&gt;Corte,20&lt;=Corte+n_Ventana),ISNUMBER(Detalle_24m!Y$29)),Detalle_24m!Y$29,INDEX(Vol_V,16,Y$170)/12)*(1+V_dVol),0))</f>
        <v>0</v>
      </c>
      <c r="Z192" s="48" t="n">
        <f aca="false">IF(Z$8=1,N(Reales!Z27),IF(Z$171=1,IF(AND(AND(21&gt;Corte,21&lt;=Corte+n_Ventana),ISNUMBER(Detalle_24m!Z$29)),Detalle_24m!Z$29,INDEX(Vol_V,16,Z$170)/12)*(1+V_dVol),0))</f>
        <v>0</v>
      </c>
      <c r="AA192" s="48" t="n">
        <f aca="false">IF(AA$8=1,N(Reales!AA27),IF(AA$171=1,IF(AND(AND(22&gt;Corte,22&lt;=Corte+n_Ventana),ISNUMBER(Detalle_24m!AA$29)),Detalle_24m!AA$29,INDEX(Vol_V,16,AA$170)/12)*(1+V_dVol),0))</f>
        <v>0</v>
      </c>
      <c r="AB192" s="48" t="n">
        <f aca="false">IF(AB$8=1,N(Reales!AB27),IF(AB$171=1,IF(AND(AND(23&gt;Corte,23&lt;=Corte+n_Ventana),ISNUMBER(Detalle_24m!AB$29)),Detalle_24m!AB$29,INDEX(Vol_V,16,AB$170)/12)*(1+V_dVol),0))</f>
        <v>0</v>
      </c>
      <c r="AC192" s="48" t="n">
        <f aca="false">IF(AC$8=1,N(Reales!AC27),IF(AC$171=1,IF(AND(AND(24&gt;Corte,24&lt;=Corte+n_Ventana),ISNUMBER(Detalle_24m!AC$29)),Detalle_24m!AC$29,INDEX(Vol_V,16,AC$170)/12)*(1+V_dVol),0))</f>
        <v>0</v>
      </c>
      <c r="AD192" s="48" t="n">
        <f aca="false">IF(AD$8=1,N(Reales!AD27),IF(AD$171=1,IF(AND(AND(25&gt;Corte,25&lt;=Corte+n_Ventana),ISNUMBER(Detalle_24m!AD$29)),Detalle_24m!AD$29,INDEX(Vol_V,16,AD$170)/12)*(1+V_dVol),0))</f>
        <v>0</v>
      </c>
      <c r="AE192" s="48" t="n">
        <f aca="false">IF(AE$8=1,N(Reales!AE27),IF(AE$171=1,IF(AND(AND(26&gt;Corte,26&lt;=Corte+n_Ventana),ISNUMBER(Detalle_24m!AE$29)),Detalle_24m!AE$29,INDEX(Vol_V,16,AE$170)/12)*(1+V_dVol),0))</f>
        <v>0</v>
      </c>
      <c r="AF192" s="48" t="n">
        <f aca="false">IF(AF$8=1,N(Reales!AF27),IF(AF$171=1,IF(AND(AND(27&gt;Corte,27&lt;=Corte+n_Ventana),ISNUMBER(Detalle_24m!AF$29)),Detalle_24m!AF$29,INDEX(Vol_V,16,AF$170)/12)*(1+V_dVol),0))</f>
        <v>0</v>
      </c>
      <c r="AG192" s="48" t="n">
        <f aca="false">IF(AG$8=1,N(Reales!AG27),IF(AG$171=1,IF(AND(AND(28&gt;Corte,28&lt;=Corte+n_Ventana),ISNUMBER(Detalle_24m!AG$29)),Detalle_24m!AG$29,INDEX(Vol_V,16,AG$170)/12)*(1+V_dVol),0))</f>
        <v>0</v>
      </c>
      <c r="AH192" s="48" t="n">
        <f aca="false">IF(AH$8=1,N(Reales!AH27),IF(AH$171=1,IF(AND(AND(29&gt;Corte,29&lt;=Corte+n_Ventana),ISNUMBER(Detalle_24m!AH$29)),Detalle_24m!AH$29,INDEX(Vol_V,16,AH$170)/12)*(1+V_dVol),0))</f>
        <v>0</v>
      </c>
      <c r="AI192" s="48" t="n">
        <f aca="false">IF(AI$8=1,N(Reales!AI27),IF(AI$171=1,IF(AND(AND(30&gt;Corte,30&lt;=Corte+n_Ventana),ISNUMBER(Detalle_24m!AI$29)),Detalle_24m!AI$29,INDEX(Vol_V,16,AI$170)/12)*(1+V_dVol),0))</f>
        <v>0</v>
      </c>
      <c r="AJ192" s="48" t="n">
        <f aca="false">IF(AJ$8=1,N(Reales!AJ27),IF(AJ$171=1,IF(AND(AND(31&gt;Corte,31&lt;=Corte+n_Ventana),ISNUMBER(Detalle_24m!AJ$29)),Detalle_24m!AJ$29,INDEX(Vol_V,16,AJ$170)/12)*(1+V_dVol),0))</f>
        <v>0</v>
      </c>
      <c r="AK192" s="48" t="n">
        <f aca="false">IF(AK$8=1,N(Reales!AK27),IF(AK$171=1,IF(AND(AND(32&gt;Corte,32&lt;=Corte+n_Ventana),ISNUMBER(Detalle_24m!AK$29)),Detalle_24m!AK$29,INDEX(Vol_V,16,AK$170)/12)*(1+V_dVol),0))</f>
        <v>0</v>
      </c>
      <c r="AL192" s="48" t="n">
        <f aca="false">IF(AL$8=1,N(Reales!AL27),IF(AL$171=1,IF(AND(AND(33&gt;Corte,33&lt;=Corte+n_Ventana),ISNUMBER(Detalle_24m!AL$29)),Detalle_24m!AL$29,INDEX(Vol_V,16,AL$170)/12)*(1+V_dVol),0))</f>
        <v>0</v>
      </c>
      <c r="AM192" s="48" t="n">
        <f aca="false">IF(AM$8=1,N(Reales!AM27),IF(AM$171=1,IF(AND(AND(34&gt;Corte,34&lt;=Corte+n_Ventana),ISNUMBER(Detalle_24m!AM$29)),Detalle_24m!AM$29,INDEX(Vol_V,16,AM$170)/12)*(1+V_dVol),0))</f>
        <v>0</v>
      </c>
      <c r="AN192" s="48" t="n">
        <f aca="false">IF(AN$8=1,N(Reales!AN27),IF(AN$171=1,IF(AND(AND(35&gt;Corte,35&lt;=Corte+n_Ventana),ISNUMBER(Detalle_24m!AN$29)),Detalle_24m!AN$29,INDEX(Vol_V,16,AN$170)/12)*(1+V_dVol),0))</f>
        <v>0</v>
      </c>
      <c r="AO192" s="48" t="n">
        <f aca="false">IF(AO$8=1,N(Reales!AO27),IF(AO$171=1,IF(AND(AND(36&gt;Corte,36&lt;=Corte+n_Ventana),ISNUMBER(Detalle_24m!AO$29)),Detalle_24m!AO$29,INDEX(Vol_V,16,AO$170)/12)*(1+V_dVol),0))</f>
        <v>0</v>
      </c>
      <c r="AP192" s="48" t="n">
        <f aca="false">IF(AP$8=1,N(Reales!AP27),IF(AP$171=1,IF(AND(AND(37&gt;Corte,37&lt;=Corte+n_Ventana),ISNUMBER(Detalle_24m!AP$29)),Detalle_24m!AP$29,INDEX(Vol_V,16,AP$170)/12)*(1+V_dVol),0))</f>
        <v>0</v>
      </c>
      <c r="AQ192" s="48" t="n">
        <f aca="false">IF(AQ$8=1,N(Reales!AQ27),IF(AQ$171=1,IF(AND(AND(38&gt;Corte,38&lt;=Corte+n_Ventana),ISNUMBER(Detalle_24m!AQ$29)),Detalle_24m!AQ$29,INDEX(Vol_V,16,AQ$170)/12)*(1+V_dVol),0))</f>
        <v>0</v>
      </c>
      <c r="AR192" s="48" t="n">
        <f aca="false">IF(AR$8=1,N(Reales!AR27),IF(AR$171=1,IF(AND(AND(39&gt;Corte,39&lt;=Corte+n_Ventana),ISNUMBER(Detalle_24m!AR$29)),Detalle_24m!AR$29,INDEX(Vol_V,16,AR$170)/12)*(1+V_dVol),0))</f>
        <v>0</v>
      </c>
      <c r="AS192" s="48" t="n">
        <f aca="false">IF(AS$8=1,N(Reales!AS27),IF(AS$171=1,IF(AND(AND(40&gt;Corte,40&lt;=Corte+n_Ventana),ISNUMBER(Detalle_24m!AS$29)),Detalle_24m!AS$29,INDEX(Vol_V,16,AS$170)/12)*(1+V_dVol),0))</f>
        <v>0</v>
      </c>
      <c r="AT192" s="48" t="n">
        <f aca="false">IF(AT$8=1,N(Reales!AT27),IF(AT$171=1,IF(AND(AND(41&gt;Corte,41&lt;=Corte+n_Ventana),ISNUMBER(Detalle_24m!AT$29)),Detalle_24m!AT$29,INDEX(Vol_V,16,AT$170)/12)*(1+V_dVol),0))</f>
        <v>0</v>
      </c>
      <c r="AU192" s="48" t="n">
        <f aca="false">IF(AU$8=1,N(Reales!AU27),IF(AU$171=1,IF(AND(AND(42&gt;Corte,42&lt;=Corte+n_Ventana),ISNUMBER(Detalle_24m!AU$29)),Detalle_24m!AU$29,INDEX(Vol_V,16,AU$170)/12)*(1+V_dVol),0))</f>
        <v>0</v>
      </c>
      <c r="AV192" s="48" t="n">
        <f aca="false">IF(AV$8=1,N(Reales!AV27),IF(AV$171=1,IF(AND(AND(43&gt;Corte,43&lt;=Corte+n_Ventana),ISNUMBER(Detalle_24m!AV$29)),Detalle_24m!AV$29,INDEX(Vol_V,16,AV$170)/12)*(1+V_dVol),0))</f>
        <v>0</v>
      </c>
      <c r="AW192" s="48" t="n">
        <f aca="false">IF(AW$8=1,N(Reales!AW27),IF(AW$171=1,IF(AND(AND(44&gt;Corte,44&lt;=Corte+n_Ventana),ISNUMBER(Detalle_24m!AW$29)),Detalle_24m!AW$29,INDEX(Vol_V,16,AW$170)/12)*(1+V_dVol),0))</f>
        <v>0</v>
      </c>
      <c r="AX192" s="48" t="n">
        <f aca="false">IF(AX$8=1,N(Reales!AX27),IF(AX$171=1,IF(AND(AND(45&gt;Corte,45&lt;=Corte+n_Ventana),ISNUMBER(Detalle_24m!AX$29)),Detalle_24m!AX$29,INDEX(Vol_V,16,AX$170)/12)*(1+V_dVol),0))</f>
        <v>0</v>
      </c>
      <c r="AY192" s="48" t="n">
        <f aca="false">IF(AY$8=1,N(Reales!AY27),IF(AY$171=1,IF(AND(AND(46&gt;Corte,46&lt;=Corte+n_Ventana),ISNUMBER(Detalle_24m!AY$29)),Detalle_24m!AY$29,INDEX(Vol_V,16,AY$170)/12)*(1+V_dVol),0))</f>
        <v>0</v>
      </c>
      <c r="AZ192" s="48" t="n">
        <f aca="false">IF(AZ$8=1,N(Reales!AZ27),IF(AZ$171=1,IF(AND(AND(47&gt;Corte,47&lt;=Corte+n_Ventana),ISNUMBER(Detalle_24m!AZ$29)),Detalle_24m!AZ$29,INDEX(Vol_V,16,AZ$170)/12)*(1+V_dVol),0))</f>
        <v>0</v>
      </c>
      <c r="BA192" s="48" t="n">
        <f aca="false">IF(BA$8=1,N(Reales!BA27),IF(BA$171=1,IF(AND(AND(48&gt;Corte,48&lt;=Corte+n_Ventana),ISNUMBER(Detalle_24m!BA$29)),Detalle_24m!BA$29,INDEX(Vol_V,16,BA$170)/12)*(1+V_dVol),0))</f>
        <v>0</v>
      </c>
      <c r="BB192" s="48" t="n">
        <f aca="false">IF(BB$8=1,N(Reales!BB27),IF(BB$171=1,IF(AND(AND(49&gt;Corte,49&lt;=Corte+n_Ventana),ISNUMBER(Detalle_24m!BB$29)),Detalle_24m!BB$29,INDEX(Vol_V,16,BB$170)/12)*(1+V_dVol),0))</f>
        <v>0</v>
      </c>
      <c r="BC192" s="48" t="n">
        <f aca="false">IF(BC$8=1,N(Reales!BC27),IF(BC$171=1,IF(AND(AND(50&gt;Corte,50&lt;=Corte+n_Ventana),ISNUMBER(Detalle_24m!BC$29)),Detalle_24m!BC$29,INDEX(Vol_V,16,BC$170)/12)*(1+V_dVol),0))</f>
        <v>0</v>
      </c>
      <c r="BD192" s="48" t="n">
        <f aca="false">IF(BD$8=1,N(Reales!BD27),IF(BD$171=1,IF(AND(AND(51&gt;Corte,51&lt;=Corte+n_Ventana),ISNUMBER(Detalle_24m!BD$29)),Detalle_24m!BD$29,INDEX(Vol_V,16,BD$170)/12)*(1+V_dVol),0))</f>
        <v>0</v>
      </c>
      <c r="BE192" s="48" t="n">
        <f aca="false">IF(BE$8=1,N(Reales!BE27),IF(BE$171=1,IF(AND(AND(52&gt;Corte,52&lt;=Corte+n_Ventana),ISNUMBER(Detalle_24m!BE$29)),Detalle_24m!BE$29,INDEX(Vol_V,16,BE$170)/12)*(1+V_dVol),0))</f>
        <v>0</v>
      </c>
      <c r="BF192" s="48" t="n">
        <f aca="false">IF(BF$8=1,N(Reales!BF27),IF(BF$171=1,IF(AND(AND(53&gt;Corte,53&lt;=Corte+n_Ventana),ISNUMBER(Detalle_24m!BF$29)),Detalle_24m!BF$29,INDEX(Vol_V,16,BF$170)/12)*(1+V_dVol),0))</f>
        <v>0</v>
      </c>
      <c r="BG192" s="48" t="n">
        <f aca="false">IF(BG$8=1,N(Reales!BG27),IF(BG$171=1,IF(AND(AND(54&gt;Corte,54&lt;=Corte+n_Ventana),ISNUMBER(Detalle_24m!BG$29)),Detalle_24m!BG$29,INDEX(Vol_V,16,BG$170)/12)*(1+V_dVol),0))</f>
        <v>0</v>
      </c>
      <c r="BH192" s="48" t="n">
        <f aca="false">IF(BH$8=1,N(Reales!BH27),IF(BH$171=1,IF(AND(AND(55&gt;Corte,55&lt;=Corte+n_Ventana),ISNUMBER(Detalle_24m!BH$29)),Detalle_24m!BH$29,INDEX(Vol_V,16,BH$170)/12)*(1+V_dVol),0))</f>
        <v>0</v>
      </c>
      <c r="BI192" s="48" t="n">
        <f aca="false">IF(BI$8=1,N(Reales!BI27),IF(BI$171=1,IF(AND(AND(56&gt;Corte,56&lt;=Corte+n_Ventana),ISNUMBER(Detalle_24m!BI$29)),Detalle_24m!BI$29,INDEX(Vol_V,16,BI$170)/12)*(1+V_dVol),0))</f>
        <v>0</v>
      </c>
      <c r="BJ192" s="48" t="n">
        <f aca="false">IF(BJ$8=1,N(Reales!BJ27),IF(BJ$171=1,IF(AND(AND(57&gt;Corte,57&lt;=Corte+n_Ventana),ISNUMBER(Detalle_24m!BJ$29)),Detalle_24m!BJ$29,INDEX(Vol_V,16,BJ$170)/12)*(1+V_dVol),0))</f>
        <v>0</v>
      </c>
      <c r="BK192" s="48" t="n">
        <f aca="false">IF(BK$8=1,N(Reales!BK27),IF(BK$171=1,IF(AND(AND(58&gt;Corte,58&lt;=Corte+n_Ventana),ISNUMBER(Detalle_24m!BK$29)),Detalle_24m!BK$29,INDEX(Vol_V,16,BK$170)/12)*(1+V_dVol),0))</f>
        <v>0</v>
      </c>
      <c r="BL192" s="48" t="n">
        <f aca="false">IF(BL$8=1,N(Reales!BL27),IF(BL$171=1,IF(AND(AND(59&gt;Corte,59&lt;=Corte+n_Ventana),ISNUMBER(Detalle_24m!BL$29)),Detalle_24m!BL$29,INDEX(Vol_V,16,BL$170)/12)*(1+V_dVol),0))</f>
        <v>0</v>
      </c>
      <c r="BM192" s="48" t="n">
        <f aca="false">IF(BM$8=1,N(Reales!BM27),IF(BM$171=1,IF(AND(AND(60&gt;Corte,60&lt;=Corte+n_Ventana),ISNUMBER(Detalle_24m!BM$29)),Detalle_24m!BM$29,INDEX(Vol_V,16,BM$170)/12)*(1+V_dVol),0))</f>
        <v>0</v>
      </c>
      <c r="BN192" s="48" t="n">
        <f aca="false">IF(BN$8=1,N(Reales!BN27),IF(BN$171=1,IF(AND(AND(61&gt;Corte,61&lt;=Corte+n_Ventana),ISNUMBER(Detalle_24m!BN$29)),Detalle_24m!BN$29,INDEX(Vol_V,16,BN$170)/12)*(1+V_dVol),0))</f>
        <v>0</v>
      </c>
      <c r="BO192" s="48" t="n">
        <f aca="false">IF(BO$8=1,N(Reales!BO27),IF(BO$171=1,IF(AND(AND(62&gt;Corte,62&lt;=Corte+n_Ventana),ISNUMBER(Detalle_24m!BO$29)),Detalle_24m!BO$29,INDEX(Vol_V,16,BO$170)/12)*(1+V_dVol),0))</f>
        <v>0</v>
      </c>
      <c r="BP192" s="48" t="n">
        <f aca="false">IF(BP$8=1,N(Reales!BP27),IF(BP$171=1,IF(AND(AND(63&gt;Corte,63&lt;=Corte+n_Ventana),ISNUMBER(Detalle_24m!BP$29)),Detalle_24m!BP$29,INDEX(Vol_V,16,BP$170)/12)*(1+V_dVol),0))</f>
        <v>0</v>
      </c>
      <c r="BQ192" s="48" t="n">
        <f aca="false">IF(BQ$8=1,N(Reales!BQ27),IF(BQ$171=1,IF(AND(AND(64&gt;Corte,64&lt;=Corte+n_Ventana),ISNUMBER(Detalle_24m!BQ$29)),Detalle_24m!BQ$29,INDEX(Vol_V,16,BQ$170)/12)*(1+V_dVol),0))</f>
        <v>0</v>
      </c>
      <c r="BR192" s="48" t="n">
        <f aca="false">IF(BR$8=1,N(Reales!BR27),IF(BR$171=1,IF(AND(AND(65&gt;Corte,65&lt;=Corte+n_Ventana),ISNUMBER(Detalle_24m!BR$29)),Detalle_24m!BR$29,INDEX(Vol_V,16,BR$170)/12)*(1+V_dVol),0))</f>
        <v>0</v>
      </c>
      <c r="BS192" s="48" t="n">
        <f aca="false">IF(BS$8=1,N(Reales!BS27),IF(BS$171=1,IF(AND(AND(66&gt;Corte,66&lt;=Corte+n_Ventana),ISNUMBER(Detalle_24m!BS$29)),Detalle_24m!BS$29,INDEX(Vol_V,16,BS$170)/12)*(1+V_dVol),0))</f>
        <v>0</v>
      </c>
      <c r="BT192" s="48" t="n">
        <f aca="false">IF(BT$8=1,N(Reales!BT27),IF(BT$171=1,IF(AND(AND(67&gt;Corte,67&lt;=Corte+n_Ventana),ISNUMBER(Detalle_24m!BT$29)),Detalle_24m!BT$29,INDEX(Vol_V,16,BT$170)/12)*(1+V_dVol),0))</f>
        <v>0</v>
      </c>
      <c r="BU192" s="48" t="n">
        <f aca="false">IF(BU$8=1,N(Reales!BU27),IF(BU$171=1,IF(AND(AND(68&gt;Corte,68&lt;=Corte+n_Ventana),ISNUMBER(Detalle_24m!BU$29)),Detalle_24m!BU$29,INDEX(Vol_V,16,BU$170)/12)*(1+V_dVol),0))</f>
        <v>0</v>
      </c>
      <c r="BV192" s="48" t="n">
        <f aca="false">IF(BV$8=1,N(Reales!BV27),IF(BV$171=1,IF(AND(AND(69&gt;Corte,69&lt;=Corte+n_Ventana),ISNUMBER(Detalle_24m!BV$29)),Detalle_24m!BV$29,INDEX(Vol_V,16,BV$170)/12)*(1+V_dVol),0))</f>
        <v>0</v>
      </c>
      <c r="BW192" s="48" t="n">
        <f aca="false">IF(BW$8=1,N(Reales!BW27),IF(BW$171=1,IF(AND(AND(70&gt;Corte,70&lt;=Corte+n_Ventana),ISNUMBER(Detalle_24m!BW$29)),Detalle_24m!BW$29,INDEX(Vol_V,16,BW$170)/12)*(1+V_dVol),0))</f>
        <v>0</v>
      </c>
      <c r="BX192" s="48" t="n">
        <f aca="false">IF(BX$8=1,N(Reales!BX27),IF(BX$171=1,IF(AND(AND(71&gt;Corte,71&lt;=Corte+n_Ventana),ISNUMBER(Detalle_24m!BX$29)),Detalle_24m!BX$29,INDEX(Vol_V,16,BX$170)/12)*(1+V_dVol),0))</f>
        <v>0</v>
      </c>
      <c r="BY192" s="48" t="n">
        <f aca="false">IF(BY$8=1,N(Reales!BY27),IF(BY$171=1,IF(AND(AND(72&gt;Corte,72&lt;=Corte+n_Ventana),ISNUMBER(Detalle_24m!BY$29)),Detalle_24m!BY$29,INDEX(Vol_V,16,BY$170)/12)*(1+V_dVol),0))</f>
        <v>0</v>
      </c>
      <c r="BZ192" s="48" t="n">
        <f aca="false">IF(BZ$8=1,N(Reales!BZ27),IF(BZ$171=1,IF(AND(AND(73&gt;Corte,73&lt;=Corte+n_Ventana),ISNUMBER(Detalle_24m!BZ$29)),Detalle_24m!BZ$29,INDEX(Vol_V,16,BZ$170)/12)*(1+V_dVol),0))</f>
        <v>0</v>
      </c>
      <c r="CA192" s="48" t="n">
        <f aca="false">IF(CA$8=1,N(Reales!CA27),IF(CA$171=1,IF(AND(AND(74&gt;Corte,74&lt;=Corte+n_Ventana),ISNUMBER(Detalle_24m!CA$29)),Detalle_24m!CA$29,INDEX(Vol_V,16,CA$170)/12)*(1+V_dVol),0))</f>
        <v>0</v>
      </c>
      <c r="CB192" s="48" t="n">
        <f aca="false">IF(CB$8=1,N(Reales!CB27),IF(CB$171=1,IF(AND(AND(75&gt;Corte,75&lt;=Corte+n_Ventana),ISNUMBER(Detalle_24m!CB$29)),Detalle_24m!CB$29,INDEX(Vol_V,16,CB$170)/12)*(1+V_dVol),0))</f>
        <v>0</v>
      </c>
      <c r="CC192" s="48" t="n">
        <f aca="false">IF(CC$8=1,N(Reales!CC27),IF(CC$171=1,IF(AND(AND(76&gt;Corte,76&lt;=Corte+n_Ventana),ISNUMBER(Detalle_24m!CC$29)),Detalle_24m!CC$29,INDEX(Vol_V,16,CC$170)/12)*(1+V_dVol),0))</f>
        <v>0</v>
      </c>
      <c r="CD192" s="48" t="n">
        <f aca="false">IF(CD$8=1,N(Reales!CD27),IF(CD$171=1,IF(AND(AND(77&gt;Corte,77&lt;=Corte+n_Ventana),ISNUMBER(Detalle_24m!CD$29)),Detalle_24m!CD$29,INDEX(Vol_V,16,CD$170)/12)*(1+V_dVol),0))</f>
        <v>0</v>
      </c>
      <c r="CE192" s="48" t="n">
        <f aca="false">IF(CE$8=1,N(Reales!CE27),IF(CE$171=1,IF(AND(AND(78&gt;Corte,78&lt;=Corte+n_Ventana),ISNUMBER(Detalle_24m!CE$29)),Detalle_24m!CE$29,INDEX(Vol_V,16,CE$170)/12)*(1+V_dVol),0))</f>
        <v>0</v>
      </c>
      <c r="CF192" s="48" t="n">
        <f aca="false">IF(CF$8=1,N(Reales!CF27),IF(CF$171=1,IF(AND(AND(79&gt;Corte,79&lt;=Corte+n_Ventana),ISNUMBER(Detalle_24m!CF$29)),Detalle_24m!CF$29,INDEX(Vol_V,16,CF$170)/12)*(1+V_dVol),0))</f>
        <v>0</v>
      </c>
      <c r="CG192" s="48" t="n">
        <f aca="false">IF(CG$8=1,N(Reales!CG27),IF(CG$171=1,IF(AND(AND(80&gt;Corte,80&lt;=Corte+n_Ventana),ISNUMBER(Detalle_24m!CG$29)),Detalle_24m!CG$29,INDEX(Vol_V,16,CG$170)/12)*(1+V_dVol),0))</f>
        <v>0</v>
      </c>
      <c r="CH192" s="48" t="n">
        <f aca="false">IF(CH$8=1,N(Reales!CH27),IF(CH$171=1,IF(AND(AND(81&gt;Corte,81&lt;=Corte+n_Ventana),ISNUMBER(Detalle_24m!CH$29)),Detalle_24m!CH$29,INDEX(Vol_V,16,CH$170)/12)*(1+V_dVol),0))</f>
        <v>0</v>
      </c>
      <c r="CI192" s="48" t="n">
        <f aca="false">IF(CI$8=1,N(Reales!CI27),IF(CI$171=1,IF(AND(AND(82&gt;Corte,82&lt;=Corte+n_Ventana),ISNUMBER(Detalle_24m!CI$29)),Detalle_24m!CI$29,INDEX(Vol_V,16,CI$170)/12)*(1+V_dVol),0))</f>
        <v>0</v>
      </c>
      <c r="CJ192" s="48" t="n">
        <f aca="false">IF(CJ$8=1,N(Reales!CJ27),IF(CJ$171=1,IF(AND(AND(83&gt;Corte,83&lt;=Corte+n_Ventana),ISNUMBER(Detalle_24m!CJ$29)),Detalle_24m!CJ$29,INDEX(Vol_V,16,CJ$170)/12)*(1+V_dVol),0))</f>
        <v>0</v>
      </c>
      <c r="CK192" s="48" t="n">
        <f aca="false">IF(CK$8=1,N(Reales!CK27),IF(CK$171=1,IF(AND(AND(84&gt;Corte,84&lt;=Corte+n_Ventana),ISNUMBER(Detalle_24m!CK$29)),Detalle_24m!CK$29,INDEX(Vol_V,16,CK$170)/12)*(1+V_dVol),0))</f>
        <v>0</v>
      </c>
      <c r="CL192" s="48" t="n">
        <f aca="false">IF(CL$8=1,N(Reales!CL27),IF(CL$171=1,IF(AND(AND(85&gt;Corte,85&lt;=Corte+n_Ventana),ISNUMBER(Detalle_24m!CL$29)),Detalle_24m!CL$29,INDEX(Vol_V,16,CL$170)/12)*(1+V_dVol),0))</f>
        <v>0</v>
      </c>
      <c r="CM192" s="48" t="n">
        <f aca="false">IF(CM$8=1,N(Reales!CM27),IF(CM$171=1,IF(AND(AND(86&gt;Corte,86&lt;=Corte+n_Ventana),ISNUMBER(Detalle_24m!CM$29)),Detalle_24m!CM$29,INDEX(Vol_V,16,CM$170)/12)*(1+V_dVol),0))</f>
        <v>0</v>
      </c>
      <c r="CN192" s="48" t="n">
        <f aca="false">IF(CN$8=1,N(Reales!CN27),IF(CN$171=1,IF(AND(AND(87&gt;Corte,87&lt;=Corte+n_Ventana),ISNUMBER(Detalle_24m!CN$29)),Detalle_24m!CN$29,INDEX(Vol_V,16,CN$170)/12)*(1+V_dVol),0))</f>
        <v>0</v>
      </c>
      <c r="CO192" s="48" t="n">
        <f aca="false">IF(CO$8=1,N(Reales!CO27),IF(CO$171=1,IF(AND(AND(88&gt;Corte,88&lt;=Corte+n_Ventana),ISNUMBER(Detalle_24m!CO$29)),Detalle_24m!CO$29,INDEX(Vol_V,16,CO$170)/12)*(1+V_dVol),0))</f>
        <v>0</v>
      </c>
      <c r="CP192" s="48" t="n">
        <f aca="false">IF(CP$8=1,N(Reales!CP27),IF(CP$171=1,IF(AND(AND(89&gt;Corte,89&lt;=Corte+n_Ventana),ISNUMBER(Detalle_24m!CP$29)),Detalle_24m!CP$29,INDEX(Vol_V,16,CP$170)/12)*(1+V_dVol),0))</f>
        <v>0</v>
      </c>
      <c r="CQ192" s="48" t="n">
        <f aca="false">IF(CQ$8=1,N(Reales!CQ27),IF(CQ$171=1,IF(AND(AND(90&gt;Corte,90&lt;=Corte+n_Ventana),ISNUMBER(Detalle_24m!CQ$29)),Detalle_24m!CQ$29,INDEX(Vol_V,16,CQ$170)/12)*(1+V_dVol),0))</f>
        <v>0</v>
      </c>
      <c r="CR192" s="48" t="n">
        <f aca="false">IF(CR$8=1,N(Reales!CR27),IF(CR$171=1,IF(AND(AND(91&gt;Corte,91&lt;=Corte+n_Ventana),ISNUMBER(Detalle_24m!CR$29)),Detalle_24m!CR$29,INDEX(Vol_V,16,CR$170)/12)*(1+V_dVol),0))</f>
        <v>0</v>
      </c>
      <c r="CS192" s="48" t="n">
        <f aca="false">IF(CS$8=1,N(Reales!CS27),IF(CS$171=1,IF(AND(AND(92&gt;Corte,92&lt;=Corte+n_Ventana),ISNUMBER(Detalle_24m!CS$29)),Detalle_24m!CS$29,INDEX(Vol_V,16,CS$170)/12)*(1+V_dVol),0))</f>
        <v>0</v>
      </c>
      <c r="CT192" s="48" t="n">
        <f aca="false">IF(CT$8=1,N(Reales!CT27),IF(CT$171=1,IF(AND(AND(93&gt;Corte,93&lt;=Corte+n_Ventana),ISNUMBER(Detalle_24m!CT$29)),Detalle_24m!CT$29,INDEX(Vol_V,16,CT$170)/12)*(1+V_dVol),0))</f>
        <v>0</v>
      </c>
      <c r="CU192" s="48" t="n">
        <f aca="false">IF(CU$8=1,N(Reales!CU27),IF(CU$171=1,IF(AND(AND(94&gt;Corte,94&lt;=Corte+n_Ventana),ISNUMBER(Detalle_24m!CU$29)),Detalle_24m!CU$29,INDEX(Vol_V,16,CU$170)/12)*(1+V_dVol),0))</f>
        <v>0</v>
      </c>
      <c r="CV192" s="48" t="n">
        <f aca="false">IF(CV$8=1,N(Reales!CV27),IF(CV$171=1,IF(AND(AND(95&gt;Corte,95&lt;=Corte+n_Ventana),ISNUMBER(Detalle_24m!CV$29)),Detalle_24m!CV$29,INDEX(Vol_V,16,CV$170)/12)*(1+V_dVol),0))</f>
        <v>0</v>
      </c>
      <c r="CW192" s="48" t="n">
        <f aca="false">IF(CW$8=1,N(Reales!CW27),IF(CW$171=1,IF(AND(AND(96&gt;Corte,96&lt;=Corte+n_Ventana),ISNUMBER(Detalle_24m!CW$29)),Detalle_24m!CW$29,INDEX(Vol_V,16,CW$170)/12)*(1+V_dVol),0))</f>
        <v>0</v>
      </c>
      <c r="CX192" s="48" t="n">
        <f aca="false">IF(CX$8=1,N(Reales!CX27),IF(CX$171=1,IF(AND(AND(97&gt;Corte,97&lt;=Corte+n_Ventana),ISNUMBER(Detalle_24m!CX$29)),Detalle_24m!CX$29,INDEX(Vol_V,16,CX$170)/12)*(1+V_dVol),0))</f>
        <v>0</v>
      </c>
      <c r="CY192" s="48" t="n">
        <f aca="false">IF(CY$8=1,N(Reales!CY27),IF(CY$171=1,IF(AND(AND(98&gt;Corte,98&lt;=Corte+n_Ventana),ISNUMBER(Detalle_24m!CY$29)),Detalle_24m!CY$29,INDEX(Vol_V,16,CY$170)/12)*(1+V_dVol),0))</f>
        <v>0</v>
      </c>
      <c r="CZ192" s="48" t="n">
        <f aca="false">IF(CZ$8=1,N(Reales!CZ27),IF(CZ$171=1,IF(AND(AND(99&gt;Corte,99&lt;=Corte+n_Ventana),ISNUMBER(Detalle_24m!CZ$29)),Detalle_24m!CZ$29,INDEX(Vol_V,16,CZ$170)/12)*(1+V_dVol),0))</f>
        <v>0</v>
      </c>
      <c r="DA192" s="48" t="n">
        <f aca="false">IF(DA$8=1,N(Reales!DA27),IF(DA$171=1,IF(AND(AND(100&gt;Corte,100&lt;=Corte+n_Ventana),ISNUMBER(Detalle_24m!DA$29)),Detalle_24m!DA$29,INDEX(Vol_V,16,DA$170)/12)*(1+V_dVol),0))</f>
        <v>0</v>
      </c>
      <c r="DB192" s="48" t="n">
        <f aca="false">IF(DB$8=1,N(Reales!DB27),IF(DB$171=1,IF(AND(AND(101&gt;Corte,101&lt;=Corte+n_Ventana),ISNUMBER(Detalle_24m!DB$29)),Detalle_24m!DB$29,INDEX(Vol_V,16,DB$170)/12)*(1+V_dVol),0))</f>
        <v>0</v>
      </c>
      <c r="DC192" s="48" t="n">
        <f aca="false">IF(DC$8=1,N(Reales!DC27),IF(DC$171=1,IF(AND(AND(102&gt;Corte,102&lt;=Corte+n_Ventana),ISNUMBER(Detalle_24m!DC$29)),Detalle_24m!DC$29,INDEX(Vol_V,16,DC$170)/12)*(1+V_dVol),0))</f>
        <v>0</v>
      </c>
      <c r="DD192" s="48" t="n">
        <f aca="false">IF(DD$8=1,N(Reales!DD27),IF(DD$171=1,IF(AND(AND(103&gt;Corte,103&lt;=Corte+n_Ventana),ISNUMBER(Detalle_24m!DD$29)),Detalle_24m!DD$29,INDEX(Vol_V,16,DD$170)/12)*(1+V_dVol),0))</f>
        <v>0</v>
      </c>
      <c r="DE192" s="48" t="n">
        <f aca="false">IF(DE$8=1,N(Reales!DE27),IF(DE$171=1,IF(AND(AND(104&gt;Corte,104&lt;=Corte+n_Ventana),ISNUMBER(Detalle_24m!DE$29)),Detalle_24m!DE$29,INDEX(Vol_V,16,DE$170)/12)*(1+V_dVol),0))</f>
        <v>0</v>
      </c>
      <c r="DF192" s="48" t="n">
        <f aca="false">IF(DF$8=1,N(Reales!DF27),IF(DF$171=1,IF(AND(AND(105&gt;Corte,105&lt;=Corte+n_Ventana),ISNUMBER(Detalle_24m!DF$29)),Detalle_24m!DF$29,INDEX(Vol_V,16,DF$170)/12)*(1+V_dVol),0))</f>
        <v>0</v>
      </c>
      <c r="DG192" s="48" t="n">
        <f aca="false">IF(DG$8=1,N(Reales!DG27),IF(DG$171=1,IF(AND(AND(106&gt;Corte,106&lt;=Corte+n_Ventana),ISNUMBER(Detalle_24m!DG$29)),Detalle_24m!DG$29,INDEX(Vol_V,16,DG$170)/12)*(1+V_dVol),0))</f>
        <v>0</v>
      </c>
      <c r="DH192" s="48" t="n">
        <f aca="false">IF(DH$8=1,N(Reales!DH27),IF(DH$171=1,IF(AND(AND(107&gt;Corte,107&lt;=Corte+n_Ventana),ISNUMBER(Detalle_24m!DH$29)),Detalle_24m!DH$29,INDEX(Vol_V,16,DH$170)/12)*(1+V_dVol),0))</f>
        <v>0</v>
      </c>
      <c r="DI192" s="48" t="n">
        <f aca="false">IF(DI$8=1,N(Reales!DI27),IF(DI$171=1,IF(AND(AND(108&gt;Corte,108&lt;=Corte+n_Ventana),ISNUMBER(Detalle_24m!DI$29)),Detalle_24m!DI$29,INDEX(Vol_V,16,DI$170)/12)*(1+V_dVol),0))</f>
        <v>0</v>
      </c>
      <c r="DJ192" s="48" t="n">
        <f aca="false">IF(DJ$8=1,N(Reales!DJ27),IF(DJ$171=1,IF(AND(AND(109&gt;Corte,109&lt;=Corte+n_Ventana),ISNUMBER(Detalle_24m!DJ$29)),Detalle_24m!DJ$29,INDEX(Vol_V,16,DJ$170)/12)*(1+V_dVol),0))</f>
        <v>0</v>
      </c>
      <c r="DK192" s="48" t="n">
        <f aca="false">IF(DK$8=1,N(Reales!DK27),IF(DK$171=1,IF(AND(AND(110&gt;Corte,110&lt;=Corte+n_Ventana),ISNUMBER(Detalle_24m!DK$29)),Detalle_24m!DK$29,INDEX(Vol_V,16,DK$170)/12)*(1+V_dVol),0))</f>
        <v>0</v>
      </c>
      <c r="DL192" s="48" t="n">
        <f aca="false">IF(DL$8=1,N(Reales!DL27),IF(DL$171=1,IF(AND(AND(111&gt;Corte,111&lt;=Corte+n_Ventana),ISNUMBER(Detalle_24m!DL$29)),Detalle_24m!DL$29,INDEX(Vol_V,16,DL$170)/12)*(1+V_dVol),0))</f>
        <v>0</v>
      </c>
      <c r="DM192" s="48" t="n">
        <f aca="false">IF(DM$8=1,N(Reales!DM27),IF(DM$171=1,IF(AND(AND(112&gt;Corte,112&lt;=Corte+n_Ventana),ISNUMBER(Detalle_24m!DM$29)),Detalle_24m!DM$29,INDEX(Vol_V,16,DM$170)/12)*(1+V_dVol),0))</f>
        <v>0</v>
      </c>
      <c r="DN192" s="48" t="n">
        <f aca="false">IF(DN$8=1,N(Reales!DN27),IF(DN$171=1,IF(AND(AND(113&gt;Corte,113&lt;=Corte+n_Ventana),ISNUMBER(Detalle_24m!DN$29)),Detalle_24m!DN$29,INDEX(Vol_V,16,DN$170)/12)*(1+V_dVol),0))</f>
        <v>0</v>
      </c>
      <c r="DO192" s="48" t="n">
        <f aca="false">IF(DO$8=1,N(Reales!DO27),IF(DO$171=1,IF(AND(AND(114&gt;Corte,114&lt;=Corte+n_Ventana),ISNUMBER(Detalle_24m!DO$29)),Detalle_24m!DO$29,INDEX(Vol_V,16,DO$170)/12)*(1+V_dVol),0))</f>
        <v>0</v>
      </c>
      <c r="DP192" s="48" t="n">
        <f aca="false">IF(DP$8=1,N(Reales!DP27),IF(DP$171=1,IF(AND(AND(115&gt;Corte,115&lt;=Corte+n_Ventana),ISNUMBER(Detalle_24m!DP$29)),Detalle_24m!DP$29,INDEX(Vol_V,16,DP$170)/12)*(1+V_dVol),0))</f>
        <v>0</v>
      </c>
      <c r="DQ192" s="48" t="n">
        <f aca="false">IF(DQ$8=1,N(Reales!DQ27),IF(DQ$171=1,IF(AND(AND(116&gt;Corte,116&lt;=Corte+n_Ventana),ISNUMBER(Detalle_24m!DQ$29)),Detalle_24m!DQ$29,INDEX(Vol_V,16,DQ$170)/12)*(1+V_dVol),0))</f>
        <v>0</v>
      </c>
      <c r="DR192" s="48" t="n">
        <f aca="false">IF(DR$8=1,N(Reales!DR27),IF(DR$171=1,IF(AND(AND(117&gt;Corte,117&lt;=Corte+n_Ventana),ISNUMBER(Detalle_24m!DR$29)),Detalle_24m!DR$29,INDEX(Vol_V,16,DR$170)/12)*(1+V_dVol),0))</f>
        <v>0</v>
      </c>
      <c r="DS192" s="48" t="n">
        <f aca="false">IF(DS$8=1,N(Reales!DS27),IF(DS$171=1,IF(AND(AND(118&gt;Corte,118&lt;=Corte+n_Ventana),ISNUMBER(Detalle_24m!DS$29)),Detalle_24m!DS$29,INDEX(Vol_V,16,DS$170)/12)*(1+V_dVol),0))</f>
        <v>0</v>
      </c>
      <c r="DT192" s="48" t="n">
        <f aca="false">IF(DT$8=1,N(Reales!DT27),IF(DT$171=1,IF(AND(AND(119&gt;Corte,119&lt;=Corte+n_Ventana),ISNUMBER(Detalle_24m!DT$29)),Detalle_24m!DT$29,INDEX(Vol_V,16,DT$170)/12)*(1+V_dVol),0))</f>
        <v>0</v>
      </c>
      <c r="DU192" s="48" t="n">
        <f aca="false">IF(DU$8=1,N(Reales!DU27),IF(DU$171=1,IF(AND(AND(120&gt;Corte,120&lt;=Corte+n_Ventana),ISNUMBER(Detalle_24m!DU$29)),Detalle_24m!DU$29,INDEX(Vol_V,16,DU$170)/12)*(1+V_dVol),0))</f>
        <v>0</v>
      </c>
      <c r="DV192" s="48" t="n">
        <f aca="false">IF(DV$8=1,N(Reales!DV27),IF(DV$171=1,IF(AND(AND(121&gt;Corte,121&lt;=Corte+n_Ventana),ISNUMBER(Detalle_24m!DV$29)),Detalle_24m!DV$29,INDEX(Vol_V,16,DV$170)/12)*(1+V_dVol),0))</f>
        <v>0</v>
      </c>
      <c r="DW192" s="48" t="n">
        <f aca="false">IF(DW$8=1,N(Reales!DW27),IF(DW$171=1,IF(AND(AND(122&gt;Corte,122&lt;=Corte+n_Ventana),ISNUMBER(Detalle_24m!DW$29)),Detalle_24m!DW$29,INDEX(Vol_V,16,DW$170)/12)*(1+V_dVol),0))</f>
        <v>0</v>
      </c>
      <c r="DX192" s="48" t="n">
        <f aca="false">IF(DX$8=1,N(Reales!DX27),IF(DX$171=1,IF(AND(AND(123&gt;Corte,123&lt;=Corte+n_Ventana),ISNUMBER(Detalle_24m!DX$29)),Detalle_24m!DX$29,INDEX(Vol_V,16,DX$170)/12)*(1+V_dVol),0))</f>
        <v>0</v>
      </c>
      <c r="DY192" s="48" t="n">
        <f aca="false">IF(DY$8=1,N(Reales!DY27),IF(DY$171=1,IF(AND(AND(124&gt;Corte,124&lt;=Corte+n_Ventana),ISNUMBER(Detalle_24m!DY$29)),Detalle_24m!DY$29,INDEX(Vol_V,16,DY$170)/12)*(1+V_dVol),0))</f>
        <v>0</v>
      </c>
      <c r="DZ192" s="48" t="n">
        <f aca="false">IF(DZ$8=1,N(Reales!DZ27),IF(DZ$171=1,IF(AND(AND(125&gt;Corte,125&lt;=Corte+n_Ventana),ISNUMBER(Detalle_24m!DZ$29)),Detalle_24m!DZ$29,INDEX(Vol_V,16,DZ$170)/12)*(1+V_dVol),0))</f>
        <v>0</v>
      </c>
      <c r="EA192" s="48" t="n">
        <f aca="false">IF(EA$8=1,N(Reales!EA27),IF(EA$171=1,IF(AND(AND(126&gt;Corte,126&lt;=Corte+n_Ventana),ISNUMBER(Detalle_24m!EA$29)),Detalle_24m!EA$29,INDEX(Vol_V,16,EA$170)/12)*(1+V_dVol),0))</f>
        <v>0</v>
      </c>
      <c r="EB192" s="48" t="n">
        <f aca="false">IF(EB$8=1,N(Reales!EB27),IF(EB$171=1,IF(AND(AND(127&gt;Corte,127&lt;=Corte+n_Ventana),ISNUMBER(Detalle_24m!EB$29)),Detalle_24m!EB$29,INDEX(Vol_V,16,EB$170)/12)*(1+V_dVol),0))</f>
        <v>0</v>
      </c>
      <c r="EC192" s="48" t="n">
        <f aca="false">IF(EC$8=1,N(Reales!EC27),IF(EC$171=1,IF(AND(AND(128&gt;Corte,128&lt;=Corte+n_Ventana),ISNUMBER(Detalle_24m!EC$29)),Detalle_24m!EC$29,INDEX(Vol_V,16,EC$170)/12)*(1+V_dVol),0))</f>
        <v>0</v>
      </c>
      <c r="ED192" s="48" t="n">
        <f aca="false">IF(ED$8=1,N(Reales!ED27),IF(ED$171=1,IF(AND(AND(129&gt;Corte,129&lt;=Corte+n_Ventana),ISNUMBER(Detalle_24m!ED$29)),Detalle_24m!ED$29,INDEX(Vol_V,16,ED$170)/12)*(1+V_dVol),0))</f>
        <v>0</v>
      </c>
      <c r="EE192" s="48" t="n">
        <f aca="false">IF(EE$8=1,N(Reales!EE27),IF(EE$171=1,IF(AND(AND(130&gt;Corte,130&lt;=Corte+n_Ventana),ISNUMBER(Detalle_24m!EE$29)),Detalle_24m!EE$29,INDEX(Vol_V,16,EE$170)/12)*(1+V_dVol),0))</f>
        <v>0</v>
      </c>
      <c r="EF192" s="48" t="n">
        <f aca="false">IF(EF$8=1,N(Reales!EF27),IF(EF$171=1,IF(AND(AND(131&gt;Corte,131&lt;=Corte+n_Ventana),ISNUMBER(Detalle_24m!EF$29)),Detalle_24m!EF$29,INDEX(Vol_V,16,EF$170)/12)*(1+V_dVol),0))</f>
        <v>0</v>
      </c>
      <c r="EG192" s="48" t="n">
        <f aca="false">IF(EG$8=1,N(Reales!EG27),IF(EG$171=1,IF(AND(AND(132&gt;Corte,132&lt;=Corte+n_Ventana),ISNUMBER(Detalle_24m!EG$29)),Detalle_24m!EG$29,INDEX(Vol_V,16,EG$170)/12)*(1+V_dVol),0))</f>
        <v>0</v>
      </c>
      <c r="EH192" s="48" t="n">
        <f aca="false">IF(EH$8=1,N(Reales!EH27),IF(EH$171=1,IF(AND(AND(133&gt;Corte,133&lt;=Corte+n_Ventana),ISNUMBER(Detalle_24m!EH$29)),Detalle_24m!EH$29,INDEX(Vol_V,16,EH$170)/12)*(1+V_dVol),0))</f>
        <v>0</v>
      </c>
      <c r="EI192" s="48" t="n">
        <f aca="false">IF(EI$8=1,N(Reales!EI27),IF(EI$171=1,IF(AND(AND(134&gt;Corte,134&lt;=Corte+n_Ventana),ISNUMBER(Detalle_24m!EI$29)),Detalle_24m!EI$29,INDEX(Vol_V,16,EI$170)/12)*(1+V_dVol),0))</f>
        <v>0</v>
      </c>
      <c r="EJ192" s="48" t="n">
        <f aca="false">IF(EJ$8=1,N(Reales!EJ27),IF(EJ$171=1,IF(AND(AND(135&gt;Corte,135&lt;=Corte+n_Ventana),ISNUMBER(Detalle_24m!EJ$29)),Detalle_24m!EJ$29,INDEX(Vol_V,16,EJ$170)/12)*(1+V_dVol),0))</f>
        <v>0</v>
      </c>
      <c r="EK192" s="48" t="n">
        <f aca="false">IF(EK$8=1,N(Reales!EK27),IF(EK$171=1,IF(AND(AND(136&gt;Corte,136&lt;=Corte+n_Ventana),ISNUMBER(Detalle_24m!EK$29)),Detalle_24m!EK$29,INDEX(Vol_V,16,EK$170)/12)*(1+V_dVol),0))</f>
        <v>0</v>
      </c>
      <c r="EL192" s="48" t="n">
        <f aca="false">IF(EL$8=1,N(Reales!EL27),IF(EL$171=1,IF(AND(AND(137&gt;Corte,137&lt;=Corte+n_Ventana),ISNUMBER(Detalle_24m!EL$29)),Detalle_24m!EL$29,INDEX(Vol_V,16,EL$170)/12)*(1+V_dVol),0))</f>
        <v>0</v>
      </c>
      <c r="EM192" s="48" t="n">
        <f aca="false">IF(EM$8=1,N(Reales!EM27),IF(EM$171=1,IF(AND(AND(138&gt;Corte,138&lt;=Corte+n_Ventana),ISNUMBER(Detalle_24m!EM$29)),Detalle_24m!EM$29,INDEX(Vol_V,16,EM$170)/12)*(1+V_dVol),0))</f>
        <v>0</v>
      </c>
      <c r="EN192" s="48" t="n">
        <f aca="false">IF(EN$8=1,N(Reales!EN27),IF(EN$171=1,IF(AND(AND(139&gt;Corte,139&lt;=Corte+n_Ventana),ISNUMBER(Detalle_24m!EN$29)),Detalle_24m!EN$29,INDEX(Vol_V,16,EN$170)/12)*(1+V_dVol),0))</f>
        <v>0</v>
      </c>
      <c r="EO192" s="48" t="n">
        <f aca="false">IF(EO$8=1,N(Reales!EO27),IF(EO$171=1,IF(AND(AND(140&gt;Corte,140&lt;=Corte+n_Ventana),ISNUMBER(Detalle_24m!EO$29)),Detalle_24m!EO$29,INDEX(Vol_V,16,EO$170)/12)*(1+V_dVol),0))</f>
        <v>0</v>
      </c>
      <c r="EP192" s="48" t="n">
        <f aca="false">IF(EP$8=1,N(Reales!EP27),IF(EP$171=1,IF(AND(AND(141&gt;Corte,141&lt;=Corte+n_Ventana),ISNUMBER(Detalle_24m!EP$29)),Detalle_24m!EP$29,INDEX(Vol_V,16,EP$170)/12)*(1+V_dVol),0))</f>
        <v>0</v>
      </c>
      <c r="EQ192" s="48" t="n">
        <f aca="false">IF(EQ$8=1,N(Reales!EQ27),IF(EQ$171=1,IF(AND(AND(142&gt;Corte,142&lt;=Corte+n_Ventana),ISNUMBER(Detalle_24m!EQ$29)),Detalle_24m!EQ$29,INDEX(Vol_V,16,EQ$170)/12)*(1+V_dVol),0))</f>
        <v>0</v>
      </c>
      <c r="ER192" s="48" t="n">
        <f aca="false">IF(ER$8=1,N(Reales!ER27),IF(ER$171=1,IF(AND(AND(143&gt;Corte,143&lt;=Corte+n_Ventana),ISNUMBER(Detalle_24m!ER$29)),Detalle_24m!ER$29,INDEX(Vol_V,16,ER$170)/12)*(1+V_dVol),0))</f>
        <v>0</v>
      </c>
      <c r="ES192" s="48" t="n">
        <f aca="false">IF(ES$8=1,N(Reales!ES27),IF(ES$171=1,IF(AND(AND(144&gt;Corte,144&lt;=Corte+n_Ventana),ISNUMBER(Detalle_24m!ES$29)),Detalle_24m!ES$29,INDEX(Vol_V,16,ES$170)/12)*(1+V_dVol),0))</f>
        <v>0</v>
      </c>
    </row>
    <row r="193" customFormat="false" ht="15" hidden="false" customHeight="false" outlineLevel="0" collapsed="false">
      <c r="A193" s="11" t="s">
        <v>1316</v>
      </c>
      <c r="B193" s="53" t="str">
        <f aca="false">IF(INDEX(Prod_Nombre,17)="","Producto 17",INDEX(Prod_Nombre,17))&amp;" — unidades"</f>
        <v>Producto 17 — unidades</v>
      </c>
      <c r="C193" s="15" t="s">
        <v>544</v>
      </c>
      <c r="E193" s="54" t="n">
        <f aca="false">SUM(F193:ES193)</f>
        <v>0</v>
      </c>
      <c r="F193" s="48" t="n">
        <f aca="false">IF(F$8=1,N(Reales!F28),IF(F$171=1,IF(AND(AND(1&gt;Corte,1&lt;=Corte+n_Ventana),ISNUMBER(Detalle_24m!F$30)),Detalle_24m!F$30,INDEX(Vol_V,17,F$170)/12)*(1+V_dVol),0))</f>
        <v>0</v>
      </c>
      <c r="G193" s="48" t="n">
        <f aca="false">IF(G$8=1,N(Reales!G28),IF(G$171=1,IF(AND(AND(2&gt;Corte,2&lt;=Corte+n_Ventana),ISNUMBER(Detalle_24m!G$30)),Detalle_24m!G$30,INDEX(Vol_V,17,G$170)/12)*(1+V_dVol),0))</f>
        <v>0</v>
      </c>
      <c r="H193" s="48" t="n">
        <f aca="false">IF(H$8=1,N(Reales!H28),IF(H$171=1,IF(AND(AND(3&gt;Corte,3&lt;=Corte+n_Ventana),ISNUMBER(Detalle_24m!H$30)),Detalle_24m!H$30,INDEX(Vol_V,17,H$170)/12)*(1+V_dVol),0))</f>
        <v>0</v>
      </c>
      <c r="I193" s="48" t="n">
        <f aca="false">IF(I$8=1,N(Reales!I28),IF(I$171=1,IF(AND(AND(4&gt;Corte,4&lt;=Corte+n_Ventana),ISNUMBER(Detalle_24m!I$30)),Detalle_24m!I$30,INDEX(Vol_V,17,I$170)/12)*(1+V_dVol),0))</f>
        <v>0</v>
      </c>
      <c r="J193" s="48" t="n">
        <f aca="false">IF(J$8=1,N(Reales!J28),IF(J$171=1,IF(AND(AND(5&gt;Corte,5&lt;=Corte+n_Ventana),ISNUMBER(Detalle_24m!J$30)),Detalle_24m!J$30,INDEX(Vol_V,17,J$170)/12)*(1+V_dVol),0))</f>
        <v>0</v>
      </c>
      <c r="K193" s="48" t="n">
        <f aca="false">IF(K$8=1,N(Reales!K28),IF(K$171=1,IF(AND(AND(6&gt;Corte,6&lt;=Corte+n_Ventana),ISNUMBER(Detalle_24m!K$30)),Detalle_24m!K$30,INDEX(Vol_V,17,K$170)/12)*(1+V_dVol),0))</f>
        <v>0</v>
      </c>
      <c r="L193" s="48" t="n">
        <f aca="false">IF(L$8=1,N(Reales!L28),IF(L$171=1,IF(AND(AND(7&gt;Corte,7&lt;=Corte+n_Ventana),ISNUMBER(Detalle_24m!L$30)),Detalle_24m!L$30,INDEX(Vol_V,17,L$170)/12)*(1+V_dVol),0))</f>
        <v>0</v>
      </c>
      <c r="M193" s="48" t="n">
        <f aca="false">IF(M$8=1,N(Reales!M28),IF(M$171=1,IF(AND(AND(8&gt;Corte,8&lt;=Corte+n_Ventana),ISNUMBER(Detalle_24m!M$30)),Detalle_24m!M$30,INDEX(Vol_V,17,M$170)/12)*(1+V_dVol),0))</f>
        <v>0</v>
      </c>
      <c r="N193" s="48" t="n">
        <f aca="false">IF(N$8=1,N(Reales!N28),IF(N$171=1,IF(AND(AND(9&gt;Corte,9&lt;=Corte+n_Ventana),ISNUMBER(Detalle_24m!N$30)),Detalle_24m!N$30,INDEX(Vol_V,17,N$170)/12)*(1+V_dVol),0))</f>
        <v>0</v>
      </c>
      <c r="O193" s="48" t="n">
        <f aca="false">IF(O$8=1,N(Reales!O28),IF(O$171=1,IF(AND(AND(10&gt;Corte,10&lt;=Corte+n_Ventana),ISNUMBER(Detalle_24m!O$30)),Detalle_24m!O$30,INDEX(Vol_V,17,O$170)/12)*(1+V_dVol),0))</f>
        <v>0</v>
      </c>
      <c r="P193" s="48" t="n">
        <f aca="false">IF(P$8=1,N(Reales!P28),IF(P$171=1,IF(AND(AND(11&gt;Corte,11&lt;=Corte+n_Ventana),ISNUMBER(Detalle_24m!P$30)),Detalle_24m!P$30,INDEX(Vol_V,17,P$170)/12)*(1+V_dVol),0))</f>
        <v>0</v>
      </c>
      <c r="Q193" s="48" t="n">
        <f aca="false">IF(Q$8=1,N(Reales!Q28),IF(Q$171=1,IF(AND(AND(12&gt;Corte,12&lt;=Corte+n_Ventana),ISNUMBER(Detalle_24m!Q$30)),Detalle_24m!Q$30,INDEX(Vol_V,17,Q$170)/12)*(1+V_dVol),0))</f>
        <v>0</v>
      </c>
      <c r="R193" s="48" t="n">
        <f aca="false">IF(R$8=1,N(Reales!R28),IF(R$171=1,IF(AND(AND(13&gt;Corte,13&lt;=Corte+n_Ventana),ISNUMBER(Detalle_24m!R$30)),Detalle_24m!R$30,INDEX(Vol_V,17,R$170)/12)*(1+V_dVol),0))</f>
        <v>0</v>
      </c>
      <c r="S193" s="48" t="n">
        <f aca="false">IF(S$8=1,N(Reales!S28),IF(S$171=1,IF(AND(AND(14&gt;Corte,14&lt;=Corte+n_Ventana),ISNUMBER(Detalle_24m!S$30)),Detalle_24m!S$30,INDEX(Vol_V,17,S$170)/12)*(1+V_dVol),0))</f>
        <v>0</v>
      </c>
      <c r="T193" s="48" t="n">
        <f aca="false">IF(T$8=1,N(Reales!T28),IF(T$171=1,IF(AND(AND(15&gt;Corte,15&lt;=Corte+n_Ventana),ISNUMBER(Detalle_24m!T$30)),Detalle_24m!T$30,INDEX(Vol_V,17,T$170)/12)*(1+V_dVol),0))</f>
        <v>0</v>
      </c>
      <c r="U193" s="48" t="n">
        <f aca="false">IF(U$8=1,N(Reales!U28),IF(U$171=1,IF(AND(AND(16&gt;Corte,16&lt;=Corte+n_Ventana),ISNUMBER(Detalle_24m!U$30)),Detalle_24m!U$30,INDEX(Vol_V,17,U$170)/12)*(1+V_dVol),0))</f>
        <v>0</v>
      </c>
      <c r="V193" s="48" t="n">
        <f aca="false">IF(V$8=1,N(Reales!V28),IF(V$171=1,IF(AND(AND(17&gt;Corte,17&lt;=Corte+n_Ventana),ISNUMBER(Detalle_24m!V$30)),Detalle_24m!V$30,INDEX(Vol_V,17,V$170)/12)*(1+V_dVol),0))</f>
        <v>0</v>
      </c>
      <c r="W193" s="48" t="n">
        <f aca="false">IF(W$8=1,N(Reales!W28),IF(W$171=1,IF(AND(AND(18&gt;Corte,18&lt;=Corte+n_Ventana),ISNUMBER(Detalle_24m!W$30)),Detalle_24m!W$30,INDEX(Vol_V,17,W$170)/12)*(1+V_dVol),0))</f>
        <v>0</v>
      </c>
      <c r="X193" s="48" t="n">
        <f aca="false">IF(X$8=1,N(Reales!X28),IF(X$171=1,IF(AND(AND(19&gt;Corte,19&lt;=Corte+n_Ventana),ISNUMBER(Detalle_24m!X$30)),Detalle_24m!X$30,INDEX(Vol_V,17,X$170)/12)*(1+V_dVol),0))</f>
        <v>0</v>
      </c>
      <c r="Y193" s="48" t="n">
        <f aca="false">IF(Y$8=1,N(Reales!Y28),IF(Y$171=1,IF(AND(AND(20&gt;Corte,20&lt;=Corte+n_Ventana),ISNUMBER(Detalle_24m!Y$30)),Detalle_24m!Y$30,INDEX(Vol_V,17,Y$170)/12)*(1+V_dVol),0))</f>
        <v>0</v>
      </c>
      <c r="Z193" s="48" t="n">
        <f aca="false">IF(Z$8=1,N(Reales!Z28),IF(Z$171=1,IF(AND(AND(21&gt;Corte,21&lt;=Corte+n_Ventana),ISNUMBER(Detalle_24m!Z$30)),Detalle_24m!Z$30,INDEX(Vol_V,17,Z$170)/12)*(1+V_dVol),0))</f>
        <v>0</v>
      </c>
      <c r="AA193" s="48" t="n">
        <f aca="false">IF(AA$8=1,N(Reales!AA28),IF(AA$171=1,IF(AND(AND(22&gt;Corte,22&lt;=Corte+n_Ventana),ISNUMBER(Detalle_24m!AA$30)),Detalle_24m!AA$30,INDEX(Vol_V,17,AA$170)/12)*(1+V_dVol),0))</f>
        <v>0</v>
      </c>
      <c r="AB193" s="48" t="n">
        <f aca="false">IF(AB$8=1,N(Reales!AB28),IF(AB$171=1,IF(AND(AND(23&gt;Corte,23&lt;=Corte+n_Ventana),ISNUMBER(Detalle_24m!AB$30)),Detalle_24m!AB$30,INDEX(Vol_V,17,AB$170)/12)*(1+V_dVol),0))</f>
        <v>0</v>
      </c>
      <c r="AC193" s="48" t="n">
        <f aca="false">IF(AC$8=1,N(Reales!AC28),IF(AC$171=1,IF(AND(AND(24&gt;Corte,24&lt;=Corte+n_Ventana),ISNUMBER(Detalle_24m!AC$30)),Detalle_24m!AC$30,INDEX(Vol_V,17,AC$170)/12)*(1+V_dVol),0))</f>
        <v>0</v>
      </c>
      <c r="AD193" s="48" t="n">
        <f aca="false">IF(AD$8=1,N(Reales!AD28),IF(AD$171=1,IF(AND(AND(25&gt;Corte,25&lt;=Corte+n_Ventana),ISNUMBER(Detalle_24m!AD$30)),Detalle_24m!AD$30,INDEX(Vol_V,17,AD$170)/12)*(1+V_dVol),0))</f>
        <v>0</v>
      </c>
      <c r="AE193" s="48" t="n">
        <f aca="false">IF(AE$8=1,N(Reales!AE28),IF(AE$171=1,IF(AND(AND(26&gt;Corte,26&lt;=Corte+n_Ventana),ISNUMBER(Detalle_24m!AE$30)),Detalle_24m!AE$30,INDEX(Vol_V,17,AE$170)/12)*(1+V_dVol),0))</f>
        <v>0</v>
      </c>
      <c r="AF193" s="48" t="n">
        <f aca="false">IF(AF$8=1,N(Reales!AF28),IF(AF$171=1,IF(AND(AND(27&gt;Corte,27&lt;=Corte+n_Ventana),ISNUMBER(Detalle_24m!AF$30)),Detalle_24m!AF$30,INDEX(Vol_V,17,AF$170)/12)*(1+V_dVol),0))</f>
        <v>0</v>
      </c>
      <c r="AG193" s="48" t="n">
        <f aca="false">IF(AG$8=1,N(Reales!AG28),IF(AG$171=1,IF(AND(AND(28&gt;Corte,28&lt;=Corte+n_Ventana),ISNUMBER(Detalle_24m!AG$30)),Detalle_24m!AG$30,INDEX(Vol_V,17,AG$170)/12)*(1+V_dVol),0))</f>
        <v>0</v>
      </c>
      <c r="AH193" s="48" t="n">
        <f aca="false">IF(AH$8=1,N(Reales!AH28),IF(AH$171=1,IF(AND(AND(29&gt;Corte,29&lt;=Corte+n_Ventana),ISNUMBER(Detalle_24m!AH$30)),Detalle_24m!AH$30,INDEX(Vol_V,17,AH$170)/12)*(1+V_dVol),0))</f>
        <v>0</v>
      </c>
      <c r="AI193" s="48" t="n">
        <f aca="false">IF(AI$8=1,N(Reales!AI28),IF(AI$171=1,IF(AND(AND(30&gt;Corte,30&lt;=Corte+n_Ventana),ISNUMBER(Detalle_24m!AI$30)),Detalle_24m!AI$30,INDEX(Vol_V,17,AI$170)/12)*(1+V_dVol),0))</f>
        <v>0</v>
      </c>
      <c r="AJ193" s="48" t="n">
        <f aca="false">IF(AJ$8=1,N(Reales!AJ28),IF(AJ$171=1,IF(AND(AND(31&gt;Corte,31&lt;=Corte+n_Ventana),ISNUMBER(Detalle_24m!AJ$30)),Detalle_24m!AJ$30,INDEX(Vol_V,17,AJ$170)/12)*(1+V_dVol),0))</f>
        <v>0</v>
      </c>
      <c r="AK193" s="48" t="n">
        <f aca="false">IF(AK$8=1,N(Reales!AK28),IF(AK$171=1,IF(AND(AND(32&gt;Corte,32&lt;=Corte+n_Ventana),ISNUMBER(Detalle_24m!AK$30)),Detalle_24m!AK$30,INDEX(Vol_V,17,AK$170)/12)*(1+V_dVol),0))</f>
        <v>0</v>
      </c>
      <c r="AL193" s="48" t="n">
        <f aca="false">IF(AL$8=1,N(Reales!AL28),IF(AL$171=1,IF(AND(AND(33&gt;Corte,33&lt;=Corte+n_Ventana),ISNUMBER(Detalle_24m!AL$30)),Detalle_24m!AL$30,INDEX(Vol_V,17,AL$170)/12)*(1+V_dVol),0))</f>
        <v>0</v>
      </c>
      <c r="AM193" s="48" t="n">
        <f aca="false">IF(AM$8=1,N(Reales!AM28),IF(AM$171=1,IF(AND(AND(34&gt;Corte,34&lt;=Corte+n_Ventana),ISNUMBER(Detalle_24m!AM$30)),Detalle_24m!AM$30,INDEX(Vol_V,17,AM$170)/12)*(1+V_dVol),0))</f>
        <v>0</v>
      </c>
      <c r="AN193" s="48" t="n">
        <f aca="false">IF(AN$8=1,N(Reales!AN28),IF(AN$171=1,IF(AND(AND(35&gt;Corte,35&lt;=Corte+n_Ventana),ISNUMBER(Detalle_24m!AN$30)),Detalle_24m!AN$30,INDEX(Vol_V,17,AN$170)/12)*(1+V_dVol),0))</f>
        <v>0</v>
      </c>
      <c r="AO193" s="48" t="n">
        <f aca="false">IF(AO$8=1,N(Reales!AO28),IF(AO$171=1,IF(AND(AND(36&gt;Corte,36&lt;=Corte+n_Ventana),ISNUMBER(Detalle_24m!AO$30)),Detalle_24m!AO$30,INDEX(Vol_V,17,AO$170)/12)*(1+V_dVol),0))</f>
        <v>0</v>
      </c>
      <c r="AP193" s="48" t="n">
        <f aca="false">IF(AP$8=1,N(Reales!AP28),IF(AP$171=1,IF(AND(AND(37&gt;Corte,37&lt;=Corte+n_Ventana),ISNUMBER(Detalle_24m!AP$30)),Detalle_24m!AP$30,INDEX(Vol_V,17,AP$170)/12)*(1+V_dVol),0))</f>
        <v>0</v>
      </c>
      <c r="AQ193" s="48" t="n">
        <f aca="false">IF(AQ$8=1,N(Reales!AQ28),IF(AQ$171=1,IF(AND(AND(38&gt;Corte,38&lt;=Corte+n_Ventana),ISNUMBER(Detalle_24m!AQ$30)),Detalle_24m!AQ$30,INDEX(Vol_V,17,AQ$170)/12)*(1+V_dVol),0))</f>
        <v>0</v>
      </c>
      <c r="AR193" s="48" t="n">
        <f aca="false">IF(AR$8=1,N(Reales!AR28),IF(AR$171=1,IF(AND(AND(39&gt;Corte,39&lt;=Corte+n_Ventana),ISNUMBER(Detalle_24m!AR$30)),Detalle_24m!AR$30,INDEX(Vol_V,17,AR$170)/12)*(1+V_dVol),0))</f>
        <v>0</v>
      </c>
      <c r="AS193" s="48" t="n">
        <f aca="false">IF(AS$8=1,N(Reales!AS28),IF(AS$171=1,IF(AND(AND(40&gt;Corte,40&lt;=Corte+n_Ventana),ISNUMBER(Detalle_24m!AS$30)),Detalle_24m!AS$30,INDEX(Vol_V,17,AS$170)/12)*(1+V_dVol),0))</f>
        <v>0</v>
      </c>
      <c r="AT193" s="48" t="n">
        <f aca="false">IF(AT$8=1,N(Reales!AT28),IF(AT$171=1,IF(AND(AND(41&gt;Corte,41&lt;=Corte+n_Ventana),ISNUMBER(Detalle_24m!AT$30)),Detalle_24m!AT$30,INDEX(Vol_V,17,AT$170)/12)*(1+V_dVol),0))</f>
        <v>0</v>
      </c>
      <c r="AU193" s="48" t="n">
        <f aca="false">IF(AU$8=1,N(Reales!AU28),IF(AU$171=1,IF(AND(AND(42&gt;Corte,42&lt;=Corte+n_Ventana),ISNUMBER(Detalle_24m!AU$30)),Detalle_24m!AU$30,INDEX(Vol_V,17,AU$170)/12)*(1+V_dVol),0))</f>
        <v>0</v>
      </c>
      <c r="AV193" s="48" t="n">
        <f aca="false">IF(AV$8=1,N(Reales!AV28),IF(AV$171=1,IF(AND(AND(43&gt;Corte,43&lt;=Corte+n_Ventana),ISNUMBER(Detalle_24m!AV$30)),Detalle_24m!AV$30,INDEX(Vol_V,17,AV$170)/12)*(1+V_dVol),0))</f>
        <v>0</v>
      </c>
      <c r="AW193" s="48" t="n">
        <f aca="false">IF(AW$8=1,N(Reales!AW28),IF(AW$171=1,IF(AND(AND(44&gt;Corte,44&lt;=Corte+n_Ventana),ISNUMBER(Detalle_24m!AW$30)),Detalle_24m!AW$30,INDEX(Vol_V,17,AW$170)/12)*(1+V_dVol),0))</f>
        <v>0</v>
      </c>
      <c r="AX193" s="48" t="n">
        <f aca="false">IF(AX$8=1,N(Reales!AX28),IF(AX$171=1,IF(AND(AND(45&gt;Corte,45&lt;=Corte+n_Ventana),ISNUMBER(Detalle_24m!AX$30)),Detalle_24m!AX$30,INDEX(Vol_V,17,AX$170)/12)*(1+V_dVol),0))</f>
        <v>0</v>
      </c>
      <c r="AY193" s="48" t="n">
        <f aca="false">IF(AY$8=1,N(Reales!AY28),IF(AY$171=1,IF(AND(AND(46&gt;Corte,46&lt;=Corte+n_Ventana),ISNUMBER(Detalle_24m!AY$30)),Detalle_24m!AY$30,INDEX(Vol_V,17,AY$170)/12)*(1+V_dVol),0))</f>
        <v>0</v>
      </c>
      <c r="AZ193" s="48" t="n">
        <f aca="false">IF(AZ$8=1,N(Reales!AZ28),IF(AZ$171=1,IF(AND(AND(47&gt;Corte,47&lt;=Corte+n_Ventana),ISNUMBER(Detalle_24m!AZ$30)),Detalle_24m!AZ$30,INDEX(Vol_V,17,AZ$170)/12)*(1+V_dVol),0))</f>
        <v>0</v>
      </c>
      <c r="BA193" s="48" t="n">
        <f aca="false">IF(BA$8=1,N(Reales!BA28),IF(BA$171=1,IF(AND(AND(48&gt;Corte,48&lt;=Corte+n_Ventana),ISNUMBER(Detalle_24m!BA$30)),Detalle_24m!BA$30,INDEX(Vol_V,17,BA$170)/12)*(1+V_dVol),0))</f>
        <v>0</v>
      </c>
      <c r="BB193" s="48" t="n">
        <f aca="false">IF(BB$8=1,N(Reales!BB28),IF(BB$171=1,IF(AND(AND(49&gt;Corte,49&lt;=Corte+n_Ventana),ISNUMBER(Detalle_24m!BB$30)),Detalle_24m!BB$30,INDEX(Vol_V,17,BB$170)/12)*(1+V_dVol),0))</f>
        <v>0</v>
      </c>
      <c r="BC193" s="48" t="n">
        <f aca="false">IF(BC$8=1,N(Reales!BC28),IF(BC$171=1,IF(AND(AND(50&gt;Corte,50&lt;=Corte+n_Ventana),ISNUMBER(Detalle_24m!BC$30)),Detalle_24m!BC$30,INDEX(Vol_V,17,BC$170)/12)*(1+V_dVol),0))</f>
        <v>0</v>
      </c>
      <c r="BD193" s="48" t="n">
        <f aca="false">IF(BD$8=1,N(Reales!BD28),IF(BD$171=1,IF(AND(AND(51&gt;Corte,51&lt;=Corte+n_Ventana),ISNUMBER(Detalle_24m!BD$30)),Detalle_24m!BD$30,INDEX(Vol_V,17,BD$170)/12)*(1+V_dVol),0))</f>
        <v>0</v>
      </c>
      <c r="BE193" s="48" t="n">
        <f aca="false">IF(BE$8=1,N(Reales!BE28),IF(BE$171=1,IF(AND(AND(52&gt;Corte,52&lt;=Corte+n_Ventana),ISNUMBER(Detalle_24m!BE$30)),Detalle_24m!BE$30,INDEX(Vol_V,17,BE$170)/12)*(1+V_dVol),0))</f>
        <v>0</v>
      </c>
      <c r="BF193" s="48" t="n">
        <f aca="false">IF(BF$8=1,N(Reales!BF28),IF(BF$171=1,IF(AND(AND(53&gt;Corte,53&lt;=Corte+n_Ventana),ISNUMBER(Detalle_24m!BF$30)),Detalle_24m!BF$30,INDEX(Vol_V,17,BF$170)/12)*(1+V_dVol),0))</f>
        <v>0</v>
      </c>
      <c r="BG193" s="48" t="n">
        <f aca="false">IF(BG$8=1,N(Reales!BG28),IF(BG$171=1,IF(AND(AND(54&gt;Corte,54&lt;=Corte+n_Ventana),ISNUMBER(Detalle_24m!BG$30)),Detalle_24m!BG$30,INDEX(Vol_V,17,BG$170)/12)*(1+V_dVol),0))</f>
        <v>0</v>
      </c>
      <c r="BH193" s="48" t="n">
        <f aca="false">IF(BH$8=1,N(Reales!BH28),IF(BH$171=1,IF(AND(AND(55&gt;Corte,55&lt;=Corte+n_Ventana),ISNUMBER(Detalle_24m!BH$30)),Detalle_24m!BH$30,INDEX(Vol_V,17,BH$170)/12)*(1+V_dVol),0))</f>
        <v>0</v>
      </c>
      <c r="BI193" s="48" t="n">
        <f aca="false">IF(BI$8=1,N(Reales!BI28),IF(BI$171=1,IF(AND(AND(56&gt;Corte,56&lt;=Corte+n_Ventana),ISNUMBER(Detalle_24m!BI$30)),Detalle_24m!BI$30,INDEX(Vol_V,17,BI$170)/12)*(1+V_dVol),0))</f>
        <v>0</v>
      </c>
      <c r="BJ193" s="48" t="n">
        <f aca="false">IF(BJ$8=1,N(Reales!BJ28),IF(BJ$171=1,IF(AND(AND(57&gt;Corte,57&lt;=Corte+n_Ventana),ISNUMBER(Detalle_24m!BJ$30)),Detalle_24m!BJ$30,INDEX(Vol_V,17,BJ$170)/12)*(1+V_dVol),0))</f>
        <v>0</v>
      </c>
      <c r="BK193" s="48" t="n">
        <f aca="false">IF(BK$8=1,N(Reales!BK28),IF(BK$171=1,IF(AND(AND(58&gt;Corte,58&lt;=Corte+n_Ventana),ISNUMBER(Detalle_24m!BK$30)),Detalle_24m!BK$30,INDEX(Vol_V,17,BK$170)/12)*(1+V_dVol),0))</f>
        <v>0</v>
      </c>
      <c r="BL193" s="48" t="n">
        <f aca="false">IF(BL$8=1,N(Reales!BL28),IF(BL$171=1,IF(AND(AND(59&gt;Corte,59&lt;=Corte+n_Ventana),ISNUMBER(Detalle_24m!BL$30)),Detalle_24m!BL$30,INDEX(Vol_V,17,BL$170)/12)*(1+V_dVol),0))</f>
        <v>0</v>
      </c>
      <c r="BM193" s="48" t="n">
        <f aca="false">IF(BM$8=1,N(Reales!BM28),IF(BM$171=1,IF(AND(AND(60&gt;Corte,60&lt;=Corte+n_Ventana),ISNUMBER(Detalle_24m!BM$30)),Detalle_24m!BM$30,INDEX(Vol_V,17,BM$170)/12)*(1+V_dVol),0))</f>
        <v>0</v>
      </c>
      <c r="BN193" s="48" t="n">
        <f aca="false">IF(BN$8=1,N(Reales!BN28),IF(BN$171=1,IF(AND(AND(61&gt;Corte,61&lt;=Corte+n_Ventana),ISNUMBER(Detalle_24m!BN$30)),Detalle_24m!BN$30,INDEX(Vol_V,17,BN$170)/12)*(1+V_dVol),0))</f>
        <v>0</v>
      </c>
      <c r="BO193" s="48" t="n">
        <f aca="false">IF(BO$8=1,N(Reales!BO28),IF(BO$171=1,IF(AND(AND(62&gt;Corte,62&lt;=Corte+n_Ventana),ISNUMBER(Detalle_24m!BO$30)),Detalle_24m!BO$30,INDEX(Vol_V,17,BO$170)/12)*(1+V_dVol),0))</f>
        <v>0</v>
      </c>
      <c r="BP193" s="48" t="n">
        <f aca="false">IF(BP$8=1,N(Reales!BP28),IF(BP$171=1,IF(AND(AND(63&gt;Corte,63&lt;=Corte+n_Ventana),ISNUMBER(Detalle_24m!BP$30)),Detalle_24m!BP$30,INDEX(Vol_V,17,BP$170)/12)*(1+V_dVol),0))</f>
        <v>0</v>
      </c>
      <c r="BQ193" s="48" t="n">
        <f aca="false">IF(BQ$8=1,N(Reales!BQ28),IF(BQ$171=1,IF(AND(AND(64&gt;Corte,64&lt;=Corte+n_Ventana),ISNUMBER(Detalle_24m!BQ$30)),Detalle_24m!BQ$30,INDEX(Vol_V,17,BQ$170)/12)*(1+V_dVol),0))</f>
        <v>0</v>
      </c>
      <c r="BR193" s="48" t="n">
        <f aca="false">IF(BR$8=1,N(Reales!BR28),IF(BR$171=1,IF(AND(AND(65&gt;Corte,65&lt;=Corte+n_Ventana),ISNUMBER(Detalle_24m!BR$30)),Detalle_24m!BR$30,INDEX(Vol_V,17,BR$170)/12)*(1+V_dVol),0))</f>
        <v>0</v>
      </c>
      <c r="BS193" s="48" t="n">
        <f aca="false">IF(BS$8=1,N(Reales!BS28),IF(BS$171=1,IF(AND(AND(66&gt;Corte,66&lt;=Corte+n_Ventana),ISNUMBER(Detalle_24m!BS$30)),Detalle_24m!BS$30,INDEX(Vol_V,17,BS$170)/12)*(1+V_dVol),0))</f>
        <v>0</v>
      </c>
      <c r="BT193" s="48" t="n">
        <f aca="false">IF(BT$8=1,N(Reales!BT28),IF(BT$171=1,IF(AND(AND(67&gt;Corte,67&lt;=Corte+n_Ventana),ISNUMBER(Detalle_24m!BT$30)),Detalle_24m!BT$30,INDEX(Vol_V,17,BT$170)/12)*(1+V_dVol),0))</f>
        <v>0</v>
      </c>
      <c r="BU193" s="48" t="n">
        <f aca="false">IF(BU$8=1,N(Reales!BU28),IF(BU$171=1,IF(AND(AND(68&gt;Corte,68&lt;=Corte+n_Ventana),ISNUMBER(Detalle_24m!BU$30)),Detalle_24m!BU$30,INDEX(Vol_V,17,BU$170)/12)*(1+V_dVol),0))</f>
        <v>0</v>
      </c>
      <c r="BV193" s="48" t="n">
        <f aca="false">IF(BV$8=1,N(Reales!BV28),IF(BV$171=1,IF(AND(AND(69&gt;Corte,69&lt;=Corte+n_Ventana),ISNUMBER(Detalle_24m!BV$30)),Detalle_24m!BV$30,INDEX(Vol_V,17,BV$170)/12)*(1+V_dVol),0))</f>
        <v>0</v>
      </c>
      <c r="BW193" s="48" t="n">
        <f aca="false">IF(BW$8=1,N(Reales!BW28),IF(BW$171=1,IF(AND(AND(70&gt;Corte,70&lt;=Corte+n_Ventana),ISNUMBER(Detalle_24m!BW$30)),Detalle_24m!BW$30,INDEX(Vol_V,17,BW$170)/12)*(1+V_dVol),0))</f>
        <v>0</v>
      </c>
      <c r="BX193" s="48" t="n">
        <f aca="false">IF(BX$8=1,N(Reales!BX28),IF(BX$171=1,IF(AND(AND(71&gt;Corte,71&lt;=Corte+n_Ventana),ISNUMBER(Detalle_24m!BX$30)),Detalle_24m!BX$30,INDEX(Vol_V,17,BX$170)/12)*(1+V_dVol),0))</f>
        <v>0</v>
      </c>
      <c r="BY193" s="48" t="n">
        <f aca="false">IF(BY$8=1,N(Reales!BY28),IF(BY$171=1,IF(AND(AND(72&gt;Corte,72&lt;=Corte+n_Ventana),ISNUMBER(Detalle_24m!BY$30)),Detalle_24m!BY$30,INDEX(Vol_V,17,BY$170)/12)*(1+V_dVol),0))</f>
        <v>0</v>
      </c>
      <c r="BZ193" s="48" t="n">
        <f aca="false">IF(BZ$8=1,N(Reales!BZ28),IF(BZ$171=1,IF(AND(AND(73&gt;Corte,73&lt;=Corte+n_Ventana),ISNUMBER(Detalle_24m!BZ$30)),Detalle_24m!BZ$30,INDEX(Vol_V,17,BZ$170)/12)*(1+V_dVol),0))</f>
        <v>0</v>
      </c>
      <c r="CA193" s="48" t="n">
        <f aca="false">IF(CA$8=1,N(Reales!CA28),IF(CA$171=1,IF(AND(AND(74&gt;Corte,74&lt;=Corte+n_Ventana),ISNUMBER(Detalle_24m!CA$30)),Detalle_24m!CA$30,INDEX(Vol_V,17,CA$170)/12)*(1+V_dVol),0))</f>
        <v>0</v>
      </c>
      <c r="CB193" s="48" t="n">
        <f aca="false">IF(CB$8=1,N(Reales!CB28),IF(CB$171=1,IF(AND(AND(75&gt;Corte,75&lt;=Corte+n_Ventana),ISNUMBER(Detalle_24m!CB$30)),Detalle_24m!CB$30,INDEX(Vol_V,17,CB$170)/12)*(1+V_dVol),0))</f>
        <v>0</v>
      </c>
      <c r="CC193" s="48" t="n">
        <f aca="false">IF(CC$8=1,N(Reales!CC28),IF(CC$171=1,IF(AND(AND(76&gt;Corte,76&lt;=Corte+n_Ventana),ISNUMBER(Detalle_24m!CC$30)),Detalle_24m!CC$30,INDEX(Vol_V,17,CC$170)/12)*(1+V_dVol),0))</f>
        <v>0</v>
      </c>
      <c r="CD193" s="48" t="n">
        <f aca="false">IF(CD$8=1,N(Reales!CD28),IF(CD$171=1,IF(AND(AND(77&gt;Corte,77&lt;=Corte+n_Ventana),ISNUMBER(Detalle_24m!CD$30)),Detalle_24m!CD$30,INDEX(Vol_V,17,CD$170)/12)*(1+V_dVol),0))</f>
        <v>0</v>
      </c>
      <c r="CE193" s="48" t="n">
        <f aca="false">IF(CE$8=1,N(Reales!CE28),IF(CE$171=1,IF(AND(AND(78&gt;Corte,78&lt;=Corte+n_Ventana),ISNUMBER(Detalle_24m!CE$30)),Detalle_24m!CE$30,INDEX(Vol_V,17,CE$170)/12)*(1+V_dVol),0))</f>
        <v>0</v>
      </c>
      <c r="CF193" s="48" t="n">
        <f aca="false">IF(CF$8=1,N(Reales!CF28),IF(CF$171=1,IF(AND(AND(79&gt;Corte,79&lt;=Corte+n_Ventana),ISNUMBER(Detalle_24m!CF$30)),Detalle_24m!CF$30,INDEX(Vol_V,17,CF$170)/12)*(1+V_dVol),0))</f>
        <v>0</v>
      </c>
      <c r="CG193" s="48" t="n">
        <f aca="false">IF(CG$8=1,N(Reales!CG28),IF(CG$171=1,IF(AND(AND(80&gt;Corte,80&lt;=Corte+n_Ventana),ISNUMBER(Detalle_24m!CG$30)),Detalle_24m!CG$30,INDEX(Vol_V,17,CG$170)/12)*(1+V_dVol),0))</f>
        <v>0</v>
      </c>
      <c r="CH193" s="48" t="n">
        <f aca="false">IF(CH$8=1,N(Reales!CH28),IF(CH$171=1,IF(AND(AND(81&gt;Corte,81&lt;=Corte+n_Ventana),ISNUMBER(Detalle_24m!CH$30)),Detalle_24m!CH$30,INDEX(Vol_V,17,CH$170)/12)*(1+V_dVol),0))</f>
        <v>0</v>
      </c>
      <c r="CI193" s="48" t="n">
        <f aca="false">IF(CI$8=1,N(Reales!CI28),IF(CI$171=1,IF(AND(AND(82&gt;Corte,82&lt;=Corte+n_Ventana),ISNUMBER(Detalle_24m!CI$30)),Detalle_24m!CI$30,INDEX(Vol_V,17,CI$170)/12)*(1+V_dVol),0))</f>
        <v>0</v>
      </c>
      <c r="CJ193" s="48" t="n">
        <f aca="false">IF(CJ$8=1,N(Reales!CJ28),IF(CJ$171=1,IF(AND(AND(83&gt;Corte,83&lt;=Corte+n_Ventana),ISNUMBER(Detalle_24m!CJ$30)),Detalle_24m!CJ$30,INDEX(Vol_V,17,CJ$170)/12)*(1+V_dVol),0))</f>
        <v>0</v>
      </c>
      <c r="CK193" s="48" t="n">
        <f aca="false">IF(CK$8=1,N(Reales!CK28),IF(CK$171=1,IF(AND(AND(84&gt;Corte,84&lt;=Corte+n_Ventana),ISNUMBER(Detalle_24m!CK$30)),Detalle_24m!CK$30,INDEX(Vol_V,17,CK$170)/12)*(1+V_dVol),0))</f>
        <v>0</v>
      </c>
      <c r="CL193" s="48" t="n">
        <f aca="false">IF(CL$8=1,N(Reales!CL28),IF(CL$171=1,IF(AND(AND(85&gt;Corte,85&lt;=Corte+n_Ventana),ISNUMBER(Detalle_24m!CL$30)),Detalle_24m!CL$30,INDEX(Vol_V,17,CL$170)/12)*(1+V_dVol),0))</f>
        <v>0</v>
      </c>
      <c r="CM193" s="48" t="n">
        <f aca="false">IF(CM$8=1,N(Reales!CM28),IF(CM$171=1,IF(AND(AND(86&gt;Corte,86&lt;=Corte+n_Ventana),ISNUMBER(Detalle_24m!CM$30)),Detalle_24m!CM$30,INDEX(Vol_V,17,CM$170)/12)*(1+V_dVol),0))</f>
        <v>0</v>
      </c>
      <c r="CN193" s="48" t="n">
        <f aca="false">IF(CN$8=1,N(Reales!CN28),IF(CN$171=1,IF(AND(AND(87&gt;Corte,87&lt;=Corte+n_Ventana),ISNUMBER(Detalle_24m!CN$30)),Detalle_24m!CN$30,INDEX(Vol_V,17,CN$170)/12)*(1+V_dVol),0))</f>
        <v>0</v>
      </c>
      <c r="CO193" s="48" t="n">
        <f aca="false">IF(CO$8=1,N(Reales!CO28),IF(CO$171=1,IF(AND(AND(88&gt;Corte,88&lt;=Corte+n_Ventana),ISNUMBER(Detalle_24m!CO$30)),Detalle_24m!CO$30,INDEX(Vol_V,17,CO$170)/12)*(1+V_dVol),0))</f>
        <v>0</v>
      </c>
      <c r="CP193" s="48" t="n">
        <f aca="false">IF(CP$8=1,N(Reales!CP28),IF(CP$171=1,IF(AND(AND(89&gt;Corte,89&lt;=Corte+n_Ventana),ISNUMBER(Detalle_24m!CP$30)),Detalle_24m!CP$30,INDEX(Vol_V,17,CP$170)/12)*(1+V_dVol),0))</f>
        <v>0</v>
      </c>
      <c r="CQ193" s="48" t="n">
        <f aca="false">IF(CQ$8=1,N(Reales!CQ28),IF(CQ$171=1,IF(AND(AND(90&gt;Corte,90&lt;=Corte+n_Ventana),ISNUMBER(Detalle_24m!CQ$30)),Detalle_24m!CQ$30,INDEX(Vol_V,17,CQ$170)/12)*(1+V_dVol),0))</f>
        <v>0</v>
      </c>
      <c r="CR193" s="48" t="n">
        <f aca="false">IF(CR$8=1,N(Reales!CR28),IF(CR$171=1,IF(AND(AND(91&gt;Corte,91&lt;=Corte+n_Ventana),ISNUMBER(Detalle_24m!CR$30)),Detalle_24m!CR$30,INDEX(Vol_V,17,CR$170)/12)*(1+V_dVol),0))</f>
        <v>0</v>
      </c>
      <c r="CS193" s="48" t="n">
        <f aca="false">IF(CS$8=1,N(Reales!CS28),IF(CS$171=1,IF(AND(AND(92&gt;Corte,92&lt;=Corte+n_Ventana),ISNUMBER(Detalle_24m!CS$30)),Detalle_24m!CS$30,INDEX(Vol_V,17,CS$170)/12)*(1+V_dVol),0))</f>
        <v>0</v>
      </c>
      <c r="CT193" s="48" t="n">
        <f aca="false">IF(CT$8=1,N(Reales!CT28),IF(CT$171=1,IF(AND(AND(93&gt;Corte,93&lt;=Corte+n_Ventana),ISNUMBER(Detalle_24m!CT$30)),Detalle_24m!CT$30,INDEX(Vol_V,17,CT$170)/12)*(1+V_dVol),0))</f>
        <v>0</v>
      </c>
      <c r="CU193" s="48" t="n">
        <f aca="false">IF(CU$8=1,N(Reales!CU28),IF(CU$171=1,IF(AND(AND(94&gt;Corte,94&lt;=Corte+n_Ventana),ISNUMBER(Detalle_24m!CU$30)),Detalle_24m!CU$30,INDEX(Vol_V,17,CU$170)/12)*(1+V_dVol),0))</f>
        <v>0</v>
      </c>
      <c r="CV193" s="48" t="n">
        <f aca="false">IF(CV$8=1,N(Reales!CV28),IF(CV$171=1,IF(AND(AND(95&gt;Corte,95&lt;=Corte+n_Ventana),ISNUMBER(Detalle_24m!CV$30)),Detalle_24m!CV$30,INDEX(Vol_V,17,CV$170)/12)*(1+V_dVol),0))</f>
        <v>0</v>
      </c>
      <c r="CW193" s="48" t="n">
        <f aca="false">IF(CW$8=1,N(Reales!CW28),IF(CW$171=1,IF(AND(AND(96&gt;Corte,96&lt;=Corte+n_Ventana),ISNUMBER(Detalle_24m!CW$30)),Detalle_24m!CW$30,INDEX(Vol_V,17,CW$170)/12)*(1+V_dVol),0))</f>
        <v>0</v>
      </c>
      <c r="CX193" s="48" t="n">
        <f aca="false">IF(CX$8=1,N(Reales!CX28),IF(CX$171=1,IF(AND(AND(97&gt;Corte,97&lt;=Corte+n_Ventana),ISNUMBER(Detalle_24m!CX$30)),Detalle_24m!CX$30,INDEX(Vol_V,17,CX$170)/12)*(1+V_dVol),0))</f>
        <v>0</v>
      </c>
      <c r="CY193" s="48" t="n">
        <f aca="false">IF(CY$8=1,N(Reales!CY28),IF(CY$171=1,IF(AND(AND(98&gt;Corte,98&lt;=Corte+n_Ventana),ISNUMBER(Detalle_24m!CY$30)),Detalle_24m!CY$30,INDEX(Vol_V,17,CY$170)/12)*(1+V_dVol),0))</f>
        <v>0</v>
      </c>
      <c r="CZ193" s="48" t="n">
        <f aca="false">IF(CZ$8=1,N(Reales!CZ28),IF(CZ$171=1,IF(AND(AND(99&gt;Corte,99&lt;=Corte+n_Ventana),ISNUMBER(Detalle_24m!CZ$30)),Detalle_24m!CZ$30,INDEX(Vol_V,17,CZ$170)/12)*(1+V_dVol),0))</f>
        <v>0</v>
      </c>
      <c r="DA193" s="48" t="n">
        <f aca="false">IF(DA$8=1,N(Reales!DA28),IF(DA$171=1,IF(AND(AND(100&gt;Corte,100&lt;=Corte+n_Ventana),ISNUMBER(Detalle_24m!DA$30)),Detalle_24m!DA$30,INDEX(Vol_V,17,DA$170)/12)*(1+V_dVol),0))</f>
        <v>0</v>
      </c>
      <c r="DB193" s="48" t="n">
        <f aca="false">IF(DB$8=1,N(Reales!DB28),IF(DB$171=1,IF(AND(AND(101&gt;Corte,101&lt;=Corte+n_Ventana),ISNUMBER(Detalle_24m!DB$30)),Detalle_24m!DB$30,INDEX(Vol_V,17,DB$170)/12)*(1+V_dVol),0))</f>
        <v>0</v>
      </c>
      <c r="DC193" s="48" t="n">
        <f aca="false">IF(DC$8=1,N(Reales!DC28),IF(DC$171=1,IF(AND(AND(102&gt;Corte,102&lt;=Corte+n_Ventana),ISNUMBER(Detalle_24m!DC$30)),Detalle_24m!DC$30,INDEX(Vol_V,17,DC$170)/12)*(1+V_dVol),0))</f>
        <v>0</v>
      </c>
      <c r="DD193" s="48" t="n">
        <f aca="false">IF(DD$8=1,N(Reales!DD28),IF(DD$171=1,IF(AND(AND(103&gt;Corte,103&lt;=Corte+n_Ventana),ISNUMBER(Detalle_24m!DD$30)),Detalle_24m!DD$30,INDEX(Vol_V,17,DD$170)/12)*(1+V_dVol),0))</f>
        <v>0</v>
      </c>
      <c r="DE193" s="48" t="n">
        <f aca="false">IF(DE$8=1,N(Reales!DE28),IF(DE$171=1,IF(AND(AND(104&gt;Corte,104&lt;=Corte+n_Ventana),ISNUMBER(Detalle_24m!DE$30)),Detalle_24m!DE$30,INDEX(Vol_V,17,DE$170)/12)*(1+V_dVol),0))</f>
        <v>0</v>
      </c>
      <c r="DF193" s="48" t="n">
        <f aca="false">IF(DF$8=1,N(Reales!DF28),IF(DF$171=1,IF(AND(AND(105&gt;Corte,105&lt;=Corte+n_Ventana),ISNUMBER(Detalle_24m!DF$30)),Detalle_24m!DF$30,INDEX(Vol_V,17,DF$170)/12)*(1+V_dVol),0))</f>
        <v>0</v>
      </c>
      <c r="DG193" s="48" t="n">
        <f aca="false">IF(DG$8=1,N(Reales!DG28),IF(DG$171=1,IF(AND(AND(106&gt;Corte,106&lt;=Corte+n_Ventana),ISNUMBER(Detalle_24m!DG$30)),Detalle_24m!DG$30,INDEX(Vol_V,17,DG$170)/12)*(1+V_dVol),0))</f>
        <v>0</v>
      </c>
      <c r="DH193" s="48" t="n">
        <f aca="false">IF(DH$8=1,N(Reales!DH28),IF(DH$171=1,IF(AND(AND(107&gt;Corte,107&lt;=Corte+n_Ventana),ISNUMBER(Detalle_24m!DH$30)),Detalle_24m!DH$30,INDEX(Vol_V,17,DH$170)/12)*(1+V_dVol),0))</f>
        <v>0</v>
      </c>
      <c r="DI193" s="48" t="n">
        <f aca="false">IF(DI$8=1,N(Reales!DI28),IF(DI$171=1,IF(AND(AND(108&gt;Corte,108&lt;=Corte+n_Ventana),ISNUMBER(Detalle_24m!DI$30)),Detalle_24m!DI$30,INDEX(Vol_V,17,DI$170)/12)*(1+V_dVol),0))</f>
        <v>0</v>
      </c>
      <c r="DJ193" s="48" t="n">
        <f aca="false">IF(DJ$8=1,N(Reales!DJ28),IF(DJ$171=1,IF(AND(AND(109&gt;Corte,109&lt;=Corte+n_Ventana),ISNUMBER(Detalle_24m!DJ$30)),Detalle_24m!DJ$30,INDEX(Vol_V,17,DJ$170)/12)*(1+V_dVol),0))</f>
        <v>0</v>
      </c>
      <c r="DK193" s="48" t="n">
        <f aca="false">IF(DK$8=1,N(Reales!DK28),IF(DK$171=1,IF(AND(AND(110&gt;Corte,110&lt;=Corte+n_Ventana),ISNUMBER(Detalle_24m!DK$30)),Detalle_24m!DK$30,INDEX(Vol_V,17,DK$170)/12)*(1+V_dVol),0))</f>
        <v>0</v>
      </c>
      <c r="DL193" s="48" t="n">
        <f aca="false">IF(DL$8=1,N(Reales!DL28),IF(DL$171=1,IF(AND(AND(111&gt;Corte,111&lt;=Corte+n_Ventana),ISNUMBER(Detalle_24m!DL$30)),Detalle_24m!DL$30,INDEX(Vol_V,17,DL$170)/12)*(1+V_dVol),0))</f>
        <v>0</v>
      </c>
      <c r="DM193" s="48" t="n">
        <f aca="false">IF(DM$8=1,N(Reales!DM28),IF(DM$171=1,IF(AND(AND(112&gt;Corte,112&lt;=Corte+n_Ventana),ISNUMBER(Detalle_24m!DM$30)),Detalle_24m!DM$30,INDEX(Vol_V,17,DM$170)/12)*(1+V_dVol),0))</f>
        <v>0</v>
      </c>
      <c r="DN193" s="48" t="n">
        <f aca="false">IF(DN$8=1,N(Reales!DN28),IF(DN$171=1,IF(AND(AND(113&gt;Corte,113&lt;=Corte+n_Ventana),ISNUMBER(Detalle_24m!DN$30)),Detalle_24m!DN$30,INDEX(Vol_V,17,DN$170)/12)*(1+V_dVol),0))</f>
        <v>0</v>
      </c>
      <c r="DO193" s="48" t="n">
        <f aca="false">IF(DO$8=1,N(Reales!DO28),IF(DO$171=1,IF(AND(AND(114&gt;Corte,114&lt;=Corte+n_Ventana),ISNUMBER(Detalle_24m!DO$30)),Detalle_24m!DO$30,INDEX(Vol_V,17,DO$170)/12)*(1+V_dVol),0))</f>
        <v>0</v>
      </c>
      <c r="DP193" s="48" t="n">
        <f aca="false">IF(DP$8=1,N(Reales!DP28),IF(DP$171=1,IF(AND(AND(115&gt;Corte,115&lt;=Corte+n_Ventana),ISNUMBER(Detalle_24m!DP$30)),Detalle_24m!DP$30,INDEX(Vol_V,17,DP$170)/12)*(1+V_dVol),0))</f>
        <v>0</v>
      </c>
      <c r="DQ193" s="48" t="n">
        <f aca="false">IF(DQ$8=1,N(Reales!DQ28),IF(DQ$171=1,IF(AND(AND(116&gt;Corte,116&lt;=Corte+n_Ventana),ISNUMBER(Detalle_24m!DQ$30)),Detalle_24m!DQ$30,INDEX(Vol_V,17,DQ$170)/12)*(1+V_dVol),0))</f>
        <v>0</v>
      </c>
      <c r="DR193" s="48" t="n">
        <f aca="false">IF(DR$8=1,N(Reales!DR28),IF(DR$171=1,IF(AND(AND(117&gt;Corte,117&lt;=Corte+n_Ventana),ISNUMBER(Detalle_24m!DR$30)),Detalle_24m!DR$30,INDEX(Vol_V,17,DR$170)/12)*(1+V_dVol),0))</f>
        <v>0</v>
      </c>
      <c r="DS193" s="48" t="n">
        <f aca="false">IF(DS$8=1,N(Reales!DS28),IF(DS$171=1,IF(AND(AND(118&gt;Corte,118&lt;=Corte+n_Ventana),ISNUMBER(Detalle_24m!DS$30)),Detalle_24m!DS$30,INDEX(Vol_V,17,DS$170)/12)*(1+V_dVol),0))</f>
        <v>0</v>
      </c>
      <c r="DT193" s="48" t="n">
        <f aca="false">IF(DT$8=1,N(Reales!DT28),IF(DT$171=1,IF(AND(AND(119&gt;Corte,119&lt;=Corte+n_Ventana),ISNUMBER(Detalle_24m!DT$30)),Detalle_24m!DT$30,INDEX(Vol_V,17,DT$170)/12)*(1+V_dVol),0))</f>
        <v>0</v>
      </c>
      <c r="DU193" s="48" t="n">
        <f aca="false">IF(DU$8=1,N(Reales!DU28),IF(DU$171=1,IF(AND(AND(120&gt;Corte,120&lt;=Corte+n_Ventana),ISNUMBER(Detalle_24m!DU$30)),Detalle_24m!DU$30,INDEX(Vol_V,17,DU$170)/12)*(1+V_dVol),0))</f>
        <v>0</v>
      </c>
      <c r="DV193" s="48" t="n">
        <f aca="false">IF(DV$8=1,N(Reales!DV28),IF(DV$171=1,IF(AND(AND(121&gt;Corte,121&lt;=Corte+n_Ventana),ISNUMBER(Detalle_24m!DV$30)),Detalle_24m!DV$30,INDEX(Vol_V,17,DV$170)/12)*(1+V_dVol),0))</f>
        <v>0</v>
      </c>
      <c r="DW193" s="48" t="n">
        <f aca="false">IF(DW$8=1,N(Reales!DW28),IF(DW$171=1,IF(AND(AND(122&gt;Corte,122&lt;=Corte+n_Ventana),ISNUMBER(Detalle_24m!DW$30)),Detalle_24m!DW$30,INDEX(Vol_V,17,DW$170)/12)*(1+V_dVol),0))</f>
        <v>0</v>
      </c>
      <c r="DX193" s="48" t="n">
        <f aca="false">IF(DX$8=1,N(Reales!DX28),IF(DX$171=1,IF(AND(AND(123&gt;Corte,123&lt;=Corte+n_Ventana),ISNUMBER(Detalle_24m!DX$30)),Detalle_24m!DX$30,INDEX(Vol_V,17,DX$170)/12)*(1+V_dVol),0))</f>
        <v>0</v>
      </c>
      <c r="DY193" s="48" t="n">
        <f aca="false">IF(DY$8=1,N(Reales!DY28),IF(DY$171=1,IF(AND(AND(124&gt;Corte,124&lt;=Corte+n_Ventana),ISNUMBER(Detalle_24m!DY$30)),Detalle_24m!DY$30,INDEX(Vol_V,17,DY$170)/12)*(1+V_dVol),0))</f>
        <v>0</v>
      </c>
      <c r="DZ193" s="48" t="n">
        <f aca="false">IF(DZ$8=1,N(Reales!DZ28),IF(DZ$171=1,IF(AND(AND(125&gt;Corte,125&lt;=Corte+n_Ventana),ISNUMBER(Detalle_24m!DZ$30)),Detalle_24m!DZ$30,INDEX(Vol_V,17,DZ$170)/12)*(1+V_dVol),0))</f>
        <v>0</v>
      </c>
      <c r="EA193" s="48" t="n">
        <f aca="false">IF(EA$8=1,N(Reales!EA28),IF(EA$171=1,IF(AND(AND(126&gt;Corte,126&lt;=Corte+n_Ventana),ISNUMBER(Detalle_24m!EA$30)),Detalle_24m!EA$30,INDEX(Vol_V,17,EA$170)/12)*(1+V_dVol),0))</f>
        <v>0</v>
      </c>
      <c r="EB193" s="48" t="n">
        <f aca="false">IF(EB$8=1,N(Reales!EB28),IF(EB$171=1,IF(AND(AND(127&gt;Corte,127&lt;=Corte+n_Ventana),ISNUMBER(Detalle_24m!EB$30)),Detalle_24m!EB$30,INDEX(Vol_V,17,EB$170)/12)*(1+V_dVol),0))</f>
        <v>0</v>
      </c>
      <c r="EC193" s="48" t="n">
        <f aca="false">IF(EC$8=1,N(Reales!EC28),IF(EC$171=1,IF(AND(AND(128&gt;Corte,128&lt;=Corte+n_Ventana),ISNUMBER(Detalle_24m!EC$30)),Detalle_24m!EC$30,INDEX(Vol_V,17,EC$170)/12)*(1+V_dVol),0))</f>
        <v>0</v>
      </c>
      <c r="ED193" s="48" t="n">
        <f aca="false">IF(ED$8=1,N(Reales!ED28),IF(ED$171=1,IF(AND(AND(129&gt;Corte,129&lt;=Corte+n_Ventana),ISNUMBER(Detalle_24m!ED$30)),Detalle_24m!ED$30,INDEX(Vol_V,17,ED$170)/12)*(1+V_dVol),0))</f>
        <v>0</v>
      </c>
      <c r="EE193" s="48" t="n">
        <f aca="false">IF(EE$8=1,N(Reales!EE28),IF(EE$171=1,IF(AND(AND(130&gt;Corte,130&lt;=Corte+n_Ventana),ISNUMBER(Detalle_24m!EE$30)),Detalle_24m!EE$30,INDEX(Vol_V,17,EE$170)/12)*(1+V_dVol),0))</f>
        <v>0</v>
      </c>
      <c r="EF193" s="48" t="n">
        <f aca="false">IF(EF$8=1,N(Reales!EF28),IF(EF$171=1,IF(AND(AND(131&gt;Corte,131&lt;=Corte+n_Ventana),ISNUMBER(Detalle_24m!EF$30)),Detalle_24m!EF$30,INDEX(Vol_V,17,EF$170)/12)*(1+V_dVol),0))</f>
        <v>0</v>
      </c>
      <c r="EG193" s="48" t="n">
        <f aca="false">IF(EG$8=1,N(Reales!EG28),IF(EG$171=1,IF(AND(AND(132&gt;Corte,132&lt;=Corte+n_Ventana),ISNUMBER(Detalle_24m!EG$30)),Detalle_24m!EG$30,INDEX(Vol_V,17,EG$170)/12)*(1+V_dVol),0))</f>
        <v>0</v>
      </c>
      <c r="EH193" s="48" t="n">
        <f aca="false">IF(EH$8=1,N(Reales!EH28),IF(EH$171=1,IF(AND(AND(133&gt;Corte,133&lt;=Corte+n_Ventana),ISNUMBER(Detalle_24m!EH$30)),Detalle_24m!EH$30,INDEX(Vol_V,17,EH$170)/12)*(1+V_dVol),0))</f>
        <v>0</v>
      </c>
      <c r="EI193" s="48" t="n">
        <f aca="false">IF(EI$8=1,N(Reales!EI28),IF(EI$171=1,IF(AND(AND(134&gt;Corte,134&lt;=Corte+n_Ventana),ISNUMBER(Detalle_24m!EI$30)),Detalle_24m!EI$30,INDEX(Vol_V,17,EI$170)/12)*(1+V_dVol),0))</f>
        <v>0</v>
      </c>
      <c r="EJ193" s="48" t="n">
        <f aca="false">IF(EJ$8=1,N(Reales!EJ28),IF(EJ$171=1,IF(AND(AND(135&gt;Corte,135&lt;=Corte+n_Ventana),ISNUMBER(Detalle_24m!EJ$30)),Detalle_24m!EJ$30,INDEX(Vol_V,17,EJ$170)/12)*(1+V_dVol),0))</f>
        <v>0</v>
      </c>
      <c r="EK193" s="48" t="n">
        <f aca="false">IF(EK$8=1,N(Reales!EK28),IF(EK$171=1,IF(AND(AND(136&gt;Corte,136&lt;=Corte+n_Ventana),ISNUMBER(Detalle_24m!EK$30)),Detalle_24m!EK$30,INDEX(Vol_V,17,EK$170)/12)*(1+V_dVol),0))</f>
        <v>0</v>
      </c>
      <c r="EL193" s="48" t="n">
        <f aca="false">IF(EL$8=1,N(Reales!EL28),IF(EL$171=1,IF(AND(AND(137&gt;Corte,137&lt;=Corte+n_Ventana),ISNUMBER(Detalle_24m!EL$30)),Detalle_24m!EL$30,INDEX(Vol_V,17,EL$170)/12)*(1+V_dVol),0))</f>
        <v>0</v>
      </c>
      <c r="EM193" s="48" t="n">
        <f aca="false">IF(EM$8=1,N(Reales!EM28),IF(EM$171=1,IF(AND(AND(138&gt;Corte,138&lt;=Corte+n_Ventana),ISNUMBER(Detalle_24m!EM$30)),Detalle_24m!EM$30,INDEX(Vol_V,17,EM$170)/12)*(1+V_dVol),0))</f>
        <v>0</v>
      </c>
      <c r="EN193" s="48" t="n">
        <f aca="false">IF(EN$8=1,N(Reales!EN28),IF(EN$171=1,IF(AND(AND(139&gt;Corte,139&lt;=Corte+n_Ventana),ISNUMBER(Detalle_24m!EN$30)),Detalle_24m!EN$30,INDEX(Vol_V,17,EN$170)/12)*(1+V_dVol),0))</f>
        <v>0</v>
      </c>
      <c r="EO193" s="48" t="n">
        <f aca="false">IF(EO$8=1,N(Reales!EO28),IF(EO$171=1,IF(AND(AND(140&gt;Corte,140&lt;=Corte+n_Ventana),ISNUMBER(Detalle_24m!EO$30)),Detalle_24m!EO$30,INDEX(Vol_V,17,EO$170)/12)*(1+V_dVol),0))</f>
        <v>0</v>
      </c>
      <c r="EP193" s="48" t="n">
        <f aca="false">IF(EP$8=1,N(Reales!EP28),IF(EP$171=1,IF(AND(AND(141&gt;Corte,141&lt;=Corte+n_Ventana),ISNUMBER(Detalle_24m!EP$30)),Detalle_24m!EP$30,INDEX(Vol_V,17,EP$170)/12)*(1+V_dVol),0))</f>
        <v>0</v>
      </c>
      <c r="EQ193" s="48" t="n">
        <f aca="false">IF(EQ$8=1,N(Reales!EQ28),IF(EQ$171=1,IF(AND(AND(142&gt;Corte,142&lt;=Corte+n_Ventana),ISNUMBER(Detalle_24m!EQ$30)),Detalle_24m!EQ$30,INDEX(Vol_V,17,EQ$170)/12)*(1+V_dVol),0))</f>
        <v>0</v>
      </c>
      <c r="ER193" s="48" t="n">
        <f aca="false">IF(ER$8=1,N(Reales!ER28),IF(ER$171=1,IF(AND(AND(143&gt;Corte,143&lt;=Corte+n_Ventana),ISNUMBER(Detalle_24m!ER$30)),Detalle_24m!ER$30,INDEX(Vol_V,17,ER$170)/12)*(1+V_dVol),0))</f>
        <v>0</v>
      </c>
      <c r="ES193" s="48" t="n">
        <f aca="false">IF(ES$8=1,N(Reales!ES28),IF(ES$171=1,IF(AND(AND(144&gt;Corte,144&lt;=Corte+n_Ventana),ISNUMBER(Detalle_24m!ES$30)),Detalle_24m!ES$30,INDEX(Vol_V,17,ES$170)/12)*(1+V_dVol),0))</f>
        <v>0</v>
      </c>
    </row>
    <row r="194" customFormat="false" ht="15" hidden="false" customHeight="false" outlineLevel="0" collapsed="false">
      <c r="A194" s="11" t="s">
        <v>1317</v>
      </c>
      <c r="B194" s="53" t="str">
        <f aca="false">IF(INDEX(Prod_Nombre,18)="","Producto 18",INDEX(Prod_Nombre,18))&amp;" — unidades"</f>
        <v>Producto 18 — unidades</v>
      </c>
      <c r="C194" s="15" t="s">
        <v>544</v>
      </c>
      <c r="E194" s="54" t="n">
        <f aca="false">SUM(F194:ES194)</f>
        <v>0</v>
      </c>
      <c r="F194" s="48" t="n">
        <f aca="false">IF(F$8=1,N(Reales!F29),IF(F$171=1,IF(AND(AND(1&gt;Corte,1&lt;=Corte+n_Ventana),ISNUMBER(Detalle_24m!F$31)),Detalle_24m!F$31,INDEX(Vol_V,18,F$170)/12)*(1+V_dVol),0))</f>
        <v>0</v>
      </c>
      <c r="G194" s="48" t="n">
        <f aca="false">IF(G$8=1,N(Reales!G29),IF(G$171=1,IF(AND(AND(2&gt;Corte,2&lt;=Corte+n_Ventana),ISNUMBER(Detalle_24m!G$31)),Detalle_24m!G$31,INDEX(Vol_V,18,G$170)/12)*(1+V_dVol),0))</f>
        <v>0</v>
      </c>
      <c r="H194" s="48" t="n">
        <f aca="false">IF(H$8=1,N(Reales!H29),IF(H$171=1,IF(AND(AND(3&gt;Corte,3&lt;=Corte+n_Ventana),ISNUMBER(Detalle_24m!H$31)),Detalle_24m!H$31,INDEX(Vol_V,18,H$170)/12)*(1+V_dVol),0))</f>
        <v>0</v>
      </c>
      <c r="I194" s="48" t="n">
        <f aca="false">IF(I$8=1,N(Reales!I29),IF(I$171=1,IF(AND(AND(4&gt;Corte,4&lt;=Corte+n_Ventana),ISNUMBER(Detalle_24m!I$31)),Detalle_24m!I$31,INDEX(Vol_V,18,I$170)/12)*(1+V_dVol),0))</f>
        <v>0</v>
      </c>
      <c r="J194" s="48" t="n">
        <f aca="false">IF(J$8=1,N(Reales!J29),IF(J$171=1,IF(AND(AND(5&gt;Corte,5&lt;=Corte+n_Ventana),ISNUMBER(Detalle_24m!J$31)),Detalle_24m!J$31,INDEX(Vol_V,18,J$170)/12)*(1+V_dVol),0))</f>
        <v>0</v>
      </c>
      <c r="K194" s="48" t="n">
        <f aca="false">IF(K$8=1,N(Reales!K29),IF(K$171=1,IF(AND(AND(6&gt;Corte,6&lt;=Corte+n_Ventana),ISNUMBER(Detalle_24m!K$31)),Detalle_24m!K$31,INDEX(Vol_V,18,K$170)/12)*(1+V_dVol),0))</f>
        <v>0</v>
      </c>
      <c r="L194" s="48" t="n">
        <f aca="false">IF(L$8=1,N(Reales!L29),IF(L$171=1,IF(AND(AND(7&gt;Corte,7&lt;=Corte+n_Ventana),ISNUMBER(Detalle_24m!L$31)),Detalle_24m!L$31,INDEX(Vol_V,18,L$170)/12)*(1+V_dVol),0))</f>
        <v>0</v>
      </c>
      <c r="M194" s="48" t="n">
        <f aca="false">IF(M$8=1,N(Reales!M29),IF(M$171=1,IF(AND(AND(8&gt;Corte,8&lt;=Corte+n_Ventana),ISNUMBER(Detalle_24m!M$31)),Detalle_24m!M$31,INDEX(Vol_V,18,M$170)/12)*(1+V_dVol),0))</f>
        <v>0</v>
      </c>
      <c r="N194" s="48" t="n">
        <f aca="false">IF(N$8=1,N(Reales!N29),IF(N$171=1,IF(AND(AND(9&gt;Corte,9&lt;=Corte+n_Ventana),ISNUMBER(Detalle_24m!N$31)),Detalle_24m!N$31,INDEX(Vol_V,18,N$170)/12)*(1+V_dVol),0))</f>
        <v>0</v>
      </c>
      <c r="O194" s="48" t="n">
        <f aca="false">IF(O$8=1,N(Reales!O29),IF(O$171=1,IF(AND(AND(10&gt;Corte,10&lt;=Corte+n_Ventana),ISNUMBER(Detalle_24m!O$31)),Detalle_24m!O$31,INDEX(Vol_V,18,O$170)/12)*(1+V_dVol),0))</f>
        <v>0</v>
      </c>
      <c r="P194" s="48" t="n">
        <f aca="false">IF(P$8=1,N(Reales!P29),IF(P$171=1,IF(AND(AND(11&gt;Corte,11&lt;=Corte+n_Ventana),ISNUMBER(Detalle_24m!P$31)),Detalle_24m!P$31,INDEX(Vol_V,18,P$170)/12)*(1+V_dVol),0))</f>
        <v>0</v>
      </c>
      <c r="Q194" s="48" t="n">
        <f aca="false">IF(Q$8=1,N(Reales!Q29),IF(Q$171=1,IF(AND(AND(12&gt;Corte,12&lt;=Corte+n_Ventana),ISNUMBER(Detalle_24m!Q$31)),Detalle_24m!Q$31,INDEX(Vol_V,18,Q$170)/12)*(1+V_dVol),0))</f>
        <v>0</v>
      </c>
      <c r="R194" s="48" t="n">
        <f aca="false">IF(R$8=1,N(Reales!R29),IF(R$171=1,IF(AND(AND(13&gt;Corte,13&lt;=Corte+n_Ventana),ISNUMBER(Detalle_24m!R$31)),Detalle_24m!R$31,INDEX(Vol_V,18,R$170)/12)*(1+V_dVol),0))</f>
        <v>0</v>
      </c>
      <c r="S194" s="48" t="n">
        <f aca="false">IF(S$8=1,N(Reales!S29),IF(S$171=1,IF(AND(AND(14&gt;Corte,14&lt;=Corte+n_Ventana),ISNUMBER(Detalle_24m!S$31)),Detalle_24m!S$31,INDEX(Vol_V,18,S$170)/12)*(1+V_dVol),0))</f>
        <v>0</v>
      </c>
      <c r="T194" s="48" t="n">
        <f aca="false">IF(T$8=1,N(Reales!T29),IF(T$171=1,IF(AND(AND(15&gt;Corte,15&lt;=Corte+n_Ventana),ISNUMBER(Detalle_24m!T$31)),Detalle_24m!T$31,INDEX(Vol_V,18,T$170)/12)*(1+V_dVol),0))</f>
        <v>0</v>
      </c>
      <c r="U194" s="48" t="n">
        <f aca="false">IF(U$8=1,N(Reales!U29),IF(U$171=1,IF(AND(AND(16&gt;Corte,16&lt;=Corte+n_Ventana),ISNUMBER(Detalle_24m!U$31)),Detalle_24m!U$31,INDEX(Vol_V,18,U$170)/12)*(1+V_dVol),0))</f>
        <v>0</v>
      </c>
      <c r="V194" s="48" t="n">
        <f aca="false">IF(V$8=1,N(Reales!V29),IF(V$171=1,IF(AND(AND(17&gt;Corte,17&lt;=Corte+n_Ventana),ISNUMBER(Detalle_24m!V$31)),Detalle_24m!V$31,INDEX(Vol_V,18,V$170)/12)*(1+V_dVol),0))</f>
        <v>0</v>
      </c>
      <c r="W194" s="48" t="n">
        <f aca="false">IF(W$8=1,N(Reales!W29),IF(W$171=1,IF(AND(AND(18&gt;Corte,18&lt;=Corte+n_Ventana),ISNUMBER(Detalle_24m!W$31)),Detalle_24m!W$31,INDEX(Vol_V,18,W$170)/12)*(1+V_dVol),0))</f>
        <v>0</v>
      </c>
      <c r="X194" s="48" t="n">
        <f aca="false">IF(X$8=1,N(Reales!X29),IF(X$171=1,IF(AND(AND(19&gt;Corte,19&lt;=Corte+n_Ventana),ISNUMBER(Detalle_24m!X$31)),Detalle_24m!X$31,INDEX(Vol_V,18,X$170)/12)*(1+V_dVol),0))</f>
        <v>0</v>
      </c>
      <c r="Y194" s="48" t="n">
        <f aca="false">IF(Y$8=1,N(Reales!Y29),IF(Y$171=1,IF(AND(AND(20&gt;Corte,20&lt;=Corte+n_Ventana),ISNUMBER(Detalle_24m!Y$31)),Detalle_24m!Y$31,INDEX(Vol_V,18,Y$170)/12)*(1+V_dVol),0))</f>
        <v>0</v>
      </c>
      <c r="Z194" s="48" t="n">
        <f aca="false">IF(Z$8=1,N(Reales!Z29),IF(Z$171=1,IF(AND(AND(21&gt;Corte,21&lt;=Corte+n_Ventana),ISNUMBER(Detalle_24m!Z$31)),Detalle_24m!Z$31,INDEX(Vol_V,18,Z$170)/12)*(1+V_dVol),0))</f>
        <v>0</v>
      </c>
      <c r="AA194" s="48" t="n">
        <f aca="false">IF(AA$8=1,N(Reales!AA29),IF(AA$171=1,IF(AND(AND(22&gt;Corte,22&lt;=Corte+n_Ventana),ISNUMBER(Detalle_24m!AA$31)),Detalle_24m!AA$31,INDEX(Vol_V,18,AA$170)/12)*(1+V_dVol),0))</f>
        <v>0</v>
      </c>
      <c r="AB194" s="48" t="n">
        <f aca="false">IF(AB$8=1,N(Reales!AB29),IF(AB$171=1,IF(AND(AND(23&gt;Corte,23&lt;=Corte+n_Ventana),ISNUMBER(Detalle_24m!AB$31)),Detalle_24m!AB$31,INDEX(Vol_V,18,AB$170)/12)*(1+V_dVol),0))</f>
        <v>0</v>
      </c>
      <c r="AC194" s="48" t="n">
        <f aca="false">IF(AC$8=1,N(Reales!AC29),IF(AC$171=1,IF(AND(AND(24&gt;Corte,24&lt;=Corte+n_Ventana),ISNUMBER(Detalle_24m!AC$31)),Detalle_24m!AC$31,INDEX(Vol_V,18,AC$170)/12)*(1+V_dVol),0))</f>
        <v>0</v>
      </c>
      <c r="AD194" s="48" t="n">
        <f aca="false">IF(AD$8=1,N(Reales!AD29),IF(AD$171=1,IF(AND(AND(25&gt;Corte,25&lt;=Corte+n_Ventana),ISNUMBER(Detalle_24m!AD$31)),Detalle_24m!AD$31,INDEX(Vol_V,18,AD$170)/12)*(1+V_dVol),0))</f>
        <v>0</v>
      </c>
      <c r="AE194" s="48" t="n">
        <f aca="false">IF(AE$8=1,N(Reales!AE29),IF(AE$171=1,IF(AND(AND(26&gt;Corte,26&lt;=Corte+n_Ventana),ISNUMBER(Detalle_24m!AE$31)),Detalle_24m!AE$31,INDEX(Vol_V,18,AE$170)/12)*(1+V_dVol),0))</f>
        <v>0</v>
      </c>
      <c r="AF194" s="48" t="n">
        <f aca="false">IF(AF$8=1,N(Reales!AF29),IF(AF$171=1,IF(AND(AND(27&gt;Corte,27&lt;=Corte+n_Ventana),ISNUMBER(Detalle_24m!AF$31)),Detalle_24m!AF$31,INDEX(Vol_V,18,AF$170)/12)*(1+V_dVol),0))</f>
        <v>0</v>
      </c>
      <c r="AG194" s="48" t="n">
        <f aca="false">IF(AG$8=1,N(Reales!AG29),IF(AG$171=1,IF(AND(AND(28&gt;Corte,28&lt;=Corte+n_Ventana),ISNUMBER(Detalle_24m!AG$31)),Detalle_24m!AG$31,INDEX(Vol_V,18,AG$170)/12)*(1+V_dVol),0))</f>
        <v>0</v>
      </c>
      <c r="AH194" s="48" t="n">
        <f aca="false">IF(AH$8=1,N(Reales!AH29),IF(AH$171=1,IF(AND(AND(29&gt;Corte,29&lt;=Corte+n_Ventana),ISNUMBER(Detalle_24m!AH$31)),Detalle_24m!AH$31,INDEX(Vol_V,18,AH$170)/12)*(1+V_dVol),0))</f>
        <v>0</v>
      </c>
      <c r="AI194" s="48" t="n">
        <f aca="false">IF(AI$8=1,N(Reales!AI29),IF(AI$171=1,IF(AND(AND(30&gt;Corte,30&lt;=Corte+n_Ventana),ISNUMBER(Detalle_24m!AI$31)),Detalle_24m!AI$31,INDEX(Vol_V,18,AI$170)/12)*(1+V_dVol),0))</f>
        <v>0</v>
      </c>
      <c r="AJ194" s="48" t="n">
        <f aca="false">IF(AJ$8=1,N(Reales!AJ29),IF(AJ$171=1,IF(AND(AND(31&gt;Corte,31&lt;=Corte+n_Ventana),ISNUMBER(Detalle_24m!AJ$31)),Detalle_24m!AJ$31,INDEX(Vol_V,18,AJ$170)/12)*(1+V_dVol),0))</f>
        <v>0</v>
      </c>
      <c r="AK194" s="48" t="n">
        <f aca="false">IF(AK$8=1,N(Reales!AK29),IF(AK$171=1,IF(AND(AND(32&gt;Corte,32&lt;=Corte+n_Ventana),ISNUMBER(Detalle_24m!AK$31)),Detalle_24m!AK$31,INDEX(Vol_V,18,AK$170)/12)*(1+V_dVol),0))</f>
        <v>0</v>
      </c>
      <c r="AL194" s="48" t="n">
        <f aca="false">IF(AL$8=1,N(Reales!AL29),IF(AL$171=1,IF(AND(AND(33&gt;Corte,33&lt;=Corte+n_Ventana),ISNUMBER(Detalle_24m!AL$31)),Detalle_24m!AL$31,INDEX(Vol_V,18,AL$170)/12)*(1+V_dVol),0))</f>
        <v>0</v>
      </c>
      <c r="AM194" s="48" t="n">
        <f aca="false">IF(AM$8=1,N(Reales!AM29),IF(AM$171=1,IF(AND(AND(34&gt;Corte,34&lt;=Corte+n_Ventana),ISNUMBER(Detalle_24m!AM$31)),Detalle_24m!AM$31,INDEX(Vol_V,18,AM$170)/12)*(1+V_dVol),0))</f>
        <v>0</v>
      </c>
      <c r="AN194" s="48" t="n">
        <f aca="false">IF(AN$8=1,N(Reales!AN29),IF(AN$171=1,IF(AND(AND(35&gt;Corte,35&lt;=Corte+n_Ventana),ISNUMBER(Detalle_24m!AN$31)),Detalle_24m!AN$31,INDEX(Vol_V,18,AN$170)/12)*(1+V_dVol),0))</f>
        <v>0</v>
      </c>
      <c r="AO194" s="48" t="n">
        <f aca="false">IF(AO$8=1,N(Reales!AO29),IF(AO$171=1,IF(AND(AND(36&gt;Corte,36&lt;=Corte+n_Ventana),ISNUMBER(Detalle_24m!AO$31)),Detalle_24m!AO$31,INDEX(Vol_V,18,AO$170)/12)*(1+V_dVol),0))</f>
        <v>0</v>
      </c>
      <c r="AP194" s="48" t="n">
        <f aca="false">IF(AP$8=1,N(Reales!AP29),IF(AP$171=1,IF(AND(AND(37&gt;Corte,37&lt;=Corte+n_Ventana),ISNUMBER(Detalle_24m!AP$31)),Detalle_24m!AP$31,INDEX(Vol_V,18,AP$170)/12)*(1+V_dVol),0))</f>
        <v>0</v>
      </c>
      <c r="AQ194" s="48" t="n">
        <f aca="false">IF(AQ$8=1,N(Reales!AQ29),IF(AQ$171=1,IF(AND(AND(38&gt;Corte,38&lt;=Corte+n_Ventana),ISNUMBER(Detalle_24m!AQ$31)),Detalle_24m!AQ$31,INDEX(Vol_V,18,AQ$170)/12)*(1+V_dVol),0))</f>
        <v>0</v>
      </c>
      <c r="AR194" s="48" t="n">
        <f aca="false">IF(AR$8=1,N(Reales!AR29),IF(AR$171=1,IF(AND(AND(39&gt;Corte,39&lt;=Corte+n_Ventana),ISNUMBER(Detalle_24m!AR$31)),Detalle_24m!AR$31,INDEX(Vol_V,18,AR$170)/12)*(1+V_dVol),0))</f>
        <v>0</v>
      </c>
      <c r="AS194" s="48" t="n">
        <f aca="false">IF(AS$8=1,N(Reales!AS29),IF(AS$171=1,IF(AND(AND(40&gt;Corte,40&lt;=Corte+n_Ventana),ISNUMBER(Detalle_24m!AS$31)),Detalle_24m!AS$31,INDEX(Vol_V,18,AS$170)/12)*(1+V_dVol),0))</f>
        <v>0</v>
      </c>
      <c r="AT194" s="48" t="n">
        <f aca="false">IF(AT$8=1,N(Reales!AT29),IF(AT$171=1,IF(AND(AND(41&gt;Corte,41&lt;=Corte+n_Ventana),ISNUMBER(Detalle_24m!AT$31)),Detalle_24m!AT$31,INDEX(Vol_V,18,AT$170)/12)*(1+V_dVol),0))</f>
        <v>0</v>
      </c>
      <c r="AU194" s="48" t="n">
        <f aca="false">IF(AU$8=1,N(Reales!AU29),IF(AU$171=1,IF(AND(AND(42&gt;Corte,42&lt;=Corte+n_Ventana),ISNUMBER(Detalle_24m!AU$31)),Detalle_24m!AU$31,INDEX(Vol_V,18,AU$170)/12)*(1+V_dVol),0))</f>
        <v>0</v>
      </c>
      <c r="AV194" s="48" t="n">
        <f aca="false">IF(AV$8=1,N(Reales!AV29),IF(AV$171=1,IF(AND(AND(43&gt;Corte,43&lt;=Corte+n_Ventana),ISNUMBER(Detalle_24m!AV$31)),Detalle_24m!AV$31,INDEX(Vol_V,18,AV$170)/12)*(1+V_dVol),0))</f>
        <v>0</v>
      </c>
      <c r="AW194" s="48" t="n">
        <f aca="false">IF(AW$8=1,N(Reales!AW29),IF(AW$171=1,IF(AND(AND(44&gt;Corte,44&lt;=Corte+n_Ventana),ISNUMBER(Detalle_24m!AW$31)),Detalle_24m!AW$31,INDEX(Vol_V,18,AW$170)/12)*(1+V_dVol),0))</f>
        <v>0</v>
      </c>
      <c r="AX194" s="48" t="n">
        <f aca="false">IF(AX$8=1,N(Reales!AX29),IF(AX$171=1,IF(AND(AND(45&gt;Corte,45&lt;=Corte+n_Ventana),ISNUMBER(Detalle_24m!AX$31)),Detalle_24m!AX$31,INDEX(Vol_V,18,AX$170)/12)*(1+V_dVol),0))</f>
        <v>0</v>
      </c>
      <c r="AY194" s="48" t="n">
        <f aca="false">IF(AY$8=1,N(Reales!AY29),IF(AY$171=1,IF(AND(AND(46&gt;Corte,46&lt;=Corte+n_Ventana),ISNUMBER(Detalle_24m!AY$31)),Detalle_24m!AY$31,INDEX(Vol_V,18,AY$170)/12)*(1+V_dVol),0))</f>
        <v>0</v>
      </c>
      <c r="AZ194" s="48" t="n">
        <f aca="false">IF(AZ$8=1,N(Reales!AZ29),IF(AZ$171=1,IF(AND(AND(47&gt;Corte,47&lt;=Corte+n_Ventana),ISNUMBER(Detalle_24m!AZ$31)),Detalle_24m!AZ$31,INDEX(Vol_V,18,AZ$170)/12)*(1+V_dVol),0))</f>
        <v>0</v>
      </c>
      <c r="BA194" s="48" t="n">
        <f aca="false">IF(BA$8=1,N(Reales!BA29),IF(BA$171=1,IF(AND(AND(48&gt;Corte,48&lt;=Corte+n_Ventana),ISNUMBER(Detalle_24m!BA$31)),Detalle_24m!BA$31,INDEX(Vol_V,18,BA$170)/12)*(1+V_dVol),0))</f>
        <v>0</v>
      </c>
      <c r="BB194" s="48" t="n">
        <f aca="false">IF(BB$8=1,N(Reales!BB29),IF(BB$171=1,IF(AND(AND(49&gt;Corte,49&lt;=Corte+n_Ventana),ISNUMBER(Detalle_24m!BB$31)),Detalle_24m!BB$31,INDEX(Vol_V,18,BB$170)/12)*(1+V_dVol),0))</f>
        <v>0</v>
      </c>
      <c r="BC194" s="48" t="n">
        <f aca="false">IF(BC$8=1,N(Reales!BC29),IF(BC$171=1,IF(AND(AND(50&gt;Corte,50&lt;=Corte+n_Ventana),ISNUMBER(Detalle_24m!BC$31)),Detalle_24m!BC$31,INDEX(Vol_V,18,BC$170)/12)*(1+V_dVol),0))</f>
        <v>0</v>
      </c>
      <c r="BD194" s="48" t="n">
        <f aca="false">IF(BD$8=1,N(Reales!BD29),IF(BD$171=1,IF(AND(AND(51&gt;Corte,51&lt;=Corte+n_Ventana),ISNUMBER(Detalle_24m!BD$31)),Detalle_24m!BD$31,INDEX(Vol_V,18,BD$170)/12)*(1+V_dVol),0))</f>
        <v>0</v>
      </c>
      <c r="BE194" s="48" t="n">
        <f aca="false">IF(BE$8=1,N(Reales!BE29),IF(BE$171=1,IF(AND(AND(52&gt;Corte,52&lt;=Corte+n_Ventana),ISNUMBER(Detalle_24m!BE$31)),Detalle_24m!BE$31,INDEX(Vol_V,18,BE$170)/12)*(1+V_dVol),0))</f>
        <v>0</v>
      </c>
      <c r="BF194" s="48" t="n">
        <f aca="false">IF(BF$8=1,N(Reales!BF29),IF(BF$171=1,IF(AND(AND(53&gt;Corte,53&lt;=Corte+n_Ventana),ISNUMBER(Detalle_24m!BF$31)),Detalle_24m!BF$31,INDEX(Vol_V,18,BF$170)/12)*(1+V_dVol),0))</f>
        <v>0</v>
      </c>
      <c r="BG194" s="48" t="n">
        <f aca="false">IF(BG$8=1,N(Reales!BG29),IF(BG$171=1,IF(AND(AND(54&gt;Corte,54&lt;=Corte+n_Ventana),ISNUMBER(Detalle_24m!BG$31)),Detalle_24m!BG$31,INDEX(Vol_V,18,BG$170)/12)*(1+V_dVol),0))</f>
        <v>0</v>
      </c>
      <c r="BH194" s="48" t="n">
        <f aca="false">IF(BH$8=1,N(Reales!BH29),IF(BH$171=1,IF(AND(AND(55&gt;Corte,55&lt;=Corte+n_Ventana),ISNUMBER(Detalle_24m!BH$31)),Detalle_24m!BH$31,INDEX(Vol_V,18,BH$170)/12)*(1+V_dVol),0))</f>
        <v>0</v>
      </c>
      <c r="BI194" s="48" t="n">
        <f aca="false">IF(BI$8=1,N(Reales!BI29),IF(BI$171=1,IF(AND(AND(56&gt;Corte,56&lt;=Corte+n_Ventana),ISNUMBER(Detalle_24m!BI$31)),Detalle_24m!BI$31,INDEX(Vol_V,18,BI$170)/12)*(1+V_dVol),0))</f>
        <v>0</v>
      </c>
      <c r="BJ194" s="48" t="n">
        <f aca="false">IF(BJ$8=1,N(Reales!BJ29),IF(BJ$171=1,IF(AND(AND(57&gt;Corte,57&lt;=Corte+n_Ventana),ISNUMBER(Detalle_24m!BJ$31)),Detalle_24m!BJ$31,INDEX(Vol_V,18,BJ$170)/12)*(1+V_dVol),0))</f>
        <v>0</v>
      </c>
      <c r="BK194" s="48" t="n">
        <f aca="false">IF(BK$8=1,N(Reales!BK29),IF(BK$171=1,IF(AND(AND(58&gt;Corte,58&lt;=Corte+n_Ventana),ISNUMBER(Detalle_24m!BK$31)),Detalle_24m!BK$31,INDEX(Vol_V,18,BK$170)/12)*(1+V_dVol),0))</f>
        <v>0</v>
      </c>
      <c r="BL194" s="48" t="n">
        <f aca="false">IF(BL$8=1,N(Reales!BL29),IF(BL$171=1,IF(AND(AND(59&gt;Corte,59&lt;=Corte+n_Ventana),ISNUMBER(Detalle_24m!BL$31)),Detalle_24m!BL$31,INDEX(Vol_V,18,BL$170)/12)*(1+V_dVol),0))</f>
        <v>0</v>
      </c>
      <c r="BM194" s="48" t="n">
        <f aca="false">IF(BM$8=1,N(Reales!BM29),IF(BM$171=1,IF(AND(AND(60&gt;Corte,60&lt;=Corte+n_Ventana),ISNUMBER(Detalle_24m!BM$31)),Detalle_24m!BM$31,INDEX(Vol_V,18,BM$170)/12)*(1+V_dVol),0))</f>
        <v>0</v>
      </c>
      <c r="BN194" s="48" t="n">
        <f aca="false">IF(BN$8=1,N(Reales!BN29),IF(BN$171=1,IF(AND(AND(61&gt;Corte,61&lt;=Corte+n_Ventana),ISNUMBER(Detalle_24m!BN$31)),Detalle_24m!BN$31,INDEX(Vol_V,18,BN$170)/12)*(1+V_dVol),0))</f>
        <v>0</v>
      </c>
      <c r="BO194" s="48" t="n">
        <f aca="false">IF(BO$8=1,N(Reales!BO29),IF(BO$171=1,IF(AND(AND(62&gt;Corte,62&lt;=Corte+n_Ventana),ISNUMBER(Detalle_24m!BO$31)),Detalle_24m!BO$31,INDEX(Vol_V,18,BO$170)/12)*(1+V_dVol),0))</f>
        <v>0</v>
      </c>
      <c r="BP194" s="48" t="n">
        <f aca="false">IF(BP$8=1,N(Reales!BP29),IF(BP$171=1,IF(AND(AND(63&gt;Corte,63&lt;=Corte+n_Ventana),ISNUMBER(Detalle_24m!BP$31)),Detalle_24m!BP$31,INDEX(Vol_V,18,BP$170)/12)*(1+V_dVol),0))</f>
        <v>0</v>
      </c>
      <c r="BQ194" s="48" t="n">
        <f aca="false">IF(BQ$8=1,N(Reales!BQ29),IF(BQ$171=1,IF(AND(AND(64&gt;Corte,64&lt;=Corte+n_Ventana),ISNUMBER(Detalle_24m!BQ$31)),Detalle_24m!BQ$31,INDEX(Vol_V,18,BQ$170)/12)*(1+V_dVol),0))</f>
        <v>0</v>
      </c>
      <c r="BR194" s="48" t="n">
        <f aca="false">IF(BR$8=1,N(Reales!BR29),IF(BR$171=1,IF(AND(AND(65&gt;Corte,65&lt;=Corte+n_Ventana),ISNUMBER(Detalle_24m!BR$31)),Detalle_24m!BR$31,INDEX(Vol_V,18,BR$170)/12)*(1+V_dVol),0))</f>
        <v>0</v>
      </c>
      <c r="BS194" s="48" t="n">
        <f aca="false">IF(BS$8=1,N(Reales!BS29),IF(BS$171=1,IF(AND(AND(66&gt;Corte,66&lt;=Corte+n_Ventana),ISNUMBER(Detalle_24m!BS$31)),Detalle_24m!BS$31,INDEX(Vol_V,18,BS$170)/12)*(1+V_dVol),0))</f>
        <v>0</v>
      </c>
      <c r="BT194" s="48" t="n">
        <f aca="false">IF(BT$8=1,N(Reales!BT29),IF(BT$171=1,IF(AND(AND(67&gt;Corte,67&lt;=Corte+n_Ventana),ISNUMBER(Detalle_24m!BT$31)),Detalle_24m!BT$31,INDEX(Vol_V,18,BT$170)/12)*(1+V_dVol),0))</f>
        <v>0</v>
      </c>
      <c r="BU194" s="48" t="n">
        <f aca="false">IF(BU$8=1,N(Reales!BU29),IF(BU$171=1,IF(AND(AND(68&gt;Corte,68&lt;=Corte+n_Ventana),ISNUMBER(Detalle_24m!BU$31)),Detalle_24m!BU$31,INDEX(Vol_V,18,BU$170)/12)*(1+V_dVol),0))</f>
        <v>0</v>
      </c>
      <c r="BV194" s="48" t="n">
        <f aca="false">IF(BV$8=1,N(Reales!BV29),IF(BV$171=1,IF(AND(AND(69&gt;Corte,69&lt;=Corte+n_Ventana),ISNUMBER(Detalle_24m!BV$31)),Detalle_24m!BV$31,INDEX(Vol_V,18,BV$170)/12)*(1+V_dVol),0))</f>
        <v>0</v>
      </c>
      <c r="BW194" s="48" t="n">
        <f aca="false">IF(BW$8=1,N(Reales!BW29),IF(BW$171=1,IF(AND(AND(70&gt;Corte,70&lt;=Corte+n_Ventana),ISNUMBER(Detalle_24m!BW$31)),Detalle_24m!BW$31,INDEX(Vol_V,18,BW$170)/12)*(1+V_dVol),0))</f>
        <v>0</v>
      </c>
      <c r="BX194" s="48" t="n">
        <f aca="false">IF(BX$8=1,N(Reales!BX29),IF(BX$171=1,IF(AND(AND(71&gt;Corte,71&lt;=Corte+n_Ventana),ISNUMBER(Detalle_24m!BX$31)),Detalle_24m!BX$31,INDEX(Vol_V,18,BX$170)/12)*(1+V_dVol),0))</f>
        <v>0</v>
      </c>
      <c r="BY194" s="48" t="n">
        <f aca="false">IF(BY$8=1,N(Reales!BY29),IF(BY$171=1,IF(AND(AND(72&gt;Corte,72&lt;=Corte+n_Ventana),ISNUMBER(Detalle_24m!BY$31)),Detalle_24m!BY$31,INDEX(Vol_V,18,BY$170)/12)*(1+V_dVol),0))</f>
        <v>0</v>
      </c>
      <c r="BZ194" s="48" t="n">
        <f aca="false">IF(BZ$8=1,N(Reales!BZ29),IF(BZ$171=1,IF(AND(AND(73&gt;Corte,73&lt;=Corte+n_Ventana),ISNUMBER(Detalle_24m!BZ$31)),Detalle_24m!BZ$31,INDEX(Vol_V,18,BZ$170)/12)*(1+V_dVol),0))</f>
        <v>0</v>
      </c>
      <c r="CA194" s="48" t="n">
        <f aca="false">IF(CA$8=1,N(Reales!CA29),IF(CA$171=1,IF(AND(AND(74&gt;Corte,74&lt;=Corte+n_Ventana),ISNUMBER(Detalle_24m!CA$31)),Detalle_24m!CA$31,INDEX(Vol_V,18,CA$170)/12)*(1+V_dVol),0))</f>
        <v>0</v>
      </c>
      <c r="CB194" s="48" t="n">
        <f aca="false">IF(CB$8=1,N(Reales!CB29),IF(CB$171=1,IF(AND(AND(75&gt;Corte,75&lt;=Corte+n_Ventana),ISNUMBER(Detalle_24m!CB$31)),Detalle_24m!CB$31,INDEX(Vol_V,18,CB$170)/12)*(1+V_dVol),0))</f>
        <v>0</v>
      </c>
      <c r="CC194" s="48" t="n">
        <f aca="false">IF(CC$8=1,N(Reales!CC29),IF(CC$171=1,IF(AND(AND(76&gt;Corte,76&lt;=Corte+n_Ventana),ISNUMBER(Detalle_24m!CC$31)),Detalle_24m!CC$31,INDEX(Vol_V,18,CC$170)/12)*(1+V_dVol),0))</f>
        <v>0</v>
      </c>
      <c r="CD194" s="48" t="n">
        <f aca="false">IF(CD$8=1,N(Reales!CD29),IF(CD$171=1,IF(AND(AND(77&gt;Corte,77&lt;=Corte+n_Ventana),ISNUMBER(Detalle_24m!CD$31)),Detalle_24m!CD$31,INDEX(Vol_V,18,CD$170)/12)*(1+V_dVol),0))</f>
        <v>0</v>
      </c>
      <c r="CE194" s="48" t="n">
        <f aca="false">IF(CE$8=1,N(Reales!CE29),IF(CE$171=1,IF(AND(AND(78&gt;Corte,78&lt;=Corte+n_Ventana),ISNUMBER(Detalle_24m!CE$31)),Detalle_24m!CE$31,INDEX(Vol_V,18,CE$170)/12)*(1+V_dVol),0))</f>
        <v>0</v>
      </c>
      <c r="CF194" s="48" t="n">
        <f aca="false">IF(CF$8=1,N(Reales!CF29),IF(CF$171=1,IF(AND(AND(79&gt;Corte,79&lt;=Corte+n_Ventana),ISNUMBER(Detalle_24m!CF$31)),Detalle_24m!CF$31,INDEX(Vol_V,18,CF$170)/12)*(1+V_dVol),0))</f>
        <v>0</v>
      </c>
      <c r="CG194" s="48" t="n">
        <f aca="false">IF(CG$8=1,N(Reales!CG29),IF(CG$171=1,IF(AND(AND(80&gt;Corte,80&lt;=Corte+n_Ventana),ISNUMBER(Detalle_24m!CG$31)),Detalle_24m!CG$31,INDEX(Vol_V,18,CG$170)/12)*(1+V_dVol),0))</f>
        <v>0</v>
      </c>
      <c r="CH194" s="48" t="n">
        <f aca="false">IF(CH$8=1,N(Reales!CH29),IF(CH$171=1,IF(AND(AND(81&gt;Corte,81&lt;=Corte+n_Ventana),ISNUMBER(Detalle_24m!CH$31)),Detalle_24m!CH$31,INDEX(Vol_V,18,CH$170)/12)*(1+V_dVol),0))</f>
        <v>0</v>
      </c>
      <c r="CI194" s="48" t="n">
        <f aca="false">IF(CI$8=1,N(Reales!CI29),IF(CI$171=1,IF(AND(AND(82&gt;Corte,82&lt;=Corte+n_Ventana),ISNUMBER(Detalle_24m!CI$31)),Detalle_24m!CI$31,INDEX(Vol_V,18,CI$170)/12)*(1+V_dVol),0))</f>
        <v>0</v>
      </c>
      <c r="CJ194" s="48" t="n">
        <f aca="false">IF(CJ$8=1,N(Reales!CJ29),IF(CJ$171=1,IF(AND(AND(83&gt;Corte,83&lt;=Corte+n_Ventana),ISNUMBER(Detalle_24m!CJ$31)),Detalle_24m!CJ$31,INDEX(Vol_V,18,CJ$170)/12)*(1+V_dVol),0))</f>
        <v>0</v>
      </c>
      <c r="CK194" s="48" t="n">
        <f aca="false">IF(CK$8=1,N(Reales!CK29),IF(CK$171=1,IF(AND(AND(84&gt;Corte,84&lt;=Corte+n_Ventana),ISNUMBER(Detalle_24m!CK$31)),Detalle_24m!CK$31,INDEX(Vol_V,18,CK$170)/12)*(1+V_dVol),0))</f>
        <v>0</v>
      </c>
      <c r="CL194" s="48" t="n">
        <f aca="false">IF(CL$8=1,N(Reales!CL29),IF(CL$171=1,IF(AND(AND(85&gt;Corte,85&lt;=Corte+n_Ventana),ISNUMBER(Detalle_24m!CL$31)),Detalle_24m!CL$31,INDEX(Vol_V,18,CL$170)/12)*(1+V_dVol),0))</f>
        <v>0</v>
      </c>
      <c r="CM194" s="48" t="n">
        <f aca="false">IF(CM$8=1,N(Reales!CM29),IF(CM$171=1,IF(AND(AND(86&gt;Corte,86&lt;=Corte+n_Ventana),ISNUMBER(Detalle_24m!CM$31)),Detalle_24m!CM$31,INDEX(Vol_V,18,CM$170)/12)*(1+V_dVol),0))</f>
        <v>0</v>
      </c>
      <c r="CN194" s="48" t="n">
        <f aca="false">IF(CN$8=1,N(Reales!CN29),IF(CN$171=1,IF(AND(AND(87&gt;Corte,87&lt;=Corte+n_Ventana),ISNUMBER(Detalle_24m!CN$31)),Detalle_24m!CN$31,INDEX(Vol_V,18,CN$170)/12)*(1+V_dVol),0))</f>
        <v>0</v>
      </c>
      <c r="CO194" s="48" t="n">
        <f aca="false">IF(CO$8=1,N(Reales!CO29),IF(CO$171=1,IF(AND(AND(88&gt;Corte,88&lt;=Corte+n_Ventana),ISNUMBER(Detalle_24m!CO$31)),Detalle_24m!CO$31,INDEX(Vol_V,18,CO$170)/12)*(1+V_dVol),0))</f>
        <v>0</v>
      </c>
      <c r="CP194" s="48" t="n">
        <f aca="false">IF(CP$8=1,N(Reales!CP29),IF(CP$171=1,IF(AND(AND(89&gt;Corte,89&lt;=Corte+n_Ventana),ISNUMBER(Detalle_24m!CP$31)),Detalle_24m!CP$31,INDEX(Vol_V,18,CP$170)/12)*(1+V_dVol),0))</f>
        <v>0</v>
      </c>
      <c r="CQ194" s="48" t="n">
        <f aca="false">IF(CQ$8=1,N(Reales!CQ29),IF(CQ$171=1,IF(AND(AND(90&gt;Corte,90&lt;=Corte+n_Ventana),ISNUMBER(Detalle_24m!CQ$31)),Detalle_24m!CQ$31,INDEX(Vol_V,18,CQ$170)/12)*(1+V_dVol),0))</f>
        <v>0</v>
      </c>
      <c r="CR194" s="48" t="n">
        <f aca="false">IF(CR$8=1,N(Reales!CR29),IF(CR$171=1,IF(AND(AND(91&gt;Corte,91&lt;=Corte+n_Ventana),ISNUMBER(Detalle_24m!CR$31)),Detalle_24m!CR$31,INDEX(Vol_V,18,CR$170)/12)*(1+V_dVol),0))</f>
        <v>0</v>
      </c>
      <c r="CS194" s="48" t="n">
        <f aca="false">IF(CS$8=1,N(Reales!CS29),IF(CS$171=1,IF(AND(AND(92&gt;Corte,92&lt;=Corte+n_Ventana),ISNUMBER(Detalle_24m!CS$31)),Detalle_24m!CS$31,INDEX(Vol_V,18,CS$170)/12)*(1+V_dVol),0))</f>
        <v>0</v>
      </c>
      <c r="CT194" s="48" t="n">
        <f aca="false">IF(CT$8=1,N(Reales!CT29),IF(CT$171=1,IF(AND(AND(93&gt;Corte,93&lt;=Corte+n_Ventana),ISNUMBER(Detalle_24m!CT$31)),Detalle_24m!CT$31,INDEX(Vol_V,18,CT$170)/12)*(1+V_dVol),0))</f>
        <v>0</v>
      </c>
      <c r="CU194" s="48" t="n">
        <f aca="false">IF(CU$8=1,N(Reales!CU29),IF(CU$171=1,IF(AND(AND(94&gt;Corte,94&lt;=Corte+n_Ventana),ISNUMBER(Detalle_24m!CU$31)),Detalle_24m!CU$31,INDEX(Vol_V,18,CU$170)/12)*(1+V_dVol),0))</f>
        <v>0</v>
      </c>
      <c r="CV194" s="48" t="n">
        <f aca="false">IF(CV$8=1,N(Reales!CV29),IF(CV$171=1,IF(AND(AND(95&gt;Corte,95&lt;=Corte+n_Ventana),ISNUMBER(Detalle_24m!CV$31)),Detalle_24m!CV$31,INDEX(Vol_V,18,CV$170)/12)*(1+V_dVol),0))</f>
        <v>0</v>
      </c>
      <c r="CW194" s="48" t="n">
        <f aca="false">IF(CW$8=1,N(Reales!CW29),IF(CW$171=1,IF(AND(AND(96&gt;Corte,96&lt;=Corte+n_Ventana),ISNUMBER(Detalle_24m!CW$31)),Detalle_24m!CW$31,INDEX(Vol_V,18,CW$170)/12)*(1+V_dVol),0))</f>
        <v>0</v>
      </c>
      <c r="CX194" s="48" t="n">
        <f aca="false">IF(CX$8=1,N(Reales!CX29),IF(CX$171=1,IF(AND(AND(97&gt;Corte,97&lt;=Corte+n_Ventana),ISNUMBER(Detalle_24m!CX$31)),Detalle_24m!CX$31,INDEX(Vol_V,18,CX$170)/12)*(1+V_dVol),0))</f>
        <v>0</v>
      </c>
      <c r="CY194" s="48" t="n">
        <f aca="false">IF(CY$8=1,N(Reales!CY29),IF(CY$171=1,IF(AND(AND(98&gt;Corte,98&lt;=Corte+n_Ventana),ISNUMBER(Detalle_24m!CY$31)),Detalle_24m!CY$31,INDEX(Vol_V,18,CY$170)/12)*(1+V_dVol),0))</f>
        <v>0</v>
      </c>
      <c r="CZ194" s="48" t="n">
        <f aca="false">IF(CZ$8=1,N(Reales!CZ29),IF(CZ$171=1,IF(AND(AND(99&gt;Corte,99&lt;=Corte+n_Ventana),ISNUMBER(Detalle_24m!CZ$31)),Detalle_24m!CZ$31,INDEX(Vol_V,18,CZ$170)/12)*(1+V_dVol),0))</f>
        <v>0</v>
      </c>
      <c r="DA194" s="48" t="n">
        <f aca="false">IF(DA$8=1,N(Reales!DA29),IF(DA$171=1,IF(AND(AND(100&gt;Corte,100&lt;=Corte+n_Ventana),ISNUMBER(Detalle_24m!DA$31)),Detalle_24m!DA$31,INDEX(Vol_V,18,DA$170)/12)*(1+V_dVol),0))</f>
        <v>0</v>
      </c>
      <c r="DB194" s="48" t="n">
        <f aca="false">IF(DB$8=1,N(Reales!DB29),IF(DB$171=1,IF(AND(AND(101&gt;Corte,101&lt;=Corte+n_Ventana),ISNUMBER(Detalle_24m!DB$31)),Detalle_24m!DB$31,INDEX(Vol_V,18,DB$170)/12)*(1+V_dVol),0))</f>
        <v>0</v>
      </c>
      <c r="DC194" s="48" t="n">
        <f aca="false">IF(DC$8=1,N(Reales!DC29),IF(DC$171=1,IF(AND(AND(102&gt;Corte,102&lt;=Corte+n_Ventana),ISNUMBER(Detalle_24m!DC$31)),Detalle_24m!DC$31,INDEX(Vol_V,18,DC$170)/12)*(1+V_dVol),0))</f>
        <v>0</v>
      </c>
      <c r="DD194" s="48" t="n">
        <f aca="false">IF(DD$8=1,N(Reales!DD29),IF(DD$171=1,IF(AND(AND(103&gt;Corte,103&lt;=Corte+n_Ventana),ISNUMBER(Detalle_24m!DD$31)),Detalle_24m!DD$31,INDEX(Vol_V,18,DD$170)/12)*(1+V_dVol),0))</f>
        <v>0</v>
      </c>
      <c r="DE194" s="48" t="n">
        <f aca="false">IF(DE$8=1,N(Reales!DE29),IF(DE$171=1,IF(AND(AND(104&gt;Corte,104&lt;=Corte+n_Ventana),ISNUMBER(Detalle_24m!DE$31)),Detalle_24m!DE$31,INDEX(Vol_V,18,DE$170)/12)*(1+V_dVol),0))</f>
        <v>0</v>
      </c>
      <c r="DF194" s="48" t="n">
        <f aca="false">IF(DF$8=1,N(Reales!DF29),IF(DF$171=1,IF(AND(AND(105&gt;Corte,105&lt;=Corte+n_Ventana),ISNUMBER(Detalle_24m!DF$31)),Detalle_24m!DF$31,INDEX(Vol_V,18,DF$170)/12)*(1+V_dVol),0))</f>
        <v>0</v>
      </c>
      <c r="DG194" s="48" t="n">
        <f aca="false">IF(DG$8=1,N(Reales!DG29),IF(DG$171=1,IF(AND(AND(106&gt;Corte,106&lt;=Corte+n_Ventana),ISNUMBER(Detalle_24m!DG$31)),Detalle_24m!DG$31,INDEX(Vol_V,18,DG$170)/12)*(1+V_dVol),0))</f>
        <v>0</v>
      </c>
      <c r="DH194" s="48" t="n">
        <f aca="false">IF(DH$8=1,N(Reales!DH29),IF(DH$171=1,IF(AND(AND(107&gt;Corte,107&lt;=Corte+n_Ventana),ISNUMBER(Detalle_24m!DH$31)),Detalle_24m!DH$31,INDEX(Vol_V,18,DH$170)/12)*(1+V_dVol),0))</f>
        <v>0</v>
      </c>
      <c r="DI194" s="48" t="n">
        <f aca="false">IF(DI$8=1,N(Reales!DI29),IF(DI$171=1,IF(AND(AND(108&gt;Corte,108&lt;=Corte+n_Ventana),ISNUMBER(Detalle_24m!DI$31)),Detalle_24m!DI$31,INDEX(Vol_V,18,DI$170)/12)*(1+V_dVol),0))</f>
        <v>0</v>
      </c>
      <c r="DJ194" s="48" t="n">
        <f aca="false">IF(DJ$8=1,N(Reales!DJ29),IF(DJ$171=1,IF(AND(AND(109&gt;Corte,109&lt;=Corte+n_Ventana),ISNUMBER(Detalle_24m!DJ$31)),Detalle_24m!DJ$31,INDEX(Vol_V,18,DJ$170)/12)*(1+V_dVol),0))</f>
        <v>0</v>
      </c>
      <c r="DK194" s="48" t="n">
        <f aca="false">IF(DK$8=1,N(Reales!DK29),IF(DK$171=1,IF(AND(AND(110&gt;Corte,110&lt;=Corte+n_Ventana),ISNUMBER(Detalle_24m!DK$31)),Detalle_24m!DK$31,INDEX(Vol_V,18,DK$170)/12)*(1+V_dVol),0))</f>
        <v>0</v>
      </c>
      <c r="DL194" s="48" t="n">
        <f aca="false">IF(DL$8=1,N(Reales!DL29),IF(DL$171=1,IF(AND(AND(111&gt;Corte,111&lt;=Corte+n_Ventana),ISNUMBER(Detalle_24m!DL$31)),Detalle_24m!DL$31,INDEX(Vol_V,18,DL$170)/12)*(1+V_dVol),0))</f>
        <v>0</v>
      </c>
      <c r="DM194" s="48" t="n">
        <f aca="false">IF(DM$8=1,N(Reales!DM29),IF(DM$171=1,IF(AND(AND(112&gt;Corte,112&lt;=Corte+n_Ventana),ISNUMBER(Detalle_24m!DM$31)),Detalle_24m!DM$31,INDEX(Vol_V,18,DM$170)/12)*(1+V_dVol),0))</f>
        <v>0</v>
      </c>
      <c r="DN194" s="48" t="n">
        <f aca="false">IF(DN$8=1,N(Reales!DN29),IF(DN$171=1,IF(AND(AND(113&gt;Corte,113&lt;=Corte+n_Ventana),ISNUMBER(Detalle_24m!DN$31)),Detalle_24m!DN$31,INDEX(Vol_V,18,DN$170)/12)*(1+V_dVol),0))</f>
        <v>0</v>
      </c>
      <c r="DO194" s="48" t="n">
        <f aca="false">IF(DO$8=1,N(Reales!DO29),IF(DO$171=1,IF(AND(AND(114&gt;Corte,114&lt;=Corte+n_Ventana),ISNUMBER(Detalle_24m!DO$31)),Detalle_24m!DO$31,INDEX(Vol_V,18,DO$170)/12)*(1+V_dVol),0))</f>
        <v>0</v>
      </c>
      <c r="DP194" s="48" t="n">
        <f aca="false">IF(DP$8=1,N(Reales!DP29),IF(DP$171=1,IF(AND(AND(115&gt;Corte,115&lt;=Corte+n_Ventana),ISNUMBER(Detalle_24m!DP$31)),Detalle_24m!DP$31,INDEX(Vol_V,18,DP$170)/12)*(1+V_dVol),0))</f>
        <v>0</v>
      </c>
      <c r="DQ194" s="48" t="n">
        <f aca="false">IF(DQ$8=1,N(Reales!DQ29),IF(DQ$171=1,IF(AND(AND(116&gt;Corte,116&lt;=Corte+n_Ventana),ISNUMBER(Detalle_24m!DQ$31)),Detalle_24m!DQ$31,INDEX(Vol_V,18,DQ$170)/12)*(1+V_dVol),0))</f>
        <v>0</v>
      </c>
      <c r="DR194" s="48" t="n">
        <f aca="false">IF(DR$8=1,N(Reales!DR29),IF(DR$171=1,IF(AND(AND(117&gt;Corte,117&lt;=Corte+n_Ventana),ISNUMBER(Detalle_24m!DR$31)),Detalle_24m!DR$31,INDEX(Vol_V,18,DR$170)/12)*(1+V_dVol),0))</f>
        <v>0</v>
      </c>
      <c r="DS194" s="48" t="n">
        <f aca="false">IF(DS$8=1,N(Reales!DS29),IF(DS$171=1,IF(AND(AND(118&gt;Corte,118&lt;=Corte+n_Ventana),ISNUMBER(Detalle_24m!DS$31)),Detalle_24m!DS$31,INDEX(Vol_V,18,DS$170)/12)*(1+V_dVol),0))</f>
        <v>0</v>
      </c>
      <c r="DT194" s="48" t="n">
        <f aca="false">IF(DT$8=1,N(Reales!DT29),IF(DT$171=1,IF(AND(AND(119&gt;Corte,119&lt;=Corte+n_Ventana),ISNUMBER(Detalle_24m!DT$31)),Detalle_24m!DT$31,INDEX(Vol_V,18,DT$170)/12)*(1+V_dVol),0))</f>
        <v>0</v>
      </c>
      <c r="DU194" s="48" t="n">
        <f aca="false">IF(DU$8=1,N(Reales!DU29),IF(DU$171=1,IF(AND(AND(120&gt;Corte,120&lt;=Corte+n_Ventana),ISNUMBER(Detalle_24m!DU$31)),Detalle_24m!DU$31,INDEX(Vol_V,18,DU$170)/12)*(1+V_dVol),0))</f>
        <v>0</v>
      </c>
      <c r="DV194" s="48" t="n">
        <f aca="false">IF(DV$8=1,N(Reales!DV29),IF(DV$171=1,IF(AND(AND(121&gt;Corte,121&lt;=Corte+n_Ventana),ISNUMBER(Detalle_24m!DV$31)),Detalle_24m!DV$31,INDEX(Vol_V,18,DV$170)/12)*(1+V_dVol),0))</f>
        <v>0</v>
      </c>
      <c r="DW194" s="48" t="n">
        <f aca="false">IF(DW$8=1,N(Reales!DW29),IF(DW$171=1,IF(AND(AND(122&gt;Corte,122&lt;=Corte+n_Ventana),ISNUMBER(Detalle_24m!DW$31)),Detalle_24m!DW$31,INDEX(Vol_V,18,DW$170)/12)*(1+V_dVol),0))</f>
        <v>0</v>
      </c>
      <c r="DX194" s="48" t="n">
        <f aca="false">IF(DX$8=1,N(Reales!DX29),IF(DX$171=1,IF(AND(AND(123&gt;Corte,123&lt;=Corte+n_Ventana),ISNUMBER(Detalle_24m!DX$31)),Detalle_24m!DX$31,INDEX(Vol_V,18,DX$170)/12)*(1+V_dVol),0))</f>
        <v>0</v>
      </c>
      <c r="DY194" s="48" t="n">
        <f aca="false">IF(DY$8=1,N(Reales!DY29),IF(DY$171=1,IF(AND(AND(124&gt;Corte,124&lt;=Corte+n_Ventana),ISNUMBER(Detalle_24m!DY$31)),Detalle_24m!DY$31,INDEX(Vol_V,18,DY$170)/12)*(1+V_dVol),0))</f>
        <v>0</v>
      </c>
      <c r="DZ194" s="48" t="n">
        <f aca="false">IF(DZ$8=1,N(Reales!DZ29),IF(DZ$171=1,IF(AND(AND(125&gt;Corte,125&lt;=Corte+n_Ventana),ISNUMBER(Detalle_24m!DZ$31)),Detalle_24m!DZ$31,INDEX(Vol_V,18,DZ$170)/12)*(1+V_dVol),0))</f>
        <v>0</v>
      </c>
      <c r="EA194" s="48" t="n">
        <f aca="false">IF(EA$8=1,N(Reales!EA29),IF(EA$171=1,IF(AND(AND(126&gt;Corte,126&lt;=Corte+n_Ventana),ISNUMBER(Detalle_24m!EA$31)),Detalle_24m!EA$31,INDEX(Vol_V,18,EA$170)/12)*(1+V_dVol),0))</f>
        <v>0</v>
      </c>
      <c r="EB194" s="48" t="n">
        <f aca="false">IF(EB$8=1,N(Reales!EB29),IF(EB$171=1,IF(AND(AND(127&gt;Corte,127&lt;=Corte+n_Ventana),ISNUMBER(Detalle_24m!EB$31)),Detalle_24m!EB$31,INDEX(Vol_V,18,EB$170)/12)*(1+V_dVol),0))</f>
        <v>0</v>
      </c>
      <c r="EC194" s="48" t="n">
        <f aca="false">IF(EC$8=1,N(Reales!EC29),IF(EC$171=1,IF(AND(AND(128&gt;Corte,128&lt;=Corte+n_Ventana),ISNUMBER(Detalle_24m!EC$31)),Detalle_24m!EC$31,INDEX(Vol_V,18,EC$170)/12)*(1+V_dVol),0))</f>
        <v>0</v>
      </c>
      <c r="ED194" s="48" t="n">
        <f aca="false">IF(ED$8=1,N(Reales!ED29),IF(ED$171=1,IF(AND(AND(129&gt;Corte,129&lt;=Corte+n_Ventana),ISNUMBER(Detalle_24m!ED$31)),Detalle_24m!ED$31,INDEX(Vol_V,18,ED$170)/12)*(1+V_dVol),0))</f>
        <v>0</v>
      </c>
      <c r="EE194" s="48" t="n">
        <f aca="false">IF(EE$8=1,N(Reales!EE29),IF(EE$171=1,IF(AND(AND(130&gt;Corte,130&lt;=Corte+n_Ventana),ISNUMBER(Detalle_24m!EE$31)),Detalle_24m!EE$31,INDEX(Vol_V,18,EE$170)/12)*(1+V_dVol),0))</f>
        <v>0</v>
      </c>
      <c r="EF194" s="48" t="n">
        <f aca="false">IF(EF$8=1,N(Reales!EF29),IF(EF$171=1,IF(AND(AND(131&gt;Corte,131&lt;=Corte+n_Ventana),ISNUMBER(Detalle_24m!EF$31)),Detalle_24m!EF$31,INDEX(Vol_V,18,EF$170)/12)*(1+V_dVol),0))</f>
        <v>0</v>
      </c>
      <c r="EG194" s="48" t="n">
        <f aca="false">IF(EG$8=1,N(Reales!EG29),IF(EG$171=1,IF(AND(AND(132&gt;Corte,132&lt;=Corte+n_Ventana),ISNUMBER(Detalle_24m!EG$31)),Detalle_24m!EG$31,INDEX(Vol_V,18,EG$170)/12)*(1+V_dVol),0))</f>
        <v>0</v>
      </c>
      <c r="EH194" s="48" t="n">
        <f aca="false">IF(EH$8=1,N(Reales!EH29),IF(EH$171=1,IF(AND(AND(133&gt;Corte,133&lt;=Corte+n_Ventana),ISNUMBER(Detalle_24m!EH$31)),Detalle_24m!EH$31,INDEX(Vol_V,18,EH$170)/12)*(1+V_dVol),0))</f>
        <v>0</v>
      </c>
      <c r="EI194" s="48" t="n">
        <f aca="false">IF(EI$8=1,N(Reales!EI29),IF(EI$171=1,IF(AND(AND(134&gt;Corte,134&lt;=Corte+n_Ventana),ISNUMBER(Detalle_24m!EI$31)),Detalle_24m!EI$31,INDEX(Vol_V,18,EI$170)/12)*(1+V_dVol),0))</f>
        <v>0</v>
      </c>
      <c r="EJ194" s="48" t="n">
        <f aca="false">IF(EJ$8=1,N(Reales!EJ29),IF(EJ$171=1,IF(AND(AND(135&gt;Corte,135&lt;=Corte+n_Ventana),ISNUMBER(Detalle_24m!EJ$31)),Detalle_24m!EJ$31,INDEX(Vol_V,18,EJ$170)/12)*(1+V_dVol),0))</f>
        <v>0</v>
      </c>
      <c r="EK194" s="48" t="n">
        <f aca="false">IF(EK$8=1,N(Reales!EK29),IF(EK$171=1,IF(AND(AND(136&gt;Corte,136&lt;=Corte+n_Ventana),ISNUMBER(Detalle_24m!EK$31)),Detalle_24m!EK$31,INDEX(Vol_V,18,EK$170)/12)*(1+V_dVol),0))</f>
        <v>0</v>
      </c>
      <c r="EL194" s="48" t="n">
        <f aca="false">IF(EL$8=1,N(Reales!EL29),IF(EL$171=1,IF(AND(AND(137&gt;Corte,137&lt;=Corte+n_Ventana),ISNUMBER(Detalle_24m!EL$31)),Detalle_24m!EL$31,INDEX(Vol_V,18,EL$170)/12)*(1+V_dVol),0))</f>
        <v>0</v>
      </c>
      <c r="EM194" s="48" t="n">
        <f aca="false">IF(EM$8=1,N(Reales!EM29),IF(EM$171=1,IF(AND(AND(138&gt;Corte,138&lt;=Corte+n_Ventana),ISNUMBER(Detalle_24m!EM$31)),Detalle_24m!EM$31,INDEX(Vol_V,18,EM$170)/12)*(1+V_dVol),0))</f>
        <v>0</v>
      </c>
      <c r="EN194" s="48" t="n">
        <f aca="false">IF(EN$8=1,N(Reales!EN29),IF(EN$171=1,IF(AND(AND(139&gt;Corte,139&lt;=Corte+n_Ventana),ISNUMBER(Detalle_24m!EN$31)),Detalle_24m!EN$31,INDEX(Vol_V,18,EN$170)/12)*(1+V_dVol),0))</f>
        <v>0</v>
      </c>
      <c r="EO194" s="48" t="n">
        <f aca="false">IF(EO$8=1,N(Reales!EO29),IF(EO$171=1,IF(AND(AND(140&gt;Corte,140&lt;=Corte+n_Ventana),ISNUMBER(Detalle_24m!EO$31)),Detalle_24m!EO$31,INDEX(Vol_V,18,EO$170)/12)*(1+V_dVol),0))</f>
        <v>0</v>
      </c>
      <c r="EP194" s="48" t="n">
        <f aca="false">IF(EP$8=1,N(Reales!EP29),IF(EP$171=1,IF(AND(AND(141&gt;Corte,141&lt;=Corte+n_Ventana),ISNUMBER(Detalle_24m!EP$31)),Detalle_24m!EP$31,INDEX(Vol_V,18,EP$170)/12)*(1+V_dVol),0))</f>
        <v>0</v>
      </c>
      <c r="EQ194" s="48" t="n">
        <f aca="false">IF(EQ$8=1,N(Reales!EQ29),IF(EQ$171=1,IF(AND(AND(142&gt;Corte,142&lt;=Corte+n_Ventana),ISNUMBER(Detalle_24m!EQ$31)),Detalle_24m!EQ$31,INDEX(Vol_V,18,EQ$170)/12)*(1+V_dVol),0))</f>
        <v>0</v>
      </c>
      <c r="ER194" s="48" t="n">
        <f aca="false">IF(ER$8=1,N(Reales!ER29),IF(ER$171=1,IF(AND(AND(143&gt;Corte,143&lt;=Corte+n_Ventana),ISNUMBER(Detalle_24m!ER$31)),Detalle_24m!ER$31,INDEX(Vol_V,18,ER$170)/12)*(1+V_dVol),0))</f>
        <v>0</v>
      </c>
      <c r="ES194" s="48" t="n">
        <f aca="false">IF(ES$8=1,N(Reales!ES29),IF(ES$171=1,IF(AND(AND(144&gt;Corte,144&lt;=Corte+n_Ventana),ISNUMBER(Detalle_24m!ES$31)),Detalle_24m!ES$31,INDEX(Vol_V,18,ES$170)/12)*(1+V_dVol),0))</f>
        <v>0</v>
      </c>
    </row>
    <row r="195" customFormat="false" ht="15" hidden="false" customHeight="false" outlineLevel="0" collapsed="false">
      <c r="A195" s="11" t="s">
        <v>1318</v>
      </c>
      <c r="B195" s="53" t="str">
        <f aca="false">IF(INDEX(Prod_Nombre,19)="","Producto 19",INDEX(Prod_Nombre,19))&amp;" — unidades"</f>
        <v>Producto 19 — unidades</v>
      </c>
      <c r="C195" s="15" t="s">
        <v>544</v>
      </c>
      <c r="E195" s="54" t="n">
        <f aca="false">SUM(F195:ES195)</f>
        <v>0</v>
      </c>
      <c r="F195" s="48" t="n">
        <f aca="false">IF(F$8=1,N(Reales!F30),IF(F$171=1,IF(AND(AND(1&gt;Corte,1&lt;=Corte+n_Ventana),ISNUMBER(Detalle_24m!F$32)),Detalle_24m!F$32,INDEX(Vol_V,19,F$170)/12)*(1+V_dVol),0))</f>
        <v>0</v>
      </c>
      <c r="G195" s="48" t="n">
        <f aca="false">IF(G$8=1,N(Reales!G30),IF(G$171=1,IF(AND(AND(2&gt;Corte,2&lt;=Corte+n_Ventana),ISNUMBER(Detalle_24m!G$32)),Detalle_24m!G$32,INDEX(Vol_V,19,G$170)/12)*(1+V_dVol),0))</f>
        <v>0</v>
      </c>
      <c r="H195" s="48" t="n">
        <f aca="false">IF(H$8=1,N(Reales!H30),IF(H$171=1,IF(AND(AND(3&gt;Corte,3&lt;=Corte+n_Ventana),ISNUMBER(Detalle_24m!H$32)),Detalle_24m!H$32,INDEX(Vol_V,19,H$170)/12)*(1+V_dVol),0))</f>
        <v>0</v>
      </c>
      <c r="I195" s="48" t="n">
        <f aca="false">IF(I$8=1,N(Reales!I30),IF(I$171=1,IF(AND(AND(4&gt;Corte,4&lt;=Corte+n_Ventana),ISNUMBER(Detalle_24m!I$32)),Detalle_24m!I$32,INDEX(Vol_V,19,I$170)/12)*(1+V_dVol),0))</f>
        <v>0</v>
      </c>
      <c r="J195" s="48" t="n">
        <f aca="false">IF(J$8=1,N(Reales!J30),IF(J$171=1,IF(AND(AND(5&gt;Corte,5&lt;=Corte+n_Ventana),ISNUMBER(Detalle_24m!J$32)),Detalle_24m!J$32,INDEX(Vol_V,19,J$170)/12)*(1+V_dVol),0))</f>
        <v>0</v>
      </c>
      <c r="K195" s="48" t="n">
        <f aca="false">IF(K$8=1,N(Reales!K30),IF(K$171=1,IF(AND(AND(6&gt;Corte,6&lt;=Corte+n_Ventana),ISNUMBER(Detalle_24m!K$32)),Detalle_24m!K$32,INDEX(Vol_V,19,K$170)/12)*(1+V_dVol),0))</f>
        <v>0</v>
      </c>
      <c r="L195" s="48" t="n">
        <f aca="false">IF(L$8=1,N(Reales!L30),IF(L$171=1,IF(AND(AND(7&gt;Corte,7&lt;=Corte+n_Ventana),ISNUMBER(Detalle_24m!L$32)),Detalle_24m!L$32,INDEX(Vol_V,19,L$170)/12)*(1+V_dVol),0))</f>
        <v>0</v>
      </c>
      <c r="M195" s="48" t="n">
        <f aca="false">IF(M$8=1,N(Reales!M30),IF(M$171=1,IF(AND(AND(8&gt;Corte,8&lt;=Corte+n_Ventana),ISNUMBER(Detalle_24m!M$32)),Detalle_24m!M$32,INDEX(Vol_V,19,M$170)/12)*(1+V_dVol),0))</f>
        <v>0</v>
      </c>
      <c r="N195" s="48" t="n">
        <f aca="false">IF(N$8=1,N(Reales!N30),IF(N$171=1,IF(AND(AND(9&gt;Corte,9&lt;=Corte+n_Ventana),ISNUMBER(Detalle_24m!N$32)),Detalle_24m!N$32,INDEX(Vol_V,19,N$170)/12)*(1+V_dVol),0))</f>
        <v>0</v>
      </c>
      <c r="O195" s="48" t="n">
        <f aca="false">IF(O$8=1,N(Reales!O30),IF(O$171=1,IF(AND(AND(10&gt;Corte,10&lt;=Corte+n_Ventana),ISNUMBER(Detalle_24m!O$32)),Detalle_24m!O$32,INDEX(Vol_V,19,O$170)/12)*(1+V_dVol),0))</f>
        <v>0</v>
      </c>
      <c r="P195" s="48" t="n">
        <f aca="false">IF(P$8=1,N(Reales!P30),IF(P$171=1,IF(AND(AND(11&gt;Corte,11&lt;=Corte+n_Ventana),ISNUMBER(Detalle_24m!P$32)),Detalle_24m!P$32,INDEX(Vol_V,19,P$170)/12)*(1+V_dVol),0))</f>
        <v>0</v>
      </c>
      <c r="Q195" s="48" t="n">
        <f aca="false">IF(Q$8=1,N(Reales!Q30),IF(Q$171=1,IF(AND(AND(12&gt;Corte,12&lt;=Corte+n_Ventana),ISNUMBER(Detalle_24m!Q$32)),Detalle_24m!Q$32,INDEX(Vol_V,19,Q$170)/12)*(1+V_dVol),0))</f>
        <v>0</v>
      </c>
      <c r="R195" s="48" t="n">
        <f aca="false">IF(R$8=1,N(Reales!R30),IF(R$171=1,IF(AND(AND(13&gt;Corte,13&lt;=Corte+n_Ventana),ISNUMBER(Detalle_24m!R$32)),Detalle_24m!R$32,INDEX(Vol_V,19,R$170)/12)*(1+V_dVol),0))</f>
        <v>0</v>
      </c>
      <c r="S195" s="48" t="n">
        <f aca="false">IF(S$8=1,N(Reales!S30),IF(S$171=1,IF(AND(AND(14&gt;Corte,14&lt;=Corte+n_Ventana),ISNUMBER(Detalle_24m!S$32)),Detalle_24m!S$32,INDEX(Vol_V,19,S$170)/12)*(1+V_dVol),0))</f>
        <v>0</v>
      </c>
      <c r="T195" s="48" t="n">
        <f aca="false">IF(T$8=1,N(Reales!T30),IF(T$171=1,IF(AND(AND(15&gt;Corte,15&lt;=Corte+n_Ventana),ISNUMBER(Detalle_24m!T$32)),Detalle_24m!T$32,INDEX(Vol_V,19,T$170)/12)*(1+V_dVol),0))</f>
        <v>0</v>
      </c>
      <c r="U195" s="48" t="n">
        <f aca="false">IF(U$8=1,N(Reales!U30),IF(U$171=1,IF(AND(AND(16&gt;Corte,16&lt;=Corte+n_Ventana),ISNUMBER(Detalle_24m!U$32)),Detalle_24m!U$32,INDEX(Vol_V,19,U$170)/12)*(1+V_dVol),0))</f>
        <v>0</v>
      </c>
      <c r="V195" s="48" t="n">
        <f aca="false">IF(V$8=1,N(Reales!V30),IF(V$171=1,IF(AND(AND(17&gt;Corte,17&lt;=Corte+n_Ventana),ISNUMBER(Detalle_24m!V$32)),Detalle_24m!V$32,INDEX(Vol_V,19,V$170)/12)*(1+V_dVol),0))</f>
        <v>0</v>
      </c>
      <c r="W195" s="48" t="n">
        <f aca="false">IF(W$8=1,N(Reales!W30),IF(W$171=1,IF(AND(AND(18&gt;Corte,18&lt;=Corte+n_Ventana),ISNUMBER(Detalle_24m!W$32)),Detalle_24m!W$32,INDEX(Vol_V,19,W$170)/12)*(1+V_dVol),0))</f>
        <v>0</v>
      </c>
      <c r="X195" s="48" t="n">
        <f aca="false">IF(X$8=1,N(Reales!X30),IF(X$171=1,IF(AND(AND(19&gt;Corte,19&lt;=Corte+n_Ventana),ISNUMBER(Detalle_24m!X$32)),Detalle_24m!X$32,INDEX(Vol_V,19,X$170)/12)*(1+V_dVol),0))</f>
        <v>0</v>
      </c>
      <c r="Y195" s="48" t="n">
        <f aca="false">IF(Y$8=1,N(Reales!Y30),IF(Y$171=1,IF(AND(AND(20&gt;Corte,20&lt;=Corte+n_Ventana),ISNUMBER(Detalle_24m!Y$32)),Detalle_24m!Y$32,INDEX(Vol_V,19,Y$170)/12)*(1+V_dVol),0))</f>
        <v>0</v>
      </c>
      <c r="Z195" s="48" t="n">
        <f aca="false">IF(Z$8=1,N(Reales!Z30),IF(Z$171=1,IF(AND(AND(21&gt;Corte,21&lt;=Corte+n_Ventana),ISNUMBER(Detalle_24m!Z$32)),Detalle_24m!Z$32,INDEX(Vol_V,19,Z$170)/12)*(1+V_dVol),0))</f>
        <v>0</v>
      </c>
      <c r="AA195" s="48" t="n">
        <f aca="false">IF(AA$8=1,N(Reales!AA30),IF(AA$171=1,IF(AND(AND(22&gt;Corte,22&lt;=Corte+n_Ventana),ISNUMBER(Detalle_24m!AA$32)),Detalle_24m!AA$32,INDEX(Vol_V,19,AA$170)/12)*(1+V_dVol),0))</f>
        <v>0</v>
      </c>
      <c r="AB195" s="48" t="n">
        <f aca="false">IF(AB$8=1,N(Reales!AB30),IF(AB$171=1,IF(AND(AND(23&gt;Corte,23&lt;=Corte+n_Ventana),ISNUMBER(Detalle_24m!AB$32)),Detalle_24m!AB$32,INDEX(Vol_V,19,AB$170)/12)*(1+V_dVol),0))</f>
        <v>0</v>
      </c>
      <c r="AC195" s="48" t="n">
        <f aca="false">IF(AC$8=1,N(Reales!AC30),IF(AC$171=1,IF(AND(AND(24&gt;Corte,24&lt;=Corte+n_Ventana),ISNUMBER(Detalle_24m!AC$32)),Detalle_24m!AC$32,INDEX(Vol_V,19,AC$170)/12)*(1+V_dVol),0))</f>
        <v>0</v>
      </c>
      <c r="AD195" s="48" t="n">
        <f aca="false">IF(AD$8=1,N(Reales!AD30),IF(AD$171=1,IF(AND(AND(25&gt;Corte,25&lt;=Corte+n_Ventana),ISNUMBER(Detalle_24m!AD$32)),Detalle_24m!AD$32,INDEX(Vol_V,19,AD$170)/12)*(1+V_dVol),0))</f>
        <v>0</v>
      </c>
      <c r="AE195" s="48" t="n">
        <f aca="false">IF(AE$8=1,N(Reales!AE30),IF(AE$171=1,IF(AND(AND(26&gt;Corte,26&lt;=Corte+n_Ventana),ISNUMBER(Detalle_24m!AE$32)),Detalle_24m!AE$32,INDEX(Vol_V,19,AE$170)/12)*(1+V_dVol),0))</f>
        <v>0</v>
      </c>
      <c r="AF195" s="48" t="n">
        <f aca="false">IF(AF$8=1,N(Reales!AF30),IF(AF$171=1,IF(AND(AND(27&gt;Corte,27&lt;=Corte+n_Ventana),ISNUMBER(Detalle_24m!AF$32)),Detalle_24m!AF$32,INDEX(Vol_V,19,AF$170)/12)*(1+V_dVol),0))</f>
        <v>0</v>
      </c>
      <c r="AG195" s="48" t="n">
        <f aca="false">IF(AG$8=1,N(Reales!AG30),IF(AG$171=1,IF(AND(AND(28&gt;Corte,28&lt;=Corte+n_Ventana),ISNUMBER(Detalle_24m!AG$32)),Detalle_24m!AG$32,INDEX(Vol_V,19,AG$170)/12)*(1+V_dVol),0))</f>
        <v>0</v>
      </c>
      <c r="AH195" s="48" t="n">
        <f aca="false">IF(AH$8=1,N(Reales!AH30),IF(AH$171=1,IF(AND(AND(29&gt;Corte,29&lt;=Corte+n_Ventana),ISNUMBER(Detalle_24m!AH$32)),Detalle_24m!AH$32,INDEX(Vol_V,19,AH$170)/12)*(1+V_dVol),0))</f>
        <v>0</v>
      </c>
      <c r="AI195" s="48" t="n">
        <f aca="false">IF(AI$8=1,N(Reales!AI30),IF(AI$171=1,IF(AND(AND(30&gt;Corte,30&lt;=Corte+n_Ventana),ISNUMBER(Detalle_24m!AI$32)),Detalle_24m!AI$32,INDEX(Vol_V,19,AI$170)/12)*(1+V_dVol),0))</f>
        <v>0</v>
      </c>
      <c r="AJ195" s="48" t="n">
        <f aca="false">IF(AJ$8=1,N(Reales!AJ30),IF(AJ$171=1,IF(AND(AND(31&gt;Corte,31&lt;=Corte+n_Ventana),ISNUMBER(Detalle_24m!AJ$32)),Detalle_24m!AJ$32,INDEX(Vol_V,19,AJ$170)/12)*(1+V_dVol),0))</f>
        <v>0</v>
      </c>
      <c r="AK195" s="48" t="n">
        <f aca="false">IF(AK$8=1,N(Reales!AK30),IF(AK$171=1,IF(AND(AND(32&gt;Corte,32&lt;=Corte+n_Ventana),ISNUMBER(Detalle_24m!AK$32)),Detalle_24m!AK$32,INDEX(Vol_V,19,AK$170)/12)*(1+V_dVol),0))</f>
        <v>0</v>
      </c>
      <c r="AL195" s="48" t="n">
        <f aca="false">IF(AL$8=1,N(Reales!AL30),IF(AL$171=1,IF(AND(AND(33&gt;Corte,33&lt;=Corte+n_Ventana),ISNUMBER(Detalle_24m!AL$32)),Detalle_24m!AL$32,INDEX(Vol_V,19,AL$170)/12)*(1+V_dVol),0))</f>
        <v>0</v>
      </c>
      <c r="AM195" s="48" t="n">
        <f aca="false">IF(AM$8=1,N(Reales!AM30),IF(AM$171=1,IF(AND(AND(34&gt;Corte,34&lt;=Corte+n_Ventana),ISNUMBER(Detalle_24m!AM$32)),Detalle_24m!AM$32,INDEX(Vol_V,19,AM$170)/12)*(1+V_dVol),0))</f>
        <v>0</v>
      </c>
      <c r="AN195" s="48" t="n">
        <f aca="false">IF(AN$8=1,N(Reales!AN30),IF(AN$171=1,IF(AND(AND(35&gt;Corte,35&lt;=Corte+n_Ventana),ISNUMBER(Detalle_24m!AN$32)),Detalle_24m!AN$32,INDEX(Vol_V,19,AN$170)/12)*(1+V_dVol),0))</f>
        <v>0</v>
      </c>
      <c r="AO195" s="48" t="n">
        <f aca="false">IF(AO$8=1,N(Reales!AO30),IF(AO$171=1,IF(AND(AND(36&gt;Corte,36&lt;=Corte+n_Ventana),ISNUMBER(Detalle_24m!AO$32)),Detalle_24m!AO$32,INDEX(Vol_V,19,AO$170)/12)*(1+V_dVol),0))</f>
        <v>0</v>
      </c>
      <c r="AP195" s="48" t="n">
        <f aca="false">IF(AP$8=1,N(Reales!AP30),IF(AP$171=1,IF(AND(AND(37&gt;Corte,37&lt;=Corte+n_Ventana),ISNUMBER(Detalle_24m!AP$32)),Detalle_24m!AP$32,INDEX(Vol_V,19,AP$170)/12)*(1+V_dVol),0))</f>
        <v>0</v>
      </c>
      <c r="AQ195" s="48" t="n">
        <f aca="false">IF(AQ$8=1,N(Reales!AQ30),IF(AQ$171=1,IF(AND(AND(38&gt;Corte,38&lt;=Corte+n_Ventana),ISNUMBER(Detalle_24m!AQ$32)),Detalle_24m!AQ$32,INDEX(Vol_V,19,AQ$170)/12)*(1+V_dVol),0))</f>
        <v>0</v>
      </c>
      <c r="AR195" s="48" t="n">
        <f aca="false">IF(AR$8=1,N(Reales!AR30),IF(AR$171=1,IF(AND(AND(39&gt;Corte,39&lt;=Corte+n_Ventana),ISNUMBER(Detalle_24m!AR$32)),Detalle_24m!AR$32,INDEX(Vol_V,19,AR$170)/12)*(1+V_dVol),0))</f>
        <v>0</v>
      </c>
      <c r="AS195" s="48" t="n">
        <f aca="false">IF(AS$8=1,N(Reales!AS30),IF(AS$171=1,IF(AND(AND(40&gt;Corte,40&lt;=Corte+n_Ventana),ISNUMBER(Detalle_24m!AS$32)),Detalle_24m!AS$32,INDEX(Vol_V,19,AS$170)/12)*(1+V_dVol),0))</f>
        <v>0</v>
      </c>
      <c r="AT195" s="48" t="n">
        <f aca="false">IF(AT$8=1,N(Reales!AT30),IF(AT$171=1,IF(AND(AND(41&gt;Corte,41&lt;=Corte+n_Ventana),ISNUMBER(Detalle_24m!AT$32)),Detalle_24m!AT$32,INDEX(Vol_V,19,AT$170)/12)*(1+V_dVol),0))</f>
        <v>0</v>
      </c>
      <c r="AU195" s="48" t="n">
        <f aca="false">IF(AU$8=1,N(Reales!AU30),IF(AU$171=1,IF(AND(AND(42&gt;Corte,42&lt;=Corte+n_Ventana),ISNUMBER(Detalle_24m!AU$32)),Detalle_24m!AU$32,INDEX(Vol_V,19,AU$170)/12)*(1+V_dVol),0))</f>
        <v>0</v>
      </c>
      <c r="AV195" s="48" t="n">
        <f aca="false">IF(AV$8=1,N(Reales!AV30),IF(AV$171=1,IF(AND(AND(43&gt;Corte,43&lt;=Corte+n_Ventana),ISNUMBER(Detalle_24m!AV$32)),Detalle_24m!AV$32,INDEX(Vol_V,19,AV$170)/12)*(1+V_dVol),0))</f>
        <v>0</v>
      </c>
      <c r="AW195" s="48" t="n">
        <f aca="false">IF(AW$8=1,N(Reales!AW30),IF(AW$171=1,IF(AND(AND(44&gt;Corte,44&lt;=Corte+n_Ventana),ISNUMBER(Detalle_24m!AW$32)),Detalle_24m!AW$32,INDEX(Vol_V,19,AW$170)/12)*(1+V_dVol),0))</f>
        <v>0</v>
      </c>
      <c r="AX195" s="48" t="n">
        <f aca="false">IF(AX$8=1,N(Reales!AX30),IF(AX$171=1,IF(AND(AND(45&gt;Corte,45&lt;=Corte+n_Ventana),ISNUMBER(Detalle_24m!AX$32)),Detalle_24m!AX$32,INDEX(Vol_V,19,AX$170)/12)*(1+V_dVol),0))</f>
        <v>0</v>
      </c>
      <c r="AY195" s="48" t="n">
        <f aca="false">IF(AY$8=1,N(Reales!AY30),IF(AY$171=1,IF(AND(AND(46&gt;Corte,46&lt;=Corte+n_Ventana),ISNUMBER(Detalle_24m!AY$32)),Detalle_24m!AY$32,INDEX(Vol_V,19,AY$170)/12)*(1+V_dVol),0))</f>
        <v>0</v>
      </c>
      <c r="AZ195" s="48" t="n">
        <f aca="false">IF(AZ$8=1,N(Reales!AZ30),IF(AZ$171=1,IF(AND(AND(47&gt;Corte,47&lt;=Corte+n_Ventana),ISNUMBER(Detalle_24m!AZ$32)),Detalle_24m!AZ$32,INDEX(Vol_V,19,AZ$170)/12)*(1+V_dVol),0))</f>
        <v>0</v>
      </c>
      <c r="BA195" s="48" t="n">
        <f aca="false">IF(BA$8=1,N(Reales!BA30),IF(BA$171=1,IF(AND(AND(48&gt;Corte,48&lt;=Corte+n_Ventana),ISNUMBER(Detalle_24m!BA$32)),Detalle_24m!BA$32,INDEX(Vol_V,19,BA$170)/12)*(1+V_dVol),0))</f>
        <v>0</v>
      </c>
      <c r="BB195" s="48" t="n">
        <f aca="false">IF(BB$8=1,N(Reales!BB30),IF(BB$171=1,IF(AND(AND(49&gt;Corte,49&lt;=Corte+n_Ventana),ISNUMBER(Detalle_24m!BB$32)),Detalle_24m!BB$32,INDEX(Vol_V,19,BB$170)/12)*(1+V_dVol),0))</f>
        <v>0</v>
      </c>
      <c r="BC195" s="48" t="n">
        <f aca="false">IF(BC$8=1,N(Reales!BC30),IF(BC$171=1,IF(AND(AND(50&gt;Corte,50&lt;=Corte+n_Ventana),ISNUMBER(Detalle_24m!BC$32)),Detalle_24m!BC$32,INDEX(Vol_V,19,BC$170)/12)*(1+V_dVol),0))</f>
        <v>0</v>
      </c>
      <c r="BD195" s="48" t="n">
        <f aca="false">IF(BD$8=1,N(Reales!BD30),IF(BD$171=1,IF(AND(AND(51&gt;Corte,51&lt;=Corte+n_Ventana),ISNUMBER(Detalle_24m!BD$32)),Detalle_24m!BD$32,INDEX(Vol_V,19,BD$170)/12)*(1+V_dVol),0))</f>
        <v>0</v>
      </c>
      <c r="BE195" s="48" t="n">
        <f aca="false">IF(BE$8=1,N(Reales!BE30),IF(BE$171=1,IF(AND(AND(52&gt;Corte,52&lt;=Corte+n_Ventana),ISNUMBER(Detalle_24m!BE$32)),Detalle_24m!BE$32,INDEX(Vol_V,19,BE$170)/12)*(1+V_dVol),0))</f>
        <v>0</v>
      </c>
      <c r="BF195" s="48" t="n">
        <f aca="false">IF(BF$8=1,N(Reales!BF30),IF(BF$171=1,IF(AND(AND(53&gt;Corte,53&lt;=Corte+n_Ventana),ISNUMBER(Detalle_24m!BF$32)),Detalle_24m!BF$32,INDEX(Vol_V,19,BF$170)/12)*(1+V_dVol),0))</f>
        <v>0</v>
      </c>
      <c r="BG195" s="48" t="n">
        <f aca="false">IF(BG$8=1,N(Reales!BG30),IF(BG$171=1,IF(AND(AND(54&gt;Corte,54&lt;=Corte+n_Ventana),ISNUMBER(Detalle_24m!BG$32)),Detalle_24m!BG$32,INDEX(Vol_V,19,BG$170)/12)*(1+V_dVol),0))</f>
        <v>0</v>
      </c>
      <c r="BH195" s="48" t="n">
        <f aca="false">IF(BH$8=1,N(Reales!BH30),IF(BH$171=1,IF(AND(AND(55&gt;Corte,55&lt;=Corte+n_Ventana),ISNUMBER(Detalle_24m!BH$32)),Detalle_24m!BH$32,INDEX(Vol_V,19,BH$170)/12)*(1+V_dVol),0))</f>
        <v>0</v>
      </c>
      <c r="BI195" s="48" t="n">
        <f aca="false">IF(BI$8=1,N(Reales!BI30),IF(BI$171=1,IF(AND(AND(56&gt;Corte,56&lt;=Corte+n_Ventana),ISNUMBER(Detalle_24m!BI$32)),Detalle_24m!BI$32,INDEX(Vol_V,19,BI$170)/12)*(1+V_dVol),0))</f>
        <v>0</v>
      </c>
      <c r="BJ195" s="48" t="n">
        <f aca="false">IF(BJ$8=1,N(Reales!BJ30),IF(BJ$171=1,IF(AND(AND(57&gt;Corte,57&lt;=Corte+n_Ventana),ISNUMBER(Detalle_24m!BJ$32)),Detalle_24m!BJ$32,INDEX(Vol_V,19,BJ$170)/12)*(1+V_dVol),0))</f>
        <v>0</v>
      </c>
      <c r="BK195" s="48" t="n">
        <f aca="false">IF(BK$8=1,N(Reales!BK30),IF(BK$171=1,IF(AND(AND(58&gt;Corte,58&lt;=Corte+n_Ventana),ISNUMBER(Detalle_24m!BK$32)),Detalle_24m!BK$32,INDEX(Vol_V,19,BK$170)/12)*(1+V_dVol),0))</f>
        <v>0</v>
      </c>
      <c r="BL195" s="48" t="n">
        <f aca="false">IF(BL$8=1,N(Reales!BL30),IF(BL$171=1,IF(AND(AND(59&gt;Corte,59&lt;=Corte+n_Ventana),ISNUMBER(Detalle_24m!BL$32)),Detalle_24m!BL$32,INDEX(Vol_V,19,BL$170)/12)*(1+V_dVol),0))</f>
        <v>0</v>
      </c>
      <c r="BM195" s="48" t="n">
        <f aca="false">IF(BM$8=1,N(Reales!BM30),IF(BM$171=1,IF(AND(AND(60&gt;Corte,60&lt;=Corte+n_Ventana),ISNUMBER(Detalle_24m!BM$32)),Detalle_24m!BM$32,INDEX(Vol_V,19,BM$170)/12)*(1+V_dVol),0))</f>
        <v>0</v>
      </c>
      <c r="BN195" s="48" t="n">
        <f aca="false">IF(BN$8=1,N(Reales!BN30),IF(BN$171=1,IF(AND(AND(61&gt;Corte,61&lt;=Corte+n_Ventana),ISNUMBER(Detalle_24m!BN$32)),Detalle_24m!BN$32,INDEX(Vol_V,19,BN$170)/12)*(1+V_dVol),0))</f>
        <v>0</v>
      </c>
      <c r="BO195" s="48" t="n">
        <f aca="false">IF(BO$8=1,N(Reales!BO30),IF(BO$171=1,IF(AND(AND(62&gt;Corte,62&lt;=Corte+n_Ventana),ISNUMBER(Detalle_24m!BO$32)),Detalle_24m!BO$32,INDEX(Vol_V,19,BO$170)/12)*(1+V_dVol),0))</f>
        <v>0</v>
      </c>
      <c r="BP195" s="48" t="n">
        <f aca="false">IF(BP$8=1,N(Reales!BP30),IF(BP$171=1,IF(AND(AND(63&gt;Corte,63&lt;=Corte+n_Ventana),ISNUMBER(Detalle_24m!BP$32)),Detalle_24m!BP$32,INDEX(Vol_V,19,BP$170)/12)*(1+V_dVol),0))</f>
        <v>0</v>
      </c>
      <c r="BQ195" s="48" t="n">
        <f aca="false">IF(BQ$8=1,N(Reales!BQ30),IF(BQ$171=1,IF(AND(AND(64&gt;Corte,64&lt;=Corte+n_Ventana),ISNUMBER(Detalle_24m!BQ$32)),Detalle_24m!BQ$32,INDEX(Vol_V,19,BQ$170)/12)*(1+V_dVol),0))</f>
        <v>0</v>
      </c>
      <c r="BR195" s="48" t="n">
        <f aca="false">IF(BR$8=1,N(Reales!BR30),IF(BR$171=1,IF(AND(AND(65&gt;Corte,65&lt;=Corte+n_Ventana),ISNUMBER(Detalle_24m!BR$32)),Detalle_24m!BR$32,INDEX(Vol_V,19,BR$170)/12)*(1+V_dVol),0))</f>
        <v>0</v>
      </c>
      <c r="BS195" s="48" t="n">
        <f aca="false">IF(BS$8=1,N(Reales!BS30),IF(BS$171=1,IF(AND(AND(66&gt;Corte,66&lt;=Corte+n_Ventana),ISNUMBER(Detalle_24m!BS$32)),Detalle_24m!BS$32,INDEX(Vol_V,19,BS$170)/12)*(1+V_dVol),0))</f>
        <v>0</v>
      </c>
      <c r="BT195" s="48" t="n">
        <f aca="false">IF(BT$8=1,N(Reales!BT30),IF(BT$171=1,IF(AND(AND(67&gt;Corte,67&lt;=Corte+n_Ventana),ISNUMBER(Detalle_24m!BT$32)),Detalle_24m!BT$32,INDEX(Vol_V,19,BT$170)/12)*(1+V_dVol),0))</f>
        <v>0</v>
      </c>
      <c r="BU195" s="48" t="n">
        <f aca="false">IF(BU$8=1,N(Reales!BU30),IF(BU$171=1,IF(AND(AND(68&gt;Corte,68&lt;=Corte+n_Ventana),ISNUMBER(Detalle_24m!BU$32)),Detalle_24m!BU$32,INDEX(Vol_V,19,BU$170)/12)*(1+V_dVol),0))</f>
        <v>0</v>
      </c>
      <c r="BV195" s="48" t="n">
        <f aca="false">IF(BV$8=1,N(Reales!BV30),IF(BV$171=1,IF(AND(AND(69&gt;Corte,69&lt;=Corte+n_Ventana),ISNUMBER(Detalle_24m!BV$32)),Detalle_24m!BV$32,INDEX(Vol_V,19,BV$170)/12)*(1+V_dVol),0))</f>
        <v>0</v>
      </c>
      <c r="BW195" s="48" t="n">
        <f aca="false">IF(BW$8=1,N(Reales!BW30),IF(BW$171=1,IF(AND(AND(70&gt;Corte,70&lt;=Corte+n_Ventana),ISNUMBER(Detalle_24m!BW$32)),Detalle_24m!BW$32,INDEX(Vol_V,19,BW$170)/12)*(1+V_dVol),0))</f>
        <v>0</v>
      </c>
      <c r="BX195" s="48" t="n">
        <f aca="false">IF(BX$8=1,N(Reales!BX30),IF(BX$171=1,IF(AND(AND(71&gt;Corte,71&lt;=Corte+n_Ventana),ISNUMBER(Detalle_24m!BX$32)),Detalle_24m!BX$32,INDEX(Vol_V,19,BX$170)/12)*(1+V_dVol),0))</f>
        <v>0</v>
      </c>
      <c r="BY195" s="48" t="n">
        <f aca="false">IF(BY$8=1,N(Reales!BY30),IF(BY$171=1,IF(AND(AND(72&gt;Corte,72&lt;=Corte+n_Ventana),ISNUMBER(Detalle_24m!BY$32)),Detalle_24m!BY$32,INDEX(Vol_V,19,BY$170)/12)*(1+V_dVol),0))</f>
        <v>0</v>
      </c>
      <c r="BZ195" s="48" t="n">
        <f aca="false">IF(BZ$8=1,N(Reales!BZ30),IF(BZ$171=1,IF(AND(AND(73&gt;Corte,73&lt;=Corte+n_Ventana),ISNUMBER(Detalle_24m!BZ$32)),Detalle_24m!BZ$32,INDEX(Vol_V,19,BZ$170)/12)*(1+V_dVol),0))</f>
        <v>0</v>
      </c>
      <c r="CA195" s="48" t="n">
        <f aca="false">IF(CA$8=1,N(Reales!CA30),IF(CA$171=1,IF(AND(AND(74&gt;Corte,74&lt;=Corte+n_Ventana),ISNUMBER(Detalle_24m!CA$32)),Detalle_24m!CA$32,INDEX(Vol_V,19,CA$170)/12)*(1+V_dVol),0))</f>
        <v>0</v>
      </c>
      <c r="CB195" s="48" t="n">
        <f aca="false">IF(CB$8=1,N(Reales!CB30),IF(CB$171=1,IF(AND(AND(75&gt;Corte,75&lt;=Corte+n_Ventana),ISNUMBER(Detalle_24m!CB$32)),Detalle_24m!CB$32,INDEX(Vol_V,19,CB$170)/12)*(1+V_dVol),0))</f>
        <v>0</v>
      </c>
      <c r="CC195" s="48" t="n">
        <f aca="false">IF(CC$8=1,N(Reales!CC30),IF(CC$171=1,IF(AND(AND(76&gt;Corte,76&lt;=Corte+n_Ventana),ISNUMBER(Detalle_24m!CC$32)),Detalle_24m!CC$32,INDEX(Vol_V,19,CC$170)/12)*(1+V_dVol),0))</f>
        <v>0</v>
      </c>
      <c r="CD195" s="48" t="n">
        <f aca="false">IF(CD$8=1,N(Reales!CD30),IF(CD$171=1,IF(AND(AND(77&gt;Corte,77&lt;=Corte+n_Ventana),ISNUMBER(Detalle_24m!CD$32)),Detalle_24m!CD$32,INDEX(Vol_V,19,CD$170)/12)*(1+V_dVol),0))</f>
        <v>0</v>
      </c>
      <c r="CE195" s="48" t="n">
        <f aca="false">IF(CE$8=1,N(Reales!CE30),IF(CE$171=1,IF(AND(AND(78&gt;Corte,78&lt;=Corte+n_Ventana),ISNUMBER(Detalle_24m!CE$32)),Detalle_24m!CE$32,INDEX(Vol_V,19,CE$170)/12)*(1+V_dVol),0))</f>
        <v>0</v>
      </c>
      <c r="CF195" s="48" t="n">
        <f aca="false">IF(CF$8=1,N(Reales!CF30),IF(CF$171=1,IF(AND(AND(79&gt;Corte,79&lt;=Corte+n_Ventana),ISNUMBER(Detalle_24m!CF$32)),Detalle_24m!CF$32,INDEX(Vol_V,19,CF$170)/12)*(1+V_dVol),0))</f>
        <v>0</v>
      </c>
      <c r="CG195" s="48" t="n">
        <f aca="false">IF(CG$8=1,N(Reales!CG30),IF(CG$171=1,IF(AND(AND(80&gt;Corte,80&lt;=Corte+n_Ventana),ISNUMBER(Detalle_24m!CG$32)),Detalle_24m!CG$32,INDEX(Vol_V,19,CG$170)/12)*(1+V_dVol),0))</f>
        <v>0</v>
      </c>
      <c r="CH195" s="48" t="n">
        <f aca="false">IF(CH$8=1,N(Reales!CH30),IF(CH$171=1,IF(AND(AND(81&gt;Corte,81&lt;=Corte+n_Ventana),ISNUMBER(Detalle_24m!CH$32)),Detalle_24m!CH$32,INDEX(Vol_V,19,CH$170)/12)*(1+V_dVol),0))</f>
        <v>0</v>
      </c>
      <c r="CI195" s="48" t="n">
        <f aca="false">IF(CI$8=1,N(Reales!CI30),IF(CI$171=1,IF(AND(AND(82&gt;Corte,82&lt;=Corte+n_Ventana),ISNUMBER(Detalle_24m!CI$32)),Detalle_24m!CI$32,INDEX(Vol_V,19,CI$170)/12)*(1+V_dVol),0))</f>
        <v>0</v>
      </c>
      <c r="CJ195" s="48" t="n">
        <f aca="false">IF(CJ$8=1,N(Reales!CJ30),IF(CJ$171=1,IF(AND(AND(83&gt;Corte,83&lt;=Corte+n_Ventana),ISNUMBER(Detalle_24m!CJ$32)),Detalle_24m!CJ$32,INDEX(Vol_V,19,CJ$170)/12)*(1+V_dVol),0))</f>
        <v>0</v>
      </c>
      <c r="CK195" s="48" t="n">
        <f aca="false">IF(CK$8=1,N(Reales!CK30),IF(CK$171=1,IF(AND(AND(84&gt;Corte,84&lt;=Corte+n_Ventana),ISNUMBER(Detalle_24m!CK$32)),Detalle_24m!CK$32,INDEX(Vol_V,19,CK$170)/12)*(1+V_dVol),0))</f>
        <v>0</v>
      </c>
      <c r="CL195" s="48" t="n">
        <f aca="false">IF(CL$8=1,N(Reales!CL30),IF(CL$171=1,IF(AND(AND(85&gt;Corte,85&lt;=Corte+n_Ventana),ISNUMBER(Detalle_24m!CL$32)),Detalle_24m!CL$32,INDEX(Vol_V,19,CL$170)/12)*(1+V_dVol),0))</f>
        <v>0</v>
      </c>
      <c r="CM195" s="48" t="n">
        <f aca="false">IF(CM$8=1,N(Reales!CM30),IF(CM$171=1,IF(AND(AND(86&gt;Corte,86&lt;=Corte+n_Ventana),ISNUMBER(Detalle_24m!CM$32)),Detalle_24m!CM$32,INDEX(Vol_V,19,CM$170)/12)*(1+V_dVol),0))</f>
        <v>0</v>
      </c>
      <c r="CN195" s="48" t="n">
        <f aca="false">IF(CN$8=1,N(Reales!CN30),IF(CN$171=1,IF(AND(AND(87&gt;Corte,87&lt;=Corte+n_Ventana),ISNUMBER(Detalle_24m!CN$32)),Detalle_24m!CN$32,INDEX(Vol_V,19,CN$170)/12)*(1+V_dVol),0))</f>
        <v>0</v>
      </c>
      <c r="CO195" s="48" t="n">
        <f aca="false">IF(CO$8=1,N(Reales!CO30),IF(CO$171=1,IF(AND(AND(88&gt;Corte,88&lt;=Corte+n_Ventana),ISNUMBER(Detalle_24m!CO$32)),Detalle_24m!CO$32,INDEX(Vol_V,19,CO$170)/12)*(1+V_dVol),0))</f>
        <v>0</v>
      </c>
      <c r="CP195" s="48" t="n">
        <f aca="false">IF(CP$8=1,N(Reales!CP30),IF(CP$171=1,IF(AND(AND(89&gt;Corte,89&lt;=Corte+n_Ventana),ISNUMBER(Detalle_24m!CP$32)),Detalle_24m!CP$32,INDEX(Vol_V,19,CP$170)/12)*(1+V_dVol),0))</f>
        <v>0</v>
      </c>
      <c r="CQ195" s="48" t="n">
        <f aca="false">IF(CQ$8=1,N(Reales!CQ30),IF(CQ$171=1,IF(AND(AND(90&gt;Corte,90&lt;=Corte+n_Ventana),ISNUMBER(Detalle_24m!CQ$32)),Detalle_24m!CQ$32,INDEX(Vol_V,19,CQ$170)/12)*(1+V_dVol),0))</f>
        <v>0</v>
      </c>
      <c r="CR195" s="48" t="n">
        <f aca="false">IF(CR$8=1,N(Reales!CR30),IF(CR$171=1,IF(AND(AND(91&gt;Corte,91&lt;=Corte+n_Ventana),ISNUMBER(Detalle_24m!CR$32)),Detalle_24m!CR$32,INDEX(Vol_V,19,CR$170)/12)*(1+V_dVol),0))</f>
        <v>0</v>
      </c>
      <c r="CS195" s="48" t="n">
        <f aca="false">IF(CS$8=1,N(Reales!CS30),IF(CS$171=1,IF(AND(AND(92&gt;Corte,92&lt;=Corte+n_Ventana),ISNUMBER(Detalle_24m!CS$32)),Detalle_24m!CS$32,INDEX(Vol_V,19,CS$170)/12)*(1+V_dVol),0))</f>
        <v>0</v>
      </c>
      <c r="CT195" s="48" t="n">
        <f aca="false">IF(CT$8=1,N(Reales!CT30),IF(CT$171=1,IF(AND(AND(93&gt;Corte,93&lt;=Corte+n_Ventana),ISNUMBER(Detalle_24m!CT$32)),Detalle_24m!CT$32,INDEX(Vol_V,19,CT$170)/12)*(1+V_dVol),0))</f>
        <v>0</v>
      </c>
      <c r="CU195" s="48" t="n">
        <f aca="false">IF(CU$8=1,N(Reales!CU30),IF(CU$171=1,IF(AND(AND(94&gt;Corte,94&lt;=Corte+n_Ventana),ISNUMBER(Detalle_24m!CU$32)),Detalle_24m!CU$32,INDEX(Vol_V,19,CU$170)/12)*(1+V_dVol),0))</f>
        <v>0</v>
      </c>
      <c r="CV195" s="48" t="n">
        <f aca="false">IF(CV$8=1,N(Reales!CV30),IF(CV$171=1,IF(AND(AND(95&gt;Corte,95&lt;=Corte+n_Ventana),ISNUMBER(Detalle_24m!CV$32)),Detalle_24m!CV$32,INDEX(Vol_V,19,CV$170)/12)*(1+V_dVol),0))</f>
        <v>0</v>
      </c>
      <c r="CW195" s="48" t="n">
        <f aca="false">IF(CW$8=1,N(Reales!CW30),IF(CW$171=1,IF(AND(AND(96&gt;Corte,96&lt;=Corte+n_Ventana),ISNUMBER(Detalle_24m!CW$32)),Detalle_24m!CW$32,INDEX(Vol_V,19,CW$170)/12)*(1+V_dVol),0))</f>
        <v>0</v>
      </c>
      <c r="CX195" s="48" t="n">
        <f aca="false">IF(CX$8=1,N(Reales!CX30),IF(CX$171=1,IF(AND(AND(97&gt;Corte,97&lt;=Corte+n_Ventana),ISNUMBER(Detalle_24m!CX$32)),Detalle_24m!CX$32,INDEX(Vol_V,19,CX$170)/12)*(1+V_dVol),0))</f>
        <v>0</v>
      </c>
      <c r="CY195" s="48" t="n">
        <f aca="false">IF(CY$8=1,N(Reales!CY30),IF(CY$171=1,IF(AND(AND(98&gt;Corte,98&lt;=Corte+n_Ventana),ISNUMBER(Detalle_24m!CY$32)),Detalle_24m!CY$32,INDEX(Vol_V,19,CY$170)/12)*(1+V_dVol),0))</f>
        <v>0</v>
      </c>
      <c r="CZ195" s="48" t="n">
        <f aca="false">IF(CZ$8=1,N(Reales!CZ30),IF(CZ$171=1,IF(AND(AND(99&gt;Corte,99&lt;=Corte+n_Ventana),ISNUMBER(Detalle_24m!CZ$32)),Detalle_24m!CZ$32,INDEX(Vol_V,19,CZ$170)/12)*(1+V_dVol),0))</f>
        <v>0</v>
      </c>
      <c r="DA195" s="48" t="n">
        <f aca="false">IF(DA$8=1,N(Reales!DA30),IF(DA$171=1,IF(AND(AND(100&gt;Corte,100&lt;=Corte+n_Ventana),ISNUMBER(Detalle_24m!DA$32)),Detalle_24m!DA$32,INDEX(Vol_V,19,DA$170)/12)*(1+V_dVol),0))</f>
        <v>0</v>
      </c>
      <c r="DB195" s="48" t="n">
        <f aca="false">IF(DB$8=1,N(Reales!DB30),IF(DB$171=1,IF(AND(AND(101&gt;Corte,101&lt;=Corte+n_Ventana),ISNUMBER(Detalle_24m!DB$32)),Detalle_24m!DB$32,INDEX(Vol_V,19,DB$170)/12)*(1+V_dVol),0))</f>
        <v>0</v>
      </c>
      <c r="DC195" s="48" t="n">
        <f aca="false">IF(DC$8=1,N(Reales!DC30),IF(DC$171=1,IF(AND(AND(102&gt;Corte,102&lt;=Corte+n_Ventana),ISNUMBER(Detalle_24m!DC$32)),Detalle_24m!DC$32,INDEX(Vol_V,19,DC$170)/12)*(1+V_dVol),0))</f>
        <v>0</v>
      </c>
      <c r="DD195" s="48" t="n">
        <f aca="false">IF(DD$8=1,N(Reales!DD30),IF(DD$171=1,IF(AND(AND(103&gt;Corte,103&lt;=Corte+n_Ventana),ISNUMBER(Detalle_24m!DD$32)),Detalle_24m!DD$32,INDEX(Vol_V,19,DD$170)/12)*(1+V_dVol),0))</f>
        <v>0</v>
      </c>
      <c r="DE195" s="48" t="n">
        <f aca="false">IF(DE$8=1,N(Reales!DE30),IF(DE$171=1,IF(AND(AND(104&gt;Corte,104&lt;=Corte+n_Ventana),ISNUMBER(Detalle_24m!DE$32)),Detalle_24m!DE$32,INDEX(Vol_V,19,DE$170)/12)*(1+V_dVol),0))</f>
        <v>0</v>
      </c>
      <c r="DF195" s="48" t="n">
        <f aca="false">IF(DF$8=1,N(Reales!DF30),IF(DF$171=1,IF(AND(AND(105&gt;Corte,105&lt;=Corte+n_Ventana),ISNUMBER(Detalle_24m!DF$32)),Detalle_24m!DF$32,INDEX(Vol_V,19,DF$170)/12)*(1+V_dVol),0))</f>
        <v>0</v>
      </c>
      <c r="DG195" s="48" t="n">
        <f aca="false">IF(DG$8=1,N(Reales!DG30),IF(DG$171=1,IF(AND(AND(106&gt;Corte,106&lt;=Corte+n_Ventana),ISNUMBER(Detalle_24m!DG$32)),Detalle_24m!DG$32,INDEX(Vol_V,19,DG$170)/12)*(1+V_dVol),0))</f>
        <v>0</v>
      </c>
      <c r="DH195" s="48" t="n">
        <f aca="false">IF(DH$8=1,N(Reales!DH30),IF(DH$171=1,IF(AND(AND(107&gt;Corte,107&lt;=Corte+n_Ventana),ISNUMBER(Detalle_24m!DH$32)),Detalle_24m!DH$32,INDEX(Vol_V,19,DH$170)/12)*(1+V_dVol),0))</f>
        <v>0</v>
      </c>
      <c r="DI195" s="48" t="n">
        <f aca="false">IF(DI$8=1,N(Reales!DI30),IF(DI$171=1,IF(AND(AND(108&gt;Corte,108&lt;=Corte+n_Ventana),ISNUMBER(Detalle_24m!DI$32)),Detalle_24m!DI$32,INDEX(Vol_V,19,DI$170)/12)*(1+V_dVol),0))</f>
        <v>0</v>
      </c>
      <c r="DJ195" s="48" t="n">
        <f aca="false">IF(DJ$8=1,N(Reales!DJ30),IF(DJ$171=1,IF(AND(AND(109&gt;Corte,109&lt;=Corte+n_Ventana),ISNUMBER(Detalle_24m!DJ$32)),Detalle_24m!DJ$32,INDEX(Vol_V,19,DJ$170)/12)*(1+V_dVol),0))</f>
        <v>0</v>
      </c>
      <c r="DK195" s="48" t="n">
        <f aca="false">IF(DK$8=1,N(Reales!DK30),IF(DK$171=1,IF(AND(AND(110&gt;Corte,110&lt;=Corte+n_Ventana),ISNUMBER(Detalle_24m!DK$32)),Detalle_24m!DK$32,INDEX(Vol_V,19,DK$170)/12)*(1+V_dVol),0))</f>
        <v>0</v>
      </c>
      <c r="DL195" s="48" t="n">
        <f aca="false">IF(DL$8=1,N(Reales!DL30),IF(DL$171=1,IF(AND(AND(111&gt;Corte,111&lt;=Corte+n_Ventana),ISNUMBER(Detalle_24m!DL$32)),Detalle_24m!DL$32,INDEX(Vol_V,19,DL$170)/12)*(1+V_dVol),0))</f>
        <v>0</v>
      </c>
      <c r="DM195" s="48" t="n">
        <f aca="false">IF(DM$8=1,N(Reales!DM30),IF(DM$171=1,IF(AND(AND(112&gt;Corte,112&lt;=Corte+n_Ventana),ISNUMBER(Detalle_24m!DM$32)),Detalle_24m!DM$32,INDEX(Vol_V,19,DM$170)/12)*(1+V_dVol),0))</f>
        <v>0</v>
      </c>
      <c r="DN195" s="48" t="n">
        <f aca="false">IF(DN$8=1,N(Reales!DN30),IF(DN$171=1,IF(AND(AND(113&gt;Corte,113&lt;=Corte+n_Ventana),ISNUMBER(Detalle_24m!DN$32)),Detalle_24m!DN$32,INDEX(Vol_V,19,DN$170)/12)*(1+V_dVol),0))</f>
        <v>0</v>
      </c>
      <c r="DO195" s="48" t="n">
        <f aca="false">IF(DO$8=1,N(Reales!DO30),IF(DO$171=1,IF(AND(AND(114&gt;Corte,114&lt;=Corte+n_Ventana),ISNUMBER(Detalle_24m!DO$32)),Detalle_24m!DO$32,INDEX(Vol_V,19,DO$170)/12)*(1+V_dVol),0))</f>
        <v>0</v>
      </c>
      <c r="DP195" s="48" t="n">
        <f aca="false">IF(DP$8=1,N(Reales!DP30),IF(DP$171=1,IF(AND(AND(115&gt;Corte,115&lt;=Corte+n_Ventana),ISNUMBER(Detalle_24m!DP$32)),Detalle_24m!DP$32,INDEX(Vol_V,19,DP$170)/12)*(1+V_dVol),0))</f>
        <v>0</v>
      </c>
      <c r="DQ195" s="48" t="n">
        <f aca="false">IF(DQ$8=1,N(Reales!DQ30),IF(DQ$171=1,IF(AND(AND(116&gt;Corte,116&lt;=Corte+n_Ventana),ISNUMBER(Detalle_24m!DQ$32)),Detalle_24m!DQ$32,INDEX(Vol_V,19,DQ$170)/12)*(1+V_dVol),0))</f>
        <v>0</v>
      </c>
      <c r="DR195" s="48" t="n">
        <f aca="false">IF(DR$8=1,N(Reales!DR30),IF(DR$171=1,IF(AND(AND(117&gt;Corte,117&lt;=Corte+n_Ventana),ISNUMBER(Detalle_24m!DR$32)),Detalle_24m!DR$32,INDEX(Vol_V,19,DR$170)/12)*(1+V_dVol),0))</f>
        <v>0</v>
      </c>
      <c r="DS195" s="48" t="n">
        <f aca="false">IF(DS$8=1,N(Reales!DS30),IF(DS$171=1,IF(AND(AND(118&gt;Corte,118&lt;=Corte+n_Ventana),ISNUMBER(Detalle_24m!DS$32)),Detalle_24m!DS$32,INDEX(Vol_V,19,DS$170)/12)*(1+V_dVol),0))</f>
        <v>0</v>
      </c>
      <c r="DT195" s="48" t="n">
        <f aca="false">IF(DT$8=1,N(Reales!DT30),IF(DT$171=1,IF(AND(AND(119&gt;Corte,119&lt;=Corte+n_Ventana),ISNUMBER(Detalle_24m!DT$32)),Detalle_24m!DT$32,INDEX(Vol_V,19,DT$170)/12)*(1+V_dVol),0))</f>
        <v>0</v>
      </c>
      <c r="DU195" s="48" t="n">
        <f aca="false">IF(DU$8=1,N(Reales!DU30),IF(DU$171=1,IF(AND(AND(120&gt;Corte,120&lt;=Corte+n_Ventana),ISNUMBER(Detalle_24m!DU$32)),Detalle_24m!DU$32,INDEX(Vol_V,19,DU$170)/12)*(1+V_dVol),0))</f>
        <v>0</v>
      </c>
      <c r="DV195" s="48" t="n">
        <f aca="false">IF(DV$8=1,N(Reales!DV30),IF(DV$171=1,IF(AND(AND(121&gt;Corte,121&lt;=Corte+n_Ventana),ISNUMBER(Detalle_24m!DV$32)),Detalle_24m!DV$32,INDEX(Vol_V,19,DV$170)/12)*(1+V_dVol),0))</f>
        <v>0</v>
      </c>
      <c r="DW195" s="48" t="n">
        <f aca="false">IF(DW$8=1,N(Reales!DW30),IF(DW$171=1,IF(AND(AND(122&gt;Corte,122&lt;=Corte+n_Ventana),ISNUMBER(Detalle_24m!DW$32)),Detalle_24m!DW$32,INDEX(Vol_V,19,DW$170)/12)*(1+V_dVol),0))</f>
        <v>0</v>
      </c>
      <c r="DX195" s="48" t="n">
        <f aca="false">IF(DX$8=1,N(Reales!DX30),IF(DX$171=1,IF(AND(AND(123&gt;Corte,123&lt;=Corte+n_Ventana),ISNUMBER(Detalle_24m!DX$32)),Detalle_24m!DX$32,INDEX(Vol_V,19,DX$170)/12)*(1+V_dVol),0))</f>
        <v>0</v>
      </c>
      <c r="DY195" s="48" t="n">
        <f aca="false">IF(DY$8=1,N(Reales!DY30),IF(DY$171=1,IF(AND(AND(124&gt;Corte,124&lt;=Corte+n_Ventana),ISNUMBER(Detalle_24m!DY$32)),Detalle_24m!DY$32,INDEX(Vol_V,19,DY$170)/12)*(1+V_dVol),0))</f>
        <v>0</v>
      </c>
      <c r="DZ195" s="48" t="n">
        <f aca="false">IF(DZ$8=1,N(Reales!DZ30),IF(DZ$171=1,IF(AND(AND(125&gt;Corte,125&lt;=Corte+n_Ventana),ISNUMBER(Detalle_24m!DZ$32)),Detalle_24m!DZ$32,INDEX(Vol_V,19,DZ$170)/12)*(1+V_dVol),0))</f>
        <v>0</v>
      </c>
      <c r="EA195" s="48" t="n">
        <f aca="false">IF(EA$8=1,N(Reales!EA30),IF(EA$171=1,IF(AND(AND(126&gt;Corte,126&lt;=Corte+n_Ventana),ISNUMBER(Detalle_24m!EA$32)),Detalle_24m!EA$32,INDEX(Vol_V,19,EA$170)/12)*(1+V_dVol),0))</f>
        <v>0</v>
      </c>
      <c r="EB195" s="48" t="n">
        <f aca="false">IF(EB$8=1,N(Reales!EB30),IF(EB$171=1,IF(AND(AND(127&gt;Corte,127&lt;=Corte+n_Ventana),ISNUMBER(Detalle_24m!EB$32)),Detalle_24m!EB$32,INDEX(Vol_V,19,EB$170)/12)*(1+V_dVol),0))</f>
        <v>0</v>
      </c>
      <c r="EC195" s="48" t="n">
        <f aca="false">IF(EC$8=1,N(Reales!EC30),IF(EC$171=1,IF(AND(AND(128&gt;Corte,128&lt;=Corte+n_Ventana),ISNUMBER(Detalle_24m!EC$32)),Detalle_24m!EC$32,INDEX(Vol_V,19,EC$170)/12)*(1+V_dVol),0))</f>
        <v>0</v>
      </c>
      <c r="ED195" s="48" t="n">
        <f aca="false">IF(ED$8=1,N(Reales!ED30),IF(ED$171=1,IF(AND(AND(129&gt;Corte,129&lt;=Corte+n_Ventana),ISNUMBER(Detalle_24m!ED$32)),Detalle_24m!ED$32,INDEX(Vol_V,19,ED$170)/12)*(1+V_dVol),0))</f>
        <v>0</v>
      </c>
      <c r="EE195" s="48" t="n">
        <f aca="false">IF(EE$8=1,N(Reales!EE30),IF(EE$171=1,IF(AND(AND(130&gt;Corte,130&lt;=Corte+n_Ventana),ISNUMBER(Detalle_24m!EE$32)),Detalle_24m!EE$32,INDEX(Vol_V,19,EE$170)/12)*(1+V_dVol),0))</f>
        <v>0</v>
      </c>
      <c r="EF195" s="48" t="n">
        <f aca="false">IF(EF$8=1,N(Reales!EF30),IF(EF$171=1,IF(AND(AND(131&gt;Corte,131&lt;=Corte+n_Ventana),ISNUMBER(Detalle_24m!EF$32)),Detalle_24m!EF$32,INDEX(Vol_V,19,EF$170)/12)*(1+V_dVol),0))</f>
        <v>0</v>
      </c>
      <c r="EG195" s="48" t="n">
        <f aca="false">IF(EG$8=1,N(Reales!EG30),IF(EG$171=1,IF(AND(AND(132&gt;Corte,132&lt;=Corte+n_Ventana),ISNUMBER(Detalle_24m!EG$32)),Detalle_24m!EG$32,INDEX(Vol_V,19,EG$170)/12)*(1+V_dVol),0))</f>
        <v>0</v>
      </c>
      <c r="EH195" s="48" t="n">
        <f aca="false">IF(EH$8=1,N(Reales!EH30),IF(EH$171=1,IF(AND(AND(133&gt;Corte,133&lt;=Corte+n_Ventana),ISNUMBER(Detalle_24m!EH$32)),Detalle_24m!EH$32,INDEX(Vol_V,19,EH$170)/12)*(1+V_dVol),0))</f>
        <v>0</v>
      </c>
      <c r="EI195" s="48" t="n">
        <f aca="false">IF(EI$8=1,N(Reales!EI30),IF(EI$171=1,IF(AND(AND(134&gt;Corte,134&lt;=Corte+n_Ventana),ISNUMBER(Detalle_24m!EI$32)),Detalle_24m!EI$32,INDEX(Vol_V,19,EI$170)/12)*(1+V_dVol),0))</f>
        <v>0</v>
      </c>
      <c r="EJ195" s="48" t="n">
        <f aca="false">IF(EJ$8=1,N(Reales!EJ30),IF(EJ$171=1,IF(AND(AND(135&gt;Corte,135&lt;=Corte+n_Ventana),ISNUMBER(Detalle_24m!EJ$32)),Detalle_24m!EJ$32,INDEX(Vol_V,19,EJ$170)/12)*(1+V_dVol),0))</f>
        <v>0</v>
      </c>
      <c r="EK195" s="48" t="n">
        <f aca="false">IF(EK$8=1,N(Reales!EK30),IF(EK$171=1,IF(AND(AND(136&gt;Corte,136&lt;=Corte+n_Ventana),ISNUMBER(Detalle_24m!EK$32)),Detalle_24m!EK$32,INDEX(Vol_V,19,EK$170)/12)*(1+V_dVol),0))</f>
        <v>0</v>
      </c>
      <c r="EL195" s="48" t="n">
        <f aca="false">IF(EL$8=1,N(Reales!EL30),IF(EL$171=1,IF(AND(AND(137&gt;Corte,137&lt;=Corte+n_Ventana),ISNUMBER(Detalle_24m!EL$32)),Detalle_24m!EL$32,INDEX(Vol_V,19,EL$170)/12)*(1+V_dVol),0))</f>
        <v>0</v>
      </c>
      <c r="EM195" s="48" t="n">
        <f aca="false">IF(EM$8=1,N(Reales!EM30),IF(EM$171=1,IF(AND(AND(138&gt;Corte,138&lt;=Corte+n_Ventana),ISNUMBER(Detalle_24m!EM$32)),Detalle_24m!EM$32,INDEX(Vol_V,19,EM$170)/12)*(1+V_dVol),0))</f>
        <v>0</v>
      </c>
      <c r="EN195" s="48" t="n">
        <f aca="false">IF(EN$8=1,N(Reales!EN30),IF(EN$171=1,IF(AND(AND(139&gt;Corte,139&lt;=Corte+n_Ventana),ISNUMBER(Detalle_24m!EN$32)),Detalle_24m!EN$32,INDEX(Vol_V,19,EN$170)/12)*(1+V_dVol),0))</f>
        <v>0</v>
      </c>
      <c r="EO195" s="48" t="n">
        <f aca="false">IF(EO$8=1,N(Reales!EO30),IF(EO$171=1,IF(AND(AND(140&gt;Corte,140&lt;=Corte+n_Ventana),ISNUMBER(Detalle_24m!EO$32)),Detalle_24m!EO$32,INDEX(Vol_V,19,EO$170)/12)*(1+V_dVol),0))</f>
        <v>0</v>
      </c>
      <c r="EP195" s="48" t="n">
        <f aca="false">IF(EP$8=1,N(Reales!EP30),IF(EP$171=1,IF(AND(AND(141&gt;Corte,141&lt;=Corte+n_Ventana),ISNUMBER(Detalle_24m!EP$32)),Detalle_24m!EP$32,INDEX(Vol_V,19,EP$170)/12)*(1+V_dVol),0))</f>
        <v>0</v>
      </c>
      <c r="EQ195" s="48" t="n">
        <f aca="false">IF(EQ$8=1,N(Reales!EQ30),IF(EQ$171=1,IF(AND(AND(142&gt;Corte,142&lt;=Corte+n_Ventana),ISNUMBER(Detalle_24m!EQ$32)),Detalle_24m!EQ$32,INDEX(Vol_V,19,EQ$170)/12)*(1+V_dVol),0))</f>
        <v>0</v>
      </c>
      <c r="ER195" s="48" t="n">
        <f aca="false">IF(ER$8=1,N(Reales!ER30),IF(ER$171=1,IF(AND(AND(143&gt;Corte,143&lt;=Corte+n_Ventana),ISNUMBER(Detalle_24m!ER$32)),Detalle_24m!ER$32,INDEX(Vol_V,19,ER$170)/12)*(1+V_dVol),0))</f>
        <v>0</v>
      </c>
      <c r="ES195" s="48" t="n">
        <f aca="false">IF(ES$8=1,N(Reales!ES30),IF(ES$171=1,IF(AND(AND(144&gt;Corte,144&lt;=Corte+n_Ventana),ISNUMBER(Detalle_24m!ES$32)),Detalle_24m!ES$32,INDEX(Vol_V,19,ES$170)/12)*(1+V_dVol),0))</f>
        <v>0</v>
      </c>
    </row>
    <row r="196" customFormat="false" ht="15" hidden="false" customHeight="false" outlineLevel="0" collapsed="false">
      <c r="A196" s="11" t="s">
        <v>1319</v>
      </c>
      <c r="B196" s="53" t="str">
        <f aca="false">IF(INDEX(Prod_Nombre,20)="","Producto 20",INDEX(Prod_Nombre,20))&amp;" — unidades"</f>
        <v>Producto 20 — unidades</v>
      </c>
      <c r="C196" s="15" t="s">
        <v>544</v>
      </c>
      <c r="E196" s="54" t="n">
        <f aca="false">SUM(F196:ES196)</f>
        <v>0</v>
      </c>
      <c r="F196" s="48" t="n">
        <f aca="false">IF(F$8=1,N(Reales!F31),IF(F$171=1,IF(AND(AND(1&gt;Corte,1&lt;=Corte+n_Ventana),ISNUMBER(Detalle_24m!F$33)),Detalle_24m!F$33,INDEX(Vol_V,20,F$170)/12)*(1+V_dVol),0))</f>
        <v>0</v>
      </c>
      <c r="G196" s="48" t="n">
        <f aca="false">IF(G$8=1,N(Reales!G31),IF(G$171=1,IF(AND(AND(2&gt;Corte,2&lt;=Corte+n_Ventana),ISNUMBER(Detalle_24m!G$33)),Detalle_24m!G$33,INDEX(Vol_V,20,G$170)/12)*(1+V_dVol),0))</f>
        <v>0</v>
      </c>
      <c r="H196" s="48" t="n">
        <f aca="false">IF(H$8=1,N(Reales!H31),IF(H$171=1,IF(AND(AND(3&gt;Corte,3&lt;=Corte+n_Ventana),ISNUMBER(Detalle_24m!H$33)),Detalle_24m!H$33,INDEX(Vol_V,20,H$170)/12)*(1+V_dVol),0))</f>
        <v>0</v>
      </c>
      <c r="I196" s="48" t="n">
        <f aca="false">IF(I$8=1,N(Reales!I31),IF(I$171=1,IF(AND(AND(4&gt;Corte,4&lt;=Corte+n_Ventana),ISNUMBER(Detalle_24m!I$33)),Detalle_24m!I$33,INDEX(Vol_V,20,I$170)/12)*(1+V_dVol),0))</f>
        <v>0</v>
      </c>
      <c r="J196" s="48" t="n">
        <f aca="false">IF(J$8=1,N(Reales!J31),IF(J$171=1,IF(AND(AND(5&gt;Corte,5&lt;=Corte+n_Ventana),ISNUMBER(Detalle_24m!J$33)),Detalle_24m!J$33,INDEX(Vol_V,20,J$170)/12)*(1+V_dVol),0))</f>
        <v>0</v>
      </c>
      <c r="K196" s="48" t="n">
        <f aca="false">IF(K$8=1,N(Reales!K31),IF(K$171=1,IF(AND(AND(6&gt;Corte,6&lt;=Corte+n_Ventana),ISNUMBER(Detalle_24m!K$33)),Detalle_24m!K$33,INDEX(Vol_V,20,K$170)/12)*(1+V_dVol),0))</f>
        <v>0</v>
      </c>
      <c r="L196" s="48" t="n">
        <f aca="false">IF(L$8=1,N(Reales!L31),IF(L$171=1,IF(AND(AND(7&gt;Corte,7&lt;=Corte+n_Ventana),ISNUMBER(Detalle_24m!L$33)),Detalle_24m!L$33,INDEX(Vol_V,20,L$170)/12)*(1+V_dVol),0))</f>
        <v>0</v>
      </c>
      <c r="M196" s="48" t="n">
        <f aca="false">IF(M$8=1,N(Reales!M31),IF(M$171=1,IF(AND(AND(8&gt;Corte,8&lt;=Corte+n_Ventana),ISNUMBER(Detalle_24m!M$33)),Detalle_24m!M$33,INDEX(Vol_V,20,M$170)/12)*(1+V_dVol),0))</f>
        <v>0</v>
      </c>
      <c r="N196" s="48" t="n">
        <f aca="false">IF(N$8=1,N(Reales!N31),IF(N$171=1,IF(AND(AND(9&gt;Corte,9&lt;=Corte+n_Ventana),ISNUMBER(Detalle_24m!N$33)),Detalle_24m!N$33,INDEX(Vol_V,20,N$170)/12)*(1+V_dVol),0))</f>
        <v>0</v>
      </c>
      <c r="O196" s="48" t="n">
        <f aca="false">IF(O$8=1,N(Reales!O31),IF(O$171=1,IF(AND(AND(10&gt;Corte,10&lt;=Corte+n_Ventana),ISNUMBER(Detalle_24m!O$33)),Detalle_24m!O$33,INDEX(Vol_V,20,O$170)/12)*(1+V_dVol),0))</f>
        <v>0</v>
      </c>
      <c r="P196" s="48" t="n">
        <f aca="false">IF(P$8=1,N(Reales!P31),IF(P$171=1,IF(AND(AND(11&gt;Corte,11&lt;=Corte+n_Ventana),ISNUMBER(Detalle_24m!P$33)),Detalle_24m!P$33,INDEX(Vol_V,20,P$170)/12)*(1+V_dVol),0))</f>
        <v>0</v>
      </c>
      <c r="Q196" s="48" t="n">
        <f aca="false">IF(Q$8=1,N(Reales!Q31),IF(Q$171=1,IF(AND(AND(12&gt;Corte,12&lt;=Corte+n_Ventana),ISNUMBER(Detalle_24m!Q$33)),Detalle_24m!Q$33,INDEX(Vol_V,20,Q$170)/12)*(1+V_dVol),0))</f>
        <v>0</v>
      </c>
      <c r="R196" s="48" t="n">
        <f aca="false">IF(R$8=1,N(Reales!R31),IF(R$171=1,IF(AND(AND(13&gt;Corte,13&lt;=Corte+n_Ventana),ISNUMBER(Detalle_24m!R$33)),Detalle_24m!R$33,INDEX(Vol_V,20,R$170)/12)*(1+V_dVol),0))</f>
        <v>0</v>
      </c>
      <c r="S196" s="48" t="n">
        <f aca="false">IF(S$8=1,N(Reales!S31),IF(S$171=1,IF(AND(AND(14&gt;Corte,14&lt;=Corte+n_Ventana),ISNUMBER(Detalle_24m!S$33)),Detalle_24m!S$33,INDEX(Vol_V,20,S$170)/12)*(1+V_dVol),0))</f>
        <v>0</v>
      </c>
      <c r="T196" s="48" t="n">
        <f aca="false">IF(T$8=1,N(Reales!T31),IF(T$171=1,IF(AND(AND(15&gt;Corte,15&lt;=Corte+n_Ventana),ISNUMBER(Detalle_24m!T$33)),Detalle_24m!T$33,INDEX(Vol_V,20,T$170)/12)*(1+V_dVol),0))</f>
        <v>0</v>
      </c>
      <c r="U196" s="48" t="n">
        <f aca="false">IF(U$8=1,N(Reales!U31),IF(U$171=1,IF(AND(AND(16&gt;Corte,16&lt;=Corte+n_Ventana),ISNUMBER(Detalle_24m!U$33)),Detalle_24m!U$33,INDEX(Vol_V,20,U$170)/12)*(1+V_dVol),0))</f>
        <v>0</v>
      </c>
      <c r="V196" s="48" t="n">
        <f aca="false">IF(V$8=1,N(Reales!V31),IF(V$171=1,IF(AND(AND(17&gt;Corte,17&lt;=Corte+n_Ventana),ISNUMBER(Detalle_24m!V$33)),Detalle_24m!V$33,INDEX(Vol_V,20,V$170)/12)*(1+V_dVol),0))</f>
        <v>0</v>
      </c>
      <c r="W196" s="48" t="n">
        <f aca="false">IF(W$8=1,N(Reales!W31),IF(W$171=1,IF(AND(AND(18&gt;Corte,18&lt;=Corte+n_Ventana),ISNUMBER(Detalle_24m!W$33)),Detalle_24m!W$33,INDEX(Vol_V,20,W$170)/12)*(1+V_dVol),0))</f>
        <v>0</v>
      </c>
      <c r="X196" s="48" t="n">
        <f aca="false">IF(X$8=1,N(Reales!X31),IF(X$171=1,IF(AND(AND(19&gt;Corte,19&lt;=Corte+n_Ventana),ISNUMBER(Detalle_24m!X$33)),Detalle_24m!X$33,INDEX(Vol_V,20,X$170)/12)*(1+V_dVol),0))</f>
        <v>0</v>
      </c>
      <c r="Y196" s="48" t="n">
        <f aca="false">IF(Y$8=1,N(Reales!Y31),IF(Y$171=1,IF(AND(AND(20&gt;Corte,20&lt;=Corte+n_Ventana),ISNUMBER(Detalle_24m!Y$33)),Detalle_24m!Y$33,INDEX(Vol_V,20,Y$170)/12)*(1+V_dVol),0))</f>
        <v>0</v>
      </c>
      <c r="Z196" s="48" t="n">
        <f aca="false">IF(Z$8=1,N(Reales!Z31),IF(Z$171=1,IF(AND(AND(21&gt;Corte,21&lt;=Corte+n_Ventana),ISNUMBER(Detalle_24m!Z$33)),Detalle_24m!Z$33,INDEX(Vol_V,20,Z$170)/12)*(1+V_dVol),0))</f>
        <v>0</v>
      </c>
      <c r="AA196" s="48" t="n">
        <f aca="false">IF(AA$8=1,N(Reales!AA31),IF(AA$171=1,IF(AND(AND(22&gt;Corte,22&lt;=Corte+n_Ventana),ISNUMBER(Detalle_24m!AA$33)),Detalle_24m!AA$33,INDEX(Vol_V,20,AA$170)/12)*(1+V_dVol),0))</f>
        <v>0</v>
      </c>
      <c r="AB196" s="48" t="n">
        <f aca="false">IF(AB$8=1,N(Reales!AB31),IF(AB$171=1,IF(AND(AND(23&gt;Corte,23&lt;=Corte+n_Ventana),ISNUMBER(Detalle_24m!AB$33)),Detalle_24m!AB$33,INDEX(Vol_V,20,AB$170)/12)*(1+V_dVol),0))</f>
        <v>0</v>
      </c>
      <c r="AC196" s="48" t="n">
        <f aca="false">IF(AC$8=1,N(Reales!AC31),IF(AC$171=1,IF(AND(AND(24&gt;Corte,24&lt;=Corte+n_Ventana),ISNUMBER(Detalle_24m!AC$33)),Detalle_24m!AC$33,INDEX(Vol_V,20,AC$170)/12)*(1+V_dVol),0))</f>
        <v>0</v>
      </c>
      <c r="AD196" s="48" t="n">
        <f aca="false">IF(AD$8=1,N(Reales!AD31),IF(AD$171=1,IF(AND(AND(25&gt;Corte,25&lt;=Corte+n_Ventana),ISNUMBER(Detalle_24m!AD$33)),Detalle_24m!AD$33,INDEX(Vol_V,20,AD$170)/12)*(1+V_dVol),0))</f>
        <v>0</v>
      </c>
      <c r="AE196" s="48" t="n">
        <f aca="false">IF(AE$8=1,N(Reales!AE31),IF(AE$171=1,IF(AND(AND(26&gt;Corte,26&lt;=Corte+n_Ventana),ISNUMBER(Detalle_24m!AE$33)),Detalle_24m!AE$33,INDEX(Vol_V,20,AE$170)/12)*(1+V_dVol),0))</f>
        <v>0</v>
      </c>
      <c r="AF196" s="48" t="n">
        <f aca="false">IF(AF$8=1,N(Reales!AF31),IF(AF$171=1,IF(AND(AND(27&gt;Corte,27&lt;=Corte+n_Ventana),ISNUMBER(Detalle_24m!AF$33)),Detalle_24m!AF$33,INDEX(Vol_V,20,AF$170)/12)*(1+V_dVol),0))</f>
        <v>0</v>
      </c>
      <c r="AG196" s="48" t="n">
        <f aca="false">IF(AG$8=1,N(Reales!AG31),IF(AG$171=1,IF(AND(AND(28&gt;Corte,28&lt;=Corte+n_Ventana),ISNUMBER(Detalle_24m!AG$33)),Detalle_24m!AG$33,INDEX(Vol_V,20,AG$170)/12)*(1+V_dVol),0))</f>
        <v>0</v>
      </c>
      <c r="AH196" s="48" t="n">
        <f aca="false">IF(AH$8=1,N(Reales!AH31),IF(AH$171=1,IF(AND(AND(29&gt;Corte,29&lt;=Corte+n_Ventana),ISNUMBER(Detalle_24m!AH$33)),Detalle_24m!AH$33,INDEX(Vol_V,20,AH$170)/12)*(1+V_dVol),0))</f>
        <v>0</v>
      </c>
      <c r="AI196" s="48" t="n">
        <f aca="false">IF(AI$8=1,N(Reales!AI31),IF(AI$171=1,IF(AND(AND(30&gt;Corte,30&lt;=Corte+n_Ventana),ISNUMBER(Detalle_24m!AI$33)),Detalle_24m!AI$33,INDEX(Vol_V,20,AI$170)/12)*(1+V_dVol),0))</f>
        <v>0</v>
      </c>
      <c r="AJ196" s="48" t="n">
        <f aca="false">IF(AJ$8=1,N(Reales!AJ31),IF(AJ$171=1,IF(AND(AND(31&gt;Corte,31&lt;=Corte+n_Ventana),ISNUMBER(Detalle_24m!AJ$33)),Detalle_24m!AJ$33,INDEX(Vol_V,20,AJ$170)/12)*(1+V_dVol),0))</f>
        <v>0</v>
      </c>
      <c r="AK196" s="48" t="n">
        <f aca="false">IF(AK$8=1,N(Reales!AK31),IF(AK$171=1,IF(AND(AND(32&gt;Corte,32&lt;=Corte+n_Ventana),ISNUMBER(Detalle_24m!AK$33)),Detalle_24m!AK$33,INDEX(Vol_V,20,AK$170)/12)*(1+V_dVol),0))</f>
        <v>0</v>
      </c>
      <c r="AL196" s="48" t="n">
        <f aca="false">IF(AL$8=1,N(Reales!AL31),IF(AL$171=1,IF(AND(AND(33&gt;Corte,33&lt;=Corte+n_Ventana),ISNUMBER(Detalle_24m!AL$33)),Detalle_24m!AL$33,INDEX(Vol_V,20,AL$170)/12)*(1+V_dVol),0))</f>
        <v>0</v>
      </c>
      <c r="AM196" s="48" t="n">
        <f aca="false">IF(AM$8=1,N(Reales!AM31),IF(AM$171=1,IF(AND(AND(34&gt;Corte,34&lt;=Corte+n_Ventana),ISNUMBER(Detalle_24m!AM$33)),Detalle_24m!AM$33,INDEX(Vol_V,20,AM$170)/12)*(1+V_dVol),0))</f>
        <v>0</v>
      </c>
      <c r="AN196" s="48" t="n">
        <f aca="false">IF(AN$8=1,N(Reales!AN31),IF(AN$171=1,IF(AND(AND(35&gt;Corte,35&lt;=Corte+n_Ventana),ISNUMBER(Detalle_24m!AN$33)),Detalle_24m!AN$33,INDEX(Vol_V,20,AN$170)/12)*(1+V_dVol),0))</f>
        <v>0</v>
      </c>
      <c r="AO196" s="48" t="n">
        <f aca="false">IF(AO$8=1,N(Reales!AO31),IF(AO$171=1,IF(AND(AND(36&gt;Corte,36&lt;=Corte+n_Ventana),ISNUMBER(Detalle_24m!AO$33)),Detalle_24m!AO$33,INDEX(Vol_V,20,AO$170)/12)*(1+V_dVol),0))</f>
        <v>0</v>
      </c>
      <c r="AP196" s="48" t="n">
        <f aca="false">IF(AP$8=1,N(Reales!AP31),IF(AP$171=1,IF(AND(AND(37&gt;Corte,37&lt;=Corte+n_Ventana),ISNUMBER(Detalle_24m!AP$33)),Detalle_24m!AP$33,INDEX(Vol_V,20,AP$170)/12)*(1+V_dVol),0))</f>
        <v>0</v>
      </c>
      <c r="AQ196" s="48" t="n">
        <f aca="false">IF(AQ$8=1,N(Reales!AQ31),IF(AQ$171=1,IF(AND(AND(38&gt;Corte,38&lt;=Corte+n_Ventana),ISNUMBER(Detalle_24m!AQ$33)),Detalle_24m!AQ$33,INDEX(Vol_V,20,AQ$170)/12)*(1+V_dVol),0))</f>
        <v>0</v>
      </c>
      <c r="AR196" s="48" t="n">
        <f aca="false">IF(AR$8=1,N(Reales!AR31),IF(AR$171=1,IF(AND(AND(39&gt;Corte,39&lt;=Corte+n_Ventana),ISNUMBER(Detalle_24m!AR$33)),Detalle_24m!AR$33,INDEX(Vol_V,20,AR$170)/12)*(1+V_dVol),0))</f>
        <v>0</v>
      </c>
      <c r="AS196" s="48" t="n">
        <f aca="false">IF(AS$8=1,N(Reales!AS31),IF(AS$171=1,IF(AND(AND(40&gt;Corte,40&lt;=Corte+n_Ventana),ISNUMBER(Detalle_24m!AS$33)),Detalle_24m!AS$33,INDEX(Vol_V,20,AS$170)/12)*(1+V_dVol),0))</f>
        <v>0</v>
      </c>
      <c r="AT196" s="48" t="n">
        <f aca="false">IF(AT$8=1,N(Reales!AT31),IF(AT$171=1,IF(AND(AND(41&gt;Corte,41&lt;=Corte+n_Ventana),ISNUMBER(Detalle_24m!AT$33)),Detalle_24m!AT$33,INDEX(Vol_V,20,AT$170)/12)*(1+V_dVol),0))</f>
        <v>0</v>
      </c>
      <c r="AU196" s="48" t="n">
        <f aca="false">IF(AU$8=1,N(Reales!AU31),IF(AU$171=1,IF(AND(AND(42&gt;Corte,42&lt;=Corte+n_Ventana),ISNUMBER(Detalle_24m!AU$33)),Detalle_24m!AU$33,INDEX(Vol_V,20,AU$170)/12)*(1+V_dVol),0))</f>
        <v>0</v>
      </c>
      <c r="AV196" s="48" t="n">
        <f aca="false">IF(AV$8=1,N(Reales!AV31),IF(AV$171=1,IF(AND(AND(43&gt;Corte,43&lt;=Corte+n_Ventana),ISNUMBER(Detalle_24m!AV$33)),Detalle_24m!AV$33,INDEX(Vol_V,20,AV$170)/12)*(1+V_dVol),0))</f>
        <v>0</v>
      </c>
      <c r="AW196" s="48" t="n">
        <f aca="false">IF(AW$8=1,N(Reales!AW31),IF(AW$171=1,IF(AND(AND(44&gt;Corte,44&lt;=Corte+n_Ventana),ISNUMBER(Detalle_24m!AW$33)),Detalle_24m!AW$33,INDEX(Vol_V,20,AW$170)/12)*(1+V_dVol),0))</f>
        <v>0</v>
      </c>
      <c r="AX196" s="48" t="n">
        <f aca="false">IF(AX$8=1,N(Reales!AX31),IF(AX$171=1,IF(AND(AND(45&gt;Corte,45&lt;=Corte+n_Ventana),ISNUMBER(Detalle_24m!AX$33)),Detalle_24m!AX$33,INDEX(Vol_V,20,AX$170)/12)*(1+V_dVol),0))</f>
        <v>0</v>
      </c>
      <c r="AY196" s="48" t="n">
        <f aca="false">IF(AY$8=1,N(Reales!AY31),IF(AY$171=1,IF(AND(AND(46&gt;Corte,46&lt;=Corte+n_Ventana),ISNUMBER(Detalle_24m!AY$33)),Detalle_24m!AY$33,INDEX(Vol_V,20,AY$170)/12)*(1+V_dVol),0))</f>
        <v>0</v>
      </c>
      <c r="AZ196" s="48" t="n">
        <f aca="false">IF(AZ$8=1,N(Reales!AZ31),IF(AZ$171=1,IF(AND(AND(47&gt;Corte,47&lt;=Corte+n_Ventana),ISNUMBER(Detalle_24m!AZ$33)),Detalle_24m!AZ$33,INDEX(Vol_V,20,AZ$170)/12)*(1+V_dVol),0))</f>
        <v>0</v>
      </c>
      <c r="BA196" s="48" t="n">
        <f aca="false">IF(BA$8=1,N(Reales!BA31),IF(BA$171=1,IF(AND(AND(48&gt;Corte,48&lt;=Corte+n_Ventana),ISNUMBER(Detalle_24m!BA$33)),Detalle_24m!BA$33,INDEX(Vol_V,20,BA$170)/12)*(1+V_dVol),0))</f>
        <v>0</v>
      </c>
      <c r="BB196" s="48" t="n">
        <f aca="false">IF(BB$8=1,N(Reales!BB31),IF(BB$171=1,IF(AND(AND(49&gt;Corte,49&lt;=Corte+n_Ventana),ISNUMBER(Detalle_24m!BB$33)),Detalle_24m!BB$33,INDEX(Vol_V,20,BB$170)/12)*(1+V_dVol),0))</f>
        <v>0</v>
      </c>
      <c r="BC196" s="48" t="n">
        <f aca="false">IF(BC$8=1,N(Reales!BC31),IF(BC$171=1,IF(AND(AND(50&gt;Corte,50&lt;=Corte+n_Ventana),ISNUMBER(Detalle_24m!BC$33)),Detalle_24m!BC$33,INDEX(Vol_V,20,BC$170)/12)*(1+V_dVol),0))</f>
        <v>0</v>
      </c>
      <c r="BD196" s="48" t="n">
        <f aca="false">IF(BD$8=1,N(Reales!BD31),IF(BD$171=1,IF(AND(AND(51&gt;Corte,51&lt;=Corte+n_Ventana),ISNUMBER(Detalle_24m!BD$33)),Detalle_24m!BD$33,INDEX(Vol_V,20,BD$170)/12)*(1+V_dVol),0))</f>
        <v>0</v>
      </c>
      <c r="BE196" s="48" t="n">
        <f aca="false">IF(BE$8=1,N(Reales!BE31),IF(BE$171=1,IF(AND(AND(52&gt;Corte,52&lt;=Corte+n_Ventana),ISNUMBER(Detalle_24m!BE$33)),Detalle_24m!BE$33,INDEX(Vol_V,20,BE$170)/12)*(1+V_dVol),0))</f>
        <v>0</v>
      </c>
      <c r="BF196" s="48" t="n">
        <f aca="false">IF(BF$8=1,N(Reales!BF31),IF(BF$171=1,IF(AND(AND(53&gt;Corte,53&lt;=Corte+n_Ventana),ISNUMBER(Detalle_24m!BF$33)),Detalle_24m!BF$33,INDEX(Vol_V,20,BF$170)/12)*(1+V_dVol),0))</f>
        <v>0</v>
      </c>
      <c r="BG196" s="48" t="n">
        <f aca="false">IF(BG$8=1,N(Reales!BG31),IF(BG$171=1,IF(AND(AND(54&gt;Corte,54&lt;=Corte+n_Ventana),ISNUMBER(Detalle_24m!BG$33)),Detalle_24m!BG$33,INDEX(Vol_V,20,BG$170)/12)*(1+V_dVol),0))</f>
        <v>0</v>
      </c>
      <c r="BH196" s="48" t="n">
        <f aca="false">IF(BH$8=1,N(Reales!BH31),IF(BH$171=1,IF(AND(AND(55&gt;Corte,55&lt;=Corte+n_Ventana),ISNUMBER(Detalle_24m!BH$33)),Detalle_24m!BH$33,INDEX(Vol_V,20,BH$170)/12)*(1+V_dVol),0))</f>
        <v>0</v>
      </c>
      <c r="BI196" s="48" t="n">
        <f aca="false">IF(BI$8=1,N(Reales!BI31),IF(BI$171=1,IF(AND(AND(56&gt;Corte,56&lt;=Corte+n_Ventana),ISNUMBER(Detalle_24m!BI$33)),Detalle_24m!BI$33,INDEX(Vol_V,20,BI$170)/12)*(1+V_dVol),0))</f>
        <v>0</v>
      </c>
      <c r="BJ196" s="48" t="n">
        <f aca="false">IF(BJ$8=1,N(Reales!BJ31),IF(BJ$171=1,IF(AND(AND(57&gt;Corte,57&lt;=Corte+n_Ventana),ISNUMBER(Detalle_24m!BJ$33)),Detalle_24m!BJ$33,INDEX(Vol_V,20,BJ$170)/12)*(1+V_dVol),0))</f>
        <v>0</v>
      </c>
      <c r="BK196" s="48" t="n">
        <f aca="false">IF(BK$8=1,N(Reales!BK31),IF(BK$171=1,IF(AND(AND(58&gt;Corte,58&lt;=Corte+n_Ventana),ISNUMBER(Detalle_24m!BK$33)),Detalle_24m!BK$33,INDEX(Vol_V,20,BK$170)/12)*(1+V_dVol),0))</f>
        <v>0</v>
      </c>
      <c r="BL196" s="48" t="n">
        <f aca="false">IF(BL$8=1,N(Reales!BL31),IF(BL$171=1,IF(AND(AND(59&gt;Corte,59&lt;=Corte+n_Ventana),ISNUMBER(Detalle_24m!BL$33)),Detalle_24m!BL$33,INDEX(Vol_V,20,BL$170)/12)*(1+V_dVol),0))</f>
        <v>0</v>
      </c>
      <c r="BM196" s="48" t="n">
        <f aca="false">IF(BM$8=1,N(Reales!BM31),IF(BM$171=1,IF(AND(AND(60&gt;Corte,60&lt;=Corte+n_Ventana),ISNUMBER(Detalle_24m!BM$33)),Detalle_24m!BM$33,INDEX(Vol_V,20,BM$170)/12)*(1+V_dVol),0))</f>
        <v>0</v>
      </c>
      <c r="BN196" s="48" t="n">
        <f aca="false">IF(BN$8=1,N(Reales!BN31),IF(BN$171=1,IF(AND(AND(61&gt;Corte,61&lt;=Corte+n_Ventana),ISNUMBER(Detalle_24m!BN$33)),Detalle_24m!BN$33,INDEX(Vol_V,20,BN$170)/12)*(1+V_dVol),0))</f>
        <v>0</v>
      </c>
      <c r="BO196" s="48" t="n">
        <f aca="false">IF(BO$8=1,N(Reales!BO31),IF(BO$171=1,IF(AND(AND(62&gt;Corte,62&lt;=Corte+n_Ventana),ISNUMBER(Detalle_24m!BO$33)),Detalle_24m!BO$33,INDEX(Vol_V,20,BO$170)/12)*(1+V_dVol),0))</f>
        <v>0</v>
      </c>
      <c r="BP196" s="48" t="n">
        <f aca="false">IF(BP$8=1,N(Reales!BP31),IF(BP$171=1,IF(AND(AND(63&gt;Corte,63&lt;=Corte+n_Ventana),ISNUMBER(Detalle_24m!BP$33)),Detalle_24m!BP$33,INDEX(Vol_V,20,BP$170)/12)*(1+V_dVol),0))</f>
        <v>0</v>
      </c>
      <c r="BQ196" s="48" t="n">
        <f aca="false">IF(BQ$8=1,N(Reales!BQ31),IF(BQ$171=1,IF(AND(AND(64&gt;Corte,64&lt;=Corte+n_Ventana),ISNUMBER(Detalle_24m!BQ$33)),Detalle_24m!BQ$33,INDEX(Vol_V,20,BQ$170)/12)*(1+V_dVol),0))</f>
        <v>0</v>
      </c>
      <c r="BR196" s="48" t="n">
        <f aca="false">IF(BR$8=1,N(Reales!BR31),IF(BR$171=1,IF(AND(AND(65&gt;Corte,65&lt;=Corte+n_Ventana),ISNUMBER(Detalle_24m!BR$33)),Detalle_24m!BR$33,INDEX(Vol_V,20,BR$170)/12)*(1+V_dVol),0))</f>
        <v>0</v>
      </c>
      <c r="BS196" s="48" t="n">
        <f aca="false">IF(BS$8=1,N(Reales!BS31),IF(BS$171=1,IF(AND(AND(66&gt;Corte,66&lt;=Corte+n_Ventana),ISNUMBER(Detalle_24m!BS$33)),Detalle_24m!BS$33,INDEX(Vol_V,20,BS$170)/12)*(1+V_dVol),0))</f>
        <v>0</v>
      </c>
      <c r="BT196" s="48" t="n">
        <f aca="false">IF(BT$8=1,N(Reales!BT31),IF(BT$171=1,IF(AND(AND(67&gt;Corte,67&lt;=Corte+n_Ventana),ISNUMBER(Detalle_24m!BT$33)),Detalle_24m!BT$33,INDEX(Vol_V,20,BT$170)/12)*(1+V_dVol),0))</f>
        <v>0</v>
      </c>
      <c r="BU196" s="48" t="n">
        <f aca="false">IF(BU$8=1,N(Reales!BU31),IF(BU$171=1,IF(AND(AND(68&gt;Corte,68&lt;=Corte+n_Ventana),ISNUMBER(Detalle_24m!BU$33)),Detalle_24m!BU$33,INDEX(Vol_V,20,BU$170)/12)*(1+V_dVol),0))</f>
        <v>0</v>
      </c>
      <c r="BV196" s="48" t="n">
        <f aca="false">IF(BV$8=1,N(Reales!BV31),IF(BV$171=1,IF(AND(AND(69&gt;Corte,69&lt;=Corte+n_Ventana),ISNUMBER(Detalle_24m!BV$33)),Detalle_24m!BV$33,INDEX(Vol_V,20,BV$170)/12)*(1+V_dVol),0))</f>
        <v>0</v>
      </c>
      <c r="BW196" s="48" t="n">
        <f aca="false">IF(BW$8=1,N(Reales!BW31),IF(BW$171=1,IF(AND(AND(70&gt;Corte,70&lt;=Corte+n_Ventana),ISNUMBER(Detalle_24m!BW$33)),Detalle_24m!BW$33,INDEX(Vol_V,20,BW$170)/12)*(1+V_dVol),0))</f>
        <v>0</v>
      </c>
      <c r="BX196" s="48" t="n">
        <f aca="false">IF(BX$8=1,N(Reales!BX31),IF(BX$171=1,IF(AND(AND(71&gt;Corte,71&lt;=Corte+n_Ventana),ISNUMBER(Detalle_24m!BX$33)),Detalle_24m!BX$33,INDEX(Vol_V,20,BX$170)/12)*(1+V_dVol),0))</f>
        <v>0</v>
      </c>
      <c r="BY196" s="48" t="n">
        <f aca="false">IF(BY$8=1,N(Reales!BY31),IF(BY$171=1,IF(AND(AND(72&gt;Corte,72&lt;=Corte+n_Ventana),ISNUMBER(Detalle_24m!BY$33)),Detalle_24m!BY$33,INDEX(Vol_V,20,BY$170)/12)*(1+V_dVol),0))</f>
        <v>0</v>
      </c>
      <c r="BZ196" s="48" t="n">
        <f aca="false">IF(BZ$8=1,N(Reales!BZ31),IF(BZ$171=1,IF(AND(AND(73&gt;Corte,73&lt;=Corte+n_Ventana),ISNUMBER(Detalle_24m!BZ$33)),Detalle_24m!BZ$33,INDEX(Vol_V,20,BZ$170)/12)*(1+V_dVol),0))</f>
        <v>0</v>
      </c>
      <c r="CA196" s="48" t="n">
        <f aca="false">IF(CA$8=1,N(Reales!CA31),IF(CA$171=1,IF(AND(AND(74&gt;Corte,74&lt;=Corte+n_Ventana),ISNUMBER(Detalle_24m!CA$33)),Detalle_24m!CA$33,INDEX(Vol_V,20,CA$170)/12)*(1+V_dVol),0))</f>
        <v>0</v>
      </c>
      <c r="CB196" s="48" t="n">
        <f aca="false">IF(CB$8=1,N(Reales!CB31),IF(CB$171=1,IF(AND(AND(75&gt;Corte,75&lt;=Corte+n_Ventana),ISNUMBER(Detalle_24m!CB$33)),Detalle_24m!CB$33,INDEX(Vol_V,20,CB$170)/12)*(1+V_dVol),0))</f>
        <v>0</v>
      </c>
      <c r="CC196" s="48" t="n">
        <f aca="false">IF(CC$8=1,N(Reales!CC31),IF(CC$171=1,IF(AND(AND(76&gt;Corte,76&lt;=Corte+n_Ventana),ISNUMBER(Detalle_24m!CC$33)),Detalle_24m!CC$33,INDEX(Vol_V,20,CC$170)/12)*(1+V_dVol),0))</f>
        <v>0</v>
      </c>
      <c r="CD196" s="48" t="n">
        <f aca="false">IF(CD$8=1,N(Reales!CD31),IF(CD$171=1,IF(AND(AND(77&gt;Corte,77&lt;=Corte+n_Ventana),ISNUMBER(Detalle_24m!CD$33)),Detalle_24m!CD$33,INDEX(Vol_V,20,CD$170)/12)*(1+V_dVol),0))</f>
        <v>0</v>
      </c>
      <c r="CE196" s="48" t="n">
        <f aca="false">IF(CE$8=1,N(Reales!CE31),IF(CE$171=1,IF(AND(AND(78&gt;Corte,78&lt;=Corte+n_Ventana),ISNUMBER(Detalle_24m!CE$33)),Detalle_24m!CE$33,INDEX(Vol_V,20,CE$170)/12)*(1+V_dVol),0))</f>
        <v>0</v>
      </c>
      <c r="CF196" s="48" t="n">
        <f aca="false">IF(CF$8=1,N(Reales!CF31),IF(CF$171=1,IF(AND(AND(79&gt;Corte,79&lt;=Corte+n_Ventana),ISNUMBER(Detalle_24m!CF$33)),Detalle_24m!CF$33,INDEX(Vol_V,20,CF$170)/12)*(1+V_dVol),0))</f>
        <v>0</v>
      </c>
      <c r="CG196" s="48" t="n">
        <f aca="false">IF(CG$8=1,N(Reales!CG31),IF(CG$171=1,IF(AND(AND(80&gt;Corte,80&lt;=Corte+n_Ventana),ISNUMBER(Detalle_24m!CG$33)),Detalle_24m!CG$33,INDEX(Vol_V,20,CG$170)/12)*(1+V_dVol),0))</f>
        <v>0</v>
      </c>
      <c r="CH196" s="48" t="n">
        <f aca="false">IF(CH$8=1,N(Reales!CH31),IF(CH$171=1,IF(AND(AND(81&gt;Corte,81&lt;=Corte+n_Ventana),ISNUMBER(Detalle_24m!CH$33)),Detalle_24m!CH$33,INDEX(Vol_V,20,CH$170)/12)*(1+V_dVol),0))</f>
        <v>0</v>
      </c>
      <c r="CI196" s="48" t="n">
        <f aca="false">IF(CI$8=1,N(Reales!CI31),IF(CI$171=1,IF(AND(AND(82&gt;Corte,82&lt;=Corte+n_Ventana),ISNUMBER(Detalle_24m!CI$33)),Detalle_24m!CI$33,INDEX(Vol_V,20,CI$170)/12)*(1+V_dVol),0))</f>
        <v>0</v>
      </c>
      <c r="CJ196" s="48" t="n">
        <f aca="false">IF(CJ$8=1,N(Reales!CJ31),IF(CJ$171=1,IF(AND(AND(83&gt;Corte,83&lt;=Corte+n_Ventana),ISNUMBER(Detalle_24m!CJ$33)),Detalle_24m!CJ$33,INDEX(Vol_V,20,CJ$170)/12)*(1+V_dVol),0))</f>
        <v>0</v>
      </c>
      <c r="CK196" s="48" t="n">
        <f aca="false">IF(CK$8=1,N(Reales!CK31),IF(CK$171=1,IF(AND(AND(84&gt;Corte,84&lt;=Corte+n_Ventana),ISNUMBER(Detalle_24m!CK$33)),Detalle_24m!CK$33,INDEX(Vol_V,20,CK$170)/12)*(1+V_dVol),0))</f>
        <v>0</v>
      </c>
      <c r="CL196" s="48" t="n">
        <f aca="false">IF(CL$8=1,N(Reales!CL31),IF(CL$171=1,IF(AND(AND(85&gt;Corte,85&lt;=Corte+n_Ventana),ISNUMBER(Detalle_24m!CL$33)),Detalle_24m!CL$33,INDEX(Vol_V,20,CL$170)/12)*(1+V_dVol),0))</f>
        <v>0</v>
      </c>
      <c r="CM196" s="48" t="n">
        <f aca="false">IF(CM$8=1,N(Reales!CM31),IF(CM$171=1,IF(AND(AND(86&gt;Corte,86&lt;=Corte+n_Ventana),ISNUMBER(Detalle_24m!CM$33)),Detalle_24m!CM$33,INDEX(Vol_V,20,CM$170)/12)*(1+V_dVol),0))</f>
        <v>0</v>
      </c>
      <c r="CN196" s="48" t="n">
        <f aca="false">IF(CN$8=1,N(Reales!CN31),IF(CN$171=1,IF(AND(AND(87&gt;Corte,87&lt;=Corte+n_Ventana),ISNUMBER(Detalle_24m!CN$33)),Detalle_24m!CN$33,INDEX(Vol_V,20,CN$170)/12)*(1+V_dVol),0))</f>
        <v>0</v>
      </c>
      <c r="CO196" s="48" t="n">
        <f aca="false">IF(CO$8=1,N(Reales!CO31),IF(CO$171=1,IF(AND(AND(88&gt;Corte,88&lt;=Corte+n_Ventana),ISNUMBER(Detalle_24m!CO$33)),Detalle_24m!CO$33,INDEX(Vol_V,20,CO$170)/12)*(1+V_dVol),0))</f>
        <v>0</v>
      </c>
      <c r="CP196" s="48" t="n">
        <f aca="false">IF(CP$8=1,N(Reales!CP31),IF(CP$171=1,IF(AND(AND(89&gt;Corte,89&lt;=Corte+n_Ventana),ISNUMBER(Detalle_24m!CP$33)),Detalle_24m!CP$33,INDEX(Vol_V,20,CP$170)/12)*(1+V_dVol),0))</f>
        <v>0</v>
      </c>
      <c r="CQ196" s="48" t="n">
        <f aca="false">IF(CQ$8=1,N(Reales!CQ31),IF(CQ$171=1,IF(AND(AND(90&gt;Corte,90&lt;=Corte+n_Ventana),ISNUMBER(Detalle_24m!CQ$33)),Detalle_24m!CQ$33,INDEX(Vol_V,20,CQ$170)/12)*(1+V_dVol),0))</f>
        <v>0</v>
      </c>
      <c r="CR196" s="48" t="n">
        <f aca="false">IF(CR$8=1,N(Reales!CR31),IF(CR$171=1,IF(AND(AND(91&gt;Corte,91&lt;=Corte+n_Ventana),ISNUMBER(Detalle_24m!CR$33)),Detalle_24m!CR$33,INDEX(Vol_V,20,CR$170)/12)*(1+V_dVol),0))</f>
        <v>0</v>
      </c>
      <c r="CS196" s="48" t="n">
        <f aca="false">IF(CS$8=1,N(Reales!CS31),IF(CS$171=1,IF(AND(AND(92&gt;Corte,92&lt;=Corte+n_Ventana),ISNUMBER(Detalle_24m!CS$33)),Detalle_24m!CS$33,INDEX(Vol_V,20,CS$170)/12)*(1+V_dVol),0))</f>
        <v>0</v>
      </c>
      <c r="CT196" s="48" t="n">
        <f aca="false">IF(CT$8=1,N(Reales!CT31),IF(CT$171=1,IF(AND(AND(93&gt;Corte,93&lt;=Corte+n_Ventana),ISNUMBER(Detalle_24m!CT$33)),Detalle_24m!CT$33,INDEX(Vol_V,20,CT$170)/12)*(1+V_dVol),0))</f>
        <v>0</v>
      </c>
      <c r="CU196" s="48" t="n">
        <f aca="false">IF(CU$8=1,N(Reales!CU31),IF(CU$171=1,IF(AND(AND(94&gt;Corte,94&lt;=Corte+n_Ventana),ISNUMBER(Detalle_24m!CU$33)),Detalle_24m!CU$33,INDEX(Vol_V,20,CU$170)/12)*(1+V_dVol),0))</f>
        <v>0</v>
      </c>
      <c r="CV196" s="48" t="n">
        <f aca="false">IF(CV$8=1,N(Reales!CV31),IF(CV$171=1,IF(AND(AND(95&gt;Corte,95&lt;=Corte+n_Ventana),ISNUMBER(Detalle_24m!CV$33)),Detalle_24m!CV$33,INDEX(Vol_V,20,CV$170)/12)*(1+V_dVol),0))</f>
        <v>0</v>
      </c>
      <c r="CW196" s="48" t="n">
        <f aca="false">IF(CW$8=1,N(Reales!CW31),IF(CW$171=1,IF(AND(AND(96&gt;Corte,96&lt;=Corte+n_Ventana),ISNUMBER(Detalle_24m!CW$33)),Detalle_24m!CW$33,INDEX(Vol_V,20,CW$170)/12)*(1+V_dVol),0))</f>
        <v>0</v>
      </c>
      <c r="CX196" s="48" t="n">
        <f aca="false">IF(CX$8=1,N(Reales!CX31),IF(CX$171=1,IF(AND(AND(97&gt;Corte,97&lt;=Corte+n_Ventana),ISNUMBER(Detalle_24m!CX$33)),Detalle_24m!CX$33,INDEX(Vol_V,20,CX$170)/12)*(1+V_dVol),0))</f>
        <v>0</v>
      </c>
      <c r="CY196" s="48" t="n">
        <f aca="false">IF(CY$8=1,N(Reales!CY31),IF(CY$171=1,IF(AND(AND(98&gt;Corte,98&lt;=Corte+n_Ventana),ISNUMBER(Detalle_24m!CY$33)),Detalle_24m!CY$33,INDEX(Vol_V,20,CY$170)/12)*(1+V_dVol),0))</f>
        <v>0</v>
      </c>
      <c r="CZ196" s="48" t="n">
        <f aca="false">IF(CZ$8=1,N(Reales!CZ31),IF(CZ$171=1,IF(AND(AND(99&gt;Corte,99&lt;=Corte+n_Ventana),ISNUMBER(Detalle_24m!CZ$33)),Detalle_24m!CZ$33,INDEX(Vol_V,20,CZ$170)/12)*(1+V_dVol),0))</f>
        <v>0</v>
      </c>
      <c r="DA196" s="48" t="n">
        <f aca="false">IF(DA$8=1,N(Reales!DA31),IF(DA$171=1,IF(AND(AND(100&gt;Corte,100&lt;=Corte+n_Ventana),ISNUMBER(Detalle_24m!DA$33)),Detalle_24m!DA$33,INDEX(Vol_V,20,DA$170)/12)*(1+V_dVol),0))</f>
        <v>0</v>
      </c>
      <c r="DB196" s="48" t="n">
        <f aca="false">IF(DB$8=1,N(Reales!DB31),IF(DB$171=1,IF(AND(AND(101&gt;Corte,101&lt;=Corte+n_Ventana),ISNUMBER(Detalle_24m!DB$33)),Detalle_24m!DB$33,INDEX(Vol_V,20,DB$170)/12)*(1+V_dVol),0))</f>
        <v>0</v>
      </c>
      <c r="DC196" s="48" t="n">
        <f aca="false">IF(DC$8=1,N(Reales!DC31),IF(DC$171=1,IF(AND(AND(102&gt;Corte,102&lt;=Corte+n_Ventana),ISNUMBER(Detalle_24m!DC$33)),Detalle_24m!DC$33,INDEX(Vol_V,20,DC$170)/12)*(1+V_dVol),0))</f>
        <v>0</v>
      </c>
      <c r="DD196" s="48" t="n">
        <f aca="false">IF(DD$8=1,N(Reales!DD31),IF(DD$171=1,IF(AND(AND(103&gt;Corte,103&lt;=Corte+n_Ventana),ISNUMBER(Detalle_24m!DD$33)),Detalle_24m!DD$33,INDEX(Vol_V,20,DD$170)/12)*(1+V_dVol),0))</f>
        <v>0</v>
      </c>
      <c r="DE196" s="48" t="n">
        <f aca="false">IF(DE$8=1,N(Reales!DE31),IF(DE$171=1,IF(AND(AND(104&gt;Corte,104&lt;=Corte+n_Ventana),ISNUMBER(Detalle_24m!DE$33)),Detalle_24m!DE$33,INDEX(Vol_V,20,DE$170)/12)*(1+V_dVol),0))</f>
        <v>0</v>
      </c>
      <c r="DF196" s="48" t="n">
        <f aca="false">IF(DF$8=1,N(Reales!DF31),IF(DF$171=1,IF(AND(AND(105&gt;Corte,105&lt;=Corte+n_Ventana),ISNUMBER(Detalle_24m!DF$33)),Detalle_24m!DF$33,INDEX(Vol_V,20,DF$170)/12)*(1+V_dVol),0))</f>
        <v>0</v>
      </c>
      <c r="DG196" s="48" t="n">
        <f aca="false">IF(DG$8=1,N(Reales!DG31),IF(DG$171=1,IF(AND(AND(106&gt;Corte,106&lt;=Corte+n_Ventana),ISNUMBER(Detalle_24m!DG$33)),Detalle_24m!DG$33,INDEX(Vol_V,20,DG$170)/12)*(1+V_dVol),0))</f>
        <v>0</v>
      </c>
      <c r="DH196" s="48" t="n">
        <f aca="false">IF(DH$8=1,N(Reales!DH31),IF(DH$171=1,IF(AND(AND(107&gt;Corte,107&lt;=Corte+n_Ventana),ISNUMBER(Detalle_24m!DH$33)),Detalle_24m!DH$33,INDEX(Vol_V,20,DH$170)/12)*(1+V_dVol),0))</f>
        <v>0</v>
      </c>
      <c r="DI196" s="48" t="n">
        <f aca="false">IF(DI$8=1,N(Reales!DI31),IF(DI$171=1,IF(AND(AND(108&gt;Corte,108&lt;=Corte+n_Ventana),ISNUMBER(Detalle_24m!DI$33)),Detalle_24m!DI$33,INDEX(Vol_V,20,DI$170)/12)*(1+V_dVol),0))</f>
        <v>0</v>
      </c>
      <c r="DJ196" s="48" t="n">
        <f aca="false">IF(DJ$8=1,N(Reales!DJ31),IF(DJ$171=1,IF(AND(AND(109&gt;Corte,109&lt;=Corte+n_Ventana),ISNUMBER(Detalle_24m!DJ$33)),Detalle_24m!DJ$33,INDEX(Vol_V,20,DJ$170)/12)*(1+V_dVol),0))</f>
        <v>0</v>
      </c>
      <c r="DK196" s="48" t="n">
        <f aca="false">IF(DK$8=1,N(Reales!DK31),IF(DK$171=1,IF(AND(AND(110&gt;Corte,110&lt;=Corte+n_Ventana),ISNUMBER(Detalle_24m!DK$33)),Detalle_24m!DK$33,INDEX(Vol_V,20,DK$170)/12)*(1+V_dVol),0))</f>
        <v>0</v>
      </c>
      <c r="DL196" s="48" t="n">
        <f aca="false">IF(DL$8=1,N(Reales!DL31),IF(DL$171=1,IF(AND(AND(111&gt;Corte,111&lt;=Corte+n_Ventana),ISNUMBER(Detalle_24m!DL$33)),Detalle_24m!DL$33,INDEX(Vol_V,20,DL$170)/12)*(1+V_dVol),0))</f>
        <v>0</v>
      </c>
      <c r="DM196" s="48" t="n">
        <f aca="false">IF(DM$8=1,N(Reales!DM31),IF(DM$171=1,IF(AND(AND(112&gt;Corte,112&lt;=Corte+n_Ventana),ISNUMBER(Detalle_24m!DM$33)),Detalle_24m!DM$33,INDEX(Vol_V,20,DM$170)/12)*(1+V_dVol),0))</f>
        <v>0</v>
      </c>
      <c r="DN196" s="48" t="n">
        <f aca="false">IF(DN$8=1,N(Reales!DN31),IF(DN$171=1,IF(AND(AND(113&gt;Corte,113&lt;=Corte+n_Ventana),ISNUMBER(Detalle_24m!DN$33)),Detalle_24m!DN$33,INDEX(Vol_V,20,DN$170)/12)*(1+V_dVol),0))</f>
        <v>0</v>
      </c>
      <c r="DO196" s="48" t="n">
        <f aca="false">IF(DO$8=1,N(Reales!DO31),IF(DO$171=1,IF(AND(AND(114&gt;Corte,114&lt;=Corte+n_Ventana),ISNUMBER(Detalle_24m!DO$33)),Detalle_24m!DO$33,INDEX(Vol_V,20,DO$170)/12)*(1+V_dVol),0))</f>
        <v>0</v>
      </c>
      <c r="DP196" s="48" t="n">
        <f aca="false">IF(DP$8=1,N(Reales!DP31),IF(DP$171=1,IF(AND(AND(115&gt;Corte,115&lt;=Corte+n_Ventana),ISNUMBER(Detalle_24m!DP$33)),Detalle_24m!DP$33,INDEX(Vol_V,20,DP$170)/12)*(1+V_dVol),0))</f>
        <v>0</v>
      </c>
      <c r="DQ196" s="48" t="n">
        <f aca="false">IF(DQ$8=1,N(Reales!DQ31),IF(DQ$171=1,IF(AND(AND(116&gt;Corte,116&lt;=Corte+n_Ventana),ISNUMBER(Detalle_24m!DQ$33)),Detalle_24m!DQ$33,INDEX(Vol_V,20,DQ$170)/12)*(1+V_dVol),0))</f>
        <v>0</v>
      </c>
      <c r="DR196" s="48" t="n">
        <f aca="false">IF(DR$8=1,N(Reales!DR31),IF(DR$171=1,IF(AND(AND(117&gt;Corte,117&lt;=Corte+n_Ventana),ISNUMBER(Detalle_24m!DR$33)),Detalle_24m!DR$33,INDEX(Vol_V,20,DR$170)/12)*(1+V_dVol),0))</f>
        <v>0</v>
      </c>
      <c r="DS196" s="48" t="n">
        <f aca="false">IF(DS$8=1,N(Reales!DS31),IF(DS$171=1,IF(AND(AND(118&gt;Corte,118&lt;=Corte+n_Ventana),ISNUMBER(Detalle_24m!DS$33)),Detalle_24m!DS$33,INDEX(Vol_V,20,DS$170)/12)*(1+V_dVol),0))</f>
        <v>0</v>
      </c>
      <c r="DT196" s="48" t="n">
        <f aca="false">IF(DT$8=1,N(Reales!DT31),IF(DT$171=1,IF(AND(AND(119&gt;Corte,119&lt;=Corte+n_Ventana),ISNUMBER(Detalle_24m!DT$33)),Detalle_24m!DT$33,INDEX(Vol_V,20,DT$170)/12)*(1+V_dVol),0))</f>
        <v>0</v>
      </c>
      <c r="DU196" s="48" t="n">
        <f aca="false">IF(DU$8=1,N(Reales!DU31),IF(DU$171=1,IF(AND(AND(120&gt;Corte,120&lt;=Corte+n_Ventana),ISNUMBER(Detalle_24m!DU$33)),Detalle_24m!DU$33,INDEX(Vol_V,20,DU$170)/12)*(1+V_dVol),0))</f>
        <v>0</v>
      </c>
      <c r="DV196" s="48" t="n">
        <f aca="false">IF(DV$8=1,N(Reales!DV31),IF(DV$171=1,IF(AND(AND(121&gt;Corte,121&lt;=Corte+n_Ventana),ISNUMBER(Detalle_24m!DV$33)),Detalle_24m!DV$33,INDEX(Vol_V,20,DV$170)/12)*(1+V_dVol),0))</f>
        <v>0</v>
      </c>
      <c r="DW196" s="48" t="n">
        <f aca="false">IF(DW$8=1,N(Reales!DW31),IF(DW$171=1,IF(AND(AND(122&gt;Corte,122&lt;=Corte+n_Ventana),ISNUMBER(Detalle_24m!DW$33)),Detalle_24m!DW$33,INDEX(Vol_V,20,DW$170)/12)*(1+V_dVol),0))</f>
        <v>0</v>
      </c>
      <c r="DX196" s="48" t="n">
        <f aca="false">IF(DX$8=1,N(Reales!DX31),IF(DX$171=1,IF(AND(AND(123&gt;Corte,123&lt;=Corte+n_Ventana),ISNUMBER(Detalle_24m!DX$33)),Detalle_24m!DX$33,INDEX(Vol_V,20,DX$170)/12)*(1+V_dVol),0))</f>
        <v>0</v>
      </c>
      <c r="DY196" s="48" t="n">
        <f aca="false">IF(DY$8=1,N(Reales!DY31),IF(DY$171=1,IF(AND(AND(124&gt;Corte,124&lt;=Corte+n_Ventana),ISNUMBER(Detalle_24m!DY$33)),Detalle_24m!DY$33,INDEX(Vol_V,20,DY$170)/12)*(1+V_dVol),0))</f>
        <v>0</v>
      </c>
      <c r="DZ196" s="48" t="n">
        <f aca="false">IF(DZ$8=1,N(Reales!DZ31),IF(DZ$171=1,IF(AND(AND(125&gt;Corte,125&lt;=Corte+n_Ventana),ISNUMBER(Detalle_24m!DZ$33)),Detalle_24m!DZ$33,INDEX(Vol_V,20,DZ$170)/12)*(1+V_dVol),0))</f>
        <v>0</v>
      </c>
      <c r="EA196" s="48" t="n">
        <f aca="false">IF(EA$8=1,N(Reales!EA31),IF(EA$171=1,IF(AND(AND(126&gt;Corte,126&lt;=Corte+n_Ventana),ISNUMBER(Detalle_24m!EA$33)),Detalle_24m!EA$33,INDEX(Vol_V,20,EA$170)/12)*(1+V_dVol),0))</f>
        <v>0</v>
      </c>
      <c r="EB196" s="48" t="n">
        <f aca="false">IF(EB$8=1,N(Reales!EB31),IF(EB$171=1,IF(AND(AND(127&gt;Corte,127&lt;=Corte+n_Ventana),ISNUMBER(Detalle_24m!EB$33)),Detalle_24m!EB$33,INDEX(Vol_V,20,EB$170)/12)*(1+V_dVol),0))</f>
        <v>0</v>
      </c>
      <c r="EC196" s="48" t="n">
        <f aca="false">IF(EC$8=1,N(Reales!EC31),IF(EC$171=1,IF(AND(AND(128&gt;Corte,128&lt;=Corte+n_Ventana),ISNUMBER(Detalle_24m!EC$33)),Detalle_24m!EC$33,INDEX(Vol_V,20,EC$170)/12)*(1+V_dVol),0))</f>
        <v>0</v>
      </c>
      <c r="ED196" s="48" t="n">
        <f aca="false">IF(ED$8=1,N(Reales!ED31),IF(ED$171=1,IF(AND(AND(129&gt;Corte,129&lt;=Corte+n_Ventana),ISNUMBER(Detalle_24m!ED$33)),Detalle_24m!ED$33,INDEX(Vol_V,20,ED$170)/12)*(1+V_dVol),0))</f>
        <v>0</v>
      </c>
      <c r="EE196" s="48" t="n">
        <f aca="false">IF(EE$8=1,N(Reales!EE31),IF(EE$171=1,IF(AND(AND(130&gt;Corte,130&lt;=Corte+n_Ventana),ISNUMBER(Detalle_24m!EE$33)),Detalle_24m!EE$33,INDEX(Vol_V,20,EE$170)/12)*(1+V_dVol),0))</f>
        <v>0</v>
      </c>
      <c r="EF196" s="48" t="n">
        <f aca="false">IF(EF$8=1,N(Reales!EF31),IF(EF$171=1,IF(AND(AND(131&gt;Corte,131&lt;=Corte+n_Ventana),ISNUMBER(Detalle_24m!EF$33)),Detalle_24m!EF$33,INDEX(Vol_V,20,EF$170)/12)*(1+V_dVol),0))</f>
        <v>0</v>
      </c>
      <c r="EG196" s="48" t="n">
        <f aca="false">IF(EG$8=1,N(Reales!EG31),IF(EG$171=1,IF(AND(AND(132&gt;Corte,132&lt;=Corte+n_Ventana),ISNUMBER(Detalle_24m!EG$33)),Detalle_24m!EG$33,INDEX(Vol_V,20,EG$170)/12)*(1+V_dVol),0))</f>
        <v>0</v>
      </c>
      <c r="EH196" s="48" t="n">
        <f aca="false">IF(EH$8=1,N(Reales!EH31),IF(EH$171=1,IF(AND(AND(133&gt;Corte,133&lt;=Corte+n_Ventana),ISNUMBER(Detalle_24m!EH$33)),Detalle_24m!EH$33,INDEX(Vol_V,20,EH$170)/12)*(1+V_dVol),0))</f>
        <v>0</v>
      </c>
      <c r="EI196" s="48" t="n">
        <f aca="false">IF(EI$8=1,N(Reales!EI31),IF(EI$171=1,IF(AND(AND(134&gt;Corte,134&lt;=Corte+n_Ventana),ISNUMBER(Detalle_24m!EI$33)),Detalle_24m!EI$33,INDEX(Vol_V,20,EI$170)/12)*(1+V_dVol),0))</f>
        <v>0</v>
      </c>
      <c r="EJ196" s="48" t="n">
        <f aca="false">IF(EJ$8=1,N(Reales!EJ31),IF(EJ$171=1,IF(AND(AND(135&gt;Corte,135&lt;=Corte+n_Ventana),ISNUMBER(Detalle_24m!EJ$33)),Detalle_24m!EJ$33,INDEX(Vol_V,20,EJ$170)/12)*(1+V_dVol),0))</f>
        <v>0</v>
      </c>
      <c r="EK196" s="48" t="n">
        <f aca="false">IF(EK$8=1,N(Reales!EK31),IF(EK$171=1,IF(AND(AND(136&gt;Corte,136&lt;=Corte+n_Ventana),ISNUMBER(Detalle_24m!EK$33)),Detalle_24m!EK$33,INDEX(Vol_V,20,EK$170)/12)*(1+V_dVol),0))</f>
        <v>0</v>
      </c>
      <c r="EL196" s="48" t="n">
        <f aca="false">IF(EL$8=1,N(Reales!EL31),IF(EL$171=1,IF(AND(AND(137&gt;Corte,137&lt;=Corte+n_Ventana),ISNUMBER(Detalle_24m!EL$33)),Detalle_24m!EL$33,INDEX(Vol_V,20,EL$170)/12)*(1+V_dVol),0))</f>
        <v>0</v>
      </c>
      <c r="EM196" s="48" t="n">
        <f aca="false">IF(EM$8=1,N(Reales!EM31),IF(EM$171=1,IF(AND(AND(138&gt;Corte,138&lt;=Corte+n_Ventana),ISNUMBER(Detalle_24m!EM$33)),Detalle_24m!EM$33,INDEX(Vol_V,20,EM$170)/12)*(1+V_dVol),0))</f>
        <v>0</v>
      </c>
      <c r="EN196" s="48" t="n">
        <f aca="false">IF(EN$8=1,N(Reales!EN31),IF(EN$171=1,IF(AND(AND(139&gt;Corte,139&lt;=Corte+n_Ventana),ISNUMBER(Detalle_24m!EN$33)),Detalle_24m!EN$33,INDEX(Vol_V,20,EN$170)/12)*(1+V_dVol),0))</f>
        <v>0</v>
      </c>
      <c r="EO196" s="48" t="n">
        <f aca="false">IF(EO$8=1,N(Reales!EO31),IF(EO$171=1,IF(AND(AND(140&gt;Corte,140&lt;=Corte+n_Ventana),ISNUMBER(Detalle_24m!EO$33)),Detalle_24m!EO$33,INDEX(Vol_V,20,EO$170)/12)*(1+V_dVol),0))</f>
        <v>0</v>
      </c>
      <c r="EP196" s="48" t="n">
        <f aca="false">IF(EP$8=1,N(Reales!EP31),IF(EP$171=1,IF(AND(AND(141&gt;Corte,141&lt;=Corte+n_Ventana),ISNUMBER(Detalle_24m!EP$33)),Detalle_24m!EP$33,INDEX(Vol_V,20,EP$170)/12)*(1+V_dVol),0))</f>
        <v>0</v>
      </c>
      <c r="EQ196" s="48" t="n">
        <f aca="false">IF(EQ$8=1,N(Reales!EQ31),IF(EQ$171=1,IF(AND(AND(142&gt;Corte,142&lt;=Corte+n_Ventana),ISNUMBER(Detalle_24m!EQ$33)),Detalle_24m!EQ$33,INDEX(Vol_V,20,EQ$170)/12)*(1+V_dVol),0))</f>
        <v>0</v>
      </c>
      <c r="ER196" s="48" t="n">
        <f aca="false">IF(ER$8=1,N(Reales!ER31),IF(ER$171=1,IF(AND(AND(143&gt;Corte,143&lt;=Corte+n_Ventana),ISNUMBER(Detalle_24m!ER$33)),Detalle_24m!ER$33,INDEX(Vol_V,20,ER$170)/12)*(1+V_dVol),0))</f>
        <v>0</v>
      </c>
      <c r="ES196" s="48" t="n">
        <f aca="false">IF(ES$8=1,N(Reales!ES31),IF(ES$171=1,IF(AND(AND(144&gt;Corte,144&lt;=Corte+n_Ventana),ISNUMBER(Detalle_24m!ES$33)),Detalle_24m!ES$33,INDEX(Vol_V,20,ES$170)/12)*(1+V_dVol),0))</f>
        <v>0</v>
      </c>
    </row>
    <row r="197" customFormat="false" ht="15" hidden="false" customHeight="false" outlineLevel="0" collapsed="false">
      <c r="A197" s="11" t="s">
        <v>1320</v>
      </c>
      <c r="B197" s="53" t="str">
        <f aca="false">IF(INDEX(Prod_Nombre,21)="","Producto 21",INDEX(Prod_Nombre,21))&amp;" — unidades"</f>
        <v>Producto 21 — unidades</v>
      </c>
      <c r="C197" s="15" t="s">
        <v>544</v>
      </c>
      <c r="E197" s="54" t="n">
        <f aca="false">SUM(F197:ES197)</f>
        <v>0</v>
      </c>
      <c r="F197" s="48" t="n">
        <f aca="false">IF(F$8=1,N(Reales!F32),IF(F$171=1,IF(AND(AND(1&gt;Corte,1&lt;=Corte+n_Ventana),ISNUMBER(Detalle_24m!F$34)),Detalle_24m!F$34,INDEX(Vol_V,21,F$170)/12)*(1+V_dVol),0))</f>
        <v>0</v>
      </c>
      <c r="G197" s="48" t="n">
        <f aca="false">IF(G$8=1,N(Reales!G32),IF(G$171=1,IF(AND(AND(2&gt;Corte,2&lt;=Corte+n_Ventana),ISNUMBER(Detalle_24m!G$34)),Detalle_24m!G$34,INDEX(Vol_V,21,G$170)/12)*(1+V_dVol),0))</f>
        <v>0</v>
      </c>
      <c r="H197" s="48" t="n">
        <f aca="false">IF(H$8=1,N(Reales!H32),IF(H$171=1,IF(AND(AND(3&gt;Corte,3&lt;=Corte+n_Ventana),ISNUMBER(Detalle_24m!H$34)),Detalle_24m!H$34,INDEX(Vol_V,21,H$170)/12)*(1+V_dVol),0))</f>
        <v>0</v>
      </c>
      <c r="I197" s="48" t="n">
        <f aca="false">IF(I$8=1,N(Reales!I32),IF(I$171=1,IF(AND(AND(4&gt;Corte,4&lt;=Corte+n_Ventana),ISNUMBER(Detalle_24m!I$34)),Detalle_24m!I$34,INDEX(Vol_V,21,I$170)/12)*(1+V_dVol),0))</f>
        <v>0</v>
      </c>
      <c r="J197" s="48" t="n">
        <f aca="false">IF(J$8=1,N(Reales!J32),IF(J$171=1,IF(AND(AND(5&gt;Corte,5&lt;=Corte+n_Ventana),ISNUMBER(Detalle_24m!J$34)),Detalle_24m!J$34,INDEX(Vol_V,21,J$170)/12)*(1+V_dVol),0))</f>
        <v>0</v>
      </c>
      <c r="K197" s="48" t="n">
        <f aca="false">IF(K$8=1,N(Reales!K32),IF(K$171=1,IF(AND(AND(6&gt;Corte,6&lt;=Corte+n_Ventana),ISNUMBER(Detalle_24m!K$34)),Detalle_24m!K$34,INDEX(Vol_V,21,K$170)/12)*(1+V_dVol),0))</f>
        <v>0</v>
      </c>
      <c r="L197" s="48" t="n">
        <f aca="false">IF(L$8=1,N(Reales!L32),IF(L$171=1,IF(AND(AND(7&gt;Corte,7&lt;=Corte+n_Ventana),ISNUMBER(Detalle_24m!L$34)),Detalle_24m!L$34,INDEX(Vol_V,21,L$170)/12)*(1+V_dVol),0))</f>
        <v>0</v>
      </c>
      <c r="M197" s="48" t="n">
        <f aca="false">IF(M$8=1,N(Reales!M32),IF(M$171=1,IF(AND(AND(8&gt;Corte,8&lt;=Corte+n_Ventana),ISNUMBER(Detalle_24m!M$34)),Detalle_24m!M$34,INDEX(Vol_V,21,M$170)/12)*(1+V_dVol),0))</f>
        <v>0</v>
      </c>
      <c r="N197" s="48" t="n">
        <f aca="false">IF(N$8=1,N(Reales!N32),IF(N$171=1,IF(AND(AND(9&gt;Corte,9&lt;=Corte+n_Ventana),ISNUMBER(Detalle_24m!N$34)),Detalle_24m!N$34,INDEX(Vol_V,21,N$170)/12)*(1+V_dVol),0))</f>
        <v>0</v>
      </c>
      <c r="O197" s="48" t="n">
        <f aca="false">IF(O$8=1,N(Reales!O32),IF(O$171=1,IF(AND(AND(10&gt;Corte,10&lt;=Corte+n_Ventana),ISNUMBER(Detalle_24m!O$34)),Detalle_24m!O$34,INDEX(Vol_V,21,O$170)/12)*(1+V_dVol),0))</f>
        <v>0</v>
      </c>
      <c r="P197" s="48" t="n">
        <f aca="false">IF(P$8=1,N(Reales!P32),IF(P$171=1,IF(AND(AND(11&gt;Corte,11&lt;=Corte+n_Ventana),ISNUMBER(Detalle_24m!P$34)),Detalle_24m!P$34,INDEX(Vol_V,21,P$170)/12)*(1+V_dVol),0))</f>
        <v>0</v>
      </c>
      <c r="Q197" s="48" t="n">
        <f aca="false">IF(Q$8=1,N(Reales!Q32),IF(Q$171=1,IF(AND(AND(12&gt;Corte,12&lt;=Corte+n_Ventana),ISNUMBER(Detalle_24m!Q$34)),Detalle_24m!Q$34,INDEX(Vol_V,21,Q$170)/12)*(1+V_dVol),0))</f>
        <v>0</v>
      </c>
      <c r="R197" s="48" t="n">
        <f aca="false">IF(R$8=1,N(Reales!R32),IF(R$171=1,IF(AND(AND(13&gt;Corte,13&lt;=Corte+n_Ventana),ISNUMBER(Detalle_24m!R$34)),Detalle_24m!R$34,INDEX(Vol_V,21,R$170)/12)*(1+V_dVol),0))</f>
        <v>0</v>
      </c>
      <c r="S197" s="48" t="n">
        <f aca="false">IF(S$8=1,N(Reales!S32),IF(S$171=1,IF(AND(AND(14&gt;Corte,14&lt;=Corte+n_Ventana),ISNUMBER(Detalle_24m!S$34)),Detalle_24m!S$34,INDEX(Vol_V,21,S$170)/12)*(1+V_dVol),0))</f>
        <v>0</v>
      </c>
      <c r="T197" s="48" t="n">
        <f aca="false">IF(T$8=1,N(Reales!T32),IF(T$171=1,IF(AND(AND(15&gt;Corte,15&lt;=Corte+n_Ventana),ISNUMBER(Detalle_24m!T$34)),Detalle_24m!T$34,INDEX(Vol_V,21,T$170)/12)*(1+V_dVol),0))</f>
        <v>0</v>
      </c>
      <c r="U197" s="48" t="n">
        <f aca="false">IF(U$8=1,N(Reales!U32),IF(U$171=1,IF(AND(AND(16&gt;Corte,16&lt;=Corte+n_Ventana),ISNUMBER(Detalle_24m!U$34)),Detalle_24m!U$34,INDEX(Vol_V,21,U$170)/12)*(1+V_dVol),0))</f>
        <v>0</v>
      </c>
      <c r="V197" s="48" t="n">
        <f aca="false">IF(V$8=1,N(Reales!V32),IF(V$171=1,IF(AND(AND(17&gt;Corte,17&lt;=Corte+n_Ventana),ISNUMBER(Detalle_24m!V$34)),Detalle_24m!V$34,INDEX(Vol_V,21,V$170)/12)*(1+V_dVol),0))</f>
        <v>0</v>
      </c>
      <c r="W197" s="48" t="n">
        <f aca="false">IF(W$8=1,N(Reales!W32),IF(W$171=1,IF(AND(AND(18&gt;Corte,18&lt;=Corte+n_Ventana),ISNUMBER(Detalle_24m!W$34)),Detalle_24m!W$34,INDEX(Vol_V,21,W$170)/12)*(1+V_dVol),0))</f>
        <v>0</v>
      </c>
      <c r="X197" s="48" t="n">
        <f aca="false">IF(X$8=1,N(Reales!X32),IF(X$171=1,IF(AND(AND(19&gt;Corte,19&lt;=Corte+n_Ventana),ISNUMBER(Detalle_24m!X$34)),Detalle_24m!X$34,INDEX(Vol_V,21,X$170)/12)*(1+V_dVol),0))</f>
        <v>0</v>
      </c>
      <c r="Y197" s="48" t="n">
        <f aca="false">IF(Y$8=1,N(Reales!Y32),IF(Y$171=1,IF(AND(AND(20&gt;Corte,20&lt;=Corte+n_Ventana),ISNUMBER(Detalle_24m!Y$34)),Detalle_24m!Y$34,INDEX(Vol_V,21,Y$170)/12)*(1+V_dVol),0))</f>
        <v>0</v>
      </c>
      <c r="Z197" s="48" t="n">
        <f aca="false">IF(Z$8=1,N(Reales!Z32),IF(Z$171=1,IF(AND(AND(21&gt;Corte,21&lt;=Corte+n_Ventana),ISNUMBER(Detalle_24m!Z$34)),Detalle_24m!Z$34,INDEX(Vol_V,21,Z$170)/12)*(1+V_dVol),0))</f>
        <v>0</v>
      </c>
      <c r="AA197" s="48" t="n">
        <f aca="false">IF(AA$8=1,N(Reales!AA32),IF(AA$171=1,IF(AND(AND(22&gt;Corte,22&lt;=Corte+n_Ventana),ISNUMBER(Detalle_24m!AA$34)),Detalle_24m!AA$34,INDEX(Vol_V,21,AA$170)/12)*(1+V_dVol),0))</f>
        <v>0</v>
      </c>
      <c r="AB197" s="48" t="n">
        <f aca="false">IF(AB$8=1,N(Reales!AB32),IF(AB$171=1,IF(AND(AND(23&gt;Corte,23&lt;=Corte+n_Ventana),ISNUMBER(Detalle_24m!AB$34)),Detalle_24m!AB$34,INDEX(Vol_V,21,AB$170)/12)*(1+V_dVol),0))</f>
        <v>0</v>
      </c>
      <c r="AC197" s="48" t="n">
        <f aca="false">IF(AC$8=1,N(Reales!AC32),IF(AC$171=1,IF(AND(AND(24&gt;Corte,24&lt;=Corte+n_Ventana),ISNUMBER(Detalle_24m!AC$34)),Detalle_24m!AC$34,INDEX(Vol_V,21,AC$170)/12)*(1+V_dVol),0))</f>
        <v>0</v>
      </c>
      <c r="AD197" s="48" t="n">
        <f aca="false">IF(AD$8=1,N(Reales!AD32),IF(AD$171=1,IF(AND(AND(25&gt;Corte,25&lt;=Corte+n_Ventana),ISNUMBER(Detalle_24m!AD$34)),Detalle_24m!AD$34,INDEX(Vol_V,21,AD$170)/12)*(1+V_dVol),0))</f>
        <v>0</v>
      </c>
      <c r="AE197" s="48" t="n">
        <f aca="false">IF(AE$8=1,N(Reales!AE32),IF(AE$171=1,IF(AND(AND(26&gt;Corte,26&lt;=Corte+n_Ventana),ISNUMBER(Detalle_24m!AE$34)),Detalle_24m!AE$34,INDEX(Vol_V,21,AE$170)/12)*(1+V_dVol),0))</f>
        <v>0</v>
      </c>
      <c r="AF197" s="48" t="n">
        <f aca="false">IF(AF$8=1,N(Reales!AF32),IF(AF$171=1,IF(AND(AND(27&gt;Corte,27&lt;=Corte+n_Ventana),ISNUMBER(Detalle_24m!AF$34)),Detalle_24m!AF$34,INDEX(Vol_V,21,AF$170)/12)*(1+V_dVol),0))</f>
        <v>0</v>
      </c>
      <c r="AG197" s="48" t="n">
        <f aca="false">IF(AG$8=1,N(Reales!AG32),IF(AG$171=1,IF(AND(AND(28&gt;Corte,28&lt;=Corte+n_Ventana),ISNUMBER(Detalle_24m!AG$34)),Detalle_24m!AG$34,INDEX(Vol_V,21,AG$170)/12)*(1+V_dVol),0))</f>
        <v>0</v>
      </c>
      <c r="AH197" s="48" t="n">
        <f aca="false">IF(AH$8=1,N(Reales!AH32),IF(AH$171=1,IF(AND(AND(29&gt;Corte,29&lt;=Corte+n_Ventana),ISNUMBER(Detalle_24m!AH$34)),Detalle_24m!AH$34,INDEX(Vol_V,21,AH$170)/12)*(1+V_dVol),0))</f>
        <v>0</v>
      </c>
      <c r="AI197" s="48" t="n">
        <f aca="false">IF(AI$8=1,N(Reales!AI32),IF(AI$171=1,IF(AND(AND(30&gt;Corte,30&lt;=Corte+n_Ventana),ISNUMBER(Detalle_24m!AI$34)),Detalle_24m!AI$34,INDEX(Vol_V,21,AI$170)/12)*(1+V_dVol),0))</f>
        <v>0</v>
      </c>
      <c r="AJ197" s="48" t="n">
        <f aca="false">IF(AJ$8=1,N(Reales!AJ32),IF(AJ$171=1,IF(AND(AND(31&gt;Corte,31&lt;=Corte+n_Ventana),ISNUMBER(Detalle_24m!AJ$34)),Detalle_24m!AJ$34,INDEX(Vol_V,21,AJ$170)/12)*(1+V_dVol),0))</f>
        <v>0</v>
      </c>
      <c r="AK197" s="48" t="n">
        <f aca="false">IF(AK$8=1,N(Reales!AK32),IF(AK$171=1,IF(AND(AND(32&gt;Corte,32&lt;=Corte+n_Ventana),ISNUMBER(Detalle_24m!AK$34)),Detalle_24m!AK$34,INDEX(Vol_V,21,AK$170)/12)*(1+V_dVol),0))</f>
        <v>0</v>
      </c>
      <c r="AL197" s="48" t="n">
        <f aca="false">IF(AL$8=1,N(Reales!AL32),IF(AL$171=1,IF(AND(AND(33&gt;Corte,33&lt;=Corte+n_Ventana),ISNUMBER(Detalle_24m!AL$34)),Detalle_24m!AL$34,INDEX(Vol_V,21,AL$170)/12)*(1+V_dVol),0))</f>
        <v>0</v>
      </c>
      <c r="AM197" s="48" t="n">
        <f aca="false">IF(AM$8=1,N(Reales!AM32),IF(AM$171=1,IF(AND(AND(34&gt;Corte,34&lt;=Corte+n_Ventana),ISNUMBER(Detalle_24m!AM$34)),Detalle_24m!AM$34,INDEX(Vol_V,21,AM$170)/12)*(1+V_dVol),0))</f>
        <v>0</v>
      </c>
      <c r="AN197" s="48" t="n">
        <f aca="false">IF(AN$8=1,N(Reales!AN32),IF(AN$171=1,IF(AND(AND(35&gt;Corte,35&lt;=Corte+n_Ventana),ISNUMBER(Detalle_24m!AN$34)),Detalle_24m!AN$34,INDEX(Vol_V,21,AN$170)/12)*(1+V_dVol),0))</f>
        <v>0</v>
      </c>
      <c r="AO197" s="48" t="n">
        <f aca="false">IF(AO$8=1,N(Reales!AO32),IF(AO$171=1,IF(AND(AND(36&gt;Corte,36&lt;=Corte+n_Ventana),ISNUMBER(Detalle_24m!AO$34)),Detalle_24m!AO$34,INDEX(Vol_V,21,AO$170)/12)*(1+V_dVol),0))</f>
        <v>0</v>
      </c>
      <c r="AP197" s="48" t="n">
        <f aca="false">IF(AP$8=1,N(Reales!AP32),IF(AP$171=1,IF(AND(AND(37&gt;Corte,37&lt;=Corte+n_Ventana),ISNUMBER(Detalle_24m!AP$34)),Detalle_24m!AP$34,INDEX(Vol_V,21,AP$170)/12)*(1+V_dVol),0))</f>
        <v>0</v>
      </c>
      <c r="AQ197" s="48" t="n">
        <f aca="false">IF(AQ$8=1,N(Reales!AQ32),IF(AQ$171=1,IF(AND(AND(38&gt;Corte,38&lt;=Corte+n_Ventana),ISNUMBER(Detalle_24m!AQ$34)),Detalle_24m!AQ$34,INDEX(Vol_V,21,AQ$170)/12)*(1+V_dVol),0))</f>
        <v>0</v>
      </c>
      <c r="AR197" s="48" t="n">
        <f aca="false">IF(AR$8=1,N(Reales!AR32),IF(AR$171=1,IF(AND(AND(39&gt;Corte,39&lt;=Corte+n_Ventana),ISNUMBER(Detalle_24m!AR$34)),Detalle_24m!AR$34,INDEX(Vol_V,21,AR$170)/12)*(1+V_dVol),0))</f>
        <v>0</v>
      </c>
      <c r="AS197" s="48" t="n">
        <f aca="false">IF(AS$8=1,N(Reales!AS32),IF(AS$171=1,IF(AND(AND(40&gt;Corte,40&lt;=Corte+n_Ventana),ISNUMBER(Detalle_24m!AS$34)),Detalle_24m!AS$34,INDEX(Vol_V,21,AS$170)/12)*(1+V_dVol),0))</f>
        <v>0</v>
      </c>
      <c r="AT197" s="48" t="n">
        <f aca="false">IF(AT$8=1,N(Reales!AT32),IF(AT$171=1,IF(AND(AND(41&gt;Corte,41&lt;=Corte+n_Ventana),ISNUMBER(Detalle_24m!AT$34)),Detalle_24m!AT$34,INDEX(Vol_V,21,AT$170)/12)*(1+V_dVol),0))</f>
        <v>0</v>
      </c>
      <c r="AU197" s="48" t="n">
        <f aca="false">IF(AU$8=1,N(Reales!AU32),IF(AU$171=1,IF(AND(AND(42&gt;Corte,42&lt;=Corte+n_Ventana),ISNUMBER(Detalle_24m!AU$34)),Detalle_24m!AU$34,INDEX(Vol_V,21,AU$170)/12)*(1+V_dVol),0))</f>
        <v>0</v>
      </c>
      <c r="AV197" s="48" t="n">
        <f aca="false">IF(AV$8=1,N(Reales!AV32),IF(AV$171=1,IF(AND(AND(43&gt;Corte,43&lt;=Corte+n_Ventana),ISNUMBER(Detalle_24m!AV$34)),Detalle_24m!AV$34,INDEX(Vol_V,21,AV$170)/12)*(1+V_dVol),0))</f>
        <v>0</v>
      </c>
      <c r="AW197" s="48" t="n">
        <f aca="false">IF(AW$8=1,N(Reales!AW32),IF(AW$171=1,IF(AND(AND(44&gt;Corte,44&lt;=Corte+n_Ventana),ISNUMBER(Detalle_24m!AW$34)),Detalle_24m!AW$34,INDEX(Vol_V,21,AW$170)/12)*(1+V_dVol),0))</f>
        <v>0</v>
      </c>
      <c r="AX197" s="48" t="n">
        <f aca="false">IF(AX$8=1,N(Reales!AX32),IF(AX$171=1,IF(AND(AND(45&gt;Corte,45&lt;=Corte+n_Ventana),ISNUMBER(Detalle_24m!AX$34)),Detalle_24m!AX$34,INDEX(Vol_V,21,AX$170)/12)*(1+V_dVol),0))</f>
        <v>0</v>
      </c>
      <c r="AY197" s="48" t="n">
        <f aca="false">IF(AY$8=1,N(Reales!AY32),IF(AY$171=1,IF(AND(AND(46&gt;Corte,46&lt;=Corte+n_Ventana),ISNUMBER(Detalle_24m!AY$34)),Detalle_24m!AY$34,INDEX(Vol_V,21,AY$170)/12)*(1+V_dVol),0))</f>
        <v>0</v>
      </c>
      <c r="AZ197" s="48" t="n">
        <f aca="false">IF(AZ$8=1,N(Reales!AZ32),IF(AZ$171=1,IF(AND(AND(47&gt;Corte,47&lt;=Corte+n_Ventana),ISNUMBER(Detalle_24m!AZ$34)),Detalle_24m!AZ$34,INDEX(Vol_V,21,AZ$170)/12)*(1+V_dVol),0))</f>
        <v>0</v>
      </c>
      <c r="BA197" s="48" t="n">
        <f aca="false">IF(BA$8=1,N(Reales!BA32),IF(BA$171=1,IF(AND(AND(48&gt;Corte,48&lt;=Corte+n_Ventana),ISNUMBER(Detalle_24m!BA$34)),Detalle_24m!BA$34,INDEX(Vol_V,21,BA$170)/12)*(1+V_dVol),0))</f>
        <v>0</v>
      </c>
      <c r="BB197" s="48" t="n">
        <f aca="false">IF(BB$8=1,N(Reales!BB32),IF(BB$171=1,IF(AND(AND(49&gt;Corte,49&lt;=Corte+n_Ventana),ISNUMBER(Detalle_24m!BB$34)),Detalle_24m!BB$34,INDEX(Vol_V,21,BB$170)/12)*(1+V_dVol),0))</f>
        <v>0</v>
      </c>
      <c r="BC197" s="48" t="n">
        <f aca="false">IF(BC$8=1,N(Reales!BC32),IF(BC$171=1,IF(AND(AND(50&gt;Corte,50&lt;=Corte+n_Ventana),ISNUMBER(Detalle_24m!BC$34)),Detalle_24m!BC$34,INDEX(Vol_V,21,BC$170)/12)*(1+V_dVol),0))</f>
        <v>0</v>
      </c>
      <c r="BD197" s="48" t="n">
        <f aca="false">IF(BD$8=1,N(Reales!BD32),IF(BD$171=1,IF(AND(AND(51&gt;Corte,51&lt;=Corte+n_Ventana),ISNUMBER(Detalle_24m!BD$34)),Detalle_24m!BD$34,INDEX(Vol_V,21,BD$170)/12)*(1+V_dVol),0))</f>
        <v>0</v>
      </c>
      <c r="BE197" s="48" t="n">
        <f aca="false">IF(BE$8=1,N(Reales!BE32),IF(BE$171=1,IF(AND(AND(52&gt;Corte,52&lt;=Corte+n_Ventana),ISNUMBER(Detalle_24m!BE$34)),Detalle_24m!BE$34,INDEX(Vol_V,21,BE$170)/12)*(1+V_dVol),0))</f>
        <v>0</v>
      </c>
      <c r="BF197" s="48" t="n">
        <f aca="false">IF(BF$8=1,N(Reales!BF32),IF(BF$171=1,IF(AND(AND(53&gt;Corte,53&lt;=Corte+n_Ventana),ISNUMBER(Detalle_24m!BF$34)),Detalle_24m!BF$34,INDEX(Vol_V,21,BF$170)/12)*(1+V_dVol),0))</f>
        <v>0</v>
      </c>
      <c r="BG197" s="48" t="n">
        <f aca="false">IF(BG$8=1,N(Reales!BG32),IF(BG$171=1,IF(AND(AND(54&gt;Corte,54&lt;=Corte+n_Ventana),ISNUMBER(Detalle_24m!BG$34)),Detalle_24m!BG$34,INDEX(Vol_V,21,BG$170)/12)*(1+V_dVol),0))</f>
        <v>0</v>
      </c>
      <c r="BH197" s="48" t="n">
        <f aca="false">IF(BH$8=1,N(Reales!BH32),IF(BH$171=1,IF(AND(AND(55&gt;Corte,55&lt;=Corte+n_Ventana),ISNUMBER(Detalle_24m!BH$34)),Detalle_24m!BH$34,INDEX(Vol_V,21,BH$170)/12)*(1+V_dVol),0))</f>
        <v>0</v>
      </c>
      <c r="BI197" s="48" t="n">
        <f aca="false">IF(BI$8=1,N(Reales!BI32),IF(BI$171=1,IF(AND(AND(56&gt;Corte,56&lt;=Corte+n_Ventana),ISNUMBER(Detalle_24m!BI$34)),Detalle_24m!BI$34,INDEX(Vol_V,21,BI$170)/12)*(1+V_dVol),0))</f>
        <v>0</v>
      </c>
      <c r="BJ197" s="48" t="n">
        <f aca="false">IF(BJ$8=1,N(Reales!BJ32),IF(BJ$171=1,IF(AND(AND(57&gt;Corte,57&lt;=Corte+n_Ventana),ISNUMBER(Detalle_24m!BJ$34)),Detalle_24m!BJ$34,INDEX(Vol_V,21,BJ$170)/12)*(1+V_dVol),0))</f>
        <v>0</v>
      </c>
      <c r="BK197" s="48" t="n">
        <f aca="false">IF(BK$8=1,N(Reales!BK32),IF(BK$171=1,IF(AND(AND(58&gt;Corte,58&lt;=Corte+n_Ventana),ISNUMBER(Detalle_24m!BK$34)),Detalle_24m!BK$34,INDEX(Vol_V,21,BK$170)/12)*(1+V_dVol),0))</f>
        <v>0</v>
      </c>
      <c r="BL197" s="48" t="n">
        <f aca="false">IF(BL$8=1,N(Reales!BL32),IF(BL$171=1,IF(AND(AND(59&gt;Corte,59&lt;=Corte+n_Ventana),ISNUMBER(Detalle_24m!BL$34)),Detalle_24m!BL$34,INDEX(Vol_V,21,BL$170)/12)*(1+V_dVol),0))</f>
        <v>0</v>
      </c>
      <c r="BM197" s="48" t="n">
        <f aca="false">IF(BM$8=1,N(Reales!BM32),IF(BM$171=1,IF(AND(AND(60&gt;Corte,60&lt;=Corte+n_Ventana),ISNUMBER(Detalle_24m!BM$34)),Detalle_24m!BM$34,INDEX(Vol_V,21,BM$170)/12)*(1+V_dVol),0))</f>
        <v>0</v>
      </c>
      <c r="BN197" s="48" t="n">
        <f aca="false">IF(BN$8=1,N(Reales!BN32),IF(BN$171=1,IF(AND(AND(61&gt;Corte,61&lt;=Corte+n_Ventana),ISNUMBER(Detalle_24m!BN$34)),Detalle_24m!BN$34,INDEX(Vol_V,21,BN$170)/12)*(1+V_dVol),0))</f>
        <v>0</v>
      </c>
      <c r="BO197" s="48" t="n">
        <f aca="false">IF(BO$8=1,N(Reales!BO32),IF(BO$171=1,IF(AND(AND(62&gt;Corte,62&lt;=Corte+n_Ventana),ISNUMBER(Detalle_24m!BO$34)),Detalle_24m!BO$34,INDEX(Vol_V,21,BO$170)/12)*(1+V_dVol),0))</f>
        <v>0</v>
      </c>
      <c r="BP197" s="48" t="n">
        <f aca="false">IF(BP$8=1,N(Reales!BP32),IF(BP$171=1,IF(AND(AND(63&gt;Corte,63&lt;=Corte+n_Ventana),ISNUMBER(Detalle_24m!BP$34)),Detalle_24m!BP$34,INDEX(Vol_V,21,BP$170)/12)*(1+V_dVol),0))</f>
        <v>0</v>
      </c>
      <c r="BQ197" s="48" t="n">
        <f aca="false">IF(BQ$8=1,N(Reales!BQ32),IF(BQ$171=1,IF(AND(AND(64&gt;Corte,64&lt;=Corte+n_Ventana),ISNUMBER(Detalle_24m!BQ$34)),Detalle_24m!BQ$34,INDEX(Vol_V,21,BQ$170)/12)*(1+V_dVol),0))</f>
        <v>0</v>
      </c>
      <c r="BR197" s="48" t="n">
        <f aca="false">IF(BR$8=1,N(Reales!BR32),IF(BR$171=1,IF(AND(AND(65&gt;Corte,65&lt;=Corte+n_Ventana),ISNUMBER(Detalle_24m!BR$34)),Detalle_24m!BR$34,INDEX(Vol_V,21,BR$170)/12)*(1+V_dVol),0))</f>
        <v>0</v>
      </c>
      <c r="BS197" s="48" t="n">
        <f aca="false">IF(BS$8=1,N(Reales!BS32),IF(BS$171=1,IF(AND(AND(66&gt;Corte,66&lt;=Corte+n_Ventana),ISNUMBER(Detalle_24m!BS$34)),Detalle_24m!BS$34,INDEX(Vol_V,21,BS$170)/12)*(1+V_dVol),0))</f>
        <v>0</v>
      </c>
      <c r="BT197" s="48" t="n">
        <f aca="false">IF(BT$8=1,N(Reales!BT32),IF(BT$171=1,IF(AND(AND(67&gt;Corte,67&lt;=Corte+n_Ventana),ISNUMBER(Detalle_24m!BT$34)),Detalle_24m!BT$34,INDEX(Vol_V,21,BT$170)/12)*(1+V_dVol),0))</f>
        <v>0</v>
      </c>
      <c r="BU197" s="48" t="n">
        <f aca="false">IF(BU$8=1,N(Reales!BU32),IF(BU$171=1,IF(AND(AND(68&gt;Corte,68&lt;=Corte+n_Ventana),ISNUMBER(Detalle_24m!BU$34)),Detalle_24m!BU$34,INDEX(Vol_V,21,BU$170)/12)*(1+V_dVol),0))</f>
        <v>0</v>
      </c>
      <c r="BV197" s="48" t="n">
        <f aca="false">IF(BV$8=1,N(Reales!BV32),IF(BV$171=1,IF(AND(AND(69&gt;Corte,69&lt;=Corte+n_Ventana),ISNUMBER(Detalle_24m!BV$34)),Detalle_24m!BV$34,INDEX(Vol_V,21,BV$170)/12)*(1+V_dVol),0))</f>
        <v>0</v>
      </c>
      <c r="BW197" s="48" t="n">
        <f aca="false">IF(BW$8=1,N(Reales!BW32),IF(BW$171=1,IF(AND(AND(70&gt;Corte,70&lt;=Corte+n_Ventana),ISNUMBER(Detalle_24m!BW$34)),Detalle_24m!BW$34,INDEX(Vol_V,21,BW$170)/12)*(1+V_dVol),0))</f>
        <v>0</v>
      </c>
      <c r="BX197" s="48" t="n">
        <f aca="false">IF(BX$8=1,N(Reales!BX32),IF(BX$171=1,IF(AND(AND(71&gt;Corte,71&lt;=Corte+n_Ventana),ISNUMBER(Detalle_24m!BX$34)),Detalle_24m!BX$34,INDEX(Vol_V,21,BX$170)/12)*(1+V_dVol),0))</f>
        <v>0</v>
      </c>
      <c r="BY197" s="48" t="n">
        <f aca="false">IF(BY$8=1,N(Reales!BY32),IF(BY$171=1,IF(AND(AND(72&gt;Corte,72&lt;=Corte+n_Ventana),ISNUMBER(Detalle_24m!BY$34)),Detalle_24m!BY$34,INDEX(Vol_V,21,BY$170)/12)*(1+V_dVol),0))</f>
        <v>0</v>
      </c>
      <c r="BZ197" s="48" t="n">
        <f aca="false">IF(BZ$8=1,N(Reales!BZ32),IF(BZ$171=1,IF(AND(AND(73&gt;Corte,73&lt;=Corte+n_Ventana),ISNUMBER(Detalle_24m!BZ$34)),Detalle_24m!BZ$34,INDEX(Vol_V,21,BZ$170)/12)*(1+V_dVol),0))</f>
        <v>0</v>
      </c>
      <c r="CA197" s="48" t="n">
        <f aca="false">IF(CA$8=1,N(Reales!CA32),IF(CA$171=1,IF(AND(AND(74&gt;Corte,74&lt;=Corte+n_Ventana),ISNUMBER(Detalle_24m!CA$34)),Detalle_24m!CA$34,INDEX(Vol_V,21,CA$170)/12)*(1+V_dVol),0))</f>
        <v>0</v>
      </c>
      <c r="CB197" s="48" t="n">
        <f aca="false">IF(CB$8=1,N(Reales!CB32),IF(CB$171=1,IF(AND(AND(75&gt;Corte,75&lt;=Corte+n_Ventana),ISNUMBER(Detalle_24m!CB$34)),Detalle_24m!CB$34,INDEX(Vol_V,21,CB$170)/12)*(1+V_dVol),0))</f>
        <v>0</v>
      </c>
      <c r="CC197" s="48" t="n">
        <f aca="false">IF(CC$8=1,N(Reales!CC32),IF(CC$171=1,IF(AND(AND(76&gt;Corte,76&lt;=Corte+n_Ventana),ISNUMBER(Detalle_24m!CC$34)),Detalle_24m!CC$34,INDEX(Vol_V,21,CC$170)/12)*(1+V_dVol),0))</f>
        <v>0</v>
      </c>
      <c r="CD197" s="48" t="n">
        <f aca="false">IF(CD$8=1,N(Reales!CD32),IF(CD$171=1,IF(AND(AND(77&gt;Corte,77&lt;=Corte+n_Ventana),ISNUMBER(Detalle_24m!CD$34)),Detalle_24m!CD$34,INDEX(Vol_V,21,CD$170)/12)*(1+V_dVol),0))</f>
        <v>0</v>
      </c>
      <c r="CE197" s="48" t="n">
        <f aca="false">IF(CE$8=1,N(Reales!CE32),IF(CE$171=1,IF(AND(AND(78&gt;Corte,78&lt;=Corte+n_Ventana),ISNUMBER(Detalle_24m!CE$34)),Detalle_24m!CE$34,INDEX(Vol_V,21,CE$170)/12)*(1+V_dVol),0))</f>
        <v>0</v>
      </c>
      <c r="CF197" s="48" t="n">
        <f aca="false">IF(CF$8=1,N(Reales!CF32),IF(CF$171=1,IF(AND(AND(79&gt;Corte,79&lt;=Corte+n_Ventana),ISNUMBER(Detalle_24m!CF$34)),Detalle_24m!CF$34,INDEX(Vol_V,21,CF$170)/12)*(1+V_dVol),0))</f>
        <v>0</v>
      </c>
      <c r="CG197" s="48" t="n">
        <f aca="false">IF(CG$8=1,N(Reales!CG32),IF(CG$171=1,IF(AND(AND(80&gt;Corte,80&lt;=Corte+n_Ventana),ISNUMBER(Detalle_24m!CG$34)),Detalle_24m!CG$34,INDEX(Vol_V,21,CG$170)/12)*(1+V_dVol),0))</f>
        <v>0</v>
      </c>
      <c r="CH197" s="48" t="n">
        <f aca="false">IF(CH$8=1,N(Reales!CH32),IF(CH$171=1,IF(AND(AND(81&gt;Corte,81&lt;=Corte+n_Ventana),ISNUMBER(Detalle_24m!CH$34)),Detalle_24m!CH$34,INDEX(Vol_V,21,CH$170)/12)*(1+V_dVol),0))</f>
        <v>0</v>
      </c>
      <c r="CI197" s="48" t="n">
        <f aca="false">IF(CI$8=1,N(Reales!CI32),IF(CI$171=1,IF(AND(AND(82&gt;Corte,82&lt;=Corte+n_Ventana),ISNUMBER(Detalle_24m!CI$34)),Detalle_24m!CI$34,INDEX(Vol_V,21,CI$170)/12)*(1+V_dVol),0))</f>
        <v>0</v>
      </c>
      <c r="CJ197" s="48" t="n">
        <f aca="false">IF(CJ$8=1,N(Reales!CJ32),IF(CJ$171=1,IF(AND(AND(83&gt;Corte,83&lt;=Corte+n_Ventana),ISNUMBER(Detalle_24m!CJ$34)),Detalle_24m!CJ$34,INDEX(Vol_V,21,CJ$170)/12)*(1+V_dVol),0))</f>
        <v>0</v>
      </c>
      <c r="CK197" s="48" t="n">
        <f aca="false">IF(CK$8=1,N(Reales!CK32),IF(CK$171=1,IF(AND(AND(84&gt;Corte,84&lt;=Corte+n_Ventana),ISNUMBER(Detalle_24m!CK$34)),Detalle_24m!CK$34,INDEX(Vol_V,21,CK$170)/12)*(1+V_dVol),0))</f>
        <v>0</v>
      </c>
      <c r="CL197" s="48" t="n">
        <f aca="false">IF(CL$8=1,N(Reales!CL32),IF(CL$171=1,IF(AND(AND(85&gt;Corte,85&lt;=Corte+n_Ventana),ISNUMBER(Detalle_24m!CL$34)),Detalle_24m!CL$34,INDEX(Vol_V,21,CL$170)/12)*(1+V_dVol),0))</f>
        <v>0</v>
      </c>
      <c r="CM197" s="48" t="n">
        <f aca="false">IF(CM$8=1,N(Reales!CM32),IF(CM$171=1,IF(AND(AND(86&gt;Corte,86&lt;=Corte+n_Ventana),ISNUMBER(Detalle_24m!CM$34)),Detalle_24m!CM$34,INDEX(Vol_V,21,CM$170)/12)*(1+V_dVol),0))</f>
        <v>0</v>
      </c>
      <c r="CN197" s="48" t="n">
        <f aca="false">IF(CN$8=1,N(Reales!CN32),IF(CN$171=1,IF(AND(AND(87&gt;Corte,87&lt;=Corte+n_Ventana),ISNUMBER(Detalle_24m!CN$34)),Detalle_24m!CN$34,INDEX(Vol_V,21,CN$170)/12)*(1+V_dVol),0))</f>
        <v>0</v>
      </c>
      <c r="CO197" s="48" t="n">
        <f aca="false">IF(CO$8=1,N(Reales!CO32),IF(CO$171=1,IF(AND(AND(88&gt;Corte,88&lt;=Corte+n_Ventana),ISNUMBER(Detalle_24m!CO$34)),Detalle_24m!CO$34,INDEX(Vol_V,21,CO$170)/12)*(1+V_dVol),0))</f>
        <v>0</v>
      </c>
      <c r="CP197" s="48" t="n">
        <f aca="false">IF(CP$8=1,N(Reales!CP32),IF(CP$171=1,IF(AND(AND(89&gt;Corte,89&lt;=Corte+n_Ventana),ISNUMBER(Detalle_24m!CP$34)),Detalle_24m!CP$34,INDEX(Vol_V,21,CP$170)/12)*(1+V_dVol),0))</f>
        <v>0</v>
      </c>
      <c r="CQ197" s="48" t="n">
        <f aca="false">IF(CQ$8=1,N(Reales!CQ32),IF(CQ$171=1,IF(AND(AND(90&gt;Corte,90&lt;=Corte+n_Ventana),ISNUMBER(Detalle_24m!CQ$34)),Detalle_24m!CQ$34,INDEX(Vol_V,21,CQ$170)/12)*(1+V_dVol),0))</f>
        <v>0</v>
      </c>
      <c r="CR197" s="48" t="n">
        <f aca="false">IF(CR$8=1,N(Reales!CR32),IF(CR$171=1,IF(AND(AND(91&gt;Corte,91&lt;=Corte+n_Ventana),ISNUMBER(Detalle_24m!CR$34)),Detalle_24m!CR$34,INDEX(Vol_V,21,CR$170)/12)*(1+V_dVol),0))</f>
        <v>0</v>
      </c>
      <c r="CS197" s="48" t="n">
        <f aca="false">IF(CS$8=1,N(Reales!CS32),IF(CS$171=1,IF(AND(AND(92&gt;Corte,92&lt;=Corte+n_Ventana),ISNUMBER(Detalle_24m!CS$34)),Detalle_24m!CS$34,INDEX(Vol_V,21,CS$170)/12)*(1+V_dVol),0))</f>
        <v>0</v>
      </c>
      <c r="CT197" s="48" t="n">
        <f aca="false">IF(CT$8=1,N(Reales!CT32),IF(CT$171=1,IF(AND(AND(93&gt;Corte,93&lt;=Corte+n_Ventana),ISNUMBER(Detalle_24m!CT$34)),Detalle_24m!CT$34,INDEX(Vol_V,21,CT$170)/12)*(1+V_dVol),0))</f>
        <v>0</v>
      </c>
      <c r="CU197" s="48" t="n">
        <f aca="false">IF(CU$8=1,N(Reales!CU32),IF(CU$171=1,IF(AND(AND(94&gt;Corte,94&lt;=Corte+n_Ventana),ISNUMBER(Detalle_24m!CU$34)),Detalle_24m!CU$34,INDEX(Vol_V,21,CU$170)/12)*(1+V_dVol),0))</f>
        <v>0</v>
      </c>
      <c r="CV197" s="48" t="n">
        <f aca="false">IF(CV$8=1,N(Reales!CV32),IF(CV$171=1,IF(AND(AND(95&gt;Corte,95&lt;=Corte+n_Ventana),ISNUMBER(Detalle_24m!CV$34)),Detalle_24m!CV$34,INDEX(Vol_V,21,CV$170)/12)*(1+V_dVol),0))</f>
        <v>0</v>
      </c>
      <c r="CW197" s="48" t="n">
        <f aca="false">IF(CW$8=1,N(Reales!CW32),IF(CW$171=1,IF(AND(AND(96&gt;Corte,96&lt;=Corte+n_Ventana),ISNUMBER(Detalle_24m!CW$34)),Detalle_24m!CW$34,INDEX(Vol_V,21,CW$170)/12)*(1+V_dVol),0))</f>
        <v>0</v>
      </c>
      <c r="CX197" s="48" t="n">
        <f aca="false">IF(CX$8=1,N(Reales!CX32),IF(CX$171=1,IF(AND(AND(97&gt;Corte,97&lt;=Corte+n_Ventana),ISNUMBER(Detalle_24m!CX$34)),Detalle_24m!CX$34,INDEX(Vol_V,21,CX$170)/12)*(1+V_dVol),0))</f>
        <v>0</v>
      </c>
      <c r="CY197" s="48" t="n">
        <f aca="false">IF(CY$8=1,N(Reales!CY32),IF(CY$171=1,IF(AND(AND(98&gt;Corte,98&lt;=Corte+n_Ventana),ISNUMBER(Detalle_24m!CY$34)),Detalle_24m!CY$34,INDEX(Vol_V,21,CY$170)/12)*(1+V_dVol),0))</f>
        <v>0</v>
      </c>
      <c r="CZ197" s="48" t="n">
        <f aca="false">IF(CZ$8=1,N(Reales!CZ32),IF(CZ$171=1,IF(AND(AND(99&gt;Corte,99&lt;=Corte+n_Ventana),ISNUMBER(Detalle_24m!CZ$34)),Detalle_24m!CZ$34,INDEX(Vol_V,21,CZ$170)/12)*(1+V_dVol),0))</f>
        <v>0</v>
      </c>
      <c r="DA197" s="48" t="n">
        <f aca="false">IF(DA$8=1,N(Reales!DA32),IF(DA$171=1,IF(AND(AND(100&gt;Corte,100&lt;=Corte+n_Ventana),ISNUMBER(Detalle_24m!DA$34)),Detalle_24m!DA$34,INDEX(Vol_V,21,DA$170)/12)*(1+V_dVol),0))</f>
        <v>0</v>
      </c>
      <c r="DB197" s="48" t="n">
        <f aca="false">IF(DB$8=1,N(Reales!DB32),IF(DB$171=1,IF(AND(AND(101&gt;Corte,101&lt;=Corte+n_Ventana),ISNUMBER(Detalle_24m!DB$34)),Detalle_24m!DB$34,INDEX(Vol_V,21,DB$170)/12)*(1+V_dVol),0))</f>
        <v>0</v>
      </c>
      <c r="DC197" s="48" t="n">
        <f aca="false">IF(DC$8=1,N(Reales!DC32),IF(DC$171=1,IF(AND(AND(102&gt;Corte,102&lt;=Corte+n_Ventana),ISNUMBER(Detalle_24m!DC$34)),Detalle_24m!DC$34,INDEX(Vol_V,21,DC$170)/12)*(1+V_dVol),0))</f>
        <v>0</v>
      </c>
      <c r="DD197" s="48" t="n">
        <f aca="false">IF(DD$8=1,N(Reales!DD32),IF(DD$171=1,IF(AND(AND(103&gt;Corte,103&lt;=Corte+n_Ventana),ISNUMBER(Detalle_24m!DD$34)),Detalle_24m!DD$34,INDEX(Vol_V,21,DD$170)/12)*(1+V_dVol),0))</f>
        <v>0</v>
      </c>
      <c r="DE197" s="48" t="n">
        <f aca="false">IF(DE$8=1,N(Reales!DE32),IF(DE$171=1,IF(AND(AND(104&gt;Corte,104&lt;=Corte+n_Ventana),ISNUMBER(Detalle_24m!DE$34)),Detalle_24m!DE$34,INDEX(Vol_V,21,DE$170)/12)*(1+V_dVol),0))</f>
        <v>0</v>
      </c>
      <c r="DF197" s="48" t="n">
        <f aca="false">IF(DF$8=1,N(Reales!DF32),IF(DF$171=1,IF(AND(AND(105&gt;Corte,105&lt;=Corte+n_Ventana),ISNUMBER(Detalle_24m!DF$34)),Detalle_24m!DF$34,INDEX(Vol_V,21,DF$170)/12)*(1+V_dVol),0))</f>
        <v>0</v>
      </c>
      <c r="DG197" s="48" t="n">
        <f aca="false">IF(DG$8=1,N(Reales!DG32),IF(DG$171=1,IF(AND(AND(106&gt;Corte,106&lt;=Corte+n_Ventana),ISNUMBER(Detalle_24m!DG$34)),Detalle_24m!DG$34,INDEX(Vol_V,21,DG$170)/12)*(1+V_dVol),0))</f>
        <v>0</v>
      </c>
      <c r="DH197" s="48" t="n">
        <f aca="false">IF(DH$8=1,N(Reales!DH32),IF(DH$171=1,IF(AND(AND(107&gt;Corte,107&lt;=Corte+n_Ventana),ISNUMBER(Detalle_24m!DH$34)),Detalle_24m!DH$34,INDEX(Vol_V,21,DH$170)/12)*(1+V_dVol),0))</f>
        <v>0</v>
      </c>
      <c r="DI197" s="48" t="n">
        <f aca="false">IF(DI$8=1,N(Reales!DI32),IF(DI$171=1,IF(AND(AND(108&gt;Corte,108&lt;=Corte+n_Ventana),ISNUMBER(Detalle_24m!DI$34)),Detalle_24m!DI$34,INDEX(Vol_V,21,DI$170)/12)*(1+V_dVol),0))</f>
        <v>0</v>
      </c>
      <c r="DJ197" s="48" t="n">
        <f aca="false">IF(DJ$8=1,N(Reales!DJ32),IF(DJ$171=1,IF(AND(AND(109&gt;Corte,109&lt;=Corte+n_Ventana),ISNUMBER(Detalle_24m!DJ$34)),Detalle_24m!DJ$34,INDEX(Vol_V,21,DJ$170)/12)*(1+V_dVol),0))</f>
        <v>0</v>
      </c>
      <c r="DK197" s="48" t="n">
        <f aca="false">IF(DK$8=1,N(Reales!DK32),IF(DK$171=1,IF(AND(AND(110&gt;Corte,110&lt;=Corte+n_Ventana),ISNUMBER(Detalle_24m!DK$34)),Detalle_24m!DK$34,INDEX(Vol_V,21,DK$170)/12)*(1+V_dVol),0))</f>
        <v>0</v>
      </c>
      <c r="DL197" s="48" t="n">
        <f aca="false">IF(DL$8=1,N(Reales!DL32),IF(DL$171=1,IF(AND(AND(111&gt;Corte,111&lt;=Corte+n_Ventana),ISNUMBER(Detalle_24m!DL$34)),Detalle_24m!DL$34,INDEX(Vol_V,21,DL$170)/12)*(1+V_dVol),0))</f>
        <v>0</v>
      </c>
      <c r="DM197" s="48" t="n">
        <f aca="false">IF(DM$8=1,N(Reales!DM32),IF(DM$171=1,IF(AND(AND(112&gt;Corte,112&lt;=Corte+n_Ventana),ISNUMBER(Detalle_24m!DM$34)),Detalle_24m!DM$34,INDEX(Vol_V,21,DM$170)/12)*(1+V_dVol),0))</f>
        <v>0</v>
      </c>
      <c r="DN197" s="48" t="n">
        <f aca="false">IF(DN$8=1,N(Reales!DN32),IF(DN$171=1,IF(AND(AND(113&gt;Corte,113&lt;=Corte+n_Ventana),ISNUMBER(Detalle_24m!DN$34)),Detalle_24m!DN$34,INDEX(Vol_V,21,DN$170)/12)*(1+V_dVol),0))</f>
        <v>0</v>
      </c>
      <c r="DO197" s="48" t="n">
        <f aca="false">IF(DO$8=1,N(Reales!DO32),IF(DO$171=1,IF(AND(AND(114&gt;Corte,114&lt;=Corte+n_Ventana),ISNUMBER(Detalle_24m!DO$34)),Detalle_24m!DO$34,INDEX(Vol_V,21,DO$170)/12)*(1+V_dVol),0))</f>
        <v>0</v>
      </c>
      <c r="DP197" s="48" t="n">
        <f aca="false">IF(DP$8=1,N(Reales!DP32),IF(DP$171=1,IF(AND(AND(115&gt;Corte,115&lt;=Corte+n_Ventana),ISNUMBER(Detalle_24m!DP$34)),Detalle_24m!DP$34,INDEX(Vol_V,21,DP$170)/12)*(1+V_dVol),0))</f>
        <v>0</v>
      </c>
      <c r="DQ197" s="48" t="n">
        <f aca="false">IF(DQ$8=1,N(Reales!DQ32),IF(DQ$171=1,IF(AND(AND(116&gt;Corte,116&lt;=Corte+n_Ventana),ISNUMBER(Detalle_24m!DQ$34)),Detalle_24m!DQ$34,INDEX(Vol_V,21,DQ$170)/12)*(1+V_dVol),0))</f>
        <v>0</v>
      </c>
      <c r="DR197" s="48" t="n">
        <f aca="false">IF(DR$8=1,N(Reales!DR32),IF(DR$171=1,IF(AND(AND(117&gt;Corte,117&lt;=Corte+n_Ventana),ISNUMBER(Detalle_24m!DR$34)),Detalle_24m!DR$34,INDEX(Vol_V,21,DR$170)/12)*(1+V_dVol),0))</f>
        <v>0</v>
      </c>
      <c r="DS197" s="48" t="n">
        <f aca="false">IF(DS$8=1,N(Reales!DS32),IF(DS$171=1,IF(AND(AND(118&gt;Corte,118&lt;=Corte+n_Ventana),ISNUMBER(Detalle_24m!DS$34)),Detalle_24m!DS$34,INDEX(Vol_V,21,DS$170)/12)*(1+V_dVol),0))</f>
        <v>0</v>
      </c>
      <c r="DT197" s="48" t="n">
        <f aca="false">IF(DT$8=1,N(Reales!DT32),IF(DT$171=1,IF(AND(AND(119&gt;Corte,119&lt;=Corte+n_Ventana),ISNUMBER(Detalle_24m!DT$34)),Detalle_24m!DT$34,INDEX(Vol_V,21,DT$170)/12)*(1+V_dVol),0))</f>
        <v>0</v>
      </c>
      <c r="DU197" s="48" t="n">
        <f aca="false">IF(DU$8=1,N(Reales!DU32),IF(DU$171=1,IF(AND(AND(120&gt;Corte,120&lt;=Corte+n_Ventana),ISNUMBER(Detalle_24m!DU$34)),Detalle_24m!DU$34,INDEX(Vol_V,21,DU$170)/12)*(1+V_dVol),0))</f>
        <v>0</v>
      </c>
      <c r="DV197" s="48" t="n">
        <f aca="false">IF(DV$8=1,N(Reales!DV32),IF(DV$171=1,IF(AND(AND(121&gt;Corte,121&lt;=Corte+n_Ventana),ISNUMBER(Detalle_24m!DV$34)),Detalle_24m!DV$34,INDEX(Vol_V,21,DV$170)/12)*(1+V_dVol),0))</f>
        <v>0</v>
      </c>
      <c r="DW197" s="48" t="n">
        <f aca="false">IF(DW$8=1,N(Reales!DW32),IF(DW$171=1,IF(AND(AND(122&gt;Corte,122&lt;=Corte+n_Ventana),ISNUMBER(Detalle_24m!DW$34)),Detalle_24m!DW$34,INDEX(Vol_V,21,DW$170)/12)*(1+V_dVol),0))</f>
        <v>0</v>
      </c>
      <c r="DX197" s="48" t="n">
        <f aca="false">IF(DX$8=1,N(Reales!DX32),IF(DX$171=1,IF(AND(AND(123&gt;Corte,123&lt;=Corte+n_Ventana),ISNUMBER(Detalle_24m!DX$34)),Detalle_24m!DX$34,INDEX(Vol_V,21,DX$170)/12)*(1+V_dVol),0))</f>
        <v>0</v>
      </c>
      <c r="DY197" s="48" t="n">
        <f aca="false">IF(DY$8=1,N(Reales!DY32),IF(DY$171=1,IF(AND(AND(124&gt;Corte,124&lt;=Corte+n_Ventana),ISNUMBER(Detalle_24m!DY$34)),Detalle_24m!DY$34,INDEX(Vol_V,21,DY$170)/12)*(1+V_dVol),0))</f>
        <v>0</v>
      </c>
      <c r="DZ197" s="48" t="n">
        <f aca="false">IF(DZ$8=1,N(Reales!DZ32),IF(DZ$171=1,IF(AND(AND(125&gt;Corte,125&lt;=Corte+n_Ventana),ISNUMBER(Detalle_24m!DZ$34)),Detalle_24m!DZ$34,INDEX(Vol_V,21,DZ$170)/12)*(1+V_dVol),0))</f>
        <v>0</v>
      </c>
      <c r="EA197" s="48" t="n">
        <f aca="false">IF(EA$8=1,N(Reales!EA32),IF(EA$171=1,IF(AND(AND(126&gt;Corte,126&lt;=Corte+n_Ventana),ISNUMBER(Detalle_24m!EA$34)),Detalle_24m!EA$34,INDEX(Vol_V,21,EA$170)/12)*(1+V_dVol),0))</f>
        <v>0</v>
      </c>
      <c r="EB197" s="48" t="n">
        <f aca="false">IF(EB$8=1,N(Reales!EB32),IF(EB$171=1,IF(AND(AND(127&gt;Corte,127&lt;=Corte+n_Ventana),ISNUMBER(Detalle_24m!EB$34)),Detalle_24m!EB$34,INDEX(Vol_V,21,EB$170)/12)*(1+V_dVol),0))</f>
        <v>0</v>
      </c>
      <c r="EC197" s="48" t="n">
        <f aca="false">IF(EC$8=1,N(Reales!EC32),IF(EC$171=1,IF(AND(AND(128&gt;Corte,128&lt;=Corte+n_Ventana),ISNUMBER(Detalle_24m!EC$34)),Detalle_24m!EC$34,INDEX(Vol_V,21,EC$170)/12)*(1+V_dVol),0))</f>
        <v>0</v>
      </c>
      <c r="ED197" s="48" t="n">
        <f aca="false">IF(ED$8=1,N(Reales!ED32),IF(ED$171=1,IF(AND(AND(129&gt;Corte,129&lt;=Corte+n_Ventana),ISNUMBER(Detalle_24m!ED$34)),Detalle_24m!ED$34,INDEX(Vol_V,21,ED$170)/12)*(1+V_dVol),0))</f>
        <v>0</v>
      </c>
      <c r="EE197" s="48" t="n">
        <f aca="false">IF(EE$8=1,N(Reales!EE32),IF(EE$171=1,IF(AND(AND(130&gt;Corte,130&lt;=Corte+n_Ventana),ISNUMBER(Detalle_24m!EE$34)),Detalle_24m!EE$34,INDEX(Vol_V,21,EE$170)/12)*(1+V_dVol),0))</f>
        <v>0</v>
      </c>
      <c r="EF197" s="48" t="n">
        <f aca="false">IF(EF$8=1,N(Reales!EF32),IF(EF$171=1,IF(AND(AND(131&gt;Corte,131&lt;=Corte+n_Ventana),ISNUMBER(Detalle_24m!EF$34)),Detalle_24m!EF$34,INDEX(Vol_V,21,EF$170)/12)*(1+V_dVol),0))</f>
        <v>0</v>
      </c>
      <c r="EG197" s="48" t="n">
        <f aca="false">IF(EG$8=1,N(Reales!EG32),IF(EG$171=1,IF(AND(AND(132&gt;Corte,132&lt;=Corte+n_Ventana),ISNUMBER(Detalle_24m!EG$34)),Detalle_24m!EG$34,INDEX(Vol_V,21,EG$170)/12)*(1+V_dVol),0))</f>
        <v>0</v>
      </c>
      <c r="EH197" s="48" t="n">
        <f aca="false">IF(EH$8=1,N(Reales!EH32),IF(EH$171=1,IF(AND(AND(133&gt;Corte,133&lt;=Corte+n_Ventana),ISNUMBER(Detalle_24m!EH$34)),Detalle_24m!EH$34,INDEX(Vol_V,21,EH$170)/12)*(1+V_dVol),0))</f>
        <v>0</v>
      </c>
      <c r="EI197" s="48" t="n">
        <f aca="false">IF(EI$8=1,N(Reales!EI32),IF(EI$171=1,IF(AND(AND(134&gt;Corte,134&lt;=Corte+n_Ventana),ISNUMBER(Detalle_24m!EI$34)),Detalle_24m!EI$34,INDEX(Vol_V,21,EI$170)/12)*(1+V_dVol),0))</f>
        <v>0</v>
      </c>
      <c r="EJ197" s="48" t="n">
        <f aca="false">IF(EJ$8=1,N(Reales!EJ32),IF(EJ$171=1,IF(AND(AND(135&gt;Corte,135&lt;=Corte+n_Ventana),ISNUMBER(Detalle_24m!EJ$34)),Detalle_24m!EJ$34,INDEX(Vol_V,21,EJ$170)/12)*(1+V_dVol),0))</f>
        <v>0</v>
      </c>
      <c r="EK197" s="48" t="n">
        <f aca="false">IF(EK$8=1,N(Reales!EK32),IF(EK$171=1,IF(AND(AND(136&gt;Corte,136&lt;=Corte+n_Ventana),ISNUMBER(Detalle_24m!EK$34)),Detalle_24m!EK$34,INDEX(Vol_V,21,EK$170)/12)*(1+V_dVol),0))</f>
        <v>0</v>
      </c>
      <c r="EL197" s="48" t="n">
        <f aca="false">IF(EL$8=1,N(Reales!EL32),IF(EL$171=1,IF(AND(AND(137&gt;Corte,137&lt;=Corte+n_Ventana),ISNUMBER(Detalle_24m!EL$34)),Detalle_24m!EL$34,INDEX(Vol_V,21,EL$170)/12)*(1+V_dVol),0))</f>
        <v>0</v>
      </c>
      <c r="EM197" s="48" t="n">
        <f aca="false">IF(EM$8=1,N(Reales!EM32),IF(EM$171=1,IF(AND(AND(138&gt;Corte,138&lt;=Corte+n_Ventana),ISNUMBER(Detalle_24m!EM$34)),Detalle_24m!EM$34,INDEX(Vol_V,21,EM$170)/12)*(1+V_dVol),0))</f>
        <v>0</v>
      </c>
      <c r="EN197" s="48" t="n">
        <f aca="false">IF(EN$8=1,N(Reales!EN32),IF(EN$171=1,IF(AND(AND(139&gt;Corte,139&lt;=Corte+n_Ventana),ISNUMBER(Detalle_24m!EN$34)),Detalle_24m!EN$34,INDEX(Vol_V,21,EN$170)/12)*(1+V_dVol),0))</f>
        <v>0</v>
      </c>
      <c r="EO197" s="48" t="n">
        <f aca="false">IF(EO$8=1,N(Reales!EO32),IF(EO$171=1,IF(AND(AND(140&gt;Corte,140&lt;=Corte+n_Ventana),ISNUMBER(Detalle_24m!EO$34)),Detalle_24m!EO$34,INDEX(Vol_V,21,EO$170)/12)*(1+V_dVol),0))</f>
        <v>0</v>
      </c>
      <c r="EP197" s="48" t="n">
        <f aca="false">IF(EP$8=1,N(Reales!EP32),IF(EP$171=1,IF(AND(AND(141&gt;Corte,141&lt;=Corte+n_Ventana),ISNUMBER(Detalle_24m!EP$34)),Detalle_24m!EP$34,INDEX(Vol_V,21,EP$170)/12)*(1+V_dVol),0))</f>
        <v>0</v>
      </c>
      <c r="EQ197" s="48" t="n">
        <f aca="false">IF(EQ$8=1,N(Reales!EQ32),IF(EQ$171=1,IF(AND(AND(142&gt;Corte,142&lt;=Corte+n_Ventana),ISNUMBER(Detalle_24m!EQ$34)),Detalle_24m!EQ$34,INDEX(Vol_V,21,EQ$170)/12)*(1+V_dVol),0))</f>
        <v>0</v>
      </c>
      <c r="ER197" s="48" t="n">
        <f aca="false">IF(ER$8=1,N(Reales!ER32),IF(ER$171=1,IF(AND(AND(143&gt;Corte,143&lt;=Corte+n_Ventana),ISNUMBER(Detalle_24m!ER$34)),Detalle_24m!ER$34,INDEX(Vol_V,21,ER$170)/12)*(1+V_dVol),0))</f>
        <v>0</v>
      </c>
      <c r="ES197" s="48" t="n">
        <f aca="false">IF(ES$8=1,N(Reales!ES32),IF(ES$171=1,IF(AND(AND(144&gt;Corte,144&lt;=Corte+n_Ventana),ISNUMBER(Detalle_24m!ES$34)),Detalle_24m!ES$34,INDEX(Vol_V,21,ES$170)/12)*(1+V_dVol),0))</f>
        <v>0</v>
      </c>
    </row>
    <row r="198" customFormat="false" ht="15" hidden="false" customHeight="false" outlineLevel="0" collapsed="false">
      <c r="A198" s="11" t="s">
        <v>1321</v>
      </c>
      <c r="B198" s="53" t="str">
        <f aca="false">IF(INDEX(Prod_Nombre,22)="","Producto 22",INDEX(Prod_Nombre,22))&amp;" — unidades"</f>
        <v>Producto 22 — unidades</v>
      </c>
      <c r="C198" s="15" t="s">
        <v>544</v>
      </c>
      <c r="E198" s="54" t="n">
        <f aca="false">SUM(F198:ES198)</f>
        <v>0</v>
      </c>
      <c r="F198" s="48" t="n">
        <f aca="false">IF(F$8=1,N(Reales!F33),IF(F$171=1,IF(AND(AND(1&gt;Corte,1&lt;=Corte+n_Ventana),ISNUMBER(Detalle_24m!F$35)),Detalle_24m!F$35,INDEX(Vol_V,22,F$170)/12)*(1+V_dVol),0))</f>
        <v>0</v>
      </c>
      <c r="G198" s="48" t="n">
        <f aca="false">IF(G$8=1,N(Reales!G33),IF(G$171=1,IF(AND(AND(2&gt;Corte,2&lt;=Corte+n_Ventana),ISNUMBER(Detalle_24m!G$35)),Detalle_24m!G$35,INDEX(Vol_V,22,G$170)/12)*(1+V_dVol),0))</f>
        <v>0</v>
      </c>
      <c r="H198" s="48" t="n">
        <f aca="false">IF(H$8=1,N(Reales!H33),IF(H$171=1,IF(AND(AND(3&gt;Corte,3&lt;=Corte+n_Ventana),ISNUMBER(Detalle_24m!H$35)),Detalle_24m!H$35,INDEX(Vol_V,22,H$170)/12)*(1+V_dVol),0))</f>
        <v>0</v>
      </c>
      <c r="I198" s="48" t="n">
        <f aca="false">IF(I$8=1,N(Reales!I33),IF(I$171=1,IF(AND(AND(4&gt;Corte,4&lt;=Corte+n_Ventana),ISNUMBER(Detalle_24m!I$35)),Detalle_24m!I$35,INDEX(Vol_V,22,I$170)/12)*(1+V_dVol),0))</f>
        <v>0</v>
      </c>
      <c r="J198" s="48" t="n">
        <f aca="false">IF(J$8=1,N(Reales!J33),IF(J$171=1,IF(AND(AND(5&gt;Corte,5&lt;=Corte+n_Ventana),ISNUMBER(Detalle_24m!J$35)),Detalle_24m!J$35,INDEX(Vol_V,22,J$170)/12)*(1+V_dVol),0))</f>
        <v>0</v>
      </c>
      <c r="K198" s="48" t="n">
        <f aca="false">IF(K$8=1,N(Reales!K33),IF(K$171=1,IF(AND(AND(6&gt;Corte,6&lt;=Corte+n_Ventana),ISNUMBER(Detalle_24m!K$35)),Detalle_24m!K$35,INDEX(Vol_V,22,K$170)/12)*(1+V_dVol),0))</f>
        <v>0</v>
      </c>
      <c r="L198" s="48" t="n">
        <f aca="false">IF(L$8=1,N(Reales!L33),IF(L$171=1,IF(AND(AND(7&gt;Corte,7&lt;=Corte+n_Ventana),ISNUMBER(Detalle_24m!L$35)),Detalle_24m!L$35,INDEX(Vol_V,22,L$170)/12)*(1+V_dVol),0))</f>
        <v>0</v>
      </c>
      <c r="M198" s="48" t="n">
        <f aca="false">IF(M$8=1,N(Reales!M33),IF(M$171=1,IF(AND(AND(8&gt;Corte,8&lt;=Corte+n_Ventana),ISNUMBER(Detalle_24m!M$35)),Detalle_24m!M$35,INDEX(Vol_V,22,M$170)/12)*(1+V_dVol),0))</f>
        <v>0</v>
      </c>
      <c r="N198" s="48" t="n">
        <f aca="false">IF(N$8=1,N(Reales!N33),IF(N$171=1,IF(AND(AND(9&gt;Corte,9&lt;=Corte+n_Ventana),ISNUMBER(Detalle_24m!N$35)),Detalle_24m!N$35,INDEX(Vol_V,22,N$170)/12)*(1+V_dVol),0))</f>
        <v>0</v>
      </c>
      <c r="O198" s="48" t="n">
        <f aca="false">IF(O$8=1,N(Reales!O33),IF(O$171=1,IF(AND(AND(10&gt;Corte,10&lt;=Corte+n_Ventana),ISNUMBER(Detalle_24m!O$35)),Detalle_24m!O$35,INDEX(Vol_V,22,O$170)/12)*(1+V_dVol),0))</f>
        <v>0</v>
      </c>
      <c r="P198" s="48" t="n">
        <f aca="false">IF(P$8=1,N(Reales!P33),IF(P$171=1,IF(AND(AND(11&gt;Corte,11&lt;=Corte+n_Ventana),ISNUMBER(Detalle_24m!P$35)),Detalle_24m!P$35,INDEX(Vol_V,22,P$170)/12)*(1+V_dVol),0))</f>
        <v>0</v>
      </c>
      <c r="Q198" s="48" t="n">
        <f aca="false">IF(Q$8=1,N(Reales!Q33),IF(Q$171=1,IF(AND(AND(12&gt;Corte,12&lt;=Corte+n_Ventana),ISNUMBER(Detalle_24m!Q$35)),Detalle_24m!Q$35,INDEX(Vol_V,22,Q$170)/12)*(1+V_dVol),0))</f>
        <v>0</v>
      </c>
      <c r="R198" s="48" t="n">
        <f aca="false">IF(R$8=1,N(Reales!R33),IF(R$171=1,IF(AND(AND(13&gt;Corte,13&lt;=Corte+n_Ventana),ISNUMBER(Detalle_24m!R$35)),Detalle_24m!R$35,INDEX(Vol_V,22,R$170)/12)*(1+V_dVol),0))</f>
        <v>0</v>
      </c>
      <c r="S198" s="48" t="n">
        <f aca="false">IF(S$8=1,N(Reales!S33),IF(S$171=1,IF(AND(AND(14&gt;Corte,14&lt;=Corte+n_Ventana),ISNUMBER(Detalle_24m!S$35)),Detalle_24m!S$35,INDEX(Vol_V,22,S$170)/12)*(1+V_dVol),0))</f>
        <v>0</v>
      </c>
      <c r="T198" s="48" t="n">
        <f aca="false">IF(T$8=1,N(Reales!T33),IF(T$171=1,IF(AND(AND(15&gt;Corte,15&lt;=Corte+n_Ventana),ISNUMBER(Detalle_24m!T$35)),Detalle_24m!T$35,INDEX(Vol_V,22,T$170)/12)*(1+V_dVol),0))</f>
        <v>0</v>
      </c>
      <c r="U198" s="48" t="n">
        <f aca="false">IF(U$8=1,N(Reales!U33),IF(U$171=1,IF(AND(AND(16&gt;Corte,16&lt;=Corte+n_Ventana),ISNUMBER(Detalle_24m!U$35)),Detalle_24m!U$35,INDEX(Vol_V,22,U$170)/12)*(1+V_dVol),0))</f>
        <v>0</v>
      </c>
      <c r="V198" s="48" t="n">
        <f aca="false">IF(V$8=1,N(Reales!V33),IF(V$171=1,IF(AND(AND(17&gt;Corte,17&lt;=Corte+n_Ventana),ISNUMBER(Detalle_24m!V$35)),Detalle_24m!V$35,INDEX(Vol_V,22,V$170)/12)*(1+V_dVol),0))</f>
        <v>0</v>
      </c>
      <c r="W198" s="48" t="n">
        <f aca="false">IF(W$8=1,N(Reales!W33),IF(W$171=1,IF(AND(AND(18&gt;Corte,18&lt;=Corte+n_Ventana),ISNUMBER(Detalle_24m!W$35)),Detalle_24m!W$35,INDEX(Vol_V,22,W$170)/12)*(1+V_dVol),0))</f>
        <v>0</v>
      </c>
      <c r="X198" s="48" t="n">
        <f aca="false">IF(X$8=1,N(Reales!X33),IF(X$171=1,IF(AND(AND(19&gt;Corte,19&lt;=Corte+n_Ventana),ISNUMBER(Detalle_24m!X$35)),Detalle_24m!X$35,INDEX(Vol_V,22,X$170)/12)*(1+V_dVol),0))</f>
        <v>0</v>
      </c>
      <c r="Y198" s="48" t="n">
        <f aca="false">IF(Y$8=1,N(Reales!Y33),IF(Y$171=1,IF(AND(AND(20&gt;Corte,20&lt;=Corte+n_Ventana),ISNUMBER(Detalle_24m!Y$35)),Detalle_24m!Y$35,INDEX(Vol_V,22,Y$170)/12)*(1+V_dVol),0))</f>
        <v>0</v>
      </c>
      <c r="Z198" s="48" t="n">
        <f aca="false">IF(Z$8=1,N(Reales!Z33),IF(Z$171=1,IF(AND(AND(21&gt;Corte,21&lt;=Corte+n_Ventana),ISNUMBER(Detalle_24m!Z$35)),Detalle_24m!Z$35,INDEX(Vol_V,22,Z$170)/12)*(1+V_dVol),0))</f>
        <v>0</v>
      </c>
      <c r="AA198" s="48" t="n">
        <f aca="false">IF(AA$8=1,N(Reales!AA33),IF(AA$171=1,IF(AND(AND(22&gt;Corte,22&lt;=Corte+n_Ventana),ISNUMBER(Detalle_24m!AA$35)),Detalle_24m!AA$35,INDEX(Vol_V,22,AA$170)/12)*(1+V_dVol),0))</f>
        <v>0</v>
      </c>
      <c r="AB198" s="48" t="n">
        <f aca="false">IF(AB$8=1,N(Reales!AB33),IF(AB$171=1,IF(AND(AND(23&gt;Corte,23&lt;=Corte+n_Ventana),ISNUMBER(Detalle_24m!AB$35)),Detalle_24m!AB$35,INDEX(Vol_V,22,AB$170)/12)*(1+V_dVol),0))</f>
        <v>0</v>
      </c>
      <c r="AC198" s="48" t="n">
        <f aca="false">IF(AC$8=1,N(Reales!AC33),IF(AC$171=1,IF(AND(AND(24&gt;Corte,24&lt;=Corte+n_Ventana),ISNUMBER(Detalle_24m!AC$35)),Detalle_24m!AC$35,INDEX(Vol_V,22,AC$170)/12)*(1+V_dVol),0))</f>
        <v>0</v>
      </c>
      <c r="AD198" s="48" t="n">
        <f aca="false">IF(AD$8=1,N(Reales!AD33),IF(AD$171=1,IF(AND(AND(25&gt;Corte,25&lt;=Corte+n_Ventana),ISNUMBER(Detalle_24m!AD$35)),Detalle_24m!AD$35,INDEX(Vol_V,22,AD$170)/12)*(1+V_dVol),0))</f>
        <v>0</v>
      </c>
      <c r="AE198" s="48" t="n">
        <f aca="false">IF(AE$8=1,N(Reales!AE33),IF(AE$171=1,IF(AND(AND(26&gt;Corte,26&lt;=Corte+n_Ventana),ISNUMBER(Detalle_24m!AE$35)),Detalle_24m!AE$35,INDEX(Vol_V,22,AE$170)/12)*(1+V_dVol),0))</f>
        <v>0</v>
      </c>
      <c r="AF198" s="48" t="n">
        <f aca="false">IF(AF$8=1,N(Reales!AF33),IF(AF$171=1,IF(AND(AND(27&gt;Corte,27&lt;=Corte+n_Ventana),ISNUMBER(Detalle_24m!AF$35)),Detalle_24m!AF$35,INDEX(Vol_V,22,AF$170)/12)*(1+V_dVol),0))</f>
        <v>0</v>
      </c>
      <c r="AG198" s="48" t="n">
        <f aca="false">IF(AG$8=1,N(Reales!AG33),IF(AG$171=1,IF(AND(AND(28&gt;Corte,28&lt;=Corte+n_Ventana),ISNUMBER(Detalle_24m!AG$35)),Detalle_24m!AG$35,INDEX(Vol_V,22,AG$170)/12)*(1+V_dVol),0))</f>
        <v>0</v>
      </c>
      <c r="AH198" s="48" t="n">
        <f aca="false">IF(AH$8=1,N(Reales!AH33),IF(AH$171=1,IF(AND(AND(29&gt;Corte,29&lt;=Corte+n_Ventana),ISNUMBER(Detalle_24m!AH$35)),Detalle_24m!AH$35,INDEX(Vol_V,22,AH$170)/12)*(1+V_dVol),0))</f>
        <v>0</v>
      </c>
      <c r="AI198" s="48" t="n">
        <f aca="false">IF(AI$8=1,N(Reales!AI33),IF(AI$171=1,IF(AND(AND(30&gt;Corte,30&lt;=Corte+n_Ventana),ISNUMBER(Detalle_24m!AI$35)),Detalle_24m!AI$35,INDEX(Vol_V,22,AI$170)/12)*(1+V_dVol),0))</f>
        <v>0</v>
      </c>
      <c r="AJ198" s="48" t="n">
        <f aca="false">IF(AJ$8=1,N(Reales!AJ33),IF(AJ$171=1,IF(AND(AND(31&gt;Corte,31&lt;=Corte+n_Ventana),ISNUMBER(Detalle_24m!AJ$35)),Detalle_24m!AJ$35,INDEX(Vol_V,22,AJ$170)/12)*(1+V_dVol),0))</f>
        <v>0</v>
      </c>
      <c r="AK198" s="48" t="n">
        <f aca="false">IF(AK$8=1,N(Reales!AK33),IF(AK$171=1,IF(AND(AND(32&gt;Corte,32&lt;=Corte+n_Ventana),ISNUMBER(Detalle_24m!AK$35)),Detalle_24m!AK$35,INDEX(Vol_V,22,AK$170)/12)*(1+V_dVol),0))</f>
        <v>0</v>
      </c>
      <c r="AL198" s="48" t="n">
        <f aca="false">IF(AL$8=1,N(Reales!AL33),IF(AL$171=1,IF(AND(AND(33&gt;Corte,33&lt;=Corte+n_Ventana),ISNUMBER(Detalle_24m!AL$35)),Detalle_24m!AL$35,INDEX(Vol_V,22,AL$170)/12)*(1+V_dVol),0))</f>
        <v>0</v>
      </c>
      <c r="AM198" s="48" t="n">
        <f aca="false">IF(AM$8=1,N(Reales!AM33),IF(AM$171=1,IF(AND(AND(34&gt;Corte,34&lt;=Corte+n_Ventana),ISNUMBER(Detalle_24m!AM$35)),Detalle_24m!AM$35,INDEX(Vol_V,22,AM$170)/12)*(1+V_dVol),0))</f>
        <v>0</v>
      </c>
      <c r="AN198" s="48" t="n">
        <f aca="false">IF(AN$8=1,N(Reales!AN33),IF(AN$171=1,IF(AND(AND(35&gt;Corte,35&lt;=Corte+n_Ventana),ISNUMBER(Detalle_24m!AN$35)),Detalle_24m!AN$35,INDEX(Vol_V,22,AN$170)/12)*(1+V_dVol),0))</f>
        <v>0</v>
      </c>
      <c r="AO198" s="48" t="n">
        <f aca="false">IF(AO$8=1,N(Reales!AO33),IF(AO$171=1,IF(AND(AND(36&gt;Corte,36&lt;=Corte+n_Ventana),ISNUMBER(Detalle_24m!AO$35)),Detalle_24m!AO$35,INDEX(Vol_V,22,AO$170)/12)*(1+V_dVol),0))</f>
        <v>0</v>
      </c>
      <c r="AP198" s="48" t="n">
        <f aca="false">IF(AP$8=1,N(Reales!AP33),IF(AP$171=1,IF(AND(AND(37&gt;Corte,37&lt;=Corte+n_Ventana),ISNUMBER(Detalle_24m!AP$35)),Detalle_24m!AP$35,INDEX(Vol_V,22,AP$170)/12)*(1+V_dVol),0))</f>
        <v>0</v>
      </c>
      <c r="AQ198" s="48" t="n">
        <f aca="false">IF(AQ$8=1,N(Reales!AQ33),IF(AQ$171=1,IF(AND(AND(38&gt;Corte,38&lt;=Corte+n_Ventana),ISNUMBER(Detalle_24m!AQ$35)),Detalle_24m!AQ$35,INDEX(Vol_V,22,AQ$170)/12)*(1+V_dVol),0))</f>
        <v>0</v>
      </c>
      <c r="AR198" s="48" t="n">
        <f aca="false">IF(AR$8=1,N(Reales!AR33),IF(AR$171=1,IF(AND(AND(39&gt;Corte,39&lt;=Corte+n_Ventana),ISNUMBER(Detalle_24m!AR$35)),Detalle_24m!AR$35,INDEX(Vol_V,22,AR$170)/12)*(1+V_dVol),0))</f>
        <v>0</v>
      </c>
      <c r="AS198" s="48" t="n">
        <f aca="false">IF(AS$8=1,N(Reales!AS33),IF(AS$171=1,IF(AND(AND(40&gt;Corte,40&lt;=Corte+n_Ventana),ISNUMBER(Detalle_24m!AS$35)),Detalle_24m!AS$35,INDEX(Vol_V,22,AS$170)/12)*(1+V_dVol),0))</f>
        <v>0</v>
      </c>
      <c r="AT198" s="48" t="n">
        <f aca="false">IF(AT$8=1,N(Reales!AT33),IF(AT$171=1,IF(AND(AND(41&gt;Corte,41&lt;=Corte+n_Ventana),ISNUMBER(Detalle_24m!AT$35)),Detalle_24m!AT$35,INDEX(Vol_V,22,AT$170)/12)*(1+V_dVol),0))</f>
        <v>0</v>
      </c>
      <c r="AU198" s="48" t="n">
        <f aca="false">IF(AU$8=1,N(Reales!AU33),IF(AU$171=1,IF(AND(AND(42&gt;Corte,42&lt;=Corte+n_Ventana),ISNUMBER(Detalle_24m!AU$35)),Detalle_24m!AU$35,INDEX(Vol_V,22,AU$170)/12)*(1+V_dVol),0))</f>
        <v>0</v>
      </c>
      <c r="AV198" s="48" t="n">
        <f aca="false">IF(AV$8=1,N(Reales!AV33),IF(AV$171=1,IF(AND(AND(43&gt;Corte,43&lt;=Corte+n_Ventana),ISNUMBER(Detalle_24m!AV$35)),Detalle_24m!AV$35,INDEX(Vol_V,22,AV$170)/12)*(1+V_dVol),0))</f>
        <v>0</v>
      </c>
      <c r="AW198" s="48" t="n">
        <f aca="false">IF(AW$8=1,N(Reales!AW33),IF(AW$171=1,IF(AND(AND(44&gt;Corte,44&lt;=Corte+n_Ventana),ISNUMBER(Detalle_24m!AW$35)),Detalle_24m!AW$35,INDEX(Vol_V,22,AW$170)/12)*(1+V_dVol),0))</f>
        <v>0</v>
      </c>
      <c r="AX198" s="48" t="n">
        <f aca="false">IF(AX$8=1,N(Reales!AX33),IF(AX$171=1,IF(AND(AND(45&gt;Corte,45&lt;=Corte+n_Ventana),ISNUMBER(Detalle_24m!AX$35)),Detalle_24m!AX$35,INDEX(Vol_V,22,AX$170)/12)*(1+V_dVol),0))</f>
        <v>0</v>
      </c>
      <c r="AY198" s="48" t="n">
        <f aca="false">IF(AY$8=1,N(Reales!AY33),IF(AY$171=1,IF(AND(AND(46&gt;Corte,46&lt;=Corte+n_Ventana),ISNUMBER(Detalle_24m!AY$35)),Detalle_24m!AY$35,INDEX(Vol_V,22,AY$170)/12)*(1+V_dVol),0))</f>
        <v>0</v>
      </c>
      <c r="AZ198" s="48" t="n">
        <f aca="false">IF(AZ$8=1,N(Reales!AZ33),IF(AZ$171=1,IF(AND(AND(47&gt;Corte,47&lt;=Corte+n_Ventana),ISNUMBER(Detalle_24m!AZ$35)),Detalle_24m!AZ$35,INDEX(Vol_V,22,AZ$170)/12)*(1+V_dVol),0))</f>
        <v>0</v>
      </c>
      <c r="BA198" s="48" t="n">
        <f aca="false">IF(BA$8=1,N(Reales!BA33),IF(BA$171=1,IF(AND(AND(48&gt;Corte,48&lt;=Corte+n_Ventana),ISNUMBER(Detalle_24m!BA$35)),Detalle_24m!BA$35,INDEX(Vol_V,22,BA$170)/12)*(1+V_dVol),0))</f>
        <v>0</v>
      </c>
      <c r="BB198" s="48" t="n">
        <f aca="false">IF(BB$8=1,N(Reales!BB33),IF(BB$171=1,IF(AND(AND(49&gt;Corte,49&lt;=Corte+n_Ventana),ISNUMBER(Detalle_24m!BB$35)),Detalle_24m!BB$35,INDEX(Vol_V,22,BB$170)/12)*(1+V_dVol),0))</f>
        <v>0</v>
      </c>
      <c r="BC198" s="48" t="n">
        <f aca="false">IF(BC$8=1,N(Reales!BC33),IF(BC$171=1,IF(AND(AND(50&gt;Corte,50&lt;=Corte+n_Ventana),ISNUMBER(Detalle_24m!BC$35)),Detalle_24m!BC$35,INDEX(Vol_V,22,BC$170)/12)*(1+V_dVol),0))</f>
        <v>0</v>
      </c>
      <c r="BD198" s="48" t="n">
        <f aca="false">IF(BD$8=1,N(Reales!BD33),IF(BD$171=1,IF(AND(AND(51&gt;Corte,51&lt;=Corte+n_Ventana),ISNUMBER(Detalle_24m!BD$35)),Detalle_24m!BD$35,INDEX(Vol_V,22,BD$170)/12)*(1+V_dVol),0))</f>
        <v>0</v>
      </c>
      <c r="BE198" s="48" t="n">
        <f aca="false">IF(BE$8=1,N(Reales!BE33),IF(BE$171=1,IF(AND(AND(52&gt;Corte,52&lt;=Corte+n_Ventana),ISNUMBER(Detalle_24m!BE$35)),Detalle_24m!BE$35,INDEX(Vol_V,22,BE$170)/12)*(1+V_dVol),0))</f>
        <v>0</v>
      </c>
      <c r="BF198" s="48" t="n">
        <f aca="false">IF(BF$8=1,N(Reales!BF33),IF(BF$171=1,IF(AND(AND(53&gt;Corte,53&lt;=Corte+n_Ventana),ISNUMBER(Detalle_24m!BF$35)),Detalle_24m!BF$35,INDEX(Vol_V,22,BF$170)/12)*(1+V_dVol),0))</f>
        <v>0</v>
      </c>
      <c r="BG198" s="48" t="n">
        <f aca="false">IF(BG$8=1,N(Reales!BG33),IF(BG$171=1,IF(AND(AND(54&gt;Corte,54&lt;=Corte+n_Ventana),ISNUMBER(Detalle_24m!BG$35)),Detalle_24m!BG$35,INDEX(Vol_V,22,BG$170)/12)*(1+V_dVol),0))</f>
        <v>0</v>
      </c>
      <c r="BH198" s="48" t="n">
        <f aca="false">IF(BH$8=1,N(Reales!BH33),IF(BH$171=1,IF(AND(AND(55&gt;Corte,55&lt;=Corte+n_Ventana),ISNUMBER(Detalle_24m!BH$35)),Detalle_24m!BH$35,INDEX(Vol_V,22,BH$170)/12)*(1+V_dVol),0))</f>
        <v>0</v>
      </c>
      <c r="BI198" s="48" t="n">
        <f aca="false">IF(BI$8=1,N(Reales!BI33),IF(BI$171=1,IF(AND(AND(56&gt;Corte,56&lt;=Corte+n_Ventana),ISNUMBER(Detalle_24m!BI$35)),Detalle_24m!BI$35,INDEX(Vol_V,22,BI$170)/12)*(1+V_dVol),0))</f>
        <v>0</v>
      </c>
      <c r="BJ198" s="48" t="n">
        <f aca="false">IF(BJ$8=1,N(Reales!BJ33),IF(BJ$171=1,IF(AND(AND(57&gt;Corte,57&lt;=Corte+n_Ventana),ISNUMBER(Detalle_24m!BJ$35)),Detalle_24m!BJ$35,INDEX(Vol_V,22,BJ$170)/12)*(1+V_dVol),0))</f>
        <v>0</v>
      </c>
      <c r="BK198" s="48" t="n">
        <f aca="false">IF(BK$8=1,N(Reales!BK33),IF(BK$171=1,IF(AND(AND(58&gt;Corte,58&lt;=Corte+n_Ventana),ISNUMBER(Detalle_24m!BK$35)),Detalle_24m!BK$35,INDEX(Vol_V,22,BK$170)/12)*(1+V_dVol),0))</f>
        <v>0</v>
      </c>
      <c r="BL198" s="48" t="n">
        <f aca="false">IF(BL$8=1,N(Reales!BL33),IF(BL$171=1,IF(AND(AND(59&gt;Corte,59&lt;=Corte+n_Ventana),ISNUMBER(Detalle_24m!BL$35)),Detalle_24m!BL$35,INDEX(Vol_V,22,BL$170)/12)*(1+V_dVol),0))</f>
        <v>0</v>
      </c>
      <c r="BM198" s="48" t="n">
        <f aca="false">IF(BM$8=1,N(Reales!BM33),IF(BM$171=1,IF(AND(AND(60&gt;Corte,60&lt;=Corte+n_Ventana),ISNUMBER(Detalle_24m!BM$35)),Detalle_24m!BM$35,INDEX(Vol_V,22,BM$170)/12)*(1+V_dVol),0))</f>
        <v>0</v>
      </c>
      <c r="BN198" s="48" t="n">
        <f aca="false">IF(BN$8=1,N(Reales!BN33),IF(BN$171=1,IF(AND(AND(61&gt;Corte,61&lt;=Corte+n_Ventana),ISNUMBER(Detalle_24m!BN$35)),Detalle_24m!BN$35,INDEX(Vol_V,22,BN$170)/12)*(1+V_dVol),0))</f>
        <v>0</v>
      </c>
      <c r="BO198" s="48" t="n">
        <f aca="false">IF(BO$8=1,N(Reales!BO33),IF(BO$171=1,IF(AND(AND(62&gt;Corte,62&lt;=Corte+n_Ventana),ISNUMBER(Detalle_24m!BO$35)),Detalle_24m!BO$35,INDEX(Vol_V,22,BO$170)/12)*(1+V_dVol),0))</f>
        <v>0</v>
      </c>
      <c r="BP198" s="48" t="n">
        <f aca="false">IF(BP$8=1,N(Reales!BP33),IF(BP$171=1,IF(AND(AND(63&gt;Corte,63&lt;=Corte+n_Ventana),ISNUMBER(Detalle_24m!BP$35)),Detalle_24m!BP$35,INDEX(Vol_V,22,BP$170)/12)*(1+V_dVol),0))</f>
        <v>0</v>
      </c>
      <c r="BQ198" s="48" t="n">
        <f aca="false">IF(BQ$8=1,N(Reales!BQ33),IF(BQ$171=1,IF(AND(AND(64&gt;Corte,64&lt;=Corte+n_Ventana),ISNUMBER(Detalle_24m!BQ$35)),Detalle_24m!BQ$35,INDEX(Vol_V,22,BQ$170)/12)*(1+V_dVol),0))</f>
        <v>0</v>
      </c>
      <c r="BR198" s="48" t="n">
        <f aca="false">IF(BR$8=1,N(Reales!BR33),IF(BR$171=1,IF(AND(AND(65&gt;Corte,65&lt;=Corte+n_Ventana),ISNUMBER(Detalle_24m!BR$35)),Detalle_24m!BR$35,INDEX(Vol_V,22,BR$170)/12)*(1+V_dVol),0))</f>
        <v>0</v>
      </c>
      <c r="BS198" s="48" t="n">
        <f aca="false">IF(BS$8=1,N(Reales!BS33),IF(BS$171=1,IF(AND(AND(66&gt;Corte,66&lt;=Corte+n_Ventana),ISNUMBER(Detalle_24m!BS$35)),Detalle_24m!BS$35,INDEX(Vol_V,22,BS$170)/12)*(1+V_dVol),0))</f>
        <v>0</v>
      </c>
      <c r="BT198" s="48" t="n">
        <f aca="false">IF(BT$8=1,N(Reales!BT33),IF(BT$171=1,IF(AND(AND(67&gt;Corte,67&lt;=Corte+n_Ventana),ISNUMBER(Detalle_24m!BT$35)),Detalle_24m!BT$35,INDEX(Vol_V,22,BT$170)/12)*(1+V_dVol),0))</f>
        <v>0</v>
      </c>
      <c r="BU198" s="48" t="n">
        <f aca="false">IF(BU$8=1,N(Reales!BU33),IF(BU$171=1,IF(AND(AND(68&gt;Corte,68&lt;=Corte+n_Ventana),ISNUMBER(Detalle_24m!BU$35)),Detalle_24m!BU$35,INDEX(Vol_V,22,BU$170)/12)*(1+V_dVol),0))</f>
        <v>0</v>
      </c>
      <c r="BV198" s="48" t="n">
        <f aca="false">IF(BV$8=1,N(Reales!BV33),IF(BV$171=1,IF(AND(AND(69&gt;Corte,69&lt;=Corte+n_Ventana),ISNUMBER(Detalle_24m!BV$35)),Detalle_24m!BV$35,INDEX(Vol_V,22,BV$170)/12)*(1+V_dVol),0))</f>
        <v>0</v>
      </c>
      <c r="BW198" s="48" t="n">
        <f aca="false">IF(BW$8=1,N(Reales!BW33),IF(BW$171=1,IF(AND(AND(70&gt;Corte,70&lt;=Corte+n_Ventana),ISNUMBER(Detalle_24m!BW$35)),Detalle_24m!BW$35,INDEX(Vol_V,22,BW$170)/12)*(1+V_dVol),0))</f>
        <v>0</v>
      </c>
      <c r="BX198" s="48" t="n">
        <f aca="false">IF(BX$8=1,N(Reales!BX33),IF(BX$171=1,IF(AND(AND(71&gt;Corte,71&lt;=Corte+n_Ventana),ISNUMBER(Detalle_24m!BX$35)),Detalle_24m!BX$35,INDEX(Vol_V,22,BX$170)/12)*(1+V_dVol),0))</f>
        <v>0</v>
      </c>
      <c r="BY198" s="48" t="n">
        <f aca="false">IF(BY$8=1,N(Reales!BY33),IF(BY$171=1,IF(AND(AND(72&gt;Corte,72&lt;=Corte+n_Ventana),ISNUMBER(Detalle_24m!BY$35)),Detalle_24m!BY$35,INDEX(Vol_V,22,BY$170)/12)*(1+V_dVol),0))</f>
        <v>0</v>
      </c>
      <c r="BZ198" s="48" t="n">
        <f aca="false">IF(BZ$8=1,N(Reales!BZ33),IF(BZ$171=1,IF(AND(AND(73&gt;Corte,73&lt;=Corte+n_Ventana),ISNUMBER(Detalle_24m!BZ$35)),Detalle_24m!BZ$35,INDEX(Vol_V,22,BZ$170)/12)*(1+V_dVol),0))</f>
        <v>0</v>
      </c>
      <c r="CA198" s="48" t="n">
        <f aca="false">IF(CA$8=1,N(Reales!CA33),IF(CA$171=1,IF(AND(AND(74&gt;Corte,74&lt;=Corte+n_Ventana),ISNUMBER(Detalle_24m!CA$35)),Detalle_24m!CA$35,INDEX(Vol_V,22,CA$170)/12)*(1+V_dVol),0))</f>
        <v>0</v>
      </c>
      <c r="CB198" s="48" t="n">
        <f aca="false">IF(CB$8=1,N(Reales!CB33),IF(CB$171=1,IF(AND(AND(75&gt;Corte,75&lt;=Corte+n_Ventana),ISNUMBER(Detalle_24m!CB$35)),Detalle_24m!CB$35,INDEX(Vol_V,22,CB$170)/12)*(1+V_dVol),0))</f>
        <v>0</v>
      </c>
      <c r="CC198" s="48" t="n">
        <f aca="false">IF(CC$8=1,N(Reales!CC33),IF(CC$171=1,IF(AND(AND(76&gt;Corte,76&lt;=Corte+n_Ventana),ISNUMBER(Detalle_24m!CC$35)),Detalle_24m!CC$35,INDEX(Vol_V,22,CC$170)/12)*(1+V_dVol),0))</f>
        <v>0</v>
      </c>
      <c r="CD198" s="48" t="n">
        <f aca="false">IF(CD$8=1,N(Reales!CD33),IF(CD$171=1,IF(AND(AND(77&gt;Corte,77&lt;=Corte+n_Ventana),ISNUMBER(Detalle_24m!CD$35)),Detalle_24m!CD$35,INDEX(Vol_V,22,CD$170)/12)*(1+V_dVol),0))</f>
        <v>0</v>
      </c>
      <c r="CE198" s="48" t="n">
        <f aca="false">IF(CE$8=1,N(Reales!CE33),IF(CE$171=1,IF(AND(AND(78&gt;Corte,78&lt;=Corte+n_Ventana),ISNUMBER(Detalle_24m!CE$35)),Detalle_24m!CE$35,INDEX(Vol_V,22,CE$170)/12)*(1+V_dVol),0))</f>
        <v>0</v>
      </c>
      <c r="CF198" s="48" t="n">
        <f aca="false">IF(CF$8=1,N(Reales!CF33),IF(CF$171=1,IF(AND(AND(79&gt;Corte,79&lt;=Corte+n_Ventana),ISNUMBER(Detalle_24m!CF$35)),Detalle_24m!CF$35,INDEX(Vol_V,22,CF$170)/12)*(1+V_dVol),0))</f>
        <v>0</v>
      </c>
      <c r="CG198" s="48" t="n">
        <f aca="false">IF(CG$8=1,N(Reales!CG33),IF(CG$171=1,IF(AND(AND(80&gt;Corte,80&lt;=Corte+n_Ventana),ISNUMBER(Detalle_24m!CG$35)),Detalle_24m!CG$35,INDEX(Vol_V,22,CG$170)/12)*(1+V_dVol),0))</f>
        <v>0</v>
      </c>
      <c r="CH198" s="48" t="n">
        <f aca="false">IF(CH$8=1,N(Reales!CH33),IF(CH$171=1,IF(AND(AND(81&gt;Corte,81&lt;=Corte+n_Ventana),ISNUMBER(Detalle_24m!CH$35)),Detalle_24m!CH$35,INDEX(Vol_V,22,CH$170)/12)*(1+V_dVol),0))</f>
        <v>0</v>
      </c>
      <c r="CI198" s="48" t="n">
        <f aca="false">IF(CI$8=1,N(Reales!CI33),IF(CI$171=1,IF(AND(AND(82&gt;Corte,82&lt;=Corte+n_Ventana),ISNUMBER(Detalle_24m!CI$35)),Detalle_24m!CI$35,INDEX(Vol_V,22,CI$170)/12)*(1+V_dVol),0))</f>
        <v>0</v>
      </c>
      <c r="CJ198" s="48" t="n">
        <f aca="false">IF(CJ$8=1,N(Reales!CJ33),IF(CJ$171=1,IF(AND(AND(83&gt;Corte,83&lt;=Corte+n_Ventana),ISNUMBER(Detalle_24m!CJ$35)),Detalle_24m!CJ$35,INDEX(Vol_V,22,CJ$170)/12)*(1+V_dVol),0))</f>
        <v>0</v>
      </c>
      <c r="CK198" s="48" t="n">
        <f aca="false">IF(CK$8=1,N(Reales!CK33),IF(CK$171=1,IF(AND(AND(84&gt;Corte,84&lt;=Corte+n_Ventana),ISNUMBER(Detalle_24m!CK$35)),Detalle_24m!CK$35,INDEX(Vol_V,22,CK$170)/12)*(1+V_dVol),0))</f>
        <v>0</v>
      </c>
      <c r="CL198" s="48" t="n">
        <f aca="false">IF(CL$8=1,N(Reales!CL33),IF(CL$171=1,IF(AND(AND(85&gt;Corte,85&lt;=Corte+n_Ventana),ISNUMBER(Detalle_24m!CL$35)),Detalle_24m!CL$35,INDEX(Vol_V,22,CL$170)/12)*(1+V_dVol),0))</f>
        <v>0</v>
      </c>
      <c r="CM198" s="48" t="n">
        <f aca="false">IF(CM$8=1,N(Reales!CM33),IF(CM$171=1,IF(AND(AND(86&gt;Corte,86&lt;=Corte+n_Ventana),ISNUMBER(Detalle_24m!CM$35)),Detalle_24m!CM$35,INDEX(Vol_V,22,CM$170)/12)*(1+V_dVol),0))</f>
        <v>0</v>
      </c>
      <c r="CN198" s="48" t="n">
        <f aca="false">IF(CN$8=1,N(Reales!CN33),IF(CN$171=1,IF(AND(AND(87&gt;Corte,87&lt;=Corte+n_Ventana),ISNUMBER(Detalle_24m!CN$35)),Detalle_24m!CN$35,INDEX(Vol_V,22,CN$170)/12)*(1+V_dVol),0))</f>
        <v>0</v>
      </c>
      <c r="CO198" s="48" t="n">
        <f aca="false">IF(CO$8=1,N(Reales!CO33),IF(CO$171=1,IF(AND(AND(88&gt;Corte,88&lt;=Corte+n_Ventana),ISNUMBER(Detalle_24m!CO$35)),Detalle_24m!CO$35,INDEX(Vol_V,22,CO$170)/12)*(1+V_dVol),0))</f>
        <v>0</v>
      </c>
      <c r="CP198" s="48" t="n">
        <f aca="false">IF(CP$8=1,N(Reales!CP33),IF(CP$171=1,IF(AND(AND(89&gt;Corte,89&lt;=Corte+n_Ventana),ISNUMBER(Detalle_24m!CP$35)),Detalle_24m!CP$35,INDEX(Vol_V,22,CP$170)/12)*(1+V_dVol),0))</f>
        <v>0</v>
      </c>
      <c r="CQ198" s="48" t="n">
        <f aca="false">IF(CQ$8=1,N(Reales!CQ33),IF(CQ$171=1,IF(AND(AND(90&gt;Corte,90&lt;=Corte+n_Ventana),ISNUMBER(Detalle_24m!CQ$35)),Detalle_24m!CQ$35,INDEX(Vol_V,22,CQ$170)/12)*(1+V_dVol),0))</f>
        <v>0</v>
      </c>
      <c r="CR198" s="48" t="n">
        <f aca="false">IF(CR$8=1,N(Reales!CR33),IF(CR$171=1,IF(AND(AND(91&gt;Corte,91&lt;=Corte+n_Ventana),ISNUMBER(Detalle_24m!CR$35)),Detalle_24m!CR$35,INDEX(Vol_V,22,CR$170)/12)*(1+V_dVol),0))</f>
        <v>0</v>
      </c>
      <c r="CS198" s="48" t="n">
        <f aca="false">IF(CS$8=1,N(Reales!CS33),IF(CS$171=1,IF(AND(AND(92&gt;Corte,92&lt;=Corte+n_Ventana),ISNUMBER(Detalle_24m!CS$35)),Detalle_24m!CS$35,INDEX(Vol_V,22,CS$170)/12)*(1+V_dVol),0))</f>
        <v>0</v>
      </c>
      <c r="CT198" s="48" t="n">
        <f aca="false">IF(CT$8=1,N(Reales!CT33),IF(CT$171=1,IF(AND(AND(93&gt;Corte,93&lt;=Corte+n_Ventana),ISNUMBER(Detalle_24m!CT$35)),Detalle_24m!CT$35,INDEX(Vol_V,22,CT$170)/12)*(1+V_dVol),0))</f>
        <v>0</v>
      </c>
      <c r="CU198" s="48" t="n">
        <f aca="false">IF(CU$8=1,N(Reales!CU33),IF(CU$171=1,IF(AND(AND(94&gt;Corte,94&lt;=Corte+n_Ventana),ISNUMBER(Detalle_24m!CU$35)),Detalle_24m!CU$35,INDEX(Vol_V,22,CU$170)/12)*(1+V_dVol),0))</f>
        <v>0</v>
      </c>
      <c r="CV198" s="48" t="n">
        <f aca="false">IF(CV$8=1,N(Reales!CV33),IF(CV$171=1,IF(AND(AND(95&gt;Corte,95&lt;=Corte+n_Ventana),ISNUMBER(Detalle_24m!CV$35)),Detalle_24m!CV$35,INDEX(Vol_V,22,CV$170)/12)*(1+V_dVol),0))</f>
        <v>0</v>
      </c>
      <c r="CW198" s="48" t="n">
        <f aca="false">IF(CW$8=1,N(Reales!CW33),IF(CW$171=1,IF(AND(AND(96&gt;Corte,96&lt;=Corte+n_Ventana),ISNUMBER(Detalle_24m!CW$35)),Detalle_24m!CW$35,INDEX(Vol_V,22,CW$170)/12)*(1+V_dVol),0))</f>
        <v>0</v>
      </c>
      <c r="CX198" s="48" t="n">
        <f aca="false">IF(CX$8=1,N(Reales!CX33),IF(CX$171=1,IF(AND(AND(97&gt;Corte,97&lt;=Corte+n_Ventana),ISNUMBER(Detalle_24m!CX$35)),Detalle_24m!CX$35,INDEX(Vol_V,22,CX$170)/12)*(1+V_dVol),0))</f>
        <v>0</v>
      </c>
      <c r="CY198" s="48" t="n">
        <f aca="false">IF(CY$8=1,N(Reales!CY33),IF(CY$171=1,IF(AND(AND(98&gt;Corte,98&lt;=Corte+n_Ventana),ISNUMBER(Detalle_24m!CY$35)),Detalle_24m!CY$35,INDEX(Vol_V,22,CY$170)/12)*(1+V_dVol),0))</f>
        <v>0</v>
      </c>
      <c r="CZ198" s="48" t="n">
        <f aca="false">IF(CZ$8=1,N(Reales!CZ33),IF(CZ$171=1,IF(AND(AND(99&gt;Corte,99&lt;=Corte+n_Ventana),ISNUMBER(Detalle_24m!CZ$35)),Detalle_24m!CZ$35,INDEX(Vol_V,22,CZ$170)/12)*(1+V_dVol),0))</f>
        <v>0</v>
      </c>
      <c r="DA198" s="48" t="n">
        <f aca="false">IF(DA$8=1,N(Reales!DA33),IF(DA$171=1,IF(AND(AND(100&gt;Corte,100&lt;=Corte+n_Ventana),ISNUMBER(Detalle_24m!DA$35)),Detalle_24m!DA$35,INDEX(Vol_V,22,DA$170)/12)*(1+V_dVol),0))</f>
        <v>0</v>
      </c>
      <c r="DB198" s="48" t="n">
        <f aca="false">IF(DB$8=1,N(Reales!DB33),IF(DB$171=1,IF(AND(AND(101&gt;Corte,101&lt;=Corte+n_Ventana),ISNUMBER(Detalle_24m!DB$35)),Detalle_24m!DB$35,INDEX(Vol_V,22,DB$170)/12)*(1+V_dVol),0))</f>
        <v>0</v>
      </c>
      <c r="DC198" s="48" t="n">
        <f aca="false">IF(DC$8=1,N(Reales!DC33),IF(DC$171=1,IF(AND(AND(102&gt;Corte,102&lt;=Corte+n_Ventana),ISNUMBER(Detalle_24m!DC$35)),Detalle_24m!DC$35,INDEX(Vol_V,22,DC$170)/12)*(1+V_dVol),0))</f>
        <v>0</v>
      </c>
      <c r="DD198" s="48" t="n">
        <f aca="false">IF(DD$8=1,N(Reales!DD33),IF(DD$171=1,IF(AND(AND(103&gt;Corte,103&lt;=Corte+n_Ventana),ISNUMBER(Detalle_24m!DD$35)),Detalle_24m!DD$35,INDEX(Vol_V,22,DD$170)/12)*(1+V_dVol),0))</f>
        <v>0</v>
      </c>
      <c r="DE198" s="48" t="n">
        <f aca="false">IF(DE$8=1,N(Reales!DE33),IF(DE$171=1,IF(AND(AND(104&gt;Corte,104&lt;=Corte+n_Ventana),ISNUMBER(Detalle_24m!DE$35)),Detalle_24m!DE$35,INDEX(Vol_V,22,DE$170)/12)*(1+V_dVol),0))</f>
        <v>0</v>
      </c>
      <c r="DF198" s="48" t="n">
        <f aca="false">IF(DF$8=1,N(Reales!DF33),IF(DF$171=1,IF(AND(AND(105&gt;Corte,105&lt;=Corte+n_Ventana),ISNUMBER(Detalle_24m!DF$35)),Detalle_24m!DF$35,INDEX(Vol_V,22,DF$170)/12)*(1+V_dVol),0))</f>
        <v>0</v>
      </c>
      <c r="DG198" s="48" t="n">
        <f aca="false">IF(DG$8=1,N(Reales!DG33),IF(DG$171=1,IF(AND(AND(106&gt;Corte,106&lt;=Corte+n_Ventana),ISNUMBER(Detalle_24m!DG$35)),Detalle_24m!DG$35,INDEX(Vol_V,22,DG$170)/12)*(1+V_dVol),0))</f>
        <v>0</v>
      </c>
      <c r="DH198" s="48" t="n">
        <f aca="false">IF(DH$8=1,N(Reales!DH33),IF(DH$171=1,IF(AND(AND(107&gt;Corte,107&lt;=Corte+n_Ventana),ISNUMBER(Detalle_24m!DH$35)),Detalle_24m!DH$35,INDEX(Vol_V,22,DH$170)/12)*(1+V_dVol),0))</f>
        <v>0</v>
      </c>
      <c r="DI198" s="48" t="n">
        <f aca="false">IF(DI$8=1,N(Reales!DI33),IF(DI$171=1,IF(AND(AND(108&gt;Corte,108&lt;=Corte+n_Ventana),ISNUMBER(Detalle_24m!DI$35)),Detalle_24m!DI$35,INDEX(Vol_V,22,DI$170)/12)*(1+V_dVol),0))</f>
        <v>0</v>
      </c>
      <c r="DJ198" s="48" t="n">
        <f aca="false">IF(DJ$8=1,N(Reales!DJ33),IF(DJ$171=1,IF(AND(AND(109&gt;Corte,109&lt;=Corte+n_Ventana),ISNUMBER(Detalle_24m!DJ$35)),Detalle_24m!DJ$35,INDEX(Vol_V,22,DJ$170)/12)*(1+V_dVol),0))</f>
        <v>0</v>
      </c>
      <c r="DK198" s="48" t="n">
        <f aca="false">IF(DK$8=1,N(Reales!DK33),IF(DK$171=1,IF(AND(AND(110&gt;Corte,110&lt;=Corte+n_Ventana),ISNUMBER(Detalle_24m!DK$35)),Detalle_24m!DK$35,INDEX(Vol_V,22,DK$170)/12)*(1+V_dVol),0))</f>
        <v>0</v>
      </c>
      <c r="DL198" s="48" t="n">
        <f aca="false">IF(DL$8=1,N(Reales!DL33),IF(DL$171=1,IF(AND(AND(111&gt;Corte,111&lt;=Corte+n_Ventana),ISNUMBER(Detalle_24m!DL$35)),Detalle_24m!DL$35,INDEX(Vol_V,22,DL$170)/12)*(1+V_dVol),0))</f>
        <v>0</v>
      </c>
      <c r="DM198" s="48" t="n">
        <f aca="false">IF(DM$8=1,N(Reales!DM33),IF(DM$171=1,IF(AND(AND(112&gt;Corte,112&lt;=Corte+n_Ventana),ISNUMBER(Detalle_24m!DM$35)),Detalle_24m!DM$35,INDEX(Vol_V,22,DM$170)/12)*(1+V_dVol),0))</f>
        <v>0</v>
      </c>
      <c r="DN198" s="48" t="n">
        <f aca="false">IF(DN$8=1,N(Reales!DN33),IF(DN$171=1,IF(AND(AND(113&gt;Corte,113&lt;=Corte+n_Ventana),ISNUMBER(Detalle_24m!DN$35)),Detalle_24m!DN$35,INDEX(Vol_V,22,DN$170)/12)*(1+V_dVol),0))</f>
        <v>0</v>
      </c>
      <c r="DO198" s="48" t="n">
        <f aca="false">IF(DO$8=1,N(Reales!DO33),IF(DO$171=1,IF(AND(AND(114&gt;Corte,114&lt;=Corte+n_Ventana),ISNUMBER(Detalle_24m!DO$35)),Detalle_24m!DO$35,INDEX(Vol_V,22,DO$170)/12)*(1+V_dVol),0))</f>
        <v>0</v>
      </c>
      <c r="DP198" s="48" t="n">
        <f aca="false">IF(DP$8=1,N(Reales!DP33),IF(DP$171=1,IF(AND(AND(115&gt;Corte,115&lt;=Corte+n_Ventana),ISNUMBER(Detalle_24m!DP$35)),Detalle_24m!DP$35,INDEX(Vol_V,22,DP$170)/12)*(1+V_dVol),0))</f>
        <v>0</v>
      </c>
      <c r="DQ198" s="48" t="n">
        <f aca="false">IF(DQ$8=1,N(Reales!DQ33),IF(DQ$171=1,IF(AND(AND(116&gt;Corte,116&lt;=Corte+n_Ventana),ISNUMBER(Detalle_24m!DQ$35)),Detalle_24m!DQ$35,INDEX(Vol_V,22,DQ$170)/12)*(1+V_dVol),0))</f>
        <v>0</v>
      </c>
      <c r="DR198" s="48" t="n">
        <f aca="false">IF(DR$8=1,N(Reales!DR33),IF(DR$171=1,IF(AND(AND(117&gt;Corte,117&lt;=Corte+n_Ventana),ISNUMBER(Detalle_24m!DR$35)),Detalle_24m!DR$35,INDEX(Vol_V,22,DR$170)/12)*(1+V_dVol),0))</f>
        <v>0</v>
      </c>
      <c r="DS198" s="48" t="n">
        <f aca="false">IF(DS$8=1,N(Reales!DS33),IF(DS$171=1,IF(AND(AND(118&gt;Corte,118&lt;=Corte+n_Ventana),ISNUMBER(Detalle_24m!DS$35)),Detalle_24m!DS$35,INDEX(Vol_V,22,DS$170)/12)*(1+V_dVol),0))</f>
        <v>0</v>
      </c>
      <c r="DT198" s="48" t="n">
        <f aca="false">IF(DT$8=1,N(Reales!DT33),IF(DT$171=1,IF(AND(AND(119&gt;Corte,119&lt;=Corte+n_Ventana),ISNUMBER(Detalle_24m!DT$35)),Detalle_24m!DT$35,INDEX(Vol_V,22,DT$170)/12)*(1+V_dVol),0))</f>
        <v>0</v>
      </c>
      <c r="DU198" s="48" t="n">
        <f aca="false">IF(DU$8=1,N(Reales!DU33),IF(DU$171=1,IF(AND(AND(120&gt;Corte,120&lt;=Corte+n_Ventana),ISNUMBER(Detalle_24m!DU$35)),Detalle_24m!DU$35,INDEX(Vol_V,22,DU$170)/12)*(1+V_dVol),0))</f>
        <v>0</v>
      </c>
      <c r="DV198" s="48" t="n">
        <f aca="false">IF(DV$8=1,N(Reales!DV33),IF(DV$171=1,IF(AND(AND(121&gt;Corte,121&lt;=Corte+n_Ventana),ISNUMBER(Detalle_24m!DV$35)),Detalle_24m!DV$35,INDEX(Vol_V,22,DV$170)/12)*(1+V_dVol),0))</f>
        <v>0</v>
      </c>
      <c r="DW198" s="48" t="n">
        <f aca="false">IF(DW$8=1,N(Reales!DW33),IF(DW$171=1,IF(AND(AND(122&gt;Corte,122&lt;=Corte+n_Ventana),ISNUMBER(Detalle_24m!DW$35)),Detalle_24m!DW$35,INDEX(Vol_V,22,DW$170)/12)*(1+V_dVol),0))</f>
        <v>0</v>
      </c>
      <c r="DX198" s="48" t="n">
        <f aca="false">IF(DX$8=1,N(Reales!DX33),IF(DX$171=1,IF(AND(AND(123&gt;Corte,123&lt;=Corte+n_Ventana),ISNUMBER(Detalle_24m!DX$35)),Detalle_24m!DX$35,INDEX(Vol_V,22,DX$170)/12)*(1+V_dVol),0))</f>
        <v>0</v>
      </c>
      <c r="DY198" s="48" t="n">
        <f aca="false">IF(DY$8=1,N(Reales!DY33),IF(DY$171=1,IF(AND(AND(124&gt;Corte,124&lt;=Corte+n_Ventana),ISNUMBER(Detalle_24m!DY$35)),Detalle_24m!DY$35,INDEX(Vol_V,22,DY$170)/12)*(1+V_dVol),0))</f>
        <v>0</v>
      </c>
      <c r="DZ198" s="48" t="n">
        <f aca="false">IF(DZ$8=1,N(Reales!DZ33),IF(DZ$171=1,IF(AND(AND(125&gt;Corte,125&lt;=Corte+n_Ventana),ISNUMBER(Detalle_24m!DZ$35)),Detalle_24m!DZ$35,INDEX(Vol_V,22,DZ$170)/12)*(1+V_dVol),0))</f>
        <v>0</v>
      </c>
      <c r="EA198" s="48" t="n">
        <f aca="false">IF(EA$8=1,N(Reales!EA33),IF(EA$171=1,IF(AND(AND(126&gt;Corte,126&lt;=Corte+n_Ventana),ISNUMBER(Detalle_24m!EA$35)),Detalle_24m!EA$35,INDEX(Vol_V,22,EA$170)/12)*(1+V_dVol),0))</f>
        <v>0</v>
      </c>
      <c r="EB198" s="48" t="n">
        <f aca="false">IF(EB$8=1,N(Reales!EB33),IF(EB$171=1,IF(AND(AND(127&gt;Corte,127&lt;=Corte+n_Ventana),ISNUMBER(Detalle_24m!EB$35)),Detalle_24m!EB$35,INDEX(Vol_V,22,EB$170)/12)*(1+V_dVol),0))</f>
        <v>0</v>
      </c>
      <c r="EC198" s="48" t="n">
        <f aca="false">IF(EC$8=1,N(Reales!EC33),IF(EC$171=1,IF(AND(AND(128&gt;Corte,128&lt;=Corte+n_Ventana),ISNUMBER(Detalle_24m!EC$35)),Detalle_24m!EC$35,INDEX(Vol_V,22,EC$170)/12)*(1+V_dVol),0))</f>
        <v>0</v>
      </c>
      <c r="ED198" s="48" t="n">
        <f aca="false">IF(ED$8=1,N(Reales!ED33),IF(ED$171=1,IF(AND(AND(129&gt;Corte,129&lt;=Corte+n_Ventana),ISNUMBER(Detalle_24m!ED$35)),Detalle_24m!ED$35,INDEX(Vol_V,22,ED$170)/12)*(1+V_dVol),0))</f>
        <v>0</v>
      </c>
      <c r="EE198" s="48" t="n">
        <f aca="false">IF(EE$8=1,N(Reales!EE33),IF(EE$171=1,IF(AND(AND(130&gt;Corte,130&lt;=Corte+n_Ventana),ISNUMBER(Detalle_24m!EE$35)),Detalle_24m!EE$35,INDEX(Vol_V,22,EE$170)/12)*(1+V_dVol),0))</f>
        <v>0</v>
      </c>
      <c r="EF198" s="48" t="n">
        <f aca="false">IF(EF$8=1,N(Reales!EF33),IF(EF$171=1,IF(AND(AND(131&gt;Corte,131&lt;=Corte+n_Ventana),ISNUMBER(Detalle_24m!EF$35)),Detalle_24m!EF$35,INDEX(Vol_V,22,EF$170)/12)*(1+V_dVol),0))</f>
        <v>0</v>
      </c>
      <c r="EG198" s="48" t="n">
        <f aca="false">IF(EG$8=1,N(Reales!EG33),IF(EG$171=1,IF(AND(AND(132&gt;Corte,132&lt;=Corte+n_Ventana),ISNUMBER(Detalle_24m!EG$35)),Detalle_24m!EG$35,INDEX(Vol_V,22,EG$170)/12)*(1+V_dVol),0))</f>
        <v>0</v>
      </c>
      <c r="EH198" s="48" t="n">
        <f aca="false">IF(EH$8=1,N(Reales!EH33),IF(EH$171=1,IF(AND(AND(133&gt;Corte,133&lt;=Corte+n_Ventana),ISNUMBER(Detalle_24m!EH$35)),Detalle_24m!EH$35,INDEX(Vol_V,22,EH$170)/12)*(1+V_dVol),0))</f>
        <v>0</v>
      </c>
      <c r="EI198" s="48" t="n">
        <f aca="false">IF(EI$8=1,N(Reales!EI33),IF(EI$171=1,IF(AND(AND(134&gt;Corte,134&lt;=Corte+n_Ventana),ISNUMBER(Detalle_24m!EI$35)),Detalle_24m!EI$35,INDEX(Vol_V,22,EI$170)/12)*(1+V_dVol),0))</f>
        <v>0</v>
      </c>
      <c r="EJ198" s="48" t="n">
        <f aca="false">IF(EJ$8=1,N(Reales!EJ33),IF(EJ$171=1,IF(AND(AND(135&gt;Corte,135&lt;=Corte+n_Ventana),ISNUMBER(Detalle_24m!EJ$35)),Detalle_24m!EJ$35,INDEX(Vol_V,22,EJ$170)/12)*(1+V_dVol),0))</f>
        <v>0</v>
      </c>
      <c r="EK198" s="48" t="n">
        <f aca="false">IF(EK$8=1,N(Reales!EK33),IF(EK$171=1,IF(AND(AND(136&gt;Corte,136&lt;=Corte+n_Ventana),ISNUMBER(Detalle_24m!EK$35)),Detalle_24m!EK$35,INDEX(Vol_V,22,EK$170)/12)*(1+V_dVol),0))</f>
        <v>0</v>
      </c>
      <c r="EL198" s="48" t="n">
        <f aca="false">IF(EL$8=1,N(Reales!EL33),IF(EL$171=1,IF(AND(AND(137&gt;Corte,137&lt;=Corte+n_Ventana),ISNUMBER(Detalle_24m!EL$35)),Detalle_24m!EL$35,INDEX(Vol_V,22,EL$170)/12)*(1+V_dVol),0))</f>
        <v>0</v>
      </c>
      <c r="EM198" s="48" t="n">
        <f aca="false">IF(EM$8=1,N(Reales!EM33),IF(EM$171=1,IF(AND(AND(138&gt;Corte,138&lt;=Corte+n_Ventana),ISNUMBER(Detalle_24m!EM$35)),Detalle_24m!EM$35,INDEX(Vol_V,22,EM$170)/12)*(1+V_dVol),0))</f>
        <v>0</v>
      </c>
      <c r="EN198" s="48" t="n">
        <f aca="false">IF(EN$8=1,N(Reales!EN33),IF(EN$171=1,IF(AND(AND(139&gt;Corte,139&lt;=Corte+n_Ventana),ISNUMBER(Detalle_24m!EN$35)),Detalle_24m!EN$35,INDEX(Vol_V,22,EN$170)/12)*(1+V_dVol),0))</f>
        <v>0</v>
      </c>
      <c r="EO198" s="48" t="n">
        <f aca="false">IF(EO$8=1,N(Reales!EO33),IF(EO$171=1,IF(AND(AND(140&gt;Corte,140&lt;=Corte+n_Ventana),ISNUMBER(Detalle_24m!EO$35)),Detalle_24m!EO$35,INDEX(Vol_V,22,EO$170)/12)*(1+V_dVol),0))</f>
        <v>0</v>
      </c>
      <c r="EP198" s="48" t="n">
        <f aca="false">IF(EP$8=1,N(Reales!EP33),IF(EP$171=1,IF(AND(AND(141&gt;Corte,141&lt;=Corte+n_Ventana),ISNUMBER(Detalle_24m!EP$35)),Detalle_24m!EP$35,INDEX(Vol_V,22,EP$170)/12)*(1+V_dVol),0))</f>
        <v>0</v>
      </c>
      <c r="EQ198" s="48" t="n">
        <f aca="false">IF(EQ$8=1,N(Reales!EQ33),IF(EQ$171=1,IF(AND(AND(142&gt;Corte,142&lt;=Corte+n_Ventana),ISNUMBER(Detalle_24m!EQ$35)),Detalle_24m!EQ$35,INDEX(Vol_V,22,EQ$170)/12)*(1+V_dVol),0))</f>
        <v>0</v>
      </c>
      <c r="ER198" s="48" t="n">
        <f aca="false">IF(ER$8=1,N(Reales!ER33),IF(ER$171=1,IF(AND(AND(143&gt;Corte,143&lt;=Corte+n_Ventana),ISNUMBER(Detalle_24m!ER$35)),Detalle_24m!ER$35,INDEX(Vol_V,22,ER$170)/12)*(1+V_dVol),0))</f>
        <v>0</v>
      </c>
      <c r="ES198" s="48" t="n">
        <f aca="false">IF(ES$8=1,N(Reales!ES33),IF(ES$171=1,IF(AND(AND(144&gt;Corte,144&lt;=Corte+n_Ventana),ISNUMBER(Detalle_24m!ES$35)),Detalle_24m!ES$35,INDEX(Vol_V,22,ES$170)/12)*(1+V_dVol),0))</f>
        <v>0</v>
      </c>
    </row>
    <row r="199" customFormat="false" ht="15" hidden="false" customHeight="false" outlineLevel="0" collapsed="false">
      <c r="A199" s="11" t="s">
        <v>1322</v>
      </c>
      <c r="B199" s="53" t="str">
        <f aca="false">IF(INDEX(Prod_Nombre,23)="","Producto 23",INDEX(Prod_Nombre,23))&amp;" — unidades"</f>
        <v>Producto 23 — unidades</v>
      </c>
      <c r="C199" s="15" t="s">
        <v>544</v>
      </c>
      <c r="E199" s="54" t="n">
        <f aca="false">SUM(F199:ES199)</f>
        <v>0</v>
      </c>
      <c r="F199" s="48" t="n">
        <f aca="false">IF(F$8=1,N(Reales!F34),IF(F$171=1,IF(AND(AND(1&gt;Corte,1&lt;=Corte+n_Ventana),ISNUMBER(Detalle_24m!F$36)),Detalle_24m!F$36,INDEX(Vol_V,23,F$170)/12)*(1+V_dVol),0))</f>
        <v>0</v>
      </c>
      <c r="G199" s="48" t="n">
        <f aca="false">IF(G$8=1,N(Reales!G34),IF(G$171=1,IF(AND(AND(2&gt;Corte,2&lt;=Corte+n_Ventana),ISNUMBER(Detalle_24m!G$36)),Detalle_24m!G$36,INDEX(Vol_V,23,G$170)/12)*(1+V_dVol),0))</f>
        <v>0</v>
      </c>
      <c r="H199" s="48" t="n">
        <f aca="false">IF(H$8=1,N(Reales!H34),IF(H$171=1,IF(AND(AND(3&gt;Corte,3&lt;=Corte+n_Ventana),ISNUMBER(Detalle_24m!H$36)),Detalle_24m!H$36,INDEX(Vol_V,23,H$170)/12)*(1+V_dVol),0))</f>
        <v>0</v>
      </c>
      <c r="I199" s="48" t="n">
        <f aca="false">IF(I$8=1,N(Reales!I34),IF(I$171=1,IF(AND(AND(4&gt;Corte,4&lt;=Corte+n_Ventana),ISNUMBER(Detalle_24m!I$36)),Detalle_24m!I$36,INDEX(Vol_V,23,I$170)/12)*(1+V_dVol),0))</f>
        <v>0</v>
      </c>
      <c r="J199" s="48" t="n">
        <f aca="false">IF(J$8=1,N(Reales!J34),IF(J$171=1,IF(AND(AND(5&gt;Corte,5&lt;=Corte+n_Ventana),ISNUMBER(Detalle_24m!J$36)),Detalle_24m!J$36,INDEX(Vol_V,23,J$170)/12)*(1+V_dVol),0))</f>
        <v>0</v>
      </c>
      <c r="K199" s="48" t="n">
        <f aca="false">IF(K$8=1,N(Reales!K34),IF(K$171=1,IF(AND(AND(6&gt;Corte,6&lt;=Corte+n_Ventana),ISNUMBER(Detalle_24m!K$36)),Detalle_24m!K$36,INDEX(Vol_V,23,K$170)/12)*(1+V_dVol),0))</f>
        <v>0</v>
      </c>
      <c r="L199" s="48" t="n">
        <f aca="false">IF(L$8=1,N(Reales!L34),IF(L$171=1,IF(AND(AND(7&gt;Corte,7&lt;=Corte+n_Ventana),ISNUMBER(Detalle_24m!L$36)),Detalle_24m!L$36,INDEX(Vol_V,23,L$170)/12)*(1+V_dVol),0))</f>
        <v>0</v>
      </c>
      <c r="M199" s="48" t="n">
        <f aca="false">IF(M$8=1,N(Reales!M34),IF(M$171=1,IF(AND(AND(8&gt;Corte,8&lt;=Corte+n_Ventana),ISNUMBER(Detalle_24m!M$36)),Detalle_24m!M$36,INDEX(Vol_V,23,M$170)/12)*(1+V_dVol),0))</f>
        <v>0</v>
      </c>
      <c r="N199" s="48" t="n">
        <f aca="false">IF(N$8=1,N(Reales!N34),IF(N$171=1,IF(AND(AND(9&gt;Corte,9&lt;=Corte+n_Ventana),ISNUMBER(Detalle_24m!N$36)),Detalle_24m!N$36,INDEX(Vol_V,23,N$170)/12)*(1+V_dVol),0))</f>
        <v>0</v>
      </c>
      <c r="O199" s="48" t="n">
        <f aca="false">IF(O$8=1,N(Reales!O34),IF(O$171=1,IF(AND(AND(10&gt;Corte,10&lt;=Corte+n_Ventana),ISNUMBER(Detalle_24m!O$36)),Detalle_24m!O$36,INDEX(Vol_V,23,O$170)/12)*(1+V_dVol),0))</f>
        <v>0</v>
      </c>
      <c r="P199" s="48" t="n">
        <f aca="false">IF(P$8=1,N(Reales!P34),IF(P$171=1,IF(AND(AND(11&gt;Corte,11&lt;=Corte+n_Ventana),ISNUMBER(Detalle_24m!P$36)),Detalle_24m!P$36,INDEX(Vol_V,23,P$170)/12)*(1+V_dVol),0))</f>
        <v>0</v>
      </c>
      <c r="Q199" s="48" t="n">
        <f aca="false">IF(Q$8=1,N(Reales!Q34),IF(Q$171=1,IF(AND(AND(12&gt;Corte,12&lt;=Corte+n_Ventana),ISNUMBER(Detalle_24m!Q$36)),Detalle_24m!Q$36,INDEX(Vol_V,23,Q$170)/12)*(1+V_dVol),0))</f>
        <v>0</v>
      </c>
      <c r="R199" s="48" t="n">
        <f aca="false">IF(R$8=1,N(Reales!R34),IF(R$171=1,IF(AND(AND(13&gt;Corte,13&lt;=Corte+n_Ventana),ISNUMBER(Detalle_24m!R$36)),Detalle_24m!R$36,INDEX(Vol_V,23,R$170)/12)*(1+V_dVol),0))</f>
        <v>0</v>
      </c>
      <c r="S199" s="48" t="n">
        <f aca="false">IF(S$8=1,N(Reales!S34),IF(S$171=1,IF(AND(AND(14&gt;Corte,14&lt;=Corte+n_Ventana),ISNUMBER(Detalle_24m!S$36)),Detalle_24m!S$36,INDEX(Vol_V,23,S$170)/12)*(1+V_dVol),0))</f>
        <v>0</v>
      </c>
      <c r="T199" s="48" t="n">
        <f aca="false">IF(T$8=1,N(Reales!T34),IF(T$171=1,IF(AND(AND(15&gt;Corte,15&lt;=Corte+n_Ventana),ISNUMBER(Detalle_24m!T$36)),Detalle_24m!T$36,INDEX(Vol_V,23,T$170)/12)*(1+V_dVol),0))</f>
        <v>0</v>
      </c>
      <c r="U199" s="48" t="n">
        <f aca="false">IF(U$8=1,N(Reales!U34),IF(U$171=1,IF(AND(AND(16&gt;Corte,16&lt;=Corte+n_Ventana),ISNUMBER(Detalle_24m!U$36)),Detalle_24m!U$36,INDEX(Vol_V,23,U$170)/12)*(1+V_dVol),0))</f>
        <v>0</v>
      </c>
      <c r="V199" s="48" t="n">
        <f aca="false">IF(V$8=1,N(Reales!V34),IF(V$171=1,IF(AND(AND(17&gt;Corte,17&lt;=Corte+n_Ventana),ISNUMBER(Detalle_24m!V$36)),Detalle_24m!V$36,INDEX(Vol_V,23,V$170)/12)*(1+V_dVol),0))</f>
        <v>0</v>
      </c>
      <c r="W199" s="48" t="n">
        <f aca="false">IF(W$8=1,N(Reales!W34),IF(W$171=1,IF(AND(AND(18&gt;Corte,18&lt;=Corte+n_Ventana),ISNUMBER(Detalle_24m!W$36)),Detalle_24m!W$36,INDEX(Vol_V,23,W$170)/12)*(1+V_dVol),0))</f>
        <v>0</v>
      </c>
      <c r="X199" s="48" t="n">
        <f aca="false">IF(X$8=1,N(Reales!X34),IF(X$171=1,IF(AND(AND(19&gt;Corte,19&lt;=Corte+n_Ventana),ISNUMBER(Detalle_24m!X$36)),Detalle_24m!X$36,INDEX(Vol_V,23,X$170)/12)*(1+V_dVol),0))</f>
        <v>0</v>
      </c>
      <c r="Y199" s="48" t="n">
        <f aca="false">IF(Y$8=1,N(Reales!Y34),IF(Y$171=1,IF(AND(AND(20&gt;Corte,20&lt;=Corte+n_Ventana),ISNUMBER(Detalle_24m!Y$36)),Detalle_24m!Y$36,INDEX(Vol_V,23,Y$170)/12)*(1+V_dVol),0))</f>
        <v>0</v>
      </c>
      <c r="Z199" s="48" t="n">
        <f aca="false">IF(Z$8=1,N(Reales!Z34),IF(Z$171=1,IF(AND(AND(21&gt;Corte,21&lt;=Corte+n_Ventana),ISNUMBER(Detalle_24m!Z$36)),Detalle_24m!Z$36,INDEX(Vol_V,23,Z$170)/12)*(1+V_dVol),0))</f>
        <v>0</v>
      </c>
      <c r="AA199" s="48" t="n">
        <f aca="false">IF(AA$8=1,N(Reales!AA34),IF(AA$171=1,IF(AND(AND(22&gt;Corte,22&lt;=Corte+n_Ventana),ISNUMBER(Detalle_24m!AA$36)),Detalle_24m!AA$36,INDEX(Vol_V,23,AA$170)/12)*(1+V_dVol),0))</f>
        <v>0</v>
      </c>
      <c r="AB199" s="48" t="n">
        <f aca="false">IF(AB$8=1,N(Reales!AB34),IF(AB$171=1,IF(AND(AND(23&gt;Corte,23&lt;=Corte+n_Ventana),ISNUMBER(Detalle_24m!AB$36)),Detalle_24m!AB$36,INDEX(Vol_V,23,AB$170)/12)*(1+V_dVol),0))</f>
        <v>0</v>
      </c>
      <c r="AC199" s="48" t="n">
        <f aca="false">IF(AC$8=1,N(Reales!AC34),IF(AC$171=1,IF(AND(AND(24&gt;Corte,24&lt;=Corte+n_Ventana),ISNUMBER(Detalle_24m!AC$36)),Detalle_24m!AC$36,INDEX(Vol_V,23,AC$170)/12)*(1+V_dVol),0))</f>
        <v>0</v>
      </c>
      <c r="AD199" s="48" t="n">
        <f aca="false">IF(AD$8=1,N(Reales!AD34),IF(AD$171=1,IF(AND(AND(25&gt;Corte,25&lt;=Corte+n_Ventana),ISNUMBER(Detalle_24m!AD$36)),Detalle_24m!AD$36,INDEX(Vol_V,23,AD$170)/12)*(1+V_dVol),0))</f>
        <v>0</v>
      </c>
      <c r="AE199" s="48" t="n">
        <f aca="false">IF(AE$8=1,N(Reales!AE34),IF(AE$171=1,IF(AND(AND(26&gt;Corte,26&lt;=Corte+n_Ventana),ISNUMBER(Detalle_24m!AE$36)),Detalle_24m!AE$36,INDEX(Vol_V,23,AE$170)/12)*(1+V_dVol),0))</f>
        <v>0</v>
      </c>
      <c r="AF199" s="48" t="n">
        <f aca="false">IF(AF$8=1,N(Reales!AF34),IF(AF$171=1,IF(AND(AND(27&gt;Corte,27&lt;=Corte+n_Ventana),ISNUMBER(Detalle_24m!AF$36)),Detalle_24m!AF$36,INDEX(Vol_V,23,AF$170)/12)*(1+V_dVol),0))</f>
        <v>0</v>
      </c>
      <c r="AG199" s="48" t="n">
        <f aca="false">IF(AG$8=1,N(Reales!AG34),IF(AG$171=1,IF(AND(AND(28&gt;Corte,28&lt;=Corte+n_Ventana),ISNUMBER(Detalle_24m!AG$36)),Detalle_24m!AG$36,INDEX(Vol_V,23,AG$170)/12)*(1+V_dVol),0))</f>
        <v>0</v>
      </c>
      <c r="AH199" s="48" t="n">
        <f aca="false">IF(AH$8=1,N(Reales!AH34),IF(AH$171=1,IF(AND(AND(29&gt;Corte,29&lt;=Corte+n_Ventana),ISNUMBER(Detalle_24m!AH$36)),Detalle_24m!AH$36,INDEX(Vol_V,23,AH$170)/12)*(1+V_dVol),0))</f>
        <v>0</v>
      </c>
      <c r="AI199" s="48" t="n">
        <f aca="false">IF(AI$8=1,N(Reales!AI34),IF(AI$171=1,IF(AND(AND(30&gt;Corte,30&lt;=Corte+n_Ventana),ISNUMBER(Detalle_24m!AI$36)),Detalle_24m!AI$36,INDEX(Vol_V,23,AI$170)/12)*(1+V_dVol),0))</f>
        <v>0</v>
      </c>
      <c r="AJ199" s="48" t="n">
        <f aca="false">IF(AJ$8=1,N(Reales!AJ34),IF(AJ$171=1,IF(AND(AND(31&gt;Corte,31&lt;=Corte+n_Ventana),ISNUMBER(Detalle_24m!AJ$36)),Detalle_24m!AJ$36,INDEX(Vol_V,23,AJ$170)/12)*(1+V_dVol),0))</f>
        <v>0</v>
      </c>
      <c r="AK199" s="48" t="n">
        <f aca="false">IF(AK$8=1,N(Reales!AK34),IF(AK$171=1,IF(AND(AND(32&gt;Corte,32&lt;=Corte+n_Ventana),ISNUMBER(Detalle_24m!AK$36)),Detalle_24m!AK$36,INDEX(Vol_V,23,AK$170)/12)*(1+V_dVol),0))</f>
        <v>0</v>
      </c>
      <c r="AL199" s="48" t="n">
        <f aca="false">IF(AL$8=1,N(Reales!AL34),IF(AL$171=1,IF(AND(AND(33&gt;Corte,33&lt;=Corte+n_Ventana),ISNUMBER(Detalle_24m!AL$36)),Detalle_24m!AL$36,INDEX(Vol_V,23,AL$170)/12)*(1+V_dVol),0))</f>
        <v>0</v>
      </c>
      <c r="AM199" s="48" t="n">
        <f aca="false">IF(AM$8=1,N(Reales!AM34),IF(AM$171=1,IF(AND(AND(34&gt;Corte,34&lt;=Corte+n_Ventana),ISNUMBER(Detalle_24m!AM$36)),Detalle_24m!AM$36,INDEX(Vol_V,23,AM$170)/12)*(1+V_dVol),0))</f>
        <v>0</v>
      </c>
      <c r="AN199" s="48" t="n">
        <f aca="false">IF(AN$8=1,N(Reales!AN34),IF(AN$171=1,IF(AND(AND(35&gt;Corte,35&lt;=Corte+n_Ventana),ISNUMBER(Detalle_24m!AN$36)),Detalle_24m!AN$36,INDEX(Vol_V,23,AN$170)/12)*(1+V_dVol),0))</f>
        <v>0</v>
      </c>
      <c r="AO199" s="48" t="n">
        <f aca="false">IF(AO$8=1,N(Reales!AO34),IF(AO$171=1,IF(AND(AND(36&gt;Corte,36&lt;=Corte+n_Ventana),ISNUMBER(Detalle_24m!AO$36)),Detalle_24m!AO$36,INDEX(Vol_V,23,AO$170)/12)*(1+V_dVol),0))</f>
        <v>0</v>
      </c>
      <c r="AP199" s="48" t="n">
        <f aca="false">IF(AP$8=1,N(Reales!AP34),IF(AP$171=1,IF(AND(AND(37&gt;Corte,37&lt;=Corte+n_Ventana),ISNUMBER(Detalle_24m!AP$36)),Detalle_24m!AP$36,INDEX(Vol_V,23,AP$170)/12)*(1+V_dVol),0))</f>
        <v>0</v>
      </c>
      <c r="AQ199" s="48" t="n">
        <f aca="false">IF(AQ$8=1,N(Reales!AQ34),IF(AQ$171=1,IF(AND(AND(38&gt;Corte,38&lt;=Corte+n_Ventana),ISNUMBER(Detalle_24m!AQ$36)),Detalle_24m!AQ$36,INDEX(Vol_V,23,AQ$170)/12)*(1+V_dVol),0))</f>
        <v>0</v>
      </c>
      <c r="AR199" s="48" t="n">
        <f aca="false">IF(AR$8=1,N(Reales!AR34),IF(AR$171=1,IF(AND(AND(39&gt;Corte,39&lt;=Corte+n_Ventana),ISNUMBER(Detalle_24m!AR$36)),Detalle_24m!AR$36,INDEX(Vol_V,23,AR$170)/12)*(1+V_dVol),0))</f>
        <v>0</v>
      </c>
      <c r="AS199" s="48" t="n">
        <f aca="false">IF(AS$8=1,N(Reales!AS34),IF(AS$171=1,IF(AND(AND(40&gt;Corte,40&lt;=Corte+n_Ventana),ISNUMBER(Detalle_24m!AS$36)),Detalle_24m!AS$36,INDEX(Vol_V,23,AS$170)/12)*(1+V_dVol),0))</f>
        <v>0</v>
      </c>
      <c r="AT199" s="48" t="n">
        <f aca="false">IF(AT$8=1,N(Reales!AT34),IF(AT$171=1,IF(AND(AND(41&gt;Corte,41&lt;=Corte+n_Ventana),ISNUMBER(Detalle_24m!AT$36)),Detalle_24m!AT$36,INDEX(Vol_V,23,AT$170)/12)*(1+V_dVol),0))</f>
        <v>0</v>
      </c>
      <c r="AU199" s="48" t="n">
        <f aca="false">IF(AU$8=1,N(Reales!AU34),IF(AU$171=1,IF(AND(AND(42&gt;Corte,42&lt;=Corte+n_Ventana),ISNUMBER(Detalle_24m!AU$36)),Detalle_24m!AU$36,INDEX(Vol_V,23,AU$170)/12)*(1+V_dVol),0))</f>
        <v>0</v>
      </c>
      <c r="AV199" s="48" t="n">
        <f aca="false">IF(AV$8=1,N(Reales!AV34),IF(AV$171=1,IF(AND(AND(43&gt;Corte,43&lt;=Corte+n_Ventana),ISNUMBER(Detalle_24m!AV$36)),Detalle_24m!AV$36,INDEX(Vol_V,23,AV$170)/12)*(1+V_dVol),0))</f>
        <v>0</v>
      </c>
      <c r="AW199" s="48" t="n">
        <f aca="false">IF(AW$8=1,N(Reales!AW34),IF(AW$171=1,IF(AND(AND(44&gt;Corte,44&lt;=Corte+n_Ventana),ISNUMBER(Detalle_24m!AW$36)),Detalle_24m!AW$36,INDEX(Vol_V,23,AW$170)/12)*(1+V_dVol),0))</f>
        <v>0</v>
      </c>
      <c r="AX199" s="48" t="n">
        <f aca="false">IF(AX$8=1,N(Reales!AX34),IF(AX$171=1,IF(AND(AND(45&gt;Corte,45&lt;=Corte+n_Ventana),ISNUMBER(Detalle_24m!AX$36)),Detalle_24m!AX$36,INDEX(Vol_V,23,AX$170)/12)*(1+V_dVol),0))</f>
        <v>0</v>
      </c>
      <c r="AY199" s="48" t="n">
        <f aca="false">IF(AY$8=1,N(Reales!AY34),IF(AY$171=1,IF(AND(AND(46&gt;Corte,46&lt;=Corte+n_Ventana),ISNUMBER(Detalle_24m!AY$36)),Detalle_24m!AY$36,INDEX(Vol_V,23,AY$170)/12)*(1+V_dVol),0))</f>
        <v>0</v>
      </c>
      <c r="AZ199" s="48" t="n">
        <f aca="false">IF(AZ$8=1,N(Reales!AZ34),IF(AZ$171=1,IF(AND(AND(47&gt;Corte,47&lt;=Corte+n_Ventana),ISNUMBER(Detalle_24m!AZ$36)),Detalle_24m!AZ$36,INDEX(Vol_V,23,AZ$170)/12)*(1+V_dVol),0))</f>
        <v>0</v>
      </c>
      <c r="BA199" s="48" t="n">
        <f aca="false">IF(BA$8=1,N(Reales!BA34),IF(BA$171=1,IF(AND(AND(48&gt;Corte,48&lt;=Corte+n_Ventana),ISNUMBER(Detalle_24m!BA$36)),Detalle_24m!BA$36,INDEX(Vol_V,23,BA$170)/12)*(1+V_dVol),0))</f>
        <v>0</v>
      </c>
      <c r="BB199" s="48" t="n">
        <f aca="false">IF(BB$8=1,N(Reales!BB34),IF(BB$171=1,IF(AND(AND(49&gt;Corte,49&lt;=Corte+n_Ventana),ISNUMBER(Detalle_24m!BB$36)),Detalle_24m!BB$36,INDEX(Vol_V,23,BB$170)/12)*(1+V_dVol),0))</f>
        <v>0</v>
      </c>
      <c r="BC199" s="48" t="n">
        <f aca="false">IF(BC$8=1,N(Reales!BC34),IF(BC$171=1,IF(AND(AND(50&gt;Corte,50&lt;=Corte+n_Ventana),ISNUMBER(Detalle_24m!BC$36)),Detalle_24m!BC$36,INDEX(Vol_V,23,BC$170)/12)*(1+V_dVol),0))</f>
        <v>0</v>
      </c>
      <c r="BD199" s="48" t="n">
        <f aca="false">IF(BD$8=1,N(Reales!BD34),IF(BD$171=1,IF(AND(AND(51&gt;Corte,51&lt;=Corte+n_Ventana),ISNUMBER(Detalle_24m!BD$36)),Detalle_24m!BD$36,INDEX(Vol_V,23,BD$170)/12)*(1+V_dVol),0))</f>
        <v>0</v>
      </c>
      <c r="BE199" s="48" t="n">
        <f aca="false">IF(BE$8=1,N(Reales!BE34),IF(BE$171=1,IF(AND(AND(52&gt;Corte,52&lt;=Corte+n_Ventana),ISNUMBER(Detalle_24m!BE$36)),Detalle_24m!BE$36,INDEX(Vol_V,23,BE$170)/12)*(1+V_dVol),0))</f>
        <v>0</v>
      </c>
      <c r="BF199" s="48" t="n">
        <f aca="false">IF(BF$8=1,N(Reales!BF34),IF(BF$171=1,IF(AND(AND(53&gt;Corte,53&lt;=Corte+n_Ventana),ISNUMBER(Detalle_24m!BF$36)),Detalle_24m!BF$36,INDEX(Vol_V,23,BF$170)/12)*(1+V_dVol),0))</f>
        <v>0</v>
      </c>
      <c r="BG199" s="48" t="n">
        <f aca="false">IF(BG$8=1,N(Reales!BG34),IF(BG$171=1,IF(AND(AND(54&gt;Corte,54&lt;=Corte+n_Ventana),ISNUMBER(Detalle_24m!BG$36)),Detalle_24m!BG$36,INDEX(Vol_V,23,BG$170)/12)*(1+V_dVol),0))</f>
        <v>0</v>
      </c>
      <c r="BH199" s="48" t="n">
        <f aca="false">IF(BH$8=1,N(Reales!BH34),IF(BH$171=1,IF(AND(AND(55&gt;Corte,55&lt;=Corte+n_Ventana),ISNUMBER(Detalle_24m!BH$36)),Detalle_24m!BH$36,INDEX(Vol_V,23,BH$170)/12)*(1+V_dVol),0))</f>
        <v>0</v>
      </c>
      <c r="BI199" s="48" t="n">
        <f aca="false">IF(BI$8=1,N(Reales!BI34),IF(BI$171=1,IF(AND(AND(56&gt;Corte,56&lt;=Corte+n_Ventana),ISNUMBER(Detalle_24m!BI$36)),Detalle_24m!BI$36,INDEX(Vol_V,23,BI$170)/12)*(1+V_dVol),0))</f>
        <v>0</v>
      </c>
      <c r="BJ199" s="48" t="n">
        <f aca="false">IF(BJ$8=1,N(Reales!BJ34),IF(BJ$171=1,IF(AND(AND(57&gt;Corte,57&lt;=Corte+n_Ventana),ISNUMBER(Detalle_24m!BJ$36)),Detalle_24m!BJ$36,INDEX(Vol_V,23,BJ$170)/12)*(1+V_dVol),0))</f>
        <v>0</v>
      </c>
      <c r="BK199" s="48" t="n">
        <f aca="false">IF(BK$8=1,N(Reales!BK34),IF(BK$171=1,IF(AND(AND(58&gt;Corte,58&lt;=Corte+n_Ventana),ISNUMBER(Detalle_24m!BK$36)),Detalle_24m!BK$36,INDEX(Vol_V,23,BK$170)/12)*(1+V_dVol),0))</f>
        <v>0</v>
      </c>
      <c r="BL199" s="48" t="n">
        <f aca="false">IF(BL$8=1,N(Reales!BL34),IF(BL$171=1,IF(AND(AND(59&gt;Corte,59&lt;=Corte+n_Ventana),ISNUMBER(Detalle_24m!BL$36)),Detalle_24m!BL$36,INDEX(Vol_V,23,BL$170)/12)*(1+V_dVol),0))</f>
        <v>0</v>
      </c>
      <c r="BM199" s="48" t="n">
        <f aca="false">IF(BM$8=1,N(Reales!BM34),IF(BM$171=1,IF(AND(AND(60&gt;Corte,60&lt;=Corte+n_Ventana),ISNUMBER(Detalle_24m!BM$36)),Detalle_24m!BM$36,INDEX(Vol_V,23,BM$170)/12)*(1+V_dVol),0))</f>
        <v>0</v>
      </c>
      <c r="BN199" s="48" t="n">
        <f aca="false">IF(BN$8=1,N(Reales!BN34),IF(BN$171=1,IF(AND(AND(61&gt;Corte,61&lt;=Corte+n_Ventana),ISNUMBER(Detalle_24m!BN$36)),Detalle_24m!BN$36,INDEX(Vol_V,23,BN$170)/12)*(1+V_dVol),0))</f>
        <v>0</v>
      </c>
      <c r="BO199" s="48" t="n">
        <f aca="false">IF(BO$8=1,N(Reales!BO34),IF(BO$171=1,IF(AND(AND(62&gt;Corte,62&lt;=Corte+n_Ventana),ISNUMBER(Detalle_24m!BO$36)),Detalle_24m!BO$36,INDEX(Vol_V,23,BO$170)/12)*(1+V_dVol),0))</f>
        <v>0</v>
      </c>
      <c r="BP199" s="48" t="n">
        <f aca="false">IF(BP$8=1,N(Reales!BP34),IF(BP$171=1,IF(AND(AND(63&gt;Corte,63&lt;=Corte+n_Ventana),ISNUMBER(Detalle_24m!BP$36)),Detalle_24m!BP$36,INDEX(Vol_V,23,BP$170)/12)*(1+V_dVol),0))</f>
        <v>0</v>
      </c>
      <c r="BQ199" s="48" t="n">
        <f aca="false">IF(BQ$8=1,N(Reales!BQ34),IF(BQ$171=1,IF(AND(AND(64&gt;Corte,64&lt;=Corte+n_Ventana),ISNUMBER(Detalle_24m!BQ$36)),Detalle_24m!BQ$36,INDEX(Vol_V,23,BQ$170)/12)*(1+V_dVol),0))</f>
        <v>0</v>
      </c>
      <c r="BR199" s="48" t="n">
        <f aca="false">IF(BR$8=1,N(Reales!BR34),IF(BR$171=1,IF(AND(AND(65&gt;Corte,65&lt;=Corte+n_Ventana),ISNUMBER(Detalle_24m!BR$36)),Detalle_24m!BR$36,INDEX(Vol_V,23,BR$170)/12)*(1+V_dVol),0))</f>
        <v>0</v>
      </c>
      <c r="BS199" s="48" t="n">
        <f aca="false">IF(BS$8=1,N(Reales!BS34),IF(BS$171=1,IF(AND(AND(66&gt;Corte,66&lt;=Corte+n_Ventana),ISNUMBER(Detalle_24m!BS$36)),Detalle_24m!BS$36,INDEX(Vol_V,23,BS$170)/12)*(1+V_dVol),0))</f>
        <v>0</v>
      </c>
      <c r="BT199" s="48" t="n">
        <f aca="false">IF(BT$8=1,N(Reales!BT34),IF(BT$171=1,IF(AND(AND(67&gt;Corte,67&lt;=Corte+n_Ventana),ISNUMBER(Detalle_24m!BT$36)),Detalle_24m!BT$36,INDEX(Vol_V,23,BT$170)/12)*(1+V_dVol),0))</f>
        <v>0</v>
      </c>
      <c r="BU199" s="48" t="n">
        <f aca="false">IF(BU$8=1,N(Reales!BU34),IF(BU$171=1,IF(AND(AND(68&gt;Corte,68&lt;=Corte+n_Ventana),ISNUMBER(Detalle_24m!BU$36)),Detalle_24m!BU$36,INDEX(Vol_V,23,BU$170)/12)*(1+V_dVol),0))</f>
        <v>0</v>
      </c>
      <c r="BV199" s="48" t="n">
        <f aca="false">IF(BV$8=1,N(Reales!BV34),IF(BV$171=1,IF(AND(AND(69&gt;Corte,69&lt;=Corte+n_Ventana),ISNUMBER(Detalle_24m!BV$36)),Detalle_24m!BV$36,INDEX(Vol_V,23,BV$170)/12)*(1+V_dVol),0))</f>
        <v>0</v>
      </c>
      <c r="BW199" s="48" t="n">
        <f aca="false">IF(BW$8=1,N(Reales!BW34),IF(BW$171=1,IF(AND(AND(70&gt;Corte,70&lt;=Corte+n_Ventana),ISNUMBER(Detalle_24m!BW$36)),Detalle_24m!BW$36,INDEX(Vol_V,23,BW$170)/12)*(1+V_dVol),0))</f>
        <v>0</v>
      </c>
      <c r="BX199" s="48" t="n">
        <f aca="false">IF(BX$8=1,N(Reales!BX34),IF(BX$171=1,IF(AND(AND(71&gt;Corte,71&lt;=Corte+n_Ventana),ISNUMBER(Detalle_24m!BX$36)),Detalle_24m!BX$36,INDEX(Vol_V,23,BX$170)/12)*(1+V_dVol),0))</f>
        <v>0</v>
      </c>
      <c r="BY199" s="48" t="n">
        <f aca="false">IF(BY$8=1,N(Reales!BY34),IF(BY$171=1,IF(AND(AND(72&gt;Corte,72&lt;=Corte+n_Ventana),ISNUMBER(Detalle_24m!BY$36)),Detalle_24m!BY$36,INDEX(Vol_V,23,BY$170)/12)*(1+V_dVol),0))</f>
        <v>0</v>
      </c>
      <c r="BZ199" s="48" t="n">
        <f aca="false">IF(BZ$8=1,N(Reales!BZ34),IF(BZ$171=1,IF(AND(AND(73&gt;Corte,73&lt;=Corte+n_Ventana),ISNUMBER(Detalle_24m!BZ$36)),Detalle_24m!BZ$36,INDEX(Vol_V,23,BZ$170)/12)*(1+V_dVol),0))</f>
        <v>0</v>
      </c>
      <c r="CA199" s="48" t="n">
        <f aca="false">IF(CA$8=1,N(Reales!CA34),IF(CA$171=1,IF(AND(AND(74&gt;Corte,74&lt;=Corte+n_Ventana),ISNUMBER(Detalle_24m!CA$36)),Detalle_24m!CA$36,INDEX(Vol_V,23,CA$170)/12)*(1+V_dVol),0))</f>
        <v>0</v>
      </c>
      <c r="CB199" s="48" t="n">
        <f aca="false">IF(CB$8=1,N(Reales!CB34),IF(CB$171=1,IF(AND(AND(75&gt;Corte,75&lt;=Corte+n_Ventana),ISNUMBER(Detalle_24m!CB$36)),Detalle_24m!CB$36,INDEX(Vol_V,23,CB$170)/12)*(1+V_dVol),0))</f>
        <v>0</v>
      </c>
      <c r="CC199" s="48" t="n">
        <f aca="false">IF(CC$8=1,N(Reales!CC34),IF(CC$171=1,IF(AND(AND(76&gt;Corte,76&lt;=Corte+n_Ventana),ISNUMBER(Detalle_24m!CC$36)),Detalle_24m!CC$36,INDEX(Vol_V,23,CC$170)/12)*(1+V_dVol),0))</f>
        <v>0</v>
      </c>
      <c r="CD199" s="48" t="n">
        <f aca="false">IF(CD$8=1,N(Reales!CD34),IF(CD$171=1,IF(AND(AND(77&gt;Corte,77&lt;=Corte+n_Ventana),ISNUMBER(Detalle_24m!CD$36)),Detalle_24m!CD$36,INDEX(Vol_V,23,CD$170)/12)*(1+V_dVol),0))</f>
        <v>0</v>
      </c>
      <c r="CE199" s="48" t="n">
        <f aca="false">IF(CE$8=1,N(Reales!CE34),IF(CE$171=1,IF(AND(AND(78&gt;Corte,78&lt;=Corte+n_Ventana),ISNUMBER(Detalle_24m!CE$36)),Detalle_24m!CE$36,INDEX(Vol_V,23,CE$170)/12)*(1+V_dVol),0))</f>
        <v>0</v>
      </c>
      <c r="CF199" s="48" t="n">
        <f aca="false">IF(CF$8=1,N(Reales!CF34),IF(CF$171=1,IF(AND(AND(79&gt;Corte,79&lt;=Corte+n_Ventana),ISNUMBER(Detalle_24m!CF$36)),Detalle_24m!CF$36,INDEX(Vol_V,23,CF$170)/12)*(1+V_dVol),0))</f>
        <v>0</v>
      </c>
      <c r="CG199" s="48" t="n">
        <f aca="false">IF(CG$8=1,N(Reales!CG34),IF(CG$171=1,IF(AND(AND(80&gt;Corte,80&lt;=Corte+n_Ventana),ISNUMBER(Detalle_24m!CG$36)),Detalle_24m!CG$36,INDEX(Vol_V,23,CG$170)/12)*(1+V_dVol),0))</f>
        <v>0</v>
      </c>
      <c r="CH199" s="48" t="n">
        <f aca="false">IF(CH$8=1,N(Reales!CH34),IF(CH$171=1,IF(AND(AND(81&gt;Corte,81&lt;=Corte+n_Ventana),ISNUMBER(Detalle_24m!CH$36)),Detalle_24m!CH$36,INDEX(Vol_V,23,CH$170)/12)*(1+V_dVol),0))</f>
        <v>0</v>
      </c>
      <c r="CI199" s="48" t="n">
        <f aca="false">IF(CI$8=1,N(Reales!CI34),IF(CI$171=1,IF(AND(AND(82&gt;Corte,82&lt;=Corte+n_Ventana),ISNUMBER(Detalle_24m!CI$36)),Detalle_24m!CI$36,INDEX(Vol_V,23,CI$170)/12)*(1+V_dVol),0))</f>
        <v>0</v>
      </c>
      <c r="CJ199" s="48" t="n">
        <f aca="false">IF(CJ$8=1,N(Reales!CJ34),IF(CJ$171=1,IF(AND(AND(83&gt;Corte,83&lt;=Corte+n_Ventana),ISNUMBER(Detalle_24m!CJ$36)),Detalle_24m!CJ$36,INDEX(Vol_V,23,CJ$170)/12)*(1+V_dVol),0))</f>
        <v>0</v>
      </c>
      <c r="CK199" s="48" t="n">
        <f aca="false">IF(CK$8=1,N(Reales!CK34),IF(CK$171=1,IF(AND(AND(84&gt;Corte,84&lt;=Corte+n_Ventana),ISNUMBER(Detalle_24m!CK$36)),Detalle_24m!CK$36,INDEX(Vol_V,23,CK$170)/12)*(1+V_dVol),0))</f>
        <v>0</v>
      </c>
      <c r="CL199" s="48" t="n">
        <f aca="false">IF(CL$8=1,N(Reales!CL34),IF(CL$171=1,IF(AND(AND(85&gt;Corte,85&lt;=Corte+n_Ventana),ISNUMBER(Detalle_24m!CL$36)),Detalle_24m!CL$36,INDEX(Vol_V,23,CL$170)/12)*(1+V_dVol),0))</f>
        <v>0</v>
      </c>
      <c r="CM199" s="48" t="n">
        <f aca="false">IF(CM$8=1,N(Reales!CM34),IF(CM$171=1,IF(AND(AND(86&gt;Corte,86&lt;=Corte+n_Ventana),ISNUMBER(Detalle_24m!CM$36)),Detalle_24m!CM$36,INDEX(Vol_V,23,CM$170)/12)*(1+V_dVol),0))</f>
        <v>0</v>
      </c>
      <c r="CN199" s="48" t="n">
        <f aca="false">IF(CN$8=1,N(Reales!CN34),IF(CN$171=1,IF(AND(AND(87&gt;Corte,87&lt;=Corte+n_Ventana),ISNUMBER(Detalle_24m!CN$36)),Detalle_24m!CN$36,INDEX(Vol_V,23,CN$170)/12)*(1+V_dVol),0))</f>
        <v>0</v>
      </c>
      <c r="CO199" s="48" t="n">
        <f aca="false">IF(CO$8=1,N(Reales!CO34),IF(CO$171=1,IF(AND(AND(88&gt;Corte,88&lt;=Corte+n_Ventana),ISNUMBER(Detalle_24m!CO$36)),Detalle_24m!CO$36,INDEX(Vol_V,23,CO$170)/12)*(1+V_dVol),0))</f>
        <v>0</v>
      </c>
      <c r="CP199" s="48" t="n">
        <f aca="false">IF(CP$8=1,N(Reales!CP34),IF(CP$171=1,IF(AND(AND(89&gt;Corte,89&lt;=Corte+n_Ventana),ISNUMBER(Detalle_24m!CP$36)),Detalle_24m!CP$36,INDEX(Vol_V,23,CP$170)/12)*(1+V_dVol),0))</f>
        <v>0</v>
      </c>
      <c r="CQ199" s="48" t="n">
        <f aca="false">IF(CQ$8=1,N(Reales!CQ34),IF(CQ$171=1,IF(AND(AND(90&gt;Corte,90&lt;=Corte+n_Ventana),ISNUMBER(Detalle_24m!CQ$36)),Detalle_24m!CQ$36,INDEX(Vol_V,23,CQ$170)/12)*(1+V_dVol),0))</f>
        <v>0</v>
      </c>
      <c r="CR199" s="48" t="n">
        <f aca="false">IF(CR$8=1,N(Reales!CR34),IF(CR$171=1,IF(AND(AND(91&gt;Corte,91&lt;=Corte+n_Ventana),ISNUMBER(Detalle_24m!CR$36)),Detalle_24m!CR$36,INDEX(Vol_V,23,CR$170)/12)*(1+V_dVol),0))</f>
        <v>0</v>
      </c>
      <c r="CS199" s="48" t="n">
        <f aca="false">IF(CS$8=1,N(Reales!CS34),IF(CS$171=1,IF(AND(AND(92&gt;Corte,92&lt;=Corte+n_Ventana),ISNUMBER(Detalle_24m!CS$36)),Detalle_24m!CS$36,INDEX(Vol_V,23,CS$170)/12)*(1+V_dVol),0))</f>
        <v>0</v>
      </c>
      <c r="CT199" s="48" t="n">
        <f aca="false">IF(CT$8=1,N(Reales!CT34),IF(CT$171=1,IF(AND(AND(93&gt;Corte,93&lt;=Corte+n_Ventana),ISNUMBER(Detalle_24m!CT$36)),Detalle_24m!CT$36,INDEX(Vol_V,23,CT$170)/12)*(1+V_dVol),0))</f>
        <v>0</v>
      </c>
      <c r="CU199" s="48" t="n">
        <f aca="false">IF(CU$8=1,N(Reales!CU34),IF(CU$171=1,IF(AND(AND(94&gt;Corte,94&lt;=Corte+n_Ventana),ISNUMBER(Detalle_24m!CU$36)),Detalle_24m!CU$36,INDEX(Vol_V,23,CU$170)/12)*(1+V_dVol),0))</f>
        <v>0</v>
      </c>
      <c r="CV199" s="48" t="n">
        <f aca="false">IF(CV$8=1,N(Reales!CV34),IF(CV$171=1,IF(AND(AND(95&gt;Corte,95&lt;=Corte+n_Ventana),ISNUMBER(Detalle_24m!CV$36)),Detalle_24m!CV$36,INDEX(Vol_V,23,CV$170)/12)*(1+V_dVol),0))</f>
        <v>0</v>
      </c>
      <c r="CW199" s="48" t="n">
        <f aca="false">IF(CW$8=1,N(Reales!CW34),IF(CW$171=1,IF(AND(AND(96&gt;Corte,96&lt;=Corte+n_Ventana),ISNUMBER(Detalle_24m!CW$36)),Detalle_24m!CW$36,INDEX(Vol_V,23,CW$170)/12)*(1+V_dVol),0))</f>
        <v>0</v>
      </c>
      <c r="CX199" s="48" t="n">
        <f aca="false">IF(CX$8=1,N(Reales!CX34),IF(CX$171=1,IF(AND(AND(97&gt;Corte,97&lt;=Corte+n_Ventana),ISNUMBER(Detalle_24m!CX$36)),Detalle_24m!CX$36,INDEX(Vol_V,23,CX$170)/12)*(1+V_dVol),0))</f>
        <v>0</v>
      </c>
      <c r="CY199" s="48" t="n">
        <f aca="false">IF(CY$8=1,N(Reales!CY34),IF(CY$171=1,IF(AND(AND(98&gt;Corte,98&lt;=Corte+n_Ventana),ISNUMBER(Detalle_24m!CY$36)),Detalle_24m!CY$36,INDEX(Vol_V,23,CY$170)/12)*(1+V_dVol),0))</f>
        <v>0</v>
      </c>
      <c r="CZ199" s="48" t="n">
        <f aca="false">IF(CZ$8=1,N(Reales!CZ34),IF(CZ$171=1,IF(AND(AND(99&gt;Corte,99&lt;=Corte+n_Ventana),ISNUMBER(Detalle_24m!CZ$36)),Detalle_24m!CZ$36,INDEX(Vol_V,23,CZ$170)/12)*(1+V_dVol),0))</f>
        <v>0</v>
      </c>
      <c r="DA199" s="48" t="n">
        <f aca="false">IF(DA$8=1,N(Reales!DA34),IF(DA$171=1,IF(AND(AND(100&gt;Corte,100&lt;=Corte+n_Ventana),ISNUMBER(Detalle_24m!DA$36)),Detalle_24m!DA$36,INDEX(Vol_V,23,DA$170)/12)*(1+V_dVol),0))</f>
        <v>0</v>
      </c>
      <c r="DB199" s="48" t="n">
        <f aca="false">IF(DB$8=1,N(Reales!DB34),IF(DB$171=1,IF(AND(AND(101&gt;Corte,101&lt;=Corte+n_Ventana),ISNUMBER(Detalle_24m!DB$36)),Detalle_24m!DB$36,INDEX(Vol_V,23,DB$170)/12)*(1+V_dVol),0))</f>
        <v>0</v>
      </c>
      <c r="DC199" s="48" t="n">
        <f aca="false">IF(DC$8=1,N(Reales!DC34),IF(DC$171=1,IF(AND(AND(102&gt;Corte,102&lt;=Corte+n_Ventana),ISNUMBER(Detalle_24m!DC$36)),Detalle_24m!DC$36,INDEX(Vol_V,23,DC$170)/12)*(1+V_dVol),0))</f>
        <v>0</v>
      </c>
      <c r="DD199" s="48" t="n">
        <f aca="false">IF(DD$8=1,N(Reales!DD34),IF(DD$171=1,IF(AND(AND(103&gt;Corte,103&lt;=Corte+n_Ventana),ISNUMBER(Detalle_24m!DD$36)),Detalle_24m!DD$36,INDEX(Vol_V,23,DD$170)/12)*(1+V_dVol),0))</f>
        <v>0</v>
      </c>
      <c r="DE199" s="48" t="n">
        <f aca="false">IF(DE$8=1,N(Reales!DE34),IF(DE$171=1,IF(AND(AND(104&gt;Corte,104&lt;=Corte+n_Ventana),ISNUMBER(Detalle_24m!DE$36)),Detalle_24m!DE$36,INDEX(Vol_V,23,DE$170)/12)*(1+V_dVol),0))</f>
        <v>0</v>
      </c>
      <c r="DF199" s="48" t="n">
        <f aca="false">IF(DF$8=1,N(Reales!DF34),IF(DF$171=1,IF(AND(AND(105&gt;Corte,105&lt;=Corte+n_Ventana),ISNUMBER(Detalle_24m!DF$36)),Detalle_24m!DF$36,INDEX(Vol_V,23,DF$170)/12)*(1+V_dVol),0))</f>
        <v>0</v>
      </c>
      <c r="DG199" s="48" t="n">
        <f aca="false">IF(DG$8=1,N(Reales!DG34),IF(DG$171=1,IF(AND(AND(106&gt;Corte,106&lt;=Corte+n_Ventana),ISNUMBER(Detalle_24m!DG$36)),Detalle_24m!DG$36,INDEX(Vol_V,23,DG$170)/12)*(1+V_dVol),0))</f>
        <v>0</v>
      </c>
      <c r="DH199" s="48" t="n">
        <f aca="false">IF(DH$8=1,N(Reales!DH34),IF(DH$171=1,IF(AND(AND(107&gt;Corte,107&lt;=Corte+n_Ventana),ISNUMBER(Detalle_24m!DH$36)),Detalle_24m!DH$36,INDEX(Vol_V,23,DH$170)/12)*(1+V_dVol),0))</f>
        <v>0</v>
      </c>
      <c r="DI199" s="48" t="n">
        <f aca="false">IF(DI$8=1,N(Reales!DI34),IF(DI$171=1,IF(AND(AND(108&gt;Corte,108&lt;=Corte+n_Ventana),ISNUMBER(Detalle_24m!DI$36)),Detalle_24m!DI$36,INDEX(Vol_V,23,DI$170)/12)*(1+V_dVol),0))</f>
        <v>0</v>
      </c>
      <c r="DJ199" s="48" t="n">
        <f aca="false">IF(DJ$8=1,N(Reales!DJ34),IF(DJ$171=1,IF(AND(AND(109&gt;Corte,109&lt;=Corte+n_Ventana),ISNUMBER(Detalle_24m!DJ$36)),Detalle_24m!DJ$36,INDEX(Vol_V,23,DJ$170)/12)*(1+V_dVol),0))</f>
        <v>0</v>
      </c>
      <c r="DK199" s="48" t="n">
        <f aca="false">IF(DK$8=1,N(Reales!DK34),IF(DK$171=1,IF(AND(AND(110&gt;Corte,110&lt;=Corte+n_Ventana),ISNUMBER(Detalle_24m!DK$36)),Detalle_24m!DK$36,INDEX(Vol_V,23,DK$170)/12)*(1+V_dVol),0))</f>
        <v>0</v>
      </c>
      <c r="DL199" s="48" t="n">
        <f aca="false">IF(DL$8=1,N(Reales!DL34),IF(DL$171=1,IF(AND(AND(111&gt;Corte,111&lt;=Corte+n_Ventana),ISNUMBER(Detalle_24m!DL$36)),Detalle_24m!DL$36,INDEX(Vol_V,23,DL$170)/12)*(1+V_dVol),0))</f>
        <v>0</v>
      </c>
      <c r="DM199" s="48" t="n">
        <f aca="false">IF(DM$8=1,N(Reales!DM34),IF(DM$171=1,IF(AND(AND(112&gt;Corte,112&lt;=Corte+n_Ventana),ISNUMBER(Detalle_24m!DM$36)),Detalle_24m!DM$36,INDEX(Vol_V,23,DM$170)/12)*(1+V_dVol),0))</f>
        <v>0</v>
      </c>
      <c r="DN199" s="48" t="n">
        <f aca="false">IF(DN$8=1,N(Reales!DN34),IF(DN$171=1,IF(AND(AND(113&gt;Corte,113&lt;=Corte+n_Ventana),ISNUMBER(Detalle_24m!DN$36)),Detalle_24m!DN$36,INDEX(Vol_V,23,DN$170)/12)*(1+V_dVol),0))</f>
        <v>0</v>
      </c>
      <c r="DO199" s="48" t="n">
        <f aca="false">IF(DO$8=1,N(Reales!DO34),IF(DO$171=1,IF(AND(AND(114&gt;Corte,114&lt;=Corte+n_Ventana),ISNUMBER(Detalle_24m!DO$36)),Detalle_24m!DO$36,INDEX(Vol_V,23,DO$170)/12)*(1+V_dVol),0))</f>
        <v>0</v>
      </c>
      <c r="DP199" s="48" t="n">
        <f aca="false">IF(DP$8=1,N(Reales!DP34),IF(DP$171=1,IF(AND(AND(115&gt;Corte,115&lt;=Corte+n_Ventana),ISNUMBER(Detalle_24m!DP$36)),Detalle_24m!DP$36,INDEX(Vol_V,23,DP$170)/12)*(1+V_dVol),0))</f>
        <v>0</v>
      </c>
      <c r="DQ199" s="48" t="n">
        <f aca="false">IF(DQ$8=1,N(Reales!DQ34),IF(DQ$171=1,IF(AND(AND(116&gt;Corte,116&lt;=Corte+n_Ventana),ISNUMBER(Detalle_24m!DQ$36)),Detalle_24m!DQ$36,INDEX(Vol_V,23,DQ$170)/12)*(1+V_dVol),0))</f>
        <v>0</v>
      </c>
      <c r="DR199" s="48" t="n">
        <f aca="false">IF(DR$8=1,N(Reales!DR34),IF(DR$171=1,IF(AND(AND(117&gt;Corte,117&lt;=Corte+n_Ventana),ISNUMBER(Detalle_24m!DR$36)),Detalle_24m!DR$36,INDEX(Vol_V,23,DR$170)/12)*(1+V_dVol),0))</f>
        <v>0</v>
      </c>
      <c r="DS199" s="48" t="n">
        <f aca="false">IF(DS$8=1,N(Reales!DS34),IF(DS$171=1,IF(AND(AND(118&gt;Corte,118&lt;=Corte+n_Ventana),ISNUMBER(Detalle_24m!DS$36)),Detalle_24m!DS$36,INDEX(Vol_V,23,DS$170)/12)*(1+V_dVol),0))</f>
        <v>0</v>
      </c>
      <c r="DT199" s="48" t="n">
        <f aca="false">IF(DT$8=1,N(Reales!DT34),IF(DT$171=1,IF(AND(AND(119&gt;Corte,119&lt;=Corte+n_Ventana),ISNUMBER(Detalle_24m!DT$36)),Detalle_24m!DT$36,INDEX(Vol_V,23,DT$170)/12)*(1+V_dVol),0))</f>
        <v>0</v>
      </c>
      <c r="DU199" s="48" t="n">
        <f aca="false">IF(DU$8=1,N(Reales!DU34),IF(DU$171=1,IF(AND(AND(120&gt;Corte,120&lt;=Corte+n_Ventana),ISNUMBER(Detalle_24m!DU$36)),Detalle_24m!DU$36,INDEX(Vol_V,23,DU$170)/12)*(1+V_dVol),0))</f>
        <v>0</v>
      </c>
      <c r="DV199" s="48" t="n">
        <f aca="false">IF(DV$8=1,N(Reales!DV34),IF(DV$171=1,IF(AND(AND(121&gt;Corte,121&lt;=Corte+n_Ventana),ISNUMBER(Detalle_24m!DV$36)),Detalle_24m!DV$36,INDEX(Vol_V,23,DV$170)/12)*(1+V_dVol),0))</f>
        <v>0</v>
      </c>
      <c r="DW199" s="48" t="n">
        <f aca="false">IF(DW$8=1,N(Reales!DW34),IF(DW$171=1,IF(AND(AND(122&gt;Corte,122&lt;=Corte+n_Ventana),ISNUMBER(Detalle_24m!DW$36)),Detalle_24m!DW$36,INDEX(Vol_V,23,DW$170)/12)*(1+V_dVol),0))</f>
        <v>0</v>
      </c>
      <c r="DX199" s="48" t="n">
        <f aca="false">IF(DX$8=1,N(Reales!DX34),IF(DX$171=1,IF(AND(AND(123&gt;Corte,123&lt;=Corte+n_Ventana),ISNUMBER(Detalle_24m!DX$36)),Detalle_24m!DX$36,INDEX(Vol_V,23,DX$170)/12)*(1+V_dVol),0))</f>
        <v>0</v>
      </c>
      <c r="DY199" s="48" t="n">
        <f aca="false">IF(DY$8=1,N(Reales!DY34),IF(DY$171=1,IF(AND(AND(124&gt;Corte,124&lt;=Corte+n_Ventana),ISNUMBER(Detalle_24m!DY$36)),Detalle_24m!DY$36,INDEX(Vol_V,23,DY$170)/12)*(1+V_dVol),0))</f>
        <v>0</v>
      </c>
      <c r="DZ199" s="48" t="n">
        <f aca="false">IF(DZ$8=1,N(Reales!DZ34),IF(DZ$171=1,IF(AND(AND(125&gt;Corte,125&lt;=Corte+n_Ventana),ISNUMBER(Detalle_24m!DZ$36)),Detalle_24m!DZ$36,INDEX(Vol_V,23,DZ$170)/12)*(1+V_dVol),0))</f>
        <v>0</v>
      </c>
      <c r="EA199" s="48" t="n">
        <f aca="false">IF(EA$8=1,N(Reales!EA34),IF(EA$171=1,IF(AND(AND(126&gt;Corte,126&lt;=Corte+n_Ventana),ISNUMBER(Detalle_24m!EA$36)),Detalle_24m!EA$36,INDEX(Vol_V,23,EA$170)/12)*(1+V_dVol),0))</f>
        <v>0</v>
      </c>
      <c r="EB199" s="48" t="n">
        <f aca="false">IF(EB$8=1,N(Reales!EB34),IF(EB$171=1,IF(AND(AND(127&gt;Corte,127&lt;=Corte+n_Ventana),ISNUMBER(Detalle_24m!EB$36)),Detalle_24m!EB$36,INDEX(Vol_V,23,EB$170)/12)*(1+V_dVol),0))</f>
        <v>0</v>
      </c>
      <c r="EC199" s="48" t="n">
        <f aca="false">IF(EC$8=1,N(Reales!EC34),IF(EC$171=1,IF(AND(AND(128&gt;Corte,128&lt;=Corte+n_Ventana),ISNUMBER(Detalle_24m!EC$36)),Detalle_24m!EC$36,INDEX(Vol_V,23,EC$170)/12)*(1+V_dVol),0))</f>
        <v>0</v>
      </c>
      <c r="ED199" s="48" t="n">
        <f aca="false">IF(ED$8=1,N(Reales!ED34),IF(ED$171=1,IF(AND(AND(129&gt;Corte,129&lt;=Corte+n_Ventana),ISNUMBER(Detalle_24m!ED$36)),Detalle_24m!ED$36,INDEX(Vol_V,23,ED$170)/12)*(1+V_dVol),0))</f>
        <v>0</v>
      </c>
      <c r="EE199" s="48" t="n">
        <f aca="false">IF(EE$8=1,N(Reales!EE34),IF(EE$171=1,IF(AND(AND(130&gt;Corte,130&lt;=Corte+n_Ventana),ISNUMBER(Detalle_24m!EE$36)),Detalle_24m!EE$36,INDEX(Vol_V,23,EE$170)/12)*(1+V_dVol),0))</f>
        <v>0</v>
      </c>
      <c r="EF199" s="48" t="n">
        <f aca="false">IF(EF$8=1,N(Reales!EF34),IF(EF$171=1,IF(AND(AND(131&gt;Corte,131&lt;=Corte+n_Ventana),ISNUMBER(Detalle_24m!EF$36)),Detalle_24m!EF$36,INDEX(Vol_V,23,EF$170)/12)*(1+V_dVol),0))</f>
        <v>0</v>
      </c>
      <c r="EG199" s="48" t="n">
        <f aca="false">IF(EG$8=1,N(Reales!EG34),IF(EG$171=1,IF(AND(AND(132&gt;Corte,132&lt;=Corte+n_Ventana),ISNUMBER(Detalle_24m!EG$36)),Detalle_24m!EG$36,INDEX(Vol_V,23,EG$170)/12)*(1+V_dVol),0))</f>
        <v>0</v>
      </c>
      <c r="EH199" s="48" t="n">
        <f aca="false">IF(EH$8=1,N(Reales!EH34),IF(EH$171=1,IF(AND(AND(133&gt;Corte,133&lt;=Corte+n_Ventana),ISNUMBER(Detalle_24m!EH$36)),Detalle_24m!EH$36,INDEX(Vol_V,23,EH$170)/12)*(1+V_dVol),0))</f>
        <v>0</v>
      </c>
      <c r="EI199" s="48" t="n">
        <f aca="false">IF(EI$8=1,N(Reales!EI34),IF(EI$171=1,IF(AND(AND(134&gt;Corte,134&lt;=Corte+n_Ventana),ISNUMBER(Detalle_24m!EI$36)),Detalle_24m!EI$36,INDEX(Vol_V,23,EI$170)/12)*(1+V_dVol),0))</f>
        <v>0</v>
      </c>
      <c r="EJ199" s="48" t="n">
        <f aca="false">IF(EJ$8=1,N(Reales!EJ34),IF(EJ$171=1,IF(AND(AND(135&gt;Corte,135&lt;=Corte+n_Ventana),ISNUMBER(Detalle_24m!EJ$36)),Detalle_24m!EJ$36,INDEX(Vol_V,23,EJ$170)/12)*(1+V_dVol),0))</f>
        <v>0</v>
      </c>
      <c r="EK199" s="48" t="n">
        <f aca="false">IF(EK$8=1,N(Reales!EK34),IF(EK$171=1,IF(AND(AND(136&gt;Corte,136&lt;=Corte+n_Ventana),ISNUMBER(Detalle_24m!EK$36)),Detalle_24m!EK$36,INDEX(Vol_V,23,EK$170)/12)*(1+V_dVol),0))</f>
        <v>0</v>
      </c>
      <c r="EL199" s="48" t="n">
        <f aca="false">IF(EL$8=1,N(Reales!EL34),IF(EL$171=1,IF(AND(AND(137&gt;Corte,137&lt;=Corte+n_Ventana),ISNUMBER(Detalle_24m!EL$36)),Detalle_24m!EL$36,INDEX(Vol_V,23,EL$170)/12)*(1+V_dVol),0))</f>
        <v>0</v>
      </c>
      <c r="EM199" s="48" t="n">
        <f aca="false">IF(EM$8=1,N(Reales!EM34),IF(EM$171=1,IF(AND(AND(138&gt;Corte,138&lt;=Corte+n_Ventana),ISNUMBER(Detalle_24m!EM$36)),Detalle_24m!EM$36,INDEX(Vol_V,23,EM$170)/12)*(1+V_dVol),0))</f>
        <v>0</v>
      </c>
      <c r="EN199" s="48" t="n">
        <f aca="false">IF(EN$8=1,N(Reales!EN34),IF(EN$171=1,IF(AND(AND(139&gt;Corte,139&lt;=Corte+n_Ventana),ISNUMBER(Detalle_24m!EN$36)),Detalle_24m!EN$36,INDEX(Vol_V,23,EN$170)/12)*(1+V_dVol),0))</f>
        <v>0</v>
      </c>
      <c r="EO199" s="48" t="n">
        <f aca="false">IF(EO$8=1,N(Reales!EO34),IF(EO$171=1,IF(AND(AND(140&gt;Corte,140&lt;=Corte+n_Ventana),ISNUMBER(Detalle_24m!EO$36)),Detalle_24m!EO$36,INDEX(Vol_V,23,EO$170)/12)*(1+V_dVol),0))</f>
        <v>0</v>
      </c>
      <c r="EP199" s="48" t="n">
        <f aca="false">IF(EP$8=1,N(Reales!EP34),IF(EP$171=1,IF(AND(AND(141&gt;Corte,141&lt;=Corte+n_Ventana),ISNUMBER(Detalle_24m!EP$36)),Detalle_24m!EP$36,INDEX(Vol_V,23,EP$170)/12)*(1+V_dVol),0))</f>
        <v>0</v>
      </c>
      <c r="EQ199" s="48" t="n">
        <f aca="false">IF(EQ$8=1,N(Reales!EQ34),IF(EQ$171=1,IF(AND(AND(142&gt;Corte,142&lt;=Corte+n_Ventana),ISNUMBER(Detalle_24m!EQ$36)),Detalle_24m!EQ$36,INDEX(Vol_V,23,EQ$170)/12)*(1+V_dVol),0))</f>
        <v>0</v>
      </c>
      <c r="ER199" s="48" t="n">
        <f aca="false">IF(ER$8=1,N(Reales!ER34),IF(ER$171=1,IF(AND(AND(143&gt;Corte,143&lt;=Corte+n_Ventana),ISNUMBER(Detalle_24m!ER$36)),Detalle_24m!ER$36,INDEX(Vol_V,23,ER$170)/12)*(1+V_dVol),0))</f>
        <v>0</v>
      </c>
      <c r="ES199" s="48" t="n">
        <f aca="false">IF(ES$8=1,N(Reales!ES34),IF(ES$171=1,IF(AND(AND(144&gt;Corte,144&lt;=Corte+n_Ventana),ISNUMBER(Detalle_24m!ES$36)),Detalle_24m!ES$36,INDEX(Vol_V,23,ES$170)/12)*(1+V_dVol),0))</f>
        <v>0</v>
      </c>
    </row>
    <row r="200" customFormat="false" ht="15" hidden="false" customHeight="false" outlineLevel="0" collapsed="false">
      <c r="A200" s="11" t="s">
        <v>1323</v>
      </c>
      <c r="B200" s="53" t="str">
        <f aca="false">IF(INDEX(Prod_Nombre,24)="","Producto 24",INDEX(Prod_Nombre,24))&amp;" — unidades"</f>
        <v>Producto 24 — unidades</v>
      </c>
      <c r="C200" s="15" t="s">
        <v>544</v>
      </c>
      <c r="E200" s="54" t="n">
        <f aca="false">SUM(F200:ES200)</f>
        <v>0</v>
      </c>
      <c r="F200" s="48" t="n">
        <f aca="false">IF(F$8=1,N(Reales!F35),IF(F$171=1,IF(AND(AND(1&gt;Corte,1&lt;=Corte+n_Ventana),ISNUMBER(Detalle_24m!F$37)),Detalle_24m!F$37,INDEX(Vol_V,24,F$170)/12)*(1+V_dVol),0))</f>
        <v>0</v>
      </c>
      <c r="G200" s="48" t="n">
        <f aca="false">IF(G$8=1,N(Reales!G35),IF(G$171=1,IF(AND(AND(2&gt;Corte,2&lt;=Corte+n_Ventana),ISNUMBER(Detalle_24m!G$37)),Detalle_24m!G$37,INDEX(Vol_V,24,G$170)/12)*(1+V_dVol),0))</f>
        <v>0</v>
      </c>
      <c r="H200" s="48" t="n">
        <f aca="false">IF(H$8=1,N(Reales!H35),IF(H$171=1,IF(AND(AND(3&gt;Corte,3&lt;=Corte+n_Ventana),ISNUMBER(Detalle_24m!H$37)),Detalle_24m!H$37,INDEX(Vol_V,24,H$170)/12)*(1+V_dVol),0))</f>
        <v>0</v>
      </c>
      <c r="I200" s="48" t="n">
        <f aca="false">IF(I$8=1,N(Reales!I35),IF(I$171=1,IF(AND(AND(4&gt;Corte,4&lt;=Corte+n_Ventana),ISNUMBER(Detalle_24m!I$37)),Detalle_24m!I$37,INDEX(Vol_V,24,I$170)/12)*(1+V_dVol),0))</f>
        <v>0</v>
      </c>
      <c r="J200" s="48" t="n">
        <f aca="false">IF(J$8=1,N(Reales!J35),IF(J$171=1,IF(AND(AND(5&gt;Corte,5&lt;=Corte+n_Ventana),ISNUMBER(Detalle_24m!J$37)),Detalle_24m!J$37,INDEX(Vol_V,24,J$170)/12)*(1+V_dVol),0))</f>
        <v>0</v>
      </c>
      <c r="K200" s="48" t="n">
        <f aca="false">IF(K$8=1,N(Reales!K35),IF(K$171=1,IF(AND(AND(6&gt;Corte,6&lt;=Corte+n_Ventana),ISNUMBER(Detalle_24m!K$37)),Detalle_24m!K$37,INDEX(Vol_V,24,K$170)/12)*(1+V_dVol),0))</f>
        <v>0</v>
      </c>
      <c r="L200" s="48" t="n">
        <f aca="false">IF(L$8=1,N(Reales!L35),IF(L$171=1,IF(AND(AND(7&gt;Corte,7&lt;=Corte+n_Ventana),ISNUMBER(Detalle_24m!L$37)),Detalle_24m!L$37,INDEX(Vol_V,24,L$170)/12)*(1+V_dVol),0))</f>
        <v>0</v>
      </c>
      <c r="M200" s="48" t="n">
        <f aca="false">IF(M$8=1,N(Reales!M35),IF(M$171=1,IF(AND(AND(8&gt;Corte,8&lt;=Corte+n_Ventana),ISNUMBER(Detalle_24m!M$37)),Detalle_24m!M$37,INDEX(Vol_V,24,M$170)/12)*(1+V_dVol),0))</f>
        <v>0</v>
      </c>
      <c r="N200" s="48" t="n">
        <f aca="false">IF(N$8=1,N(Reales!N35),IF(N$171=1,IF(AND(AND(9&gt;Corte,9&lt;=Corte+n_Ventana),ISNUMBER(Detalle_24m!N$37)),Detalle_24m!N$37,INDEX(Vol_V,24,N$170)/12)*(1+V_dVol),0))</f>
        <v>0</v>
      </c>
      <c r="O200" s="48" t="n">
        <f aca="false">IF(O$8=1,N(Reales!O35),IF(O$171=1,IF(AND(AND(10&gt;Corte,10&lt;=Corte+n_Ventana),ISNUMBER(Detalle_24m!O$37)),Detalle_24m!O$37,INDEX(Vol_V,24,O$170)/12)*(1+V_dVol),0))</f>
        <v>0</v>
      </c>
      <c r="P200" s="48" t="n">
        <f aca="false">IF(P$8=1,N(Reales!P35),IF(P$171=1,IF(AND(AND(11&gt;Corte,11&lt;=Corte+n_Ventana),ISNUMBER(Detalle_24m!P$37)),Detalle_24m!P$37,INDEX(Vol_V,24,P$170)/12)*(1+V_dVol),0))</f>
        <v>0</v>
      </c>
      <c r="Q200" s="48" t="n">
        <f aca="false">IF(Q$8=1,N(Reales!Q35),IF(Q$171=1,IF(AND(AND(12&gt;Corte,12&lt;=Corte+n_Ventana),ISNUMBER(Detalle_24m!Q$37)),Detalle_24m!Q$37,INDEX(Vol_V,24,Q$170)/12)*(1+V_dVol),0))</f>
        <v>0</v>
      </c>
      <c r="R200" s="48" t="n">
        <f aca="false">IF(R$8=1,N(Reales!R35),IF(R$171=1,IF(AND(AND(13&gt;Corte,13&lt;=Corte+n_Ventana),ISNUMBER(Detalle_24m!R$37)),Detalle_24m!R$37,INDEX(Vol_V,24,R$170)/12)*(1+V_dVol),0))</f>
        <v>0</v>
      </c>
      <c r="S200" s="48" t="n">
        <f aca="false">IF(S$8=1,N(Reales!S35),IF(S$171=1,IF(AND(AND(14&gt;Corte,14&lt;=Corte+n_Ventana),ISNUMBER(Detalle_24m!S$37)),Detalle_24m!S$37,INDEX(Vol_V,24,S$170)/12)*(1+V_dVol),0))</f>
        <v>0</v>
      </c>
      <c r="T200" s="48" t="n">
        <f aca="false">IF(T$8=1,N(Reales!T35),IF(T$171=1,IF(AND(AND(15&gt;Corte,15&lt;=Corte+n_Ventana),ISNUMBER(Detalle_24m!T$37)),Detalle_24m!T$37,INDEX(Vol_V,24,T$170)/12)*(1+V_dVol),0))</f>
        <v>0</v>
      </c>
      <c r="U200" s="48" t="n">
        <f aca="false">IF(U$8=1,N(Reales!U35),IF(U$171=1,IF(AND(AND(16&gt;Corte,16&lt;=Corte+n_Ventana),ISNUMBER(Detalle_24m!U$37)),Detalle_24m!U$37,INDEX(Vol_V,24,U$170)/12)*(1+V_dVol),0))</f>
        <v>0</v>
      </c>
      <c r="V200" s="48" t="n">
        <f aca="false">IF(V$8=1,N(Reales!V35),IF(V$171=1,IF(AND(AND(17&gt;Corte,17&lt;=Corte+n_Ventana),ISNUMBER(Detalle_24m!V$37)),Detalle_24m!V$37,INDEX(Vol_V,24,V$170)/12)*(1+V_dVol),0))</f>
        <v>0</v>
      </c>
      <c r="W200" s="48" t="n">
        <f aca="false">IF(W$8=1,N(Reales!W35),IF(W$171=1,IF(AND(AND(18&gt;Corte,18&lt;=Corte+n_Ventana),ISNUMBER(Detalle_24m!W$37)),Detalle_24m!W$37,INDEX(Vol_V,24,W$170)/12)*(1+V_dVol),0))</f>
        <v>0</v>
      </c>
      <c r="X200" s="48" t="n">
        <f aca="false">IF(X$8=1,N(Reales!X35),IF(X$171=1,IF(AND(AND(19&gt;Corte,19&lt;=Corte+n_Ventana),ISNUMBER(Detalle_24m!X$37)),Detalle_24m!X$37,INDEX(Vol_V,24,X$170)/12)*(1+V_dVol),0))</f>
        <v>0</v>
      </c>
      <c r="Y200" s="48" t="n">
        <f aca="false">IF(Y$8=1,N(Reales!Y35),IF(Y$171=1,IF(AND(AND(20&gt;Corte,20&lt;=Corte+n_Ventana),ISNUMBER(Detalle_24m!Y$37)),Detalle_24m!Y$37,INDEX(Vol_V,24,Y$170)/12)*(1+V_dVol),0))</f>
        <v>0</v>
      </c>
      <c r="Z200" s="48" t="n">
        <f aca="false">IF(Z$8=1,N(Reales!Z35),IF(Z$171=1,IF(AND(AND(21&gt;Corte,21&lt;=Corte+n_Ventana),ISNUMBER(Detalle_24m!Z$37)),Detalle_24m!Z$37,INDEX(Vol_V,24,Z$170)/12)*(1+V_dVol),0))</f>
        <v>0</v>
      </c>
      <c r="AA200" s="48" t="n">
        <f aca="false">IF(AA$8=1,N(Reales!AA35),IF(AA$171=1,IF(AND(AND(22&gt;Corte,22&lt;=Corte+n_Ventana),ISNUMBER(Detalle_24m!AA$37)),Detalle_24m!AA$37,INDEX(Vol_V,24,AA$170)/12)*(1+V_dVol),0))</f>
        <v>0</v>
      </c>
      <c r="AB200" s="48" t="n">
        <f aca="false">IF(AB$8=1,N(Reales!AB35),IF(AB$171=1,IF(AND(AND(23&gt;Corte,23&lt;=Corte+n_Ventana),ISNUMBER(Detalle_24m!AB$37)),Detalle_24m!AB$37,INDEX(Vol_V,24,AB$170)/12)*(1+V_dVol),0))</f>
        <v>0</v>
      </c>
      <c r="AC200" s="48" t="n">
        <f aca="false">IF(AC$8=1,N(Reales!AC35),IF(AC$171=1,IF(AND(AND(24&gt;Corte,24&lt;=Corte+n_Ventana),ISNUMBER(Detalle_24m!AC$37)),Detalle_24m!AC$37,INDEX(Vol_V,24,AC$170)/12)*(1+V_dVol),0))</f>
        <v>0</v>
      </c>
      <c r="AD200" s="48" t="n">
        <f aca="false">IF(AD$8=1,N(Reales!AD35),IF(AD$171=1,IF(AND(AND(25&gt;Corte,25&lt;=Corte+n_Ventana),ISNUMBER(Detalle_24m!AD$37)),Detalle_24m!AD$37,INDEX(Vol_V,24,AD$170)/12)*(1+V_dVol),0))</f>
        <v>0</v>
      </c>
      <c r="AE200" s="48" t="n">
        <f aca="false">IF(AE$8=1,N(Reales!AE35),IF(AE$171=1,IF(AND(AND(26&gt;Corte,26&lt;=Corte+n_Ventana),ISNUMBER(Detalle_24m!AE$37)),Detalle_24m!AE$37,INDEX(Vol_V,24,AE$170)/12)*(1+V_dVol),0))</f>
        <v>0</v>
      </c>
      <c r="AF200" s="48" t="n">
        <f aca="false">IF(AF$8=1,N(Reales!AF35),IF(AF$171=1,IF(AND(AND(27&gt;Corte,27&lt;=Corte+n_Ventana),ISNUMBER(Detalle_24m!AF$37)),Detalle_24m!AF$37,INDEX(Vol_V,24,AF$170)/12)*(1+V_dVol),0))</f>
        <v>0</v>
      </c>
      <c r="AG200" s="48" t="n">
        <f aca="false">IF(AG$8=1,N(Reales!AG35),IF(AG$171=1,IF(AND(AND(28&gt;Corte,28&lt;=Corte+n_Ventana),ISNUMBER(Detalle_24m!AG$37)),Detalle_24m!AG$37,INDEX(Vol_V,24,AG$170)/12)*(1+V_dVol),0))</f>
        <v>0</v>
      </c>
      <c r="AH200" s="48" t="n">
        <f aca="false">IF(AH$8=1,N(Reales!AH35),IF(AH$171=1,IF(AND(AND(29&gt;Corte,29&lt;=Corte+n_Ventana),ISNUMBER(Detalle_24m!AH$37)),Detalle_24m!AH$37,INDEX(Vol_V,24,AH$170)/12)*(1+V_dVol),0))</f>
        <v>0</v>
      </c>
      <c r="AI200" s="48" t="n">
        <f aca="false">IF(AI$8=1,N(Reales!AI35),IF(AI$171=1,IF(AND(AND(30&gt;Corte,30&lt;=Corte+n_Ventana),ISNUMBER(Detalle_24m!AI$37)),Detalle_24m!AI$37,INDEX(Vol_V,24,AI$170)/12)*(1+V_dVol),0))</f>
        <v>0</v>
      </c>
      <c r="AJ200" s="48" t="n">
        <f aca="false">IF(AJ$8=1,N(Reales!AJ35),IF(AJ$171=1,IF(AND(AND(31&gt;Corte,31&lt;=Corte+n_Ventana),ISNUMBER(Detalle_24m!AJ$37)),Detalle_24m!AJ$37,INDEX(Vol_V,24,AJ$170)/12)*(1+V_dVol),0))</f>
        <v>0</v>
      </c>
      <c r="AK200" s="48" t="n">
        <f aca="false">IF(AK$8=1,N(Reales!AK35),IF(AK$171=1,IF(AND(AND(32&gt;Corte,32&lt;=Corte+n_Ventana),ISNUMBER(Detalle_24m!AK$37)),Detalle_24m!AK$37,INDEX(Vol_V,24,AK$170)/12)*(1+V_dVol),0))</f>
        <v>0</v>
      </c>
      <c r="AL200" s="48" t="n">
        <f aca="false">IF(AL$8=1,N(Reales!AL35),IF(AL$171=1,IF(AND(AND(33&gt;Corte,33&lt;=Corte+n_Ventana),ISNUMBER(Detalle_24m!AL$37)),Detalle_24m!AL$37,INDEX(Vol_V,24,AL$170)/12)*(1+V_dVol),0))</f>
        <v>0</v>
      </c>
      <c r="AM200" s="48" t="n">
        <f aca="false">IF(AM$8=1,N(Reales!AM35),IF(AM$171=1,IF(AND(AND(34&gt;Corte,34&lt;=Corte+n_Ventana),ISNUMBER(Detalle_24m!AM$37)),Detalle_24m!AM$37,INDEX(Vol_V,24,AM$170)/12)*(1+V_dVol),0))</f>
        <v>0</v>
      </c>
      <c r="AN200" s="48" t="n">
        <f aca="false">IF(AN$8=1,N(Reales!AN35),IF(AN$171=1,IF(AND(AND(35&gt;Corte,35&lt;=Corte+n_Ventana),ISNUMBER(Detalle_24m!AN$37)),Detalle_24m!AN$37,INDEX(Vol_V,24,AN$170)/12)*(1+V_dVol),0))</f>
        <v>0</v>
      </c>
      <c r="AO200" s="48" t="n">
        <f aca="false">IF(AO$8=1,N(Reales!AO35),IF(AO$171=1,IF(AND(AND(36&gt;Corte,36&lt;=Corte+n_Ventana),ISNUMBER(Detalle_24m!AO$37)),Detalle_24m!AO$37,INDEX(Vol_V,24,AO$170)/12)*(1+V_dVol),0))</f>
        <v>0</v>
      </c>
      <c r="AP200" s="48" t="n">
        <f aca="false">IF(AP$8=1,N(Reales!AP35),IF(AP$171=1,IF(AND(AND(37&gt;Corte,37&lt;=Corte+n_Ventana),ISNUMBER(Detalle_24m!AP$37)),Detalle_24m!AP$37,INDEX(Vol_V,24,AP$170)/12)*(1+V_dVol),0))</f>
        <v>0</v>
      </c>
      <c r="AQ200" s="48" t="n">
        <f aca="false">IF(AQ$8=1,N(Reales!AQ35),IF(AQ$171=1,IF(AND(AND(38&gt;Corte,38&lt;=Corte+n_Ventana),ISNUMBER(Detalle_24m!AQ$37)),Detalle_24m!AQ$37,INDEX(Vol_V,24,AQ$170)/12)*(1+V_dVol),0))</f>
        <v>0</v>
      </c>
      <c r="AR200" s="48" t="n">
        <f aca="false">IF(AR$8=1,N(Reales!AR35),IF(AR$171=1,IF(AND(AND(39&gt;Corte,39&lt;=Corte+n_Ventana),ISNUMBER(Detalle_24m!AR$37)),Detalle_24m!AR$37,INDEX(Vol_V,24,AR$170)/12)*(1+V_dVol),0))</f>
        <v>0</v>
      </c>
      <c r="AS200" s="48" t="n">
        <f aca="false">IF(AS$8=1,N(Reales!AS35),IF(AS$171=1,IF(AND(AND(40&gt;Corte,40&lt;=Corte+n_Ventana),ISNUMBER(Detalle_24m!AS$37)),Detalle_24m!AS$37,INDEX(Vol_V,24,AS$170)/12)*(1+V_dVol),0))</f>
        <v>0</v>
      </c>
      <c r="AT200" s="48" t="n">
        <f aca="false">IF(AT$8=1,N(Reales!AT35),IF(AT$171=1,IF(AND(AND(41&gt;Corte,41&lt;=Corte+n_Ventana),ISNUMBER(Detalle_24m!AT$37)),Detalle_24m!AT$37,INDEX(Vol_V,24,AT$170)/12)*(1+V_dVol),0))</f>
        <v>0</v>
      </c>
      <c r="AU200" s="48" t="n">
        <f aca="false">IF(AU$8=1,N(Reales!AU35),IF(AU$171=1,IF(AND(AND(42&gt;Corte,42&lt;=Corte+n_Ventana),ISNUMBER(Detalle_24m!AU$37)),Detalle_24m!AU$37,INDEX(Vol_V,24,AU$170)/12)*(1+V_dVol),0))</f>
        <v>0</v>
      </c>
      <c r="AV200" s="48" t="n">
        <f aca="false">IF(AV$8=1,N(Reales!AV35),IF(AV$171=1,IF(AND(AND(43&gt;Corte,43&lt;=Corte+n_Ventana),ISNUMBER(Detalle_24m!AV$37)),Detalle_24m!AV$37,INDEX(Vol_V,24,AV$170)/12)*(1+V_dVol),0))</f>
        <v>0</v>
      </c>
      <c r="AW200" s="48" t="n">
        <f aca="false">IF(AW$8=1,N(Reales!AW35),IF(AW$171=1,IF(AND(AND(44&gt;Corte,44&lt;=Corte+n_Ventana),ISNUMBER(Detalle_24m!AW$37)),Detalle_24m!AW$37,INDEX(Vol_V,24,AW$170)/12)*(1+V_dVol),0))</f>
        <v>0</v>
      </c>
      <c r="AX200" s="48" t="n">
        <f aca="false">IF(AX$8=1,N(Reales!AX35),IF(AX$171=1,IF(AND(AND(45&gt;Corte,45&lt;=Corte+n_Ventana),ISNUMBER(Detalle_24m!AX$37)),Detalle_24m!AX$37,INDEX(Vol_V,24,AX$170)/12)*(1+V_dVol),0))</f>
        <v>0</v>
      </c>
      <c r="AY200" s="48" t="n">
        <f aca="false">IF(AY$8=1,N(Reales!AY35),IF(AY$171=1,IF(AND(AND(46&gt;Corte,46&lt;=Corte+n_Ventana),ISNUMBER(Detalle_24m!AY$37)),Detalle_24m!AY$37,INDEX(Vol_V,24,AY$170)/12)*(1+V_dVol),0))</f>
        <v>0</v>
      </c>
      <c r="AZ200" s="48" t="n">
        <f aca="false">IF(AZ$8=1,N(Reales!AZ35),IF(AZ$171=1,IF(AND(AND(47&gt;Corte,47&lt;=Corte+n_Ventana),ISNUMBER(Detalle_24m!AZ$37)),Detalle_24m!AZ$37,INDEX(Vol_V,24,AZ$170)/12)*(1+V_dVol),0))</f>
        <v>0</v>
      </c>
      <c r="BA200" s="48" t="n">
        <f aca="false">IF(BA$8=1,N(Reales!BA35),IF(BA$171=1,IF(AND(AND(48&gt;Corte,48&lt;=Corte+n_Ventana),ISNUMBER(Detalle_24m!BA$37)),Detalle_24m!BA$37,INDEX(Vol_V,24,BA$170)/12)*(1+V_dVol),0))</f>
        <v>0</v>
      </c>
      <c r="BB200" s="48" t="n">
        <f aca="false">IF(BB$8=1,N(Reales!BB35),IF(BB$171=1,IF(AND(AND(49&gt;Corte,49&lt;=Corte+n_Ventana),ISNUMBER(Detalle_24m!BB$37)),Detalle_24m!BB$37,INDEX(Vol_V,24,BB$170)/12)*(1+V_dVol),0))</f>
        <v>0</v>
      </c>
      <c r="BC200" s="48" t="n">
        <f aca="false">IF(BC$8=1,N(Reales!BC35),IF(BC$171=1,IF(AND(AND(50&gt;Corte,50&lt;=Corte+n_Ventana),ISNUMBER(Detalle_24m!BC$37)),Detalle_24m!BC$37,INDEX(Vol_V,24,BC$170)/12)*(1+V_dVol),0))</f>
        <v>0</v>
      </c>
      <c r="BD200" s="48" t="n">
        <f aca="false">IF(BD$8=1,N(Reales!BD35),IF(BD$171=1,IF(AND(AND(51&gt;Corte,51&lt;=Corte+n_Ventana),ISNUMBER(Detalle_24m!BD$37)),Detalle_24m!BD$37,INDEX(Vol_V,24,BD$170)/12)*(1+V_dVol),0))</f>
        <v>0</v>
      </c>
      <c r="BE200" s="48" t="n">
        <f aca="false">IF(BE$8=1,N(Reales!BE35),IF(BE$171=1,IF(AND(AND(52&gt;Corte,52&lt;=Corte+n_Ventana),ISNUMBER(Detalle_24m!BE$37)),Detalle_24m!BE$37,INDEX(Vol_V,24,BE$170)/12)*(1+V_dVol),0))</f>
        <v>0</v>
      </c>
      <c r="BF200" s="48" t="n">
        <f aca="false">IF(BF$8=1,N(Reales!BF35),IF(BF$171=1,IF(AND(AND(53&gt;Corte,53&lt;=Corte+n_Ventana),ISNUMBER(Detalle_24m!BF$37)),Detalle_24m!BF$37,INDEX(Vol_V,24,BF$170)/12)*(1+V_dVol),0))</f>
        <v>0</v>
      </c>
      <c r="BG200" s="48" t="n">
        <f aca="false">IF(BG$8=1,N(Reales!BG35),IF(BG$171=1,IF(AND(AND(54&gt;Corte,54&lt;=Corte+n_Ventana),ISNUMBER(Detalle_24m!BG$37)),Detalle_24m!BG$37,INDEX(Vol_V,24,BG$170)/12)*(1+V_dVol),0))</f>
        <v>0</v>
      </c>
      <c r="BH200" s="48" t="n">
        <f aca="false">IF(BH$8=1,N(Reales!BH35),IF(BH$171=1,IF(AND(AND(55&gt;Corte,55&lt;=Corte+n_Ventana),ISNUMBER(Detalle_24m!BH$37)),Detalle_24m!BH$37,INDEX(Vol_V,24,BH$170)/12)*(1+V_dVol),0))</f>
        <v>0</v>
      </c>
      <c r="BI200" s="48" t="n">
        <f aca="false">IF(BI$8=1,N(Reales!BI35),IF(BI$171=1,IF(AND(AND(56&gt;Corte,56&lt;=Corte+n_Ventana),ISNUMBER(Detalle_24m!BI$37)),Detalle_24m!BI$37,INDEX(Vol_V,24,BI$170)/12)*(1+V_dVol),0))</f>
        <v>0</v>
      </c>
      <c r="BJ200" s="48" t="n">
        <f aca="false">IF(BJ$8=1,N(Reales!BJ35),IF(BJ$171=1,IF(AND(AND(57&gt;Corte,57&lt;=Corte+n_Ventana),ISNUMBER(Detalle_24m!BJ$37)),Detalle_24m!BJ$37,INDEX(Vol_V,24,BJ$170)/12)*(1+V_dVol),0))</f>
        <v>0</v>
      </c>
      <c r="BK200" s="48" t="n">
        <f aca="false">IF(BK$8=1,N(Reales!BK35),IF(BK$171=1,IF(AND(AND(58&gt;Corte,58&lt;=Corte+n_Ventana),ISNUMBER(Detalle_24m!BK$37)),Detalle_24m!BK$37,INDEX(Vol_V,24,BK$170)/12)*(1+V_dVol),0))</f>
        <v>0</v>
      </c>
      <c r="BL200" s="48" t="n">
        <f aca="false">IF(BL$8=1,N(Reales!BL35),IF(BL$171=1,IF(AND(AND(59&gt;Corte,59&lt;=Corte+n_Ventana),ISNUMBER(Detalle_24m!BL$37)),Detalle_24m!BL$37,INDEX(Vol_V,24,BL$170)/12)*(1+V_dVol),0))</f>
        <v>0</v>
      </c>
      <c r="BM200" s="48" t="n">
        <f aca="false">IF(BM$8=1,N(Reales!BM35),IF(BM$171=1,IF(AND(AND(60&gt;Corte,60&lt;=Corte+n_Ventana),ISNUMBER(Detalle_24m!BM$37)),Detalle_24m!BM$37,INDEX(Vol_V,24,BM$170)/12)*(1+V_dVol),0))</f>
        <v>0</v>
      </c>
      <c r="BN200" s="48" t="n">
        <f aca="false">IF(BN$8=1,N(Reales!BN35),IF(BN$171=1,IF(AND(AND(61&gt;Corte,61&lt;=Corte+n_Ventana),ISNUMBER(Detalle_24m!BN$37)),Detalle_24m!BN$37,INDEX(Vol_V,24,BN$170)/12)*(1+V_dVol),0))</f>
        <v>0</v>
      </c>
      <c r="BO200" s="48" t="n">
        <f aca="false">IF(BO$8=1,N(Reales!BO35),IF(BO$171=1,IF(AND(AND(62&gt;Corte,62&lt;=Corte+n_Ventana),ISNUMBER(Detalle_24m!BO$37)),Detalle_24m!BO$37,INDEX(Vol_V,24,BO$170)/12)*(1+V_dVol),0))</f>
        <v>0</v>
      </c>
      <c r="BP200" s="48" t="n">
        <f aca="false">IF(BP$8=1,N(Reales!BP35),IF(BP$171=1,IF(AND(AND(63&gt;Corte,63&lt;=Corte+n_Ventana),ISNUMBER(Detalle_24m!BP$37)),Detalle_24m!BP$37,INDEX(Vol_V,24,BP$170)/12)*(1+V_dVol),0))</f>
        <v>0</v>
      </c>
      <c r="BQ200" s="48" t="n">
        <f aca="false">IF(BQ$8=1,N(Reales!BQ35),IF(BQ$171=1,IF(AND(AND(64&gt;Corte,64&lt;=Corte+n_Ventana),ISNUMBER(Detalle_24m!BQ$37)),Detalle_24m!BQ$37,INDEX(Vol_V,24,BQ$170)/12)*(1+V_dVol),0))</f>
        <v>0</v>
      </c>
      <c r="BR200" s="48" t="n">
        <f aca="false">IF(BR$8=1,N(Reales!BR35),IF(BR$171=1,IF(AND(AND(65&gt;Corte,65&lt;=Corte+n_Ventana),ISNUMBER(Detalle_24m!BR$37)),Detalle_24m!BR$37,INDEX(Vol_V,24,BR$170)/12)*(1+V_dVol),0))</f>
        <v>0</v>
      </c>
      <c r="BS200" s="48" t="n">
        <f aca="false">IF(BS$8=1,N(Reales!BS35),IF(BS$171=1,IF(AND(AND(66&gt;Corte,66&lt;=Corte+n_Ventana),ISNUMBER(Detalle_24m!BS$37)),Detalle_24m!BS$37,INDEX(Vol_V,24,BS$170)/12)*(1+V_dVol),0))</f>
        <v>0</v>
      </c>
      <c r="BT200" s="48" t="n">
        <f aca="false">IF(BT$8=1,N(Reales!BT35),IF(BT$171=1,IF(AND(AND(67&gt;Corte,67&lt;=Corte+n_Ventana),ISNUMBER(Detalle_24m!BT$37)),Detalle_24m!BT$37,INDEX(Vol_V,24,BT$170)/12)*(1+V_dVol),0))</f>
        <v>0</v>
      </c>
      <c r="BU200" s="48" t="n">
        <f aca="false">IF(BU$8=1,N(Reales!BU35),IF(BU$171=1,IF(AND(AND(68&gt;Corte,68&lt;=Corte+n_Ventana),ISNUMBER(Detalle_24m!BU$37)),Detalle_24m!BU$37,INDEX(Vol_V,24,BU$170)/12)*(1+V_dVol),0))</f>
        <v>0</v>
      </c>
      <c r="BV200" s="48" t="n">
        <f aca="false">IF(BV$8=1,N(Reales!BV35),IF(BV$171=1,IF(AND(AND(69&gt;Corte,69&lt;=Corte+n_Ventana),ISNUMBER(Detalle_24m!BV$37)),Detalle_24m!BV$37,INDEX(Vol_V,24,BV$170)/12)*(1+V_dVol),0))</f>
        <v>0</v>
      </c>
      <c r="BW200" s="48" t="n">
        <f aca="false">IF(BW$8=1,N(Reales!BW35),IF(BW$171=1,IF(AND(AND(70&gt;Corte,70&lt;=Corte+n_Ventana),ISNUMBER(Detalle_24m!BW$37)),Detalle_24m!BW$37,INDEX(Vol_V,24,BW$170)/12)*(1+V_dVol),0))</f>
        <v>0</v>
      </c>
      <c r="BX200" s="48" t="n">
        <f aca="false">IF(BX$8=1,N(Reales!BX35),IF(BX$171=1,IF(AND(AND(71&gt;Corte,71&lt;=Corte+n_Ventana),ISNUMBER(Detalle_24m!BX$37)),Detalle_24m!BX$37,INDEX(Vol_V,24,BX$170)/12)*(1+V_dVol),0))</f>
        <v>0</v>
      </c>
      <c r="BY200" s="48" t="n">
        <f aca="false">IF(BY$8=1,N(Reales!BY35),IF(BY$171=1,IF(AND(AND(72&gt;Corte,72&lt;=Corte+n_Ventana),ISNUMBER(Detalle_24m!BY$37)),Detalle_24m!BY$37,INDEX(Vol_V,24,BY$170)/12)*(1+V_dVol),0))</f>
        <v>0</v>
      </c>
      <c r="BZ200" s="48" t="n">
        <f aca="false">IF(BZ$8=1,N(Reales!BZ35),IF(BZ$171=1,IF(AND(AND(73&gt;Corte,73&lt;=Corte+n_Ventana),ISNUMBER(Detalle_24m!BZ$37)),Detalle_24m!BZ$37,INDEX(Vol_V,24,BZ$170)/12)*(1+V_dVol),0))</f>
        <v>0</v>
      </c>
      <c r="CA200" s="48" t="n">
        <f aca="false">IF(CA$8=1,N(Reales!CA35),IF(CA$171=1,IF(AND(AND(74&gt;Corte,74&lt;=Corte+n_Ventana),ISNUMBER(Detalle_24m!CA$37)),Detalle_24m!CA$37,INDEX(Vol_V,24,CA$170)/12)*(1+V_dVol),0))</f>
        <v>0</v>
      </c>
      <c r="CB200" s="48" t="n">
        <f aca="false">IF(CB$8=1,N(Reales!CB35),IF(CB$171=1,IF(AND(AND(75&gt;Corte,75&lt;=Corte+n_Ventana),ISNUMBER(Detalle_24m!CB$37)),Detalle_24m!CB$37,INDEX(Vol_V,24,CB$170)/12)*(1+V_dVol),0))</f>
        <v>0</v>
      </c>
      <c r="CC200" s="48" t="n">
        <f aca="false">IF(CC$8=1,N(Reales!CC35),IF(CC$171=1,IF(AND(AND(76&gt;Corte,76&lt;=Corte+n_Ventana),ISNUMBER(Detalle_24m!CC$37)),Detalle_24m!CC$37,INDEX(Vol_V,24,CC$170)/12)*(1+V_dVol),0))</f>
        <v>0</v>
      </c>
      <c r="CD200" s="48" t="n">
        <f aca="false">IF(CD$8=1,N(Reales!CD35),IF(CD$171=1,IF(AND(AND(77&gt;Corte,77&lt;=Corte+n_Ventana),ISNUMBER(Detalle_24m!CD$37)),Detalle_24m!CD$37,INDEX(Vol_V,24,CD$170)/12)*(1+V_dVol),0))</f>
        <v>0</v>
      </c>
      <c r="CE200" s="48" t="n">
        <f aca="false">IF(CE$8=1,N(Reales!CE35),IF(CE$171=1,IF(AND(AND(78&gt;Corte,78&lt;=Corte+n_Ventana),ISNUMBER(Detalle_24m!CE$37)),Detalle_24m!CE$37,INDEX(Vol_V,24,CE$170)/12)*(1+V_dVol),0))</f>
        <v>0</v>
      </c>
      <c r="CF200" s="48" t="n">
        <f aca="false">IF(CF$8=1,N(Reales!CF35),IF(CF$171=1,IF(AND(AND(79&gt;Corte,79&lt;=Corte+n_Ventana),ISNUMBER(Detalle_24m!CF$37)),Detalle_24m!CF$37,INDEX(Vol_V,24,CF$170)/12)*(1+V_dVol),0))</f>
        <v>0</v>
      </c>
      <c r="CG200" s="48" t="n">
        <f aca="false">IF(CG$8=1,N(Reales!CG35),IF(CG$171=1,IF(AND(AND(80&gt;Corte,80&lt;=Corte+n_Ventana),ISNUMBER(Detalle_24m!CG$37)),Detalle_24m!CG$37,INDEX(Vol_V,24,CG$170)/12)*(1+V_dVol),0))</f>
        <v>0</v>
      </c>
      <c r="CH200" s="48" t="n">
        <f aca="false">IF(CH$8=1,N(Reales!CH35),IF(CH$171=1,IF(AND(AND(81&gt;Corte,81&lt;=Corte+n_Ventana),ISNUMBER(Detalle_24m!CH$37)),Detalle_24m!CH$37,INDEX(Vol_V,24,CH$170)/12)*(1+V_dVol),0))</f>
        <v>0</v>
      </c>
      <c r="CI200" s="48" t="n">
        <f aca="false">IF(CI$8=1,N(Reales!CI35),IF(CI$171=1,IF(AND(AND(82&gt;Corte,82&lt;=Corte+n_Ventana),ISNUMBER(Detalle_24m!CI$37)),Detalle_24m!CI$37,INDEX(Vol_V,24,CI$170)/12)*(1+V_dVol),0))</f>
        <v>0</v>
      </c>
      <c r="CJ200" s="48" t="n">
        <f aca="false">IF(CJ$8=1,N(Reales!CJ35),IF(CJ$171=1,IF(AND(AND(83&gt;Corte,83&lt;=Corte+n_Ventana),ISNUMBER(Detalle_24m!CJ$37)),Detalle_24m!CJ$37,INDEX(Vol_V,24,CJ$170)/12)*(1+V_dVol),0))</f>
        <v>0</v>
      </c>
      <c r="CK200" s="48" t="n">
        <f aca="false">IF(CK$8=1,N(Reales!CK35),IF(CK$171=1,IF(AND(AND(84&gt;Corte,84&lt;=Corte+n_Ventana),ISNUMBER(Detalle_24m!CK$37)),Detalle_24m!CK$37,INDEX(Vol_V,24,CK$170)/12)*(1+V_dVol),0))</f>
        <v>0</v>
      </c>
      <c r="CL200" s="48" t="n">
        <f aca="false">IF(CL$8=1,N(Reales!CL35),IF(CL$171=1,IF(AND(AND(85&gt;Corte,85&lt;=Corte+n_Ventana),ISNUMBER(Detalle_24m!CL$37)),Detalle_24m!CL$37,INDEX(Vol_V,24,CL$170)/12)*(1+V_dVol),0))</f>
        <v>0</v>
      </c>
      <c r="CM200" s="48" t="n">
        <f aca="false">IF(CM$8=1,N(Reales!CM35),IF(CM$171=1,IF(AND(AND(86&gt;Corte,86&lt;=Corte+n_Ventana),ISNUMBER(Detalle_24m!CM$37)),Detalle_24m!CM$37,INDEX(Vol_V,24,CM$170)/12)*(1+V_dVol),0))</f>
        <v>0</v>
      </c>
      <c r="CN200" s="48" t="n">
        <f aca="false">IF(CN$8=1,N(Reales!CN35),IF(CN$171=1,IF(AND(AND(87&gt;Corte,87&lt;=Corte+n_Ventana),ISNUMBER(Detalle_24m!CN$37)),Detalle_24m!CN$37,INDEX(Vol_V,24,CN$170)/12)*(1+V_dVol),0))</f>
        <v>0</v>
      </c>
      <c r="CO200" s="48" t="n">
        <f aca="false">IF(CO$8=1,N(Reales!CO35),IF(CO$171=1,IF(AND(AND(88&gt;Corte,88&lt;=Corte+n_Ventana),ISNUMBER(Detalle_24m!CO$37)),Detalle_24m!CO$37,INDEX(Vol_V,24,CO$170)/12)*(1+V_dVol),0))</f>
        <v>0</v>
      </c>
      <c r="CP200" s="48" t="n">
        <f aca="false">IF(CP$8=1,N(Reales!CP35),IF(CP$171=1,IF(AND(AND(89&gt;Corte,89&lt;=Corte+n_Ventana),ISNUMBER(Detalle_24m!CP$37)),Detalle_24m!CP$37,INDEX(Vol_V,24,CP$170)/12)*(1+V_dVol),0))</f>
        <v>0</v>
      </c>
      <c r="CQ200" s="48" t="n">
        <f aca="false">IF(CQ$8=1,N(Reales!CQ35),IF(CQ$171=1,IF(AND(AND(90&gt;Corte,90&lt;=Corte+n_Ventana),ISNUMBER(Detalle_24m!CQ$37)),Detalle_24m!CQ$37,INDEX(Vol_V,24,CQ$170)/12)*(1+V_dVol),0))</f>
        <v>0</v>
      </c>
      <c r="CR200" s="48" t="n">
        <f aca="false">IF(CR$8=1,N(Reales!CR35),IF(CR$171=1,IF(AND(AND(91&gt;Corte,91&lt;=Corte+n_Ventana),ISNUMBER(Detalle_24m!CR$37)),Detalle_24m!CR$37,INDEX(Vol_V,24,CR$170)/12)*(1+V_dVol),0))</f>
        <v>0</v>
      </c>
      <c r="CS200" s="48" t="n">
        <f aca="false">IF(CS$8=1,N(Reales!CS35),IF(CS$171=1,IF(AND(AND(92&gt;Corte,92&lt;=Corte+n_Ventana),ISNUMBER(Detalle_24m!CS$37)),Detalle_24m!CS$37,INDEX(Vol_V,24,CS$170)/12)*(1+V_dVol),0))</f>
        <v>0</v>
      </c>
      <c r="CT200" s="48" t="n">
        <f aca="false">IF(CT$8=1,N(Reales!CT35),IF(CT$171=1,IF(AND(AND(93&gt;Corte,93&lt;=Corte+n_Ventana),ISNUMBER(Detalle_24m!CT$37)),Detalle_24m!CT$37,INDEX(Vol_V,24,CT$170)/12)*(1+V_dVol),0))</f>
        <v>0</v>
      </c>
      <c r="CU200" s="48" t="n">
        <f aca="false">IF(CU$8=1,N(Reales!CU35),IF(CU$171=1,IF(AND(AND(94&gt;Corte,94&lt;=Corte+n_Ventana),ISNUMBER(Detalle_24m!CU$37)),Detalle_24m!CU$37,INDEX(Vol_V,24,CU$170)/12)*(1+V_dVol),0))</f>
        <v>0</v>
      </c>
      <c r="CV200" s="48" t="n">
        <f aca="false">IF(CV$8=1,N(Reales!CV35),IF(CV$171=1,IF(AND(AND(95&gt;Corte,95&lt;=Corte+n_Ventana),ISNUMBER(Detalle_24m!CV$37)),Detalle_24m!CV$37,INDEX(Vol_V,24,CV$170)/12)*(1+V_dVol),0))</f>
        <v>0</v>
      </c>
      <c r="CW200" s="48" t="n">
        <f aca="false">IF(CW$8=1,N(Reales!CW35),IF(CW$171=1,IF(AND(AND(96&gt;Corte,96&lt;=Corte+n_Ventana),ISNUMBER(Detalle_24m!CW$37)),Detalle_24m!CW$37,INDEX(Vol_V,24,CW$170)/12)*(1+V_dVol),0))</f>
        <v>0</v>
      </c>
      <c r="CX200" s="48" t="n">
        <f aca="false">IF(CX$8=1,N(Reales!CX35),IF(CX$171=1,IF(AND(AND(97&gt;Corte,97&lt;=Corte+n_Ventana),ISNUMBER(Detalle_24m!CX$37)),Detalle_24m!CX$37,INDEX(Vol_V,24,CX$170)/12)*(1+V_dVol),0))</f>
        <v>0</v>
      </c>
      <c r="CY200" s="48" t="n">
        <f aca="false">IF(CY$8=1,N(Reales!CY35),IF(CY$171=1,IF(AND(AND(98&gt;Corte,98&lt;=Corte+n_Ventana),ISNUMBER(Detalle_24m!CY$37)),Detalle_24m!CY$37,INDEX(Vol_V,24,CY$170)/12)*(1+V_dVol),0))</f>
        <v>0</v>
      </c>
      <c r="CZ200" s="48" t="n">
        <f aca="false">IF(CZ$8=1,N(Reales!CZ35),IF(CZ$171=1,IF(AND(AND(99&gt;Corte,99&lt;=Corte+n_Ventana),ISNUMBER(Detalle_24m!CZ$37)),Detalle_24m!CZ$37,INDEX(Vol_V,24,CZ$170)/12)*(1+V_dVol),0))</f>
        <v>0</v>
      </c>
      <c r="DA200" s="48" t="n">
        <f aca="false">IF(DA$8=1,N(Reales!DA35),IF(DA$171=1,IF(AND(AND(100&gt;Corte,100&lt;=Corte+n_Ventana),ISNUMBER(Detalle_24m!DA$37)),Detalle_24m!DA$37,INDEX(Vol_V,24,DA$170)/12)*(1+V_dVol),0))</f>
        <v>0</v>
      </c>
      <c r="DB200" s="48" t="n">
        <f aca="false">IF(DB$8=1,N(Reales!DB35),IF(DB$171=1,IF(AND(AND(101&gt;Corte,101&lt;=Corte+n_Ventana),ISNUMBER(Detalle_24m!DB$37)),Detalle_24m!DB$37,INDEX(Vol_V,24,DB$170)/12)*(1+V_dVol),0))</f>
        <v>0</v>
      </c>
      <c r="DC200" s="48" t="n">
        <f aca="false">IF(DC$8=1,N(Reales!DC35),IF(DC$171=1,IF(AND(AND(102&gt;Corte,102&lt;=Corte+n_Ventana),ISNUMBER(Detalle_24m!DC$37)),Detalle_24m!DC$37,INDEX(Vol_V,24,DC$170)/12)*(1+V_dVol),0))</f>
        <v>0</v>
      </c>
      <c r="DD200" s="48" t="n">
        <f aca="false">IF(DD$8=1,N(Reales!DD35),IF(DD$171=1,IF(AND(AND(103&gt;Corte,103&lt;=Corte+n_Ventana),ISNUMBER(Detalle_24m!DD$37)),Detalle_24m!DD$37,INDEX(Vol_V,24,DD$170)/12)*(1+V_dVol),0))</f>
        <v>0</v>
      </c>
      <c r="DE200" s="48" t="n">
        <f aca="false">IF(DE$8=1,N(Reales!DE35),IF(DE$171=1,IF(AND(AND(104&gt;Corte,104&lt;=Corte+n_Ventana),ISNUMBER(Detalle_24m!DE$37)),Detalle_24m!DE$37,INDEX(Vol_V,24,DE$170)/12)*(1+V_dVol),0))</f>
        <v>0</v>
      </c>
      <c r="DF200" s="48" t="n">
        <f aca="false">IF(DF$8=1,N(Reales!DF35),IF(DF$171=1,IF(AND(AND(105&gt;Corte,105&lt;=Corte+n_Ventana),ISNUMBER(Detalle_24m!DF$37)),Detalle_24m!DF$37,INDEX(Vol_V,24,DF$170)/12)*(1+V_dVol),0))</f>
        <v>0</v>
      </c>
      <c r="DG200" s="48" t="n">
        <f aca="false">IF(DG$8=1,N(Reales!DG35),IF(DG$171=1,IF(AND(AND(106&gt;Corte,106&lt;=Corte+n_Ventana),ISNUMBER(Detalle_24m!DG$37)),Detalle_24m!DG$37,INDEX(Vol_V,24,DG$170)/12)*(1+V_dVol),0))</f>
        <v>0</v>
      </c>
      <c r="DH200" s="48" t="n">
        <f aca="false">IF(DH$8=1,N(Reales!DH35),IF(DH$171=1,IF(AND(AND(107&gt;Corte,107&lt;=Corte+n_Ventana),ISNUMBER(Detalle_24m!DH$37)),Detalle_24m!DH$37,INDEX(Vol_V,24,DH$170)/12)*(1+V_dVol),0))</f>
        <v>0</v>
      </c>
      <c r="DI200" s="48" t="n">
        <f aca="false">IF(DI$8=1,N(Reales!DI35),IF(DI$171=1,IF(AND(AND(108&gt;Corte,108&lt;=Corte+n_Ventana),ISNUMBER(Detalle_24m!DI$37)),Detalle_24m!DI$37,INDEX(Vol_V,24,DI$170)/12)*(1+V_dVol),0))</f>
        <v>0</v>
      </c>
      <c r="DJ200" s="48" t="n">
        <f aca="false">IF(DJ$8=1,N(Reales!DJ35),IF(DJ$171=1,IF(AND(AND(109&gt;Corte,109&lt;=Corte+n_Ventana),ISNUMBER(Detalle_24m!DJ$37)),Detalle_24m!DJ$37,INDEX(Vol_V,24,DJ$170)/12)*(1+V_dVol),0))</f>
        <v>0</v>
      </c>
      <c r="DK200" s="48" t="n">
        <f aca="false">IF(DK$8=1,N(Reales!DK35),IF(DK$171=1,IF(AND(AND(110&gt;Corte,110&lt;=Corte+n_Ventana),ISNUMBER(Detalle_24m!DK$37)),Detalle_24m!DK$37,INDEX(Vol_V,24,DK$170)/12)*(1+V_dVol),0))</f>
        <v>0</v>
      </c>
      <c r="DL200" s="48" t="n">
        <f aca="false">IF(DL$8=1,N(Reales!DL35),IF(DL$171=1,IF(AND(AND(111&gt;Corte,111&lt;=Corte+n_Ventana),ISNUMBER(Detalle_24m!DL$37)),Detalle_24m!DL$37,INDEX(Vol_V,24,DL$170)/12)*(1+V_dVol),0))</f>
        <v>0</v>
      </c>
      <c r="DM200" s="48" t="n">
        <f aca="false">IF(DM$8=1,N(Reales!DM35),IF(DM$171=1,IF(AND(AND(112&gt;Corte,112&lt;=Corte+n_Ventana),ISNUMBER(Detalle_24m!DM$37)),Detalle_24m!DM$37,INDEX(Vol_V,24,DM$170)/12)*(1+V_dVol),0))</f>
        <v>0</v>
      </c>
      <c r="DN200" s="48" t="n">
        <f aca="false">IF(DN$8=1,N(Reales!DN35),IF(DN$171=1,IF(AND(AND(113&gt;Corte,113&lt;=Corte+n_Ventana),ISNUMBER(Detalle_24m!DN$37)),Detalle_24m!DN$37,INDEX(Vol_V,24,DN$170)/12)*(1+V_dVol),0))</f>
        <v>0</v>
      </c>
      <c r="DO200" s="48" t="n">
        <f aca="false">IF(DO$8=1,N(Reales!DO35),IF(DO$171=1,IF(AND(AND(114&gt;Corte,114&lt;=Corte+n_Ventana),ISNUMBER(Detalle_24m!DO$37)),Detalle_24m!DO$37,INDEX(Vol_V,24,DO$170)/12)*(1+V_dVol),0))</f>
        <v>0</v>
      </c>
      <c r="DP200" s="48" t="n">
        <f aca="false">IF(DP$8=1,N(Reales!DP35),IF(DP$171=1,IF(AND(AND(115&gt;Corte,115&lt;=Corte+n_Ventana),ISNUMBER(Detalle_24m!DP$37)),Detalle_24m!DP$37,INDEX(Vol_V,24,DP$170)/12)*(1+V_dVol),0))</f>
        <v>0</v>
      </c>
      <c r="DQ200" s="48" t="n">
        <f aca="false">IF(DQ$8=1,N(Reales!DQ35),IF(DQ$171=1,IF(AND(AND(116&gt;Corte,116&lt;=Corte+n_Ventana),ISNUMBER(Detalle_24m!DQ$37)),Detalle_24m!DQ$37,INDEX(Vol_V,24,DQ$170)/12)*(1+V_dVol),0))</f>
        <v>0</v>
      </c>
      <c r="DR200" s="48" t="n">
        <f aca="false">IF(DR$8=1,N(Reales!DR35),IF(DR$171=1,IF(AND(AND(117&gt;Corte,117&lt;=Corte+n_Ventana),ISNUMBER(Detalle_24m!DR$37)),Detalle_24m!DR$37,INDEX(Vol_V,24,DR$170)/12)*(1+V_dVol),0))</f>
        <v>0</v>
      </c>
      <c r="DS200" s="48" t="n">
        <f aca="false">IF(DS$8=1,N(Reales!DS35),IF(DS$171=1,IF(AND(AND(118&gt;Corte,118&lt;=Corte+n_Ventana),ISNUMBER(Detalle_24m!DS$37)),Detalle_24m!DS$37,INDEX(Vol_V,24,DS$170)/12)*(1+V_dVol),0))</f>
        <v>0</v>
      </c>
      <c r="DT200" s="48" t="n">
        <f aca="false">IF(DT$8=1,N(Reales!DT35),IF(DT$171=1,IF(AND(AND(119&gt;Corte,119&lt;=Corte+n_Ventana),ISNUMBER(Detalle_24m!DT$37)),Detalle_24m!DT$37,INDEX(Vol_V,24,DT$170)/12)*(1+V_dVol),0))</f>
        <v>0</v>
      </c>
      <c r="DU200" s="48" t="n">
        <f aca="false">IF(DU$8=1,N(Reales!DU35),IF(DU$171=1,IF(AND(AND(120&gt;Corte,120&lt;=Corte+n_Ventana),ISNUMBER(Detalle_24m!DU$37)),Detalle_24m!DU$37,INDEX(Vol_V,24,DU$170)/12)*(1+V_dVol),0))</f>
        <v>0</v>
      </c>
      <c r="DV200" s="48" t="n">
        <f aca="false">IF(DV$8=1,N(Reales!DV35),IF(DV$171=1,IF(AND(AND(121&gt;Corte,121&lt;=Corte+n_Ventana),ISNUMBER(Detalle_24m!DV$37)),Detalle_24m!DV$37,INDEX(Vol_V,24,DV$170)/12)*(1+V_dVol),0))</f>
        <v>0</v>
      </c>
      <c r="DW200" s="48" t="n">
        <f aca="false">IF(DW$8=1,N(Reales!DW35),IF(DW$171=1,IF(AND(AND(122&gt;Corte,122&lt;=Corte+n_Ventana),ISNUMBER(Detalle_24m!DW$37)),Detalle_24m!DW$37,INDEX(Vol_V,24,DW$170)/12)*(1+V_dVol),0))</f>
        <v>0</v>
      </c>
      <c r="DX200" s="48" t="n">
        <f aca="false">IF(DX$8=1,N(Reales!DX35),IF(DX$171=1,IF(AND(AND(123&gt;Corte,123&lt;=Corte+n_Ventana),ISNUMBER(Detalle_24m!DX$37)),Detalle_24m!DX$37,INDEX(Vol_V,24,DX$170)/12)*(1+V_dVol),0))</f>
        <v>0</v>
      </c>
      <c r="DY200" s="48" t="n">
        <f aca="false">IF(DY$8=1,N(Reales!DY35),IF(DY$171=1,IF(AND(AND(124&gt;Corte,124&lt;=Corte+n_Ventana),ISNUMBER(Detalle_24m!DY$37)),Detalle_24m!DY$37,INDEX(Vol_V,24,DY$170)/12)*(1+V_dVol),0))</f>
        <v>0</v>
      </c>
      <c r="DZ200" s="48" t="n">
        <f aca="false">IF(DZ$8=1,N(Reales!DZ35),IF(DZ$171=1,IF(AND(AND(125&gt;Corte,125&lt;=Corte+n_Ventana),ISNUMBER(Detalle_24m!DZ$37)),Detalle_24m!DZ$37,INDEX(Vol_V,24,DZ$170)/12)*(1+V_dVol),0))</f>
        <v>0</v>
      </c>
      <c r="EA200" s="48" t="n">
        <f aca="false">IF(EA$8=1,N(Reales!EA35),IF(EA$171=1,IF(AND(AND(126&gt;Corte,126&lt;=Corte+n_Ventana),ISNUMBER(Detalle_24m!EA$37)),Detalle_24m!EA$37,INDEX(Vol_V,24,EA$170)/12)*(1+V_dVol),0))</f>
        <v>0</v>
      </c>
      <c r="EB200" s="48" t="n">
        <f aca="false">IF(EB$8=1,N(Reales!EB35),IF(EB$171=1,IF(AND(AND(127&gt;Corte,127&lt;=Corte+n_Ventana),ISNUMBER(Detalle_24m!EB$37)),Detalle_24m!EB$37,INDEX(Vol_V,24,EB$170)/12)*(1+V_dVol),0))</f>
        <v>0</v>
      </c>
      <c r="EC200" s="48" t="n">
        <f aca="false">IF(EC$8=1,N(Reales!EC35),IF(EC$171=1,IF(AND(AND(128&gt;Corte,128&lt;=Corte+n_Ventana),ISNUMBER(Detalle_24m!EC$37)),Detalle_24m!EC$37,INDEX(Vol_V,24,EC$170)/12)*(1+V_dVol),0))</f>
        <v>0</v>
      </c>
      <c r="ED200" s="48" t="n">
        <f aca="false">IF(ED$8=1,N(Reales!ED35),IF(ED$171=1,IF(AND(AND(129&gt;Corte,129&lt;=Corte+n_Ventana),ISNUMBER(Detalle_24m!ED$37)),Detalle_24m!ED$37,INDEX(Vol_V,24,ED$170)/12)*(1+V_dVol),0))</f>
        <v>0</v>
      </c>
      <c r="EE200" s="48" t="n">
        <f aca="false">IF(EE$8=1,N(Reales!EE35),IF(EE$171=1,IF(AND(AND(130&gt;Corte,130&lt;=Corte+n_Ventana),ISNUMBER(Detalle_24m!EE$37)),Detalle_24m!EE$37,INDEX(Vol_V,24,EE$170)/12)*(1+V_dVol),0))</f>
        <v>0</v>
      </c>
      <c r="EF200" s="48" t="n">
        <f aca="false">IF(EF$8=1,N(Reales!EF35),IF(EF$171=1,IF(AND(AND(131&gt;Corte,131&lt;=Corte+n_Ventana),ISNUMBER(Detalle_24m!EF$37)),Detalle_24m!EF$37,INDEX(Vol_V,24,EF$170)/12)*(1+V_dVol),0))</f>
        <v>0</v>
      </c>
      <c r="EG200" s="48" t="n">
        <f aca="false">IF(EG$8=1,N(Reales!EG35),IF(EG$171=1,IF(AND(AND(132&gt;Corte,132&lt;=Corte+n_Ventana),ISNUMBER(Detalle_24m!EG$37)),Detalle_24m!EG$37,INDEX(Vol_V,24,EG$170)/12)*(1+V_dVol),0))</f>
        <v>0</v>
      </c>
      <c r="EH200" s="48" t="n">
        <f aca="false">IF(EH$8=1,N(Reales!EH35),IF(EH$171=1,IF(AND(AND(133&gt;Corte,133&lt;=Corte+n_Ventana),ISNUMBER(Detalle_24m!EH$37)),Detalle_24m!EH$37,INDEX(Vol_V,24,EH$170)/12)*(1+V_dVol),0))</f>
        <v>0</v>
      </c>
      <c r="EI200" s="48" t="n">
        <f aca="false">IF(EI$8=1,N(Reales!EI35),IF(EI$171=1,IF(AND(AND(134&gt;Corte,134&lt;=Corte+n_Ventana),ISNUMBER(Detalle_24m!EI$37)),Detalle_24m!EI$37,INDEX(Vol_V,24,EI$170)/12)*(1+V_dVol),0))</f>
        <v>0</v>
      </c>
      <c r="EJ200" s="48" t="n">
        <f aca="false">IF(EJ$8=1,N(Reales!EJ35),IF(EJ$171=1,IF(AND(AND(135&gt;Corte,135&lt;=Corte+n_Ventana),ISNUMBER(Detalle_24m!EJ$37)),Detalle_24m!EJ$37,INDEX(Vol_V,24,EJ$170)/12)*(1+V_dVol),0))</f>
        <v>0</v>
      </c>
      <c r="EK200" s="48" t="n">
        <f aca="false">IF(EK$8=1,N(Reales!EK35),IF(EK$171=1,IF(AND(AND(136&gt;Corte,136&lt;=Corte+n_Ventana),ISNUMBER(Detalle_24m!EK$37)),Detalle_24m!EK$37,INDEX(Vol_V,24,EK$170)/12)*(1+V_dVol),0))</f>
        <v>0</v>
      </c>
      <c r="EL200" s="48" t="n">
        <f aca="false">IF(EL$8=1,N(Reales!EL35),IF(EL$171=1,IF(AND(AND(137&gt;Corte,137&lt;=Corte+n_Ventana),ISNUMBER(Detalle_24m!EL$37)),Detalle_24m!EL$37,INDEX(Vol_V,24,EL$170)/12)*(1+V_dVol),0))</f>
        <v>0</v>
      </c>
      <c r="EM200" s="48" t="n">
        <f aca="false">IF(EM$8=1,N(Reales!EM35),IF(EM$171=1,IF(AND(AND(138&gt;Corte,138&lt;=Corte+n_Ventana),ISNUMBER(Detalle_24m!EM$37)),Detalle_24m!EM$37,INDEX(Vol_V,24,EM$170)/12)*(1+V_dVol),0))</f>
        <v>0</v>
      </c>
      <c r="EN200" s="48" t="n">
        <f aca="false">IF(EN$8=1,N(Reales!EN35),IF(EN$171=1,IF(AND(AND(139&gt;Corte,139&lt;=Corte+n_Ventana),ISNUMBER(Detalle_24m!EN$37)),Detalle_24m!EN$37,INDEX(Vol_V,24,EN$170)/12)*(1+V_dVol),0))</f>
        <v>0</v>
      </c>
      <c r="EO200" s="48" t="n">
        <f aca="false">IF(EO$8=1,N(Reales!EO35),IF(EO$171=1,IF(AND(AND(140&gt;Corte,140&lt;=Corte+n_Ventana),ISNUMBER(Detalle_24m!EO$37)),Detalle_24m!EO$37,INDEX(Vol_V,24,EO$170)/12)*(1+V_dVol),0))</f>
        <v>0</v>
      </c>
      <c r="EP200" s="48" t="n">
        <f aca="false">IF(EP$8=1,N(Reales!EP35),IF(EP$171=1,IF(AND(AND(141&gt;Corte,141&lt;=Corte+n_Ventana),ISNUMBER(Detalle_24m!EP$37)),Detalle_24m!EP$37,INDEX(Vol_V,24,EP$170)/12)*(1+V_dVol),0))</f>
        <v>0</v>
      </c>
      <c r="EQ200" s="48" t="n">
        <f aca="false">IF(EQ$8=1,N(Reales!EQ35),IF(EQ$171=1,IF(AND(AND(142&gt;Corte,142&lt;=Corte+n_Ventana),ISNUMBER(Detalle_24m!EQ$37)),Detalle_24m!EQ$37,INDEX(Vol_V,24,EQ$170)/12)*(1+V_dVol),0))</f>
        <v>0</v>
      </c>
      <c r="ER200" s="48" t="n">
        <f aca="false">IF(ER$8=1,N(Reales!ER35),IF(ER$171=1,IF(AND(AND(143&gt;Corte,143&lt;=Corte+n_Ventana),ISNUMBER(Detalle_24m!ER$37)),Detalle_24m!ER$37,INDEX(Vol_V,24,ER$170)/12)*(1+V_dVol),0))</f>
        <v>0</v>
      </c>
      <c r="ES200" s="48" t="n">
        <f aca="false">IF(ES$8=1,N(Reales!ES35),IF(ES$171=1,IF(AND(AND(144&gt;Corte,144&lt;=Corte+n_Ventana),ISNUMBER(Detalle_24m!ES$37)),Detalle_24m!ES$37,INDEX(Vol_V,24,ES$170)/12)*(1+V_dVol),0))</f>
        <v>0</v>
      </c>
    </row>
    <row r="201" customFormat="false" ht="15" hidden="false" customHeight="false" outlineLevel="0" collapsed="false">
      <c r="A201" s="11" t="s">
        <v>1324</v>
      </c>
      <c r="B201" s="53" t="str">
        <f aca="false">IF(INDEX(Prod_Nombre,25)="","Producto 25",INDEX(Prod_Nombre,25))&amp;" — unidades"</f>
        <v>Producto 25 — unidades</v>
      </c>
      <c r="C201" s="15" t="s">
        <v>544</v>
      </c>
      <c r="E201" s="54" t="n">
        <f aca="false">SUM(F201:ES201)</f>
        <v>0</v>
      </c>
      <c r="F201" s="48" t="n">
        <f aca="false">IF(F$8=1,N(Reales!F36),IF(F$171=1,IF(AND(AND(1&gt;Corte,1&lt;=Corte+n_Ventana),ISNUMBER(Detalle_24m!F$38)),Detalle_24m!F$38,INDEX(Vol_V,25,F$170)/12)*(1+V_dVol),0))</f>
        <v>0</v>
      </c>
      <c r="G201" s="48" t="n">
        <f aca="false">IF(G$8=1,N(Reales!G36),IF(G$171=1,IF(AND(AND(2&gt;Corte,2&lt;=Corte+n_Ventana),ISNUMBER(Detalle_24m!G$38)),Detalle_24m!G$38,INDEX(Vol_V,25,G$170)/12)*(1+V_dVol),0))</f>
        <v>0</v>
      </c>
      <c r="H201" s="48" t="n">
        <f aca="false">IF(H$8=1,N(Reales!H36),IF(H$171=1,IF(AND(AND(3&gt;Corte,3&lt;=Corte+n_Ventana),ISNUMBER(Detalle_24m!H$38)),Detalle_24m!H$38,INDEX(Vol_V,25,H$170)/12)*(1+V_dVol),0))</f>
        <v>0</v>
      </c>
      <c r="I201" s="48" t="n">
        <f aca="false">IF(I$8=1,N(Reales!I36),IF(I$171=1,IF(AND(AND(4&gt;Corte,4&lt;=Corte+n_Ventana),ISNUMBER(Detalle_24m!I$38)),Detalle_24m!I$38,INDEX(Vol_V,25,I$170)/12)*(1+V_dVol),0))</f>
        <v>0</v>
      </c>
      <c r="J201" s="48" t="n">
        <f aca="false">IF(J$8=1,N(Reales!J36),IF(J$171=1,IF(AND(AND(5&gt;Corte,5&lt;=Corte+n_Ventana),ISNUMBER(Detalle_24m!J$38)),Detalle_24m!J$38,INDEX(Vol_V,25,J$170)/12)*(1+V_dVol),0))</f>
        <v>0</v>
      </c>
      <c r="K201" s="48" t="n">
        <f aca="false">IF(K$8=1,N(Reales!K36),IF(K$171=1,IF(AND(AND(6&gt;Corte,6&lt;=Corte+n_Ventana),ISNUMBER(Detalle_24m!K$38)),Detalle_24m!K$38,INDEX(Vol_V,25,K$170)/12)*(1+V_dVol),0))</f>
        <v>0</v>
      </c>
      <c r="L201" s="48" t="n">
        <f aca="false">IF(L$8=1,N(Reales!L36),IF(L$171=1,IF(AND(AND(7&gt;Corte,7&lt;=Corte+n_Ventana),ISNUMBER(Detalle_24m!L$38)),Detalle_24m!L$38,INDEX(Vol_V,25,L$170)/12)*(1+V_dVol),0))</f>
        <v>0</v>
      </c>
      <c r="M201" s="48" t="n">
        <f aca="false">IF(M$8=1,N(Reales!M36),IF(M$171=1,IF(AND(AND(8&gt;Corte,8&lt;=Corte+n_Ventana),ISNUMBER(Detalle_24m!M$38)),Detalle_24m!M$38,INDEX(Vol_V,25,M$170)/12)*(1+V_dVol),0))</f>
        <v>0</v>
      </c>
      <c r="N201" s="48" t="n">
        <f aca="false">IF(N$8=1,N(Reales!N36),IF(N$171=1,IF(AND(AND(9&gt;Corte,9&lt;=Corte+n_Ventana),ISNUMBER(Detalle_24m!N$38)),Detalle_24m!N$38,INDEX(Vol_V,25,N$170)/12)*(1+V_dVol),0))</f>
        <v>0</v>
      </c>
      <c r="O201" s="48" t="n">
        <f aca="false">IF(O$8=1,N(Reales!O36),IF(O$171=1,IF(AND(AND(10&gt;Corte,10&lt;=Corte+n_Ventana),ISNUMBER(Detalle_24m!O$38)),Detalle_24m!O$38,INDEX(Vol_V,25,O$170)/12)*(1+V_dVol),0))</f>
        <v>0</v>
      </c>
      <c r="P201" s="48" t="n">
        <f aca="false">IF(P$8=1,N(Reales!P36),IF(P$171=1,IF(AND(AND(11&gt;Corte,11&lt;=Corte+n_Ventana),ISNUMBER(Detalle_24m!P$38)),Detalle_24m!P$38,INDEX(Vol_V,25,P$170)/12)*(1+V_dVol),0))</f>
        <v>0</v>
      </c>
      <c r="Q201" s="48" t="n">
        <f aca="false">IF(Q$8=1,N(Reales!Q36),IF(Q$171=1,IF(AND(AND(12&gt;Corte,12&lt;=Corte+n_Ventana),ISNUMBER(Detalle_24m!Q$38)),Detalle_24m!Q$38,INDEX(Vol_V,25,Q$170)/12)*(1+V_dVol),0))</f>
        <v>0</v>
      </c>
      <c r="R201" s="48" t="n">
        <f aca="false">IF(R$8=1,N(Reales!R36),IF(R$171=1,IF(AND(AND(13&gt;Corte,13&lt;=Corte+n_Ventana),ISNUMBER(Detalle_24m!R$38)),Detalle_24m!R$38,INDEX(Vol_V,25,R$170)/12)*(1+V_dVol),0))</f>
        <v>0</v>
      </c>
      <c r="S201" s="48" t="n">
        <f aca="false">IF(S$8=1,N(Reales!S36),IF(S$171=1,IF(AND(AND(14&gt;Corte,14&lt;=Corte+n_Ventana),ISNUMBER(Detalle_24m!S$38)),Detalle_24m!S$38,INDEX(Vol_V,25,S$170)/12)*(1+V_dVol),0))</f>
        <v>0</v>
      </c>
      <c r="T201" s="48" t="n">
        <f aca="false">IF(T$8=1,N(Reales!T36),IF(T$171=1,IF(AND(AND(15&gt;Corte,15&lt;=Corte+n_Ventana),ISNUMBER(Detalle_24m!T$38)),Detalle_24m!T$38,INDEX(Vol_V,25,T$170)/12)*(1+V_dVol),0))</f>
        <v>0</v>
      </c>
      <c r="U201" s="48" t="n">
        <f aca="false">IF(U$8=1,N(Reales!U36),IF(U$171=1,IF(AND(AND(16&gt;Corte,16&lt;=Corte+n_Ventana),ISNUMBER(Detalle_24m!U$38)),Detalle_24m!U$38,INDEX(Vol_V,25,U$170)/12)*(1+V_dVol),0))</f>
        <v>0</v>
      </c>
      <c r="V201" s="48" t="n">
        <f aca="false">IF(V$8=1,N(Reales!V36),IF(V$171=1,IF(AND(AND(17&gt;Corte,17&lt;=Corte+n_Ventana),ISNUMBER(Detalle_24m!V$38)),Detalle_24m!V$38,INDEX(Vol_V,25,V$170)/12)*(1+V_dVol),0))</f>
        <v>0</v>
      </c>
      <c r="W201" s="48" t="n">
        <f aca="false">IF(W$8=1,N(Reales!W36),IF(W$171=1,IF(AND(AND(18&gt;Corte,18&lt;=Corte+n_Ventana),ISNUMBER(Detalle_24m!W$38)),Detalle_24m!W$38,INDEX(Vol_V,25,W$170)/12)*(1+V_dVol),0))</f>
        <v>0</v>
      </c>
      <c r="X201" s="48" t="n">
        <f aca="false">IF(X$8=1,N(Reales!X36),IF(X$171=1,IF(AND(AND(19&gt;Corte,19&lt;=Corte+n_Ventana),ISNUMBER(Detalle_24m!X$38)),Detalle_24m!X$38,INDEX(Vol_V,25,X$170)/12)*(1+V_dVol),0))</f>
        <v>0</v>
      </c>
      <c r="Y201" s="48" t="n">
        <f aca="false">IF(Y$8=1,N(Reales!Y36),IF(Y$171=1,IF(AND(AND(20&gt;Corte,20&lt;=Corte+n_Ventana),ISNUMBER(Detalle_24m!Y$38)),Detalle_24m!Y$38,INDEX(Vol_V,25,Y$170)/12)*(1+V_dVol),0))</f>
        <v>0</v>
      </c>
      <c r="Z201" s="48" t="n">
        <f aca="false">IF(Z$8=1,N(Reales!Z36),IF(Z$171=1,IF(AND(AND(21&gt;Corte,21&lt;=Corte+n_Ventana),ISNUMBER(Detalle_24m!Z$38)),Detalle_24m!Z$38,INDEX(Vol_V,25,Z$170)/12)*(1+V_dVol),0))</f>
        <v>0</v>
      </c>
      <c r="AA201" s="48" t="n">
        <f aca="false">IF(AA$8=1,N(Reales!AA36),IF(AA$171=1,IF(AND(AND(22&gt;Corte,22&lt;=Corte+n_Ventana),ISNUMBER(Detalle_24m!AA$38)),Detalle_24m!AA$38,INDEX(Vol_V,25,AA$170)/12)*(1+V_dVol),0))</f>
        <v>0</v>
      </c>
      <c r="AB201" s="48" t="n">
        <f aca="false">IF(AB$8=1,N(Reales!AB36),IF(AB$171=1,IF(AND(AND(23&gt;Corte,23&lt;=Corte+n_Ventana),ISNUMBER(Detalle_24m!AB$38)),Detalle_24m!AB$38,INDEX(Vol_V,25,AB$170)/12)*(1+V_dVol),0))</f>
        <v>0</v>
      </c>
      <c r="AC201" s="48" t="n">
        <f aca="false">IF(AC$8=1,N(Reales!AC36),IF(AC$171=1,IF(AND(AND(24&gt;Corte,24&lt;=Corte+n_Ventana),ISNUMBER(Detalle_24m!AC$38)),Detalle_24m!AC$38,INDEX(Vol_V,25,AC$170)/12)*(1+V_dVol),0))</f>
        <v>0</v>
      </c>
      <c r="AD201" s="48" t="n">
        <f aca="false">IF(AD$8=1,N(Reales!AD36),IF(AD$171=1,IF(AND(AND(25&gt;Corte,25&lt;=Corte+n_Ventana),ISNUMBER(Detalle_24m!AD$38)),Detalle_24m!AD$38,INDEX(Vol_V,25,AD$170)/12)*(1+V_dVol),0))</f>
        <v>0</v>
      </c>
      <c r="AE201" s="48" t="n">
        <f aca="false">IF(AE$8=1,N(Reales!AE36),IF(AE$171=1,IF(AND(AND(26&gt;Corte,26&lt;=Corte+n_Ventana),ISNUMBER(Detalle_24m!AE$38)),Detalle_24m!AE$38,INDEX(Vol_V,25,AE$170)/12)*(1+V_dVol),0))</f>
        <v>0</v>
      </c>
      <c r="AF201" s="48" t="n">
        <f aca="false">IF(AF$8=1,N(Reales!AF36),IF(AF$171=1,IF(AND(AND(27&gt;Corte,27&lt;=Corte+n_Ventana),ISNUMBER(Detalle_24m!AF$38)),Detalle_24m!AF$38,INDEX(Vol_V,25,AF$170)/12)*(1+V_dVol),0))</f>
        <v>0</v>
      </c>
      <c r="AG201" s="48" t="n">
        <f aca="false">IF(AG$8=1,N(Reales!AG36),IF(AG$171=1,IF(AND(AND(28&gt;Corte,28&lt;=Corte+n_Ventana),ISNUMBER(Detalle_24m!AG$38)),Detalle_24m!AG$38,INDEX(Vol_V,25,AG$170)/12)*(1+V_dVol),0))</f>
        <v>0</v>
      </c>
      <c r="AH201" s="48" t="n">
        <f aca="false">IF(AH$8=1,N(Reales!AH36),IF(AH$171=1,IF(AND(AND(29&gt;Corte,29&lt;=Corte+n_Ventana),ISNUMBER(Detalle_24m!AH$38)),Detalle_24m!AH$38,INDEX(Vol_V,25,AH$170)/12)*(1+V_dVol),0))</f>
        <v>0</v>
      </c>
      <c r="AI201" s="48" t="n">
        <f aca="false">IF(AI$8=1,N(Reales!AI36),IF(AI$171=1,IF(AND(AND(30&gt;Corte,30&lt;=Corte+n_Ventana),ISNUMBER(Detalle_24m!AI$38)),Detalle_24m!AI$38,INDEX(Vol_V,25,AI$170)/12)*(1+V_dVol),0))</f>
        <v>0</v>
      </c>
      <c r="AJ201" s="48" t="n">
        <f aca="false">IF(AJ$8=1,N(Reales!AJ36),IF(AJ$171=1,IF(AND(AND(31&gt;Corte,31&lt;=Corte+n_Ventana),ISNUMBER(Detalle_24m!AJ$38)),Detalle_24m!AJ$38,INDEX(Vol_V,25,AJ$170)/12)*(1+V_dVol),0))</f>
        <v>0</v>
      </c>
      <c r="AK201" s="48" t="n">
        <f aca="false">IF(AK$8=1,N(Reales!AK36),IF(AK$171=1,IF(AND(AND(32&gt;Corte,32&lt;=Corte+n_Ventana),ISNUMBER(Detalle_24m!AK$38)),Detalle_24m!AK$38,INDEX(Vol_V,25,AK$170)/12)*(1+V_dVol),0))</f>
        <v>0</v>
      </c>
      <c r="AL201" s="48" t="n">
        <f aca="false">IF(AL$8=1,N(Reales!AL36),IF(AL$171=1,IF(AND(AND(33&gt;Corte,33&lt;=Corte+n_Ventana),ISNUMBER(Detalle_24m!AL$38)),Detalle_24m!AL$38,INDEX(Vol_V,25,AL$170)/12)*(1+V_dVol),0))</f>
        <v>0</v>
      </c>
      <c r="AM201" s="48" t="n">
        <f aca="false">IF(AM$8=1,N(Reales!AM36),IF(AM$171=1,IF(AND(AND(34&gt;Corte,34&lt;=Corte+n_Ventana),ISNUMBER(Detalle_24m!AM$38)),Detalle_24m!AM$38,INDEX(Vol_V,25,AM$170)/12)*(1+V_dVol),0))</f>
        <v>0</v>
      </c>
      <c r="AN201" s="48" t="n">
        <f aca="false">IF(AN$8=1,N(Reales!AN36),IF(AN$171=1,IF(AND(AND(35&gt;Corte,35&lt;=Corte+n_Ventana),ISNUMBER(Detalle_24m!AN$38)),Detalle_24m!AN$38,INDEX(Vol_V,25,AN$170)/12)*(1+V_dVol),0))</f>
        <v>0</v>
      </c>
      <c r="AO201" s="48" t="n">
        <f aca="false">IF(AO$8=1,N(Reales!AO36),IF(AO$171=1,IF(AND(AND(36&gt;Corte,36&lt;=Corte+n_Ventana),ISNUMBER(Detalle_24m!AO$38)),Detalle_24m!AO$38,INDEX(Vol_V,25,AO$170)/12)*(1+V_dVol),0))</f>
        <v>0</v>
      </c>
      <c r="AP201" s="48" t="n">
        <f aca="false">IF(AP$8=1,N(Reales!AP36),IF(AP$171=1,IF(AND(AND(37&gt;Corte,37&lt;=Corte+n_Ventana),ISNUMBER(Detalle_24m!AP$38)),Detalle_24m!AP$38,INDEX(Vol_V,25,AP$170)/12)*(1+V_dVol),0))</f>
        <v>0</v>
      </c>
      <c r="AQ201" s="48" t="n">
        <f aca="false">IF(AQ$8=1,N(Reales!AQ36),IF(AQ$171=1,IF(AND(AND(38&gt;Corte,38&lt;=Corte+n_Ventana),ISNUMBER(Detalle_24m!AQ$38)),Detalle_24m!AQ$38,INDEX(Vol_V,25,AQ$170)/12)*(1+V_dVol),0))</f>
        <v>0</v>
      </c>
      <c r="AR201" s="48" t="n">
        <f aca="false">IF(AR$8=1,N(Reales!AR36),IF(AR$171=1,IF(AND(AND(39&gt;Corte,39&lt;=Corte+n_Ventana),ISNUMBER(Detalle_24m!AR$38)),Detalle_24m!AR$38,INDEX(Vol_V,25,AR$170)/12)*(1+V_dVol),0))</f>
        <v>0</v>
      </c>
      <c r="AS201" s="48" t="n">
        <f aca="false">IF(AS$8=1,N(Reales!AS36),IF(AS$171=1,IF(AND(AND(40&gt;Corte,40&lt;=Corte+n_Ventana),ISNUMBER(Detalle_24m!AS$38)),Detalle_24m!AS$38,INDEX(Vol_V,25,AS$170)/12)*(1+V_dVol),0))</f>
        <v>0</v>
      </c>
      <c r="AT201" s="48" t="n">
        <f aca="false">IF(AT$8=1,N(Reales!AT36),IF(AT$171=1,IF(AND(AND(41&gt;Corte,41&lt;=Corte+n_Ventana),ISNUMBER(Detalle_24m!AT$38)),Detalle_24m!AT$38,INDEX(Vol_V,25,AT$170)/12)*(1+V_dVol),0))</f>
        <v>0</v>
      </c>
      <c r="AU201" s="48" t="n">
        <f aca="false">IF(AU$8=1,N(Reales!AU36),IF(AU$171=1,IF(AND(AND(42&gt;Corte,42&lt;=Corte+n_Ventana),ISNUMBER(Detalle_24m!AU$38)),Detalle_24m!AU$38,INDEX(Vol_V,25,AU$170)/12)*(1+V_dVol),0))</f>
        <v>0</v>
      </c>
      <c r="AV201" s="48" t="n">
        <f aca="false">IF(AV$8=1,N(Reales!AV36),IF(AV$171=1,IF(AND(AND(43&gt;Corte,43&lt;=Corte+n_Ventana),ISNUMBER(Detalle_24m!AV$38)),Detalle_24m!AV$38,INDEX(Vol_V,25,AV$170)/12)*(1+V_dVol),0))</f>
        <v>0</v>
      </c>
      <c r="AW201" s="48" t="n">
        <f aca="false">IF(AW$8=1,N(Reales!AW36),IF(AW$171=1,IF(AND(AND(44&gt;Corte,44&lt;=Corte+n_Ventana),ISNUMBER(Detalle_24m!AW$38)),Detalle_24m!AW$38,INDEX(Vol_V,25,AW$170)/12)*(1+V_dVol),0))</f>
        <v>0</v>
      </c>
      <c r="AX201" s="48" t="n">
        <f aca="false">IF(AX$8=1,N(Reales!AX36),IF(AX$171=1,IF(AND(AND(45&gt;Corte,45&lt;=Corte+n_Ventana),ISNUMBER(Detalle_24m!AX$38)),Detalle_24m!AX$38,INDEX(Vol_V,25,AX$170)/12)*(1+V_dVol),0))</f>
        <v>0</v>
      </c>
      <c r="AY201" s="48" t="n">
        <f aca="false">IF(AY$8=1,N(Reales!AY36),IF(AY$171=1,IF(AND(AND(46&gt;Corte,46&lt;=Corte+n_Ventana),ISNUMBER(Detalle_24m!AY$38)),Detalle_24m!AY$38,INDEX(Vol_V,25,AY$170)/12)*(1+V_dVol),0))</f>
        <v>0</v>
      </c>
      <c r="AZ201" s="48" t="n">
        <f aca="false">IF(AZ$8=1,N(Reales!AZ36),IF(AZ$171=1,IF(AND(AND(47&gt;Corte,47&lt;=Corte+n_Ventana),ISNUMBER(Detalle_24m!AZ$38)),Detalle_24m!AZ$38,INDEX(Vol_V,25,AZ$170)/12)*(1+V_dVol),0))</f>
        <v>0</v>
      </c>
      <c r="BA201" s="48" t="n">
        <f aca="false">IF(BA$8=1,N(Reales!BA36),IF(BA$171=1,IF(AND(AND(48&gt;Corte,48&lt;=Corte+n_Ventana),ISNUMBER(Detalle_24m!BA$38)),Detalle_24m!BA$38,INDEX(Vol_V,25,BA$170)/12)*(1+V_dVol),0))</f>
        <v>0</v>
      </c>
      <c r="BB201" s="48" t="n">
        <f aca="false">IF(BB$8=1,N(Reales!BB36),IF(BB$171=1,IF(AND(AND(49&gt;Corte,49&lt;=Corte+n_Ventana),ISNUMBER(Detalle_24m!BB$38)),Detalle_24m!BB$38,INDEX(Vol_V,25,BB$170)/12)*(1+V_dVol),0))</f>
        <v>0</v>
      </c>
      <c r="BC201" s="48" t="n">
        <f aca="false">IF(BC$8=1,N(Reales!BC36),IF(BC$171=1,IF(AND(AND(50&gt;Corte,50&lt;=Corte+n_Ventana),ISNUMBER(Detalle_24m!BC$38)),Detalle_24m!BC$38,INDEX(Vol_V,25,BC$170)/12)*(1+V_dVol),0))</f>
        <v>0</v>
      </c>
      <c r="BD201" s="48" t="n">
        <f aca="false">IF(BD$8=1,N(Reales!BD36),IF(BD$171=1,IF(AND(AND(51&gt;Corte,51&lt;=Corte+n_Ventana),ISNUMBER(Detalle_24m!BD$38)),Detalle_24m!BD$38,INDEX(Vol_V,25,BD$170)/12)*(1+V_dVol),0))</f>
        <v>0</v>
      </c>
      <c r="BE201" s="48" t="n">
        <f aca="false">IF(BE$8=1,N(Reales!BE36),IF(BE$171=1,IF(AND(AND(52&gt;Corte,52&lt;=Corte+n_Ventana),ISNUMBER(Detalle_24m!BE$38)),Detalle_24m!BE$38,INDEX(Vol_V,25,BE$170)/12)*(1+V_dVol),0))</f>
        <v>0</v>
      </c>
      <c r="BF201" s="48" t="n">
        <f aca="false">IF(BF$8=1,N(Reales!BF36),IF(BF$171=1,IF(AND(AND(53&gt;Corte,53&lt;=Corte+n_Ventana),ISNUMBER(Detalle_24m!BF$38)),Detalle_24m!BF$38,INDEX(Vol_V,25,BF$170)/12)*(1+V_dVol),0))</f>
        <v>0</v>
      </c>
      <c r="BG201" s="48" t="n">
        <f aca="false">IF(BG$8=1,N(Reales!BG36),IF(BG$171=1,IF(AND(AND(54&gt;Corte,54&lt;=Corte+n_Ventana),ISNUMBER(Detalle_24m!BG$38)),Detalle_24m!BG$38,INDEX(Vol_V,25,BG$170)/12)*(1+V_dVol),0))</f>
        <v>0</v>
      </c>
      <c r="BH201" s="48" t="n">
        <f aca="false">IF(BH$8=1,N(Reales!BH36),IF(BH$171=1,IF(AND(AND(55&gt;Corte,55&lt;=Corte+n_Ventana),ISNUMBER(Detalle_24m!BH$38)),Detalle_24m!BH$38,INDEX(Vol_V,25,BH$170)/12)*(1+V_dVol),0))</f>
        <v>0</v>
      </c>
      <c r="BI201" s="48" t="n">
        <f aca="false">IF(BI$8=1,N(Reales!BI36),IF(BI$171=1,IF(AND(AND(56&gt;Corte,56&lt;=Corte+n_Ventana),ISNUMBER(Detalle_24m!BI$38)),Detalle_24m!BI$38,INDEX(Vol_V,25,BI$170)/12)*(1+V_dVol),0))</f>
        <v>0</v>
      </c>
      <c r="BJ201" s="48" t="n">
        <f aca="false">IF(BJ$8=1,N(Reales!BJ36),IF(BJ$171=1,IF(AND(AND(57&gt;Corte,57&lt;=Corte+n_Ventana),ISNUMBER(Detalle_24m!BJ$38)),Detalle_24m!BJ$38,INDEX(Vol_V,25,BJ$170)/12)*(1+V_dVol),0))</f>
        <v>0</v>
      </c>
      <c r="BK201" s="48" t="n">
        <f aca="false">IF(BK$8=1,N(Reales!BK36),IF(BK$171=1,IF(AND(AND(58&gt;Corte,58&lt;=Corte+n_Ventana),ISNUMBER(Detalle_24m!BK$38)),Detalle_24m!BK$38,INDEX(Vol_V,25,BK$170)/12)*(1+V_dVol),0))</f>
        <v>0</v>
      </c>
      <c r="BL201" s="48" t="n">
        <f aca="false">IF(BL$8=1,N(Reales!BL36),IF(BL$171=1,IF(AND(AND(59&gt;Corte,59&lt;=Corte+n_Ventana),ISNUMBER(Detalle_24m!BL$38)),Detalle_24m!BL$38,INDEX(Vol_V,25,BL$170)/12)*(1+V_dVol),0))</f>
        <v>0</v>
      </c>
      <c r="BM201" s="48" t="n">
        <f aca="false">IF(BM$8=1,N(Reales!BM36),IF(BM$171=1,IF(AND(AND(60&gt;Corte,60&lt;=Corte+n_Ventana),ISNUMBER(Detalle_24m!BM$38)),Detalle_24m!BM$38,INDEX(Vol_V,25,BM$170)/12)*(1+V_dVol),0))</f>
        <v>0</v>
      </c>
      <c r="BN201" s="48" t="n">
        <f aca="false">IF(BN$8=1,N(Reales!BN36),IF(BN$171=1,IF(AND(AND(61&gt;Corte,61&lt;=Corte+n_Ventana),ISNUMBER(Detalle_24m!BN$38)),Detalle_24m!BN$38,INDEX(Vol_V,25,BN$170)/12)*(1+V_dVol),0))</f>
        <v>0</v>
      </c>
      <c r="BO201" s="48" t="n">
        <f aca="false">IF(BO$8=1,N(Reales!BO36),IF(BO$171=1,IF(AND(AND(62&gt;Corte,62&lt;=Corte+n_Ventana),ISNUMBER(Detalle_24m!BO$38)),Detalle_24m!BO$38,INDEX(Vol_V,25,BO$170)/12)*(1+V_dVol),0))</f>
        <v>0</v>
      </c>
      <c r="BP201" s="48" t="n">
        <f aca="false">IF(BP$8=1,N(Reales!BP36),IF(BP$171=1,IF(AND(AND(63&gt;Corte,63&lt;=Corte+n_Ventana),ISNUMBER(Detalle_24m!BP$38)),Detalle_24m!BP$38,INDEX(Vol_V,25,BP$170)/12)*(1+V_dVol),0))</f>
        <v>0</v>
      </c>
      <c r="BQ201" s="48" t="n">
        <f aca="false">IF(BQ$8=1,N(Reales!BQ36),IF(BQ$171=1,IF(AND(AND(64&gt;Corte,64&lt;=Corte+n_Ventana),ISNUMBER(Detalle_24m!BQ$38)),Detalle_24m!BQ$38,INDEX(Vol_V,25,BQ$170)/12)*(1+V_dVol),0))</f>
        <v>0</v>
      </c>
      <c r="BR201" s="48" t="n">
        <f aca="false">IF(BR$8=1,N(Reales!BR36),IF(BR$171=1,IF(AND(AND(65&gt;Corte,65&lt;=Corte+n_Ventana),ISNUMBER(Detalle_24m!BR$38)),Detalle_24m!BR$38,INDEX(Vol_V,25,BR$170)/12)*(1+V_dVol),0))</f>
        <v>0</v>
      </c>
      <c r="BS201" s="48" t="n">
        <f aca="false">IF(BS$8=1,N(Reales!BS36),IF(BS$171=1,IF(AND(AND(66&gt;Corte,66&lt;=Corte+n_Ventana),ISNUMBER(Detalle_24m!BS$38)),Detalle_24m!BS$38,INDEX(Vol_V,25,BS$170)/12)*(1+V_dVol),0))</f>
        <v>0</v>
      </c>
      <c r="BT201" s="48" t="n">
        <f aca="false">IF(BT$8=1,N(Reales!BT36),IF(BT$171=1,IF(AND(AND(67&gt;Corte,67&lt;=Corte+n_Ventana),ISNUMBER(Detalle_24m!BT$38)),Detalle_24m!BT$38,INDEX(Vol_V,25,BT$170)/12)*(1+V_dVol),0))</f>
        <v>0</v>
      </c>
      <c r="BU201" s="48" t="n">
        <f aca="false">IF(BU$8=1,N(Reales!BU36),IF(BU$171=1,IF(AND(AND(68&gt;Corte,68&lt;=Corte+n_Ventana),ISNUMBER(Detalle_24m!BU$38)),Detalle_24m!BU$38,INDEX(Vol_V,25,BU$170)/12)*(1+V_dVol),0))</f>
        <v>0</v>
      </c>
      <c r="BV201" s="48" t="n">
        <f aca="false">IF(BV$8=1,N(Reales!BV36),IF(BV$171=1,IF(AND(AND(69&gt;Corte,69&lt;=Corte+n_Ventana),ISNUMBER(Detalle_24m!BV$38)),Detalle_24m!BV$38,INDEX(Vol_V,25,BV$170)/12)*(1+V_dVol),0))</f>
        <v>0</v>
      </c>
      <c r="BW201" s="48" t="n">
        <f aca="false">IF(BW$8=1,N(Reales!BW36),IF(BW$171=1,IF(AND(AND(70&gt;Corte,70&lt;=Corte+n_Ventana),ISNUMBER(Detalle_24m!BW$38)),Detalle_24m!BW$38,INDEX(Vol_V,25,BW$170)/12)*(1+V_dVol),0))</f>
        <v>0</v>
      </c>
      <c r="BX201" s="48" t="n">
        <f aca="false">IF(BX$8=1,N(Reales!BX36),IF(BX$171=1,IF(AND(AND(71&gt;Corte,71&lt;=Corte+n_Ventana),ISNUMBER(Detalle_24m!BX$38)),Detalle_24m!BX$38,INDEX(Vol_V,25,BX$170)/12)*(1+V_dVol),0))</f>
        <v>0</v>
      </c>
      <c r="BY201" s="48" t="n">
        <f aca="false">IF(BY$8=1,N(Reales!BY36),IF(BY$171=1,IF(AND(AND(72&gt;Corte,72&lt;=Corte+n_Ventana),ISNUMBER(Detalle_24m!BY$38)),Detalle_24m!BY$38,INDEX(Vol_V,25,BY$170)/12)*(1+V_dVol),0))</f>
        <v>0</v>
      </c>
      <c r="BZ201" s="48" t="n">
        <f aca="false">IF(BZ$8=1,N(Reales!BZ36),IF(BZ$171=1,IF(AND(AND(73&gt;Corte,73&lt;=Corte+n_Ventana),ISNUMBER(Detalle_24m!BZ$38)),Detalle_24m!BZ$38,INDEX(Vol_V,25,BZ$170)/12)*(1+V_dVol),0))</f>
        <v>0</v>
      </c>
      <c r="CA201" s="48" t="n">
        <f aca="false">IF(CA$8=1,N(Reales!CA36),IF(CA$171=1,IF(AND(AND(74&gt;Corte,74&lt;=Corte+n_Ventana),ISNUMBER(Detalle_24m!CA$38)),Detalle_24m!CA$38,INDEX(Vol_V,25,CA$170)/12)*(1+V_dVol),0))</f>
        <v>0</v>
      </c>
      <c r="CB201" s="48" t="n">
        <f aca="false">IF(CB$8=1,N(Reales!CB36),IF(CB$171=1,IF(AND(AND(75&gt;Corte,75&lt;=Corte+n_Ventana),ISNUMBER(Detalle_24m!CB$38)),Detalle_24m!CB$38,INDEX(Vol_V,25,CB$170)/12)*(1+V_dVol),0))</f>
        <v>0</v>
      </c>
      <c r="CC201" s="48" t="n">
        <f aca="false">IF(CC$8=1,N(Reales!CC36),IF(CC$171=1,IF(AND(AND(76&gt;Corte,76&lt;=Corte+n_Ventana),ISNUMBER(Detalle_24m!CC$38)),Detalle_24m!CC$38,INDEX(Vol_V,25,CC$170)/12)*(1+V_dVol),0))</f>
        <v>0</v>
      </c>
      <c r="CD201" s="48" t="n">
        <f aca="false">IF(CD$8=1,N(Reales!CD36),IF(CD$171=1,IF(AND(AND(77&gt;Corte,77&lt;=Corte+n_Ventana),ISNUMBER(Detalle_24m!CD$38)),Detalle_24m!CD$38,INDEX(Vol_V,25,CD$170)/12)*(1+V_dVol),0))</f>
        <v>0</v>
      </c>
      <c r="CE201" s="48" t="n">
        <f aca="false">IF(CE$8=1,N(Reales!CE36),IF(CE$171=1,IF(AND(AND(78&gt;Corte,78&lt;=Corte+n_Ventana),ISNUMBER(Detalle_24m!CE$38)),Detalle_24m!CE$38,INDEX(Vol_V,25,CE$170)/12)*(1+V_dVol),0))</f>
        <v>0</v>
      </c>
      <c r="CF201" s="48" t="n">
        <f aca="false">IF(CF$8=1,N(Reales!CF36),IF(CF$171=1,IF(AND(AND(79&gt;Corte,79&lt;=Corte+n_Ventana),ISNUMBER(Detalle_24m!CF$38)),Detalle_24m!CF$38,INDEX(Vol_V,25,CF$170)/12)*(1+V_dVol),0))</f>
        <v>0</v>
      </c>
      <c r="CG201" s="48" t="n">
        <f aca="false">IF(CG$8=1,N(Reales!CG36),IF(CG$171=1,IF(AND(AND(80&gt;Corte,80&lt;=Corte+n_Ventana),ISNUMBER(Detalle_24m!CG$38)),Detalle_24m!CG$38,INDEX(Vol_V,25,CG$170)/12)*(1+V_dVol),0))</f>
        <v>0</v>
      </c>
      <c r="CH201" s="48" t="n">
        <f aca="false">IF(CH$8=1,N(Reales!CH36),IF(CH$171=1,IF(AND(AND(81&gt;Corte,81&lt;=Corte+n_Ventana),ISNUMBER(Detalle_24m!CH$38)),Detalle_24m!CH$38,INDEX(Vol_V,25,CH$170)/12)*(1+V_dVol),0))</f>
        <v>0</v>
      </c>
      <c r="CI201" s="48" t="n">
        <f aca="false">IF(CI$8=1,N(Reales!CI36),IF(CI$171=1,IF(AND(AND(82&gt;Corte,82&lt;=Corte+n_Ventana),ISNUMBER(Detalle_24m!CI$38)),Detalle_24m!CI$38,INDEX(Vol_V,25,CI$170)/12)*(1+V_dVol),0))</f>
        <v>0</v>
      </c>
      <c r="CJ201" s="48" t="n">
        <f aca="false">IF(CJ$8=1,N(Reales!CJ36),IF(CJ$171=1,IF(AND(AND(83&gt;Corte,83&lt;=Corte+n_Ventana),ISNUMBER(Detalle_24m!CJ$38)),Detalle_24m!CJ$38,INDEX(Vol_V,25,CJ$170)/12)*(1+V_dVol),0))</f>
        <v>0</v>
      </c>
      <c r="CK201" s="48" t="n">
        <f aca="false">IF(CK$8=1,N(Reales!CK36),IF(CK$171=1,IF(AND(AND(84&gt;Corte,84&lt;=Corte+n_Ventana),ISNUMBER(Detalle_24m!CK$38)),Detalle_24m!CK$38,INDEX(Vol_V,25,CK$170)/12)*(1+V_dVol),0))</f>
        <v>0</v>
      </c>
      <c r="CL201" s="48" t="n">
        <f aca="false">IF(CL$8=1,N(Reales!CL36),IF(CL$171=1,IF(AND(AND(85&gt;Corte,85&lt;=Corte+n_Ventana),ISNUMBER(Detalle_24m!CL$38)),Detalle_24m!CL$38,INDEX(Vol_V,25,CL$170)/12)*(1+V_dVol),0))</f>
        <v>0</v>
      </c>
      <c r="CM201" s="48" t="n">
        <f aca="false">IF(CM$8=1,N(Reales!CM36),IF(CM$171=1,IF(AND(AND(86&gt;Corte,86&lt;=Corte+n_Ventana),ISNUMBER(Detalle_24m!CM$38)),Detalle_24m!CM$38,INDEX(Vol_V,25,CM$170)/12)*(1+V_dVol),0))</f>
        <v>0</v>
      </c>
      <c r="CN201" s="48" t="n">
        <f aca="false">IF(CN$8=1,N(Reales!CN36),IF(CN$171=1,IF(AND(AND(87&gt;Corte,87&lt;=Corte+n_Ventana),ISNUMBER(Detalle_24m!CN$38)),Detalle_24m!CN$38,INDEX(Vol_V,25,CN$170)/12)*(1+V_dVol),0))</f>
        <v>0</v>
      </c>
      <c r="CO201" s="48" t="n">
        <f aca="false">IF(CO$8=1,N(Reales!CO36),IF(CO$171=1,IF(AND(AND(88&gt;Corte,88&lt;=Corte+n_Ventana),ISNUMBER(Detalle_24m!CO$38)),Detalle_24m!CO$38,INDEX(Vol_V,25,CO$170)/12)*(1+V_dVol),0))</f>
        <v>0</v>
      </c>
      <c r="CP201" s="48" t="n">
        <f aca="false">IF(CP$8=1,N(Reales!CP36),IF(CP$171=1,IF(AND(AND(89&gt;Corte,89&lt;=Corte+n_Ventana),ISNUMBER(Detalle_24m!CP$38)),Detalle_24m!CP$38,INDEX(Vol_V,25,CP$170)/12)*(1+V_dVol),0))</f>
        <v>0</v>
      </c>
      <c r="CQ201" s="48" t="n">
        <f aca="false">IF(CQ$8=1,N(Reales!CQ36),IF(CQ$171=1,IF(AND(AND(90&gt;Corte,90&lt;=Corte+n_Ventana),ISNUMBER(Detalle_24m!CQ$38)),Detalle_24m!CQ$38,INDEX(Vol_V,25,CQ$170)/12)*(1+V_dVol),0))</f>
        <v>0</v>
      </c>
      <c r="CR201" s="48" t="n">
        <f aca="false">IF(CR$8=1,N(Reales!CR36),IF(CR$171=1,IF(AND(AND(91&gt;Corte,91&lt;=Corte+n_Ventana),ISNUMBER(Detalle_24m!CR$38)),Detalle_24m!CR$38,INDEX(Vol_V,25,CR$170)/12)*(1+V_dVol),0))</f>
        <v>0</v>
      </c>
      <c r="CS201" s="48" t="n">
        <f aca="false">IF(CS$8=1,N(Reales!CS36),IF(CS$171=1,IF(AND(AND(92&gt;Corte,92&lt;=Corte+n_Ventana),ISNUMBER(Detalle_24m!CS$38)),Detalle_24m!CS$38,INDEX(Vol_V,25,CS$170)/12)*(1+V_dVol),0))</f>
        <v>0</v>
      </c>
      <c r="CT201" s="48" t="n">
        <f aca="false">IF(CT$8=1,N(Reales!CT36),IF(CT$171=1,IF(AND(AND(93&gt;Corte,93&lt;=Corte+n_Ventana),ISNUMBER(Detalle_24m!CT$38)),Detalle_24m!CT$38,INDEX(Vol_V,25,CT$170)/12)*(1+V_dVol),0))</f>
        <v>0</v>
      </c>
      <c r="CU201" s="48" t="n">
        <f aca="false">IF(CU$8=1,N(Reales!CU36),IF(CU$171=1,IF(AND(AND(94&gt;Corte,94&lt;=Corte+n_Ventana),ISNUMBER(Detalle_24m!CU$38)),Detalle_24m!CU$38,INDEX(Vol_V,25,CU$170)/12)*(1+V_dVol),0))</f>
        <v>0</v>
      </c>
      <c r="CV201" s="48" t="n">
        <f aca="false">IF(CV$8=1,N(Reales!CV36),IF(CV$171=1,IF(AND(AND(95&gt;Corte,95&lt;=Corte+n_Ventana),ISNUMBER(Detalle_24m!CV$38)),Detalle_24m!CV$38,INDEX(Vol_V,25,CV$170)/12)*(1+V_dVol),0))</f>
        <v>0</v>
      </c>
      <c r="CW201" s="48" t="n">
        <f aca="false">IF(CW$8=1,N(Reales!CW36),IF(CW$171=1,IF(AND(AND(96&gt;Corte,96&lt;=Corte+n_Ventana),ISNUMBER(Detalle_24m!CW$38)),Detalle_24m!CW$38,INDEX(Vol_V,25,CW$170)/12)*(1+V_dVol),0))</f>
        <v>0</v>
      </c>
      <c r="CX201" s="48" t="n">
        <f aca="false">IF(CX$8=1,N(Reales!CX36),IF(CX$171=1,IF(AND(AND(97&gt;Corte,97&lt;=Corte+n_Ventana),ISNUMBER(Detalle_24m!CX$38)),Detalle_24m!CX$38,INDEX(Vol_V,25,CX$170)/12)*(1+V_dVol),0))</f>
        <v>0</v>
      </c>
      <c r="CY201" s="48" t="n">
        <f aca="false">IF(CY$8=1,N(Reales!CY36),IF(CY$171=1,IF(AND(AND(98&gt;Corte,98&lt;=Corte+n_Ventana),ISNUMBER(Detalle_24m!CY$38)),Detalle_24m!CY$38,INDEX(Vol_V,25,CY$170)/12)*(1+V_dVol),0))</f>
        <v>0</v>
      </c>
      <c r="CZ201" s="48" t="n">
        <f aca="false">IF(CZ$8=1,N(Reales!CZ36),IF(CZ$171=1,IF(AND(AND(99&gt;Corte,99&lt;=Corte+n_Ventana),ISNUMBER(Detalle_24m!CZ$38)),Detalle_24m!CZ$38,INDEX(Vol_V,25,CZ$170)/12)*(1+V_dVol),0))</f>
        <v>0</v>
      </c>
      <c r="DA201" s="48" t="n">
        <f aca="false">IF(DA$8=1,N(Reales!DA36),IF(DA$171=1,IF(AND(AND(100&gt;Corte,100&lt;=Corte+n_Ventana),ISNUMBER(Detalle_24m!DA$38)),Detalle_24m!DA$38,INDEX(Vol_V,25,DA$170)/12)*(1+V_dVol),0))</f>
        <v>0</v>
      </c>
      <c r="DB201" s="48" t="n">
        <f aca="false">IF(DB$8=1,N(Reales!DB36),IF(DB$171=1,IF(AND(AND(101&gt;Corte,101&lt;=Corte+n_Ventana),ISNUMBER(Detalle_24m!DB$38)),Detalle_24m!DB$38,INDEX(Vol_V,25,DB$170)/12)*(1+V_dVol),0))</f>
        <v>0</v>
      </c>
      <c r="DC201" s="48" t="n">
        <f aca="false">IF(DC$8=1,N(Reales!DC36),IF(DC$171=1,IF(AND(AND(102&gt;Corte,102&lt;=Corte+n_Ventana),ISNUMBER(Detalle_24m!DC$38)),Detalle_24m!DC$38,INDEX(Vol_V,25,DC$170)/12)*(1+V_dVol),0))</f>
        <v>0</v>
      </c>
      <c r="DD201" s="48" t="n">
        <f aca="false">IF(DD$8=1,N(Reales!DD36),IF(DD$171=1,IF(AND(AND(103&gt;Corte,103&lt;=Corte+n_Ventana),ISNUMBER(Detalle_24m!DD$38)),Detalle_24m!DD$38,INDEX(Vol_V,25,DD$170)/12)*(1+V_dVol),0))</f>
        <v>0</v>
      </c>
      <c r="DE201" s="48" t="n">
        <f aca="false">IF(DE$8=1,N(Reales!DE36),IF(DE$171=1,IF(AND(AND(104&gt;Corte,104&lt;=Corte+n_Ventana),ISNUMBER(Detalle_24m!DE$38)),Detalle_24m!DE$38,INDEX(Vol_V,25,DE$170)/12)*(1+V_dVol),0))</f>
        <v>0</v>
      </c>
      <c r="DF201" s="48" t="n">
        <f aca="false">IF(DF$8=1,N(Reales!DF36),IF(DF$171=1,IF(AND(AND(105&gt;Corte,105&lt;=Corte+n_Ventana),ISNUMBER(Detalle_24m!DF$38)),Detalle_24m!DF$38,INDEX(Vol_V,25,DF$170)/12)*(1+V_dVol),0))</f>
        <v>0</v>
      </c>
      <c r="DG201" s="48" t="n">
        <f aca="false">IF(DG$8=1,N(Reales!DG36),IF(DG$171=1,IF(AND(AND(106&gt;Corte,106&lt;=Corte+n_Ventana),ISNUMBER(Detalle_24m!DG$38)),Detalle_24m!DG$38,INDEX(Vol_V,25,DG$170)/12)*(1+V_dVol),0))</f>
        <v>0</v>
      </c>
      <c r="DH201" s="48" t="n">
        <f aca="false">IF(DH$8=1,N(Reales!DH36),IF(DH$171=1,IF(AND(AND(107&gt;Corte,107&lt;=Corte+n_Ventana),ISNUMBER(Detalle_24m!DH$38)),Detalle_24m!DH$38,INDEX(Vol_V,25,DH$170)/12)*(1+V_dVol),0))</f>
        <v>0</v>
      </c>
      <c r="DI201" s="48" t="n">
        <f aca="false">IF(DI$8=1,N(Reales!DI36),IF(DI$171=1,IF(AND(AND(108&gt;Corte,108&lt;=Corte+n_Ventana),ISNUMBER(Detalle_24m!DI$38)),Detalle_24m!DI$38,INDEX(Vol_V,25,DI$170)/12)*(1+V_dVol),0))</f>
        <v>0</v>
      </c>
      <c r="DJ201" s="48" t="n">
        <f aca="false">IF(DJ$8=1,N(Reales!DJ36),IF(DJ$171=1,IF(AND(AND(109&gt;Corte,109&lt;=Corte+n_Ventana),ISNUMBER(Detalle_24m!DJ$38)),Detalle_24m!DJ$38,INDEX(Vol_V,25,DJ$170)/12)*(1+V_dVol),0))</f>
        <v>0</v>
      </c>
      <c r="DK201" s="48" t="n">
        <f aca="false">IF(DK$8=1,N(Reales!DK36),IF(DK$171=1,IF(AND(AND(110&gt;Corte,110&lt;=Corte+n_Ventana),ISNUMBER(Detalle_24m!DK$38)),Detalle_24m!DK$38,INDEX(Vol_V,25,DK$170)/12)*(1+V_dVol),0))</f>
        <v>0</v>
      </c>
      <c r="DL201" s="48" t="n">
        <f aca="false">IF(DL$8=1,N(Reales!DL36),IF(DL$171=1,IF(AND(AND(111&gt;Corte,111&lt;=Corte+n_Ventana),ISNUMBER(Detalle_24m!DL$38)),Detalle_24m!DL$38,INDEX(Vol_V,25,DL$170)/12)*(1+V_dVol),0))</f>
        <v>0</v>
      </c>
      <c r="DM201" s="48" t="n">
        <f aca="false">IF(DM$8=1,N(Reales!DM36),IF(DM$171=1,IF(AND(AND(112&gt;Corte,112&lt;=Corte+n_Ventana),ISNUMBER(Detalle_24m!DM$38)),Detalle_24m!DM$38,INDEX(Vol_V,25,DM$170)/12)*(1+V_dVol),0))</f>
        <v>0</v>
      </c>
      <c r="DN201" s="48" t="n">
        <f aca="false">IF(DN$8=1,N(Reales!DN36),IF(DN$171=1,IF(AND(AND(113&gt;Corte,113&lt;=Corte+n_Ventana),ISNUMBER(Detalle_24m!DN$38)),Detalle_24m!DN$38,INDEX(Vol_V,25,DN$170)/12)*(1+V_dVol),0))</f>
        <v>0</v>
      </c>
      <c r="DO201" s="48" t="n">
        <f aca="false">IF(DO$8=1,N(Reales!DO36),IF(DO$171=1,IF(AND(AND(114&gt;Corte,114&lt;=Corte+n_Ventana),ISNUMBER(Detalle_24m!DO$38)),Detalle_24m!DO$38,INDEX(Vol_V,25,DO$170)/12)*(1+V_dVol),0))</f>
        <v>0</v>
      </c>
      <c r="DP201" s="48" t="n">
        <f aca="false">IF(DP$8=1,N(Reales!DP36),IF(DP$171=1,IF(AND(AND(115&gt;Corte,115&lt;=Corte+n_Ventana),ISNUMBER(Detalle_24m!DP$38)),Detalle_24m!DP$38,INDEX(Vol_V,25,DP$170)/12)*(1+V_dVol),0))</f>
        <v>0</v>
      </c>
      <c r="DQ201" s="48" t="n">
        <f aca="false">IF(DQ$8=1,N(Reales!DQ36),IF(DQ$171=1,IF(AND(AND(116&gt;Corte,116&lt;=Corte+n_Ventana),ISNUMBER(Detalle_24m!DQ$38)),Detalle_24m!DQ$38,INDEX(Vol_V,25,DQ$170)/12)*(1+V_dVol),0))</f>
        <v>0</v>
      </c>
      <c r="DR201" s="48" t="n">
        <f aca="false">IF(DR$8=1,N(Reales!DR36),IF(DR$171=1,IF(AND(AND(117&gt;Corte,117&lt;=Corte+n_Ventana),ISNUMBER(Detalle_24m!DR$38)),Detalle_24m!DR$38,INDEX(Vol_V,25,DR$170)/12)*(1+V_dVol),0))</f>
        <v>0</v>
      </c>
      <c r="DS201" s="48" t="n">
        <f aca="false">IF(DS$8=1,N(Reales!DS36),IF(DS$171=1,IF(AND(AND(118&gt;Corte,118&lt;=Corte+n_Ventana),ISNUMBER(Detalle_24m!DS$38)),Detalle_24m!DS$38,INDEX(Vol_V,25,DS$170)/12)*(1+V_dVol),0))</f>
        <v>0</v>
      </c>
      <c r="DT201" s="48" t="n">
        <f aca="false">IF(DT$8=1,N(Reales!DT36),IF(DT$171=1,IF(AND(AND(119&gt;Corte,119&lt;=Corte+n_Ventana),ISNUMBER(Detalle_24m!DT$38)),Detalle_24m!DT$38,INDEX(Vol_V,25,DT$170)/12)*(1+V_dVol),0))</f>
        <v>0</v>
      </c>
      <c r="DU201" s="48" t="n">
        <f aca="false">IF(DU$8=1,N(Reales!DU36),IF(DU$171=1,IF(AND(AND(120&gt;Corte,120&lt;=Corte+n_Ventana),ISNUMBER(Detalle_24m!DU$38)),Detalle_24m!DU$38,INDEX(Vol_V,25,DU$170)/12)*(1+V_dVol),0))</f>
        <v>0</v>
      </c>
      <c r="DV201" s="48" t="n">
        <f aca="false">IF(DV$8=1,N(Reales!DV36),IF(DV$171=1,IF(AND(AND(121&gt;Corte,121&lt;=Corte+n_Ventana),ISNUMBER(Detalle_24m!DV$38)),Detalle_24m!DV$38,INDEX(Vol_V,25,DV$170)/12)*(1+V_dVol),0))</f>
        <v>0</v>
      </c>
      <c r="DW201" s="48" t="n">
        <f aca="false">IF(DW$8=1,N(Reales!DW36),IF(DW$171=1,IF(AND(AND(122&gt;Corte,122&lt;=Corte+n_Ventana),ISNUMBER(Detalle_24m!DW$38)),Detalle_24m!DW$38,INDEX(Vol_V,25,DW$170)/12)*(1+V_dVol),0))</f>
        <v>0</v>
      </c>
      <c r="DX201" s="48" t="n">
        <f aca="false">IF(DX$8=1,N(Reales!DX36),IF(DX$171=1,IF(AND(AND(123&gt;Corte,123&lt;=Corte+n_Ventana),ISNUMBER(Detalle_24m!DX$38)),Detalle_24m!DX$38,INDEX(Vol_V,25,DX$170)/12)*(1+V_dVol),0))</f>
        <v>0</v>
      </c>
      <c r="DY201" s="48" t="n">
        <f aca="false">IF(DY$8=1,N(Reales!DY36),IF(DY$171=1,IF(AND(AND(124&gt;Corte,124&lt;=Corte+n_Ventana),ISNUMBER(Detalle_24m!DY$38)),Detalle_24m!DY$38,INDEX(Vol_V,25,DY$170)/12)*(1+V_dVol),0))</f>
        <v>0</v>
      </c>
      <c r="DZ201" s="48" t="n">
        <f aca="false">IF(DZ$8=1,N(Reales!DZ36),IF(DZ$171=1,IF(AND(AND(125&gt;Corte,125&lt;=Corte+n_Ventana),ISNUMBER(Detalle_24m!DZ$38)),Detalle_24m!DZ$38,INDEX(Vol_V,25,DZ$170)/12)*(1+V_dVol),0))</f>
        <v>0</v>
      </c>
      <c r="EA201" s="48" t="n">
        <f aca="false">IF(EA$8=1,N(Reales!EA36),IF(EA$171=1,IF(AND(AND(126&gt;Corte,126&lt;=Corte+n_Ventana),ISNUMBER(Detalle_24m!EA$38)),Detalle_24m!EA$38,INDEX(Vol_V,25,EA$170)/12)*(1+V_dVol),0))</f>
        <v>0</v>
      </c>
      <c r="EB201" s="48" t="n">
        <f aca="false">IF(EB$8=1,N(Reales!EB36),IF(EB$171=1,IF(AND(AND(127&gt;Corte,127&lt;=Corte+n_Ventana),ISNUMBER(Detalle_24m!EB$38)),Detalle_24m!EB$38,INDEX(Vol_V,25,EB$170)/12)*(1+V_dVol),0))</f>
        <v>0</v>
      </c>
      <c r="EC201" s="48" t="n">
        <f aca="false">IF(EC$8=1,N(Reales!EC36),IF(EC$171=1,IF(AND(AND(128&gt;Corte,128&lt;=Corte+n_Ventana),ISNUMBER(Detalle_24m!EC$38)),Detalle_24m!EC$38,INDEX(Vol_V,25,EC$170)/12)*(1+V_dVol),0))</f>
        <v>0</v>
      </c>
      <c r="ED201" s="48" t="n">
        <f aca="false">IF(ED$8=1,N(Reales!ED36),IF(ED$171=1,IF(AND(AND(129&gt;Corte,129&lt;=Corte+n_Ventana),ISNUMBER(Detalle_24m!ED$38)),Detalle_24m!ED$38,INDEX(Vol_V,25,ED$170)/12)*(1+V_dVol),0))</f>
        <v>0</v>
      </c>
      <c r="EE201" s="48" t="n">
        <f aca="false">IF(EE$8=1,N(Reales!EE36),IF(EE$171=1,IF(AND(AND(130&gt;Corte,130&lt;=Corte+n_Ventana),ISNUMBER(Detalle_24m!EE$38)),Detalle_24m!EE$38,INDEX(Vol_V,25,EE$170)/12)*(1+V_dVol),0))</f>
        <v>0</v>
      </c>
      <c r="EF201" s="48" t="n">
        <f aca="false">IF(EF$8=1,N(Reales!EF36),IF(EF$171=1,IF(AND(AND(131&gt;Corte,131&lt;=Corte+n_Ventana),ISNUMBER(Detalle_24m!EF$38)),Detalle_24m!EF$38,INDEX(Vol_V,25,EF$170)/12)*(1+V_dVol),0))</f>
        <v>0</v>
      </c>
      <c r="EG201" s="48" t="n">
        <f aca="false">IF(EG$8=1,N(Reales!EG36),IF(EG$171=1,IF(AND(AND(132&gt;Corte,132&lt;=Corte+n_Ventana),ISNUMBER(Detalle_24m!EG$38)),Detalle_24m!EG$38,INDEX(Vol_V,25,EG$170)/12)*(1+V_dVol),0))</f>
        <v>0</v>
      </c>
      <c r="EH201" s="48" t="n">
        <f aca="false">IF(EH$8=1,N(Reales!EH36),IF(EH$171=1,IF(AND(AND(133&gt;Corte,133&lt;=Corte+n_Ventana),ISNUMBER(Detalle_24m!EH$38)),Detalle_24m!EH$38,INDEX(Vol_V,25,EH$170)/12)*(1+V_dVol),0))</f>
        <v>0</v>
      </c>
      <c r="EI201" s="48" t="n">
        <f aca="false">IF(EI$8=1,N(Reales!EI36),IF(EI$171=1,IF(AND(AND(134&gt;Corte,134&lt;=Corte+n_Ventana),ISNUMBER(Detalle_24m!EI$38)),Detalle_24m!EI$38,INDEX(Vol_V,25,EI$170)/12)*(1+V_dVol),0))</f>
        <v>0</v>
      </c>
      <c r="EJ201" s="48" t="n">
        <f aca="false">IF(EJ$8=1,N(Reales!EJ36),IF(EJ$171=1,IF(AND(AND(135&gt;Corte,135&lt;=Corte+n_Ventana),ISNUMBER(Detalle_24m!EJ$38)),Detalle_24m!EJ$38,INDEX(Vol_V,25,EJ$170)/12)*(1+V_dVol),0))</f>
        <v>0</v>
      </c>
      <c r="EK201" s="48" t="n">
        <f aca="false">IF(EK$8=1,N(Reales!EK36),IF(EK$171=1,IF(AND(AND(136&gt;Corte,136&lt;=Corte+n_Ventana),ISNUMBER(Detalle_24m!EK$38)),Detalle_24m!EK$38,INDEX(Vol_V,25,EK$170)/12)*(1+V_dVol),0))</f>
        <v>0</v>
      </c>
      <c r="EL201" s="48" t="n">
        <f aca="false">IF(EL$8=1,N(Reales!EL36),IF(EL$171=1,IF(AND(AND(137&gt;Corte,137&lt;=Corte+n_Ventana),ISNUMBER(Detalle_24m!EL$38)),Detalle_24m!EL$38,INDEX(Vol_V,25,EL$170)/12)*(1+V_dVol),0))</f>
        <v>0</v>
      </c>
      <c r="EM201" s="48" t="n">
        <f aca="false">IF(EM$8=1,N(Reales!EM36),IF(EM$171=1,IF(AND(AND(138&gt;Corte,138&lt;=Corte+n_Ventana),ISNUMBER(Detalle_24m!EM$38)),Detalle_24m!EM$38,INDEX(Vol_V,25,EM$170)/12)*(1+V_dVol),0))</f>
        <v>0</v>
      </c>
      <c r="EN201" s="48" t="n">
        <f aca="false">IF(EN$8=1,N(Reales!EN36),IF(EN$171=1,IF(AND(AND(139&gt;Corte,139&lt;=Corte+n_Ventana),ISNUMBER(Detalle_24m!EN$38)),Detalle_24m!EN$38,INDEX(Vol_V,25,EN$170)/12)*(1+V_dVol),0))</f>
        <v>0</v>
      </c>
      <c r="EO201" s="48" t="n">
        <f aca="false">IF(EO$8=1,N(Reales!EO36),IF(EO$171=1,IF(AND(AND(140&gt;Corte,140&lt;=Corte+n_Ventana),ISNUMBER(Detalle_24m!EO$38)),Detalle_24m!EO$38,INDEX(Vol_V,25,EO$170)/12)*(1+V_dVol),0))</f>
        <v>0</v>
      </c>
      <c r="EP201" s="48" t="n">
        <f aca="false">IF(EP$8=1,N(Reales!EP36),IF(EP$171=1,IF(AND(AND(141&gt;Corte,141&lt;=Corte+n_Ventana),ISNUMBER(Detalle_24m!EP$38)),Detalle_24m!EP$38,INDEX(Vol_V,25,EP$170)/12)*(1+V_dVol),0))</f>
        <v>0</v>
      </c>
      <c r="EQ201" s="48" t="n">
        <f aca="false">IF(EQ$8=1,N(Reales!EQ36),IF(EQ$171=1,IF(AND(AND(142&gt;Corte,142&lt;=Corte+n_Ventana),ISNUMBER(Detalle_24m!EQ$38)),Detalle_24m!EQ$38,INDEX(Vol_V,25,EQ$170)/12)*(1+V_dVol),0))</f>
        <v>0</v>
      </c>
      <c r="ER201" s="48" t="n">
        <f aca="false">IF(ER$8=1,N(Reales!ER36),IF(ER$171=1,IF(AND(AND(143&gt;Corte,143&lt;=Corte+n_Ventana),ISNUMBER(Detalle_24m!ER$38)),Detalle_24m!ER$38,INDEX(Vol_V,25,ER$170)/12)*(1+V_dVol),0))</f>
        <v>0</v>
      </c>
      <c r="ES201" s="48" t="n">
        <f aca="false">IF(ES$8=1,N(Reales!ES36),IF(ES$171=1,IF(AND(AND(144&gt;Corte,144&lt;=Corte+n_Ventana),ISNUMBER(Detalle_24m!ES$38)),Detalle_24m!ES$38,INDEX(Vol_V,25,ES$170)/12)*(1+V_dVol),0))</f>
        <v>0</v>
      </c>
    </row>
    <row r="202" customFormat="false" ht="15" hidden="false" customHeight="false" outlineLevel="0" collapsed="false">
      <c r="A202" s="11" t="s">
        <v>1325</v>
      </c>
      <c r="B202" s="53" t="str">
        <f aca="false">IF(INDEX(Prod_Nombre,1)="","Producto 1",INDEX(Prod_Nombre,1))&amp;" — ventas USD"</f>
        <v>Gabinetes metálicos 153 kg — ventas USD</v>
      </c>
      <c r="C202" s="15" t="s">
        <v>508</v>
      </c>
      <c r="E202" s="54" t="n">
        <f aca="false">SUM(F202:ES202)</f>
        <v>54428264.108153</v>
      </c>
      <c r="F202" s="48" t="n">
        <f aca="false">IF(F$8=1,IF(Reales!$C$38="PYG",IF(F$10&gt;0,N(Reales!F38)/F$10,0),N(Reales!F38)),F$177*IF(AND(AND(1&gt;Corte,1&lt;=Corte+n_Ventana),ISNUMBER(Detalle_24m!F$42)),Detalle_24m!F$42,INDEX(Precio_V,1)*INDEX(IdxPrecio_V,1,MIN(10,F$173)))*(1+V_dPrecio))</f>
        <v>270000</v>
      </c>
      <c r="G202" s="48" t="n">
        <f aca="false">IF(G$8=1,IF(Reales!$C$38="PYG",IF(G$10&gt;0,N(Reales!G38)/G$10,0),N(Reales!G38)),G$177*IF(AND(AND(2&gt;Corte,2&lt;=Corte+n_Ventana),ISNUMBER(Detalle_24m!G$42)),Detalle_24m!G$42,INDEX(Precio_V,1)*INDEX(IdxPrecio_V,1,MIN(10,G$173)))*(1+V_dPrecio))</f>
        <v>270000</v>
      </c>
      <c r="H202" s="48" t="n">
        <f aca="false">IF(H$8=1,IF(Reales!$C$38="PYG",IF(H$10&gt;0,N(Reales!H38)/H$10,0),N(Reales!H38)),H$177*IF(AND(AND(3&gt;Corte,3&lt;=Corte+n_Ventana),ISNUMBER(Detalle_24m!H$42)),Detalle_24m!H$42,INDEX(Precio_V,1)*INDEX(IdxPrecio_V,1,MIN(10,H$173)))*(1+V_dPrecio))</f>
        <v>270000</v>
      </c>
      <c r="I202" s="48" t="n">
        <f aca="false">IF(I$8=1,IF(Reales!$C$38="PYG",IF(I$10&gt;0,N(Reales!I38)/I$10,0),N(Reales!I38)),I$177*IF(AND(AND(4&gt;Corte,4&lt;=Corte+n_Ventana),ISNUMBER(Detalle_24m!I$42)),Detalle_24m!I$42,INDEX(Precio_V,1)*INDEX(IdxPrecio_V,1,MIN(10,I$173)))*(1+V_dPrecio))</f>
        <v>270000</v>
      </c>
      <c r="J202" s="48" t="n">
        <f aca="false">IF(J$8=1,IF(Reales!$C$38="PYG",IF(J$10&gt;0,N(Reales!J38)/J$10,0),N(Reales!J38)),J$177*IF(AND(AND(5&gt;Corte,5&lt;=Corte+n_Ventana),ISNUMBER(Detalle_24m!J$42)),Detalle_24m!J$42,INDEX(Precio_V,1)*INDEX(IdxPrecio_V,1,MIN(10,J$173)))*(1+V_dPrecio))</f>
        <v>270000</v>
      </c>
      <c r="K202" s="48" t="n">
        <f aca="false">IF(K$8=1,IF(Reales!$C$38="PYG",IF(K$10&gt;0,N(Reales!K38)/K$10,0),N(Reales!K38)),K$177*IF(AND(AND(6&gt;Corte,6&lt;=Corte+n_Ventana),ISNUMBER(Detalle_24m!K$42)),Detalle_24m!K$42,INDEX(Precio_V,1)*INDEX(IdxPrecio_V,1,MIN(10,K$173)))*(1+V_dPrecio))</f>
        <v>270000</v>
      </c>
      <c r="L202" s="48" t="n">
        <f aca="false">IF(L$8=1,IF(Reales!$C$38="PYG",IF(L$10&gt;0,N(Reales!L38)/L$10,0),N(Reales!L38)),L$177*IF(AND(AND(7&gt;Corte,7&lt;=Corte+n_Ventana),ISNUMBER(Detalle_24m!L$42)),Detalle_24m!L$42,INDEX(Precio_V,1)*INDEX(IdxPrecio_V,1,MIN(10,L$173)))*(1+V_dPrecio))</f>
        <v>270000</v>
      </c>
      <c r="M202" s="48" t="n">
        <f aca="false">IF(M$8=1,IF(Reales!$C$38="PYG",IF(M$10&gt;0,N(Reales!M38)/M$10,0),N(Reales!M38)),M$177*IF(AND(AND(8&gt;Corte,8&lt;=Corte+n_Ventana),ISNUMBER(Detalle_24m!M$42)),Detalle_24m!M$42,INDEX(Precio_V,1)*INDEX(IdxPrecio_V,1,MIN(10,M$173)))*(1+V_dPrecio))</f>
        <v>270000</v>
      </c>
      <c r="N202" s="48" t="n">
        <f aca="false">IF(N$8=1,IF(Reales!$C$38="PYG",IF(N$10&gt;0,N(Reales!N38)/N$10,0),N(Reales!N38)),N$177*IF(AND(AND(9&gt;Corte,9&lt;=Corte+n_Ventana),ISNUMBER(Detalle_24m!N$42)),Detalle_24m!N$42,INDEX(Precio_V,1)*INDEX(IdxPrecio_V,1,MIN(10,N$173)))*(1+V_dPrecio))</f>
        <v>270000</v>
      </c>
      <c r="O202" s="48" t="n">
        <f aca="false">IF(O$8=1,IF(Reales!$C$38="PYG",IF(O$10&gt;0,N(Reales!O38)/O$10,0),N(Reales!O38)),O$177*IF(AND(AND(10&gt;Corte,10&lt;=Corte+n_Ventana),ISNUMBER(Detalle_24m!O$42)),Detalle_24m!O$42,INDEX(Precio_V,1)*INDEX(IdxPrecio_V,1,MIN(10,O$173)))*(1+V_dPrecio))</f>
        <v>270000</v>
      </c>
      <c r="P202" s="48" t="n">
        <f aca="false">IF(P$8=1,IF(Reales!$C$38="PYG",IF(P$10&gt;0,N(Reales!P38)/P$10,0),N(Reales!P38)),P$177*IF(AND(AND(11&gt;Corte,11&lt;=Corte+n_Ventana),ISNUMBER(Detalle_24m!P$42)),Detalle_24m!P$42,INDEX(Precio_V,1)*INDEX(IdxPrecio_V,1,MIN(10,P$173)))*(1+V_dPrecio))</f>
        <v>270000</v>
      </c>
      <c r="Q202" s="48" t="n">
        <f aca="false">IF(Q$8=1,IF(Reales!$C$38="PYG",IF(Q$10&gt;0,N(Reales!Q38)/Q$10,0),N(Reales!Q38)),Q$177*IF(AND(AND(12&gt;Corte,12&lt;=Corte+n_Ventana),ISNUMBER(Detalle_24m!Q$42)),Detalle_24m!Q$42,INDEX(Precio_V,1)*INDEX(IdxPrecio_V,1,MIN(10,Q$173)))*(1+V_dPrecio))</f>
        <v>270000</v>
      </c>
      <c r="R202" s="48" t="n">
        <f aca="false">IF(R$8=1,IF(Reales!$C$38="PYG",IF(R$10&gt;0,N(Reales!R38)/R$10,0),N(Reales!R38)),R$177*IF(AND(AND(13&gt;Corte,13&lt;=Corte+n_Ventana),ISNUMBER(Detalle_24m!R$42)),Detalle_24m!R$42,INDEX(Precio_V,1)*INDEX(IdxPrecio_V,1,MIN(10,R$173)))*(1+V_dPrecio))</f>
        <v>340875</v>
      </c>
      <c r="S202" s="48" t="n">
        <f aca="false">IF(S$8=1,IF(Reales!$C$38="PYG",IF(S$10&gt;0,N(Reales!S38)/S$10,0),N(Reales!S38)),S$177*IF(AND(AND(14&gt;Corte,14&lt;=Corte+n_Ventana),ISNUMBER(Detalle_24m!S$42)),Detalle_24m!S$42,INDEX(Precio_V,1)*INDEX(IdxPrecio_V,1,MIN(10,S$173)))*(1+V_dPrecio))</f>
        <v>340875</v>
      </c>
      <c r="T202" s="48" t="n">
        <f aca="false">IF(T$8=1,IF(Reales!$C$38="PYG",IF(T$10&gt;0,N(Reales!T38)/T$10,0),N(Reales!T38)),T$177*IF(AND(AND(15&gt;Corte,15&lt;=Corte+n_Ventana),ISNUMBER(Detalle_24m!T$42)),Detalle_24m!T$42,INDEX(Precio_V,1)*INDEX(IdxPrecio_V,1,MIN(10,T$173)))*(1+V_dPrecio))</f>
        <v>340875</v>
      </c>
      <c r="U202" s="48" t="n">
        <f aca="false">IF(U$8=1,IF(Reales!$C$38="PYG",IF(U$10&gt;0,N(Reales!U38)/U$10,0),N(Reales!U38)),U$177*IF(AND(AND(16&gt;Corte,16&lt;=Corte+n_Ventana),ISNUMBER(Detalle_24m!U$42)),Detalle_24m!U$42,INDEX(Precio_V,1)*INDEX(IdxPrecio_V,1,MIN(10,U$173)))*(1+V_dPrecio))</f>
        <v>340875</v>
      </c>
      <c r="V202" s="48" t="n">
        <f aca="false">IF(V$8=1,IF(Reales!$C$38="PYG",IF(V$10&gt;0,N(Reales!V38)/V$10,0),N(Reales!V38)),V$177*IF(AND(AND(17&gt;Corte,17&lt;=Corte+n_Ventana),ISNUMBER(Detalle_24m!V$42)),Detalle_24m!V$42,INDEX(Precio_V,1)*INDEX(IdxPrecio_V,1,MIN(10,V$173)))*(1+V_dPrecio))</f>
        <v>340875</v>
      </c>
      <c r="W202" s="48" t="n">
        <f aca="false">IF(W$8=1,IF(Reales!$C$38="PYG",IF(W$10&gt;0,N(Reales!W38)/W$10,0),N(Reales!W38)),W$177*IF(AND(AND(18&gt;Corte,18&lt;=Corte+n_Ventana),ISNUMBER(Detalle_24m!W$42)),Detalle_24m!W$42,INDEX(Precio_V,1)*INDEX(IdxPrecio_V,1,MIN(10,W$173)))*(1+V_dPrecio))</f>
        <v>340875</v>
      </c>
      <c r="X202" s="48" t="n">
        <f aca="false">IF(X$8=1,IF(Reales!$C$38="PYG",IF(X$10&gt;0,N(Reales!X38)/X$10,0),N(Reales!X38)),X$177*IF(AND(AND(19&gt;Corte,19&lt;=Corte+n_Ventana),ISNUMBER(Detalle_24m!X$42)),Detalle_24m!X$42,INDEX(Precio_V,1)*INDEX(IdxPrecio_V,1,MIN(10,X$173)))*(1+V_dPrecio))</f>
        <v>340875</v>
      </c>
      <c r="Y202" s="48" t="n">
        <f aca="false">IF(Y$8=1,IF(Reales!$C$38="PYG",IF(Y$10&gt;0,N(Reales!Y38)/Y$10,0),N(Reales!Y38)),Y$177*IF(AND(AND(20&gt;Corte,20&lt;=Corte+n_Ventana),ISNUMBER(Detalle_24m!Y$42)),Detalle_24m!Y$42,INDEX(Precio_V,1)*INDEX(IdxPrecio_V,1,MIN(10,Y$173)))*(1+V_dPrecio))</f>
        <v>340875</v>
      </c>
      <c r="Z202" s="48" t="n">
        <f aca="false">IF(Z$8=1,IF(Reales!$C$38="PYG",IF(Z$10&gt;0,N(Reales!Z38)/Z$10,0),N(Reales!Z38)),Z$177*IF(AND(AND(21&gt;Corte,21&lt;=Corte+n_Ventana),ISNUMBER(Detalle_24m!Z$42)),Detalle_24m!Z$42,INDEX(Precio_V,1)*INDEX(IdxPrecio_V,1,MIN(10,Z$173)))*(1+V_dPrecio))</f>
        <v>340875</v>
      </c>
      <c r="AA202" s="48" t="n">
        <f aca="false">IF(AA$8=1,IF(Reales!$C$38="PYG",IF(AA$10&gt;0,N(Reales!AA38)/AA$10,0),N(Reales!AA38)),AA$177*IF(AND(AND(22&gt;Corte,22&lt;=Corte+n_Ventana),ISNUMBER(Detalle_24m!AA$42)),Detalle_24m!AA$42,INDEX(Precio_V,1)*INDEX(IdxPrecio_V,1,MIN(10,AA$173)))*(1+V_dPrecio))</f>
        <v>340875</v>
      </c>
      <c r="AB202" s="48" t="n">
        <f aca="false">IF(AB$8=1,IF(Reales!$C$38="PYG",IF(AB$10&gt;0,N(Reales!AB38)/AB$10,0),N(Reales!AB38)),AB$177*IF(AND(AND(23&gt;Corte,23&lt;=Corte+n_Ventana),ISNUMBER(Detalle_24m!AB$42)),Detalle_24m!AB$42,INDEX(Precio_V,1)*INDEX(IdxPrecio_V,1,MIN(10,AB$173)))*(1+V_dPrecio))</f>
        <v>340875</v>
      </c>
      <c r="AC202" s="48" t="n">
        <f aca="false">IF(AC$8=1,IF(Reales!$C$38="PYG",IF(AC$10&gt;0,N(Reales!AC38)/AC$10,0),N(Reales!AC38)),AC$177*IF(AND(AND(24&gt;Corte,24&lt;=Corte+n_Ventana),ISNUMBER(Detalle_24m!AC$42)),Detalle_24m!AC$42,INDEX(Precio_V,1)*INDEX(IdxPrecio_V,1,MIN(10,AC$173)))*(1+V_dPrecio))</f>
        <v>340875</v>
      </c>
      <c r="AD202" s="48" t="n">
        <f aca="false">IF(AD$8=1,IF(Reales!$C$38="PYG",IF(AD$10&gt;0,N(Reales!AD38)/AD$10,0),N(Reales!AD38)),AD$177*IF(AND(AND(25&gt;Corte,25&lt;=Corte+n_Ventana),ISNUMBER(Detalle_24m!AD$42)),Detalle_24m!AD$42,INDEX(Precio_V,1)*INDEX(IdxPrecio_V,1,MIN(10,AD$173)))*(1+V_dPrecio))</f>
        <v>413140.5</v>
      </c>
      <c r="AE202" s="48" t="n">
        <f aca="false">IF(AE$8=1,IF(Reales!$C$38="PYG",IF(AE$10&gt;0,N(Reales!AE38)/AE$10,0),N(Reales!AE38)),AE$177*IF(AND(AND(26&gt;Corte,26&lt;=Corte+n_Ventana),ISNUMBER(Detalle_24m!AE$42)),Detalle_24m!AE$42,INDEX(Precio_V,1)*INDEX(IdxPrecio_V,1,MIN(10,AE$173)))*(1+V_dPrecio))</f>
        <v>413140.5</v>
      </c>
      <c r="AF202" s="48" t="n">
        <f aca="false">IF(AF$8=1,IF(Reales!$C$38="PYG",IF(AF$10&gt;0,N(Reales!AF38)/AF$10,0),N(Reales!AF38)),AF$177*IF(AND(AND(27&gt;Corte,27&lt;=Corte+n_Ventana),ISNUMBER(Detalle_24m!AF$42)),Detalle_24m!AF$42,INDEX(Precio_V,1)*INDEX(IdxPrecio_V,1,MIN(10,AF$173)))*(1+V_dPrecio))</f>
        <v>413140.5</v>
      </c>
      <c r="AG202" s="48" t="n">
        <f aca="false">IF(AG$8=1,IF(Reales!$C$38="PYG",IF(AG$10&gt;0,N(Reales!AG38)/AG$10,0),N(Reales!AG38)),AG$177*IF(AND(AND(28&gt;Corte,28&lt;=Corte+n_Ventana),ISNUMBER(Detalle_24m!AG$42)),Detalle_24m!AG$42,INDEX(Precio_V,1)*INDEX(IdxPrecio_V,1,MIN(10,AG$173)))*(1+V_dPrecio))</f>
        <v>413140.5</v>
      </c>
      <c r="AH202" s="48" t="n">
        <f aca="false">IF(AH$8=1,IF(Reales!$C$38="PYG",IF(AH$10&gt;0,N(Reales!AH38)/AH$10,0),N(Reales!AH38)),AH$177*IF(AND(AND(29&gt;Corte,29&lt;=Corte+n_Ventana),ISNUMBER(Detalle_24m!AH$42)),Detalle_24m!AH$42,INDEX(Precio_V,1)*INDEX(IdxPrecio_V,1,MIN(10,AH$173)))*(1+V_dPrecio))</f>
        <v>413140.5</v>
      </c>
      <c r="AI202" s="48" t="n">
        <f aca="false">IF(AI$8=1,IF(Reales!$C$38="PYG",IF(AI$10&gt;0,N(Reales!AI38)/AI$10,0),N(Reales!AI38)),AI$177*IF(AND(AND(30&gt;Corte,30&lt;=Corte+n_Ventana),ISNUMBER(Detalle_24m!AI$42)),Detalle_24m!AI$42,INDEX(Precio_V,1)*INDEX(IdxPrecio_V,1,MIN(10,AI$173)))*(1+V_dPrecio))</f>
        <v>413140.5</v>
      </c>
      <c r="AJ202" s="48" t="n">
        <f aca="false">IF(AJ$8=1,IF(Reales!$C$38="PYG",IF(AJ$10&gt;0,N(Reales!AJ38)/AJ$10,0),N(Reales!AJ38)),AJ$177*IF(AND(AND(31&gt;Corte,31&lt;=Corte+n_Ventana),ISNUMBER(Detalle_24m!AJ$42)),Detalle_24m!AJ$42,INDEX(Precio_V,1)*INDEX(IdxPrecio_V,1,MIN(10,AJ$173)))*(1+V_dPrecio))</f>
        <v>413140.5</v>
      </c>
      <c r="AK202" s="48" t="n">
        <f aca="false">IF(AK$8=1,IF(Reales!$C$38="PYG",IF(AK$10&gt;0,N(Reales!AK38)/AK$10,0),N(Reales!AK38)),AK$177*IF(AND(AND(32&gt;Corte,32&lt;=Corte+n_Ventana),ISNUMBER(Detalle_24m!AK$42)),Detalle_24m!AK$42,INDEX(Precio_V,1)*INDEX(IdxPrecio_V,1,MIN(10,AK$173)))*(1+V_dPrecio))</f>
        <v>413140.5</v>
      </c>
      <c r="AL202" s="48" t="n">
        <f aca="false">IF(AL$8=1,IF(Reales!$C$38="PYG",IF(AL$10&gt;0,N(Reales!AL38)/AL$10,0),N(Reales!AL38)),AL$177*IF(AND(AND(33&gt;Corte,33&lt;=Corte+n_Ventana),ISNUMBER(Detalle_24m!AL$42)),Detalle_24m!AL$42,INDEX(Precio_V,1)*INDEX(IdxPrecio_V,1,MIN(10,AL$173)))*(1+V_dPrecio))</f>
        <v>413140.5</v>
      </c>
      <c r="AM202" s="48" t="n">
        <f aca="false">IF(AM$8=1,IF(Reales!$C$38="PYG",IF(AM$10&gt;0,N(Reales!AM38)/AM$10,0),N(Reales!AM38)),AM$177*IF(AND(AND(34&gt;Corte,34&lt;=Corte+n_Ventana),ISNUMBER(Detalle_24m!AM$42)),Detalle_24m!AM$42,INDEX(Precio_V,1)*INDEX(IdxPrecio_V,1,MIN(10,AM$173)))*(1+V_dPrecio))</f>
        <v>413140.5</v>
      </c>
      <c r="AN202" s="48" t="n">
        <f aca="false">IF(AN$8=1,IF(Reales!$C$38="PYG",IF(AN$10&gt;0,N(Reales!AN38)/AN$10,0),N(Reales!AN38)),AN$177*IF(AND(AND(35&gt;Corte,35&lt;=Corte+n_Ventana),ISNUMBER(Detalle_24m!AN$42)),Detalle_24m!AN$42,INDEX(Precio_V,1)*INDEX(IdxPrecio_V,1,MIN(10,AN$173)))*(1+V_dPrecio))</f>
        <v>413140.5</v>
      </c>
      <c r="AO202" s="48" t="n">
        <f aca="false">IF(AO$8=1,IF(Reales!$C$38="PYG",IF(AO$10&gt;0,N(Reales!AO38)/AO$10,0),N(Reales!AO38)),AO$177*IF(AND(AND(36&gt;Corte,36&lt;=Corte+n_Ventana),ISNUMBER(Detalle_24m!AO$42)),Detalle_24m!AO$42,INDEX(Precio_V,1)*INDEX(IdxPrecio_V,1,MIN(10,AO$173)))*(1+V_dPrecio))</f>
        <v>413140.5</v>
      </c>
      <c r="AP202" s="48" t="n">
        <f aca="false">IF(AP$8=1,IF(Reales!$C$38="PYG",IF(AP$10&gt;0,N(Reales!AP38)/AP$10,0),N(Reales!AP38)),AP$177*IF(AND(AND(37&gt;Corte,37&lt;=Corte+n_Ventana),ISNUMBER(Detalle_24m!AP$42)),Detalle_24m!AP$42,INDEX(Precio_V,1)*INDEX(IdxPrecio_V,1,MIN(10,AP$173)))*(1+V_dPrecio))</f>
        <v>486817.2225</v>
      </c>
      <c r="AQ202" s="48" t="n">
        <f aca="false">IF(AQ$8=1,IF(Reales!$C$38="PYG",IF(AQ$10&gt;0,N(Reales!AQ38)/AQ$10,0),N(Reales!AQ38)),AQ$177*IF(AND(AND(38&gt;Corte,38&lt;=Corte+n_Ventana),ISNUMBER(Detalle_24m!AQ$42)),Detalle_24m!AQ$42,INDEX(Precio_V,1)*INDEX(IdxPrecio_V,1,MIN(10,AQ$173)))*(1+V_dPrecio))</f>
        <v>486817.2225</v>
      </c>
      <c r="AR202" s="48" t="n">
        <f aca="false">IF(AR$8=1,IF(Reales!$C$38="PYG",IF(AR$10&gt;0,N(Reales!AR38)/AR$10,0),N(Reales!AR38)),AR$177*IF(AND(AND(39&gt;Corte,39&lt;=Corte+n_Ventana),ISNUMBER(Detalle_24m!AR$42)),Detalle_24m!AR$42,INDEX(Precio_V,1)*INDEX(IdxPrecio_V,1,MIN(10,AR$173)))*(1+V_dPrecio))</f>
        <v>486817.2225</v>
      </c>
      <c r="AS202" s="48" t="n">
        <f aca="false">IF(AS$8=1,IF(Reales!$C$38="PYG",IF(AS$10&gt;0,N(Reales!AS38)/AS$10,0),N(Reales!AS38)),AS$177*IF(AND(AND(40&gt;Corte,40&lt;=Corte+n_Ventana),ISNUMBER(Detalle_24m!AS$42)),Detalle_24m!AS$42,INDEX(Precio_V,1)*INDEX(IdxPrecio_V,1,MIN(10,AS$173)))*(1+V_dPrecio))</f>
        <v>486817.2225</v>
      </c>
      <c r="AT202" s="48" t="n">
        <f aca="false">IF(AT$8=1,IF(Reales!$C$38="PYG",IF(AT$10&gt;0,N(Reales!AT38)/AT$10,0),N(Reales!AT38)),AT$177*IF(AND(AND(41&gt;Corte,41&lt;=Corte+n_Ventana),ISNUMBER(Detalle_24m!AT$42)),Detalle_24m!AT$42,INDEX(Precio_V,1)*INDEX(IdxPrecio_V,1,MIN(10,AT$173)))*(1+V_dPrecio))</f>
        <v>486817.2225</v>
      </c>
      <c r="AU202" s="48" t="n">
        <f aca="false">IF(AU$8=1,IF(Reales!$C$38="PYG",IF(AU$10&gt;0,N(Reales!AU38)/AU$10,0),N(Reales!AU38)),AU$177*IF(AND(AND(42&gt;Corte,42&lt;=Corte+n_Ventana),ISNUMBER(Detalle_24m!AU$42)),Detalle_24m!AU$42,INDEX(Precio_V,1)*INDEX(IdxPrecio_V,1,MIN(10,AU$173)))*(1+V_dPrecio))</f>
        <v>486817.2225</v>
      </c>
      <c r="AV202" s="48" t="n">
        <f aca="false">IF(AV$8=1,IF(Reales!$C$38="PYG",IF(AV$10&gt;0,N(Reales!AV38)/AV$10,0),N(Reales!AV38)),AV$177*IF(AND(AND(43&gt;Corte,43&lt;=Corte+n_Ventana),ISNUMBER(Detalle_24m!AV$42)),Detalle_24m!AV$42,INDEX(Precio_V,1)*INDEX(IdxPrecio_V,1,MIN(10,AV$173)))*(1+V_dPrecio))</f>
        <v>486817.2225</v>
      </c>
      <c r="AW202" s="48" t="n">
        <f aca="false">IF(AW$8=1,IF(Reales!$C$38="PYG",IF(AW$10&gt;0,N(Reales!AW38)/AW$10,0),N(Reales!AW38)),AW$177*IF(AND(AND(44&gt;Corte,44&lt;=Corte+n_Ventana),ISNUMBER(Detalle_24m!AW$42)),Detalle_24m!AW$42,INDEX(Precio_V,1)*INDEX(IdxPrecio_V,1,MIN(10,AW$173)))*(1+V_dPrecio))</f>
        <v>486817.2225</v>
      </c>
      <c r="AX202" s="48" t="n">
        <f aca="false">IF(AX$8=1,IF(Reales!$C$38="PYG",IF(AX$10&gt;0,N(Reales!AX38)/AX$10,0),N(Reales!AX38)),AX$177*IF(AND(AND(45&gt;Corte,45&lt;=Corte+n_Ventana),ISNUMBER(Detalle_24m!AX$42)),Detalle_24m!AX$42,INDEX(Precio_V,1)*INDEX(IdxPrecio_V,1,MIN(10,AX$173)))*(1+V_dPrecio))</f>
        <v>486817.2225</v>
      </c>
      <c r="AY202" s="48" t="n">
        <f aca="false">IF(AY$8=1,IF(Reales!$C$38="PYG",IF(AY$10&gt;0,N(Reales!AY38)/AY$10,0),N(Reales!AY38)),AY$177*IF(AND(AND(46&gt;Corte,46&lt;=Corte+n_Ventana),ISNUMBER(Detalle_24m!AY$42)),Detalle_24m!AY$42,INDEX(Precio_V,1)*INDEX(IdxPrecio_V,1,MIN(10,AY$173)))*(1+V_dPrecio))</f>
        <v>486817.2225</v>
      </c>
      <c r="AZ202" s="48" t="n">
        <f aca="false">IF(AZ$8=1,IF(Reales!$C$38="PYG",IF(AZ$10&gt;0,N(Reales!AZ38)/AZ$10,0),N(Reales!AZ38)),AZ$177*IF(AND(AND(47&gt;Corte,47&lt;=Corte+n_Ventana),ISNUMBER(Detalle_24m!AZ$42)),Detalle_24m!AZ$42,INDEX(Precio_V,1)*INDEX(IdxPrecio_V,1,MIN(10,AZ$173)))*(1+V_dPrecio))</f>
        <v>486817.2225</v>
      </c>
      <c r="BA202" s="48" t="n">
        <f aca="false">IF(BA$8=1,IF(Reales!$C$38="PYG",IF(BA$10&gt;0,N(Reales!BA38)/BA$10,0),N(Reales!BA38)),BA$177*IF(AND(AND(48&gt;Corte,48&lt;=Corte+n_Ventana),ISNUMBER(Detalle_24m!BA$42)),Detalle_24m!BA$42,INDEX(Precio_V,1)*INDEX(IdxPrecio_V,1,MIN(10,BA$173)))*(1+V_dPrecio))</f>
        <v>486817.2225</v>
      </c>
      <c r="BB202" s="48" t="n">
        <f aca="false">IF(BB$8=1,IF(Reales!$C$38="PYG",IF(BB$10&gt;0,N(Reales!BB38)/BB$10,0),N(Reales!BB38)),BB$177*IF(AND(AND(49&gt;Corte,49&lt;=Corte+n_Ventana),ISNUMBER(Detalle_24m!BB$42)),Detalle_24m!BB$42,INDEX(Precio_V,1)*INDEX(IdxPrecio_V,1,MIN(10,BB$173)))*(1+V_dPrecio))</f>
        <v>491685.394725</v>
      </c>
      <c r="BC202" s="48" t="n">
        <f aca="false">IF(BC$8=1,IF(Reales!$C$38="PYG",IF(BC$10&gt;0,N(Reales!BC38)/BC$10,0),N(Reales!BC38)),BC$177*IF(AND(AND(50&gt;Corte,50&lt;=Corte+n_Ventana),ISNUMBER(Detalle_24m!BC$42)),Detalle_24m!BC$42,INDEX(Precio_V,1)*INDEX(IdxPrecio_V,1,MIN(10,BC$173)))*(1+V_dPrecio))</f>
        <v>491685.394725</v>
      </c>
      <c r="BD202" s="48" t="n">
        <f aca="false">IF(BD$8=1,IF(Reales!$C$38="PYG",IF(BD$10&gt;0,N(Reales!BD38)/BD$10,0),N(Reales!BD38)),BD$177*IF(AND(AND(51&gt;Corte,51&lt;=Corte+n_Ventana),ISNUMBER(Detalle_24m!BD$42)),Detalle_24m!BD$42,INDEX(Precio_V,1)*INDEX(IdxPrecio_V,1,MIN(10,BD$173)))*(1+V_dPrecio))</f>
        <v>491685.394725</v>
      </c>
      <c r="BE202" s="48" t="n">
        <f aca="false">IF(BE$8=1,IF(Reales!$C$38="PYG",IF(BE$10&gt;0,N(Reales!BE38)/BE$10,0),N(Reales!BE38)),BE$177*IF(AND(AND(52&gt;Corte,52&lt;=Corte+n_Ventana),ISNUMBER(Detalle_24m!BE$42)),Detalle_24m!BE$42,INDEX(Precio_V,1)*INDEX(IdxPrecio_V,1,MIN(10,BE$173)))*(1+V_dPrecio))</f>
        <v>491685.394725</v>
      </c>
      <c r="BF202" s="48" t="n">
        <f aca="false">IF(BF$8=1,IF(Reales!$C$38="PYG",IF(BF$10&gt;0,N(Reales!BF38)/BF$10,0),N(Reales!BF38)),BF$177*IF(AND(AND(53&gt;Corte,53&lt;=Corte+n_Ventana),ISNUMBER(Detalle_24m!BF$42)),Detalle_24m!BF$42,INDEX(Precio_V,1)*INDEX(IdxPrecio_V,1,MIN(10,BF$173)))*(1+V_dPrecio))</f>
        <v>491685.394725</v>
      </c>
      <c r="BG202" s="48" t="n">
        <f aca="false">IF(BG$8=1,IF(Reales!$C$38="PYG",IF(BG$10&gt;0,N(Reales!BG38)/BG$10,0),N(Reales!BG38)),BG$177*IF(AND(AND(54&gt;Corte,54&lt;=Corte+n_Ventana),ISNUMBER(Detalle_24m!BG$42)),Detalle_24m!BG$42,INDEX(Precio_V,1)*INDEX(IdxPrecio_V,1,MIN(10,BG$173)))*(1+V_dPrecio))</f>
        <v>491685.394725</v>
      </c>
      <c r="BH202" s="48" t="n">
        <f aca="false">IF(BH$8=1,IF(Reales!$C$38="PYG",IF(BH$10&gt;0,N(Reales!BH38)/BH$10,0),N(Reales!BH38)),BH$177*IF(AND(AND(55&gt;Corte,55&lt;=Corte+n_Ventana),ISNUMBER(Detalle_24m!BH$42)),Detalle_24m!BH$42,INDEX(Precio_V,1)*INDEX(IdxPrecio_V,1,MIN(10,BH$173)))*(1+V_dPrecio))</f>
        <v>491685.394725</v>
      </c>
      <c r="BI202" s="48" t="n">
        <f aca="false">IF(BI$8=1,IF(Reales!$C$38="PYG",IF(BI$10&gt;0,N(Reales!BI38)/BI$10,0),N(Reales!BI38)),BI$177*IF(AND(AND(56&gt;Corte,56&lt;=Corte+n_Ventana),ISNUMBER(Detalle_24m!BI$42)),Detalle_24m!BI$42,INDEX(Precio_V,1)*INDEX(IdxPrecio_V,1,MIN(10,BI$173)))*(1+V_dPrecio))</f>
        <v>491685.394725</v>
      </c>
      <c r="BJ202" s="48" t="n">
        <f aca="false">IF(BJ$8=1,IF(Reales!$C$38="PYG",IF(BJ$10&gt;0,N(Reales!BJ38)/BJ$10,0),N(Reales!BJ38)),BJ$177*IF(AND(AND(57&gt;Corte,57&lt;=Corte+n_Ventana),ISNUMBER(Detalle_24m!BJ$42)),Detalle_24m!BJ$42,INDEX(Precio_V,1)*INDEX(IdxPrecio_V,1,MIN(10,BJ$173)))*(1+V_dPrecio))</f>
        <v>491685.394725</v>
      </c>
      <c r="BK202" s="48" t="n">
        <f aca="false">IF(BK$8=1,IF(Reales!$C$38="PYG",IF(BK$10&gt;0,N(Reales!BK38)/BK$10,0),N(Reales!BK38)),BK$177*IF(AND(AND(58&gt;Corte,58&lt;=Corte+n_Ventana),ISNUMBER(Detalle_24m!BK$42)),Detalle_24m!BK$42,INDEX(Precio_V,1)*INDEX(IdxPrecio_V,1,MIN(10,BK$173)))*(1+V_dPrecio))</f>
        <v>491685.394725</v>
      </c>
      <c r="BL202" s="48" t="n">
        <f aca="false">IF(BL$8=1,IF(Reales!$C$38="PYG",IF(BL$10&gt;0,N(Reales!BL38)/BL$10,0),N(Reales!BL38)),BL$177*IF(AND(AND(59&gt;Corte,59&lt;=Corte+n_Ventana),ISNUMBER(Detalle_24m!BL$42)),Detalle_24m!BL$42,INDEX(Precio_V,1)*INDEX(IdxPrecio_V,1,MIN(10,BL$173)))*(1+V_dPrecio))</f>
        <v>491685.394725</v>
      </c>
      <c r="BM202" s="48" t="n">
        <f aca="false">IF(BM$8=1,IF(Reales!$C$38="PYG",IF(BM$10&gt;0,N(Reales!BM38)/BM$10,0),N(Reales!BM38)),BM$177*IF(AND(AND(60&gt;Corte,60&lt;=Corte+n_Ventana),ISNUMBER(Detalle_24m!BM$42)),Detalle_24m!BM$42,INDEX(Precio_V,1)*INDEX(IdxPrecio_V,1,MIN(10,BM$173)))*(1+V_dPrecio))</f>
        <v>491685.394725</v>
      </c>
      <c r="BN202" s="48" t="n">
        <f aca="false">IF(BN$8=1,IF(Reales!$C$38="PYG",IF(BN$10&gt;0,N(Reales!BN38)/BN$10,0),N(Reales!BN38)),BN$177*IF(AND(AND(61&gt;Corte,61&lt;=Corte+n_Ventana),ISNUMBER(Detalle_24m!BN$42)),Detalle_24m!BN$42,INDEX(Precio_V,1)*INDEX(IdxPrecio_V,1,MIN(10,BN$173)))*(1+V_dPrecio))</f>
        <v>496602.24867225</v>
      </c>
      <c r="BO202" s="48" t="n">
        <f aca="false">IF(BO$8=1,IF(Reales!$C$38="PYG",IF(BO$10&gt;0,N(Reales!BO38)/BO$10,0),N(Reales!BO38)),BO$177*IF(AND(AND(62&gt;Corte,62&lt;=Corte+n_Ventana),ISNUMBER(Detalle_24m!BO$42)),Detalle_24m!BO$42,INDEX(Precio_V,1)*INDEX(IdxPrecio_V,1,MIN(10,BO$173)))*(1+V_dPrecio))</f>
        <v>496602.24867225</v>
      </c>
      <c r="BP202" s="48" t="n">
        <f aca="false">IF(BP$8=1,IF(Reales!$C$38="PYG",IF(BP$10&gt;0,N(Reales!BP38)/BP$10,0),N(Reales!BP38)),BP$177*IF(AND(AND(63&gt;Corte,63&lt;=Corte+n_Ventana),ISNUMBER(Detalle_24m!BP$42)),Detalle_24m!BP$42,INDEX(Precio_V,1)*INDEX(IdxPrecio_V,1,MIN(10,BP$173)))*(1+V_dPrecio))</f>
        <v>496602.24867225</v>
      </c>
      <c r="BQ202" s="48" t="n">
        <f aca="false">IF(BQ$8=1,IF(Reales!$C$38="PYG",IF(BQ$10&gt;0,N(Reales!BQ38)/BQ$10,0),N(Reales!BQ38)),BQ$177*IF(AND(AND(64&gt;Corte,64&lt;=Corte+n_Ventana),ISNUMBER(Detalle_24m!BQ$42)),Detalle_24m!BQ$42,INDEX(Precio_V,1)*INDEX(IdxPrecio_V,1,MIN(10,BQ$173)))*(1+V_dPrecio))</f>
        <v>496602.24867225</v>
      </c>
      <c r="BR202" s="48" t="n">
        <f aca="false">IF(BR$8=1,IF(Reales!$C$38="PYG",IF(BR$10&gt;0,N(Reales!BR38)/BR$10,0),N(Reales!BR38)),BR$177*IF(AND(AND(65&gt;Corte,65&lt;=Corte+n_Ventana),ISNUMBER(Detalle_24m!BR$42)),Detalle_24m!BR$42,INDEX(Precio_V,1)*INDEX(IdxPrecio_V,1,MIN(10,BR$173)))*(1+V_dPrecio))</f>
        <v>496602.24867225</v>
      </c>
      <c r="BS202" s="48" t="n">
        <f aca="false">IF(BS$8=1,IF(Reales!$C$38="PYG",IF(BS$10&gt;0,N(Reales!BS38)/BS$10,0),N(Reales!BS38)),BS$177*IF(AND(AND(66&gt;Corte,66&lt;=Corte+n_Ventana),ISNUMBER(Detalle_24m!BS$42)),Detalle_24m!BS$42,INDEX(Precio_V,1)*INDEX(IdxPrecio_V,1,MIN(10,BS$173)))*(1+V_dPrecio))</f>
        <v>496602.24867225</v>
      </c>
      <c r="BT202" s="48" t="n">
        <f aca="false">IF(BT$8=1,IF(Reales!$C$38="PYG",IF(BT$10&gt;0,N(Reales!BT38)/BT$10,0),N(Reales!BT38)),BT$177*IF(AND(AND(67&gt;Corte,67&lt;=Corte+n_Ventana),ISNUMBER(Detalle_24m!BT$42)),Detalle_24m!BT$42,INDEX(Precio_V,1)*INDEX(IdxPrecio_V,1,MIN(10,BT$173)))*(1+V_dPrecio))</f>
        <v>496602.24867225</v>
      </c>
      <c r="BU202" s="48" t="n">
        <f aca="false">IF(BU$8=1,IF(Reales!$C$38="PYG",IF(BU$10&gt;0,N(Reales!BU38)/BU$10,0),N(Reales!BU38)),BU$177*IF(AND(AND(68&gt;Corte,68&lt;=Corte+n_Ventana),ISNUMBER(Detalle_24m!BU$42)),Detalle_24m!BU$42,INDEX(Precio_V,1)*INDEX(IdxPrecio_V,1,MIN(10,BU$173)))*(1+V_dPrecio))</f>
        <v>496602.24867225</v>
      </c>
      <c r="BV202" s="48" t="n">
        <f aca="false">IF(BV$8=1,IF(Reales!$C$38="PYG",IF(BV$10&gt;0,N(Reales!BV38)/BV$10,0),N(Reales!BV38)),BV$177*IF(AND(AND(69&gt;Corte,69&lt;=Corte+n_Ventana),ISNUMBER(Detalle_24m!BV$42)),Detalle_24m!BV$42,INDEX(Precio_V,1)*INDEX(IdxPrecio_V,1,MIN(10,BV$173)))*(1+V_dPrecio))</f>
        <v>496602.24867225</v>
      </c>
      <c r="BW202" s="48" t="n">
        <f aca="false">IF(BW$8=1,IF(Reales!$C$38="PYG",IF(BW$10&gt;0,N(Reales!BW38)/BW$10,0),N(Reales!BW38)),BW$177*IF(AND(AND(70&gt;Corte,70&lt;=Corte+n_Ventana),ISNUMBER(Detalle_24m!BW$42)),Detalle_24m!BW$42,INDEX(Precio_V,1)*INDEX(IdxPrecio_V,1,MIN(10,BW$173)))*(1+V_dPrecio))</f>
        <v>496602.24867225</v>
      </c>
      <c r="BX202" s="48" t="n">
        <f aca="false">IF(BX$8=1,IF(Reales!$C$38="PYG",IF(BX$10&gt;0,N(Reales!BX38)/BX$10,0),N(Reales!BX38)),BX$177*IF(AND(AND(71&gt;Corte,71&lt;=Corte+n_Ventana),ISNUMBER(Detalle_24m!BX$42)),Detalle_24m!BX$42,INDEX(Precio_V,1)*INDEX(IdxPrecio_V,1,MIN(10,BX$173)))*(1+V_dPrecio))</f>
        <v>496602.24867225</v>
      </c>
      <c r="BY202" s="48" t="n">
        <f aca="false">IF(BY$8=1,IF(Reales!$C$38="PYG",IF(BY$10&gt;0,N(Reales!BY38)/BY$10,0),N(Reales!BY38)),BY$177*IF(AND(AND(72&gt;Corte,72&lt;=Corte+n_Ventana),ISNUMBER(Detalle_24m!BY$42)),Detalle_24m!BY$42,INDEX(Precio_V,1)*INDEX(IdxPrecio_V,1,MIN(10,BY$173)))*(1+V_dPrecio))</f>
        <v>496602.24867225</v>
      </c>
      <c r="BZ202" s="48" t="n">
        <f aca="false">IF(BZ$8=1,IF(Reales!$C$38="PYG",IF(BZ$10&gt;0,N(Reales!BZ38)/BZ$10,0),N(Reales!BZ38)),BZ$177*IF(AND(AND(73&gt;Corte,73&lt;=Corte+n_Ventana),ISNUMBER(Detalle_24m!BZ$42)),Detalle_24m!BZ$42,INDEX(Precio_V,1)*INDEX(IdxPrecio_V,1,MIN(10,BZ$173)))*(1+V_dPrecio))</f>
        <v>501568.271158972</v>
      </c>
      <c r="CA202" s="48" t="n">
        <f aca="false">IF(CA$8=1,IF(Reales!$C$38="PYG",IF(CA$10&gt;0,N(Reales!CA38)/CA$10,0),N(Reales!CA38)),CA$177*IF(AND(AND(74&gt;Corte,74&lt;=Corte+n_Ventana),ISNUMBER(Detalle_24m!CA$42)),Detalle_24m!CA$42,INDEX(Precio_V,1)*INDEX(IdxPrecio_V,1,MIN(10,CA$173)))*(1+V_dPrecio))</f>
        <v>501568.271158972</v>
      </c>
      <c r="CB202" s="48" t="n">
        <f aca="false">IF(CB$8=1,IF(Reales!$C$38="PYG",IF(CB$10&gt;0,N(Reales!CB38)/CB$10,0),N(Reales!CB38)),CB$177*IF(AND(AND(75&gt;Corte,75&lt;=Corte+n_Ventana),ISNUMBER(Detalle_24m!CB$42)),Detalle_24m!CB$42,INDEX(Precio_V,1)*INDEX(IdxPrecio_V,1,MIN(10,CB$173)))*(1+V_dPrecio))</f>
        <v>501568.271158972</v>
      </c>
      <c r="CC202" s="48" t="n">
        <f aca="false">IF(CC$8=1,IF(Reales!$C$38="PYG",IF(CC$10&gt;0,N(Reales!CC38)/CC$10,0),N(Reales!CC38)),CC$177*IF(AND(AND(76&gt;Corte,76&lt;=Corte+n_Ventana),ISNUMBER(Detalle_24m!CC$42)),Detalle_24m!CC$42,INDEX(Precio_V,1)*INDEX(IdxPrecio_V,1,MIN(10,CC$173)))*(1+V_dPrecio))</f>
        <v>501568.271158972</v>
      </c>
      <c r="CD202" s="48" t="n">
        <f aca="false">IF(CD$8=1,IF(Reales!$C$38="PYG",IF(CD$10&gt;0,N(Reales!CD38)/CD$10,0),N(Reales!CD38)),CD$177*IF(AND(AND(77&gt;Corte,77&lt;=Corte+n_Ventana),ISNUMBER(Detalle_24m!CD$42)),Detalle_24m!CD$42,INDEX(Precio_V,1)*INDEX(IdxPrecio_V,1,MIN(10,CD$173)))*(1+V_dPrecio))</f>
        <v>501568.271158972</v>
      </c>
      <c r="CE202" s="48" t="n">
        <f aca="false">IF(CE$8=1,IF(Reales!$C$38="PYG",IF(CE$10&gt;0,N(Reales!CE38)/CE$10,0),N(Reales!CE38)),CE$177*IF(AND(AND(78&gt;Corte,78&lt;=Corte+n_Ventana),ISNUMBER(Detalle_24m!CE$42)),Detalle_24m!CE$42,INDEX(Precio_V,1)*INDEX(IdxPrecio_V,1,MIN(10,CE$173)))*(1+V_dPrecio))</f>
        <v>501568.271158972</v>
      </c>
      <c r="CF202" s="48" t="n">
        <f aca="false">IF(CF$8=1,IF(Reales!$C$38="PYG",IF(CF$10&gt;0,N(Reales!CF38)/CF$10,0),N(Reales!CF38)),CF$177*IF(AND(AND(79&gt;Corte,79&lt;=Corte+n_Ventana),ISNUMBER(Detalle_24m!CF$42)),Detalle_24m!CF$42,INDEX(Precio_V,1)*INDEX(IdxPrecio_V,1,MIN(10,CF$173)))*(1+V_dPrecio))</f>
        <v>501568.271158972</v>
      </c>
      <c r="CG202" s="48" t="n">
        <f aca="false">IF(CG$8=1,IF(Reales!$C$38="PYG",IF(CG$10&gt;0,N(Reales!CG38)/CG$10,0),N(Reales!CG38)),CG$177*IF(AND(AND(80&gt;Corte,80&lt;=Corte+n_Ventana),ISNUMBER(Detalle_24m!CG$42)),Detalle_24m!CG$42,INDEX(Precio_V,1)*INDEX(IdxPrecio_V,1,MIN(10,CG$173)))*(1+V_dPrecio))</f>
        <v>501568.271158972</v>
      </c>
      <c r="CH202" s="48" t="n">
        <f aca="false">IF(CH$8=1,IF(Reales!$C$38="PYG",IF(CH$10&gt;0,N(Reales!CH38)/CH$10,0),N(Reales!CH38)),CH$177*IF(AND(AND(81&gt;Corte,81&lt;=Corte+n_Ventana),ISNUMBER(Detalle_24m!CH$42)),Detalle_24m!CH$42,INDEX(Precio_V,1)*INDEX(IdxPrecio_V,1,MIN(10,CH$173)))*(1+V_dPrecio))</f>
        <v>501568.271158972</v>
      </c>
      <c r="CI202" s="48" t="n">
        <f aca="false">IF(CI$8=1,IF(Reales!$C$38="PYG",IF(CI$10&gt;0,N(Reales!CI38)/CI$10,0),N(Reales!CI38)),CI$177*IF(AND(AND(82&gt;Corte,82&lt;=Corte+n_Ventana),ISNUMBER(Detalle_24m!CI$42)),Detalle_24m!CI$42,INDEX(Precio_V,1)*INDEX(IdxPrecio_V,1,MIN(10,CI$173)))*(1+V_dPrecio))</f>
        <v>501568.271158972</v>
      </c>
      <c r="CJ202" s="48" t="n">
        <f aca="false">IF(CJ$8=1,IF(Reales!$C$38="PYG",IF(CJ$10&gt;0,N(Reales!CJ38)/CJ$10,0),N(Reales!CJ38)),CJ$177*IF(AND(AND(83&gt;Corte,83&lt;=Corte+n_Ventana),ISNUMBER(Detalle_24m!CJ$42)),Detalle_24m!CJ$42,INDEX(Precio_V,1)*INDEX(IdxPrecio_V,1,MIN(10,CJ$173)))*(1+V_dPrecio))</f>
        <v>501568.271158972</v>
      </c>
      <c r="CK202" s="48" t="n">
        <f aca="false">IF(CK$8=1,IF(Reales!$C$38="PYG",IF(CK$10&gt;0,N(Reales!CK38)/CK$10,0),N(Reales!CK38)),CK$177*IF(AND(AND(84&gt;Corte,84&lt;=Corte+n_Ventana),ISNUMBER(Detalle_24m!CK$42)),Detalle_24m!CK$42,INDEX(Precio_V,1)*INDEX(IdxPrecio_V,1,MIN(10,CK$173)))*(1+V_dPrecio))</f>
        <v>501568.271158972</v>
      </c>
      <c r="CL202" s="48" t="n">
        <f aca="false">IF(CL$8=1,IF(Reales!$C$38="PYG",IF(CL$10&gt;0,N(Reales!CL38)/CL$10,0),N(Reales!CL38)),CL$177*IF(AND(AND(85&gt;Corte,85&lt;=Corte+n_Ventana),ISNUMBER(Detalle_24m!CL$42)),Detalle_24m!CL$42,INDEX(Precio_V,1)*INDEX(IdxPrecio_V,1,MIN(10,CL$173)))*(1+V_dPrecio))</f>
        <v>506583.953870562</v>
      </c>
      <c r="CM202" s="48" t="n">
        <f aca="false">IF(CM$8=1,IF(Reales!$C$38="PYG",IF(CM$10&gt;0,N(Reales!CM38)/CM$10,0),N(Reales!CM38)),CM$177*IF(AND(AND(86&gt;Corte,86&lt;=Corte+n_Ventana),ISNUMBER(Detalle_24m!CM$42)),Detalle_24m!CM$42,INDEX(Precio_V,1)*INDEX(IdxPrecio_V,1,MIN(10,CM$173)))*(1+V_dPrecio))</f>
        <v>506583.953870562</v>
      </c>
      <c r="CN202" s="48" t="n">
        <f aca="false">IF(CN$8=1,IF(Reales!$C$38="PYG",IF(CN$10&gt;0,N(Reales!CN38)/CN$10,0),N(Reales!CN38)),CN$177*IF(AND(AND(87&gt;Corte,87&lt;=Corte+n_Ventana),ISNUMBER(Detalle_24m!CN$42)),Detalle_24m!CN$42,INDEX(Precio_V,1)*INDEX(IdxPrecio_V,1,MIN(10,CN$173)))*(1+V_dPrecio))</f>
        <v>506583.953870562</v>
      </c>
      <c r="CO202" s="48" t="n">
        <f aca="false">IF(CO$8=1,IF(Reales!$C$38="PYG",IF(CO$10&gt;0,N(Reales!CO38)/CO$10,0),N(Reales!CO38)),CO$177*IF(AND(AND(88&gt;Corte,88&lt;=Corte+n_Ventana),ISNUMBER(Detalle_24m!CO$42)),Detalle_24m!CO$42,INDEX(Precio_V,1)*INDEX(IdxPrecio_V,1,MIN(10,CO$173)))*(1+V_dPrecio))</f>
        <v>506583.953870562</v>
      </c>
      <c r="CP202" s="48" t="n">
        <f aca="false">IF(CP$8=1,IF(Reales!$C$38="PYG",IF(CP$10&gt;0,N(Reales!CP38)/CP$10,0),N(Reales!CP38)),CP$177*IF(AND(AND(89&gt;Corte,89&lt;=Corte+n_Ventana),ISNUMBER(Detalle_24m!CP$42)),Detalle_24m!CP$42,INDEX(Precio_V,1)*INDEX(IdxPrecio_V,1,MIN(10,CP$173)))*(1+V_dPrecio))</f>
        <v>506583.953870562</v>
      </c>
      <c r="CQ202" s="48" t="n">
        <f aca="false">IF(CQ$8=1,IF(Reales!$C$38="PYG",IF(CQ$10&gt;0,N(Reales!CQ38)/CQ$10,0),N(Reales!CQ38)),CQ$177*IF(AND(AND(90&gt;Corte,90&lt;=Corte+n_Ventana),ISNUMBER(Detalle_24m!CQ$42)),Detalle_24m!CQ$42,INDEX(Precio_V,1)*INDEX(IdxPrecio_V,1,MIN(10,CQ$173)))*(1+V_dPrecio))</f>
        <v>506583.953870562</v>
      </c>
      <c r="CR202" s="48" t="n">
        <f aca="false">IF(CR$8=1,IF(Reales!$C$38="PYG",IF(CR$10&gt;0,N(Reales!CR38)/CR$10,0),N(Reales!CR38)),CR$177*IF(AND(AND(91&gt;Corte,91&lt;=Corte+n_Ventana),ISNUMBER(Detalle_24m!CR$42)),Detalle_24m!CR$42,INDEX(Precio_V,1)*INDEX(IdxPrecio_V,1,MIN(10,CR$173)))*(1+V_dPrecio))</f>
        <v>506583.953870562</v>
      </c>
      <c r="CS202" s="48" t="n">
        <f aca="false">IF(CS$8=1,IF(Reales!$C$38="PYG",IF(CS$10&gt;0,N(Reales!CS38)/CS$10,0),N(Reales!CS38)),CS$177*IF(AND(AND(92&gt;Corte,92&lt;=Corte+n_Ventana),ISNUMBER(Detalle_24m!CS$42)),Detalle_24m!CS$42,INDEX(Precio_V,1)*INDEX(IdxPrecio_V,1,MIN(10,CS$173)))*(1+V_dPrecio))</f>
        <v>506583.953870562</v>
      </c>
      <c r="CT202" s="48" t="n">
        <f aca="false">IF(CT$8=1,IF(Reales!$C$38="PYG",IF(CT$10&gt;0,N(Reales!CT38)/CT$10,0),N(Reales!CT38)),CT$177*IF(AND(AND(93&gt;Corte,93&lt;=Corte+n_Ventana),ISNUMBER(Detalle_24m!CT$42)),Detalle_24m!CT$42,INDEX(Precio_V,1)*INDEX(IdxPrecio_V,1,MIN(10,CT$173)))*(1+V_dPrecio))</f>
        <v>506583.953870562</v>
      </c>
      <c r="CU202" s="48" t="n">
        <f aca="false">IF(CU$8=1,IF(Reales!$C$38="PYG",IF(CU$10&gt;0,N(Reales!CU38)/CU$10,0),N(Reales!CU38)),CU$177*IF(AND(AND(94&gt;Corte,94&lt;=Corte+n_Ventana),ISNUMBER(Detalle_24m!CU$42)),Detalle_24m!CU$42,INDEX(Precio_V,1)*INDEX(IdxPrecio_V,1,MIN(10,CU$173)))*(1+V_dPrecio))</f>
        <v>506583.953870562</v>
      </c>
      <c r="CV202" s="48" t="n">
        <f aca="false">IF(CV$8=1,IF(Reales!$C$38="PYG",IF(CV$10&gt;0,N(Reales!CV38)/CV$10,0),N(Reales!CV38)),CV$177*IF(AND(AND(95&gt;Corte,95&lt;=Corte+n_Ventana),ISNUMBER(Detalle_24m!CV$42)),Detalle_24m!CV$42,INDEX(Precio_V,1)*INDEX(IdxPrecio_V,1,MIN(10,CV$173)))*(1+V_dPrecio))</f>
        <v>506583.953870562</v>
      </c>
      <c r="CW202" s="48" t="n">
        <f aca="false">IF(CW$8=1,IF(Reales!$C$38="PYG",IF(CW$10&gt;0,N(Reales!CW38)/CW$10,0),N(Reales!CW38)),CW$177*IF(AND(AND(96&gt;Corte,96&lt;=Corte+n_Ventana),ISNUMBER(Detalle_24m!CW$42)),Detalle_24m!CW$42,INDEX(Precio_V,1)*INDEX(IdxPrecio_V,1,MIN(10,CW$173)))*(1+V_dPrecio))</f>
        <v>506583.953870562</v>
      </c>
      <c r="CX202" s="48" t="n">
        <f aca="false">IF(CX$8=1,IF(Reales!$C$38="PYG",IF(CX$10&gt;0,N(Reales!CX38)/CX$10,0),N(Reales!CX38)),CX$177*IF(AND(AND(97&gt;Corte,97&lt;=Corte+n_Ventana),ISNUMBER(Detalle_24m!CX$42)),Detalle_24m!CX$42,INDEX(Precio_V,1)*INDEX(IdxPrecio_V,1,MIN(10,CX$173)))*(1+V_dPrecio))</f>
        <v>511649.793409268</v>
      </c>
      <c r="CY202" s="48" t="n">
        <f aca="false">IF(CY$8=1,IF(Reales!$C$38="PYG",IF(CY$10&gt;0,N(Reales!CY38)/CY$10,0),N(Reales!CY38)),CY$177*IF(AND(AND(98&gt;Corte,98&lt;=Corte+n_Ventana),ISNUMBER(Detalle_24m!CY$42)),Detalle_24m!CY$42,INDEX(Precio_V,1)*INDEX(IdxPrecio_V,1,MIN(10,CY$173)))*(1+V_dPrecio))</f>
        <v>511649.793409268</v>
      </c>
      <c r="CZ202" s="48" t="n">
        <f aca="false">IF(CZ$8=1,IF(Reales!$C$38="PYG",IF(CZ$10&gt;0,N(Reales!CZ38)/CZ$10,0),N(Reales!CZ38)),CZ$177*IF(AND(AND(99&gt;Corte,99&lt;=Corte+n_Ventana),ISNUMBER(Detalle_24m!CZ$42)),Detalle_24m!CZ$42,INDEX(Precio_V,1)*INDEX(IdxPrecio_V,1,MIN(10,CZ$173)))*(1+V_dPrecio))</f>
        <v>511649.793409268</v>
      </c>
      <c r="DA202" s="48" t="n">
        <f aca="false">IF(DA$8=1,IF(Reales!$C$38="PYG",IF(DA$10&gt;0,N(Reales!DA38)/DA$10,0),N(Reales!DA38)),DA$177*IF(AND(AND(100&gt;Corte,100&lt;=Corte+n_Ventana),ISNUMBER(Detalle_24m!DA$42)),Detalle_24m!DA$42,INDEX(Precio_V,1)*INDEX(IdxPrecio_V,1,MIN(10,DA$173)))*(1+V_dPrecio))</f>
        <v>511649.793409268</v>
      </c>
      <c r="DB202" s="48" t="n">
        <f aca="false">IF(DB$8=1,IF(Reales!$C$38="PYG",IF(DB$10&gt;0,N(Reales!DB38)/DB$10,0),N(Reales!DB38)),DB$177*IF(AND(AND(101&gt;Corte,101&lt;=Corte+n_Ventana),ISNUMBER(Detalle_24m!DB$42)),Detalle_24m!DB$42,INDEX(Precio_V,1)*INDEX(IdxPrecio_V,1,MIN(10,DB$173)))*(1+V_dPrecio))</f>
        <v>511649.793409268</v>
      </c>
      <c r="DC202" s="48" t="n">
        <f aca="false">IF(DC$8=1,IF(Reales!$C$38="PYG",IF(DC$10&gt;0,N(Reales!DC38)/DC$10,0),N(Reales!DC38)),DC$177*IF(AND(AND(102&gt;Corte,102&lt;=Corte+n_Ventana),ISNUMBER(Detalle_24m!DC$42)),Detalle_24m!DC$42,INDEX(Precio_V,1)*INDEX(IdxPrecio_V,1,MIN(10,DC$173)))*(1+V_dPrecio))</f>
        <v>511649.793409268</v>
      </c>
      <c r="DD202" s="48" t="n">
        <f aca="false">IF(DD$8=1,IF(Reales!$C$38="PYG",IF(DD$10&gt;0,N(Reales!DD38)/DD$10,0),N(Reales!DD38)),DD$177*IF(AND(AND(103&gt;Corte,103&lt;=Corte+n_Ventana),ISNUMBER(Detalle_24m!DD$42)),Detalle_24m!DD$42,INDEX(Precio_V,1)*INDEX(IdxPrecio_V,1,MIN(10,DD$173)))*(1+V_dPrecio))</f>
        <v>511649.793409268</v>
      </c>
      <c r="DE202" s="48" t="n">
        <f aca="false">IF(DE$8=1,IF(Reales!$C$38="PYG",IF(DE$10&gt;0,N(Reales!DE38)/DE$10,0),N(Reales!DE38)),DE$177*IF(AND(AND(104&gt;Corte,104&lt;=Corte+n_Ventana),ISNUMBER(Detalle_24m!DE$42)),Detalle_24m!DE$42,INDEX(Precio_V,1)*INDEX(IdxPrecio_V,1,MIN(10,DE$173)))*(1+V_dPrecio))</f>
        <v>511649.793409268</v>
      </c>
      <c r="DF202" s="48" t="n">
        <f aca="false">IF(DF$8=1,IF(Reales!$C$38="PYG",IF(DF$10&gt;0,N(Reales!DF38)/DF$10,0),N(Reales!DF38)),DF$177*IF(AND(AND(105&gt;Corte,105&lt;=Corte+n_Ventana),ISNUMBER(Detalle_24m!DF$42)),Detalle_24m!DF$42,INDEX(Precio_V,1)*INDEX(IdxPrecio_V,1,MIN(10,DF$173)))*(1+V_dPrecio))</f>
        <v>511649.793409268</v>
      </c>
      <c r="DG202" s="48" t="n">
        <f aca="false">IF(DG$8=1,IF(Reales!$C$38="PYG",IF(DG$10&gt;0,N(Reales!DG38)/DG$10,0),N(Reales!DG38)),DG$177*IF(AND(AND(106&gt;Corte,106&lt;=Corte+n_Ventana),ISNUMBER(Detalle_24m!DG$42)),Detalle_24m!DG$42,INDEX(Precio_V,1)*INDEX(IdxPrecio_V,1,MIN(10,DG$173)))*(1+V_dPrecio))</f>
        <v>511649.793409268</v>
      </c>
      <c r="DH202" s="48" t="n">
        <f aca="false">IF(DH$8=1,IF(Reales!$C$38="PYG",IF(DH$10&gt;0,N(Reales!DH38)/DH$10,0),N(Reales!DH38)),DH$177*IF(AND(AND(107&gt;Corte,107&lt;=Corte+n_Ventana),ISNUMBER(Detalle_24m!DH$42)),Detalle_24m!DH$42,INDEX(Precio_V,1)*INDEX(IdxPrecio_V,1,MIN(10,DH$173)))*(1+V_dPrecio))</f>
        <v>511649.793409268</v>
      </c>
      <c r="DI202" s="48" t="n">
        <f aca="false">IF(DI$8=1,IF(Reales!$C$38="PYG",IF(DI$10&gt;0,N(Reales!DI38)/DI$10,0),N(Reales!DI38)),DI$177*IF(AND(AND(108&gt;Corte,108&lt;=Corte+n_Ventana),ISNUMBER(Detalle_24m!DI$42)),Detalle_24m!DI$42,INDEX(Precio_V,1)*INDEX(IdxPrecio_V,1,MIN(10,DI$173)))*(1+V_dPrecio))</f>
        <v>511649.793409268</v>
      </c>
      <c r="DJ202" s="48" t="n">
        <f aca="false">IF(DJ$8=1,IF(Reales!$C$38="PYG",IF(DJ$10&gt;0,N(Reales!DJ38)/DJ$10,0),N(Reales!DJ38)),DJ$177*IF(AND(AND(109&gt;Corte,109&lt;=Corte+n_Ventana),ISNUMBER(Detalle_24m!DJ$42)),Detalle_24m!DJ$42,INDEX(Precio_V,1)*INDEX(IdxPrecio_V,1,MIN(10,DJ$173)))*(1+V_dPrecio))</f>
        <v>516766.291343361</v>
      </c>
      <c r="DK202" s="48" t="n">
        <f aca="false">IF(DK$8=1,IF(Reales!$C$38="PYG",IF(DK$10&gt;0,N(Reales!DK38)/DK$10,0),N(Reales!DK38)),DK$177*IF(AND(AND(110&gt;Corte,110&lt;=Corte+n_Ventana),ISNUMBER(Detalle_24m!DK$42)),Detalle_24m!DK$42,INDEX(Precio_V,1)*INDEX(IdxPrecio_V,1,MIN(10,DK$173)))*(1+V_dPrecio))</f>
        <v>516766.291343361</v>
      </c>
      <c r="DL202" s="48" t="n">
        <f aca="false">IF(DL$8=1,IF(Reales!$C$38="PYG",IF(DL$10&gt;0,N(Reales!DL38)/DL$10,0),N(Reales!DL38)),DL$177*IF(AND(AND(111&gt;Corte,111&lt;=Corte+n_Ventana),ISNUMBER(Detalle_24m!DL$42)),Detalle_24m!DL$42,INDEX(Precio_V,1)*INDEX(IdxPrecio_V,1,MIN(10,DL$173)))*(1+V_dPrecio))</f>
        <v>516766.291343361</v>
      </c>
      <c r="DM202" s="48" t="n">
        <f aca="false">IF(DM$8=1,IF(Reales!$C$38="PYG",IF(DM$10&gt;0,N(Reales!DM38)/DM$10,0),N(Reales!DM38)),DM$177*IF(AND(AND(112&gt;Corte,112&lt;=Corte+n_Ventana),ISNUMBER(Detalle_24m!DM$42)),Detalle_24m!DM$42,INDEX(Precio_V,1)*INDEX(IdxPrecio_V,1,MIN(10,DM$173)))*(1+V_dPrecio))</f>
        <v>516766.291343361</v>
      </c>
      <c r="DN202" s="48" t="n">
        <f aca="false">IF(DN$8=1,IF(Reales!$C$38="PYG",IF(DN$10&gt;0,N(Reales!DN38)/DN$10,0),N(Reales!DN38)),DN$177*IF(AND(AND(113&gt;Corte,113&lt;=Corte+n_Ventana),ISNUMBER(Detalle_24m!DN$42)),Detalle_24m!DN$42,INDEX(Precio_V,1)*INDEX(IdxPrecio_V,1,MIN(10,DN$173)))*(1+V_dPrecio))</f>
        <v>516766.291343361</v>
      </c>
      <c r="DO202" s="48" t="n">
        <f aca="false">IF(DO$8=1,IF(Reales!$C$38="PYG",IF(DO$10&gt;0,N(Reales!DO38)/DO$10,0),N(Reales!DO38)),DO$177*IF(AND(AND(114&gt;Corte,114&lt;=Corte+n_Ventana),ISNUMBER(Detalle_24m!DO$42)),Detalle_24m!DO$42,INDEX(Precio_V,1)*INDEX(IdxPrecio_V,1,MIN(10,DO$173)))*(1+V_dPrecio))</f>
        <v>516766.291343361</v>
      </c>
      <c r="DP202" s="48" t="n">
        <f aca="false">IF(DP$8=1,IF(Reales!$C$38="PYG",IF(DP$10&gt;0,N(Reales!DP38)/DP$10,0),N(Reales!DP38)),DP$177*IF(AND(AND(115&gt;Corte,115&lt;=Corte+n_Ventana),ISNUMBER(Detalle_24m!DP$42)),Detalle_24m!DP$42,INDEX(Precio_V,1)*INDEX(IdxPrecio_V,1,MIN(10,DP$173)))*(1+V_dPrecio))</f>
        <v>516766.291343361</v>
      </c>
      <c r="DQ202" s="48" t="n">
        <f aca="false">IF(DQ$8=1,IF(Reales!$C$38="PYG",IF(DQ$10&gt;0,N(Reales!DQ38)/DQ$10,0),N(Reales!DQ38)),DQ$177*IF(AND(AND(116&gt;Corte,116&lt;=Corte+n_Ventana),ISNUMBER(Detalle_24m!DQ$42)),Detalle_24m!DQ$42,INDEX(Precio_V,1)*INDEX(IdxPrecio_V,1,MIN(10,DQ$173)))*(1+V_dPrecio))</f>
        <v>516766.291343361</v>
      </c>
      <c r="DR202" s="48" t="n">
        <f aca="false">IF(DR$8=1,IF(Reales!$C$38="PYG",IF(DR$10&gt;0,N(Reales!DR38)/DR$10,0),N(Reales!DR38)),DR$177*IF(AND(AND(117&gt;Corte,117&lt;=Corte+n_Ventana),ISNUMBER(Detalle_24m!DR$42)),Detalle_24m!DR$42,INDEX(Precio_V,1)*INDEX(IdxPrecio_V,1,MIN(10,DR$173)))*(1+V_dPrecio))</f>
        <v>516766.291343361</v>
      </c>
      <c r="DS202" s="48" t="n">
        <f aca="false">IF(DS$8=1,IF(Reales!$C$38="PYG",IF(DS$10&gt;0,N(Reales!DS38)/DS$10,0),N(Reales!DS38)),DS$177*IF(AND(AND(118&gt;Corte,118&lt;=Corte+n_Ventana),ISNUMBER(Detalle_24m!DS$42)),Detalle_24m!DS$42,INDEX(Precio_V,1)*INDEX(IdxPrecio_V,1,MIN(10,DS$173)))*(1+V_dPrecio))</f>
        <v>516766.291343361</v>
      </c>
      <c r="DT202" s="48" t="n">
        <f aca="false">IF(DT$8=1,IF(Reales!$C$38="PYG",IF(DT$10&gt;0,N(Reales!DT38)/DT$10,0),N(Reales!DT38)),DT$177*IF(AND(AND(119&gt;Corte,119&lt;=Corte+n_Ventana),ISNUMBER(Detalle_24m!DT$42)),Detalle_24m!DT$42,INDEX(Precio_V,1)*INDEX(IdxPrecio_V,1,MIN(10,DT$173)))*(1+V_dPrecio))</f>
        <v>516766.291343361</v>
      </c>
      <c r="DU202" s="48" t="n">
        <f aca="false">IF(DU$8=1,IF(Reales!$C$38="PYG",IF(DU$10&gt;0,N(Reales!DU38)/DU$10,0),N(Reales!DU38)),DU$177*IF(AND(AND(120&gt;Corte,120&lt;=Corte+n_Ventana),ISNUMBER(Detalle_24m!DU$42)),Detalle_24m!DU$42,INDEX(Precio_V,1)*INDEX(IdxPrecio_V,1,MIN(10,DU$173)))*(1+V_dPrecio))</f>
        <v>516766.291343361</v>
      </c>
      <c r="DV202" s="48" t="n">
        <f aca="false">IF(DV$8=1,IF(Reales!$C$38="PYG",IF(DV$10&gt;0,N(Reales!DV38)/DV$10,0),N(Reales!DV38)),DV$177*IF(AND(AND(121&gt;Corte,121&lt;=Corte+n_Ventana),ISNUMBER(Detalle_24m!DV$42)),Detalle_24m!DV$42,INDEX(Precio_V,1)*INDEX(IdxPrecio_V,1,MIN(10,DV$173)))*(1+V_dPrecio))</f>
        <v>0</v>
      </c>
      <c r="DW202" s="48" t="n">
        <f aca="false">IF(DW$8=1,IF(Reales!$C$38="PYG",IF(DW$10&gt;0,N(Reales!DW38)/DW$10,0),N(Reales!DW38)),DW$177*IF(AND(AND(122&gt;Corte,122&lt;=Corte+n_Ventana),ISNUMBER(Detalle_24m!DW$42)),Detalle_24m!DW$42,INDEX(Precio_V,1)*INDEX(IdxPrecio_V,1,MIN(10,DW$173)))*(1+V_dPrecio))</f>
        <v>0</v>
      </c>
      <c r="DX202" s="48" t="n">
        <f aca="false">IF(DX$8=1,IF(Reales!$C$38="PYG",IF(DX$10&gt;0,N(Reales!DX38)/DX$10,0),N(Reales!DX38)),DX$177*IF(AND(AND(123&gt;Corte,123&lt;=Corte+n_Ventana),ISNUMBER(Detalle_24m!DX$42)),Detalle_24m!DX$42,INDEX(Precio_V,1)*INDEX(IdxPrecio_V,1,MIN(10,DX$173)))*(1+V_dPrecio))</f>
        <v>0</v>
      </c>
      <c r="DY202" s="48" t="n">
        <f aca="false">IF(DY$8=1,IF(Reales!$C$38="PYG",IF(DY$10&gt;0,N(Reales!DY38)/DY$10,0),N(Reales!DY38)),DY$177*IF(AND(AND(124&gt;Corte,124&lt;=Corte+n_Ventana),ISNUMBER(Detalle_24m!DY$42)),Detalle_24m!DY$42,INDEX(Precio_V,1)*INDEX(IdxPrecio_V,1,MIN(10,DY$173)))*(1+V_dPrecio))</f>
        <v>0</v>
      </c>
      <c r="DZ202" s="48" t="n">
        <f aca="false">IF(DZ$8=1,IF(Reales!$C$38="PYG",IF(DZ$10&gt;0,N(Reales!DZ38)/DZ$10,0),N(Reales!DZ38)),DZ$177*IF(AND(AND(125&gt;Corte,125&lt;=Corte+n_Ventana),ISNUMBER(Detalle_24m!DZ$42)),Detalle_24m!DZ$42,INDEX(Precio_V,1)*INDEX(IdxPrecio_V,1,MIN(10,DZ$173)))*(1+V_dPrecio))</f>
        <v>0</v>
      </c>
      <c r="EA202" s="48" t="n">
        <f aca="false">IF(EA$8=1,IF(Reales!$C$38="PYG",IF(EA$10&gt;0,N(Reales!EA38)/EA$10,0),N(Reales!EA38)),EA$177*IF(AND(AND(126&gt;Corte,126&lt;=Corte+n_Ventana),ISNUMBER(Detalle_24m!EA$42)),Detalle_24m!EA$42,INDEX(Precio_V,1)*INDEX(IdxPrecio_V,1,MIN(10,EA$173)))*(1+V_dPrecio))</f>
        <v>0</v>
      </c>
      <c r="EB202" s="48" t="n">
        <f aca="false">IF(EB$8=1,IF(Reales!$C$38="PYG",IF(EB$10&gt;0,N(Reales!EB38)/EB$10,0),N(Reales!EB38)),EB$177*IF(AND(AND(127&gt;Corte,127&lt;=Corte+n_Ventana),ISNUMBER(Detalle_24m!EB$42)),Detalle_24m!EB$42,INDEX(Precio_V,1)*INDEX(IdxPrecio_V,1,MIN(10,EB$173)))*(1+V_dPrecio))</f>
        <v>0</v>
      </c>
      <c r="EC202" s="48" t="n">
        <f aca="false">IF(EC$8=1,IF(Reales!$C$38="PYG",IF(EC$10&gt;0,N(Reales!EC38)/EC$10,0),N(Reales!EC38)),EC$177*IF(AND(AND(128&gt;Corte,128&lt;=Corte+n_Ventana),ISNUMBER(Detalle_24m!EC$42)),Detalle_24m!EC$42,INDEX(Precio_V,1)*INDEX(IdxPrecio_V,1,MIN(10,EC$173)))*(1+V_dPrecio))</f>
        <v>0</v>
      </c>
      <c r="ED202" s="48" t="n">
        <f aca="false">IF(ED$8=1,IF(Reales!$C$38="PYG",IF(ED$10&gt;0,N(Reales!ED38)/ED$10,0),N(Reales!ED38)),ED$177*IF(AND(AND(129&gt;Corte,129&lt;=Corte+n_Ventana),ISNUMBER(Detalle_24m!ED$42)),Detalle_24m!ED$42,INDEX(Precio_V,1)*INDEX(IdxPrecio_V,1,MIN(10,ED$173)))*(1+V_dPrecio))</f>
        <v>0</v>
      </c>
      <c r="EE202" s="48" t="n">
        <f aca="false">IF(EE$8=1,IF(Reales!$C$38="PYG",IF(EE$10&gt;0,N(Reales!EE38)/EE$10,0),N(Reales!EE38)),EE$177*IF(AND(AND(130&gt;Corte,130&lt;=Corte+n_Ventana),ISNUMBER(Detalle_24m!EE$42)),Detalle_24m!EE$42,INDEX(Precio_V,1)*INDEX(IdxPrecio_V,1,MIN(10,EE$173)))*(1+V_dPrecio))</f>
        <v>0</v>
      </c>
      <c r="EF202" s="48" t="n">
        <f aca="false">IF(EF$8=1,IF(Reales!$C$38="PYG",IF(EF$10&gt;0,N(Reales!EF38)/EF$10,0),N(Reales!EF38)),EF$177*IF(AND(AND(131&gt;Corte,131&lt;=Corte+n_Ventana),ISNUMBER(Detalle_24m!EF$42)),Detalle_24m!EF$42,INDEX(Precio_V,1)*INDEX(IdxPrecio_V,1,MIN(10,EF$173)))*(1+V_dPrecio))</f>
        <v>0</v>
      </c>
      <c r="EG202" s="48" t="n">
        <f aca="false">IF(EG$8=1,IF(Reales!$C$38="PYG",IF(EG$10&gt;0,N(Reales!EG38)/EG$10,0),N(Reales!EG38)),EG$177*IF(AND(AND(132&gt;Corte,132&lt;=Corte+n_Ventana),ISNUMBER(Detalle_24m!EG$42)),Detalle_24m!EG$42,INDEX(Precio_V,1)*INDEX(IdxPrecio_V,1,MIN(10,EG$173)))*(1+V_dPrecio))</f>
        <v>0</v>
      </c>
      <c r="EH202" s="48" t="n">
        <f aca="false">IF(EH$8=1,IF(Reales!$C$38="PYG",IF(EH$10&gt;0,N(Reales!EH38)/EH$10,0),N(Reales!EH38)),EH$177*IF(AND(AND(133&gt;Corte,133&lt;=Corte+n_Ventana),ISNUMBER(Detalle_24m!EH$42)),Detalle_24m!EH$42,INDEX(Precio_V,1)*INDEX(IdxPrecio_V,1,MIN(10,EH$173)))*(1+V_dPrecio))</f>
        <v>0</v>
      </c>
      <c r="EI202" s="48" t="n">
        <f aca="false">IF(EI$8=1,IF(Reales!$C$38="PYG",IF(EI$10&gt;0,N(Reales!EI38)/EI$10,0),N(Reales!EI38)),EI$177*IF(AND(AND(134&gt;Corte,134&lt;=Corte+n_Ventana),ISNUMBER(Detalle_24m!EI$42)),Detalle_24m!EI$42,INDEX(Precio_V,1)*INDEX(IdxPrecio_V,1,MIN(10,EI$173)))*(1+V_dPrecio))</f>
        <v>0</v>
      </c>
      <c r="EJ202" s="48" t="n">
        <f aca="false">IF(EJ$8=1,IF(Reales!$C$38="PYG",IF(EJ$10&gt;0,N(Reales!EJ38)/EJ$10,0),N(Reales!EJ38)),EJ$177*IF(AND(AND(135&gt;Corte,135&lt;=Corte+n_Ventana),ISNUMBER(Detalle_24m!EJ$42)),Detalle_24m!EJ$42,INDEX(Precio_V,1)*INDEX(IdxPrecio_V,1,MIN(10,EJ$173)))*(1+V_dPrecio))</f>
        <v>0</v>
      </c>
      <c r="EK202" s="48" t="n">
        <f aca="false">IF(EK$8=1,IF(Reales!$C$38="PYG",IF(EK$10&gt;0,N(Reales!EK38)/EK$10,0),N(Reales!EK38)),EK$177*IF(AND(AND(136&gt;Corte,136&lt;=Corte+n_Ventana),ISNUMBER(Detalle_24m!EK$42)),Detalle_24m!EK$42,INDEX(Precio_V,1)*INDEX(IdxPrecio_V,1,MIN(10,EK$173)))*(1+V_dPrecio))</f>
        <v>0</v>
      </c>
      <c r="EL202" s="48" t="n">
        <f aca="false">IF(EL$8=1,IF(Reales!$C$38="PYG",IF(EL$10&gt;0,N(Reales!EL38)/EL$10,0),N(Reales!EL38)),EL$177*IF(AND(AND(137&gt;Corte,137&lt;=Corte+n_Ventana),ISNUMBER(Detalle_24m!EL$42)),Detalle_24m!EL$42,INDEX(Precio_V,1)*INDEX(IdxPrecio_V,1,MIN(10,EL$173)))*(1+V_dPrecio))</f>
        <v>0</v>
      </c>
      <c r="EM202" s="48" t="n">
        <f aca="false">IF(EM$8=1,IF(Reales!$C$38="PYG",IF(EM$10&gt;0,N(Reales!EM38)/EM$10,0),N(Reales!EM38)),EM$177*IF(AND(AND(138&gt;Corte,138&lt;=Corte+n_Ventana),ISNUMBER(Detalle_24m!EM$42)),Detalle_24m!EM$42,INDEX(Precio_V,1)*INDEX(IdxPrecio_V,1,MIN(10,EM$173)))*(1+V_dPrecio))</f>
        <v>0</v>
      </c>
      <c r="EN202" s="48" t="n">
        <f aca="false">IF(EN$8=1,IF(Reales!$C$38="PYG",IF(EN$10&gt;0,N(Reales!EN38)/EN$10,0),N(Reales!EN38)),EN$177*IF(AND(AND(139&gt;Corte,139&lt;=Corte+n_Ventana),ISNUMBER(Detalle_24m!EN$42)),Detalle_24m!EN$42,INDEX(Precio_V,1)*INDEX(IdxPrecio_V,1,MIN(10,EN$173)))*(1+V_dPrecio))</f>
        <v>0</v>
      </c>
      <c r="EO202" s="48" t="n">
        <f aca="false">IF(EO$8=1,IF(Reales!$C$38="PYG",IF(EO$10&gt;0,N(Reales!EO38)/EO$10,0),N(Reales!EO38)),EO$177*IF(AND(AND(140&gt;Corte,140&lt;=Corte+n_Ventana),ISNUMBER(Detalle_24m!EO$42)),Detalle_24m!EO$42,INDEX(Precio_V,1)*INDEX(IdxPrecio_V,1,MIN(10,EO$173)))*(1+V_dPrecio))</f>
        <v>0</v>
      </c>
      <c r="EP202" s="48" t="n">
        <f aca="false">IF(EP$8=1,IF(Reales!$C$38="PYG",IF(EP$10&gt;0,N(Reales!EP38)/EP$10,0),N(Reales!EP38)),EP$177*IF(AND(AND(141&gt;Corte,141&lt;=Corte+n_Ventana),ISNUMBER(Detalle_24m!EP$42)),Detalle_24m!EP$42,INDEX(Precio_V,1)*INDEX(IdxPrecio_V,1,MIN(10,EP$173)))*(1+V_dPrecio))</f>
        <v>0</v>
      </c>
      <c r="EQ202" s="48" t="n">
        <f aca="false">IF(EQ$8=1,IF(Reales!$C$38="PYG",IF(EQ$10&gt;0,N(Reales!EQ38)/EQ$10,0),N(Reales!EQ38)),EQ$177*IF(AND(AND(142&gt;Corte,142&lt;=Corte+n_Ventana),ISNUMBER(Detalle_24m!EQ$42)),Detalle_24m!EQ$42,INDEX(Precio_V,1)*INDEX(IdxPrecio_V,1,MIN(10,EQ$173)))*(1+V_dPrecio))</f>
        <v>0</v>
      </c>
      <c r="ER202" s="48" t="n">
        <f aca="false">IF(ER$8=1,IF(Reales!$C$38="PYG",IF(ER$10&gt;0,N(Reales!ER38)/ER$10,0),N(Reales!ER38)),ER$177*IF(AND(AND(143&gt;Corte,143&lt;=Corte+n_Ventana),ISNUMBER(Detalle_24m!ER$42)),Detalle_24m!ER$42,INDEX(Precio_V,1)*INDEX(IdxPrecio_V,1,MIN(10,ER$173)))*(1+V_dPrecio))</f>
        <v>0</v>
      </c>
      <c r="ES202" s="48" t="n">
        <f aca="false">IF(ES$8=1,IF(Reales!$C$38="PYG",IF(ES$10&gt;0,N(Reales!ES38)/ES$10,0),N(Reales!ES38)),ES$177*IF(AND(AND(144&gt;Corte,144&lt;=Corte+n_Ventana),ISNUMBER(Detalle_24m!ES$42)),Detalle_24m!ES$42,INDEX(Precio_V,1)*INDEX(IdxPrecio_V,1,MIN(10,ES$173)))*(1+V_dPrecio))</f>
        <v>0</v>
      </c>
    </row>
    <row r="203" customFormat="false" ht="15" hidden="false" customHeight="false" outlineLevel="0" collapsed="false">
      <c r="A203" s="11" t="s">
        <v>1326</v>
      </c>
      <c r="B203" s="53" t="str">
        <f aca="false">IF(INDEX(Prod_Nombre,2)="","Producto 2",INDEX(Prod_Nombre,2))&amp;" — ventas USD"</f>
        <v>Cajas metálicas 13 kg — ventas USD</v>
      </c>
      <c r="C203" s="15" t="s">
        <v>508</v>
      </c>
      <c r="E203" s="54" t="n">
        <f aca="false">SUM(F203:ES203)</f>
        <v>26794183.6134924</v>
      </c>
      <c r="F203" s="48" t="n">
        <f aca="false">IF(F$8=1,IF(Reales!$C$39="PYG",IF(F$10&gt;0,N(Reales!F39)/F$10,0),N(Reales!F39)),F$178*IF(AND(AND(1&gt;Corte,1&lt;=Corte+n_Ventana),ISNUMBER(Detalle_24m!F$43)),Detalle_24m!F$43,INDEX(Precio_V,2)*INDEX(IdxPrecio_V,1,MIN(10,F$173)))*(1+V_dPrecio))</f>
        <v>134166.666666667</v>
      </c>
      <c r="G203" s="48" t="n">
        <f aca="false">IF(G$8=1,IF(Reales!$C$39="PYG",IF(G$10&gt;0,N(Reales!G39)/G$10,0),N(Reales!G39)),G$178*IF(AND(AND(2&gt;Corte,2&lt;=Corte+n_Ventana),ISNUMBER(Detalle_24m!G$43)),Detalle_24m!G$43,INDEX(Precio_V,2)*INDEX(IdxPrecio_V,1,MIN(10,G$173)))*(1+V_dPrecio))</f>
        <v>134166.666666667</v>
      </c>
      <c r="H203" s="48" t="n">
        <f aca="false">IF(H$8=1,IF(Reales!$C$39="PYG",IF(H$10&gt;0,N(Reales!H39)/H$10,0),N(Reales!H39)),H$178*IF(AND(AND(3&gt;Corte,3&lt;=Corte+n_Ventana),ISNUMBER(Detalle_24m!H$43)),Detalle_24m!H$43,INDEX(Precio_V,2)*INDEX(IdxPrecio_V,1,MIN(10,H$173)))*(1+V_dPrecio))</f>
        <v>134166.666666667</v>
      </c>
      <c r="I203" s="48" t="n">
        <f aca="false">IF(I$8=1,IF(Reales!$C$39="PYG",IF(I$10&gt;0,N(Reales!I39)/I$10,0),N(Reales!I39)),I$178*IF(AND(AND(4&gt;Corte,4&lt;=Corte+n_Ventana),ISNUMBER(Detalle_24m!I$43)),Detalle_24m!I$43,INDEX(Precio_V,2)*INDEX(IdxPrecio_V,1,MIN(10,I$173)))*(1+V_dPrecio))</f>
        <v>134166.666666667</v>
      </c>
      <c r="J203" s="48" t="n">
        <f aca="false">IF(J$8=1,IF(Reales!$C$39="PYG",IF(J$10&gt;0,N(Reales!J39)/J$10,0),N(Reales!J39)),J$178*IF(AND(AND(5&gt;Corte,5&lt;=Corte+n_Ventana),ISNUMBER(Detalle_24m!J$43)),Detalle_24m!J$43,INDEX(Precio_V,2)*INDEX(IdxPrecio_V,1,MIN(10,J$173)))*(1+V_dPrecio))</f>
        <v>134166.666666667</v>
      </c>
      <c r="K203" s="48" t="n">
        <f aca="false">IF(K$8=1,IF(Reales!$C$39="PYG",IF(K$10&gt;0,N(Reales!K39)/K$10,0),N(Reales!K39)),K$178*IF(AND(AND(6&gt;Corte,6&lt;=Corte+n_Ventana),ISNUMBER(Detalle_24m!K$43)),Detalle_24m!K$43,INDEX(Precio_V,2)*INDEX(IdxPrecio_V,1,MIN(10,K$173)))*(1+V_dPrecio))</f>
        <v>134166.666666667</v>
      </c>
      <c r="L203" s="48" t="n">
        <f aca="false">IF(L$8=1,IF(Reales!$C$39="PYG",IF(L$10&gt;0,N(Reales!L39)/L$10,0),N(Reales!L39)),L$178*IF(AND(AND(7&gt;Corte,7&lt;=Corte+n_Ventana),ISNUMBER(Detalle_24m!L$43)),Detalle_24m!L$43,INDEX(Precio_V,2)*INDEX(IdxPrecio_V,1,MIN(10,L$173)))*(1+V_dPrecio))</f>
        <v>134166.666666667</v>
      </c>
      <c r="M203" s="48" t="n">
        <f aca="false">IF(M$8=1,IF(Reales!$C$39="PYG",IF(M$10&gt;0,N(Reales!M39)/M$10,0),N(Reales!M39)),M$178*IF(AND(AND(8&gt;Corte,8&lt;=Corte+n_Ventana),ISNUMBER(Detalle_24m!M$43)),Detalle_24m!M$43,INDEX(Precio_V,2)*INDEX(IdxPrecio_V,1,MIN(10,M$173)))*(1+V_dPrecio))</f>
        <v>134166.666666667</v>
      </c>
      <c r="N203" s="48" t="n">
        <f aca="false">IF(N$8=1,IF(Reales!$C$39="PYG",IF(N$10&gt;0,N(Reales!N39)/N$10,0),N(Reales!N39)),N$178*IF(AND(AND(9&gt;Corte,9&lt;=Corte+n_Ventana),ISNUMBER(Detalle_24m!N$43)),Detalle_24m!N$43,INDEX(Precio_V,2)*INDEX(IdxPrecio_V,1,MIN(10,N$173)))*(1+V_dPrecio))</f>
        <v>134166.666666667</v>
      </c>
      <c r="O203" s="48" t="n">
        <f aca="false">IF(O$8=1,IF(Reales!$C$39="PYG",IF(O$10&gt;0,N(Reales!O39)/O$10,0),N(Reales!O39)),O$178*IF(AND(AND(10&gt;Corte,10&lt;=Corte+n_Ventana),ISNUMBER(Detalle_24m!O$43)),Detalle_24m!O$43,INDEX(Precio_V,2)*INDEX(IdxPrecio_V,1,MIN(10,O$173)))*(1+V_dPrecio))</f>
        <v>134166.666666667</v>
      </c>
      <c r="P203" s="48" t="n">
        <f aca="false">IF(P$8=1,IF(Reales!$C$39="PYG",IF(P$10&gt;0,N(Reales!P39)/P$10,0),N(Reales!P39)),P$178*IF(AND(AND(11&gt;Corte,11&lt;=Corte+n_Ventana),ISNUMBER(Detalle_24m!P$43)),Detalle_24m!P$43,INDEX(Precio_V,2)*INDEX(IdxPrecio_V,1,MIN(10,P$173)))*(1+V_dPrecio))</f>
        <v>134166.666666667</v>
      </c>
      <c r="Q203" s="48" t="n">
        <f aca="false">IF(Q$8=1,IF(Reales!$C$39="PYG",IF(Q$10&gt;0,N(Reales!Q39)/Q$10,0),N(Reales!Q39)),Q$178*IF(AND(AND(12&gt;Corte,12&lt;=Corte+n_Ventana),ISNUMBER(Detalle_24m!Q$43)),Detalle_24m!Q$43,INDEX(Precio_V,2)*INDEX(IdxPrecio_V,1,MIN(10,Q$173)))*(1+V_dPrecio))</f>
        <v>134166.666666667</v>
      </c>
      <c r="R203" s="48" t="n">
        <f aca="false">IF(R$8=1,IF(Reales!$C$39="PYG",IF(R$10&gt;0,N(Reales!R39)/R$10,0),N(Reales!R39)),R$178*IF(AND(AND(13&gt;Corte,13&lt;=Corte+n_Ventana),ISNUMBER(Detalle_24m!R$43)),Detalle_24m!R$43,INDEX(Precio_V,2)*INDEX(IdxPrecio_V,1,MIN(10,R$173)))*(1+V_dPrecio))</f>
        <v>174225</v>
      </c>
      <c r="S203" s="48" t="n">
        <f aca="false">IF(S$8=1,IF(Reales!$C$39="PYG",IF(S$10&gt;0,N(Reales!S39)/S$10,0),N(Reales!S39)),S$178*IF(AND(AND(14&gt;Corte,14&lt;=Corte+n_Ventana),ISNUMBER(Detalle_24m!S$43)),Detalle_24m!S$43,INDEX(Precio_V,2)*INDEX(IdxPrecio_V,1,MIN(10,S$173)))*(1+V_dPrecio))</f>
        <v>174225</v>
      </c>
      <c r="T203" s="48" t="n">
        <f aca="false">IF(T$8=1,IF(Reales!$C$39="PYG",IF(T$10&gt;0,N(Reales!T39)/T$10,0),N(Reales!T39)),T$178*IF(AND(AND(15&gt;Corte,15&lt;=Corte+n_Ventana),ISNUMBER(Detalle_24m!T$43)),Detalle_24m!T$43,INDEX(Precio_V,2)*INDEX(IdxPrecio_V,1,MIN(10,T$173)))*(1+V_dPrecio))</f>
        <v>174225</v>
      </c>
      <c r="U203" s="48" t="n">
        <f aca="false">IF(U$8=1,IF(Reales!$C$39="PYG",IF(U$10&gt;0,N(Reales!U39)/U$10,0),N(Reales!U39)),U$178*IF(AND(AND(16&gt;Corte,16&lt;=Corte+n_Ventana),ISNUMBER(Detalle_24m!U$43)),Detalle_24m!U$43,INDEX(Precio_V,2)*INDEX(IdxPrecio_V,1,MIN(10,U$173)))*(1+V_dPrecio))</f>
        <v>174225</v>
      </c>
      <c r="V203" s="48" t="n">
        <f aca="false">IF(V$8=1,IF(Reales!$C$39="PYG",IF(V$10&gt;0,N(Reales!V39)/V$10,0),N(Reales!V39)),V$178*IF(AND(AND(17&gt;Corte,17&lt;=Corte+n_Ventana),ISNUMBER(Detalle_24m!V$43)),Detalle_24m!V$43,INDEX(Precio_V,2)*INDEX(IdxPrecio_V,1,MIN(10,V$173)))*(1+V_dPrecio))</f>
        <v>174225</v>
      </c>
      <c r="W203" s="48" t="n">
        <f aca="false">IF(W$8=1,IF(Reales!$C$39="PYG",IF(W$10&gt;0,N(Reales!W39)/W$10,0),N(Reales!W39)),W$178*IF(AND(AND(18&gt;Corte,18&lt;=Corte+n_Ventana),ISNUMBER(Detalle_24m!W$43)),Detalle_24m!W$43,INDEX(Precio_V,2)*INDEX(IdxPrecio_V,1,MIN(10,W$173)))*(1+V_dPrecio))</f>
        <v>174225</v>
      </c>
      <c r="X203" s="48" t="n">
        <f aca="false">IF(X$8=1,IF(Reales!$C$39="PYG",IF(X$10&gt;0,N(Reales!X39)/X$10,0),N(Reales!X39)),X$178*IF(AND(AND(19&gt;Corte,19&lt;=Corte+n_Ventana),ISNUMBER(Detalle_24m!X$43)),Detalle_24m!X$43,INDEX(Precio_V,2)*INDEX(IdxPrecio_V,1,MIN(10,X$173)))*(1+V_dPrecio))</f>
        <v>174225</v>
      </c>
      <c r="Y203" s="48" t="n">
        <f aca="false">IF(Y$8=1,IF(Reales!$C$39="PYG",IF(Y$10&gt;0,N(Reales!Y39)/Y$10,0),N(Reales!Y39)),Y$178*IF(AND(AND(20&gt;Corte,20&lt;=Corte+n_Ventana),ISNUMBER(Detalle_24m!Y$43)),Detalle_24m!Y$43,INDEX(Precio_V,2)*INDEX(IdxPrecio_V,1,MIN(10,Y$173)))*(1+V_dPrecio))</f>
        <v>174225</v>
      </c>
      <c r="Z203" s="48" t="n">
        <f aca="false">IF(Z$8=1,IF(Reales!$C$39="PYG",IF(Z$10&gt;0,N(Reales!Z39)/Z$10,0),N(Reales!Z39)),Z$178*IF(AND(AND(21&gt;Corte,21&lt;=Corte+n_Ventana),ISNUMBER(Detalle_24m!Z$43)),Detalle_24m!Z$43,INDEX(Precio_V,2)*INDEX(IdxPrecio_V,1,MIN(10,Z$173)))*(1+V_dPrecio))</f>
        <v>174225</v>
      </c>
      <c r="AA203" s="48" t="n">
        <f aca="false">IF(AA$8=1,IF(Reales!$C$39="PYG",IF(AA$10&gt;0,N(Reales!AA39)/AA$10,0),N(Reales!AA39)),AA$178*IF(AND(AND(22&gt;Corte,22&lt;=Corte+n_Ventana),ISNUMBER(Detalle_24m!AA$43)),Detalle_24m!AA$43,INDEX(Precio_V,2)*INDEX(IdxPrecio_V,1,MIN(10,AA$173)))*(1+V_dPrecio))</f>
        <v>174225</v>
      </c>
      <c r="AB203" s="48" t="n">
        <f aca="false">IF(AB$8=1,IF(Reales!$C$39="PYG",IF(AB$10&gt;0,N(Reales!AB39)/AB$10,0),N(Reales!AB39)),AB$178*IF(AND(AND(23&gt;Corte,23&lt;=Corte+n_Ventana),ISNUMBER(Detalle_24m!AB$43)),Detalle_24m!AB$43,INDEX(Precio_V,2)*INDEX(IdxPrecio_V,1,MIN(10,AB$173)))*(1+V_dPrecio))</f>
        <v>174225</v>
      </c>
      <c r="AC203" s="48" t="n">
        <f aca="false">IF(AC$8=1,IF(Reales!$C$39="PYG",IF(AC$10&gt;0,N(Reales!AC39)/AC$10,0),N(Reales!AC39)),AC$178*IF(AND(AND(24&gt;Corte,24&lt;=Corte+n_Ventana),ISNUMBER(Detalle_24m!AC$43)),Detalle_24m!AC$43,INDEX(Precio_V,2)*INDEX(IdxPrecio_V,1,MIN(10,AC$173)))*(1+V_dPrecio))</f>
        <v>174225</v>
      </c>
      <c r="AD203" s="48" t="n">
        <f aca="false">IF(AD$8=1,IF(Reales!$C$39="PYG",IF(AD$10&gt;0,N(Reales!AD39)/AD$10,0),N(Reales!AD39)),AD$178*IF(AND(AND(25&gt;Corte,25&lt;=Corte+n_Ventana),ISNUMBER(Detalle_24m!AD$43)),Detalle_24m!AD$43,INDEX(Precio_V,2)*INDEX(IdxPrecio_V,1,MIN(10,AD$173)))*(1+V_dPrecio))</f>
        <v>215071.083333333</v>
      </c>
      <c r="AE203" s="48" t="n">
        <f aca="false">IF(AE$8=1,IF(Reales!$C$39="PYG",IF(AE$10&gt;0,N(Reales!AE39)/AE$10,0),N(Reales!AE39)),AE$178*IF(AND(AND(26&gt;Corte,26&lt;=Corte+n_Ventana),ISNUMBER(Detalle_24m!AE$43)),Detalle_24m!AE$43,INDEX(Precio_V,2)*INDEX(IdxPrecio_V,1,MIN(10,AE$173)))*(1+V_dPrecio))</f>
        <v>215071.083333333</v>
      </c>
      <c r="AF203" s="48" t="n">
        <f aca="false">IF(AF$8=1,IF(Reales!$C$39="PYG",IF(AF$10&gt;0,N(Reales!AF39)/AF$10,0),N(Reales!AF39)),AF$178*IF(AND(AND(27&gt;Corte,27&lt;=Corte+n_Ventana),ISNUMBER(Detalle_24m!AF$43)),Detalle_24m!AF$43,INDEX(Precio_V,2)*INDEX(IdxPrecio_V,1,MIN(10,AF$173)))*(1+V_dPrecio))</f>
        <v>215071.083333333</v>
      </c>
      <c r="AG203" s="48" t="n">
        <f aca="false">IF(AG$8=1,IF(Reales!$C$39="PYG",IF(AG$10&gt;0,N(Reales!AG39)/AG$10,0),N(Reales!AG39)),AG$178*IF(AND(AND(28&gt;Corte,28&lt;=Corte+n_Ventana),ISNUMBER(Detalle_24m!AG$43)),Detalle_24m!AG$43,INDEX(Precio_V,2)*INDEX(IdxPrecio_V,1,MIN(10,AG$173)))*(1+V_dPrecio))</f>
        <v>215071.083333333</v>
      </c>
      <c r="AH203" s="48" t="n">
        <f aca="false">IF(AH$8=1,IF(Reales!$C$39="PYG",IF(AH$10&gt;0,N(Reales!AH39)/AH$10,0),N(Reales!AH39)),AH$178*IF(AND(AND(29&gt;Corte,29&lt;=Corte+n_Ventana),ISNUMBER(Detalle_24m!AH$43)),Detalle_24m!AH$43,INDEX(Precio_V,2)*INDEX(IdxPrecio_V,1,MIN(10,AH$173)))*(1+V_dPrecio))</f>
        <v>215071.083333333</v>
      </c>
      <c r="AI203" s="48" t="n">
        <f aca="false">IF(AI$8=1,IF(Reales!$C$39="PYG",IF(AI$10&gt;0,N(Reales!AI39)/AI$10,0),N(Reales!AI39)),AI$178*IF(AND(AND(30&gt;Corte,30&lt;=Corte+n_Ventana),ISNUMBER(Detalle_24m!AI$43)),Detalle_24m!AI$43,INDEX(Precio_V,2)*INDEX(IdxPrecio_V,1,MIN(10,AI$173)))*(1+V_dPrecio))</f>
        <v>215071.083333333</v>
      </c>
      <c r="AJ203" s="48" t="n">
        <f aca="false">IF(AJ$8=1,IF(Reales!$C$39="PYG",IF(AJ$10&gt;0,N(Reales!AJ39)/AJ$10,0),N(Reales!AJ39)),AJ$178*IF(AND(AND(31&gt;Corte,31&lt;=Corte+n_Ventana),ISNUMBER(Detalle_24m!AJ$43)),Detalle_24m!AJ$43,INDEX(Precio_V,2)*INDEX(IdxPrecio_V,1,MIN(10,AJ$173)))*(1+V_dPrecio))</f>
        <v>215071.083333333</v>
      </c>
      <c r="AK203" s="48" t="n">
        <f aca="false">IF(AK$8=1,IF(Reales!$C$39="PYG",IF(AK$10&gt;0,N(Reales!AK39)/AK$10,0),N(Reales!AK39)),AK$178*IF(AND(AND(32&gt;Corte,32&lt;=Corte+n_Ventana),ISNUMBER(Detalle_24m!AK$43)),Detalle_24m!AK$43,INDEX(Precio_V,2)*INDEX(IdxPrecio_V,1,MIN(10,AK$173)))*(1+V_dPrecio))</f>
        <v>215071.083333333</v>
      </c>
      <c r="AL203" s="48" t="n">
        <f aca="false">IF(AL$8=1,IF(Reales!$C$39="PYG",IF(AL$10&gt;0,N(Reales!AL39)/AL$10,0),N(Reales!AL39)),AL$178*IF(AND(AND(33&gt;Corte,33&lt;=Corte+n_Ventana),ISNUMBER(Detalle_24m!AL$43)),Detalle_24m!AL$43,INDEX(Precio_V,2)*INDEX(IdxPrecio_V,1,MIN(10,AL$173)))*(1+V_dPrecio))</f>
        <v>215071.083333333</v>
      </c>
      <c r="AM203" s="48" t="n">
        <f aca="false">IF(AM$8=1,IF(Reales!$C$39="PYG",IF(AM$10&gt;0,N(Reales!AM39)/AM$10,0),N(Reales!AM39)),AM$178*IF(AND(AND(34&gt;Corte,34&lt;=Corte+n_Ventana),ISNUMBER(Detalle_24m!AM$43)),Detalle_24m!AM$43,INDEX(Precio_V,2)*INDEX(IdxPrecio_V,1,MIN(10,AM$173)))*(1+V_dPrecio))</f>
        <v>215071.083333333</v>
      </c>
      <c r="AN203" s="48" t="n">
        <f aca="false">IF(AN$8=1,IF(Reales!$C$39="PYG",IF(AN$10&gt;0,N(Reales!AN39)/AN$10,0),N(Reales!AN39)),AN$178*IF(AND(AND(35&gt;Corte,35&lt;=Corte+n_Ventana),ISNUMBER(Detalle_24m!AN$43)),Detalle_24m!AN$43,INDEX(Precio_V,2)*INDEX(IdxPrecio_V,1,MIN(10,AN$173)))*(1+V_dPrecio))</f>
        <v>215071.083333333</v>
      </c>
      <c r="AO203" s="48" t="n">
        <f aca="false">IF(AO$8=1,IF(Reales!$C$39="PYG",IF(AO$10&gt;0,N(Reales!AO39)/AO$10,0),N(Reales!AO39)),AO$178*IF(AND(AND(36&gt;Corte,36&lt;=Corte+n_Ventana),ISNUMBER(Detalle_24m!AO$43)),Detalle_24m!AO$43,INDEX(Precio_V,2)*INDEX(IdxPrecio_V,1,MIN(10,AO$173)))*(1+V_dPrecio))</f>
        <v>215071.083333333</v>
      </c>
      <c r="AP203" s="48" t="n">
        <f aca="false">IF(AP$8=1,IF(Reales!$C$39="PYG",IF(AP$10&gt;0,N(Reales!AP39)/AP$10,0),N(Reales!AP39)),AP$178*IF(AND(AND(37&gt;Corte,37&lt;=Corte+n_Ventana),ISNUMBER(Detalle_24m!AP$43)),Detalle_24m!AP$43,INDEX(Precio_V,2)*INDEX(IdxPrecio_V,1,MIN(10,AP$173)))*(1+V_dPrecio))</f>
        <v>236969.23</v>
      </c>
      <c r="AQ203" s="48" t="n">
        <f aca="false">IF(AQ$8=1,IF(Reales!$C$39="PYG",IF(AQ$10&gt;0,N(Reales!AQ39)/AQ$10,0),N(Reales!AQ39)),AQ$178*IF(AND(AND(38&gt;Corte,38&lt;=Corte+n_Ventana),ISNUMBER(Detalle_24m!AQ$43)),Detalle_24m!AQ$43,INDEX(Precio_V,2)*INDEX(IdxPrecio_V,1,MIN(10,AQ$173)))*(1+V_dPrecio))</f>
        <v>236969.23</v>
      </c>
      <c r="AR203" s="48" t="n">
        <f aca="false">IF(AR$8=1,IF(Reales!$C$39="PYG",IF(AR$10&gt;0,N(Reales!AR39)/AR$10,0),N(Reales!AR39)),AR$178*IF(AND(AND(39&gt;Corte,39&lt;=Corte+n_Ventana),ISNUMBER(Detalle_24m!AR$43)),Detalle_24m!AR$43,INDEX(Precio_V,2)*INDEX(IdxPrecio_V,1,MIN(10,AR$173)))*(1+V_dPrecio))</f>
        <v>236969.23</v>
      </c>
      <c r="AS203" s="48" t="n">
        <f aca="false">IF(AS$8=1,IF(Reales!$C$39="PYG",IF(AS$10&gt;0,N(Reales!AS39)/AS$10,0),N(Reales!AS39)),AS$178*IF(AND(AND(40&gt;Corte,40&lt;=Corte+n_Ventana),ISNUMBER(Detalle_24m!AS$43)),Detalle_24m!AS$43,INDEX(Precio_V,2)*INDEX(IdxPrecio_V,1,MIN(10,AS$173)))*(1+V_dPrecio))</f>
        <v>236969.23</v>
      </c>
      <c r="AT203" s="48" t="n">
        <f aca="false">IF(AT$8=1,IF(Reales!$C$39="PYG",IF(AT$10&gt;0,N(Reales!AT39)/AT$10,0),N(Reales!AT39)),AT$178*IF(AND(AND(41&gt;Corte,41&lt;=Corte+n_Ventana),ISNUMBER(Detalle_24m!AT$43)),Detalle_24m!AT$43,INDEX(Precio_V,2)*INDEX(IdxPrecio_V,1,MIN(10,AT$173)))*(1+V_dPrecio))</f>
        <v>236969.23</v>
      </c>
      <c r="AU203" s="48" t="n">
        <f aca="false">IF(AU$8=1,IF(Reales!$C$39="PYG",IF(AU$10&gt;0,N(Reales!AU39)/AU$10,0),N(Reales!AU39)),AU$178*IF(AND(AND(42&gt;Corte,42&lt;=Corte+n_Ventana),ISNUMBER(Detalle_24m!AU$43)),Detalle_24m!AU$43,INDEX(Precio_V,2)*INDEX(IdxPrecio_V,1,MIN(10,AU$173)))*(1+V_dPrecio))</f>
        <v>236969.23</v>
      </c>
      <c r="AV203" s="48" t="n">
        <f aca="false">IF(AV$8=1,IF(Reales!$C$39="PYG",IF(AV$10&gt;0,N(Reales!AV39)/AV$10,0),N(Reales!AV39)),AV$178*IF(AND(AND(43&gt;Corte,43&lt;=Corte+n_Ventana),ISNUMBER(Detalle_24m!AV$43)),Detalle_24m!AV$43,INDEX(Precio_V,2)*INDEX(IdxPrecio_V,1,MIN(10,AV$173)))*(1+V_dPrecio))</f>
        <v>236969.23</v>
      </c>
      <c r="AW203" s="48" t="n">
        <f aca="false">IF(AW$8=1,IF(Reales!$C$39="PYG",IF(AW$10&gt;0,N(Reales!AW39)/AW$10,0),N(Reales!AW39)),AW$178*IF(AND(AND(44&gt;Corte,44&lt;=Corte+n_Ventana),ISNUMBER(Detalle_24m!AW$43)),Detalle_24m!AW$43,INDEX(Precio_V,2)*INDEX(IdxPrecio_V,1,MIN(10,AW$173)))*(1+V_dPrecio))</f>
        <v>236969.23</v>
      </c>
      <c r="AX203" s="48" t="n">
        <f aca="false">IF(AX$8=1,IF(Reales!$C$39="PYG",IF(AX$10&gt;0,N(Reales!AX39)/AX$10,0),N(Reales!AX39)),AX$178*IF(AND(AND(45&gt;Corte,45&lt;=Corte+n_Ventana),ISNUMBER(Detalle_24m!AX$43)),Detalle_24m!AX$43,INDEX(Precio_V,2)*INDEX(IdxPrecio_V,1,MIN(10,AX$173)))*(1+V_dPrecio))</f>
        <v>236969.23</v>
      </c>
      <c r="AY203" s="48" t="n">
        <f aca="false">IF(AY$8=1,IF(Reales!$C$39="PYG",IF(AY$10&gt;0,N(Reales!AY39)/AY$10,0),N(Reales!AY39)),AY$178*IF(AND(AND(46&gt;Corte,46&lt;=Corte+n_Ventana),ISNUMBER(Detalle_24m!AY$43)),Detalle_24m!AY$43,INDEX(Precio_V,2)*INDEX(IdxPrecio_V,1,MIN(10,AY$173)))*(1+V_dPrecio))</f>
        <v>236969.23</v>
      </c>
      <c r="AZ203" s="48" t="n">
        <f aca="false">IF(AZ$8=1,IF(Reales!$C$39="PYG",IF(AZ$10&gt;0,N(Reales!AZ39)/AZ$10,0),N(Reales!AZ39)),AZ$178*IF(AND(AND(47&gt;Corte,47&lt;=Corte+n_Ventana),ISNUMBER(Detalle_24m!AZ$43)),Detalle_24m!AZ$43,INDEX(Precio_V,2)*INDEX(IdxPrecio_V,1,MIN(10,AZ$173)))*(1+V_dPrecio))</f>
        <v>236969.23</v>
      </c>
      <c r="BA203" s="48" t="n">
        <f aca="false">IF(BA$8=1,IF(Reales!$C$39="PYG",IF(BA$10&gt;0,N(Reales!BA39)/BA$10,0),N(Reales!BA39)),BA$178*IF(AND(AND(48&gt;Corte,48&lt;=Corte+n_Ventana),ISNUMBER(Detalle_24m!BA$43)),Detalle_24m!BA$43,INDEX(Precio_V,2)*INDEX(IdxPrecio_V,1,MIN(10,BA$173)))*(1+V_dPrecio))</f>
        <v>236969.23</v>
      </c>
      <c r="BB203" s="48" t="n">
        <f aca="false">IF(BB$8=1,IF(Reales!$C$39="PYG",IF(BB$10&gt;0,N(Reales!BB39)/BB$10,0),N(Reales!BB39)),BB$178*IF(AND(AND(49&gt;Corte,49&lt;=Corte+n_Ventana),ISNUMBER(Detalle_24m!BB$43)),Detalle_24m!BB$43,INDEX(Precio_V,2)*INDEX(IdxPrecio_V,1,MIN(10,BB$173)))*(1+V_dPrecio))</f>
        <v>239338.9223</v>
      </c>
      <c r="BC203" s="48" t="n">
        <f aca="false">IF(BC$8=1,IF(Reales!$C$39="PYG",IF(BC$10&gt;0,N(Reales!BC39)/BC$10,0),N(Reales!BC39)),BC$178*IF(AND(AND(50&gt;Corte,50&lt;=Corte+n_Ventana),ISNUMBER(Detalle_24m!BC$43)),Detalle_24m!BC$43,INDEX(Precio_V,2)*INDEX(IdxPrecio_V,1,MIN(10,BC$173)))*(1+V_dPrecio))</f>
        <v>239338.9223</v>
      </c>
      <c r="BD203" s="48" t="n">
        <f aca="false">IF(BD$8=1,IF(Reales!$C$39="PYG",IF(BD$10&gt;0,N(Reales!BD39)/BD$10,0),N(Reales!BD39)),BD$178*IF(AND(AND(51&gt;Corte,51&lt;=Corte+n_Ventana),ISNUMBER(Detalle_24m!BD$43)),Detalle_24m!BD$43,INDEX(Precio_V,2)*INDEX(IdxPrecio_V,1,MIN(10,BD$173)))*(1+V_dPrecio))</f>
        <v>239338.9223</v>
      </c>
      <c r="BE203" s="48" t="n">
        <f aca="false">IF(BE$8=1,IF(Reales!$C$39="PYG",IF(BE$10&gt;0,N(Reales!BE39)/BE$10,0),N(Reales!BE39)),BE$178*IF(AND(AND(52&gt;Corte,52&lt;=Corte+n_Ventana),ISNUMBER(Detalle_24m!BE$43)),Detalle_24m!BE$43,INDEX(Precio_V,2)*INDEX(IdxPrecio_V,1,MIN(10,BE$173)))*(1+V_dPrecio))</f>
        <v>239338.9223</v>
      </c>
      <c r="BF203" s="48" t="n">
        <f aca="false">IF(BF$8=1,IF(Reales!$C$39="PYG",IF(BF$10&gt;0,N(Reales!BF39)/BF$10,0),N(Reales!BF39)),BF$178*IF(AND(AND(53&gt;Corte,53&lt;=Corte+n_Ventana),ISNUMBER(Detalle_24m!BF$43)),Detalle_24m!BF$43,INDEX(Precio_V,2)*INDEX(IdxPrecio_V,1,MIN(10,BF$173)))*(1+V_dPrecio))</f>
        <v>239338.9223</v>
      </c>
      <c r="BG203" s="48" t="n">
        <f aca="false">IF(BG$8=1,IF(Reales!$C$39="PYG",IF(BG$10&gt;0,N(Reales!BG39)/BG$10,0),N(Reales!BG39)),BG$178*IF(AND(AND(54&gt;Corte,54&lt;=Corte+n_Ventana),ISNUMBER(Detalle_24m!BG$43)),Detalle_24m!BG$43,INDEX(Precio_V,2)*INDEX(IdxPrecio_V,1,MIN(10,BG$173)))*(1+V_dPrecio))</f>
        <v>239338.9223</v>
      </c>
      <c r="BH203" s="48" t="n">
        <f aca="false">IF(BH$8=1,IF(Reales!$C$39="PYG",IF(BH$10&gt;0,N(Reales!BH39)/BH$10,0),N(Reales!BH39)),BH$178*IF(AND(AND(55&gt;Corte,55&lt;=Corte+n_Ventana),ISNUMBER(Detalle_24m!BH$43)),Detalle_24m!BH$43,INDEX(Precio_V,2)*INDEX(IdxPrecio_V,1,MIN(10,BH$173)))*(1+V_dPrecio))</f>
        <v>239338.9223</v>
      </c>
      <c r="BI203" s="48" t="n">
        <f aca="false">IF(BI$8=1,IF(Reales!$C$39="PYG",IF(BI$10&gt;0,N(Reales!BI39)/BI$10,0),N(Reales!BI39)),BI$178*IF(AND(AND(56&gt;Corte,56&lt;=Corte+n_Ventana),ISNUMBER(Detalle_24m!BI$43)),Detalle_24m!BI$43,INDEX(Precio_V,2)*INDEX(IdxPrecio_V,1,MIN(10,BI$173)))*(1+V_dPrecio))</f>
        <v>239338.9223</v>
      </c>
      <c r="BJ203" s="48" t="n">
        <f aca="false">IF(BJ$8=1,IF(Reales!$C$39="PYG",IF(BJ$10&gt;0,N(Reales!BJ39)/BJ$10,0),N(Reales!BJ39)),BJ$178*IF(AND(AND(57&gt;Corte,57&lt;=Corte+n_Ventana),ISNUMBER(Detalle_24m!BJ$43)),Detalle_24m!BJ$43,INDEX(Precio_V,2)*INDEX(IdxPrecio_V,1,MIN(10,BJ$173)))*(1+V_dPrecio))</f>
        <v>239338.9223</v>
      </c>
      <c r="BK203" s="48" t="n">
        <f aca="false">IF(BK$8=1,IF(Reales!$C$39="PYG",IF(BK$10&gt;0,N(Reales!BK39)/BK$10,0),N(Reales!BK39)),BK$178*IF(AND(AND(58&gt;Corte,58&lt;=Corte+n_Ventana),ISNUMBER(Detalle_24m!BK$43)),Detalle_24m!BK$43,INDEX(Precio_V,2)*INDEX(IdxPrecio_V,1,MIN(10,BK$173)))*(1+V_dPrecio))</f>
        <v>239338.9223</v>
      </c>
      <c r="BL203" s="48" t="n">
        <f aca="false">IF(BL$8=1,IF(Reales!$C$39="PYG",IF(BL$10&gt;0,N(Reales!BL39)/BL$10,0),N(Reales!BL39)),BL$178*IF(AND(AND(59&gt;Corte,59&lt;=Corte+n_Ventana),ISNUMBER(Detalle_24m!BL$43)),Detalle_24m!BL$43,INDEX(Precio_V,2)*INDEX(IdxPrecio_V,1,MIN(10,BL$173)))*(1+V_dPrecio))</f>
        <v>239338.9223</v>
      </c>
      <c r="BM203" s="48" t="n">
        <f aca="false">IF(BM$8=1,IF(Reales!$C$39="PYG",IF(BM$10&gt;0,N(Reales!BM39)/BM$10,0),N(Reales!BM39)),BM$178*IF(AND(AND(60&gt;Corte,60&lt;=Corte+n_Ventana),ISNUMBER(Detalle_24m!BM$43)),Detalle_24m!BM$43,INDEX(Precio_V,2)*INDEX(IdxPrecio_V,1,MIN(10,BM$173)))*(1+V_dPrecio))</f>
        <v>239338.9223</v>
      </c>
      <c r="BN203" s="48" t="n">
        <f aca="false">IF(BN$8=1,IF(Reales!$C$39="PYG",IF(BN$10&gt;0,N(Reales!BN39)/BN$10,0),N(Reales!BN39)),BN$178*IF(AND(AND(61&gt;Corte,61&lt;=Corte+n_Ventana),ISNUMBER(Detalle_24m!BN$43)),Detalle_24m!BN$43,INDEX(Precio_V,2)*INDEX(IdxPrecio_V,1,MIN(10,BN$173)))*(1+V_dPrecio))</f>
        <v>241732.311523</v>
      </c>
      <c r="BO203" s="48" t="n">
        <f aca="false">IF(BO$8=1,IF(Reales!$C$39="PYG",IF(BO$10&gt;0,N(Reales!BO39)/BO$10,0),N(Reales!BO39)),BO$178*IF(AND(AND(62&gt;Corte,62&lt;=Corte+n_Ventana),ISNUMBER(Detalle_24m!BO$43)),Detalle_24m!BO$43,INDEX(Precio_V,2)*INDEX(IdxPrecio_V,1,MIN(10,BO$173)))*(1+V_dPrecio))</f>
        <v>241732.311523</v>
      </c>
      <c r="BP203" s="48" t="n">
        <f aca="false">IF(BP$8=1,IF(Reales!$C$39="PYG",IF(BP$10&gt;0,N(Reales!BP39)/BP$10,0),N(Reales!BP39)),BP$178*IF(AND(AND(63&gt;Corte,63&lt;=Corte+n_Ventana),ISNUMBER(Detalle_24m!BP$43)),Detalle_24m!BP$43,INDEX(Precio_V,2)*INDEX(IdxPrecio_V,1,MIN(10,BP$173)))*(1+V_dPrecio))</f>
        <v>241732.311523</v>
      </c>
      <c r="BQ203" s="48" t="n">
        <f aca="false">IF(BQ$8=1,IF(Reales!$C$39="PYG",IF(BQ$10&gt;0,N(Reales!BQ39)/BQ$10,0),N(Reales!BQ39)),BQ$178*IF(AND(AND(64&gt;Corte,64&lt;=Corte+n_Ventana),ISNUMBER(Detalle_24m!BQ$43)),Detalle_24m!BQ$43,INDEX(Precio_V,2)*INDEX(IdxPrecio_V,1,MIN(10,BQ$173)))*(1+V_dPrecio))</f>
        <v>241732.311523</v>
      </c>
      <c r="BR203" s="48" t="n">
        <f aca="false">IF(BR$8=1,IF(Reales!$C$39="PYG",IF(BR$10&gt;0,N(Reales!BR39)/BR$10,0),N(Reales!BR39)),BR$178*IF(AND(AND(65&gt;Corte,65&lt;=Corte+n_Ventana),ISNUMBER(Detalle_24m!BR$43)),Detalle_24m!BR$43,INDEX(Precio_V,2)*INDEX(IdxPrecio_V,1,MIN(10,BR$173)))*(1+V_dPrecio))</f>
        <v>241732.311523</v>
      </c>
      <c r="BS203" s="48" t="n">
        <f aca="false">IF(BS$8=1,IF(Reales!$C$39="PYG",IF(BS$10&gt;0,N(Reales!BS39)/BS$10,0),N(Reales!BS39)),BS$178*IF(AND(AND(66&gt;Corte,66&lt;=Corte+n_Ventana),ISNUMBER(Detalle_24m!BS$43)),Detalle_24m!BS$43,INDEX(Precio_V,2)*INDEX(IdxPrecio_V,1,MIN(10,BS$173)))*(1+V_dPrecio))</f>
        <v>241732.311523</v>
      </c>
      <c r="BT203" s="48" t="n">
        <f aca="false">IF(BT$8=1,IF(Reales!$C$39="PYG",IF(BT$10&gt;0,N(Reales!BT39)/BT$10,0),N(Reales!BT39)),BT$178*IF(AND(AND(67&gt;Corte,67&lt;=Corte+n_Ventana),ISNUMBER(Detalle_24m!BT$43)),Detalle_24m!BT$43,INDEX(Precio_V,2)*INDEX(IdxPrecio_V,1,MIN(10,BT$173)))*(1+V_dPrecio))</f>
        <v>241732.311523</v>
      </c>
      <c r="BU203" s="48" t="n">
        <f aca="false">IF(BU$8=1,IF(Reales!$C$39="PYG",IF(BU$10&gt;0,N(Reales!BU39)/BU$10,0),N(Reales!BU39)),BU$178*IF(AND(AND(68&gt;Corte,68&lt;=Corte+n_Ventana),ISNUMBER(Detalle_24m!BU$43)),Detalle_24m!BU$43,INDEX(Precio_V,2)*INDEX(IdxPrecio_V,1,MIN(10,BU$173)))*(1+V_dPrecio))</f>
        <v>241732.311523</v>
      </c>
      <c r="BV203" s="48" t="n">
        <f aca="false">IF(BV$8=1,IF(Reales!$C$39="PYG",IF(BV$10&gt;0,N(Reales!BV39)/BV$10,0),N(Reales!BV39)),BV$178*IF(AND(AND(69&gt;Corte,69&lt;=Corte+n_Ventana),ISNUMBER(Detalle_24m!BV$43)),Detalle_24m!BV$43,INDEX(Precio_V,2)*INDEX(IdxPrecio_V,1,MIN(10,BV$173)))*(1+V_dPrecio))</f>
        <v>241732.311523</v>
      </c>
      <c r="BW203" s="48" t="n">
        <f aca="false">IF(BW$8=1,IF(Reales!$C$39="PYG",IF(BW$10&gt;0,N(Reales!BW39)/BW$10,0),N(Reales!BW39)),BW$178*IF(AND(AND(70&gt;Corte,70&lt;=Corte+n_Ventana),ISNUMBER(Detalle_24m!BW$43)),Detalle_24m!BW$43,INDEX(Precio_V,2)*INDEX(IdxPrecio_V,1,MIN(10,BW$173)))*(1+V_dPrecio))</f>
        <v>241732.311523</v>
      </c>
      <c r="BX203" s="48" t="n">
        <f aca="false">IF(BX$8=1,IF(Reales!$C$39="PYG",IF(BX$10&gt;0,N(Reales!BX39)/BX$10,0),N(Reales!BX39)),BX$178*IF(AND(AND(71&gt;Corte,71&lt;=Corte+n_Ventana),ISNUMBER(Detalle_24m!BX$43)),Detalle_24m!BX$43,INDEX(Precio_V,2)*INDEX(IdxPrecio_V,1,MIN(10,BX$173)))*(1+V_dPrecio))</f>
        <v>241732.311523</v>
      </c>
      <c r="BY203" s="48" t="n">
        <f aca="false">IF(BY$8=1,IF(Reales!$C$39="PYG",IF(BY$10&gt;0,N(Reales!BY39)/BY$10,0),N(Reales!BY39)),BY$178*IF(AND(AND(72&gt;Corte,72&lt;=Corte+n_Ventana),ISNUMBER(Detalle_24m!BY$43)),Detalle_24m!BY$43,INDEX(Precio_V,2)*INDEX(IdxPrecio_V,1,MIN(10,BY$173)))*(1+V_dPrecio))</f>
        <v>241732.311523</v>
      </c>
      <c r="BZ203" s="48" t="n">
        <f aca="false">IF(BZ$8=1,IF(Reales!$C$39="PYG",IF(BZ$10&gt;0,N(Reales!BZ39)/BZ$10,0),N(Reales!BZ39)),BZ$178*IF(AND(AND(73&gt;Corte,73&lt;=Corte+n_Ventana),ISNUMBER(Detalle_24m!BZ$43)),Detalle_24m!BZ$43,INDEX(Precio_V,2)*INDEX(IdxPrecio_V,1,MIN(10,BZ$173)))*(1+V_dPrecio))</f>
        <v>244149.63463823</v>
      </c>
      <c r="CA203" s="48" t="n">
        <f aca="false">IF(CA$8=1,IF(Reales!$C$39="PYG",IF(CA$10&gt;0,N(Reales!CA39)/CA$10,0),N(Reales!CA39)),CA$178*IF(AND(AND(74&gt;Corte,74&lt;=Corte+n_Ventana),ISNUMBER(Detalle_24m!CA$43)),Detalle_24m!CA$43,INDEX(Precio_V,2)*INDEX(IdxPrecio_V,1,MIN(10,CA$173)))*(1+V_dPrecio))</f>
        <v>244149.63463823</v>
      </c>
      <c r="CB203" s="48" t="n">
        <f aca="false">IF(CB$8=1,IF(Reales!$C$39="PYG",IF(CB$10&gt;0,N(Reales!CB39)/CB$10,0),N(Reales!CB39)),CB$178*IF(AND(AND(75&gt;Corte,75&lt;=Corte+n_Ventana),ISNUMBER(Detalle_24m!CB$43)),Detalle_24m!CB$43,INDEX(Precio_V,2)*INDEX(IdxPrecio_V,1,MIN(10,CB$173)))*(1+V_dPrecio))</f>
        <v>244149.63463823</v>
      </c>
      <c r="CC203" s="48" t="n">
        <f aca="false">IF(CC$8=1,IF(Reales!$C$39="PYG",IF(CC$10&gt;0,N(Reales!CC39)/CC$10,0),N(Reales!CC39)),CC$178*IF(AND(AND(76&gt;Corte,76&lt;=Corte+n_Ventana),ISNUMBER(Detalle_24m!CC$43)),Detalle_24m!CC$43,INDEX(Precio_V,2)*INDEX(IdxPrecio_V,1,MIN(10,CC$173)))*(1+V_dPrecio))</f>
        <v>244149.63463823</v>
      </c>
      <c r="CD203" s="48" t="n">
        <f aca="false">IF(CD$8=1,IF(Reales!$C$39="PYG",IF(CD$10&gt;0,N(Reales!CD39)/CD$10,0),N(Reales!CD39)),CD$178*IF(AND(AND(77&gt;Corte,77&lt;=Corte+n_Ventana),ISNUMBER(Detalle_24m!CD$43)),Detalle_24m!CD$43,INDEX(Precio_V,2)*INDEX(IdxPrecio_V,1,MIN(10,CD$173)))*(1+V_dPrecio))</f>
        <v>244149.63463823</v>
      </c>
      <c r="CE203" s="48" t="n">
        <f aca="false">IF(CE$8=1,IF(Reales!$C$39="PYG",IF(CE$10&gt;0,N(Reales!CE39)/CE$10,0),N(Reales!CE39)),CE$178*IF(AND(AND(78&gt;Corte,78&lt;=Corte+n_Ventana),ISNUMBER(Detalle_24m!CE$43)),Detalle_24m!CE$43,INDEX(Precio_V,2)*INDEX(IdxPrecio_V,1,MIN(10,CE$173)))*(1+V_dPrecio))</f>
        <v>244149.63463823</v>
      </c>
      <c r="CF203" s="48" t="n">
        <f aca="false">IF(CF$8=1,IF(Reales!$C$39="PYG",IF(CF$10&gt;0,N(Reales!CF39)/CF$10,0),N(Reales!CF39)),CF$178*IF(AND(AND(79&gt;Corte,79&lt;=Corte+n_Ventana),ISNUMBER(Detalle_24m!CF$43)),Detalle_24m!CF$43,INDEX(Precio_V,2)*INDEX(IdxPrecio_V,1,MIN(10,CF$173)))*(1+V_dPrecio))</f>
        <v>244149.63463823</v>
      </c>
      <c r="CG203" s="48" t="n">
        <f aca="false">IF(CG$8=1,IF(Reales!$C$39="PYG",IF(CG$10&gt;0,N(Reales!CG39)/CG$10,0),N(Reales!CG39)),CG$178*IF(AND(AND(80&gt;Corte,80&lt;=Corte+n_Ventana),ISNUMBER(Detalle_24m!CG$43)),Detalle_24m!CG$43,INDEX(Precio_V,2)*INDEX(IdxPrecio_V,1,MIN(10,CG$173)))*(1+V_dPrecio))</f>
        <v>244149.63463823</v>
      </c>
      <c r="CH203" s="48" t="n">
        <f aca="false">IF(CH$8=1,IF(Reales!$C$39="PYG",IF(CH$10&gt;0,N(Reales!CH39)/CH$10,0),N(Reales!CH39)),CH$178*IF(AND(AND(81&gt;Corte,81&lt;=Corte+n_Ventana),ISNUMBER(Detalle_24m!CH$43)),Detalle_24m!CH$43,INDEX(Precio_V,2)*INDEX(IdxPrecio_V,1,MIN(10,CH$173)))*(1+V_dPrecio))</f>
        <v>244149.63463823</v>
      </c>
      <c r="CI203" s="48" t="n">
        <f aca="false">IF(CI$8=1,IF(Reales!$C$39="PYG",IF(CI$10&gt;0,N(Reales!CI39)/CI$10,0),N(Reales!CI39)),CI$178*IF(AND(AND(82&gt;Corte,82&lt;=Corte+n_Ventana),ISNUMBER(Detalle_24m!CI$43)),Detalle_24m!CI$43,INDEX(Precio_V,2)*INDEX(IdxPrecio_V,1,MIN(10,CI$173)))*(1+V_dPrecio))</f>
        <v>244149.63463823</v>
      </c>
      <c r="CJ203" s="48" t="n">
        <f aca="false">IF(CJ$8=1,IF(Reales!$C$39="PYG",IF(CJ$10&gt;0,N(Reales!CJ39)/CJ$10,0),N(Reales!CJ39)),CJ$178*IF(AND(AND(83&gt;Corte,83&lt;=Corte+n_Ventana),ISNUMBER(Detalle_24m!CJ$43)),Detalle_24m!CJ$43,INDEX(Precio_V,2)*INDEX(IdxPrecio_V,1,MIN(10,CJ$173)))*(1+V_dPrecio))</f>
        <v>244149.63463823</v>
      </c>
      <c r="CK203" s="48" t="n">
        <f aca="false">IF(CK$8=1,IF(Reales!$C$39="PYG",IF(CK$10&gt;0,N(Reales!CK39)/CK$10,0),N(Reales!CK39)),CK$178*IF(AND(AND(84&gt;Corte,84&lt;=Corte+n_Ventana),ISNUMBER(Detalle_24m!CK$43)),Detalle_24m!CK$43,INDEX(Precio_V,2)*INDEX(IdxPrecio_V,1,MIN(10,CK$173)))*(1+V_dPrecio))</f>
        <v>244149.63463823</v>
      </c>
      <c r="CL203" s="48" t="n">
        <f aca="false">IF(CL$8=1,IF(Reales!$C$39="PYG",IF(CL$10&gt;0,N(Reales!CL39)/CL$10,0),N(Reales!CL39)),CL$178*IF(AND(AND(85&gt;Corte,85&lt;=Corte+n_Ventana),ISNUMBER(Detalle_24m!CL$43)),Detalle_24m!CL$43,INDEX(Precio_V,2)*INDEX(IdxPrecio_V,1,MIN(10,CL$173)))*(1+V_dPrecio))</f>
        <v>246591.130984612</v>
      </c>
      <c r="CM203" s="48" t="n">
        <f aca="false">IF(CM$8=1,IF(Reales!$C$39="PYG",IF(CM$10&gt;0,N(Reales!CM39)/CM$10,0),N(Reales!CM39)),CM$178*IF(AND(AND(86&gt;Corte,86&lt;=Corte+n_Ventana),ISNUMBER(Detalle_24m!CM$43)),Detalle_24m!CM$43,INDEX(Precio_V,2)*INDEX(IdxPrecio_V,1,MIN(10,CM$173)))*(1+V_dPrecio))</f>
        <v>246591.130984612</v>
      </c>
      <c r="CN203" s="48" t="n">
        <f aca="false">IF(CN$8=1,IF(Reales!$C$39="PYG",IF(CN$10&gt;0,N(Reales!CN39)/CN$10,0),N(Reales!CN39)),CN$178*IF(AND(AND(87&gt;Corte,87&lt;=Corte+n_Ventana),ISNUMBER(Detalle_24m!CN$43)),Detalle_24m!CN$43,INDEX(Precio_V,2)*INDEX(IdxPrecio_V,1,MIN(10,CN$173)))*(1+V_dPrecio))</f>
        <v>246591.130984612</v>
      </c>
      <c r="CO203" s="48" t="n">
        <f aca="false">IF(CO$8=1,IF(Reales!$C$39="PYG",IF(CO$10&gt;0,N(Reales!CO39)/CO$10,0),N(Reales!CO39)),CO$178*IF(AND(AND(88&gt;Corte,88&lt;=Corte+n_Ventana),ISNUMBER(Detalle_24m!CO$43)),Detalle_24m!CO$43,INDEX(Precio_V,2)*INDEX(IdxPrecio_V,1,MIN(10,CO$173)))*(1+V_dPrecio))</f>
        <v>246591.130984612</v>
      </c>
      <c r="CP203" s="48" t="n">
        <f aca="false">IF(CP$8=1,IF(Reales!$C$39="PYG",IF(CP$10&gt;0,N(Reales!CP39)/CP$10,0),N(Reales!CP39)),CP$178*IF(AND(AND(89&gt;Corte,89&lt;=Corte+n_Ventana),ISNUMBER(Detalle_24m!CP$43)),Detalle_24m!CP$43,INDEX(Precio_V,2)*INDEX(IdxPrecio_V,1,MIN(10,CP$173)))*(1+V_dPrecio))</f>
        <v>246591.130984612</v>
      </c>
      <c r="CQ203" s="48" t="n">
        <f aca="false">IF(CQ$8=1,IF(Reales!$C$39="PYG",IF(CQ$10&gt;0,N(Reales!CQ39)/CQ$10,0),N(Reales!CQ39)),CQ$178*IF(AND(AND(90&gt;Corte,90&lt;=Corte+n_Ventana),ISNUMBER(Detalle_24m!CQ$43)),Detalle_24m!CQ$43,INDEX(Precio_V,2)*INDEX(IdxPrecio_V,1,MIN(10,CQ$173)))*(1+V_dPrecio))</f>
        <v>246591.130984612</v>
      </c>
      <c r="CR203" s="48" t="n">
        <f aca="false">IF(CR$8=1,IF(Reales!$C$39="PYG",IF(CR$10&gt;0,N(Reales!CR39)/CR$10,0),N(Reales!CR39)),CR$178*IF(AND(AND(91&gt;Corte,91&lt;=Corte+n_Ventana),ISNUMBER(Detalle_24m!CR$43)),Detalle_24m!CR$43,INDEX(Precio_V,2)*INDEX(IdxPrecio_V,1,MIN(10,CR$173)))*(1+V_dPrecio))</f>
        <v>246591.130984612</v>
      </c>
      <c r="CS203" s="48" t="n">
        <f aca="false">IF(CS$8=1,IF(Reales!$C$39="PYG",IF(CS$10&gt;0,N(Reales!CS39)/CS$10,0),N(Reales!CS39)),CS$178*IF(AND(AND(92&gt;Corte,92&lt;=Corte+n_Ventana),ISNUMBER(Detalle_24m!CS$43)),Detalle_24m!CS$43,INDEX(Precio_V,2)*INDEX(IdxPrecio_V,1,MIN(10,CS$173)))*(1+V_dPrecio))</f>
        <v>246591.130984612</v>
      </c>
      <c r="CT203" s="48" t="n">
        <f aca="false">IF(CT$8=1,IF(Reales!$C$39="PYG",IF(CT$10&gt;0,N(Reales!CT39)/CT$10,0),N(Reales!CT39)),CT$178*IF(AND(AND(93&gt;Corte,93&lt;=Corte+n_Ventana),ISNUMBER(Detalle_24m!CT$43)),Detalle_24m!CT$43,INDEX(Precio_V,2)*INDEX(IdxPrecio_V,1,MIN(10,CT$173)))*(1+V_dPrecio))</f>
        <v>246591.130984612</v>
      </c>
      <c r="CU203" s="48" t="n">
        <f aca="false">IF(CU$8=1,IF(Reales!$C$39="PYG",IF(CU$10&gt;0,N(Reales!CU39)/CU$10,0),N(Reales!CU39)),CU$178*IF(AND(AND(94&gt;Corte,94&lt;=Corte+n_Ventana),ISNUMBER(Detalle_24m!CU$43)),Detalle_24m!CU$43,INDEX(Precio_V,2)*INDEX(IdxPrecio_V,1,MIN(10,CU$173)))*(1+V_dPrecio))</f>
        <v>246591.130984612</v>
      </c>
      <c r="CV203" s="48" t="n">
        <f aca="false">IF(CV$8=1,IF(Reales!$C$39="PYG",IF(CV$10&gt;0,N(Reales!CV39)/CV$10,0),N(Reales!CV39)),CV$178*IF(AND(AND(95&gt;Corte,95&lt;=Corte+n_Ventana),ISNUMBER(Detalle_24m!CV$43)),Detalle_24m!CV$43,INDEX(Precio_V,2)*INDEX(IdxPrecio_V,1,MIN(10,CV$173)))*(1+V_dPrecio))</f>
        <v>246591.130984612</v>
      </c>
      <c r="CW203" s="48" t="n">
        <f aca="false">IF(CW$8=1,IF(Reales!$C$39="PYG",IF(CW$10&gt;0,N(Reales!CW39)/CW$10,0),N(Reales!CW39)),CW$178*IF(AND(AND(96&gt;Corte,96&lt;=Corte+n_Ventana),ISNUMBER(Detalle_24m!CW$43)),Detalle_24m!CW$43,INDEX(Precio_V,2)*INDEX(IdxPrecio_V,1,MIN(10,CW$173)))*(1+V_dPrecio))</f>
        <v>246591.130984612</v>
      </c>
      <c r="CX203" s="48" t="n">
        <f aca="false">IF(CX$8=1,IF(Reales!$C$39="PYG",IF(CX$10&gt;0,N(Reales!CX39)/CX$10,0),N(Reales!CX39)),CX$178*IF(AND(AND(97&gt;Corte,97&lt;=Corte+n_Ventana),ISNUMBER(Detalle_24m!CX$43)),Detalle_24m!CX$43,INDEX(Precio_V,2)*INDEX(IdxPrecio_V,1,MIN(10,CX$173)))*(1+V_dPrecio))</f>
        <v>249057.042294458</v>
      </c>
      <c r="CY203" s="48" t="n">
        <f aca="false">IF(CY$8=1,IF(Reales!$C$39="PYG",IF(CY$10&gt;0,N(Reales!CY39)/CY$10,0),N(Reales!CY39)),CY$178*IF(AND(AND(98&gt;Corte,98&lt;=Corte+n_Ventana),ISNUMBER(Detalle_24m!CY$43)),Detalle_24m!CY$43,INDEX(Precio_V,2)*INDEX(IdxPrecio_V,1,MIN(10,CY$173)))*(1+V_dPrecio))</f>
        <v>249057.042294458</v>
      </c>
      <c r="CZ203" s="48" t="n">
        <f aca="false">IF(CZ$8=1,IF(Reales!$C$39="PYG",IF(CZ$10&gt;0,N(Reales!CZ39)/CZ$10,0),N(Reales!CZ39)),CZ$178*IF(AND(AND(99&gt;Corte,99&lt;=Corte+n_Ventana),ISNUMBER(Detalle_24m!CZ$43)),Detalle_24m!CZ$43,INDEX(Precio_V,2)*INDEX(IdxPrecio_V,1,MIN(10,CZ$173)))*(1+V_dPrecio))</f>
        <v>249057.042294458</v>
      </c>
      <c r="DA203" s="48" t="n">
        <f aca="false">IF(DA$8=1,IF(Reales!$C$39="PYG",IF(DA$10&gt;0,N(Reales!DA39)/DA$10,0),N(Reales!DA39)),DA$178*IF(AND(AND(100&gt;Corte,100&lt;=Corte+n_Ventana),ISNUMBER(Detalle_24m!DA$43)),Detalle_24m!DA$43,INDEX(Precio_V,2)*INDEX(IdxPrecio_V,1,MIN(10,DA$173)))*(1+V_dPrecio))</f>
        <v>249057.042294458</v>
      </c>
      <c r="DB203" s="48" t="n">
        <f aca="false">IF(DB$8=1,IF(Reales!$C$39="PYG",IF(DB$10&gt;0,N(Reales!DB39)/DB$10,0),N(Reales!DB39)),DB$178*IF(AND(AND(101&gt;Corte,101&lt;=Corte+n_Ventana),ISNUMBER(Detalle_24m!DB$43)),Detalle_24m!DB$43,INDEX(Precio_V,2)*INDEX(IdxPrecio_V,1,MIN(10,DB$173)))*(1+V_dPrecio))</f>
        <v>249057.042294458</v>
      </c>
      <c r="DC203" s="48" t="n">
        <f aca="false">IF(DC$8=1,IF(Reales!$C$39="PYG",IF(DC$10&gt;0,N(Reales!DC39)/DC$10,0),N(Reales!DC39)),DC$178*IF(AND(AND(102&gt;Corte,102&lt;=Corte+n_Ventana),ISNUMBER(Detalle_24m!DC$43)),Detalle_24m!DC$43,INDEX(Precio_V,2)*INDEX(IdxPrecio_V,1,MIN(10,DC$173)))*(1+V_dPrecio))</f>
        <v>249057.042294458</v>
      </c>
      <c r="DD203" s="48" t="n">
        <f aca="false">IF(DD$8=1,IF(Reales!$C$39="PYG",IF(DD$10&gt;0,N(Reales!DD39)/DD$10,0),N(Reales!DD39)),DD$178*IF(AND(AND(103&gt;Corte,103&lt;=Corte+n_Ventana),ISNUMBER(Detalle_24m!DD$43)),Detalle_24m!DD$43,INDEX(Precio_V,2)*INDEX(IdxPrecio_V,1,MIN(10,DD$173)))*(1+V_dPrecio))</f>
        <v>249057.042294458</v>
      </c>
      <c r="DE203" s="48" t="n">
        <f aca="false">IF(DE$8=1,IF(Reales!$C$39="PYG",IF(DE$10&gt;0,N(Reales!DE39)/DE$10,0),N(Reales!DE39)),DE$178*IF(AND(AND(104&gt;Corte,104&lt;=Corte+n_Ventana),ISNUMBER(Detalle_24m!DE$43)),Detalle_24m!DE$43,INDEX(Precio_V,2)*INDEX(IdxPrecio_V,1,MIN(10,DE$173)))*(1+V_dPrecio))</f>
        <v>249057.042294458</v>
      </c>
      <c r="DF203" s="48" t="n">
        <f aca="false">IF(DF$8=1,IF(Reales!$C$39="PYG",IF(DF$10&gt;0,N(Reales!DF39)/DF$10,0),N(Reales!DF39)),DF$178*IF(AND(AND(105&gt;Corte,105&lt;=Corte+n_Ventana),ISNUMBER(Detalle_24m!DF$43)),Detalle_24m!DF$43,INDEX(Precio_V,2)*INDEX(IdxPrecio_V,1,MIN(10,DF$173)))*(1+V_dPrecio))</f>
        <v>249057.042294458</v>
      </c>
      <c r="DG203" s="48" t="n">
        <f aca="false">IF(DG$8=1,IF(Reales!$C$39="PYG",IF(DG$10&gt;0,N(Reales!DG39)/DG$10,0),N(Reales!DG39)),DG$178*IF(AND(AND(106&gt;Corte,106&lt;=Corte+n_Ventana),ISNUMBER(Detalle_24m!DG$43)),Detalle_24m!DG$43,INDEX(Precio_V,2)*INDEX(IdxPrecio_V,1,MIN(10,DG$173)))*(1+V_dPrecio))</f>
        <v>249057.042294458</v>
      </c>
      <c r="DH203" s="48" t="n">
        <f aca="false">IF(DH$8=1,IF(Reales!$C$39="PYG",IF(DH$10&gt;0,N(Reales!DH39)/DH$10,0),N(Reales!DH39)),DH$178*IF(AND(AND(107&gt;Corte,107&lt;=Corte+n_Ventana),ISNUMBER(Detalle_24m!DH$43)),Detalle_24m!DH$43,INDEX(Precio_V,2)*INDEX(IdxPrecio_V,1,MIN(10,DH$173)))*(1+V_dPrecio))</f>
        <v>249057.042294458</v>
      </c>
      <c r="DI203" s="48" t="n">
        <f aca="false">IF(DI$8=1,IF(Reales!$C$39="PYG",IF(DI$10&gt;0,N(Reales!DI39)/DI$10,0),N(Reales!DI39)),DI$178*IF(AND(AND(108&gt;Corte,108&lt;=Corte+n_Ventana),ISNUMBER(Detalle_24m!DI$43)),Detalle_24m!DI$43,INDEX(Precio_V,2)*INDEX(IdxPrecio_V,1,MIN(10,DI$173)))*(1+V_dPrecio))</f>
        <v>249057.042294458</v>
      </c>
      <c r="DJ203" s="48" t="n">
        <f aca="false">IF(DJ$8=1,IF(Reales!$C$39="PYG",IF(DJ$10&gt;0,N(Reales!DJ39)/DJ$10,0),N(Reales!DJ39)),DJ$178*IF(AND(AND(109&gt;Corte,109&lt;=Corte+n_Ventana),ISNUMBER(Detalle_24m!DJ$43)),Detalle_24m!DJ$43,INDEX(Precio_V,2)*INDEX(IdxPrecio_V,1,MIN(10,DJ$173)))*(1+V_dPrecio))</f>
        <v>251547.612717403</v>
      </c>
      <c r="DK203" s="48" t="n">
        <f aca="false">IF(DK$8=1,IF(Reales!$C$39="PYG",IF(DK$10&gt;0,N(Reales!DK39)/DK$10,0),N(Reales!DK39)),DK$178*IF(AND(AND(110&gt;Corte,110&lt;=Corte+n_Ventana),ISNUMBER(Detalle_24m!DK$43)),Detalle_24m!DK$43,INDEX(Precio_V,2)*INDEX(IdxPrecio_V,1,MIN(10,DK$173)))*(1+V_dPrecio))</f>
        <v>251547.612717403</v>
      </c>
      <c r="DL203" s="48" t="n">
        <f aca="false">IF(DL$8=1,IF(Reales!$C$39="PYG",IF(DL$10&gt;0,N(Reales!DL39)/DL$10,0),N(Reales!DL39)),DL$178*IF(AND(AND(111&gt;Corte,111&lt;=Corte+n_Ventana),ISNUMBER(Detalle_24m!DL$43)),Detalle_24m!DL$43,INDEX(Precio_V,2)*INDEX(IdxPrecio_V,1,MIN(10,DL$173)))*(1+V_dPrecio))</f>
        <v>251547.612717403</v>
      </c>
      <c r="DM203" s="48" t="n">
        <f aca="false">IF(DM$8=1,IF(Reales!$C$39="PYG",IF(DM$10&gt;0,N(Reales!DM39)/DM$10,0),N(Reales!DM39)),DM$178*IF(AND(AND(112&gt;Corte,112&lt;=Corte+n_Ventana),ISNUMBER(Detalle_24m!DM$43)),Detalle_24m!DM$43,INDEX(Precio_V,2)*INDEX(IdxPrecio_V,1,MIN(10,DM$173)))*(1+V_dPrecio))</f>
        <v>251547.612717403</v>
      </c>
      <c r="DN203" s="48" t="n">
        <f aca="false">IF(DN$8=1,IF(Reales!$C$39="PYG",IF(DN$10&gt;0,N(Reales!DN39)/DN$10,0),N(Reales!DN39)),DN$178*IF(AND(AND(113&gt;Corte,113&lt;=Corte+n_Ventana),ISNUMBER(Detalle_24m!DN$43)),Detalle_24m!DN$43,INDEX(Precio_V,2)*INDEX(IdxPrecio_V,1,MIN(10,DN$173)))*(1+V_dPrecio))</f>
        <v>251547.612717403</v>
      </c>
      <c r="DO203" s="48" t="n">
        <f aca="false">IF(DO$8=1,IF(Reales!$C$39="PYG",IF(DO$10&gt;0,N(Reales!DO39)/DO$10,0),N(Reales!DO39)),DO$178*IF(AND(AND(114&gt;Corte,114&lt;=Corte+n_Ventana),ISNUMBER(Detalle_24m!DO$43)),Detalle_24m!DO$43,INDEX(Precio_V,2)*INDEX(IdxPrecio_V,1,MIN(10,DO$173)))*(1+V_dPrecio))</f>
        <v>251547.612717403</v>
      </c>
      <c r="DP203" s="48" t="n">
        <f aca="false">IF(DP$8=1,IF(Reales!$C$39="PYG",IF(DP$10&gt;0,N(Reales!DP39)/DP$10,0),N(Reales!DP39)),DP$178*IF(AND(AND(115&gt;Corte,115&lt;=Corte+n_Ventana),ISNUMBER(Detalle_24m!DP$43)),Detalle_24m!DP$43,INDEX(Precio_V,2)*INDEX(IdxPrecio_V,1,MIN(10,DP$173)))*(1+V_dPrecio))</f>
        <v>251547.612717403</v>
      </c>
      <c r="DQ203" s="48" t="n">
        <f aca="false">IF(DQ$8=1,IF(Reales!$C$39="PYG",IF(DQ$10&gt;0,N(Reales!DQ39)/DQ$10,0),N(Reales!DQ39)),DQ$178*IF(AND(AND(116&gt;Corte,116&lt;=Corte+n_Ventana),ISNUMBER(Detalle_24m!DQ$43)),Detalle_24m!DQ$43,INDEX(Precio_V,2)*INDEX(IdxPrecio_V,1,MIN(10,DQ$173)))*(1+V_dPrecio))</f>
        <v>251547.612717403</v>
      </c>
      <c r="DR203" s="48" t="n">
        <f aca="false">IF(DR$8=1,IF(Reales!$C$39="PYG",IF(DR$10&gt;0,N(Reales!DR39)/DR$10,0),N(Reales!DR39)),DR$178*IF(AND(AND(117&gt;Corte,117&lt;=Corte+n_Ventana),ISNUMBER(Detalle_24m!DR$43)),Detalle_24m!DR$43,INDEX(Precio_V,2)*INDEX(IdxPrecio_V,1,MIN(10,DR$173)))*(1+V_dPrecio))</f>
        <v>251547.612717403</v>
      </c>
      <c r="DS203" s="48" t="n">
        <f aca="false">IF(DS$8=1,IF(Reales!$C$39="PYG",IF(DS$10&gt;0,N(Reales!DS39)/DS$10,0),N(Reales!DS39)),DS$178*IF(AND(AND(118&gt;Corte,118&lt;=Corte+n_Ventana),ISNUMBER(Detalle_24m!DS$43)),Detalle_24m!DS$43,INDEX(Precio_V,2)*INDEX(IdxPrecio_V,1,MIN(10,DS$173)))*(1+V_dPrecio))</f>
        <v>251547.612717403</v>
      </c>
      <c r="DT203" s="48" t="n">
        <f aca="false">IF(DT$8=1,IF(Reales!$C$39="PYG",IF(DT$10&gt;0,N(Reales!DT39)/DT$10,0),N(Reales!DT39)),DT$178*IF(AND(AND(119&gt;Corte,119&lt;=Corte+n_Ventana),ISNUMBER(Detalle_24m!DT$43)),Detalle_24m!DT$43,INDEX(Precio_V,2)*INDEX(IdxPrecio_V,1,MIN(10,DT$173)))*(1+V_dPrecio))</f>
        <v>251547.612717403</v>
      </c>
      <c r="DU203" s="48" t="n">
        <f aca="false">IF(DU$8=1,IF(Reales!$C$39="PYG",IF(DU$10&gt;0,N(Reales!DU39)/DU$10,0),N(Reales!DU39)),DU$178*IF(AND(AND(120&gt;Corte,120&lt;=Corte+n_Ventana),ISNUMBER(Detalle_24m!DU$43)),Detalle_24m!DU$43,INDEX(Precio_V,2)*INDEX(IdxPrecio_V,1,MIN(10,DU$173)))*(1+V_dPrecio))</f>
        <v>251547.612717403</v>
      </c>
      <c r="DV203" s="48" t="n">
        <f aca="false">IF(DV$8=1,IF(Reales!$C$39="PYG",IF(DV$10&gt;0,N(Reales!DV39)/DV$10,0),N(Reales!DV39)),DV$178*IF(AND(AND(121&gt;Corte,121&lt;=Corte+n_Ventana),ISNUMBER(Detalle_24m!DV$43)),Detalle_24m!DV$43,INDEX(Precio_V,2)*INDEX(IdxPrecio_V,1,MIN(10,DV$173)))*(1+V_dPrecio))</f>
        <v>0</v>
      </c>
      <c r="DW203" s="48" t="n">
        <f aca="false">IF(DW$8=1,IF(Reales!$C$39="PYG",IF(DW$10&gt;0,N(Reales!DW39)/DW$10,0),N(Reales!DW39)),DW$178*IF(AND(AND(122&gt;Corte,122&lt;=Corte+n_Ventana),ISNUMBER(Detalle_24m!DW$43)),Detalle_24m!DW$43,INDEX(Precio_V,2)*INDEX(IdxPrecio_V,1,MIN(10,DW$173)))*(1+V_dPrecio))</f>
        <v>0</v>
      </c>
      <c r="DX203" s="48" t="n">
        <f aca="false">IF(DX$8=1,IF(Reales!$C$39="PYG",IF(DX$10&gt;0,N(Reales!DX39)/DX$10,0),N(Reales!DX39)),DX$178*IF(AND(AND(123&gt;Corte,123&lt;=Corte+n_Ventana),ISNUMBER(Detalle_24m!DX$43)),Detalle_24m!DX$43,INDEX(Precio_V,2)*INDEX(IdxPrecio_V,1,MIN(10,DX$173)))*(1+V_dPrecio))</f>
        <v>0</v>
      </c>
      <c r="DY203" s="48" t="n">
        <f aca="false">IF(DY$8=1,IF(Reales!$C$39="PYG",IF(DY$10&gt;0,N(Reales!DY39)/DY$10,0),N(Reales!DY39)),DY$178*IF(AND(AND(124&gt;Corte,124&lt;=Corte+n_Ventana),ISNUMBER(Detalle_24m!DY$43)),Detalle_24m!DY$43,INDEX(Precio_V,2)*INDEX(IdxPrecio_V,1,MIN(10,DY$173)))*(1+V_dPrecio))</f>
        <v>0</v>
      </c>
      <c r="DZ203" s="48" t="n">
        <f aca="false">IF(DZ$8=1,IF(Reales!$C$39="PYG",IF(DZ$10&gt;0,N(Reales!DZ39)/DZ$10,0),N(Reales!DZ39)),DZ$178*IF(AND(AND(125&gt;Corte,125&lt;=Corte+n_Ventana),ISNUMBER(Detalle_24m!DZ$43)),Detalle_24m!DZ$43,INDEX(Precio_V,2)*INDEX(IdxPrecio_V,1,MIN(10,DZ$173)))*(1+V_dPrecio))</f>
        <v>0</v>
      </c>
      <c r="EA203" s="48" t="n">
        <f aca="false">IF(EA$8=1,IF(Reales!$C$39="PYG",IF(EA$10&gt;0,N(Reales!EA39)/EA$10,0),N(Reales!EA39)),EA$178*IF(AND(AND(126&gt;Corte,126&lt;=Corte+n_Ventana),ISNUMBER(Detalle_24m!EA$43)),Detalle_24m!EA$43,INDEX(Precio_V,2)*INDEX(IdxPrecio_V,1,MIN(10,EA$173)))*(1+V_dPrecio))</f>
        <v>0</v>
      </c>
      <c r="EB203" s="48" t="n">
        <f aca="false">IF(EB$8=1,IF(Reales!$C$39="PYG",IF(EB$10&gt;0,N(Reales!EB39)/EB$10,0),N(Reales!EB39)),EB$178*IF(AND(AND(127&gt;Corte,127&lt;=Corte+n_Ventana),ISNUMBER(Detalle_24m!EB$43)),Detalle_24m!EB$43,INDEX(Precio_V,2)*INDEX(IdxPrecio_V,1,MIN(10,EB$173)))*(1+V_dPrecio))</f>
        <v>0</v>
      </c>
      <c r="EC203" s="48" t="n">
        <f aca="false">IF(EC$8=1,IF(Reales!$C$39="PYG",IF(EC$10&gt;0,N(Reales!EC39)/EC$10,0),N(Reales!EC39)),EC$178*IF(AND(AND(128&gt;Corte,128&lt;=Corte+n_Ventana),ISNUMBER(Detalle_24m!EC$43)),Detalle_24m!EC$43,INDEX(Precio_V,2)*INDEX(IdxPrecio_V,1,MIN(10,EC$173)))*(1+V_dPrecio))</f>
        <v>0</v>
      </c>
      <c r="ED203" s="48" t="n">
        <f aca="false">IF(ED$8=1,IF(Reales!$C$39="PYG",IF(ED$10&gt;0,N(Reales!ED39)/ED$10,0),N(Reales!ED39)),ED$178*IF(AND(AND(129&gt;Corte,129&lt;=Corte+n_Ventana),ISNUMBER(Detalle_24m!ED$43)),Detalle_24m!ED$43,INDEX(Precio_V,2)*INDEX(IdxPrecio_V,1,MIN(10,ED$173)))*(1+V_dPrecio))</f>
        <v>0</v>
      </c>
      <c r="EE203" s="48" t="n">
        <f aca="false">IF(EE$8=1,IF(Reales!$C$39="PYG",IF(EE$10&gt;0,N(Reales!EE39)/EE$10,0),N(Reales!EE39)),EE$178*IF(AND(AND(130&gt;Corte,130&lt;=Corte+n_Ventana),ISNUMBER(Detalle_24m!EE$43)),Detalle_24m!EE$43,INDEX(Precio_V,2)*INDEX(IdxPrecio_V,1,MIN(10,EE$173)))*(1+V_dPrecio))</f>
        <v>0</v>
      </c>
      <c r="EF203" s="48" t="n">
        <f aca="false">IF(EF$8=1,IF(Reales!$C$39="PYG",IF(EF$10&gt;0,N(Reales!EF39)/EF$10,0),N(Reales!EF39)),EF$178*IF(AND(AND(131&gt;Corte,131&lt;=Corte+n_Ventana),ISNUMBER(Detalle_24m!EF$43)),Detalle_24m!EF$43,INDEX(Precio_V,2)*INDEX(IdxPrecio_V,1,MIN(10,EF$173)))*(1+V_dPrecio))</f>
        <v>0</v>
      </c>
      <c r="EG203" s="48" t="n">
        <f aca="false">IF(EG$8=1,IF(Reales!$C$39="PYG",IF(EG$10&gt;0,N(Reales!EG39)/EG$10,0),N(Reales!EG39)),EG$178*IF(AND(AND(132&gt;Corte,132&lt;=Corte+n_Ventana),ISNUMBER(Detalle_24m!EG$43)),Detalle_24m!EG$43,INDEX(Precio_V,2)*INDEX(IdxPrecio_V,1,MIN(10,EG$173)))*(1+V_dPrecio))</f>
        <v>0</v>
      </c>
      <c r="EH203" s="48" t="n">
        <f aca="false">IF(EH$8=1,IF(Reales!$C$39="PYG",IF(EH$10&gt;0,N(Reales!EH39)/EH$10,0),N(Reales!EH39)),EH$178*IF(AND(AND(133&gt;Corte,133&lt;=Corte+n_Ventana),ISNUMBER(Detalle_24m!EH$43)),Detalle_24m!EH$43,INDEX(Precio_V,2)*INDEX(IdxPrecio_V,1,MIN(10,EH$173)))*(1+V_dPrecio))</f>
        <v>0</v>
      </c>
      <c r="EI203" s="48" t="n">
        <f aca="false">IF(EI$8=1,IF(Reales!$C$39="PYG",IF(EI$10&gt;0,N(Reales!EI39)/EI$10,0),N(Reales!EI39)),EI$178*IF(AND(AND(134&gt;Corte,134&lt;=Corte+n_Ventana),ISNUMBER(Detalle_24m!EI$43)),Detalle_24m!EI$43,INDEX(Precio_V,2)*INDEX(IdxPrecio_V,1,MIN(10,EI$173)))*(1+V_dPrecio))</f>
        <v>0</v>
      </c>
      <c r="EJ203" s="48" t="n">
        <f aca="false">IF(EJ$8=1,IF(Reales!$C$39="PYG",IF(EJ$10&gt;0,N(Reales!EJ39)/EJ$10,0),N(Reales!EJ39)),EJ$178*IF(AND(AND(135&gt;Corte,135&lt;=Corte+n_Ventana),ISNUMBER(Detalle_24m!EJ$43)),Detalle_24m!EJ$43,INDEX(Precio_V,2)*INDEX(IdxPrecio_V,1,MIN(10,EJ$173)))*(1+V_dPrecio))</f>
        <v>0</v>
      </c>
      <c r="EK203" s="48" t="n">
        <f aca="false">IF(EK$8=1,IF(Reales!$C$39="PYG",IF(EK$10&gt;0,N(Reales!EK39)/EK$10,0),N(Reales!EK39)),EK$178*IF(AND(AND(136&gt;Corte,136&lt;=Corte+n_Ventana),ISNUMBER(Detalle_24m!EK$43)),Detalle_24m!EK$43,INDEX(Precio_V,2)*INDEX(IdxPrecio_V,1,MIN(10,EK$173)))*(1+V_dPrecio))</f>
        <v>0</v>
      </c>
      <c r="EL203" s="48" t="n">
        <f aca="false">IF(EL$8=1,IF(Reales!$C$39="PYG",IF(EL$10&gt;0,N(Reales!EL39)/EL$10,0),N(Reales!EL39)),EL$178*IF(AND(AND(137&gt;Corte,137&lt;=Corte+n_Ventana),ISNUMBER(Detalle_24m!EL$43)),Detalle_24m!EL$43,INDEX(Precio_V,2)*INDEX(IdxPrecio_V,1,MIN(10,EL$173)))*(1+V_dPrecio))</f>
        <v>0</v>
      </c>
      <c r="EM203" s="48" t="n">
        <f aca="false">IF(EM$8=1,IF(Reales!$C$39="PYG",IF(EM$10&gt;0,N(Reales!EM39)/EM$10,0),N(Reales!EM39)),EM$178*IF(AND(AND(138&gt;Corte,138&lt;=Corte+n_Ventana),ISNUMBER(Detalle_24m!EM$43)),Detalle_24m!EM$43,INDEX(Precio_V,2)*INDEX(IdxPrecio_V,1,MIN(10,EM$173)))*(1+V_dPrecio))</f>
        <v>0</v>
      </c>
      <c r="EN203" s="48" t="n">
        <f aca="false">IF(EN$8=1,IF(Reales!$C$39="PYG",IF(EN$10&gt;0,N(Reales!EN39)/EN$10,0),N(Reales!EN39)),EN$178*IF(AND(AND(139&gt;Corte,139&lt;=Corte+n_Ventana),ISNUMBER(Detalle_24m!EN$43)),Detalle_24m!EN$43,INDEX(Precio_V,2)*INDEX(IdxPrecio_V,1,MIN(10,EN$173)))*(1+V_dPrecio))</f>
        <v>0</v>
      </c>
      <c r="EO203" s="48" t="n">
        <f aca="false">IF(EO$8=1,IF(Reales!$C$39="PYG",IF(EO$10&gt;0,N(Reales!EO39)/EO$10,0),N(Reales!EO39)),EO$178*IF(AND(AND(140&gt;Corte,140&lt;=Corte+n_Ventana),ISNUMBER(Detalle_24m!EO$43)),Detalle_24m!EO$43,INDEX(Precio_V,2)*INDEX(IdxPrecio_V,1,MIN(10,EO$173)))*(1+V_dPrecio))</f>
        <v>0</v>
      </c>
      <c r="EP203" s="48" t="n">
        <f aca="false">IF(EP$8=1,IF(Reales!$C$39="PYG",IF(EP$10&gt;0,N(Reales!EP39)/EP$10,0),N(Reales!EP39)),EP$178*IF(AND(AND(141&gt;Corte,141&lt;=Corte+n_Ventana),ISNUMBER(Detalle_24m!EP$43)),Detalle_24m!EP$43,INDEX(Precio_V,2)*INDEX(IdxPrecio_V,1,MIN(10,EP$173)))*(1+V_dPrecio))</f>
        <v>0</v>
      </c>
      <c r="EQ203" s="48" t="n">
        <f aca="false">IF(EQ$8=1,IF(Reales!$C$39="PYG",IF(EQ$10&gt;0,N(Reales!EQ39)/EQ$10,0),N(Reales!EQ39)),EQ$178*IF(AND(AND(142&gt;Corte,142&lt;=Corte+n_Ventana),ISNUMBER(Detalle_24m!EQ$43)),Detalle_24m!EQ$43,INDEX(Precio_V,2)*INDEX(IdxPrecio_V,1,MIN(10,EQ$173)))*(1+V_dPrecio))</f>
        <v>0</v>
      </c>
      <c r="ER203" s="48" t="n">
        <f aca="false">IF(ER$8=1,IF(Reales!$C$39="PYG",IF(ER$10&gt;0,N(Reales!ER39)/ER$10,0),N(Reales!ER39)),ER$178*IF(AND(AND(143&gt;Corte,143&lt;=Corte+n_Ventana),ISNUMBER(Detalle_24m!ER$43)),Detalle_24m!ER$43,INDEX(Precio_V,2)*INDEX(IdxPrecio_V,1,MIN(10,ER$173)))*(1+V_dPrecio))</f>
        <v>0</v>
      </c>
      <c r="ES203" s="48" t="n">
        <f aca="false">IF(ES$8=1,IF(Reales!$C$39="PYG",IF(ES$10&gt;0,N(Reales!ES39)/ES$10,0),N(Reales!ES39)),ES$178*IF(AND(AND(144&gt;Corte,144&lt;=Corte+n_Ventana),ISNUMBER(Detalle_24m!ES$43)),Detalle_24m!ES$43,INDEX(Precio_V,2)*INDEX(IdxPrecio_V,1,MIN(10,ES$173)))*(1+V_dPrecio))</f>
        <v>0</v>
      </c>
    </row>
    <row r="204" customFormat="false" ht="15" hidden="false" customHeight="false" outlineLevel="0" collapsed="false">
      <c r="A204" s="11" t="s">
        <v>1327</v>
      </c>
      <c r="B204" s="53" t="str">
        <f aca="false">IF(INDEX(Prod_Nombre,3)="","Producto 3",INDEX(Prod_Nombre,3))&amp;" — ventas USD"</f>
        <v>Producto 3 — ventas USD</v>
      </c>
      <c r="C204" s="15" t="s">
        <v>508</v>
      </c>
      <c r="E204" s="54" t="n">
        <f aca="false">SUM(F204:ES204)</f>
        <v>0</v>
      </c>
      <c r="F204" s="48" t="n">
        <f aca="false">IF(F$8=1,IF(Reales!$C$40="PYG",IF(F$10&gt;0,N(Reales!F40)/F$10,0),N(Reales!F40)),F$179*IF(AND(AND(1&gt;Corte,1&lt;=Corte+n_Ventana),ISNUMBER(Detalle_24m!F$44)),Detalle_24m!F$44,INDEX(Precio_V,3)*INDEX(IdxPrecio_V,1,MIN(10,F$173)))*(1+V_dPrecio))</f>
        <v>0</v>
      </c>
      <c r="G204" s="48" t="n">
        <f aca="false">IF(G$8=1,IF(Reales!$C$40="PYG",IF(G$10&gt;0,N(Reales!G40)/G$10,0),N(Reales!G40)),G$179*IF(AND(AND(2&gt;Corte,2&lt;=Corte+n_Ventana),ISNUMBER(Detalle_24m!G$44)),Detalle_24m!G$44,INDEX(Precio_V,3)*INDEX(IdxPrecio_V,1,MIN(10,G$173)))*(1+V_dPrecio))</f>
        <v>0</v>
      </c>
      <c r="H204" s="48" t="n">
        <f aca="false">IF(H$8=1,IF(Reales!$C$40="PYG",IF(H$10&gt;0,N(Reales!H40)/H$10,0),N(Reales!H40)),H$179*IF(AND(AND(3&gt;Corte,3&lt;=Corte+n_Ventana),ISNUMBER(Detalle_24m!H$44)),Detalle_24m!H$44,INDEX(Precio_V,3)*INDEX(IdxPrecio_V,1,MIN(10,H$173)))*(1+V_dPrecio))</f>
        <v>0</v>
      </c>
      <c r="I204" s="48" t="n">
        <f aca="false">IF(I$8=1,IF(Reales!$C$40="PYG",IF(I$10&gt;0,N(Reales!I40)/I$10,0),N(Reales!I40)),I$179*IF(AND(AND(4&gt;Corte,4&lt;=Corte+n_Ventana),ISNUMBER(Detalle_24m!I$44)),Detalle_24m!I$44,INDEX(Precio_V,3)*INDEX(IdxPrecio_V,1,MIN(10,I$173)))*(1+V_dPrecio))</f>
        <v>0</v>
      </c>
      <c r="J204" s="48" t="n">
        <f aca="false">IF(J$8=1,IF(Reales!$C$40="PYG",IF(J$10&gt;0,N(Reales!J40)/J$10,0),N(Reales!J40)),J$179*IF(AND(AND(5&gt;Corte,5&lt;=Corte+n_Ventana),ISNUMBER(Detalle_24m!J$44)),Detalle_24m!J$44,INDEX(Precio_V,3)*INDEX(IdxPrecio_V,1,MIN(10,J$173)))*(1+V_dPrecio))</f>
        <v>0</v>
      </c>
      <c r="K204" s="48" t="n">
        <f aca="false">IF(K$8=1,IF(Reales!$C$40="PYG",IF(K$10&gt;0,N(Reales!K40)/K$10,0),N(Reales!K40)),K$179*IF(AND(AND(6&gt;Corte,6&lt;=Corte+n_Ventana),ISNUMBER(Detalle_24m!K$44)),Detalle_24m!K$44,INDEX(Precio_V,3)*INDEX(IdxPrecio_V,1,MIN(10,K$173)))*(1+V_dPrecio))</f>
        <v>0</v>
      </c>
      <c r="L204" s="48" t="n">
        <f aca="false">IF(L$8=1,IF(Reales!$C$40="PYG",IF(L$10&gt;0,N(Reales!L40)/L$10,0),N(Reales!L40)),L$179*IF(AND(AND(7&gt;Corte,7&lt;=Corte+n_Ventana),ISNUMBER(Detalle_24m!L$44)),Detalle_24m!L$44,INDEX(Precio_V,3)*INDEX(IdxPrecio_V,1,MIN(10,L$173)))*(1+V_dPrecio))</f>
        <v>0</v>
      </c>
      <c r="M204" s="48" t="n">
        <f aca="false">IF(M$8=1,IF(Reales!$C$40="PYG",IF(M$10&gt;0,N(Reales!M40)/M$10,0),N(Reales!M40)),M$179*IF(AND(AND(8&gt;Corte,8&lt;=Corte+n_Ventana),ISNUMBER(Detalle_24m!M$44)),Detalle_24m!M$44,INDEX(Precio_V,3)*INDEX(IdxPrecio_V,1,MIN(10,M$173)))*(1+V_dPrecio))</f>
        <v>0</v>
      </c>
      <c r="N204" s="48" t="n">
        <f aca="false">IF(N$8=1,IF(Reales!$C$40="PYG",IF(N$10&gt;0,N(Reales!N40)/N$10,0),N(Reales!N40)),N$179*IF(AND(AND(9&gt;Corte,9&lt;=Corte+n_Ventana),ISNUMBER(Detalle_24m!N$44)),Detalle_24m!N$44,INDEX(Precio_V,3)*INDEX(IdxPrecio_V,1,MIN(10,N$173)))*(1+V_dPrecio))</f>
        <v>0</v>
      </c>
      <c r="O204" s="48" t="n">
        <f aca="false">IF(O$8=1,IF(Reales!$C$40="PYG",IF(O$10&gt;0,N(Reales!O40)/O$10,0),N(Reales!O40)),O$179*IF(AND(AND(10&gt;Corte,10&lt;=Corte+n_Ventana),ISNUMBER(Detalle_24m!O$44)),Detalle_24m!O$44,INDEX(Precio_V,3)*INDEX(IdxPrecio_V,1,MIN(10,O$173)))*(1+V_dPrecio))</f>
        <v>0</v>
      </c>
      <c r="P204" s="48" t="n">
        <f aca="false">IF(P$8=1,IF(Reales!$C$40="PYG",IF(P$10&gt;0,N(Reales!P40)/P$10,0),N(Reales!P40)),P$179*IF(AND(AND(11&gt;Corte,11&lt;=Corte+n_Ventana),ISNUMBER(Detalle_24m!P$44)),Detalle_24m!P$44,INDEX(Precio_V,3)*INDEX(IdxPrecio_V,1,MIN(10,P$173)))*(1+V_dPrecio))</f>
        <v>0</v>
      </c>
      <c r="Q204" s="48" t="n">
        <f aca="false">IF(Q$8=1,IF(Reales!$C$40="PYG",IF(Q$10&gt;0,N(Reales!Q40)/Q$10,0),N(Reales!Q40)),Q$179*IF(AND(AND(12&gt;Corte,12&lt;=Corte+n_Ventana),ISNUMBER(Detalle_24m!Q$44)),Detalle_24m!Q$44,INDEX(Precio_V,3)*INDEX(IdxPrecio_V,1,MIN(10,Q$173)))*(1+V_dPrecio))</f>
        <v>0</v>
      </c>
      <c r="R204" s="48" t="n">
        <f aca="false">IF(R$8=1,IF(Reales!$C$40="PYG",IF(R$10&gt;0,N(Reales!R40)/R$10,0),N(Reales!R40)),R$179*IF(AND(AND(13&gt;Corte,13&lt;=Corte+n_Ventana),ISNUMBER(Detalle_24m!R$44)),Detalle_24m!R$44,INDEX(Precio_V,3)*INDEX(IdxPrecio_V,1,MIN(10,R$173)))*(1+V_dPrecio))</f>
        <v>0</v>
      </c>
      <c r="S204" s="48" t="n">
        <f aca="false">IF(S$8=1,IF(Reales!$C$40="PYG",IF(S$10&gt;0,N(Reales!S40)/S$10,0),N(Reales!S40)),S$179*IF(AND(AND(14&gt;Corte,14&lt;=Corte+n_Ventana),ISNUMBER(Detalle_24m!S$44)),Detalle_24m!S$44,INDEX(Precio_V,3)*INDEX(IdxPrecio_V,1,MIN(10,S$173)))*(1+V_dPrecio))</f>
        <v>0</v>
      </c>
      <c r="T204" s="48" t="n">
        <f aca="false">IF(T$8=1,IF(Reales!$C$40="PYG",IF(T$10&gt;0,N(Reales!T40)/T$10,0),N(Reales!T40)),T$179*IF(AND(AND(15&gt;Corte,15&lt;=Corte+n_Ventana),ISNUMBER(Detalle_24m!T$44)),Detalle_24m!T$44,INDEX(Precio_V,3)*INDEX(IdxPrecio_V,1,MIN(10,T$173)))*(1+V_dPrecio))</f>
        <v>0</v>
      </c>
      <c r="U204" s="48" t="n">
        <f aca="false">IF(U$8=1,IF(Reales!$C$40="PYG",IF(U$10&gt;0,N(Reales!U40)/U$10,0),N(Reales!U40)),U$179*IF(AND(AND(16&gt;Corte,16&lt;=Corte+n_Ventana),ISNUMBER(Detalle_24m!U$44)),Detalle_24m!U$44,INDEX(Precio_V,3)*INDEX(IdxPrecio_V,1,MIN(10,U$173)))*(1+V_dPrecio))</f>
        <v>0</v>
      </c>
      <c r="V204" s="48" t="n">
        <f aca="false">IF(V$8=1,IF(Reales!$C$40="PYG",IF(V$10&gt;0,N(Reales!V40)/V$10,0),N(Reales!V40)),V$179*IF(AND(AND(17&gt;Corte,17&lt;=Corte+n_Ventana),ISNUMBER(Detalle_24m!V$44)),Detalle_24m!V$44,INDEX(Precio_V,3)*INDEX(IdxPrecio_V,1,MIN(10,V$173)))*(1+V_dPrecio))</f>
        <v>0</v>
      </c>
      <c r="W204" s="48" t="n">
        <f aca="false">IF(W$8=1,IF(Reales!$C$40="PYG",IF(W$10&gt;0,N(Reales!W40)/W$10,0),N(Reales!W40)),W$179*IF(AND(AND(18&gt;Corte,18&lt;=Corte+n_Ventana),ISNUMBER(Detalle_24m!W$44)),Detalle_24m!W$44,INDEX(Precio_V,3)*INDEX(IdxPrecio_V,1,MIN(10,W$173)))*(1+V_dPrecio))</f>
        <v>0</v>
      </c>
      <c r="X204" s="48" t="n">
        <f aca="false">IF(X$8=1,IF(Reales!$C$40="PYG",IF(X$10&gt;0,N(Reales!X40)/X$10,0),N(Reales!X40)),X$179*IF(AND(AND(19&gt;Corte,19&lt;=Corte+n_Ventana),ISNUMBER(Detalle_24m!X$44)),Detalle_24m!X$44,INDEX(Precio_V,3)*INDEX(IdxPrecio_V,1,MIN(10,X$173)))*(1+V_dPrecio))</f>
        <v>0</v>
      </c>
      <c r="Y204" s="48" t="n">
        <f aca="false">IF(Y$8=1,IF(Reales!$C$40="PYG",IF(Y$10&gt;0,N(Reales!Y40)/Y$10,0),N(Reales!Y40)),Y$179*IF(AND(AND(20&gt;Corte,20&lt;=Corte+n_Ventana),ISNUMBER(Detalle_24m!Y$44)),Detalle_24m!Y$44,INDEX(Precio_V,3)*INDEX(IdxPrecio_V,1,MIN(10,Y$173)))*(1+V_dPrecio))</f>
        <v>0</v>
      </c>
      <c r="Z204" s="48" t="n">
        <f aca="false">IF(Z$8=1,IF(Reales!$C$40="PYG",IF(Z$10&gt;0,N(Reales!Z40)/Z$10,0),N(Reales!Z40)),Z$179*IF(AND(AND(21&gt;Corte,21&lt;=Corte+n_Ventana),ISNUMBER(Detalle_24m!Z$44)),Detalle_24m!Z$44,INDEX(Precio_V,3)*INDEX(IdxPrecio_V,1,MIN(10,Z$173)))*(1+V_dPrecio))</f>
        <v>0</v>
      </c>
      <c r="AA204" s="48" t="n">
        <f aca="false">IF(AA$8=1,IF(Reales!$C$40="PYG",IF(AA$10&gt;0,N(Reales!AA40)/AA$10,0),N(Reales!AA40)),AA$179*IF(AND(AND(22&gt;Corte,22&lt;=Corte+n_Ventana),ISNUMBER(Detalle_24m!AA$44)),Detalle_24m!AA$44,INDEX(Precio_V,3)*INDEX(IdxPrecio_V,1,MIN(10,AA$173)))*(1+V_dPrecio))</f>
        <v>0</v>
      </c>
      <c r="AB204" s="48" t="n">
        <f aca="false">IF(AB$8=1,IF(Reales!$C$40="PYG",IF(AB$10&gt;0,N(Reales!AB40)/AB$10,0),N(Reales!AB40)),AB$179*IF(AND(AND(23&gt;Corte,23&lt;=Corte+n_Ventana),ISNUMBER(Detalle_24m!AB$44)),Detalle_24m!AB$44,INDEX(Precio_V,3)*INDEX(IdxPrecio_V,1,MIN(10,AB$173)))*(1+V_dPrecio))</f>
        <v>0</v>
      </c>
      <c r="AC204" s="48" t="n">
        <f aca="false">IF(AC$8=1,IF(Reales!$C$40="PYG",IF(AC$10&gt;0,N(Reales!AC40)/AC$10,0),N(Reales!AC40)),AC$179*IF(AND(AND(24&gt;Corte,24&lt;=Corte+n_Ventana),ISNUMBER(Detalle_24m!AC$44)),Detalle_24m!AC$44,INDEX(Precio_V,3)*INDEX(IdxPrecio_V,1,MIN(10,AC$173)))*(1+V_dPrecio))</f>
        <v>0</v>
      </c>
      <c r="AD204" s="48" t="n">
        <f aca="false">IF(AD$8=1,IF(Reales!$C$40="PYG",IF(AD$10&gt;0,N(Reales!AD40)/AD$10,0),N(Reales!AD40)),AD$179*IF(AND(AND(25&gt;Corte,25&lt;=Corte+n_Ventana),ISNUMBER(Detalle_24m!AD$44)),Detalle_24m!AD$44,INDEX(Precio_V,3)*INDEX(IdxPrecio_V,1,MIN(10,AD$173)))*(1+V_dPrecio))</f>
        <v>0</v>
      </c>
      <c r="AE204" s="48" t="n">
        <f aca="false">IF(AE$8=1,IF(Reales!$C$40="PYG",IF(AE$10&gt;0,N(Reales!AE40)/AE$10,0),N(Reales!AE40)),AE$179*IF(AND(AND(26&gt;Corte,26&lt;=Corte+n_Ventana),ISNUMBER(Detalle_24m!AE$44)),Detalle_24m!AE$44,INDEX(Precio_V,3)*INDEX(IdxPrecio_V,1,MIN(10,AE$173)))*(1+V_dPrecio))</f>
        <v>0</v>
      </c>
      <c r="AF204" s="48" t="n">
        <f aca="false">IF(AF$8=1,IF(Reales!$C$40="PYG",IF(AF$10&gt;0,N(Reales!AF40)/AF$10,0),N(Reales!AF40)),AF$179*IF(AND(AND(27&gt;Corte,27&lt;=Corte+n_Ventana),ISNUMBER(Detalle_24m!AF$44)),Detalle_24m!AF$44,INDEX(Precio_V,3)*INDEX(IdxPrecio_V,1,MIN(10,AF$173)))*(1+V_dPrecio))</f>
        <v>0</v>
      </c>
      <c r="AG204" s="48" t="n">
        <f aca="false">IF(AG$8=1,IF(Reales!$C$40="PYG",IF(AG$10&gt;0,N(Reales!AG40)/AG$10,0),N(Reales!AG40)),AG$179*IF(AND(AND(28&gt;Corte,28&lt;=Corte+n_Ventana),ISNUMBER(Detalle_24m!AG$44)),Detalle_24m!AG$44,INDEX(Precio_V,3)*INDEX(IdxPrecio_V,1,MIN(10,AG$173)))*(1+V_dPrecio))</f>
        <v>0</v>
      </c>
      <c r="AH204" s="48" t="n">
        <f aca="false">IF(AH$8=1,IF(Reales!$C$40="PYG",IF(AH$10&gt;0,N(Reales!AH40)/AH$10,0),N(Reales!AH40)),AH$179*IF(AND(AND(29&gt;Corte,29&lt;=Corte+n_Ventana),ISNUMBER(Detalle_24m!AH$44)),Detalle_24m!AH$44,INDEX(Precio_V,3)*INDEX(IdxPrecio_V,1,MIN(10,AH$173)))*(1+V_dPrecio))</f>
        <v>0</v>
      </c>
      <c r="AI204" s="48" t="n">
        <f aca="false">IF(AI$8=1,IF(Reales!$C$40="PYG",IF(AI$10&gt;0,N(Reales!AI40)/AI$10,0),N(Reales!AI40)),AI$179*IF(AND(AND(30&gt;Corte,30&lt;=Corte+n_Ventana),ISNUMBER(Detalle_24m!AI$44)),Detalle_24m!AI$44,INDEX(Precio_V,3)*INDEX(IdxPrecio_V,1,MIN(10,AI$173)))*(1+V_dPrecio))</f>
        <v>0</v>
      </c>
      <c r="AJ204" s="48" t="n">
        <f aca="false">IF(AJ$8=1,IF(Reales!$C$40="PYG",IF(AJ$10&gt;0,N(Reales!AJ40)/AJ$10,0),N(Reales!AJ40)),AJ$179*IF(AND(AND(31&gt;Corte,31&lt;=Corte+n_Ventana),ISNUMBER(Detalle_24m!AJ$44)),Detalle_24m!AJ$44,INDEX(Precio_V,3)*INDEX(IdxPrecio_V,1,MIN(10,AJ$173)))*(1+V_dPrecio))</f>
        <v>0</v>
      </c>
      <c r="AK204" s="48" t="n">
        <f aca="false">IF(AK$8=1,IF(Reales!$C$40="PYG",IF(AK$10&gt;0,N(Reales!AK40)/AK$10,0),N(Reales!AK40)),AK$179*IF(AND(AND(32&gt;Corte,32&lt;=Corte+n_Ventana),ISNUMBER(Detalle_24m!AK$44)),Detalle_24m!AK$44,INDEX(Precio_V,3)*INDEX(IdxPrecio_V,1,MIN(10,AK$173)))*(1+V_dPrecio))</f>
        <v>0</v>
      </c>
      <c r="AL204" s="48" t="n">
        <f aca="false">IF(AL$8=1,IF(Reales!$C$40="PYG",IF(AL$10&gt;0,N(Reales!AL40)/AL$10,0),N(Reales!AL40)),AL$179*IF(AND(AND(33&gt;Corte,33&lt;=Corte+n_Ventana),ISNUMBER(Detalle_24m!AL$44)),Detalle_24m!AL$44,INDEX(Precio_V,3)*INDEX(IdxPrecio_V,1,MIN(10,AL$173)))*(1+V_dPrecio))</f>
        <v>0</v>
      </c>
      <c r="AM204" s="48" t="n">
        <f aca="false">IF(AM$8=1,IF(Reales!$C$40="PYG",IF(AM$10&gt;0,N(Reales!AM40)/AM$10,0),N(Reales!AM40)),AM$179*IF(AND(AND(34&gt;Corte,34&lt;=Corte+n_Ventana),ISNUMBER(Detalle_24m!AM$44)),Detalle_24m!AM$44,INDEX(Precio_V,3)*INDEX(IdxPrecio_V,1,MIN(10,AM$173)))*(1+V_dPrecio))</f>
        <v>0</v>
      </c>
      <c r="AN204" s="48" t="n">
        <f aca="false">IF(AN$8=1,IF(Reales!$C$40="PYG",IF(AN$10&gt;0,N(Reales!AN40)/AN$10,0),N(Reales!AN40)),AN$179*IF(AND(AND(35&gt;Corte,35&lt;=Corte+n_Ventana),ISNUMBER(Detalle_24m!AN$44)),Detalle_24m!AN$44,INDEX(Precio_V,3)*INDEX(IdxPrecio_V,1,MIN(10,AN$173)))*(1+V_dPrecio))</f>
        <v>0</v>
      </c>
      <c r="AO204" s="48" t="n">
        <f aca="false">IF(AO$8=1,IF(Reales!$C$40="PYG",IF(AO$10&gt;0,N(Reales!AO40)/AO$10,0),N(Reales!AO40)),AO$179*IF(AND(AND(36&gt;Corte,36&lt;=Corte+n_Ventana),ISNUMBER(Detalle_24m!AO$44)),Detalle_24m!AO$44,INDEX(Precio_V,3)*INDEX(IdxPrecio_V,1,MIN(10,AO$173)))*(1+V_dPrecio))</f>
        <v>0</v>
      </c>
      <c r="AP204" s="48" t="n">
        <f aca="false">IF(AP$8=1,IF(Reales!$C$40="PYG",IF(AP$10&gt;0,N(Reales!AP40)/AP$10,0),N(Reales!AP40)),AP$179*IF(AND(AND(37&gt;Corte,37&lt;=Corte+n_Ventana),ISNUMBER(Detalle_24m!AP$44)),Detalle_24m!AP$44,INDEX(Precio_V,3)*INDEX(IdxPrecio_V,1,MIN(10,AP$173)))*(1+V_dPrecio))</f>
        <v>0</v>
      </c>
      <c r="AQ204" s="48" t="n">
        <f aca="false">IF(AQ$8=1,IF(Reales!$C$40="PYG",IF(AQ$10&gt;0,N(Reales!AQ40)/AQ$10,0),N(Reales!AQ40)),AQ$179*IF(AND(AND(38&gt;Corte,38&lt;=Corte+n_Ventana),ISNUMBER(Detalle_24m!AQ$44)),Detalle_24m!AQ$44,INDEX(Precio_V,3)*INDEX(IdxPrecio_V,1,MIN(10,AQ$173)))*(1+V_dPrecio))</f>
        <v>0</v>
      </c>
      <c r="AR204" s="48" t="n">
        <f aca="false">IF(AR$8=1,IF(Reales!$C$40="PYG",IF(AR$10&gt;0,N(Reales!AR40)/AR$10,0),N(Reales!AR40)),AR$179*IF(AND(AND(39&gt;Corte,39&lt;=Corte+n_Ventana),ISNUMBER(Detalle_24m!AR$44)),Detalle_24m!AR$44,INDEX(Precio_V,3)*INDEX(IdxPrecio_V,1,MIN(10,AR$173)))*(1+V_dPrecio))</f>
        <v>0</v>
      </c>
      <c r="AS204" s="48" t="n">
        <f aca="false">IF(AS$8=1,IF(Reales!$C$40="PYG",IF(AS$10&gt;0,N(Reales!AS40)/AS$10,0),N(Reales!AS40)),AS$179*IF(AND(AND(40&gt;Corte,40&lt;=Corte+n_Ventana),ISNUMBER(Detalle_24m!AS$44)),Detalle_24m!AS$44,INDEX(Precio_V,3)*INDEX(IdxPrecio_V,1,MIN(10,AS$173)))*(1+V_dPrecio))</f>
        <v>0</v>
      </c>
      <c r="AT204" s="48" t="n">
        <f aca="false">IF(AT$8=1,IF(Reales!$C$40="PYG",IF(AT$10&gt;0,N(Reales!AT40)/AT$10,0),N(Reales!AT40)),AT$179*IF(AND(AND(41&gt;Corte,41&lt;=Corte+n_Ventana),ISNUMBER(Detalle_24m!AT$44)),Detalle_24m!AT$44,INDEX(Precio_V,3)*INDEX(IdxPrecio_V,1,MIN(10,AT$173)))*(1+V_dPrecio))</f>
        <v>0</v>
      </c>
      <c r="AU204" s="48" t="n">
        <f aca="false">IF(AU$8=1,IF(Reales!$C$40="PYG",IF(AU$10&gt;0,N(Reales!AU40)/AU$10,0),N(Reales!AU40)),AU$179*IF(AND(AND(42&gt;Corte,42&lt;=Corte+n_Ventana),ISNUMBER(Detalle_24m!AU$44)),Detalle_24m!AU$44,INDEX(Precio_V,3)*INDEX(IdxPrecio_V,1,MIN(10,AU$173)))*(1+V_dPrecio))</f>
        <v>0</v>
      </c>
      <c r="AV204" s="48" t="n">
        <f aca="false">IF(AV$8=1,IF(Reales!$C$40="PYG",IF(AV$10&gt;0,N(Reales!AV40)/AV$10,0),N(Reales!AV40)),AV$179*IF(AND(AND(43&gt;Corte,43&lt;=Corte+n_Ventana),ISNUMBER(Detalle_24m!AV$44)),Detalle_24m!AV$44,INDEX(Precio_V,3)*INDEX(IdxPrecio_V,1,MIN(10,AV$173)))*(1+V_dPrecio))</f>
        <v>0</v>
      </c>
      <c r="AW204" s="48" t="n">
        <f aca="false">IF(AW$8=1,IF(Reales!$C$40="PYG",IF(AW$10&gt;0,N(Reales!AW40)/AW$10,0),N(Reales!AW40)),AW$179*IF(AND(AND(44&gt;Corte,44&lt;=Corte+n_Ventana),ISNUMBER(Detalle_24m!AW$44)),Detalle_24m!AW$44,INDEX(Precio_V,3)*INDEX(IdxPrecio_V,1,MIN(10,AW$173)))*(1+V_dPrecio))</f>
        <v>0</v>
      </c>
      <c r="AX204" s="48" t="n">
        <f aca="false">IF(AX$8=1,IF(Reales!$C$40="PYG",IF(AX$10&gt;0,N(Reales!AX40)/AX$10,0),N(Reales!AX40)),AX$179*IF(AND(AND(45&gt;Corte,45&lt;=Corte+n_Ventana),ISNUMBER(Detalle_24m!AX$44)),Detalle_24m!AX$44,INDEX(Precio_V,3)*INDEX(IdxPrecio_V,1,MIN(10,AX$173)))*(1+V_dPrecio))</f>
        <v>0</v>
      </c>
      <c r="AY204" s="48" t="n">
        <f aca="false">IF(AY$8=1,IF(Reales!$C$40="PYG",IF(AY$10&gt;0,N(Reales!AY40)/AY$10,0),N(Reales!AY40)),AY$179*IF(AND(AND(46&gt;Corte,46&lt;=Corte+n_Ventana),ISNUMBER(Detalle_24m!AY$44)),Detalle_24m!AY$44,INDEX(Precio_V,3)*INDEX(IdxPrecio_V,1,MIN(10,AY$173)))*(1+V_dPrecio))</f>
        <v>0</v>
      </c>
      <c r="AZ204" s="48" t="n">
        <f aca="false">IF(AZ$8=1,IF(Reales!$C$40="PYG",IF(AZ$10&gt;0,N(Reales!AZ40)/AZ$10,0),N(Reales!AZ40)),AZ$179*IF(AND(AND(47&gt;Corte,47&lt;=Corte+n_Ventana),ISNUMBER(Detalle_24m!AZ$44)),Detalle_24m!AZ$44,INDEX(Precio_V,3)*INDEX(IdxPrecio_V,1,MIN(10,AZ$173)))*(1+V_dPrecio))</f>
        <v>0</v>
      </c>
      <c r="BA204" s="48" t="n">
        <f aca="false">IF(BA$8=1,IF(Reales!$C$40="PYG",IF(BA$10&gt;0,N(Reales!BA40)/BA$10,0),N(Reales!BA40)),BA$179*IF(AND(AND(48&gt;Corte,48&lt;=Corte+n_Ventana),ISNUMBER(Detalle_24m!BA$44)),Detalle_24m!BA$44,INDEX(Precio_V,3)*INDEX(IdxPrecio_V,1,MIN(10,BA$173)))*(1+V_dPrecio))</f>
        <v>0</v>
      </c>
      <c r="BB204" s="48" t="n">
        <f aca="false">IF(BB$8=1,IF(Reales!$C$40="PYG",IF(BB$10&gt;0,N(Reales!BB40)/BB$10,0),N(Reales!BB40)),BB$179*IF(AND(AND(49&gt;Corte,49&lt;=Corte+n_Ventana),ISNUMBER(Detalle_24m!BB$44)),Detalle_24m!BB$44,INDEX(Precio_V,3)*INDEX(IdxPrecio_V,1,MIN(10,BB$173)))*(1+V_dPrecio))</f>
        <v>0</v>
      </c>
      <c r="BC204" s="48" t="n">
        <f aca="false">IF(BC$8=1,IF(Reales!$C$40="PYG",IF(BC$10&gt;0,N(Reales!BC40)/BC$10,0),N(Reales!BC40)),BC$179*IF(AND(AND(50&gt;Corte,50&lt;=Corte+n_Ventana),ISNUMBER(Detalle_24m!BC$44)),Detalle_24m!BC$44,INDEX(Precio_V,3)*INDEX(IdxPrecio_V,1,MIN(10,BC$173)))*(1+V_dPrecio))</f>
        <v>0</v>
      </c>
      <c r="BD204" s="48" t="n">
        <f aca="false">IF(BD$8=1,IF(Reales!$C$40="PYG",IF(BD$10&gt;0,N(Reales!BD40)/BD$10,0),N(Reales!BD40)),BD$179*IF(AND(AND(51&gt;Corte,51&lt;=Corte+n_Ventana),ISNUMBER(Detalle_24m!BD$44)),Detalle_24m!BD$44,INDEX(Precio_V,3)*INDEX(IdxPrecio_V,1,MIN(10,BD$173)))*(1+V_dPrecio))</f>
        <v>0</v>
      </c>
      <c r="BE204" s="48" t="n">
        <f aca="false">IF(BE$8=1,IF(Reales!$C$40="PYG",IF(BE$10&gt;0,N(Reales!BE40)/BE$10,0),N(Reales!BE40)),BE$179*IF(AND(AND(52&gt;Corte,52&lt;=Corte+n_Ventana),ISNUMBER(Detalle_24m!BE$44)),Detalle_24m!BE$44,INDEX(Precio_V,3)*INDEX(IdxPrecio_V,1,MIN(10,BE$173)))*(1+V_dPrecio))</f>
        <v>0</v>
      </c>
      <c r="BF204" s="48" t="n">
        <f aca="false">IF(BF$8=1,IF(Reales!$C$40="PYG",IF(BF$10&gt;0,N(Reales!BF40)/BF$10,0),N(Reales!BF40)),BF$179*IF(AND(AND(53&gt;Corte,53&lt;=Corte+n_Ventana),ISNUMBER(Detalle_24m!BF$44)),Detalle_24m!BF$44,INDEX(Precio_V,3)*INDEX(IdxPrecio_V,1,MIN(10,BF$173)))*(1+V_dPrecio))</f>
        <v>0</v>
      </c>
      <c r="BG204" s="48" t="n">
        <f aca="false">IF(BG$8=1,IF(Reales!$C$40="PYG",IF(BG$10&gt;0,N(Reales!BG40)/BG$10,0),N(Reales!BG40)),BG$179*IF(AND(AND(54&gt;Corte,54&lt;=Corte+n_Ventana),ISNUMBER(Detalle_24m!BG$44)),Detalle_24m!BG$44,INDEX(Precio_V,3)*INDEX(IdxPrecio_V,1,MIN(10,BG$173)))*(1+V_dPrecio))</f>
        <v>0</v>
      </c>
      <c r="BH204" s="48" t="n">
        <f aca="false">IF(BH$8=1,IF(Reales!$C$40="PYG",IF(BH$10&gt;0,N(Reales!BH40)/BH$10,0),N(Reales!BH40)),BH$179*IF(AND(AND(55&gt;Corte,55&lt;=Corte+n_Ventana),ISNUMBER(Detalle_24m!BH$44)),Detalle_24m!BH$44,INDEX(Precio_V,3)*INDEX(IdxPrecio_V,1,MIN(10,BH$173)))*(1+V_dPrecio))</f>
        <v>0</v>
      </c>
      <c r="BI204" s="48" t="n">
        <f aca="false">IF(BI$8=1,IF(Reales!$C$40="PYG",IF(BI$10&gt;0,N(Reales!BI40)/BI$10,0),N(Reales!BI40)),BI$179*IF(AND(AND(56&gt;Corte,56&lt;=Corte+n_Ventana),ISNUMBER(Detalle_24m!BI$44)),Detalle_24m!BI$44,INDEX(Precio_V,3)*INDEX(IdxPrecio_V,1,MIN(10,BI$173)))*(1+V_dPrecio))</f>
        <v>0</v>
      </c>
      <c r="BJ204" s="48" t="n">
        <f aca="false">IF(BJ$8=1,IF(Reales!$C$40="PYG",IF(BJ$10&gt;0,N(Reales!BJ40)/BJ$10,0),N(Reales!BJ40)),BJ$179*IF(AND(AND(57&gt;Corte,57&lt;=Corte+n_Ventana),ISNUMBER(Detalle_24m!BJ$44)),Detalle_24m!BJ$44,INDEX(Precio_V,3)*INDEX(IdxPrecio_V,1,MIN(10,BJ$173)))*(1+V_dPrecio))</f>
        <v>0</v>
      </c>
      <c r="BK204" s="48" t="n">
        <f aca="false">IF(BK$8=1,IF(Reales!$C$40="PYG",IF(BK$10&gt;0,N(Reales!BK40)/BK$10,0),N(Reales!BK40)),BK$179*IF(AND(AND(58&gt;Corte,58&lt;=Corte+n_Ventana),ISNUMBER(Detalle_24m!BK$44)),Detalle_24m!BK$44,INDEX(Precio_V,3)*INDEX(IdxPrecio_V,1,MIN(10,BK$173)))*(1+V_dPrecio))</f>
        <v>0</v>
      </c>
      <c r="BL204" s="48" t="n">
        <f aca="false">IF(BL$8=1,IF(Reales!$C$40="PYG",IF(BL$10&gt;0,N(Reales!BL40)/BL$10,0),N(Reales!BL40)),BL$179*IF(AND(AND(59&gt;Corte,59&lt;=Corte+n_Ventana),ISNUMBER(Detalle_24m!BL$44)),Detalle_24m!BL$44,INDEX(Precio_V,3)*INDEX(IdxPrecio_V,1,MIN(10,BL$173)))*(1+V_dPrecio))</f>
        <v>0</v>
      </c>
      <c r="BM204" s="48" t="n">
        <f aca="false">IF(BM$8=1,IF(Reales!$C$40="PYG",IF(BM$10&gt;0,N(Reales!BM40)/BM$10,0),N(Reales!BM40)),BM$179*IF(AND(AND(60&gt;Corte,60&lt;=Corte+n_Ventana),ISNUMBER(Detalle_24m!BM$44)),Detalle_24m!BM$44,INDEX(Precio_V,3)*INDEX(IdxPrecio_V,1,MIN(10,BM$173)))*(1+V_dPrecio))</f>
        <v>0</v>
      </c>
      <c r="BN204" s="48" t="n">
        <f aca="false">IF(BN$8=1,IF(Reales!$C$40="PYG",IF(BN$10&gt;0,N(Reales!BN40)/BN$10,0),N(Reales!BN40)),BN$179*IF(AND(AND(61&gt;Corte,61&lt;=Corte+n_Ventana),ISNUMBER(Detalle_24m!BN$44)),Detalle_24m!BN$44,INDEX(Precio_V,3)*INDEX(IdxPrecio_V,1,MIN(10,BN$173)))*(1+V_dPrecio))</f>
        <v>0</v>
      </c>
      <c r="BO204" s="48" t="n">
        <f aca="false">IF(BO$8=1,IF(Reales!$C$40="PYG",IF(BO$10&gt;0,N(Reales!BO40)/BO$10,0),N(Reales!BO40)),BO$179*IF(AND(AND(62&gt;Corte,62&lt;=Corte+n_Ventana),ISNUMBER(Detalle_24m!BO$44)),Detalle_24m!BO$44,INDEX(Precio_V,3)*INDEX(IdxPrecio_V,1,MIN(10,BO$173)))*(1+V_dPrecio))</f>
        <v>0</v>
      </c>
      <c r="BP204" s="48" t="n">
        <f aca="false">IF(BP$8=1,IF(Reales!$C$40="PYG",IF(BP$10&gt;0,N(Reales!BP40)/BP$10,0),N(Reales!BP40)),BP$179*IF(AND(AND(63&gt;Corte,63&lt;=Corte+n_Ventana),ISNUMBER(Detalle_24m!BP$44)),Detalle_24m!BP$44,INDEX(Precio_V,3)*INDEX(IdxPrecio_V,1,MIN(10,BP$173)))*(1+V_dPrecio))</f>
        <v>0</v>
      </c>
      <c r="BQ204" s="48" t="n">
        <f aca="false">IF(BQ$8=1,IF(Reales!$C$40="PYG",IF(BQ$10&gt;0,N(Reales!BQ40)/BQ$10,0),N(Reales!BQ40)),BQ$179*IF(AND(AND(64&gt;Corte,64&lt;=Corte+n_Ventana),ISNUMBER(Detalle_24m!BQ$44)),Detalle_24m!BQ$44,INDEX(Precio_V,3)*INDEX(IdxPrecio_V,1,MIN(10,BQ$173)))*(1+V_dPrecio))</f>
        <v>0</v>
      </c>
      <c r="BR204" s="48" t="n">
        <f aca="false">IF(BR$8=1,IF(Reales!$C$40="PYG",IF(BR$10&gt;0,N(Reales!BR40)/BR$10,0),N(Reales!BR40)),BR$179*IF(AND(AND(65&gt;Corte,65&lt;=Corte+n_Ventana),ISNUMBER(Detalle_24m!BR$44)),Detalle_24m!BR$44,INDEX(Precio_V,3)*INDEX(IdxPrecio_V,1,MIN(10,BR$173)))*(1+V_dPrecio))</f>
        <v>0</v>
      </c>
      <c r="BS204" s="48" t="n">
        <f aca="false">IF(BS$8=1,IF(Reales!$C$40="PYG",IF(BS$10&gt;0,N(Reales!BS40)/BS$10,0),N(Reales!BS40)),BS$179*IF(AND(AND(66&gt;Corte,66&lt;=Corte+n_Ventana),ISNUMBER(Detalle_24m!BS$44)),Detalle_24m!BS$44,INDEX(Precio_V,3)*INDEX(IdxPrecio_V,1,MIN(10,BS$173)))*(1+V_dPrecio))</f>
        <v>0</v>
      </c>
      <c r="BT204" s="48" t="n">
        <f aca="false">IF(BT$8=1,IF(Reales!$C$40="PYG",IF(BT$10&gt;0,N(Reales!BT40)/BT$10,0),N(Reales!BT40)),BT$179*IF(AND(AND(67&gt;Corte,67&lt;=Corte+n_Ventana),ISNUMBER(Detalle_24m!BT$44)),Detalle_24m!BT$44,INDEX(Precio_V,3)*INDEX(IdxPrecio_V,1,MIN(10,BT$173)))*(1+V_dPrecio))</f>
        <v>0</v>
      </c>
      <c r="BU204" s="48" t="n">
        <f aca="false">IF(BU$8=1,IF(Reales!$C$40="PYG",IF(BU$10&gt;0,N(Reales!BU40)/BU$10,0),N(Reales!BU40)),BU$179*IF(AND(AND(68&gt;Corte,68&lt;=Corte+n_Ventana),ISNUMBER(Detalle_24m!BU$44)),Detalle_24m!BU$44,INDEX(Precio_V,3)*INDEX(IdxPrecio_V,1,MIN(10,BU$173)))*(1+V_dPrecio))</f>
        <v>0</v>
      </c>
      <c r="BV204" s="48" t="n">
        <f aca="false">IF(BV$8=1,IF(Reales!$C$40="PYG",IF(BV$10&gt;0,N(Reales!BV40)/BV$10,0),N(Reales!BV40)),BV$179*IF(AND(AND(69&gt;Corte,69&lt;=Corte+n_Ventana),ISNUMBER(Detalle_24m!BV$44)),Detalle_24m!BV$44,INDEX(Precio_V,3)*INDEX(IdxPrecio_V,1,MIN(10,BV$173)))*(1+V_dPrecio))</f>
        <v>0</v>
      </c>
      <c r="BW204" s="48" t="n">
        <f aca="false">IF(BW$8=1,IF(Reales!$C$40="PYG",IF(BW$10&gt;0,N(Reales!BW40)/BW$10,0),N(Reales!BW40)),BW$179*IF(AND(AND(70&gt;Corte,70&lt;=Corte+n_Ventana),ISNUMBER(Detalle_24m!BW$44)),Detalle_24m!BW$44,INDEX(Precio_V,3)*INDEX(IdxPrecio_V,1,MIN(10,BW$173)))*(1+V_dPrecio))</f>
        <v>0</v>
      </c>
      <c r="BX204" s="48" t="n">
        <f aca="false">IF(BX$8=1,IF(Reales!$C$40="PYG",IF(BX$10&gt;0,N(Reales!BX40)/BX$10,0),N(Reales!BX40)),BX$179*IF(AND(AND(71&gt;Corte,71&lt;=Corte+n_Ventana),ISNUMBER(Detalle_24m!BX$44)),Detalle_24m!BX$44,INDEX(Precio_V,3)*INDEX(IdxPrecio_V,1,MIN(10,BX$173)))*(1+V_dPrecio))</f>
        <v>0</v>
      </c>
      <c r="BY204" s="48" t="n">
        <f aca="false">IF(BY$8=1,IF(Reales!$C$40="PYG",IF(BY$10&gt;0,N(Reales!BY40)/BY$10,0),N(Reales!BY40)),BY$179*IF(AND(AND(72&gt;Corte,72&lt;=Corte+n_Ventana),ISNUMBER(Detalle_24m!BY$44)),Detalle_24m!BY$44,INDEX(Precio_V,3)*INDEX(IdxPrecio_V,1,MIN(10,BY$173)))*(1+V_dPrecio))</f>
        <v>0</v>
      </c>
      <c r="BZ204" s="48" t="n">
        <f aca="false">IF(BZ$8=1,IF(Reales!$C$40="PYG",IF(BZ$10&gt;0,N(Reales!BZ40)/BZ$10,0),N(Reales!BZ40)),BZ$179*IF(AND(AND(73&gt;Corte,73&lt;=Corte+n_Ventana),ISNUMBER(Detalle_24m!BZ$44)),Detalle_24m!BZ$44,INDEX(Precio_V,3)*INDEX(IdxPrecio_V,1,MIN(10,BZ$173)))*(1+V_dPrecio))</f>
        <v>0</v>
      </c>
      <c r="CA204" s="48" t="n">
        <f aca="false">IF(CA$8=1,IF(Reales!$C$40="PYG",IF(CA$10&gt;0,N(Reales!CA40)/CA$10,0),N(Reales!CA40)),CA$179*IF(AND(AND(74&gt;Corte,74&lt;=Corte+n_Ventana),ISNUMBER(Detalle_24m!CA$44)),Detalle_24m!CA$44,INDEX(Precio_V,3)*INDEX(IdxPrecio_V,1,MIN(10,CA$173)))*(1+V_dPrecio))</f>
        <v>0</v>
      </c>
      <c r="CB204" s="48" t="n">
        <f aca="false">IF(CB$8=1,IF(Reales!$C$40="PYG",IF(CB$10&gt;0,N(Reales!CB40)/CB$10,0),N(Reales!CB40)),CB$179*IF(AND(AND(75&gt;Corte,75&lt;=Corte+n_Ventana),ISNUMBER(Detalle_24m!CB$44)),Detalle_24m!CB$44,INDEX(Precio_V,3)*INDEX(IdxPrecio_V,1,MIN(10,CB$173)))*(1+V_dPrecio))</f>
        <v>0</v>
      </c>
      <c r="CC204" s="48" t="n">
        <f aca="false">IF(CC$8=1,IF(Reales!$C$40="PYG",IF(CC$10&gt;0,N(Reales!CC40)/CC$10,0),N(Reales!CC40)),CC$179*IF(AND(AND(76&gt;Corte,76&lt;=Corte+n_Ventana),ISNUMBER(Detalle_24m!CC$44)),Detalle_24m!CC$44,INDEX(Precio_V,3)*INDEX(IdxPrecio_V,1,MIN(10,CC$173)))*(1+V_dPrecio))</f>
        <v>0</v>
      </c>
      <c r="CD204" s="48" t="n">
        <f aca="false">IF(CD$8=1,IF(Reales!$C$40="PYG",IF(CD$10&gt;0,N(Reales!CD40)/CD$10,0),N(Reales!CD40)),CD$179*IF(AND(AND(77&gt;Corte,77&lt;=Corte+n_Ventana),ISNUMBER(Detalle_24m!CD$44)),Detalle_24m!CD$44,INDEX(Precio_V,3)*INDEX(IdxPrecio_V,1,MIN(10,CD$173)))*(1+V_dPrecio))</f>
        <v>0</v>
      </c>
      <c r="CE204" s="48" t="n">
        <f aca="false">IF(CE$8=1,IF(Reales!$C$40="PYG",IF(CE$10&gt;0,N(Reales!CE40)/CE$10,0),N(Reales!CE40)),CE$179*IF(AND(AND(78&gt;Corte,78&lt;=Corte+n_Ventana),ISNUMBER(Detalle_24m!CE$44)),Detalle_24m!CE$44,INDEX(Precio_V,3)*INDEX(IdxPrecio_V,1,MIN(10,CE$173)))*(1+V_dPrecio))</f>
        <v>0</v>
      </c>
      <c r="CF204" s="48" t="n">
        <f aca="false">IF(CF$8=1,IF(Reales!$C$40="PYG",IF(CF$10&gt;0,N(Reales!CF40)/CF$10,0),N(Reales!CF40)),CF$179*IF(AND(AND(79&gt;Corte,79&lt;=Corte+n_Ventana),ISNUMBER(Detalle_24m!CF$44)),Detalle_24m!CF$44,INDEX(Precio_V,3)*INDEX(IdxPrecio_V,1,MIN(10,CF$173)))*(1+V_dPrecio))</f>
        <v>0</v>
      </c>
      <c r="CG204" s="48" t="n">
        <f aca="false">IF(CG$8=1,IF(Reales!$C$40="PYG",IF(CG$10&gt;0,N(Reales!CG40)/CG$10,0),N(Reales!CG40)),CG$179*IF(AND(AND(80&gt;Corte,80&lt;=Corte+n_Ventana),ISNUMBER(Detalle_24m!CG$44)),Detalle_24m!CG$44,INDEX(Precio_V,3)*INDEX(IdxPrecio_V,1,MIN(10,CG$173)))*(1+V_dPrecio))</f>
        <v>0</v>
      </c>
      <c r="CH204" s="48" t="n">
        <f aca="false">IF(CH$8=1,IF(Reales!$C$40="PYG",IF(CH$10&gt;0,N(Reales!CH40)/CH$10,0),N(Reales!CH40)),CH$179*IF(AND(AND(81&gt;Corte,81&lt;=Corte+n_Ventana),ISNUMBER(Detalle_24m!CH$44)),Detalle_24m!CH$44,INDEX(Precio_V,3)*INDEX(IdxPrecio_V,1,MIN(10,CH$173)))*(1+V_dPrecio))</f>
        <v>0</v>
      </c>
      <c r="CI204" s="48" t="n">
        <f aca="false">IF(CI$8=1,IF(Reales!$C$40="PYG",IF(CI$10&gt;0,N(Reales!CI40)/CI$10,0),N(Reales!CI40)),CI$179*IF(AND(AND(82&gt;Corte,82&lt;=Corte+n_Ventana),ISNUMBER(Detalle_24m!CI$44)),Detalle_24m!CI$44,INDEX(Precio_V,3)*INDEX(IdxPrecio_V,1,MIN(10,CI$173)))*(1+V_dPrecio))</f>
        <v>0</v>
      </c>
      <c r="CJ204" s="48" t="n">
        <f aca="false">IF(CJ$8=1,IF(Reales!$C$40="PYG",IF(CJ$10&gt;0,N(Reales!CJ40)/CJ$10,0),N(Reales!CJ40)),CJ$179*IF(AND(AND(83&gt;Corte,83&lt;=Corte+n_Ventana),ISNUMBER(Detalle_24m!CJ$44)),Detalle_24m!CJ$44,INDEX(Precio_V,3)*INDEX(IdxPrecio_V,1,MIN(10,CJ$173)))*(1+V_dPrecio))</f>
        <v>0</v>
      </c>
      <c r="CK204" s="48" t="n">
        <f aca="false">IF(CK$8=1,IF(Reales!$C$40="PYG",IF(CK$10&gt;0,N(Reales!CK40)/CK$10,0),N(Reales!CK40)),CK$179*IF(AND(AND(84&gt;Corte,84&lt;=Corte+n_Ventana),ISNUMBER(Detalle_24m!CK$44)),Detalle_24m!CK$44,INDEX(Precio_V,3)*INDEX(IdxPrecio_V,1,MIN(10,CK$173)))*(1+V_dPrecio))</f>
        <v>0</v>
      </c>
      <c r="CL204" s="48" t="n">
        <f aca="false">IF(CL$8=1,IF(Reales!$C$40="PYG",IF(CL$10&gt;0,N(Reales!CL40)/CL$10,0),N(Reales!CL40)),CL$179*IF(AND(AND(85&gt;Corte,85&lt;=Corte+n_Ventana),ISNUMBER(Detalle_24m!CL$44)),Detalle_24m!CL$44,INDEX(Precio_V,3)*INDEX(IdxPrecio_V,1,MIN(10,CL$173)))*(1+V_dPrecio))</f>
        <v>0</v>
      </c>
      <c r="CM204" s="48" t="n">
        <f aca="false">IF(CM$8=1,IF(Reales!$C$40="PYG",IF(CM$10&gt;0,N(Reales!CM40)/CM$10,0),N(Reales!CM40)),CM$179*IF(AND(AND(86&gt;Corte,86&lt;=Corte+n_Ventana),ISNUMBER(Detalle_24m!CM$44)),Detalle_24m!CM$44,INDEX(Precio_V,3)*INDEX(IdxPrecio_V,1,MIN(10,CM$173)))*(1+V_dPrecio))</f>
        <v>0</v>
      </c>
      <c r="CN204" s="48" t="n">
        <f aca="false">IF(CN$8=1,IF(Reales!$C$40="PYG",IF(CN$10&gt;0,N(Reales!CN40)/CN$10,0),N(Reales!CN40)),CN$179*IF(AND(AND(87&gt;Corte,87&lt;=Corte+n_Ventana),ISNUMBER(Detalle_24m!CN$44)),Detalle_24m!CN$44,INDEX(Precio_V,3)*INDEX(IdxPrecio_V,1,MIN(10,CN$173)))*(1+V_dPrecio))</f>
        <v>0</v>
      </c>
      <c r="CO204" s="48" t="n">
        <f aca="false">IF(CO$8=1,IF(Reales!$C$40="PYG",IF(CO$10&gt;0,N(Reales!CO40)/CO$10,0),N(Reales!CO40)),CO$179*IF(AND(AND(88&gt;Corte,88&lt;=Corte+n_Ventana),ISNUMBER(Detalle_24m!CO$44)),Detalle_24m!CO$44,INDEX(Precio_V,3)*INDEX(IdxPrecio_V,1,MIN(10,CO$173)))*(1+V_dPrecio))</f>
        <v>0</v>
      </c>
      <c r="CP204" s="48" t="n">
        <f aca="false">IF(CP$8=1,IF(Reales!$C$40="PYG",IF(CP$10&gt;0,N(Reales!CP40)/CP$10,0),N(Reales!CP40)),CP$179*IF(AND(AND(89&gt;Corte,89&lt;=Corte+n_Ventana),ISNUMBER(Detalle_24m!CP$44)),Detalle_24m!CP$44,INDEX(Precio_V,3)*INDEX(IdxPrecio_V,1,MIN(10,CP$173)))*(1+V_dPrecio))</f>
        <v>0</v>
      </c>
      <c r="CQ204" s="48" t="n">
        <f aca="false">IF(CQ$8=1,IF(Reales!$C$40="PYG",IF(CQ$10&gt;0,N(Reales!CQ40)/CQ$10,0),N(Reales!CQ40)),CQ$179*IF(AND(AND(90&gt;Corte,90&lt;=Corte+n_Ventana),ISNUMBER(Detalle_24m!CQ$44)),Detalle_24m!CQ$44,INDEX(Precio_V,3)*INDEX(IdxPrecio_V,1,MIN(10,CQ$173)))*(1+V_dPrecio))</f>
        <v>0</v>
      </c>
      <c r="CR204" s="48" t="n">
        <f aca="false">IF(CR$8=1,IF(Reales!$C$40="PYG",IF(CR$10&gt;0,N(Reales!CR40)/CR$10,0),N(Reales!CR40)),CR$179*IF(AND(AND(91&gt;Corte,91&lt;=Corte+n_Ventana),ISNUMBER(Detalle_24m!CR$44)),Detalle_24m!CR$44,INDEX(Precio_V,3)*INDEX(IdxPrecio_V,1,MIN(10,CR$173)))*(1+V_dPrecio))</f>
        <v>0</v>
      </c>
      <c r="CS204" s="48" t="n">
        <f aca="false">IF(CS$8=1,IF(Reales!$C$40="PYG",IF(CS$10&gt;0,N(Reales!CS40)/CS$10,0),N(Reales!CS40)),CS$179*IF(AND(AND(92&gt;Corte,92&lt;=Corte+n_Ventana),ISNUMBER(Detalle_24m!CS$44)),Detalle_24m!CS$44,INDEX(Precio_V,3)*INDEX(IdxPrecio_V,1,MIN(10,CS$173)))*(1+V_dPrecio))</f>
        <v>0</v>
      </c>
      <c r="CT204" s="48" t="n">
        <f aca="false">IF(CT$8=1,IF(Reales!$C$40="PYG",IF(CT$10&gt;0,N(Reales!CT40)/CT$10,0),N(Reales!CT40)),CT$179*IF(AND(AND(93&gt;Corte,93&lt;=Corte+n_Ventana),ISNUMBER(Detalle_24m!CT$44)),Detalle_24m!CT$44,INDEX(Precio_V,3)*INDEX(IdxPrecio_V,1,MIN(10,CT$173)))*(1+V_dPrecio))</f>
        <v>0</v>
      </c>
      <c r="CU204" s="48" t="n">
        <f aca="false">IF(CU$8=1,IF(Reales!$C$40="PYG",IF(CU$10&gt;0,N(Reales!CU40)/CU$10,0),N(Reales!CU40)),CU$179*IF(AND(AND(94&gt;Corte,94&lt;=Corte+n_Ventana),ISNUMBER(Detalle_24m!CU$44)),Detalle_24m!CU$44,INDEX(Precio_V,3)*INDEX(IdxPrecio_V,1,MIN(10,CU$173)))*(1+V_dPrecio))</f>
        <v>0</v>
      </c>
      <c r="CV204" s="48" t="n">
        <f aca="false">IF(CV$8=1,IF(Reales!$C$40="PYG",IF(CV$10&gt;0,N(Reales!CV40)/CV$10,0),N(Reales!CV40)),CV$179*IF(AND(AND(95&gt;Corte,95&lt;=Corte+n_Ventana),ISNUMBER(Detalle_24m!CV$44)),Detalle_24m!CV$44,INDEX(Precio_V,3)*INDEX(IdxPrecio_V,1,MIN(10,CV$173)))*(1+V_dPrecio))</f>
        <v>0</v>
      </c>
      <c r="CW204" s="48" t="n">
        <f aca="false">IF(CW$8=1,IF(Reales!$C$40="PYG",IF(CW$10&gt;0,N(Reales!CW40)/CW$10,0),N(Reales!CW40)),CW$179*IF(AND(AND(96&gt;Corte,96&lt;=Corte+n_Ventana),ISNUMBER(Detalle_24m!CW$44)),Detalle_24m!CW$44,INDEX(Precio_V,3)*INDEX(IdxPrecio_V,1,MIN(10,CW$173)))*(1+V_dPrecio))</f>
        <v>0</v>
      </c>
      <c r="CX204" s="48" t="n">
        <f aca="false">IF(CX$8=1,IF(Reales!$C$40="PYG",IF(CX$10&gt;0,N(Reales!CX40)/CX$10,0),N(Reales!CX40)),CX$179*IF(AND(AND(97&gt;Corte,97&lt;=Corte+n_Ventana),ISNUMBER(Detalle_24m!CX$44)),Detalle_24m!CX$44,INDEX(Precio_V,3)*INDEX(IdxPrecio_V,1,MIN(10,CX$173)))*(1+V_dPrecio))</f>
        <v>0</v>
      </c>
      <c r="CY204" s="48" t="n">
        <f aca="false">IF(CY$8=1,IF(Reales!$C$40="PYG",IF(CY$10&gt;0,N(Reales!CY40)/CY$10,0),N(Reales!CY40)),CY$179*IF(AND(AND(98&gt;Corte,98&lt;=Corte+n_Ventana),ISNUMBER(Detalle_24m!CY$44)),Detalle_24m!CY$44,INDEX(Precio_V,3)*INDEX(IdxPrecio_V,1,MIN(10,CY$173)))*(1+V_dPrecio))</f>
        <v>0</v>
      </c>
      <c r="CZ204" s="48" t="n">
        <f aca="false">IF(CZ$8=1,IF(Reales!$C$40="PYG",IF(CZ$10&gt;0,N(Reales!CZ40)/CZ$10,0),N(Reales!CZ40)),CZ$179*IF(AND(AND(99&gt;Corte,99&lt;=Corte+n_Ventana),ISNUMBER(Detalle_24m!CZ$44)),Detalle_24m!CZ$44,INDEX(Precio_V,3)*INDEX(IdxPrecio_V,1,MIN(10,CZ$173)))*(1+V_dPrecio))</f>
        <v>0</v>
      </c>
      <c r="DA204" s="48" t="n">
        <f aca="false">IF(DA$8=1,IF(Reales!$C$40="PYG",IF(DA$10&gt;0,N(Reales!DA40)/DA$10,0),N(Reales!DA40)),DA$179*IF(AND(AND(100&gt;Corte,100&lt;=Corte+n_Ventana),ISNUMBER(Detalle_24m!DA$44)),Detalle_24m!DA$44,INDEX(Precio_V,3)*INDEX(IdxPrecio_V,1,MIN(10,DA$173)))*(1+V_dPrecio))</f>
        <v>0</v>
      </c>
      <c r="DB204" s="48" t="n">
        <f aca="false">IF(DB$8=1,IF(Reales!$C$40="PYG",IF(DB$10&gt;0,N(Reales!DB40)/DB$10,0),N(Reales!DB40)),DB$179*IF(AND(AND(101&gt;Corte,101&lt;=Corte+n_Ventana),ISNUMBER(Detalle_24m!DB$44)),Detalle_24m!DB$44,INDEX(Precio_V,3)*INDEX(IdxPrecio_V,1,MIN(10,DB$173)))*(1+V_dPrecio))</f>
        <v>0</v>
      </c>
      <c r="DC204" s="48" t="n">
        <f aca="false">IF(DC$8=1,IF(Reales!$C$40="PYG",IF(DC$10&gt;0,N(Reales!DC40)/DC$10,0),N(Reales!DC40)),DC$179*IF(AND(AND(102&gt;Corte,102&lt;=Corte+n_Ventana),ISNUMBER(Detalle_24m!DC$44)),Detalle_24m!DC$44,INDEX(Precio_V,3)*INDEX(IdxPrecio_V,1,MIN(10,DC$173)))*(1+V_dPrecio))</f>
        <v>0</v>
      </c>
      <c r="DD204" s="48" t="n">
        <f aca="false">IF(DD$8=1,IF(Reales!$C$40="PYG",IF(DD$10&gt;0,N(Reales!DD40)/DD$10,0),N(Reales!DD40)),DD$179*IF(AND(AND(103&gt;Corte,103&lt;=Corte+n_Ventana),ISNUMBER(Detalle_24m!DD$44)),Detalle_24m!DD$44,INDEX(Precio_V,3)*INDEX(IdxPrecio_V,1,MIN(10,DD$173)))*(1+V_dPrecio))</f>
        <v>0</v>
      </c>
      <c r="DE204" s="48" t="n">
        <f aca="false">IF(DE$8=1,IF(Reales!$C$40="PYG",IF(DE$10&gt;0,N(Reales!DE40)/DE$10,0),N(Reales!DE40)),DE$179*IF(AND(AND(104&gt;Corte,104&lt;=Corte+n_Ventana),ISNUMBER(Detalle_24m!DE$44)),Detalle_24m!DE$44,INDEX(Precio_V,3)*INDEX(IdxPrecio_V,1,MIN(10,DE$173)))*(1+V_dPrecio))</f>
        <v>0</v>
      </c>
      <c r="DF204" s="48" t="n">
        <f aca="false">IF(DF$8=1,IF(Reales!$C$40="PYG",IF(DF$10&gt;0,N(Reales!DF40)/DF$10,0),N(Reales!DF40)),DF$179*IF(AND(AND(105&gt;Corte,105&lt;=Corte+n_Ventana),ISNUMBER(Detalle_24m!DF$44)),Detalle_24m!DF$44,INDEX(Precio_V,3)*INDEX(IdxPrecio_V,1,MIN(10,DF$173)))*(1+V_dPrecio))</f>
        <v>0</v>
      </c>
      <c r="DG204" s="48" t="n">
        <f aca="false">IF(DG$8=1,IF(Reales!$C$40="PYG",IF(DG$10&gt;0,N(Reales!DG40)/DG$10,0),N(Reales!DG40)),DG$179*IF(AND(AND(106&gt;Corte,106&lt;=Corte+n_Ventana),ISNUMBER(Detalle_24m!DG$44)),Detalle_24m!DG$44,INDEX(Precio_V,3)*INDEX(IdxPrecio_V,1,MIN(10,DG$173)))*(1+V_dPrecio))</f>
        <v>0</v>
      </c>
      <c r="DH204" s="48" t="n">
        <f aca="false">IF(DH$8=1,IF(Reales!$C$40="PYG",IF(DH$10&gt;0,N(Reales!DH40)/DH$10,0),N(Reales!DH40)),DH$179*IF(AND(AND(107&gt;Corte,107&lt;=Corte+n_Ventana),ISNUMBER(Detalle_24m!DH$44)),Detalle_24m!DH$44,INDEX(Precio_V,3)*INDEX(IdxPrecio_V,1,MIN(10,DH$173)))*(1+V_dPrecio))</f>
        <v>0</v>
      </c>
      <c r="DI204" s="48" t="n">
        <f aca="false">IF(DI$8=1,IF(Reales!$C$40="PYG",IF(DI$10&gt;0,N(Reales!DI40)/DI$10,0),N(Reales!DI40)),DI$179*IF(AND(AND(108&gt;Corte,108&lt;=Corte+n_Ventana),ISNUMBER(Detalle_24m!DI$44)),Detalle_24m!DI$44,INDEX(Precio_V,3)*INDEX(IdxPrecio_V,1,MIN(10,DI$173)))*(1+V_dPrecio))</f>
        <v>0</v>
      </c>
      <c r="DJ204" s="48" t="n">
        <f aca="false">IF(DJ$8=1,IF(Reales!$C$40="PYG",IF(DJ$10&gt;0,N(Reales!DJ40)/DJ$10,0),N(Reales!DJ40)),DJ$179*IF(AND(AND(109&gt;Corte,109&lt;=Corte+n_Ventana),ISNUMBER(Detalle_24m!DJ$44)),Detalle_24m!DJ$44,INDEX(Precio_V,3)*INDEX(IdxPrecio_V,1,MIN(10,DJ$173)))*(1+V_dPrecio))</f>
        <v>0</v>
      </c>
      <c r="DK204" s="48" t="n">
        <f aca="false">IF(DK$8=1,IF(Reales!$C$40="PYG",IF(DK$10&gt;0,N(Reales!DK40)/DK$10,0),N(Reales!DK40)),DK$179*IF(AND(AND(110&gt;Corte,110&lt;=Corte+n_Ventana),ISNUMBER(Detalle_24m!DK$44)),Detalle_24m!DK$44,INDEX(Precio_V,3)*INDEX(IdxPrecio_V,1,MIN(10,DK$173)))*(1+V_dPrecio))</f>
        <v>0</v>
      </c>
      <c r="DL204" s="48" t="n">
        <f aca="false">IF(DL$8=1,IF(Reales!$C$40="PYG",IF(DL$10&gt;0,N(Reales!DL40)/DL$10,0),N(Reales!DL40)),DL$179*IF(AND(AND(111&gt;Corte,111&lt;=Corte+n_Ventana),ISNUMBER(Detalle_24m!DL$44)),Detalle_24m!DL$44,INDEX(Precio_V,3)*INDEX(IdxPrecio_V,1,MIN(10,DL$173)))*(1+V_dPrecio))</f>
        <v>0</v>
      </c>
      <c r="DM204" s="48" t="n">
        <f aca="false">IF(DM$8=1,IF(Reales!$C$40="PYG",IF(DM$10&gt;0,N(Reales!DM40)/DM$10,0),N(Reales!DM40)),DM$179*IF(AND(AND(112&gt;Corte,112&lt;=Corte+n_Ventana),ISNUMBER(Detalle_24m!DM$44)),Detalle_24m!DM$44,INDEX(Precio_V,3)*INDEX(IdxPrecio_V,1,MIN(10,DM$173)))*(1+V_dPrecio))</f>
        <v>0</v>
      </c>
      <c r="DN204" s="48" t="n">
        <f aca="false">IF(DN$8=1,IF(Reales!$C$40="PYG",IF(DN$10&gt;0,N(Reales!DN40)/DN$10,0),N(Reales!DN40)),DN$179*IF(AND(AND(113&gt;Corte,113&lt;=Corte+n_Ventana),ISNUMBER(Detalle_24m!DN$44)),Detalle_24m!DN$44,INDEX(Precio_V,3)*INDEX(IdxPrecio_V,1,MIN(10,DN$173)))*(1+V_dPrecio))</f>
        <v>0</v>
      </c>
      <c r="DO204" s="48" t="n">
        <f aca="false">IF(DO$8=1,IF(Reales!$C$40="PYG",IF(DO$10&gt;0,N(Reales!DO40)/DO$10,0),N(Reales!DO40)),DO$179*IF(AND(AND(114&gt;Corte,114&lt;=Corte+n_Ventana),ISNUMBER(Detalle_24m!DO$44)),Detalle_24m!DO$44,INDEX(Precio_V,3)*INDEX(IdxPrecio_V,1,MIN(10,DO$173)))*(1+V_dPrecio))</f>
        <v>0</v>
      </c>
      <c r="DP204" s="48" t="n">
        <f aca="false">IF(DP$8=1,IF(Reales!$C$40="PYG",IF(DP$10&gt;0,N(Reales!DP40)/DP$10,0),N(Reales!DP40)),DP$179*IF(AND(AND(115&gt;Corte,115&lt;=Corte+n_Ventana),ISNUMBER(Detalle_24m!DP$44)),Detalle_24m!DP$44,INDEX(Precio_V,3)*INDEX(IdxPrecio_V,1,MIN(10,DP$173)))*(1+V_dPrecio))</f>
        <v>0</v>
      </c>
      <c r="DQ204" s="48" t="n">
        <f aca="false">IF(DQ$8=1,IF(Reales!$C$40="PYG",IF(DQ$10&gt;0,N(Reales!DQ40)/DQ$10,0),N(Reales!DQ40)),DQ$179*IF(AND(AND(116&gt;Corte,116&lt;=Corte+n_Ventana),ISNUMBER(Detalle_24m!DQ$44)),Detalle_24m!DQ$44,INDEX(Precio_V,3)*INDEX(IdxPrecio_V,1,MIN(10,DQ$173)))*(1+V_dPrecio))</f>
        <v>0</v>
      </c>
      <c r="DR204" s="48" t="n">
        <f aca="false">IF(DR$8=1,IF(Reales!$C$40="PYG",IF(DR$10&gt;0,N(Reales!DR40)/DR$10,0),N(Reales!DR40)),DR$179*IF(AND(AND(117&gt;Corte,117&lt;=Corte+n_Ventana),ISNUMBER(Detalle_24m!DR$44)),Detalle_24m!DR$44,INDEX(Precio_V,3)*INDEX(IdxPrecio_V,1,MIN(10,DR$173)))*(1+V_dPrecio))</f>
        <v>0</v>
      </c>
      <c r="DS204" s="48" t="n">
        <f aca="false">IF(DS$8=1,IF(Reales!$C$40="PYG",IF(DS$10&gt;0,N(Reales!DS40)/DS$10,0),N(Reales!DS40)),DS$179*IF(AND(AND(118&gt;Corte,118&lt;=Corte+n_Ventana),ISNUMBER(Detalle_24m!DS$44)),Detalle_24m!DS$44,INDEX(Precio_V,3)*INDEX(IdxPrecio_V,1,MIN(10,DS$173)))*(1+V_dPrecio))</f>
        <v>0</v>
      </c>
      <c r="DT204" s="48" t="n">
        <f aca="false">IF(DT$8=1,IF(Reales!$C$40="PYG",IF(DT$10&gt;0,N(Reales!DT40)/DT$10,0),N(Reales!DT40)),DT$179*IF(AND(AND(119&gt;Corte,119&lt;=Corte+n_Ventana),ISNUMBER(Detalle_24m!DT$44)),Detalle_24m!DT$44,INDEX(Precio_V,3)*INDEX(IdxPrecio_V,1,MIN(10,DT$173)))*(1+V_dPrecio))</f>
        <v>0</v>
      </c>
      <c r="DU204" s="48" t="n">
        <f aca="false">IF(DU$8=1,IF(Reales!$C$40="PYG",IF(DU$10&gt;0,N(Reales!DU40)/DU$10,0),N(Reales!DU40)),DU$179*IF(AND(AND(120&gt;Corte,120&lt;=Corte+n_Ventana),ISNUMBER(Detalle_24m!DU$44)),Detalle_24m!DU$44,INDEX(Precio_V,3)*INDEX(IdxPrecio_V,1,MIN(10,DU$173)))*(1+V_dPrecio))</f>
        <v>0</v>
      </c>
      <c r="DV204" s="48" t="n">
        <f aca="false">IF(DV$8=1,IF(Reales!$C$40="PYG",IF(DV$10&gt;0,N(Reales!DV40)/DV$10,0),N(Reales!DV40)),DV$179*IF(AND(AND(121&gt;Corte,121&lt;=Corte+n_Ventana),ISNUMBER(Detalle_24m!DV$44)),Detalle_24m!DV$44,INDEX(Precio_V,3)*INDEX(IdxPrecio_V,1,MIN(10,DV$173)))*(1+V_dPrecio))</f>
        <v>0</v>
      </c>
      <c r="DW204" s="48" t="n">
        <f aca="false">IF(DW$8=1,IF(Reales!$C$40="PYG",IF(DW$10&gt;0,N(Reales!DW40)/DW$10,0),N(Reales!DW40)),DW$179*IF(AND(AND(122&gt;Corte,122&lt;=Corte+n_Ventana),ISNUMBER(Detalle_24m!DW$44)),Detalle_24m!DW$44,INDEX(Precio_V,3)*INDEX(IdxPrecio_V,1,MIN(10,DW$173)))*(1+V_dPrecio))</f>
        <v>0</v>
      </c>
      <c r="DX204" s="48" t="n">
        <f aca="false">IF(DX$8=1,IF(Reales!$C$40="PYG",IF(DX$10&gt;0,N(Reales!DX40)/DX$10,0),N(Reales!DX40)),DX$179*IF(AND(AND(123&gt;Corte,123&lt;=Corte+n_Ventana),ISNUMBER(Detalle_24m!DX$44)),Detalle_24m!DX$44,INDEX(Precio_V,3)*INDEX(IdxPrecio_V,1,MIN(10,DX$173)))*(1+V_dPrecio))</f>
        <v>0</v>
      </c>
      <c r="DY204" s="48" t="n">
        <f aca="false">IF(DY$8=1,IF(Reales!$C$40="PYG",IF(DY$10&gt;0,N(Reales!DY40)/DY$10,0),N(Reales!DY40)),DY$179*IF(AND(AND(124&gt;Corte,124&lt;=Corte+n_Ventana),ISNUMBER(Detalle_24m!DY$44)),Detalle_24m!DY$44,INDEX(Precio_V,3)*INDEX(IdxPrecio_V,1,MIN(10,DY$173)))*(1+V_dPrecio))</f>
        <v>0</v>
      </c>
      <c r="DZ204" s="48" t="n">
        <f aca="false">IF(DZ$8=1,IF(Reales!$C$40="PYG",IF(DZ$10&gt;0,N(Reales!DZ40)/DZ$10,0),N(Reales!DZ40)),DZ$179*IF(AND(AND(125&gt;Corte,125&lt;=Corte+n_Ventana),ISNUMBER(Detalle_24m!DZ$44)),Detalle_24m!DZ$44,INDEX(Precio_V,3)*INDEX(IdxPrecio_V,1,MIN(10,DZ$173)))*(1+V_dPrecio))</f>
        <v>0</v>
      </c>
      <c r="EA204" s="48" t="n">
        <f aca="false">IF(EA$8=1,IF(Reales!$C$40="PYG",IF(EA$10&gt;0,N(Reales!EA40)/EA$10,0),N(Reales!EA40)),EA$179*IF(AND(AND(126&gt;Corte,126&lt;=Corte+n_Ventana),ISNUMBER(Detalle_24m!EA$44)),Detalle_24m!EA$44,INDEX(Precio_V,3)*INDEX(IdxPrecio_V,1,MIN(10,EA$173)))*(1+V_dPrecio))</f>
        <v>0</v>
      </c>
      <c r="EB204" s="48" t="n">
        <f aca="false">IF(EB$8=1,IF(Reales!$C$40="PYG",IF(EB$10&gt;0,N(Reales!EB40)/EB$10,0),N(Reales!EB40)),EB$179*IF(AND(AND(127&gt;Corte,127&lt;=Corte+n_Ventana),ISNUMBER(Detalle_24m!EB$44)),Detalle_24m!EB$44,INDEX(Precio_V,3)*INDEX(IdxPrecio_V,1,MIN(10,EB$173)))*(1+V_dPrecio))</f>
        <v>0</v>
      </c>
      <c r="EC204" s="48" t="n">
        <f aca="false">IF(EC$8=1,IF(Reales!$C$40="PYG",IF(EC$10&gt;0,N(Reales!EC40)/EC$10,0),N(Reales!EC40)),EC$179*IF(AND(AND(128&gt;Corte,128&lt;=Corte+n_Ventana),ISNUMBER(Detalle_24m!EC$44)),Detalle_24m!EC$44,INDEX(Precio_V,3)*INDEX(IdxPrecio_V,1,MIN(10,EC$173)))*(1+V_dPrecio))</f>
        <v>0</v>
      </c>
      <c r="ED204" s="48" t="n">
        <f aca="false">IF(ED$8=1,IF(Reales!$C$40="PYG",IF(ED$10&gt;0,N(Reales!ED40)/ED$10,0),N(Reales!ED40)),ED$179*IF(AND(AND(129&gt;Corte,129&lt;=Corte+n_Ventana),ISNUMBER(Detalle_24m!ED$44)),Detalle_24m!ED$44,INDEX(Precio_V,3)*INDEX(IdxPrecio_V,1,MIN(10,ED$173)))*(1+V_dPrecio))</f>
        <v>0</v>
      </c>
      <c r="EE204" s="48" t="n">
        <f aca="false">IF(EE$8=1,IF(Reales!$C$40="PYG",IF(EE$10&gt;0,N(Reales!EE40)/EE$10,0),N(Reales!EE40)),EE$179*IF(AND(AND(130&gt;Corte,130&lt;=Corte+n_Ventana),ISNUMBER(Detalle_24m!EE$44)),Detalle_24m!EE$44,INDEX(Precio_V,3)*INDEX(IdxPrecio_V,1,MIN(10,EE$173)))*(1+V_dPrecio))</f>
        <v>0</v>
      </c>
      <c r="EF204" s="48" t="n">
        <f aca="false">IF(EF$8=1,IF(Reales!$C$40="PYG",IF(EF$10&gt;0,N(Reales!EF40)/EF$10,0),N(Reales!EF40)),EF$179*IF(AND(AND(131&gt;Corte,131&lt;=Corte+n_Ventana),ISNUMBER(Detalle_24m!EF$44)),Detalle_24m!EF$44,INDEX(Precio_V,3)*INDEX(IdxPrecio_V,1,MIN(10,EF$173)))*(1+V_dPrecio))</f>
        <v>0</v>
      </c>
      <c r="EG204" s="48" t="n">
        <f aca="false">IF(EG$8=1,IF(Reales!$C$40="PYG",IF(EG$10&gt;0,N(Reales!EG40)/EG$10,0),N(Reales!EG40)),EG$179*IF(AND(AND(132&gt;Corte,132&lt;=Corte+n_Ventana),ISNUMBER(Detalle_24m!EG$44)),Detalle_24m!EG$44,INDEX(Precio_V,3)*INDEX(IdxPrecio_V,1,MIN(10,EG$173)))*(1+V_dPrecio))</f>
        <v>0</v>
      </c>
      <c r="EH204" s="48" t="n">
        <f aca="false">IF(EH$8=1,IF(Reales!$C$40="PYG",IF(EH$10&gt;0,N(Reales!EH40)/EH$10,0),N(Reales!EH40)),EH$179*IF(AND(AND(133&gt;Corte,133&lt;=Corte+n_Ventana),ISNUMBER(Detalle_24m!EH$44)),Detalle_24m!EH$44,INDEX(Precio_V,3)*INDEX(IdxPrecio_V,1,MIN(10,EH$173)))*(1+V_dPrecio))</f>
        <v>0</v>
      </c>
      <c r="EI204" s="48" t="n">
        <f aca="false">IF(EI$8=1,IF(Reales!$C$40="PYG",IF(EI$10&gt;0,N(Reales!EI40)/EI$10,0),N(Reales!EI40)),EI$179*IF(AND(AND(134&gt;Corte,134&lt;=Corte+n_Ventana),ISNUMBER(Detalle_24m!EI$44)),Detalle_24m!EI$44,INDEX(Precio_V,3)*INDEX(IdxPrecio_V,1,MIN(10,EI$173)))*(1+V_dPrecio))</f>
        <v>0</v>
      </c>
      <c r="EJ204" s="48" t="n">
        <f aca="false">IF(EJ$8=1,IF(Reales!$C$40="PYG",IF(EJ$10&gt;0,N(Reales!EJ40)/EJ$10,0),N(Reales!EJ40)),EJ$179*IF(AND(AND(135&gt;Corte,135&lt;=Corte+n_Ventana),ISNUMBER(Detalle_24m!EJ$44)),Detalle_24m!EJ$44,INDEX(Precio_V,3)*INDEX(IdxPrecio_V,1,MIN(10,EJ$173)))*(1+V_dPrecio))</f>
        <v>0</v>
      </c>
      <c r="EK204" s="48" t="n">
        <f aca="false">IF(EK$8=1,IF(Reales!$C$40="PYG",IF(EK$10&gt;0,N(Reales!EK40)/EK$10,0),N(Reales!EK40)),EK$179*IF(AND(AND(136&gt;Corte,136&lt;=Corte+n_Ventana),ISNUMBER(Detalle_24m!EK$44)),Detalle_24m!EK$44,INDEX(Precio_V,3)*INDEX(IdxPrecio_V,1,MIN(10,EK$173)))*(1+V_dPrecio))</f>
        <v>0</v>
      </c>
      <c r="EL204" s="48" t="n">
        <f aca="false">IF(EL$8=1,IF(Reales!$C$40="PYG",IF(EL$10&gt;0,N(Reales!EL40)/EL$10,0),N(Reales!EL40)),EL$179*IF(AND(AND(137&gt;Corte,137&lt;=Corte+n_Ventana),ISNUMBER(Detalle_24m!EL$44)),Detalle_24m!EL$44,INDEX(Precio_V,3)*INDEX(IdxPrecio_V,1,MIN(10,EL$173)))*(1+V_dPrecio))</f>
        <v>0</v>
      </c>
      <c r="EM204" s="48" t="n">
        <f aca="false">IF(EM$8=1,IF(Reales!$C$40="PYG",IF(EM$10&gt;0,N(Reales!EM40)/EM$10,0),N(Reales!EM40)),EM$179*IF(AND(AND(138&gt;Corte,138&lt;=Corte+n_Ventana),ISNUMBER(Detalle_24m!EM$44)),Detalle_24m!EM$44,INDEX(Precio_V,3)*INDEX(IdxPrecio_V,1,MIN(10,EM$173)))*(1+V_dPrecio))</f>
        <v>0</v>
      </c>
      <c r="EN204" s="48" t="n">
        <f aca="false">IF(EN$8=1,IF(Reales!$C$40="PYG",IF(EN$10&gt;0,N(Reales!EN40)/EN$10,0),N(Reales!EN40)),EN$179*IF(AND(AND(139&gt;Corte,139&lt;=Corte+n_Ventana),ISNUMBER(Detalle_24m!EN$44)),Detalle_24m!EN$44,INDEX(Precio_V,3)*INDEX(IdxPrecio_V,1,MIN(10,EN$173)))*(1+V_dPrecio))</f>
        <v>0</v>
      </c>
      <c r="EO204" s="48" t="n">
        <f aca="false">IF(EO$8=1,IF(Reales!$C$40="PYG",IF(EO$10&gt;0,N(Reales!EO40)/EO$10,0),N(Reales!EO40)),EO$179*IF(AND(AND(140&gt;Corte,140&lt;=Corte+n_Ventana),ISNUMBER(Detalle_24m!EO$44)),Detalle_24m!EO$44,INDEX(Precio_V,3)*INDEX(IdxPrecio_V,1,MIN(10,EO$173)))*(1+V_dPrecio))</f>
        <v>0</v>
      </c>
      <c r="EP204" s="48" t="n">
        <f aca="false">IF(EP$8=1,IF(Reales!$C$40="PYG",IF(EP$10&gt;0,N(Reales!EP40)/EP$10,0),N(Reales!EP40)),EP$179*IF(AND(AND(141&gt;Corte,141&lt;=Corte+n_Ventana),ISNUMBER(Detalle_24m!EP$44)),Detalle_24m!EP$44,INDEX(Precio_V,3)*INDEX(IdxPrecio_V,1,MIN(10,EP$173)))*(1+V_dPrecio))</f>
        <v>0</v>
      </c>
      <c r="EQ204" s="48" t="n">
        <f aca="false">IF(EQ$8=1,IF(Reales!$C$40="PYG",IF(EQ$10&gt;0,N(Reales!EQ40)/EQ$10,0),N(Reales!EQ40)),EQ$179*IF(AND(AND(142&gt;Corte,142&lt;=Corte+n_Ventana),ISNUMBER(Detalle_24m!EQ$44)),Detalle_24m!EQ$44,INDEX(Precio_V,3)*INDEX(IdxPrecio_V,1,MIN(10,EQ$173)))*(1+V_dPrecio))</f>
        <v>0</v>
      </c>
      <c r="ER204" s="48" t="n">
        <f aca="false">IF(ER$8=1,IF(Reales!$C$40="PYG",IF(ER$10&gt;0,N(Reales!ER40)/ER$10,0),N(Reales!ER40)),ER$179*IF(AND(AND(143&gt;Corte,143&lt;=Corte+n_Ventana),ISNUMBER(Detalle_24m!ER$44)),Detalle_24m!ER$44,INDEX(Precio_V,3)*INDEX(IdxPrecio_V,1,MIN(10,ER$173)))*(1+V_dPrecio))</f>
        <v>0</v>
      </c>
      <c r="ES204" s="48" t="n">
        <f aca="false">IF(ES$8=1,IF(Reales!$C$40="PYG",IF(ES$10&gt;0,N(Reales!ES40)/ES$10,0),N(Reales!ES40)),ES$179*IF(AND(AND(144&gt;Corte,144&lt;=Corte+n_Ventana),ISNUMBER(Detalle_24m!ES$44)),Detalle_24m!ES$44,INDEX(Precio_V,3)*INDEX(IdxPrecio_V,1,MIN(10,ES$173)))*(1+V_dPrecio))</f>
        <v>0</v>
      </c>
    </row>
    <row r="205" customFormat="false" ht="15" hidden="false" customHeight="false" outlineLevel="0" collapsed="false">
      <c r="A205" s="11" t="s">
        <v>1328</v>
      </c>
      <c r="B205" s="53" t="str">
        <f aca="false">IF(INDEX(Prod_Nombre,4)="","Producto 4",INDEX(Prod_Nombre,4))&amp;" — ventas USD"</f>
        <v>Producto 4 — ventas USD</v>
      </c>
      <c r="C205" s="15" t="s">
        <v>508</v>
      </c>
      <c r="E205" s="54" t="n">
        <f aca="false">SUM(F205:ES205)</f>
        <v>0</v>
      </c>
      <c r="F205" s="48" t="n">
        <f aca="false">IF(F$8=1,IF(Reales!$C$41="PYG",IF(F$10&gt;0,N(Reales!F41)/F$10,0),N(Reales!F41)),F$180*IF(AND(AND(1&gt;Corte,1&lt;=Corte+n_Ventana),ISNUMBER(Detalle_24m!F$45)),Detalle_24m!F$45,INDEX(Precio_V,4)*INDEX(IdxPrecio_V,1,MIN(10,F$173)))*(1+V_dPrecio))</f>
        <v>0</v>
      </c>
      <c r="G205" s="48" t="n">
        <f aca="false">IF(G$8=1,IF(Reales!$C$41="PYG",IF(G$10&gt;0,N(Reales!G41)/G$10,0),N(Reales!G41)),G$180*IF(AND(AND(2&gt;Corte,2&lt;=Corte+n_Ventana),ISNUMBER(Detalle_24m!G$45)),Detalle_24m!G$45,INDEX(Precio_V,4)*INDEX(IdxPrecio_V,1,MIN(10,G$173)))*(1+V_dPrecio))</f>
        <v>0</v>
      </c>
      <c r="H205" s="48" t="n">
        <f aca="false">IF(H$8=1,IF(Reales!$C$41="PYG",IF(H$10&gt;0,N(Reales!H41)/H$10,0),N(Reales!H41)),H$180*IF(AND(AND(3&gt;Corte,3&lt;=Corte+n_Ventana),ISNUMBER(Detalle_24m!H$45)),Detalle_24m!H$45,INDEX(Precio_V,4)*INDEX(IdxPrecio_V,1,MIN(10,H$173)))*(1+V_dPrecio))</f>
        <v>0</v>
      </c>
      <c r="I205" s="48" t="n">
        <f aca="false">IF(I$8=1,IF(Reales!$C$41="PYG",IF(I$10&gt;0,N(Reales!I41)/I$10,0),N(Reales!I41)),I$180*IF(AND(AND(4&gt;Corte,4&lt;=Corte+n_Ventana),ISNUMBER(Detalle_24m!I$45)),Detalle_24m!I$45,INDEX(Precio_V,4)*INDEX(IdxPrecio_V,1,MIN(10,I$173)))*(1+V_dPrecio))</f>
        <v>0</v>
      </c>
      <c r="J205" s="48" t="n">
        <f aca="false">IF(J$8=1,IF(Reales!$C$41="PYG",IF(J$10&gt;0,N(Reales!J41)/J$10,0),N(Reales!J41)),J$180*IF(AND(AND(5&gt;Corte,5&lt;=Corte+n_Ventana),ISNUMBER(Detalle_24m!J$45)),Detalle_24m!J$45,INDEX(Precio_V,4)*INDEX(IdxPrecio_V,1,MIN(10,J$173)))*(1+V_dPrecio))</f>
        <v>0</v>
      </c>
      <c r="K205" s="48" t="n">
        <f aca="false">IF(K$8=1,IF(Reales!$C$41="PYG",IF(K$10&gt;0,N(Reales!K41)/K$10,0),N(Reales!K41)),K$180*IF(AND(AND(6&gt;Corte,6&lt;=Corte+n_Ventana),ISNUMBER(Detalle_24m!K$45)),Detalle_24m!K$45,INDEX(Precio_V,4)*INDEX(IdxPrecio_V,1,MIN(10,K$173)))*(1+V_dPrecio))</f>
        <v>0</v>
      </c>
      <c r="L205" s="48" t="n">
        <f aca="false">IF(L$8=1,IF(Reales!$C$41="PYG",IF(L$10&gt;0,N(Reales!L41)/L$10,0),N(Reales!L41)),L$180*IF(AND(AND(7&gt;Corte,7&lt;=Corte+n_Ventana),ISNUMBER(Detalle_24m!L$45)),Detalle_24m!L$45,INDEX(Precio_V,4)*INDEX(IdxPrecio_V,1,MIN(10,L$173)))*(1+V_dPrecio))</f>
        <v>0</v>
      </c>
      <c r="M205" s="48" t="n">
        <f aca="false">IF(M$8=1,IF(Reales!$C$41="PYG",IF(M$10&gt;0,N(Reales!M41)/M$10,0),N(Reales!M41)),M$180*IF(AND(AND(8&gt;Corte,8&lt;=Corte+n_Ventana),ISNUMBER(Detalle_24m!M$45)),Detalle_24m!M$45,INDEX(Precio_V,4)*INDEX(IdxPrecio_V,1,MIN(10,M$173)))*(1+V_dPrecio))</f>
        <v>0</v>
      </c>
      <c r="N205" s="48" t="n">
        <f aca="false">IF(N$8=1,IF(Reales!$C$41="PYG",IF(N$10&gt;0,N(Reales!N41)/N$10,0),N(Reales!N41)),N$180*IF(AND(AND(9&gt;Corte,9&lt;=Corte+n_Ventana),ISNUMBER(Detalle_24m!N$45)),Detalle_24m!N$45,INDEX(Precio_V,4)*INDEX(IdxPrecio_V,1,MIN(10,N$173)))*(1+V_dPrecio))</f>
        <v>0</v>
      </c>
      <c r="O205" s="48" t="n">
        <f aca="false">IF(O$8=1,IF(Reales!$C$41="PYG",IF(O$10&gt;0,N(Reales!O41)/O$10,0),N(Reales!O41)),O$180*IF(AND(AND(10&gt;Corte,10&lt;=Corte+n_Ventana),ISNUMBER(Detalle_24m!O$45)),Detalle_24m!O$45,INDEX(Precio_V,4)*INDEX(IdxPrecio_V,1,MIN(10,O$173)))*(1+V_dPrecio))</f>
        <v>0</v>
      </c>
      <c r="P205" s="48" t="n">
        <f aca="false">IF(P$8=1,IF(Reales!$C$41="PYG",IF(P$10&gt;0,N(Reales!P41)/P$10,0),N(Reales!P41)),P$180*IF(AND(AND(11&gt;Corte,11&lt;=Corte+n_Ventana),ISNUMBER(Detalle_24m!P$45)),Detalle_24m!P$45,INDEX(Precio_V,4)*INDEX(IdxPrecio_V,1,MIN(10,P$173)))*(1+V_dPrecio))</f>
        <v>0</v>
      </c>
      <c r="Q205" s="48" t="n">
        <f aca="false">IF(Q$8=1,IF(Reales!$C$41="PYG",IF(Q$10&gt;0,N(Reales!Q41)/Q$10,0),N(Reales!Q41)),Q$180*IF(AND(AND(12&gt;Corte,12&lt;=Corte+n_Ventana),ISNUMBER(Detalle_24m!Q$45)),Detalle_24m!Q$45,INDEX(Precio_V,4)*INDEX(IdxPrecio_V,1,MIN(10,Q$173)))*(1+V_dPrecio))</f>
        <v>0</v>
      </c>
      <c r="R205" s="48" t="n">
        <f aca="false">IF(R$8=1,IF(Reales!$C$41="PYG",IF(R$10&gt;0,N(Reales!R41)/R$10,0),N(Reales!R41)),R$180*IF(AND(AND(13&gt;Corte,13&lt;=Corte+n_Ventana),ISNUMBER(Detalle_24m!R$45)),Detalle_24m!R$45,INDEX(Precio_V,4)*INDEX(IdxPrecio_V,1,MIN(10,R$173)))*(1+V_dPrecio))</f>
        <v>0</v>
      </c>
      <c r="S205" s="48" t="n">
        <f aca="false">IF(S$8=1,IF(Reales!$C$41="PYG",IF(S$10&gt;0,N(Reales!S41)/S$10,0),N(Reales!S41)),S$180*IF(AND(AND(14&gt;Corte,14&lt;=Corte+n_Ventana),ISNUMBER(Detalle_24m!S$45)),Detalle_24m!S$45,INDEX(Precio_V,4)*INDEX(IdxPrecio_V,1,MIN(10,S$173)))*(1+V_dPrecio))</f>
        <v>0</v>
      </c>
      <c r="T205" s="48" t="n">
        <f aca="false">IF(T$8=1,IF(Reales!$C$41="PYG",IF(T$10&gt;0,N(Reales!T41)/T$10,0),N(Reales!T41)),T$180*IF(AND(AND(15&gt;Corte,15&lt;=Corte+n_Ventana),ISNUMBER(Detalle_24m!T$45)),Detalle_24m!T$45,INDEX(Precio_V,4)*INDEX(IdxPrecio_V,1,MIN(10,T$173)))*(1+V_dPrecio))</f>
        <v>0</v>
      </c>
      <c r="U205" s="48" t="n">
        <f aca="false">IF(U$8=1,IF(Reales!$C$41="PYG",IF(U$10&gt;0,N(Reales!U41)/U$10,0),N(Reales!U41)),U$180*IF(AND(AND(16&gt;Corte,16&lt;=Corte+n_Ventana),ISNUMBER(Detalle_24m!U$45)),Detalle_24m!U$45,INDEX(Precio_V,4)*INDEX(IdxPrecio_V,1,MIN(10,U$173)))*(1+V_dPrecio))</f>
        <v>0</v>
      </c>
      <c r="V205" s="48" t="n">
        <f aca="false">IF(V$8=1,IF(Reales!$C$41="PYG",IF(V$10&gt;0,N(Reales!V41)/V$10,0),N(Reales!V41)),V$180*IF(AND(AND(17&gt;Corte,17&lt;=Corte+n_Ventana),ISNUMBER(Detalle_24m!V$45)),Detalle_24m!V$45,INDEX(Precio_V,4)*INDEX(IdxPrecio_V,1,MIN(10,V$173)))*(1+V_dPrecio))</f>
        <v>0</v>
      </c>
      <c r="W205" s="48" t="n">
        <f aca="false">IF(W$8=1,IF(Reales!$C$41="PYG",IF(W$10&gt;0,N(Reales!W41)/W$10,0),N(Reales!W41)),W$180*IF(AND(AND(18&gt;Corte,18&lt;=Corte+n_Ventana),ISNUMBER(Detalle_24m!W$45)),Detalle_24m!W$45,INDEX(Precio_V,4)*INDEX(IdxPrecio_V,1,MIN(10,W$173)))*(1+V_dPrecio))</f>
        <v>0</v>
      </c>
      <c r="X205" s="48" t="n">
        <f aca="false">IF(X$8=1,IF(Reales!$C$41="PYG",IF(X$10&gt;0,N(Reales!X41)/X$10,0),N(Reales!X41)),X$180*IF(AND(AND(19&gt;Corte,19&lt;=Corte+n_Ventana),ISNUMBER(Detalle_24m!X$45)),Detalle_24m!X$45,INDEX(Precio_V,4)*INDEX(IdxPrecio_V,1,MIN(10,X$173)))*(1+V_dPrecio))</f>
        <v>0</v>
      </c>
      <c r="Y205" s="48" t="n">
        <f aca="false">IF(Y$8=1,IF(Reales!$C$41="PYG",IF(Y$10&gt;0,N(Reales!Y41)/Y$10,0),N(Reales!Y41)),Y$180*IF(AND(AND(20&gt;Corte,20&lt;=Corte+n_Ventana),ISNUMBER(Detalle_24m!Y$45)),Detalle_24m!Y$45,INDEX(Precio_V,4)*INDEX(IdxPrecio_V,1,MIN(10,Y$173)))*(1+V_dPrecio))</f>
        <v>0</v>
      </c>
      <c r="Z205" s="48" t="n">
        <f aca="false">IF(Z$8=1,IF(Reales!$C$41="PYG",IF(Z$10&gt;0,N(Reales!Z41)/Z$10,0),N(Reales!Z41)),Z$180*IF(AND(AND(21&gt;Corte,21&lt;=Corte+n_Ventana),ISNUMBER(Detalle_24m!Z$45)),Detalle_24m!Z$45,INDEX(Precio_V,4)*INDEX(IdxPrecio_V,1,MIN(10,Z$173)))*(1+V_dPrecio))</f>
        <v>0</v>
      </c>
      <c r="AA205" s="48" t="n">
        <f aca="false">IF(AA$8=1,IF(Reales!$C$41="PYG",IF(AA$10&gt;0,N(Reales!AA41)/AA$10,0),N(Reales!AA41)),AA$180*IF(AND(AND(22&gt;Corte,22&lt;=Corte+n_Ventana),ISNUMBER(Detalle_24m!AA$45)),Detalle_24m!AA$45,INDEX(Precio_V,4)*INDEX(IdxPrecio_V,1,MIN(10,AA$173)))*(1+V_dPrecio))</f>
        <v>0</v>
      </c>
      <c r="AB205" s="48" t="n">
        <f aca="false">IF(AB$8=1,IF(Reales!$C$41="PYG",IF(AB$10&gt;0,N(Reales!AB41)/AB$10,0),N(Reales!AB41)),AB$180*IF(AND(AND(23&gt;Corte,23&lt;=Corte+n_Ventana),ISNUMBER(Detalle_24m!AB$45)),Detalle_24m!AB$45,INDEX(Precio_V,4)*INDEX(IdxPrecio_V,1,MIN(10,AB$173)))*(1+V_dPrecio))</f>
        <v>0</v>
      </c>
      <c r="AC205" s="48" t="n">
        <f aca="false">IF(AC$8=1,IF(Reales!$C$41="PYG",IF(AC$10&gt;0,N(Reales!AC41)/AC$10,0),N(Reales!AC41)),AC$180*IF(AND(AND(24&gt;Corte,24&lt;=Corte+n_Ventana),ISNUMBER(Detalle_24m!AC$45)),Detalle_24m!AC$45,INDEX(Precio_V,4)*INDEX(IdxPrecio_V,1,MIN(10,AC$173)))*(1+V_dPrecio))</f>
        <v>0</v>
      </c>
      <c r="AD205" s="48" t="n">
        <f aca="false">IF(AD$8=1,IF(Reales!$C$41="PYG",IF(AD$10&gt;0,N(Reales!AD41)/AD$10,0),N(Reales!AD41)),AD$180*IF(AND(AND(25&gt;Corte,25&lt;=Corte+n_Ventana),ISNUMBER(Detalle_24m!AD$45)),Detalle_24m!AD$45,INDEX(Precio_V,4)*INDEX(IdxPrecio_V,1,MIN(10,AD$173)))*(1+V_dPrecio))</f>
        <v>0</v>
      </c>
      <c r="AE205" s="48" t="n">
        <f aca="false">IF(AE$8=1,IF(Reales!$C$41="PYG",IF(AE$10&gt;0,N(Reales!AE41)/AE$10,0),N(Reales!AE41)),AE$180*IF(AND(AND(26&gt;Corte,26&lt;=Corte+n_Ventana),ISNUMBER(Detalle_24m!AE$45)),Detalle_24m!AE$45,INDEX(Precio_V,4)*INDEX(IdxPrecio_V,1,MIN(10,AE$173)))*(1+V_dPrecio))</f>
        <v>0</v>
      </c>
      <c r="AF205" s="48" t="n">
        <f aca="false">IF(AF$8=1,IF(Reales!$C$41="PYG",IF(AF$10&gt;0,N(Reales!AF41)/AF$10,0),N(Reales!AF41)),AF$180*IF(AND(AND(27&gt;Corte,27&lt;=Corte+n_Ventana),ISNUMBER(Detalle_24m!AF$45)),Detalle_24m!AF$45,INDEX(Precio_V,4)*INDEX(IdxPrecio_V,1,MIN(10,AF$173)))*(1+V_dPrecio))</f>
        <v>0</v>
      </c>
      <c r="AG205" s="48" t="n">
        <f aca="false">IF(AG$8=1,IF(Reales!$C$41="PYG",IF(AG$10&gt;0,N(Reales!AG41)/AG$10,0),N(Reales!AG41)),AG$180*IF(AND(AND(28&gt;Corte,28&lt;=Corte+n_Ventana),ISNUMBER(Detalle_24m!AG$45)),Detalle_24m!AG$45,INDEX(Precio_V,4)*INDEX(IdxPrecio_V,1,MIN(10,AG$173)))*(1+V_dPrecio))</f>
        <v>0</v>
      </c>
      <c r="AH205" s="48" t="n">
        <f aca="false">IF(AH$8=1,IF(Reales!$C$41="PYG",IF(AH$10&gt;0,N(Reales!AH41)/AH$10,0),N(Reales!AH41)),AH$180*IF(AND(AND(29&gt;Corte,29&lt;=Corte+n_Ventana),ISNUMBER(Detalle_24m!AH$45)),Detalle_24m!AH$45,INDEX(Precio_V,4)*INDEX(IdxPrecio_V,1,MIN(10,AH$173)))*(1+V_dPrecio))</f>
        <v>0</v>
      </c>
      <c r="AI205" s="48" t="n">
        <f aca="false">IF(AI$8=1,IF(Reales!$C$41="PYG",IF(AI$10&gt;0,N(Reales!AI41)/AI$10,0),N(Reales!AI41)),AI$180*IF(AND(AND(30&gt;Corte,30&lt;=Corte+n_Ventana),ISNUMBER(Detalle_24m!AI$45)),Detalle_24m!AI$45,INDEX(Precio_V,4)*INDEX(IdxPrecio_V,1,MIN(10,AI$173)))*(1+V_dPrecio))</f>
        <v>0</v>
      </c>
      <c r="AJ205" s="48" t="n">
        <f aca="false">IF(AJ$8=1,IF(Reales!$C$41="PYG",IF(AJ$10&gt;0,N(Reales!AJ41)/AJ$10,0),N(Reales!AJ41)),AJ$180*IF(AND(AND(31&gt;Corte,31&lt;=Corte+n_Ventana),ISNUMBER(Detalle_24m!AJ$45)),Detalle_24m!AJ$45,INDEX(Precio_V,4)*INDEX(IdxPrecio_V,1,MIN(10,AJ$173)))*(1+V_dPrecio))</f>
        <v>0</v>
      </c>
      <c r="AK205" s="48" t="n">
        <f aca="false">IF(AK$8=1,IF(Reales!$C$41="PYG",IF(AK$10&gt;0,N(Reales!AK41)/AK$10,0),N(Reales!AK41)),AK$180*IF(AND(AND(32&gt;Corte,32&lt;=Corte+n_Ventana),ISNUMBER(Detalle_24m!AK$45)),Detalle_24m!AK$45,INDEX(Precio_V,4)*INDEX(IdxPrecio_V,1,MIN(10,AK$173)))*(1+V_dPrecio))</f>
        <v>0</v>
      </c>
      <c r="AL205" s="48" t="n">
        <f aca="false">IF(AL$8=1,IF(Reales!$C$41="PYG",IF(AL$10&gt;0,N(Reales!AL41)/AL$10,0),N(Reales!AL41)),AL$180*IF(AND(AND(33&gt;Corte,33&lt;=Corte+n_Ventana),ISNUMBER(Detalle_24m!AL$45)),Detalle_24m!AL$45,INDEX(Precio_V,4)*INDEX(IdxPrecio_V,1,MIN(10,AL$173)))*(1+V_dPrecio))</f>
        <v>0</v>
      </c>
      <c r="AM205" s="48" t="n">
        <f aca="false">IF(AM$8=1,IF(Reales!$C$41="PYG",IF(AM$10&gt;0,N(Reales!AM41)/AM$10,0),N(Reales!AM41)),AM$180*IF(AND(AND(34&gt;Corte,34&lt;=Corte+n_Ventana),ISNUMBER(Detalle_24m!AM$45)),Detalle_24m!AM$45,INDEX(Precio_V,4)*INDEX(IdxPrecio_V,1,MIN(10,AM$173)))*(1+V_dPrecio))</f>
        <v>0</v>
      </c>
      <c r="AN205" s="48" t="n">
        <f aca="false">IF(AN$8=1,IF(Reales!$C$41="PYG",IF(AN$10&gt;0,N(Reales!AN41)/AN$10,0),N(Reales!AN41)),AN$180*IF(AND(AND(35&gt;Corte,35&lt;=Corte+n_Ventana),ISNUMBER(Detalle_24m!AN$45)),Detalle_24m!AN$45,INDEX(Precio_V,4)*INDEX(IdxPrecio_V,1,MIN(10,AN$173)))*(1+V_dPrecio))</f>
        <v>0</v>
      </c>
      <c r="AO205" s="48" t="n">
        <f aca="false">IF(AO$8=1,IF(Reales!$C$41="PYG",IF(AO$10&gt;0,N(Reales!AO41)/AO$10,0),N(Reales!AO41)),AO$180*IF(AND(AND(36&gt;Corte,36&lt;=Corte+n_Ventana),ISNUMBER(Detalle_24m!AO$45)),Detalle_24m!AO$45,INDEX(Precio_V,4)*INDEX(IdxPrecio_V,1,MIN(10,AO$173)))*(1+V_dPrecio))</f>
        <v>0</v>
      </c>
      <c r="AP205" s="48" t="n">
        <f aca="false">IF(AP$8=1,IF(Reales!$C$41="PYG",IF(AP$10&gt;0,N(Reales!AP41)/AP$10,0),N(Reales!AP41)),AP$180*IF(AND(AND(37&gt;Corte,37&lt;=Corte+n_Ventana),ISNUMBER(Detalle_24m!AP$45)),Detalle_24m!AP$45,INDEX(Precio_V,4)*INDEX(IdxPrecio_V,1,MIN(10,AP$173)))*(1+V_dPrecio))</f>
        <v>0</v>
      </c>
      <c r="AQ205" s="48" t="n">
        <f aca="false">IF(AQ$8=1,IF(Reales!$C$41="PYG",IF(AQ$10&gt;0,N(Reales!AQ41)/AQ$10,0),N(Reales!AQ41)),AQ$180*IF(AND(AND(38&gt;Corte,38&lt;=Corte+n_Ventana),ISNUMBER(Detalle_24m!AQ$45)),Detalle_24m!AQ$45,INDEX(Precio_V,4)*INDEX(IdxPrecio_V,1,MIN(10,AQ$173)))*(1+V_dPrecio))</f>
        <v>0</v>
      </c>
      <c r="AR205" s="48" t="n">
        <f aca="false">IF(AR$8=1,IF(Reales!$C$41="PYG",IF(AR$10&gt;0,N(Reales!AR41)/AR$10,0),N(Reales!AR41)),AR$180*IF(AND(AND(39&gt;Corte,39&lt;=Corte+n_Ventana),ISNUMBER(Detalle_24m!AR$45)),Detalle_24m!AR$45,INDEX(Precio_V,4)*INDEX(IdxPrecio_V,1,MIN(10,AR$173)))*(1+V_dPrecio))</f>
        <v>0</v>
      </c>
      <c r="AS205" s="48" t="n">
        <f aca="false">IF(AS$8=1,IF(Reales!$C$41="PYG",IF(AS$10&gt;0,N(Reales!AS41)/AS$10,0),N(Reales!AS41)),AS$180*IF(AND(AND(40&gt;Corte,40&lt;=Corte+n_Ventana),ISNUMBER(Detalle_24m!AS$45)),Detalle_24m!AS$45,INDEX(Precio_V,4)*INDEX(IdxPrecio_V,1,MIN(10,AS$173)))*(1+V_dPrecio))</f>
        <v>0</v>
      </c>
      <c r="AT205" s="48" t="n">
        <f aca="false">IF(AT$8=1,IF(Reales!$C$41="PYG",IF(AT$10&gt;0,N(Reales!AT41)/AT$10,0),N(Reales!AT41)),AT$180*IF(AND(AND(41&gt;Corte,41&lt;=Corte+n_Ventana),ISNUMBER(Detalle_24m!AT$45)),Detalle_24m!AT$45,INDEX(Precio_V,4)*INDEX(IdxPrecio_V,1,MIN(10,AT$173)))*(1+V_dPrecio))</f>
        <v>0</v>
      </c>
      <c r="AU205" s="48" t="n">
        <f aca="false">IF(AU$8=1,IF(Reales!$C$41="PYG",IF(AU$10&gt;0,N(Reales!AU41)/AU$10,0),N(Reales!AU41)),AU$180*IF(AND(AND(42&gt;Corte,42&lt;=Corte+n_Ventana),ISNUMBER(Detalle_24m!AU$45)),Detalle_24m!AU$45,INDEX(Precio_V,4)*INDEX(IdxPrecio_V,1,MIN(10,AU$173)))*(1+V_dPrecio))</f>
        <v>0</v>
      </c>
      <c r="AV205" s="48" t="n">
        <f aca="false">IF(AV$8=1,IF(Reales!$C$41="PYG",IF(AV$10&gt;0,N(Reales!AV41)/AV$10,0),N(Reales!AV41)),AV$180*IF(AND(AND(43&gt;Corte,43&lt;=Corte+n_Ventana),ISNUMBER(Detalle_24m!AV$45)),Detalle_24m!AV$45,INDEX(Precio_V,4)*INDEX(IdxPrecio_V,1,MIN(10,AV$173)))*(1+V_dPrecio))</f>
        <v>0</v>
      </c>
      <c r="AW205" s="48" t="n">
        <f aca="false">IF(AW$8=1,IF(Reales!$C$41="PYG",IF(AW$10&gt;0,N(Reales!AW41)/AW$10,0),N(Reales!AW41)),AW$180*IF(AND(AND(44&gt;Corte,44&lt;=Corte+n_Ventana),ISNUMBER(Detalle_24m!AW$45)),Detalle_24m!AW$45,INDEX(Precio_V,4)*INDEX(IdxPrecio_V,1,MIN(10,AW$173)))*(1+V_dPrecio))</f>
        <v>0</v>
      </c>
      <c r="AX205" s="48" t="n">
        <f aca="false">IF(AX$8=1,IF(Reales!$C$41="PYG",IF(AX$10&gt;0,N(Reales!AX41)/AX$10,0),N(Reales!AX41)),AX$180*IF(AND(AND(45&gt;Corte,45&lt;=Corte+n_Ventana),ISNUMBER(Detalle_24m!AX$45)),Detalle_24m!AX$45,INDEX(Precio_V,4)*INDEX(IdxPrecio_V,1,MIN(10,AX$173)))*(1+V_dPrecio))</f>
        <v>0</v>
      </c>
      <c r="AY205" s="48" t="n">
        <f aca="false">IF(AY$8=1,IF(Reales!$C$41="PYG",IF(AY$10&gt;0,N(Reales!AY41)/AY$10,0),N(Reales!AY41)),AY$180*IF(AND(AND(46&gt;Corte,46&lt;=Corte+n_Ventana),ISNUMBER(Detalle_24m!AY$45)),Detalle_24m!AY$45,INDEX(Precio_V,4)*INDEX(IdxPrecio_V,1,MIN(10,AY$173)))*(1+V_dPrecio))</f>
        <v>0</v>
      </c>
      <c r="AZ205" s="48" t="n">
        <f aca="false">IF(AZ$8=1,IF(Reales!$C$41="PYG",IF(AZ$10&gt;0,N(Reales!AZ41)/AZ$10,0),N(Reales!AZ41)),AZ$180*IF(AND(AND(47&gt;Corte,47&lt;=Corte+n_Ventana),ISNUMBER(Detalle_24m!AZ$45)),Detalle_24m!AZ$45,INDEX(Precio_V,4)*INDEX(IdxPrecio_V,1,MIN(10,AZ$173)))*(1+V_dPrecio))</f>
        <v>0</v>
      </c>
      <c r="BA205" s="48" t="n">
        <f aca="false">IF(BA$8=1,IF(Reales!$C$41="PYG",IF(BA$10&gt;0,N(Reales!BA41)/BA$10,0),N(Reales!BA41)),BA$180*IF(AND(AND(48&gt;Corte,48&lt;=Corte+n_Ventana),ISNUMBER(Detalle_24m!BA$45)),Detalle_24m!BA$45,INDEX(Precio_V,4)*INDEX(IdxPrecio_V,1,MIN(10,BA$173)))*(1+V_dPrecio))</f>
        <v>0</v>
      </c>
      <c r="BB205" s="48" t="n">
        <f aca="false">IF(BB$8=1,IF(Reales!$C$41="PYG",IF(BB$10&gt;0,N(Reales!BB41)/BB$10,0),N(Reales!BB41)),BB$180*IF(AND(AND(49&gt;Corte,49&lt;=Corte+n_Ventana),ISNUMBER(Detalle_24m!BB$45)),Detalle_24m!BB$45,INDEX(Precio_V,4)*INDEX(IdxPrecio_V,1,MIN(10,BB$173)))*(1+V_dPrecio))</f>
        <v>0</v>
      </c>
      <c r="BC205" s="48" t="n">
        <f aca="false">IF(BC$8=1,IF(Reales!$C$41="PYG",IF(BC$10&gt;0,N(Reales!BC41)/BC$10,0),N(Reales!BC41)),BC$180*IF(AND(AND(50&gt;Corte,50&lt;=Corte+n_Ventana),ISNUMBER(Detalle_24m!BC$45)),Detalle_24m!BC$45,INDEX(Precio_V,4)*INDEX(IdxPrecio_V,1,MIN(10,BC$173)))*(1+V_dPrecio))</f>
        <v>0</v>
      </c>
      <c r="BD205" s="48" t="n">
        <f aca="false">IF(BD$8=1,IF(Reales!$C$41="PYG",IF(BD$10&gt;0,N(Reales!BD41)/BD$10,0),N(Reales!BD41)),BD$180*IF(AND(AND(51&gt;Corte,51&lt;=Corte+n_Ventana),ISNUMBER(Detalle_24m!BD$45)),Detalle_24m!BD$45,INDEX(Precio_V,4)*INDEX(IdxPrecio_V,1,MIN(10,BD$173)))*(1+V_dPrecio))</f>
        <v>0</v>
      </c>
      <c r="BE205" s="48" t="n">
        <f aca="false">IF(BE$8=1,IF(Reales!$C$41="PYG",IF(BE$10&gt;0,N(Reales!BE41)/BE$10,0),N(Reales!BE41)),BE$180*IF(AND(AND(52&gt;Corte,52&lt;=Corte+n_Ventana),ISNUMBER(Detalle_24m!BE$45)),Detalle_24m!BE$45,INDEX(Precio_V,4)*INDEX(IdxPrecio_V,1,MIN(10,BE$173)))*(1+V_dPrecio))</f>
        <v>0</v>
      </c>
      <c r="BF205" s="48" t="n">
        <f aca="false">IF(BF$8=1,IF(Reales!$C$41="PYG",IF(BF$10&gt;0,N(Reales!BF41)/BF$10,0),N(Reales!BF41)),BF$180*IF(AND(AND(53&gt;Corte,53&lt;=Corte+n_Ventana),ISNUMBER(Detalle_24m!BF$45)),Detalle_24m!BF$45,INDEX(Precio_V,4)*INDEX(IdxPrecio_V,1,MIN(10,BF$173)))*(1+V_dPrecio))</f>
        <v>0</v>
      </c>
      <c r="BG205" s="48" t="n">
        <f aca="false">IF(BG$8=1,IF(Reales!$C$41="PYG",IF(BG$10&gt;0,N(Reales!BG41)/BG$10,0),N(Reales!BG41)),BG$180*IF(AND(AND(54&gt;Corte,54&lt;=Corte+n_Ventana),ISNUMBER(Detalle_24m!BG$45)),Detalle_24m!BG$45,INDEX(Precio_V,4)*INDEX(IdxPrecio_V,1,MIN(10,BG$173)))*(1+V_dPrecio))</f>
        <v>0</v>
      </c>
      <c r="BH205" s="48" t="n">
        <f aca="false">IF(BH$8=1,IF(Reales!$C$41="PYG",IF(BH$10&gt;0,N(Reales!BH41)/BH$10,0),N(Reales!BH41)),BH$180*IF(AND(AND(55&gt;Corte,55&lt;=Corte+n_Ventana),ISNUMBER(Detalle_24m!BH$45)),Detalle_24m!BH$45,INDEX(Precio_V,4)*INDEX(IdxPrecio_V,1,MIN(10,BH$173)))*(1+V_dPrecio))</f>
        <v>0</v>
      </c>
      <c r="BI205" s="48" t="n">
        <f aca="false">IF(BI$8=1,IF(Reales!$C$41="PYG",IF(BI$10&gt;0,N(Reales!BI41)/BI$10,0),N(Reales!BI41)),BI$180*IF(AND(AND(56&gt;Corte,56&lt;=Corte+n_Ventana),ISNUMBER(Detalle_24m!BI$45)),Detalle_24m!BI$45,INDEX(Precio_V,4)*INDEX(IdxPrecio_V,1,MIN(10,BI$173)))*(1+V_dPrecio))</f>
        <v>0</v>
      </c>
      <c r="BJ205" s="48" t="n">
        <f aca="false">IF(BJ$8=1,IF(Reales!$C$41="PYG",IF(BJ$10&gt;0,N(Reales!BJ41)/BJ$10,0),N(Reales!BJ41)),BJ$180*IF(AND(AND(57&gt;Corte,57&lt;=Corte+n_Ventana),ISNUMBER(Detalle_24m!BJ$45)),Detalle_24m!BJ$45,INDEX(Precio_V,4)*INDEX(IdxPrecio_V,1,MIN(10,BJ$173)))*(1+V_dPrecio))</f>
        <v>0</v>
      </c>
      <c r="BK205" s="48" t="n">
        <f aca="false">IF(BK$8=1,IF(Reales!$C$41="PYG",IF(BK$10&gt;0,N(Reales!BK41)/BK$10,0),N(Reales!BK41)),BK$180*IF(AND(AND(58&gt;Corte,58&lt;=Corte+n_Ventana),ISNUMBER(Detalle_24m!BK$45)),Detalle_24m!BK$45,INDEX(Precio_V,4)*INDEX(IdxPrecio_V,1,MIN(10,BK$173)))*(1+V_dPrecio))</f>
        <v>0</v>
      </c>
      <c r="BL205" s="48" t="n">
        <f aca="false">IF(BL$8=1,IF(Reales!$C$41="PYG",IF(BL$10&gt;0,N(Reales!BL41)/BL$10,0),N(Reales!BL41)),BL$180*IF(AND(AND(59&gt;Corte,59&lt;=Corte+n_Ventana),ISNUMBER(Detalle_24m!BL$45)),Detalle_24m!BL$45,INDEX(Precio_V,4)*INDEX(IdxPrecio_V,1,MIN(10,BL$173)))*(1+V_dPrecio))</f>
        <v>0</v>
      </c>
      <c r="BM205" s="48" t="n">
        <f aca="false">IF(BM$8=1,IF(Reales!$C$41="PYG",IF(BM$10&gt;0,N(Reales!BM41)/BM$10,0),N(Reales!BM41)),BM$180*IF(AND(AND(60&gt;Corte,60&lt;=Corte+n_Ventana),ISNUMBER(Detalle_24m!BM$45)),Detalle_24m!BM$45,INDEX(Precio_V,4)*INDEX(IdxPrecio_V,1,MIN(10,BM$173)))*(1+V_dPrecio))</f>
        <v>0</v>
      </c>
      <c r="BN205" s="48" t="n">
        <f aca="false">IF(BN$8=1,IF(Reales!$C$41="PYG",IF(BN$10&gt;0,N(Reales!BN41)/BN$10,0),N(Reales!BN41)),BN$180*IF(AND(AND(61&gt;Corte,61&lt;=Corte+n_Ventana),ISNUMBER(Detalle_24m!BN$45)),Detalle_24m!BN$45,INDEX(Precio_V,4)*INDEX(IdxPrecio_V,1,MIN(10,BN$173)))*(1+V_dPrecio))</f>
        <v>0</v>
      </c>
      <c r="BO205" s="48" t="n">
        <f aca="false">IF(BO$8=1,IF(Reales!$C$41="PYG",IF(BO$10&gt;0,N(Reales!BO41)/BO$10,0),N(Reales!BO41)),BO$180*IF(AND(AND(62&gt;Corte,62&lt;=Corte+n_Ventana),ISNUMBER(Detalle_24m!BO$45)),Detalle_24m!BO$45,INDEX(Precio_V,4)*INDEX(IdxPrecio_V,1,MIN(10,BO$173)))*(1+V_dPrecio))</f>
        <v>0</v>
      </c>
      <c r="BP205" s="48" t="n">
        <f aca="false">IF(BP$8=1,IF(Reales!$C$41="PYG",IF(BP$10&gt;0,N(Reales!BP41)/BP$10,0),N(Reales!BP41)),BP$180*IF(AND(AND(63&gt;Corte,63&lt;=Corte+n_Ventana),ISNUMBER(Detalle_24m!BP$45)),Detalle_24m!BP$45,INDEX(Precio_V,4)*INDEX(IdxPrecio_V,1,MIN(10,BP$173)))*(1+V_dPrecio))</f>
        <v>0</v>
      </c>
      <c r="BQ205" s="48" t="n">
        <f aca="false">IF(BQ$8=1,IF(Reales!$C$41="PYG",IF(BQ$10&gt;0,N(Reales!BQ41)/BQ$10,0),N(Reales!BQ41)),BQ$180*IF(AND(AND(64&gt;Corte,64&lt;=Corte+n_Ventana),ISNUMBER(Detalle_24m!BQ$45)),Detalle_24m!BQ$45,INDEX(Precio_V,4)*INDEX(IdxPrecio_V,1,MIN(10,BQ$173)))*(1+V_dPrecio))</f>
        <v>0</v>
      </c>
      <c r="BR205" s="48" t="n">
        <f aca="false">IF(BR$8=1,IF(Reales!$C$41="PYG",IF(BR$10&gt;0,N(Reales!BR41)/BR$10,0),N(Reales!BR41)),BR$180*IF(AND(AND(65&gt;Corte,65&lt;=Corte+n_Ventana),ISNUMBER(Detalle_24m!BR$45)),Detalle_24m!BR$45,INDEX(Precio_V,4)*INDEX(IdxPrecio_V,1,MIN(10,BR$173)))*(1+V_dPrecio))</f>
        <v>0</v>
      </c>
      <c r="BS205" s="48" t="n">
        <f aca="false">IF(BS$8=1,IF(Reales!$C$41="PYG",IF(BS$10&gt;0,N(Reales!BS41)/BS$10,0),N(Reales!BS41)),BS$180*IF(AND(AND(66&gt;Corte,66&lt;=Corte+n_Ventana),ISNUMBER(Detalle_24m!BS$45)),Detalle_24m!BS$45,INDEX(Precio_V,4)*INDEX(IdxPrecio_V,1,MIN(10,BS$173)))*(1+V_dPrecio))</f>
        <v>0</v>
      </c>
      <c r="BT205" s="48" t="n">
        <f aca="false">IF(BT$8=1,IF(Reales!$C$41="PYG",IF(BT$10&gt;0,N(Reales!BT41)/BT$10,0),N(Reales!BT41)),BT$180*IF(AND(AND(67&gt;Corte,67&lt;=Corte+n_Ventana),ISNUMBER(Detalle_24m!BT$45)),Detalle_24m!BT$45,INDEX(Precio_V,4)*INDEX(IdxPrecio_V,1,MIN(10,BT$173)))*(1+V_dPrecio))</f>
        <v>0</v>
      </c>
      <c r="BU205" s="48" t="n">
        <f aca="false">IF(BU$8=1,IF(Reales!$C$41="PYG",IF(BU$10&gt;0,N(Reales!BU41)/BU$10,0),N(Reales!BU41)),BU$180*IF(AND(AND(68&gt;Corte,68&lt;=Corte+n_Ventana),ISNUMBER(Detalle_24m!BU$45)),Detalle_24m!BU$45,INDEX(Precio_V,4)*INDEX(IdxPrecio_V,1,MIN(10,BU$173)))*(1+V_dPrecio))</f>
        <v>0</v>
      </c>
      <c r="BV205" s="48" t="n">
        <f aca="false">IF(BV$8=1,IF(Reales!$C$41="PYG",IF(BV$10&gt;0,N(Reales!BV41)/BV$10,0),N(Reales!BV41)),BV$180*IF(AND(AND(69&gt;Corte,69&lt;=Corte+n_Ventana),ISNUMBER(Detalle_24m!BV$45)),Detalle_24m!BV$45,INDEX(Precio_V,4)*INDEX(IdxPrecio_V,1,MIN(10,BV$173)))*(1+V_dPrecio))</f>
        <v>0</v>
      </c>
      <c r="BW205" s="48" t="n">
        <f aca="false">IF(BW$8=1,IF(Reales!$C$41="PYG",IF(BW$10&gt;0,N(Reales!BW41)/BW$10,0),N(Reales!BW41)),BW$180*IF(AND(AND(70&gt;Corte,70&lt;=Corte+n_Ventana),ISNUMBER(Detalle_24m!BW$45)),Detalle_24m!BW$45,INDEX(Precio_V,4)*INDEX(IdxPrecio_V,1,MIN(10,BW$173)))*(1+V_dPrecio))</f>
        <v>0</v>
      </c>
      <c r="BX205" s="48" t="n">
        <f aca="false">IF(BX$8=1,IF(Reales!$C$41="PYG",IF(BX$10&gt;0,N(Reales!BX41)/BX$10,0),N(Reales!BX41)),BX$180*IF(AND(AND(71&gt;Corte,71&lt;=Corte+n_Ventana),ISNUMBER(Detalle_24m!BX$45)),Detalle_24m!BX$45,INDEX(Precio_V,4)*INDEX(IdxPrecio_V,1,MIN(10,BX$173)))*(1+V_dPrecio))</f>
        <v>0</v>
      </c>
      <c r="BY205" s="48" t="n">
        <f aca="false">IF(BY$8=1,IF(Reales!$C$41="PYG",IF(BY$10&gt;0,N(Reales!BY41)/BY$10,0),N(Reales!BY41)),BY$180*IF(AND(AND(72&gt;Corte,72&lt;=Corte+n_Ventana),ISNUMBER(Detalle_24m!BY$45)),Detalle_24m!BY$45,INDEX(Precio_V,4)*INDEX(IdxPrecio_V,1,MIN(10,BY$173)))*(1+V_dPrecio))</f>
        <v>0</v>
      </c>
      <c r="BZ205" s="48" t="n">
        <f aca="false">IF(BZ$8=1,IF(Reales!$C$41="PYG",IF(BZ$10&gt;0,N(Reales!BZ41)/BZ$10,0),N(Reales!BZ41)),BZ$180*IF(AND(AND(73&gt;Corte,73&lt;=Corte+n_Ventana),ISNUMBER(Detalle_24m!BZ$45)),Detalle_24m!BZ$45,INDEX(Precio_V,4)*INDEX(IdxPrecio_V,1,MIN(10,BZ$173)))*(1+V_dPrecio))</f>
        <v>0</v>
      </c>
      <c r="CA205" s="48" t="n">
        <f aca="false">IF(CA$8=1,IF(Reales!$C$41="PYG",IF(CA$10&gt;0,N(Reales!CA41)/CA$10,0),N(Reales!CA41)),CA$180*IF(AND(AND(74&gt;Corte,74&lt;=Corte+n_Ventana),ISNUMBER(Detalle_24m!CA$45)),Detalle_24m!CA$45,INDEX(Precio_V,4)*INDEX(IdxPrecio_V,1,MIN(10,CA$173)))*(1+V_dPrecio))</f>
        <v>0</v>
      </c>
      <c r="CB205" s="48" t="n">
        <f aca="false">IF(CB$8=1,IF(Reales!$C$41="PYG",IF(CB$10&gt;0,N(Reales!CB41)/CB$10,0),N(Reales!CB41)),CB$180*IF(AND(AND(75&gt;Corte,75&lt;=Corte+n_Ventana),ISNUMBER(Detalle_24m!CB$45)),Detalle_24m!CB$45,INDEX(Precio_V,4)*INDEX(IdxPrecio_V,1,MIN(10,CB$173)))*(1+V_dPrecio))</f>
        <v>0</v>
      </c>
      <c r="CC205" s="48" t="n">
        <f aca="false">IF(CC$8=1,IF(Reales!$C$41="PYG",IF(CC$10&gt;0,N(Reales!CC41)/CC$10,0),N(Reales!CC41)),CC$180*IF(AND(AND(76&gt;Corte,76&lt;=Corte+n_Ventana),ISNUMBER(Detalle_24m!CC$45)),Detalle_24m!CC$45,INDEX(Precio_V,4)*INDEX(IdxPrecio_V,1,MIN(10,CC$173)))*(1+V_dPrecio))</f>
        <v>0</v>
      </c>
      <c r="CD205" s="48" t="n">
        <f aca="false">IF(CD$8=1,IF(Reales!$C$41="PYG",IF(CD$10&gt;0,N(Reales!CD41)/CD$10,0),N(Reales!CD41)),CD$180*IF(AND(AND(77&gt;Corte,77&lt;=Corte+n_Ventana),ISNUMBER(Detalle_24m!CD$45)),Detalle_24m!CD$45,INDEX(Precio_V,4)*INDEX(IdxPrecio_V,1,MIN(10,CD$173)))*(1+V_dPrecio))</f>
        <v>0</v>
      </c>
      <c r="CE205" s="48" t="n">
        <f aca="false">IF(CE$8=1,IF(Reales!$C$41="PYG",IF(CE$10&gt;0,N(Reales!CE41)/CE$10,0),N(Reales!CE41)),CE$180*IF(AND(AND(78&gt;Corte,78&lt;=Corte+n_Ventana),ISNUMBER(Detalle_24m!CE$45)),Detalle_24m!CE$45,INDEX(Precio_V,4)*INDEX(IdxPrecio_V,1,MIN(10,CE$173)))*(1+V_dPrecio))</f>
        <v>0</v>
      </c>
      <c r="CF205" s="48" t="n">
        <f aca="false">IF(CF$8=1,IF(Reales!$C$41="PYG",IF(CF$10&gt;0,N(Reales!CF41)/CF$10,0),N(Reales!CF41)),CF$180*IF(AND(AND(79&gt;Corte,79&lt;=Corte+n_Ventana),ISNUMBER(Detalle_24m!CF$45)),Detalle_24m!CF$45,INDEX(Precio_V,4)*INDEX(IdxPrecio_V,1,MIN(10,CF$173)))*(1+V_dPrecio))</f>
        <v>0</v>
      </c>
      <c r="CG205" s="48" t="n">
        <f aca="false">IF(CG$8=1,IF(Reales!$C$41="PYG",IF(CG$10&gt;0,N(Reales!CG41)/CG$10,0),N(Reales!CG41)),CG$180*IF(AND(AND(80&gt;Corte,80&lt;=Corte+n_Ventana),ISNUMBER(Detalle_24m!CG$45)),Detalle_24m!CG$45,INDEX(Precio_V,4)*INDEX(IdxPrecio_V,1,MIN(10,CG$173)))*(1+V_dPrecio))</f>
        <v>0</v>
      </c>
      <c r="CH205" s="48" t="n">
        <f aca="false">IF(CH$8=1,IF(Reales!$C$41="PYG",IF(CH$10&gt;0,N(Reales!CH41)/CH$10,0),N(Reales!CH41)),CH$180*IF(AND(AND(81&gt;Corte,81&lt;=Corte+n_Ventana),ISNUMBER(Detalle_24m!CH$45)),Detalle_24m!CH$45,INDEX(Precio_V,4)*INDEX(IdxPrecio_V,1,MIN(10,CH$173)))*(1+V_dPrecio))</f>
        <v>0</v>
      </c>
      <c r="CI205" s="48" t="n">
        <f aca="false">IF(CI$8=1,IF(Reales!$C$41="PYG",IF(CI$10&gt;0,N(Reales!CI41)/CI$10,0),N(Reales!CI41)),CI$180*IF(AND(AND(82&gt;Corte,82&lt;=Corte+n_Ventana),ISNUMBER(Detalle_24m!CI$45)),Detalle_24m!CI$45,INDEX(Precio_V,4)*INDEX(IdxPrecio_V,1,MIN(10,CI$173)))*(1+V_dPrecio))</f>
        <v>0</v>
      </c>
      <c r="CJ205" s="48" t="n">
        <f aca="false">IF(CJ$8=1,IF(Reales!$C$41="PYG",IF(CJ$10&gt;0,N(Reales!CJ41)/CJ$10,0),N(Reales!CJ41)),CJ$180*IF(AND(AND(83&gt;Corte,83&lt;=Corte+n_Ventana),ISNUMBER(Detalle_24m!CJ$45)),Detalle_24m!CJ$45,INDEX(Precio_V,4)*INDEX(IdxPrecio_V,1,MIN(10,CJ$173)))*(1+V_dPrecio))</f>
        <v>0</v>
      </c>
      <c r="CK205" s="48" t="n">
        <f aca="false">IF(CK$8=1,IF(Reales!$C$41="PYG",IF(CK$10&gt;0,N(Reales!CK41)/CK$10,0),N(Reales!CK41)),CK$180*IF(AND(AND(84&gt;Corte,84&lt;=Corte+n_Ventana),ISNUMBER(Detalle_24m!CK$45)),Detalle_24m!CK$45,INDEX(Precio_V,4)*INDEX(IdxPrecio_V,1,MIN(10,CK$173)))*(1+V_dPrecio))</f>
        <v>0</v>
      </c>
      <c r="CL205" s="48" t="n">
        <f aca="false">IF(CL$8=1,IF(Reales!$C$41="PYG",IF(CL$10&gt;0,N(Reales!CL41)/CL$10,0),N(Reales!CL41)),CL$180*IF(AND(AND(85&gt;Corte,85&lt;=Corte+n_Ventana),ISNUMBER(Detalle_24m!CL$45)),Detalle_24m!CL$45,INDEX(Precio_V,4)*INDEX(IdxPrecio_V,1,MIN(10,CL$173)))*(1+V_dPrecio))</f>
        <v>0</v>
      </c>
      <c r="CM205" s="48" t="n">
        <f aca="false">IF(CM$8=1,IF(Reales!$C$41="PYG",IF(CM$10&gt;0,N(Reales!CM41)/CM$10,0),N(Reales!CM41)),CM$180*IF(AND(AND(86&gt;Corte,86&lt;=Corte+n_Ventana),ISNUMBER(Detalle_24m!CM$45)),Detalle_24m!CM$45,INDEX(Precio_V,4)*INDEX(IdxPrecio_V,1,MIN(10,CM$173)))*(1+V_dPrecio))</f>
        <v>0</v>
      </c>
      <c r="CN205" s="48" t="n">
        <f aca="false">IF(CN$8=1,IF(Reales!$C$41="PYG",IF(CN$10&gt;0,N(Reales!CN41)/CN$10,0),N(Reales!CN41)),CN$180*IF(AND(AND(87&gt;Corte,87&lt;=Corte+n_Ventana),ISNUMBER(Detalle_24m!CN$45)),Detalle_24m!CN$45,INDEX(Precio_V,4)*INDEX(IdxPrecio_V,1,MIN(10,CN$173)))*(1+V_dPrecio))</f>
        <v>0</v>
      </c>
      <c r="CO205" s="48" t="n">
        <f aca="false">IF(CO$8=1,IF(Reales!$C$41="PYG",IF(CO$10&gt;0,N(Reales!CO41)/CO$10,0),N(Reales!CO41)),CO$180*IF(AND(AND(88&gt;Corte,88&lt;=Corte+n_Ventana),ISNUMBER(Detalle_24m!CO$45)),Detalle_24m!CO$45,INDEX(Precio_V,4)*INDEX(IdxPrecio_V,1,MIN(10,CO$173)))*(1+V_dPrecio))</f>
        <v>0</v>
      </c>
      <c r="CP205" s="48" t="n">
        <f aca="false">IF(CP$8=1,IF(Reales!$C$41="PYG",IF(CP$10&gt;0,N(Reales!CP41)/CP$10,0),N(Reales!CP41)),CP$180*IF(AND(AND(89&gt;Corte,89&lt;=Corte+n_Ventana),ISNUMBER(Detalle_24m!CP$45)),Detalle_24m!CP$45,INDEX(Precio_V,4)*INDEX(IdxPrecio_V,1,MIN(10,CP$173)))*(1+V_dPrecio))</f>
        <v>0</v>
      </c>
      <c r="CQ205" s="48" t="n">
        <f aca="false">IF(CQ$8=1,IF(Reales!$C$41="PYG",IF(CQ$10&gt;0,N(Reales!CQ41)/CQ$10,0),N(Reales!CQ41)),CQ$180*IF(AND(AND(90&gt;Corte,90&lt;=Corte+n_Ventana),ISNUMBER(Detalle_24m!CQ$45)),Detalle_24m!CQ$45,INDEX(Precio_V,4)*INDEX(IdxPrecio_V,1,MIN(10,CQ$173)))*(1+V_dPrecio))</f>
        <v>0</v>
      </c>
      <c r="CR205" s="48" t="n">
        <f aca="false">IF(CR$8=1,IF(Reales!$C$41="PYG",IF(CR$10&gt;0,N(Reales!CR41)/CR$10,0),N(Reales!CR41)),CR$180*IF(AND(AND(91&gt;Corte,91&lt;=Corte+n_Ventana),ISNUMBER(Detalle_24m!CR$45)),Detalle_24m!CR$45,INDEX(Precio_V,4)*INDEX(IdxPrecio_V,1,MIN(10,CR$173)))*(1+V_dPrecio))</f>
        <v>0</v>
      </c>
      <c r="CS205" s="48" t="n">
        <f aca="false">IF(CS$8=1,IF(Reales!$C$41="PYG",IF(CS$10&gt;0,N(Reales!CS41)/CS$10,0),N(Reales!CS41)),CS$180*IF(AND(AND(92&gt;Corte,92&lt;=Corte+n_Ventana),ISNUMBER(Detalle_24m!CS$45)),Detalle_24m!CS$45,INDEX(Precio_V,4)*INDEX(IdxPrecio_V,1,MIN(10,CS$173)))*(1+V_dPrecio))</f>
        <v>0</v>
      </c>
      <c r="CT205" s="48" t="n">
        <f aca="false">IF(CT$8=1,IF(Reales!$C$41="PYG",IF(CT$10&gt;0,N(Reales!CT41)/CT$10,0),N(Reales!CT41)),CT$180*IF(AND(AND(93&gt;Corte,93&lt;=Corte+n_Ventana),ISNUMBER(Detalle_24m!CT$45)),Detalle_24m!CT$45,INDEX(Precio_V,4)*INDEX(IdxPrecio_V,1,MIN(10,CT$173)))*(1+V_dPrecio))</f>
        <v>0</v>
      </c>
      <c r="CU205" s="48" t="n">
        <f aca="false">IF(CU$8=1,IF(Reales!$C$41="PYG",IF(CU$10&gt;0,N(Reales!CU41)/CU$10,0),N(Reales!CU41)),CU$180*IF(AND(AND(94&gt;Corte,94&lt;=Corte+n_Ventana),ISNUMBER(Detalle_24m!CU$45)),Detalle_24m!CU$45,INDEX(Precio_V,4)*INDEX(IdxPrecio_V,1,MIN(10,CU$173)))*(1+V_dPrecio))</f>
        <v>0</v>
      </c>
      <c r="CV205" s="48" t="n">
        <f aca="false">IF(CV$8=1,IF(Reales!$C$41="PYG",IF(CV$10&gt;0,N(Reales!CV41)/CV$10,0),N(Reales!CV41)),CV$180*IF(AND(AND(95&gt;Corte,95&lt;=Corte+n_Ventana),ISNUMBER(Detalle_24m!CV$45)),Detalle_24m!CV$45,INDEX(Precio_V,4)*INDEX(IdxPrecio_V,1,MIN(10,CV$173)))*(1+V_dPrecio))</f>
        <v>0</v>
      </c>
      <c r="CW205" s="48" t="n">
        <f aca="false">IF(CW$8=1,IF(Reales!$C$41="PYG",IF(CW$10&gt;0,N(Reales!CW41)/CW$10,0),N(Reales!CW41)),CW$180*IF(AND(AND(96&gt;Corte,96&lt;=Corte+n_Ventana),ISNUMBER(Detalle_24m!CW$45)),Detalle_24m!CW$45,INDEX(Precio_V,4)*INDEX(IdxPrecio_V,1,MIN(10,CW$173)))*(1+V_dPrecio))</f>
        <v>0</v>
      </c>
      <c r="CX205" s="48" t="n">
        <f aca="false">IF(CX$8=1,IF(Reales!$C$41="PYG",IF(CX$10&gt;0,N(Reales!CX41)/CX$10,0),N(Reales!CX41)),CX$180*IF(AND(AND(97&gt;Corte,97&lt;=Corte+n_Ventana),ISNUMBER(Detalle_24m!CX$45)),Detalle_24m!CX$45,INDEX(Precio_V,4)*INDEX(IdxPrecio_V,1,MIN(10,CX$173)))*(1+V_dPrecio))</f>
        <v>0</v>
      </c>
      <c r="CY205" s="48" t="n">
        <f aca="false">IF(CY$8=1,IF(Reales!$C$41="PYG",IF(CY$10&gt;0,N(Reales!CY41)/CY$10,0),N(Reales!CY41)),CY$180*IF(AND(AND(98&gt;Corte,98&lt;=Corte+n_Ventana),ISNUMBER(Detalle_24m!CY$45)),Detalle_24m!CY$45,INDEX(Precio_V,4)*INDEX(IdxPrecio_V,1,MIN(10,CY$173)))*(1+V_dPrecio))</f>
        <v>0</v>
      </c>
      <c r="CZ205" s="48" t="n">
        <f aca="false">IF(CZ$8=1,IF(Reales!$C$41="PYG",IF(CZ$10&gt;0,N(Reales!CZ41)/CZ$10,0),N(Reales!CZ41)),CZ$180*IF(AND(AND(99&gt;Corte,99&lt;=Corte+n_Ventana),ISNUMBER(Detalle_24m!CZ$45)),Detalle_24m!CZ$45,INDEX(Precio_V,4)*INDEX(IdxPrecio_V,1,MIN(10,CZ$173)))*(1+V_dPrecio))</f>
        <v>0</v>
      </c>
      <c r="DA205" s="48" t="n">
        <f aca="false">IF(DA$8=1,IF(Reales!$C$41="PYG",IF(DA$10&gt;0,N(Reales!DA41)/DA$10,0),N(Reales!DA41)),DA$180*IF(AND(AND(100&gt;Corte,100&lt;=Corte+n_Ventana),ISNUMBER(Detalle_24m!DA$45)),Detalle_24m!DA$45,INDEX(Precio_V,4)*INDEX(IdxPrecio_V,1,MIN(10,DA$173)))*(1+V_dPrecio))</f>
        <v>0</v>
      </c>
      <c r="DB205" s="48" t="n">
        <f aca="false">IF(DB$8=1,IF(Reales!$C$41="PYG",IF(DB$10&gt;0,N(Reales!DB41)/DB$10,0),N(Reales!DB41)),DB$180*IF(AND(AND(101&gt;Corte,101&lt;=Corte+n_Ventana),ISNUMBER(Detalle_24m!DB$45)),Detalle_24m!DB$45,INDEX(Precio_V,4)*INDEX(IdxPrecio_V,1,MIN(10,DB$173)))*(1+V_dPrecio))</f>
        <v>0</v>
      </c>
      <c r="DC205" s="48" t="n">
        <f aca="false">IF(DC$8=1,IF(Reales!$C$41="PYG",IF(DC$10&gt;0,N(Reales!DC41)/DC$10,0),N(Reales!DC41)),DC$180*IF(AND(AND(102&gt;Corte,102&lt;=Corte+n_Ventana),ISNUMBER(Detalle_24m!DC$45)),Detalle_24m!DC$45,INDEX(Precio_V,4)*INDEX(IdxPrecio_V,1,MIN(10,DC$173)))*(1+V_dPrecio))</f>
        <v>0</v>
      </c>
      <c r="DD205" s="48" t="n">
        <f aca="false">IF(DD$8=1,IF(Reales!$C$41="PYG",IF(DD$10&gt;0,N(Reales!DD41)/DD$10,0),N(Reales!DD41)),DD$180*IF(AND(AND(103&gt;Corte,103&lt;=Corte+n_Ventana),ISNUMBER(Detalle_24m!DD$45)),Detalle_24m!DD$45,INDEX(Precio_V,4)*INDEX(IdxPrecio_V,1,MIN(10,DD$173)))*(1+V_dPrecio))</f>
        <v>0</v>
      </c>
      <c r="DE205" s="48" t="n">
        <f aca="false">IF(DE$8=1,IF(Reales!$C$41="PYG",IF(DE$10&gt;0,N(Reales!DE41)/DE$10,0),N(Reales!DE41)),DE$180*IF(AND(AND(104&gt;Corte,104&lt;=Corte+n_Ventana),ISNUMBER(Detalle_24m!DE$45)),Detalle_24m!DE$45,INDEX(Precio_V,4)*INDEX(IdxPrecio_V,1,MIN(10,DE$173)))*(1+V_dPrecio))</f>
        <v>0</v>
      </c>
      <c r="DF205" s="48" t="n">
        <f aca="false">IF(DF$8=1,IF(Reales!$C$41="PYG",IF(DF$10&gt;0,N(Reales!DF41)/DF$10,0),N(Reales!DF41)),DF$180*IF(AND(AND(105&gt;Corte,105&lt;=Corte+n_Ventana),ISNUMBER(Detalle_24m!DF$45)),Detalle_24m!DF$45,INDEX(Precio_V,4)*INDEX(IdxPrecio_V,1,MIN(10,DF$173)))*(1+V_dPrecio))</f>
        <v>0</v>
      </c>
      <c r="DG205" s="48" t="n">
        <f aca="false">IF(DG$8=1,IF(Reales!$C$41="PYG",IF(DG$10&gt;0,N(Reales!DG41)/DG$10,0),N(Reales!DG41)),DG$180*IF(AND(AND(106&gt;Corte,106&lt;=Corte+n_Ventana),ISNUMBER(Detalle_24m!DG$45)),Detalle_24m!DG$45,INDEX(Precio_V,4)*INDEX(IdxPrecio_V,1,MIN(10,DG$173)))*(1+V_dPrecio))</f>
        <v>0</v>
      </c>
      <c r="DH205" s="48" t="n">
        <f aca="false">IF(DH$8=1,IF(Reales!$C$41="PYG",IF(DH$10&gt;0,N(Reales!DH41)/DH$10,0),N(Reales!DH41)),DH$180*IF(AND(AND(107&gt;Corte,107&lt;=Corte+n_Ventana),ISNUMBER(Detalle_24m!DH$45)),Detalle_24m!DH$45,INDEX(Precio_V,4)*INDEX(IdxPrecio_V,1,MIN(10,DH$173)))*(1+V_dPrecio))</f>
        <v>0</v>
      </c>
      <c r="DI205" s="48" t="n">
        <f aca="false">IF(DI$8=1,IF(Reales!$C$41="PYG",IF(DI$10&gt;0,N(Reales!DI41)/DI$10,0),N(Reales!DI41)),DI$180*IF(AND(AND(108&gt;Corte,108&lt;=Corte+n_Ventana),ISNUMBER(Detalle_24m!DI$45)),Detalle_24m!DI$45,INDEX(Precio_V,4)*INDEX(IdxPrecio_V,1,MIN(10,DI$173)))*(1+V_dPrecio))</f>
        <v>0</v>
      </c>
      <c r="DJ205" s="48" t="n">
        <f aca="false">IF(DJ$8=1,IF(Reales!$C$41="PYG",IF(DJ$10&gt;0,N(Reales!DJ41)/DJ$10,0),N(Reales!DJ41)),DJ$180*IF(AND(AND(109&gt;Corte,109&lt;=Corte+n_Ventana),ISNUMBER(Detalle_24m!DJ$45)),Detalle_24m!DJ$45,INDEX(Precio_V,4)*INDEX(IdxPrecio_V,1,MIN(10,DJ$173)))*(1+V_dPrecio))</f>
        <v>0</v>
      </c>
      <c r="DK205" s="48" t="n">
        <f aca="false">IF(DK$8=1,IF(Reales!$C$41="PYG",IF(DK$10&gt;0,N(Reales!DK41)/DK$10,0),N(Reales!DK41)),DK$180*IF(AND(AND(110&gt;Corte,110&lt;=Corte+n_Ventana),ISNUMBER(Detalle_24m!DK$45)),Detalle_24m!DK$45,INDEX(Precio_V,4)*INDEX(IdxPrecio_V,1,MIN(10,DK$173)))*(1+V_dPrecio))</f>
        <v>0</v>
      </c>
      <c r="DL205" s="48" t="n">
        <f aca="false">IF(DL$8=1,IF(Reales!$C$41="PYG",IF(DL$10&gt;0,N(Reales!DL41)/DL$10,0),N(Reales!DL41)),DL$180*IF(AND(AND(111&gt;Corte,111&lt;=Corte+n_Ventana),ISNUMBER(Detalle_24m!DL$45)),Detalle_24m!DL$45,INDEX(Precio_V,4)*INDEX(IdxPrecio_V,1,MIN(10,DL$173)))*(1+V_dPrecio))</f>
        <v>0</v>
      </c>
      <c r="DM205" s="48" t="n">
        <f aca="false">IF(DM$8=1,IF(Reales!$C$41="PYG",IF(DM$10&gt;0,N(Reales!DM41)/DM$10,0),N(Reales!DM41)),DM$180*IF(AND(AND(112&gt;Corte,112&lt;=Corte+n_Ventana),ISNUMBER(Detalle_24m!DM$45)),Detalle_24m!DM$45,INDEX(Precio_V,4)*INDEX(IdxPrecio_V,1,MIN(10,DM$173)))*(1+V_dPrecio))</f>
        <v>0</v>
      </c>
      <c r="DN205" s="48" t="n">
        <f aca="false">IF(DN$8=1,IF(Reales!$C$41="PYG",IF(DN$10&gt;0,N(Reales!DN41)/DN$10,0),N(Reales!DN41)),DN$180*IF(AND(AND(113&gt;Corte,113&lt;=Corte+n_Ventana),ISNUMBER(Detalle_24m!DN$45)),Detalle_24m!DN$45,INDEX(Precio_V,4)*INDEX(IdxPrecio_V,1,MIN(10,DN$173)))*(1+V_dPrecio))</f>
        <v>0</v>
      </c>
      <c r="DO205" s="48" t="n">
        <f aca="false">IF(DO$8=1,IF(Reales!$C$41="PYG",IF(DO$10&gt;0,N(Reales!DO41)/DO$10,0),N(Reales!DO41)),DO$180*IF(AND(AND(114&gt;Corte,114&lt;=Corte+n_Ventana),ISNUMBER(Detalle_24m!DO$45)),Detalle_24m!DO$45,INDEX(Precio_V,4)*INDEX(IdxPrecio_V,1,MIN(10,DO$173)))*(1+V_dPrecio))</f>
        <v>0</v>
      </c>
      <c r="DP205" s="48" t="n">
        <f aca="false">IF(DP$8=1,IF(Reales!$C$41="PYG",IF(DP$10&gt;0,N(Reales!DP41)/DP$10,0),N(Reales!DP41)),DP$180*IF(AND(AND(115&gt;Corte,115&lt;=Corte+n_Ventana),ISNUMBER(Detalle_24m!DP$45)),Detalle_24m!DP$45,INDEX(Precio_V,4)*INDEX(IdxPrecio_V,1,MIN(10,DP$173)))*(1+V_dPrecio))</f>
        <v>0</v>
      </c>
      <c r="DQ205" s="48" t="n">
        <f aca="false">IF(DQ$8=1,IF(Reales!$C$41="PYG",IF(DQ$10&gt;0,N(Reales!DQ41)/DQ$10,0),N(Reales!DQ41)),DQ$180*IF(AND(AND(116&gt;Corte,116&lt;=Corte+n_Ventana),ISNUMBER(Detalle_24m!DQ$45)),Detalle_24m!DQ$45,INDEX(Precio_V,4)*INDEX(IdxPrecio_V,1,MIN(10,DQ$173)))*(1+V_dPrecio))</f>
        <v>0</v>
      </c>
      <c r="DR205" s="48" t="n">
        <f aca="false">IF(DR$8=1,IF(Reales!$C$41="PYG",IF(DR$10&gt;0,N(Reales!DR41)/DR$10,0),N(Reales!DR41)),DR$180*IF(AND(AND(117&gt;Corte,117&lt;=Corte+n_Ventana),ISNUMBER(Detalle_24m!DR$45)),Detalle_24m!DR$45,INDEX(Precio_V,4)*INDEX(IdxPrecio_V,1,MIN(10,DR$173)))*(1+V_dPrecio))</f>
        <v>0</v>
      </c>
      <c r="DS205" s="48" t="n">
        <f aca="false">IF(DS$8=1,IF(Reales!$C$41="PYG",IF(DS$10&gt;0,N(Reales!DS41)/DS$10,0),N(Reales!DS41)),DS$180*IF(AND(AND(118&gt;Corte,118&lt;=Corte+n_Ventana),ISNUMBER(Detalle_24m!DS$45)),Detalle_24m!DS$45,INDEX(Precio_V,4)*INDEX(IdxPrecio_V,1,MIN(10,DS$173)))*(1+V_dPrecio))</f>
        <v>0</v>
      </c>
      <c r="DT205" s="48" t="n">
        <f aca="false">IF(DT$8=1,IF(Reales!$C$41="PYG",IF(DT$10&gt;0,N(Reales!DT41)/DT$10,0),N(Reales!DT41)),DT$180*IF(AND(AND(119&gt;Corte,119&lt;=Corte+n_Ventana),ISNUMBER(Detalle_24m!DT$45)),Detalle_24m!DT$45,INDEX(Precio_V,4)*INDEX(IdxPrecio_V,1,MIN(10,DT$173)))*(1+V_dPrecio))</f>
        <v>0</v>
      </c>
      <c r="DU205" s="48" t="n">
        <f aca="false">IF(DU$8=1,IF(Reales!$C$41="PYG",IF(DU$10&gt;0,N(Reales!DU41)/DU$10,0),N(Reales!DU41)),DU$180*IF(AND(AND(120&gt;Corte,120&lt;=Corte+n_Ventana),ISNUMBER(Detalle_24m!DU$45)),Detalle_24m!DU$45,INDEX(Precio_V,4)*INDEX(IdxPrecio_V,1,MIN(10,DU$173)))*(1+V_dPrecio))</f>
        <v>0</v>
      </c>
      <c r="DV205" s="48" t="n">
        <f aca="false">IF(DV$8=1,IF(Reales!$C$41="PYG",IF(DV$10&gt;0,N(Reales!DV41)/DV$10,0),N(Reales!DV41)),DV$180*IF(AND(AND(121&gt;Corte,121&lt;=Corte+n_Ventana),ISNUMBER(Detalle_24m!DV$45)),Detalle_24m!DV$45,INDEX(Precio_V,4)*INDEX(IdxPrecio_V,1,MIN(10,DV$173)))*(1+V_dPrecio))</f>
        <v>0</v>
      </c>
      <c r="DW205" s="48" t="n">
        <f aca="false">IF(DW$8=1,IF(Reales!$C$41="PYG",IF(DW$10&gt;0,N(Reales!DW41)/DW$10,0),N(Reales!DW41)),DW$180*IF(AND(AND(122&gt;Corte,122&lt;=Corte+n_Ventana),ISNUMBER(Detalle_24m!DW$45)),Detalle_24m!DW$45,INDEX(Precio_V,4)*INDEX(IdxPrecio_V,1,MIN(10,DW$173)))*(1+V_dPrecio))</f>
        <v>0</v>
      </c>
      <c r="DX205" s="48" t="n">
        <f aca="false">IF(DX$8=1,IF(Reales!$C$41="PYG",IF(DX$10&gt;0,N(Reales!DX41)/DX$10,0),N(Reales!DX41)),DX$180*IF(AND(AND(123&gt;Corte,123&lt;=Corte+n_Ventana),ISNUMBER(Detalle_24m!DX$45)),Detalle_24m!DX$45,INDEX(Precio_V,4)*INDEX(IdxPrecio_V,1,MIN(10,DX$173)))*(1+V_dPrecio))</f>
        <v>0</v>
      </c>
      <c r="DY205" s="48" t="n">
        <f aca="false">IF(DY$8=1,IF(Reales!$C$41="PYG",IF(DY$10&gt;0,N(Reales!DY41)/DY$10,0),N(Reales!DY41)),DY$180*IF(AND(AND(124&gt;Corte,124&lt;=Corte+n_Ventana),ISNUMBER(Detalle_24m!DY$45)),Detalle_24m!DY$45,INDEX(Precio_V,4)*INDEX(IdxPrecio_V,1,MIN(10,DY$173)))*(1+V_dPrecio))</f>
        <v>0</v>
      </c>
      <c r="DZ205" s="48" t="n">
        <f aca="false">IF(DZ$8=1,IF(Reales!$C$41="PYG",IF(DZ$10&gt;0,N(Reales!DZ41)/DZ$10,0),N(Reales!DZ41)),DZ$180*IF(AND(AND(125&gt;Corte,125&lt;=Corte+n_Ventana),ISNUMBER(Detalle_24m!DZ$45)),Detalle_24m!DZ$45,INDEX(Precio_V,4)*INDEX(IdxPrecio_V,1,MIN(10,DZ$173)))*(1+V_dPrecio))</f>
        <v>0</v>
      </c>
      <c r="EA205" s="48" t="n">
        <f aca="false">IF(EA$8=1,IF(Reales!$C$41="PYG",IF(EA$10&gt;0,N(Reales!EA41)/EA$10,0),N(Reales!EA41)),EA$180*IF(AND(AND(126&gt;Corte,126&lt;=Corte+n_Ventana),ISNUMBER(Detalle_24m!EA$45)),Detalle_24m!EA$45,INDEX(Precio_V,4)*INDEX(IdxPrecio_V,1,MIN(10,EA$173)))*(1+V_dPrecio))</f>
        <v>0</v>
      </c>
      <c r="EB205" s="48" t="n">
        <f aca="false">IF(EB$8=1,IF(Reales!$C$41="PYG",IF(EB$10&gt;0,N(Reales!EB41)/EB$10,0),N(Reales!EB41)),EB$180*IF(AND(AND(127&gt;Corte,127&lt;=Corte+n_Ventana),ISNUMBER(Detalle_24m!EB$45)),Detalle_24m!EB$45,INDEX(Precio_V,4)*INDEX(IdxPrecio_V,1,MIN(10,EB$173)))*(1+V_dPrecio))</f>
        <v>0</v>
      </c>
      <c r="EC205" s="48" t="n">
        <f aca="false">IF(EC$8=1,IF(Reales!$C$41="PYG",IF(EC$10&gt;0,N(Reales!EC41)/EC$10,0),N(Reales!EC41)),EC$180*IF(AND(AND(128&gt;Corte,128&lt;=Corte+n_Ventana),ISNUMBER(Detalle_24m!EC$45)),Detalle_24m!EC$45,INDEX(Precio_V,4)*INDEX(IdxPrecio_V,1,MIN(10,EC$173)))*(1+V_dPrecio))</f>
        <v>0</v>
      </c>
      <c r="ED205" s="48" t="n">
        <f aca="false">IF(ED$8=1,IF(Reales!$C$41="PYG",IF(ED$10&gt;0,N(Reales!ED41)/ED$10,0),N(Reales!ED41)),ED$180*IF(AND(AND(129&gt;Corte,129&lt;=Corte+n_Ventana),ISNUMBER(Detalle_24m!ED$45)),Detalle_24m!ED$45,INDEX(Precio_V,4)*INDEX(IdxPrecio_V,1,MIN(10,ED$173)))*(1+V_dPrecio))</f>
        <v>0</v>
      </c>
      <c r="EE205" s="48" t="n">
        <f aca="false">IF(EE$8=1,IF(Reales!$C$41="PYG",IF(EE$10&gt;0,N(Reales!EE41)/EE$10,0),N(Reales!EE41)),EE$180*IF(AND(AND(130&gt;Corte,130&lt;=Corte+n_Ventana),ISNUMBER(Detalle_24m!EE$45)),Detalle_24m!EE$45,INDEX(Precio_V,4)*INDEX(IdxPrecio_V,1,MIN(10,EE$173)))*(1+V_dPrecio))</f>
        <v>0</v>
      </c>
      <c r="EF205" s="48" t="n">
        <f aca="false">IF(EF$8=1,IF(Reales!$C$41="PYG",IF(EF$10&gt;0,N(Reales!EF41)/EF$10,0),N(Reales!EF41)),EF$180*IF(AND(AND(131&gt;Corte,131&lt;=Corte+n_Ventana),ISNUMBER(Detalle_24m!EF$45)),Detalle_24m!EF$45,INDEX(Precio_V,4)*INDEX(IdxPrecio_V,1,MIN(10,EF$173)))*(1+V_dPrecio))</f>
        <v>0</v>
      </c>
      <c r="EG205" s="48" t="n">
        <f aca="false">IF(EG$8=1,IF(Reales!$C$41="PYG",IF(EG$10&gt;0,N(Reales!EG41)/EG$10,0),N(Reales!EG41)),EG$180*IF(AND(AND(132&gt;Corte,132&lt;=Corte+n_Ventana),ISNUMBER(Detalle_24m!EG$45)),Detalle_24m!EG$45,INDEX(Precio_V,4)*INDEX(IdxPrecio_V,1,MIN(10,EG$173)))*(1+V_dPrecio))</f>
        <v>0</v>
      </c>
      <c r="EH205" s="48" t="n">
        <f aca="false">IF(EH$8=1,IF(Reales!$C$41="PYG",IF(EH$10&gt;0,N(Reales!EH41)/EH$10,0),N(Reales!EH41)),EH$180*IF(AND(AND(133&gt;Corte,133&lt;=Corte+n_Ventana),ISNUMBER(Detalle_24m!EH$45)),Detalle_24m!EH$45,INDEX(Precio_V,4)*INDEX(IdxPrecio_V,1,MIN(10,EH$173)))*(1+V_dPrecio))</f>
        <v>0</v>
      </c>
      <c r="EI205" s="48" t="n">
        <f aca="false">IF(EI$8=1,IF(Reales!$C$41="PYG",IF(EI$10&gt;0,N(Reales!EI41)/EI$10,0),N(Reales!EI41)),EI$180*IF(AND(AND(134&gt;Corte,134&lt;=Corte+n_Ventana),ISNUMBER(Detalle_24m!EI$45)),Detalle_24m!EI$45,INDEX(Precio_V,4)*INDEX(IdxPrecio_V,1,MIN(10,EI$173)))*(1+V_dPrecio))</f>
        <v>0</v>
      </c>
      <c r="EJ205" s="48" t="n">
        <f aca="false">IF(EJ$8=1,IF(Reales!$C$41="PYG",IF(EJ$10&gt;0,N(Reales!EJ41)/EJ$10,0),N(Reales!EJ41)),EJ$180*IF(AND(AND(135&gt;Corte,135&lt;=Corte+n_Ventana),ISNUMBER(Detalle_24m!EJ$45)),Detalle_24m!EJ$45,INDEX(Precio_V,4)*INDEX(IdxPrecio_V,1,MIN(10,EJ$173)))*(1+V_dPrecio))</f>
        <v>0</v>
      </c>
      <c r="EK205" s="48" t="n">
        <f aca="false">IF(EK$8=1,IF(Reales!$C$41="PYG",IF(EK$10&gt;0,N(Reales!EK41)/EK$10,0),N(Reales!EK41)),EK$180*IF(AND(AND(136&gt;Corte,136&lt;=Corte+n_Ventana),ISNUMBER(Detalle_24m!EK$45)),Detalle_24m!EK$45,INDEX(Precio_V,4)*INDEX(IdxPrecio_V,1,MIN(10,EK$173)))*(1+V_dPrecio))</f>
        <v>0</v>
      </c>
      <c r="EL205" s="48" t="n">
        <f aca="false">IF(EL$8=1,IF(Reales!$C$41="PYG",IF(EL$10&gt;0,N(Reales!EL41)/EL$10,0),N(Reales!EL41)),EL$180*IF(AND(AND(137&gt;Corte,137&lt;=Corte+n_Ventana),ISNUMBER(Detalle_24m!EL$45)),Detalle_24m!EL$45,INDEX(Precio_V,4)*INDEX(IdxPrecio_V,1,MIN(10,EL$173)))*(1+V_dPrecio))</f>
        <v>0</v>
      </c>
      <c r="EM205" s="48" t="n">
        <f aca="false">IF(EM$8=1,IF(Reales!$C$41="PYG",IF(EM$10&gt;0,N(Reales!EM41)/EM$10,0),N(Reales!EM41)),EM$180*IF(AND(AND(138&gt;Corte,138&lt;=Corte+n_Ventana),ISNUMBER(Detalle_24m!EM$45)),Detalle_24m!EM$45,INDEX(Precio_V,4)*INDEX(IdxPrecio_V,1,MIN(10,EM$173)))*(1+V_dPrecio))</f>
        <v>0</v>
      </c>
      <c r="EN205" s="48" t="n">
        <f aca="false">IF(EN$8=1,IF(Reales!$C$41="PYG",IF(EN$10&gt;0,N(Reales!EN41)/EN$10,0),N(Reales!EN41)),EN$180*IF(AND(AND(139&gt;Corte,139&lt;=Corte+n_Ventana),ISNUMBER(Detalle_24m!EN$45)),Detalle_24m!EN$45,INDEX(Precio_V,4)*INDEX(IdxPrecio_V,1,MIN(10,EN$173)))*(1+V_dPrecio))</f>
        <v>0</v>
      </c>
      <c r="EO205" s="48" t="n">
        <f aca="false">IF(EO$8=1,IF(Reales!$C$41="PYG",IF(EO$10&gt;0,N(Reales!EO41)/EO$10,0),N(Reales!EO41)),EO$180*IF(AND(AND(140&gt;Corte,140&lt;=Corte+n_Ventana),ISNUMBER(Detalle_24m!EO$45)),Detalle_24m!EO$45,INDEX(Precio_V,4)*INDEX(IdxPrecio_V,1,MIN(10,EO$173)))*(1+V_dPrecio))</f>
        <v>0</v>
      </c>
      <c r="EP205" s="48" t="n">
        <f aca="false">IF(EP$8=1,IF(Reales!$C$41="PYG",IF(EP$10&gt;0,N(Reales!EP41)/EP$10,0),N(Reales!EP41)),EP$180*IF(AND(AND(141&gt;Corte,141&lt;=Corte+n_Ventana),ISNUMBER(Detalle_24m!EP$45)),Detalle_24m!EP$45,INDEX(Precio_V,4)*INDEX(IdxPrecio_V,1,MIN(10,EP$173)))*(1+V_dPrecio))</f>
        <v>0</v>
      </c>
      <c r="EQ205" s="48" t="n">
        <f aca="false">IF(EQ$8=1,IF(Reales!$C$41="PYG",IF(EQ$10&gt;0,N(Reales!EQ41)/EQ$10,0),N(Reales!EQ41)),EQ$180*IF(AND(AND(142&gt;Corte,142&lt;=Corte+n_Ventana),ISNUMBER(Detalle_24m!EQ$45)),Detalle_24m!EQ$45,INDEX(Precio_V,4)*INDEX(IdxPrecio_V,1,MIN(10,EQ$173)))*(1+V_dPrecio))</f>
        <v>0</v>
      </c>
      <c r="ER205" s="48" t="n">
        <f aca="false">IF(ER$8=1,IF(Reales!$C$41="PYG",IF(ER$10&gt;0,N(Reales!ER41)/ER$10,0),N(Reales!ER41)),ER$180*IF(AND(AND(143&gt;Corte,143&lt;=Corte+n_Ventana),ISNUMBER(Detalle_24m!ER$45)),Detalle_24m!ER$45,INDEX(Precio_V,4)*INDEX(IdxPrecio_V,1,MIN(10,ER$173)))*(1+V_dPrecio))</f>
        <v>0</v>
      </c>
      <c r="ES205" s="48" t="n">
        <f aca="false">IF(ES$8=1,IF(Reales!$C$41="PYG",IF(ES$10&gt;0,N(Reales!ES41)/ES$10,0),N(Reales!ES41)),ES$180*IF(AND(AND(144&gt;Corte,144&lt;=Corte+n_Ventana),ISNUMBER(Detalle_24m!ES$45)),Detalle_24m!ES$45,INDEX(Precio_V,4)*INDEX(IdxPrecio_V,1,MIN(10,ES$173)))*(1+V_dPrecio))</f>
        <v>0</v>
      </c>
    </row>
    <row r="206" customFormat="false" ht="15" hidden="false" customHeight="false" outlineLevel="0" collapsed="false">
      <c r="A206" s="11" t="s">
        <v>1329</v>
      </c>
      <c r="B206" s="53" t="str">
        <f aca="false">IF(INDEX(Prod_Nombre,5)="","Producto 5",INDEX(Prod_Nombre,5))&amp;" — ventas USD"</f>
        <v>Producto 5 — ventas USD</v>
      </c>
      <c r="C206" s="15" t="s">
        <v>508</v>
      </c>
      <c r="E206" s="54" t="n">
        <f aca="false">SUM(F206:ES206)</f>
        <v>0</v>
      </c>
      <c r="F206" s="48" t="n">
        <f aca="false">IF(F$8=1,IF(Reales!$C$42="PYG",IF(F$10&gt;0,N(Reales!F42)/F$10,0),N(Reales!F42)),F$181*IF(AND(AND(1&gt;Corte,1&lt;=Corte+n_Ventana),ISNUMBER(Detalle_24m!F$46)),Detalle_24m!F$46,INDEX(Precio_V,5)*INDEX(IdxPrecio_V,1,MIN(10,F$173)))*(1+V_dPrecio))</f>
        <v>0</v>
      </c>
      <c r="G206" s="48" t="n">
        <f aca="false">IF(G$8=1,IF(Reales!$C$42="PYG",IF(G$10&gt;0,N(Reales!G42)/G$10,0),N(Reales!G42)),G$181*IF(AND(AND(2&gt;Corte,2&lt;=Corte+n_Ventana),ISNUMBER(Detalle_24m!G$46)),Detalle_24m!G$46,INDEX(Precio_V,5)*INDEX(IdxPrecio_V,1,MIN(10,G$173)))*(1+V_dPrecio))</f>
        <v>0</v>
      </c>
      <c r="H206" s="48" t="n">
        <f aca="false">IF(H$8=1,IF(Reales!$C$42="PYG",IF(H$10&gt;0,N(Reales!H42)/H$10,0),N(Reales!H42)),H$181*IF(AND(AND(3&gt;Corte,3&lt;=Corte+n_Ventana),ISNUMBER(Detalle_24m!H$46)),Detalle_24m!H$46,INDEX(Precio_V,5)*INDEX(IdxPrecio_V,1,MIN(10,H$173)))*(1+V_dPrecio))</f>
        <v>0</v>
      </c>
      <c r="I206" s="48" t="n">
        <f aca="false">IF(I$8=1,IF(Reales!$C$42="PYG",IF(I$10&gt;0,N(Reales!I42)/I$10,0),N(Reales!I42)),I$181*IF(AND(AND(4&gt;Corte,4&lt;=Corte+n_Ventana),ISNUMBER(Detalle_24m!I$46)),Detalle_24m!I$46,INDEX(Precio_V,5)*INDEX(IdxPrecio_V,1,MIN(10,I$173)))*(1+V_dPrecio))</f>
        <v>0</v>
      </c>
      <c r="J206" s="48" t="n">
        <f aca="false">IF(J$8=1,IF(Reales!$C$42="PYG",IF(J$10&gt;0,N(Reales!J42)/J$10,0),N(Reales!J42)),J$181*IF(AND(AND(5&gt;Corte,5&lt;=Corte+n_Ventana),ISNUMBER(Detalle_24m!J$46)),Detalle_24m!J$46,INDEX(Precio_V,5)*INDEX(IdxPrecio_V,1,MIN(10,J$173)))*(1+V_dPrecio))</f>
        <v>0</v>
      </c>
      <c r="K206" s="48" t="n">
        <f aca="false">IF(K$8=1,IF(Reales!$C$42="PYG",IF(K$10&gt;0,N(Reales!K42)/K$10,0),N(Reales!K42)),K$181*IF(AND(AND(6&gt;Corte,6&lt;=Corte+n_Ventana),ISNUMBER(Detalle_24m!K$46)),Detalle_24m!K$46,INDEX(Precio_V,5)*INDEX(IdxPrecio_V,1,MIN(10,K$173)))*(1+V_dPrecio))</f>
        <v>0</v>
      </c>
      <c r="L206" s="48" t="n">
        <f aca="false">IF(L$8=1,IF(Reales!$C$42="PYG",IF(L$10&gt;0,N(Reales!L42)/L$10,0),N(Reales!L42)),L$181*IF(AND(AND(7&gt;Corte,7&lt;=Corte+n_Ventana),ISNUMBER(Detalle_24m!L$46)),Detalle_24m!L$46,INDEX(Precio_V,5)*INDEX(IdxPrecio_V,1,MIN(10,L$173)))*(1+V_dPrecio))</f>
        <v>0</v>
      </c>
      <c r="M206" s="48" t="n">
        <f aca="false">IF(M$8=1,IF(Reales!$C$42="PYG",IF(M$10&gt;0,N(Reales!M42)/M$10,0),N(Reales!M42)),M$181*IF(AND(AND(8&gt;Corte,8&lt;=Corte+n_Ventana),ISNUMBER(Detalle_24m!M$46)),Detalle_24m!M$46,INDEX(Precio_V,5)*INDEX(IdxPrecio_V,1,MIN(10,M$173)))*(1+V_dPrecio))</f>
        <v>0</v>
      </c>
      <c r="N206" s="48" t="n">
        <f aca="false">IF(N$8=1,IF(Reales!$C$42="PYG",IF(N$10&gt;0,N(Reales!N42)/N$10,0),N(Reales!N42)),N$181*IF(AND(AND(9&gt;Corte,9&lt;=Corte+n_Ventana),ISNUMBER(Detalle_24m!N$46)),Detalle_24m!N$46,INDEX(Precio_V,5)*INDEX(IdxPrecio_V,1,MIN(10,N$173)))*(1+V_dPrecio))</f>
        <v>0</v>
      </c>
      <c r="O206" s="48" t="n">
        <f aca="false">IF(O$8=1,IF(Reales!$C$42="PYG",IF(O$10&gt;0,N(Reales!O42)/O$10,0),N(Reales!O42)),O$181*IF(AND(AND(10&gt;Corte,10&lt;=Corte+n_Ventana),ISNUMBER(Detalle_24m!O$46)),Detalle_24m!O$46,INDEX(Precio_V,5)*INDEX(IdxPrecio_V,1,MIN(10,O$173)))*(1+V_dPrecio))</f>
        <v>0</v>
      </c>
      <c r="P206" s="48" t="n">
        <f aca="false">IF(P$8=1,IF(Reales!$C$42="PYG",IF(P$10&gt;0,N(Reales!P42)/P$10,0),N(Reales!P42)),P$181*IF(AND(AND(11&gt;Corte,11&lt;=Corte+n_Ventana),ISNUMBER(Detalle_24m!P$46)),Detalle_24m!P$46,INDEX(Precio_V,5)*INDEX(IdxPrecio_V,1,MIN(10,P$173)))*(1+V_dPrecio))</f>
        <v>0</v>
      </c>
      <c r="Q206" s="48" t="n">
        <f aca="false">IF(Q$8=1,IF(Reales!$C$42="PYG",IF(Q$10&gt;0,N(Reales!Q42)/Q$10,0),N(Reales!Q42)),Q$181*IF(AND(AND(12&gt;Corte,12&lt;=Corte+n_Ventana),ISNUMBER(Detalle_24m!Q$46)),Detalle_24m!Q$46,INDEX(Precio_V,5)*INDEX(IdxPrecio_V,1,MIN(10,Q$173)))*(1+V_dPrecio))</f>
        <v>0</v>
      </c>
      <c r="R206" s="48" t="n">
        <f aca="false">IF(R$8=1,IF(Reales!$C$42="PYG",IF(R$10&gt;0,N(Reales!R42)/R$10,0),N(Reales!R42)),R$181*IF(AND(AND(13&gt;Corte,13&lt;=Corte+n_Ventana),ISNUMBER(Detalle_24m!R$46)),Detalle_24m!R$46,INDEX(Precio_V,5)*INDEX(IdxPrecio_V,1,MIN(10,R$173)))*(1+V_dPrecio))</f>
        <v>0</v>
      </c>
      <c r="S206" s="48" t="n">
        <f aca="false">IF(S$8=1,IF(Reales!$C$42="PYG",IF(S$10&gt;0,N(Reales!S42)/S$10,0),N(Reales!S42)),S$181*IF(AND(AND(14&gt;Corte,14&lt;=Corte+n_Ventana),ISNUMBER(Detalle_24m!S$46)),Detalle_24m!S$46,INDEX(Precio_V,5)*INDEX(IdxPrecio_V,1,MIN(10,S$173)))*(1+V_dPrecio))</f>
        <v>0</v>
      </c>
      <c r="T206" s="48" t="n">
        <f aca="false">IF(T$8=1,IF(Reales!$C$42="PYG",IF(T$10&gt;0,N(Reales!T42)/T$10,0),N(Reales!T42)),T$181*IF(AND(AND(15&gt;Corte,15&lt;=Corte+n_Ventana),ISNUMBER(Detalle_24m!T$46)),Detalle_24m!T$46,INDEX(Precio_V,5)*INDEX(IdxPrecio_V,1,MIN(10,T$173)))*(1+V_dPrecio))</f>
        <v>0</v>
      </c>
      <c r="U206" s="48" t="n">
        <f aca="false">IF(U$8=1,IF(Reales!$C$42="PYG",IF(U$10&gt;0,N(Reales!U42)/U$10,0),N(Reales!U42)),U$181*IF(AND(AND(16&gt;Corte,16&lt;=Corte+n_Ventana),ISNUMBER(Detalle_24m!U$46)),Detalle_24m!U$46,INDEX(Precio_V,5)*INDEX(IdxPrecio_V,1,MIN(10,U$173)))*(1+V_dPrecio))</f>
        <v>0</v>
      </c>
      <c r="V206" s="48" t="n">
        <f aca="false">IF(V$8=1,IF(Reales!$C$42="PYG",IF(V$10&gt;0,N(Reales!V42)/V$10,0),N(Reales!V42)),V$181*IF(AND(AND(17&gt;Corte,17&lt;=Corte+n_Ventana),ISNUMBER(Detalle_24m!V$46)),Detalle_24m!V$46,INDEX(Precio_V,5)*INDEX(IdxPrecio_V,1,MIN(10,V$173)))*(1+V_dPrecio))</f>
        <v>0</v>
      </c>
      <c r="W206" s="48" t="n">
        <f aca="false">IF(W$8=1,IF(Reales!$C$42="PYG",IF(W$10&gt;0,N(Reales!W42)/W$10,0),N(Reales!W42)),W$181*IF(AND(AND(18&gt;Corte,18&lt;=Corte+n_Ventana),ISNUMBER(Detalle_24m!W$46)),Detalle_24m!W$46,INDEX(Precio_V,5)*INDEX(IdxPrecio_V,1,MIN(10,W$173)))*(1+V_dPrecio))</f>
        <v>0</v>
      </c>
      <c r="X206" s="48" t="n">
        <f aca="false">IF(X$8=1,IF(Reales!$C$42="PYG",IF(X$10&gt;0,N(Reales!X42)/X$10,0),N(Reales!X42)),X$181*IF(AND(AND(19&gt;Corte,19&lt;=Corte+n_Ventana),ISNUMBER(Detalle_24m!X$46)),Detalle_24m!X$46,INDEX(Precio_V,5)*INDEX(IdxPrecio_V,1,MIN(10,X$173)))*(1+V_dPrecio))</f>
        <v>0</v>
      </c>
      <c r="Y206" s="48" t="n">
        <f aca="false">IF(Y$8=1,IF(Reales!$C$42="PYG",IF(Y$10&gt;0,N(Reales!Y42)/Y$10,0),N(Reales!Y42)),Y$181*IF(AND(AND(20&gt;Corte,20&lt;=Corte+n_Ventana),ISNUMBER(Detalle_24m!Y$46)),Detalle_24m!Y$46,INDEX(Precio_V,5)*INDEX(IdxPrecio_V,1,MIN(10,Y$173)))*(1+V_dPrecio))</f>
        <v>0</v>
      </c>
      <c r="Z206" s="48" t="n">
        <f aca="false">IF(Z$8=1,IF(Reales!$C$42="PYG",IF(Z$10&gt;0,N(Reales!Z42)/Z$10,0),N(Reales!Z42)),Z$181*IF(AND(AND(21&gt;Corte,21&lt;=Corte+n_Ventana),ISNUMBER(Detalle_24m!Z$46)),Detalle_24m!Z$46,INDEX(Precio_V,5)*INDEX(IdxPrecio_V,1,MIN(10,Z$173)))*(1+V_dPrecio))</f>
        <v>0</v>
      </c>
      <c r="AA206" s="48" t="n">
        <f aca="false">IF(AA$8=1,IF(Reales!$C$42="PYG",IF(AA$10&gt;0,N(Reales!AA42)/AA$10,0),N(Reales!AA42)),AA$181*IF(AND(AND(22&gt;Corte,22&lt;=Corte+n_Ventana),ISNUMBER(Detalle_24m!AA$46)),Detalle_24m!AA$46,INDEX(Precio_V,5)*INDEX(IdxPrecio_V,1,MIN(10,AA$173)))*(1+V_dPrecio))</f>
        <v>0</v>
      </c>
      <c r="AB206" s="48" t="n">
        <f aca="false">IF(AB$8=1,IF(Reales!$C$42="PYG",IF(AB$10&gt;0,N(Reales!AB42)/AB$10,0),N(Reales!AB42)),AB$181*IF(AND(AND(23&gt;Corte,23&lt;=Corte+n_Ventana),ISNUMBER(Detalle_24m!AB$46)),Detalle_24m!AB$46,INDEX(Precio_V,5)*INDEX(IdxPrecio_V,1,MIN(10,AB$173)))*(1+V_dPrecio))</f>
        <v>0</v>
      </c>
      <c r="AC206" s="48" t="n">
        <f aca="false">IF(AC$8=1,IF(Reales!$C$42="PYG",IF(AC$10&gt;0,N(Reales!AC42)/AC$10,0),N(Reales!AC42)),AC$181*IF(AND(AND(24&gt;Corte,24&lt;=Corte+n_Ventana),ISNUMBER(Detalle_24m!AC$46)),Detalle_24m!AC$46,INDEX(Precio_V,5)*INDEX(IdxPrecio_V,1,MIN(10,AC$173)))*(1+V_dPrecio))</f>
        <v>0</v>
      </c>
      <c r="AD206" s="48" t="n">
        <f aca="false">IF(AD$8=1,IF(Reales!$C$42="PYG",IF(AD$10&gt;0,N(Reales!AD42)/AD$10,0),N(Reales!AD42)),AD$181*IF(AND(AND(25&gt;Corte,25&lt;=Corte+n_Ventana),ISNUMBER(Detalle_24m!AD$46)),Detalle_24m!AD$46,INDEX(Precio_V,5)*INDEX(IdxPrecio_V,1,MIN(10,AD$173)))*(1+V_dPrecio))</f>
        <v>0</v>
      </c>
      <c r="AE206" s="48" t="n">
        <f aca="false">IF(AE$8=1,IF(Reales!$C$42="PYG",IF(AE$10&gt;0,N(Reales!AE42)/AE$10,0),N(Reales!AE42)),AE$181*IF(AND(AND(26&gt;Corte,26&lt;=Corte+n_Ventana),ISNUMBER(Detalle_24m!AE$46)),Detalle_24m!AE$46,INDEX(Precio_V,5)*INDEX(IdxPrecio_V,1,MIN(10,AE$173)))*(1+V_dPrecio))</f>
        <v>0</v>
      </c>
      <c r="AF206" s="48" t="n">
        <f aca="false">IF(AF$8=1,IF(Reales!$C$42="PYG",IF(AF$10&gt;0,N(Reales!AF42)/AF$10,0),N(Reales!AF42)),AF$181*IF(AND(AND(27&gt;Corte,27&lt;=Corte+n_Ventana),ISNUMBER(Detalle_24m!AF$46)),Detalle_24m!AF$46,INDEX(Precio_V,5)*INDEX(IdxPrecio_V,1,MIN(10,AF$173)))*(1+V_dPrecio))</f>
        <v>0</v>
      </c>
      <c r="AG206" s="48" t="n">
        <f aca="false">IF(AG$8=1,IF(Reales!$C$42="PYG",IF(AG$10&gt;0,N(Reales!AG42)/AG$10,0),N(Reales!AG42)),AG$181*IF(AND(AND(28&gt;Corte,28&lt;=Corte+n_Ventana),ISNUMBER(Detalle_24m!AG$46)),Detalle_24m!AG$46,INDEX(Precio_V,5)*INDEX(IdxPrecio_V,1,MIN(10,AG$173)))*(1+V_dPrecio))</f>
        <v>0</v>
      </c>
      <c r="AH206" s="48" t="n">
        <f aca="false">IF(AH$8=1,IF(Reales!$C$42="PYG",IF(AH$10&gt;0,N(Reales!AH42)/AH$10,0),N(Reales!AH42)),AH$181*IF(AND(AND(29&gt;Corte,29&lt;=Corte+n_Ventana),ISNUMBER(Detalle_24m!AH$46)),Detalle_24m!AH$46,INDEX(Precio_V,5)*INDEX(IdxPrecio_V,1,MIN(10,AH$173)))*(1+V_dPrecio))</f>
        <v>0</v>
      </c>
      <c r="AI206" s="48" t="n">
        <f aca="false">IF(AI$8=1,IF(Reales!$C$42="PYG",IF(AI$10&gt;0,N(Reales!AI42)/AI$10,0),N(Reales!AI42)),AI$181*IF(AND(AND(30&gt;Corte,30&lt;=Corte+n_Ventana),ISNUMBER(Detalle_24m!AI$46)),Detalle_24m!AI$46,INDEX(Precio_V,5)*INDEX(IdxPrecio_V,1,MIN(10,AI$173)))*(1+V_dPrecio))</f>
        <v>0</v>
      </c>
      <c r="AJ206" s="48" t="n">
        <f aca="false">IF(AJ$8=1,IF(Reales!$C$42="PYG",IF(AJ$10&gt;0,N(Reales!AJ42)/AJ$10,0),N(Reales!AJ42)),AJ$181*IF(AND(AND(31&gt;Corte,31&lt;=Corte+n_Ventana),ISNUMBER(Detalle_24m!AJ$46)),Detalle_24m!AJ$46,INDEX(Precio_V,5)*INDEX(IdxPrecio_V,1,MIN(10,AJ$173)))*(1+V_dPrecio))</f>
        <v>0</v>
      </c>
      <c r="AK206" s="48" t="n">
        <f aca="false">IF(AK$8=1,IF(Reales!$C$42="PYG",IF(AK$10&gt;0,N(Reales!AK42)/AK$10,0),N(Reales!AK42)),AK$181*IF(AND(AND(32&gt;Corte,32&lt;=Corte+n_Ventana),ISNUMBER(Detalle_24m!AK$46)),Detalle_24m!AK$46,INDEX(Precio_V,5)*INDEX(IdxPrecio_V,1,MIN(10,AK$173)))*(1+V_dPrecio))</f>
        <v>0</v>
      </c>
      <c r="AL206" s="48" t="n">
        <f aca="false">IF(AL$8=1,IF(Reales!$C$42="PYG",IF(AL$10&gt;0,N(Reales!AL42)/AL$10,0),N(Reales!AL42)),AL$181*IF(AND(AND(33&gt;Corte,33&lt;=Corte+n_Ventana),ISNUMBER(Detalle_24m!AL$46)),Detalle_24m!AL$46,INDEX(Precio_V,5)*INDEX(IdxPrecio_V,1,MIN(10,AL$173)))*(1+V_dPrecio))</f>
        <v>0</v>
      </c>
      <c r="AM206" s="48" t="n">
        <f aca="false">IF(AM$8=1,IF(Reales!$C$42="PYG",IF(AM$10&gt;0,N(Reales!AM42)/AM$10,0),N(Reales!AM42)),AM$181*IF(AND(AND(34&gt;Corte,34&lt;=Corte+n_Ventana),ISNUMBER(Detalle_24m!AM$46)),Detalle_24m!AM$46,INDEX(Precio_V,5)*INDEX(IdxPrecio_V,1,MIN(10,AM$173)))*(1+V_dPrecio))</f>
        <v>0</v>
      </c>
      <c r="AN206" s="48" t="n">
        <f aca="false">IF(AN$8=1,IF(Reales!$C$42="PYG",IF(AN$10&gt;0,N(Reales!AN42)/AN$10,0),N(Reales!AN42)),AN$181*IF(AND(AND(35&gt;Corte,35&lt;=Corte+n_Ventana),ISNUMBER(Detalle_24m!AN$46)),Detalle_24m!AN$46,INDEX(Precio_V,5)*INDEX(IdxPrecio_V,1,MIN(10,AN$173)))*(1+V_dPrecio))</f>
        <v>0</v>
      </c>
      <c r="AO206" s="48" t="n">
        <f aca="false">IF(AO$8=1,IF(Reales!$C$42="PYG",IF(AO$10&gt;0,N(Reales!AO42)/AO$10,0),N(Reales!AO42)),AO$181*IF(AND(AND(36&gt;Corte,36&lt;=Corte+n_Ventana),ISNUMBER(Detalle_24m!AO$46)),Detalle_24m!AO$46,INDEX(Precio_V,5)*INDEX(IdxPrecio_V,1,MIN(10,AO$173)))*(1+V_dPrecio))</f>
        <v>0</v>
      </c>
      <c r="AP206" s="48" t="n">
        <f aca="false">IF(AP$8=1,IF(Reales!$C$42="PYG",IF(AP$10&gt;0,N(Reales!AP42)/AP$10,0),N(Reales!AP42)),AP$181*IF(AND(AND(37&gt;Corte,37&lt;=Corte+n_Ventana),ISNUMBER(Detalle_24m!AP$46)),Detalle_24m!AP$46,INDEX(Precio_V,5)*INDEX(IdxPrecio_V,1,MIN(10,AP$173)))*(1+V_dPrecio))</f>
        <v>0</v>
      </c>
      <c r="AQ206" s="48" t="n">
        <f aca="false">IF(AQ$8=1,IF(Reales!$C$42="PYG",IF(AQ$10&gt;0,N(Reales!AQ42)/AQ$10,0),N(Reales!AQ42)),AQ$181*IF(AND(AND(38&gt;Corte,38&lt;=Corte+n_Ventana),ISNUMBER(Detalle_24m!AQ$46)),Detalle_24m!AQ$46,INDEX(Precio_V,5)*INDEX(IdxPrecio_V,1,MIN(10,AQ$173)))*(1+V_dPrecio))</f>
        <v>0</v>
      </c>
      <c r="AR206" s="48" t="n">
        <f aca="false">IF(AR$8=1,IF(Reales!$C$42="PYG",IF(AR$10&gt;0,N(Reales!AR42)/AR$10,0),N(Reales!AR42)),AR$181*IF(AND(AND(39&gt;Corte,39&lt;=Corte+n_Ventana),ISNUMBER(Detalle_24m!AR$46)),Detalle_24m!AR$46,INDEX(Precio_V,5)*INDEX(IdxPrecio_V,1,MIN(10,AR$173)))*(1+V_dPrecio))</f>
        <v>0</v>
      </c>
      <c r="AS206" s="48" t="n">
        <f aca="false">IF(AS$8=1,IF(Reales!$C$42="PYG",IF(AS$10&gt;0,N(Reales!AS42)/AS$10,0),N(Reales!AS42)),AS$181*IF(AND(AND(40&gt;Corte,40&lt;=Corte+n_Ventana),ISNUMBER(Detalle_24m!AS$46)),Detalle_24m!AS$46,INDEX(Precio_V,5)*INDEX(IdxPrecio_V,1,MIN(10,AS$173)))*(1+V_dPrecio))</f>
        <v>0</v>
      </c>
      <c r="AT206" s="48" t="n">
        <f aca="false">IF(AT$8=1,IF(Reales!$C$42="PYG",IF(AT$10&gt;0,N(Reales!AT42)/AT$10,0),N(Reales!AT42)),AT$181*IF(AND(AND(41&gt;Corte,41&lt;=Corte+n_Ventana),ISNUMBER(Detalle_24m!AT$46)),Detalle_24m!AT$46,INDEX(Precio_V,5)*INDEX(IdxPrecio_V,1,MIN(10,AT$173)))*(1+V_dPrecio))</f>
        <v>0</v>
      </c>
      <c r="AU206" s="48" t="n">
        <f aca="false">IF(AU$8=1,IF(Reales!$C$42="PYG",IF(AU$10&gt;0,N(Reales!AU42)/AU$10,0),N(Reales!AU42)),AU$181*IF(AND(AND(42&gt;Corte,42&lt;=Corte+n_Ventana),ISNUMBER(Detalle_24m!AU$46)),Detalle_24m!AU$46,INDEX(Precio_V,5)*INDEX(IdxPrecio_V,1,MIN(10,AU$173)))*(1+V_dPrecio))</f>
        <v>0</v>
      </c>
      <c r="AV206" s="48" t="n">
        <f aca="false">IF(AV$8=1,IF(Reales!$C$42="PYG",IF(AV$10&gt;0,N(Reales!AV42)/AV$10,0),N(Reales!AV42)),AV$181*IF(AND(AND(43&gt;Corte,43&lt;=Corte+n_Ventana),ISNUMBER(Detalle_24m!AV$46)),Detalle_24m!AV$46,INDEX(Precio_V,5)*INDEX(IdxPrecio_V,1,MIN(10,AV$173)))*(1+V_dPrecio))</f>
        <v>0</v>
      </c>
      <c r="AW206" s="48" t="n">
        <f aca="false">IF(AW$8=1,IF(Reales!$C$42="PYG",IF(AW$10&gt;0,N(Reales!AW42)/AW$10,0),N(Reales!AW42)),AW$181*IF(AND(AND(44&gt;Corte,44&lt;=Corte+n_Ventana),ISNUMBER(Detalle_24m!AW$46)),Detalle_24m!AW$46,INDEX(Precio_V,5)*INDEX(IdxPrecio_V,1,MIN(10,AW$173)))*(1+V_dPrecio))</f>
        <v>0</v>
      </c>
      <c r="AX206" s="48" t="n">
        <f aca="false">IF(AX$8=1,IF(Reales!$C$42="PYG",IF(AX$10&gt;0,N(Reales!AX42)/AX$10,0),N(Reales!AX42)),AX$181*IF(AND(AND(45&gt;Corte,45&lt;=Corte+n_Ventana),ISNUMBER(Detalle_24m!AX$46)),Detalle_24m!AX$46,INDEX(Precio_V,5)*INDEX(IdxPrecio_V,1,MIN(10,AX$173)))*(1+V_dPrecio))</f>
        <v>0</v>
      </c>
      <c r="AY206" s="48" t="n">
        <f aca="false">IF(AY$8=1,IF(Reales!$C$42="PYG",IF(AY$10&gt;0,N(Reales!AY42)/AY$10,0),N(Reales!AY42)),AY$181*IF(AND(AND(46&gt;Corte,46&lt;=Corte+n_Ventana),ISNUMBER(Detalle_24m!AY$46)),Detalle_24m!AY$46,INDEX(Precio_V,5)*INDEX(IdxPrecio_V,1,MIN(10,AY$173)))*(1+V_dPrecio))</f>
        <v>0</v>
      </c>
      <c r="AZ206" s="48" t="n">
        <f aca="false">IF(AZ$8=1,IF(Reales!$C$42="PYG",IF(AZ$10&gt;0,N(Reales!AZ42)/AZ$10,0),N(Reales!AZ42)),AZ$181*IF(AND(AND(47&gt;Corte,47&lt;=Corte+n_Ventana),ISNUMBER(Detalle_24m!AZ$46)),Detalle_24m!AZ$46,INDEX(Precio_V,5)*INDEX(IdxPrecio_V,1,MIN(10,AZ$173)))*(1+V_dPrecio))</f>
        <v>0</v>
      </c>
      <c r="BA206" s="48" t="n">
        <f aca="false">IF(BA$8=1,IF(Reales!$C$42="PYG",IF(BA$10&gt;0,N(Reales!BA42)/BA$10,0),N(Reales!BA42)),BA$181*IF(AND(AND(48&gt;Corte,48&lt;=Corte+n_Ventana),ISNUMBER(Detalle_24m!BA$46)),Detalle_24m!BA$46,INDEX(Precio_V,5)*INDEX(IdxPrecio_V,1,MIN(10,BA$173)))*(1+V_dPrecio))</f>
        <v>0</v>
      </c>
      <c r="BB206" s="48" t="n">
        <f aca="false">IF(BB$8=1,IF(Reales!$C$42="PYG",IF(BB$10&gt;0,N(Reales!BB42)/BB$10,0),N(Reales!BB42)),BB$181*IF(AND(AND(49&gt;Corte,49&lt;=Corte+n_Ventana),ISNUMBER(Detalle_24m!BB$46)),Detalle_24m!BB$46,INDEX(Precio_V,5)*INDEX(IdxPrecio_V,1,MIN(10,BB$173)))*(1+V_dPrecio))</f>
        <v>0</v>
      </c>
      <c r="BC206" s="48" t="n">
        <f aca="false">IF(BC$8=1,IF(Reales!$C$42="PYG",IF(BC$10&gt;0,N(Reales!BC42)/BC$10,0),N(Reales!BC42)),BC$181*IF(AND(AND(50&gt;Corte,50&lt;=Corte+n_Ventana),ISNUMBER(Detalle_24m!BC$46)),Detalle_24m!BC$46,INDEX(Precio_V,5)*INDEX(IdxPrecio_V,1,MIN(10,BC$173)))*(1+V_dPrecio))</f>
        <v>0</v>
      </c>
      <c r="BD206" s="48" t="n">
        <f aca="false">IF(BD$8=1,IF(Reales!$C$42="PYG",IF(BD$10&gt;0,N(Reales!BD42)/BD$10,0),N(Reales!BD42)),BD$181*IF(AND(AND(51&gt;Corte,51&lt;=Corte+n_Ventana),ISNUMBER(Detalle_24m!BD$46)),Detalle_24m!BD$46,INDEX(Precio_V,5)*INDEX(IdxPrecio_V,1,MIN(10,BD$173)))*(1+V_dPrecio))</f>
        <v>0</v>
      </c>
      <c r="BE206" s="48" t="n">
        <f aca="false">IF(BE$8=1,IF(Reales!$C$42="PYG",IF(BE$10&gt;0,N(Reales!BE42)/BE$10,0),N(Reales!BE42)),BE$181*IF(AND(AND(52&gt;Corte,52&lt;=Corte+n_Ventana),ISNUMBER(Detalle_24m!BE$46)),Detalle_24m!BE$46,INDEX(Precio_V,5)*INDEX(IdxPrecio_V,1,MIN(10,BE$173)))*(1+V_dPrecio))</f>
        <v>0</v>
      </c>
      <c r="BF206" s="48" t="n">
        <f aca="false">IF(BF$8=1,IF(Reales!$C$42="PYG",IF(BF$10&gt;0,N(Reales!BF42)/BF$10,0),N(Reales!BF42)),BF$181*IF(AND(AND(53&gt;Corte,53&lt;=Corte+n_Ventana),ISNUMBER(Detalle_24m!BF$46)),Detalle_24m!BF$46,INDEX(Precio_V,5)*INDEX(IdxPrecio_V,1,MIN(10,BF$173)))*(1+V_dPrecio))</f>
        <v>0</v>
      </c>
      <c r="BG206" s="48" t="n">
        <f aca="false">IF(BG$8=1,IF(Reales!$C$42="PYG",IF(BG$10&gt;0,N(Reales!BG42)/BG$10,0),N(Reales!BG42)),BG$181*IF(AND(AND(54&gt;Corte,54&lt;=Corte+n_Ventana),ISNUMBER(Detalle_24m!BG$46)),Detalle_24m!BG$46,INDEX(Precio_V,5)*INDEX(IdxPrecio_V,1,MIN(10,BG$173)))*(1+V_dPrecio))</f>
        <v>0</v>
      </c>
      <c r="BH206" s="48" t="n">
        <f aca="false">IF(BH$8=1,IF(Reales!$C$42="PYG",IF(BH$10&gt;0,N(Reales!BH42)/BH$10,0),N(Reales!BH42)),BH$181*IF(AND(AND(55&gt;Corte,55&lt;=Corte+n_Ventana),ISNUMBER(Detalle_24m!BH$46)),Detalle_24m!BH$46,INDEX(Precio_V,5)*INDEX(IdxPrecio_V,1,MIN(10,BH$173)))*(1+V_dPrecio))</f>
        <v>0</v>
      </c>
      <c r="BI206" s="48" t="n">
        <f aca="false">IF(BI$8=1,IF(Reales!$C$42="PYG",IF(BI$10&gt;0,N(Reales!BI42)/BI$10,0),N(Reales!BI42)),BI$181*IF(AND(AND(56&gt;Corte,56&lt;=Corte+n_Ventana),ISNUMBER(Detalle_24m!BI$46)),Detalle_24m!BI$46,INDEX(Precio_V,5)*INDEX(IdxPrecio_V,1,MIN(10,BI$173)))*(1+V_dPrecio))</f>
        <v>0</v>
      </c>
      <c r="BJ206" s="48" t="n">
        <f aca="false">IF(BJ$8=1,IF(Reales!$C$42="PYG",IF(BJ$10&gt;0,N(Reales!BJ42)/BJ$10,0),N(Reales!BJ42)),BJ$181*IF(AND(AND(57&gt;Corte,57&lt;=Corte+n_Ventana),ISNUMBER(Detalle_24m!BJ$46)),Detalle_24m!BJ$46,INDEX(Precio_V,5)*INDEX(IdxPrecio_V,1,MIN(10,BJ$173)))*(1+V_dPrecio))</f>
        <v>0</v>
      </c>
      <c r="BK206" s="48" t="n">
        <f aca="false">IF(BK$8=1,IF(Reales!$C$42="PYG",IF(BK$10&gt;0,N(Reales!BK42)/BK$10,0),N(Reales!BK42)),BK$181*IF(AND(AND(58&gt;Corte,58&lt;=Corte+n_Ventana),ISNUMBER(Detalle_24m!BK$46)),Detalle_24m!BK$46,INDEX(Precio_V,5)*INDEX(IdxPrecio_V,1,MIN(10,BK$173)))*(1+V_dPrecio))</f>
        <v>0</v>
      </c>
      <c r="BL206" s="48" t="n">
        <f aca="false">IF(BL$8=1,IF(Reales!$C$42="PYG",IF(BL$10&gt;0,N(Reales!BL42)/BL$10,0),N(Reales!BL42)),BL$181*IF(AND(AND(59&gt;Corte,59&lt;=Corte+n_Ventana),ISNUMBER(Detalle_24m!BL$46)),Detalle_24m!BL$46,INDEX(Precio_V,5)*INDEX(IdxPrecio_V,1,MIN(10,BL$173)))*(1+V_dPrecio))</f>
        <v>0</v>
      </c>
      <c r="BM206" s="48" t="n">
        <f aca="false">IF(BM$8=1,IF(Reales!$C$42="PYG",IF(BM$10&gt;0,N(Reales!BM42)/BM$10,0),N(Reales!BM42)),BM$181*IF(AND(AND(60&gt;Corte,60&lt;=Corte+n_Ventana),ISNUMBER(Detalle_24m!BM$46)),Detalle_24m!BM$46,INDEX(Precio_V,5)*INDEX(IdxPrecio_V,1,MIN(10,BM$173)))*(1+V_dPrecio))</f>
        <v>0</v>
      </c>
      <c r="BN206" s="48" t="n">
        <f aca="false">IF(BN$8=1,IF(Reales!$C$42="PYG",IF(BN$10&gt;0,N(Reales!BN42)/BN$10,0),N(Reales!BN42)),BN$181*IF(AND(AND(61&gt;Corte,61&lt;=Corte+n_Ventana),ISNUMBER(Detalle_24m!BN$46)),Detalle_24m!BN$46,INDEX(Precio_V,5)*INDEX(IdxPrecio_V,1,MIN(10,BN$173)))*(1+V_dPrecio))</f>
        <v>0</v>
      </c>
      <c r="BO206" s="48" t="n">
        <f aca="false">IF(BO$8=1,IF(Reales!$C$42="PYG",IF(BO$10&gt;0,N(Reales!BO42)/BO$10,0),N(Reales!BO42)),BO$181*IF(AND(AND(62&gt;Corte,62&lt;=Corte+n_Ventana),ISNUMBER(Detalle_24m!BO$46)),Detalle_24m!BO$46,INDEX(Precio_V,5)*INDEX(IdxPrecio_V,1,MIN(10,BO$173)))*(1+V_dPrecio))</f>
        <v>0</v>
      </c>
      <c r="BP206" s="48" t="n">
        <f aca="false">IF(BP$8=1,IF(Reales!$C$42="PYG",IF(BP$10&gt;0,N(Reales!BP42)/BP$10,0),N(Reales!BP42)),BP$181*IF(AND(AND(63&gt;Corte,63&lt;=Corte+n_Ventana),ISNUMBER(Detalle_24m!BP$46)),Detalle_24m!BP$46,INDEX(Precio_V,5)*INDEX(IdxPrecio_V,1,MIN(10,BP$173)))*(1+V_dPrecio))</f>
        <v>0</v>
      </c>
      <c r="BQ206" s="48" t="n">
        <f aca="false">IF(BQ$8=1,IF(Reales!$C$42="PYG",IF(BQ$10&gt;0,N(Reales!BQ42)/BQ$10,0),N(Reales!BQ42)),BQ$181*IF(AND(AND(64&gt;Corte,64&lt;=Corte+n_Ventana),ISNUMBER(Detalle_24m!BQ$46)),Detalle_24m!BQ$46,INDEX(Precio_V,5)*INDEX(IdxPrecio_V,1,MIN(10,BQ$173)))*(1+V_dPrecio))</f>
        <v>0</v>
      </c>
      <c r="BR206" s="48" t="n">
        <f aca="false">IF(BR$8=1,IF(Reales!$C$42="PYG",IF(BR$10&gt;0,N(Reales!BR42)/BR$10,0),N(Reales!BR42)),BR$181*IF(AND(AND(65&gt;Corte,65&lt;=Corte+n_Ventana),ISNUMBER(Detalle_24m!BR$46)),Detalle_24m!BR$46,INDEX(Precio_V,5)*INDEX(IdxPrecio_V,1,MIN(10,BR$173)))*(1+V_dPrecio))</f>
        <v>0</v>
      </c>
      <c r="BS206" s="48" t="n">
        <f aca="false">IF(BS$8=1,IF(Reales!$C$42="PYG",IF(BS$10&gt;0,N(Reales!BS42)/BS$10,0),N(Reales!BS42)),BS$181*IF(AND(AND(66&gt;Corte,66&lt;=Corte+n_Ventana),ISNUMBER(Detalle_24m!BS$46)),Detalle_24m!BS$46,INDEX(Precio_V,5)*INDEX(IdxPrecio_V,1,MIN(10,BS$173)))*(1+V_dPrecio))</f>
        <v>0</v>
      </c>
      <c r="BT206" s="48" t="n">
        <f aca="false">IF(BT$8=1,IF(Reales!$C$42="PYG",IF(BT$10&gt;0,N(Reales!BT42)/BT$10,0),N(Reales!BT42)),BT$181*IF(AND(AND(67&gt;Corte,67&lt;=Corte+n_Ventana),ISNUMBER(Detalle_24m!BT$46)),Detalle_24m!BT$46,INDEX(Precio_V,5)*INDEX(IdxPrecio_V,1,MIN(10,BT$173)))*(1+V_dPrecio))</f>
        <v>0</v>
      </c>
      <c r="BU206" s="48" t="n">
        <f aca="false">IF(BU$8=1,IF(Reales!$C$42="PYG",IF(BU$10&gt;0,N(Reales!BU42)/BU$10,0),N(Reales!BU42)),BU$181*IF(AND(AND(68&gt;Corte,68&lt;=Corte+n_Ventana),ISNUMBER(Detalle_24m!BU$46)),Detalle_24m!BU$46,INDEX(Precio_V,5)*INDEX(IdxPrecio_V,1,MIN(10,BU$173)))*(1+V_dPrecio))</f>
        <v>0</v>
      </c>
      <c r="BV206" s="48" t="n">
        <f aca="false">IF(BV$8=1,IF(Reales!$C$42="PYG",IF(BV$10&gt;0,N(Reales!BV42)/BV$10,0),N(Reales!BV42)),BV$181*IF(AND(AND(69&gt;Corte,69&lt;=Corte+n_Ventana),ISNUMBER(Detalle_24m!BV$46)),Detalle_24m!BV$46,INDEX(Precio_V,5)*INDEX(IdxPrecio_V,1,MIN(10,BV$173)))*(1+V_dPrecio))</f>
        <v>0</v>
      </c>
      <c r="BW206" s="48" t="n">
        <f aca="false">IF(BW$8=1,IF(Reales!$C$42="PYG",IF(BW$10&gt;0,N(Reales!BW42)/BW$10,0),N(Reales!BW42)),BW$181*IF(AND(AND(70&gt;Corte,70&lt;=Corte+n_Ventana),ISNUMBER(Detalle_24m!BW$46)),Detalle_24m!BW$46,INDEX(Precio_V,5)*INDEX(IdxPrecio_V,1,MIN(10,BW$173)))*(1+V_dPrecio))</f>
        <v>0</v>
      </c>
      <c r="BX206" s="48" t="n">
        <f aca="false">IF(BX$8=1,IF(Reales!$C$42="PYG",IF(BX$10&gt;0,N(Reales!BX42)/BX$10,0),N(Reales!BX42)),BX$181*IF(AND(AND(71&gt;Corte,71&lt;=Corte+n_Ventana),ISNUMBER(Detalle_24m!BX$46)),Detalle_24m!BX$46,INDEX(Precio_V,5)*INDEX(IdxPrecio_V,1,MIN(10,BX$173)))*(1+V_dPrecio))</f>
        <v>0</v>
      </c>
      <c r="BY206" s="48" t="n">
        <f aca="false">IF(BY$8=1,IF(Reales!$C$42="PYG",IF(BY$10&gt;0,N(Reales!BY42)/BY$10,0),N(Reales!BY42)),BY$181*IF(AND(AND(72&gt;Corte,72&lt;=Corte+n_Ventana),ISNUMBER(Detalle_24m!BY$46)),Detalle_24m!BY$46,INDEX(Precio_V,5)*INDEX(IdxPrecio_V,1,MIN(10,BY$173)))*(1+V_dPrecio))</f>
        <v>0</v>
      </c>
      <c r="BZ206" s="48" t="n">
        <f aca="false">IF(BZ$8=1,IF(Reales!$C$42="PYG",IF(BZ$10&gt;0,N(Reales!BZ42)/BZ$10,0),N(Reales!BZ42)),BZ$181*IF(AND(AND(73&gt;Corte,73&lt;=Corte+n_Ventana),ISNUMBER(Detalle_24m!BZ$46)),Detalle_24m!BZ$46,INDEX(Precio_V,5)*INDEX(IdxPrecio_V,1,MIN(10,BZ$173)))*(1+V_dPrecio))</f>
        <v>0</v>
      </c>
      <c r="CA206" s="48" t="n">
        <f aca="false">IF(CA$8=1,IF(Reales!$C$42="PYG",IF(CA$10&gt;0,N(Reales!CA42)/CA$10,0),N(Reales!CA42)),CA$181*IF(AND(AND(74&gt;Corte,74&lt;=Corte+n_Ventana),ISNUMBER(Detalle_24m!CA$46)),Detalle_24m!CA$46,INDEX(Precio_V,5)*INDEX(IdxPrecio_V,1,MIN(10,CA$173)))*(1+V_dPrecio))</f>
        <v>0</v>
      </c>
      <c r="CB206" s="48" t="n">
        <f aca="false">IF(CB$8=1,IF(Reales!$C$42="PYG",IF(CB$10&gt;0,N(Reales!CB42)/CB$10,0),N(Reales!CB42)),CB$181*IF(AND(AND(75&gt;Corte,75&lt;=Corte+n_Ventana),ISNUMBER(Detalle_24m!CB$46)),Detalle_24m!CB$46,INDEX(Precio_V,5)*INDEX(IdxPrecio_V,1,MIN(10,CB$173)))*(1+V_dPrecio))</f>
        <v>0</v>
      </c>
      <c r="CC206" s="48" t="n">
        <f aca="false">IF(CC$8=1,IF(Reales!$C$42="PYG",IF(CC$10&gt;0,N(Reales!CC42)/CC$10,0),N(Reales!CC42)),CC$181*IF(AND(AND(76&gt;Corte,76&lt;=Corte+n_Ventana),ISNUMBER(Detalle_24m!CC$46)),Detalle_24m!CC$46,INDEX(Precio_V,5)*INDEX(IdxPrecio_V,1,MIN(10,CC$173)))*(1+V_dPrecio))</f>
        <v>0</v>
      </c>
      <c r="CD206" s="48" t="n">
        <f aca="false">IF(CD$8=1,IF(Reales!$C$42="PYG",IF(CD$10&gt;0,N(Reales!CD42)/CD$10,0),N(Reales!CD42)),CD$181*IF(AND(AND(77&gt;Corte,77&lt;=Corte+n_Ventana),ISNUMBER(Detalle_24m!CD$46)),Detalle_24m!CD$46,INDEX(Precio_V,5)*INDEX(IdxPrecio_V,1,MIN(10,CD$173)))*(1+V_dPrecio))</f>
        <v>0</v>
      </c>
      <c r="CE206" s="48" t="n">
        <f aca="false">IF(CE$8=1,IF(Reales!$C$42="PYG",IF(CE$10&gt;0,N(Reales!CE42)/CE$10,0),N(Reales!CE42)),CE$181*IF(AND(AND(78&gt;Corte,78&lt;=Corte+n_Ventana),ISNUMBER(Detalle_24m!CE$46)),Detalle_24m!CE$46,INDEX(Precio_V,5)*INDEX(IdxPrecio_V,1,MIN(10,CE$173)))*(1+V_dPrecio))</f>
        <v>0</v>
      </c>
      <c r="CF206" s="48" t="n">
        <f aca="false">IF(CF$8=1,IF(Reales!$C$42="PYG",IF(CF$10&gt;0,N(Reales!CF42)/CF$10,0),N(Reales!CF42)),CF$181*IF(AND(AND(79&gt;Corte,79&lt;=Corte+n_Ventana),ISNUMBER(Detalle_24m!CF$46)),Detalle_24m!CF$46,INDEX(Precio_V,5)*INDEX(IdxPrecio_V,1,MIN(10,CF$173)))*(1+V_dPrecio))</f>
        <v>0</v>
      </c>
      <c r="CG206" s="48" t="n">
        <f aca="false">IF(CG$8=1,IF(Reales!$C$42="PYG",IF(CG$10&gt;0,N(Reales!CG42)/CG$10,0),N(Reales!CG42)),CG$181*IF(AND(AND(80&gt;Corte,80&lt;=Corte+n_Ventana),ISNUMBER(Detalle_24m!CG$46)),Detalle_24m!CG$46,INDEX(Precio_V,5)*INDEX(IdxPrecio_V,1,MIN(10,CG$173)))*(1+V_dPrecio))</f>
        <v>0</v>
      </c>
      <c r="CH206" s="48" t="n">
        <f aca="false">IF(CH$8=1,IF(Reales!$C$42="PYG",IF(CH$10&gt;0,N(Reales!CH42)/CH$10,0),N(Reales!CH42)),CH$181*IF(AND(AND(81&gt;Corte,81&lt;=Corte+n_Ventana),ISNUMBER(Detalle_24m!CH$46)),Detalle_24m!CH$46,INDEX(Precio_V,5)*INDEX(IdxPrecio_V,1,MIN(10,CH$173)))*(1+V_dPrecio))</f>
        <v>0</v>
      </c>
      <c r="CI206" s="48" t="n">
        <f aca="false">IF(CI$8=1,IF(Reales!$C$42="PYG",IF(CI$10&gt;0,N(Reales!CI42)/CI$10,0),N(Reales!CI42)),CI$181*IF(AND(AND(82&gt;Corte,82&lt;=Corte+n_Ventana),ISNUMBER(Detalle_24m!CI$46)),Detalle_24m!CI$46,INDEX(Precio_V,5)*INDEX(IdxPrecio_V,1,MIN(10,CI$173)))*(1+V_dPrecio))</f>
        <v>0</v>
      </c>
      <c r="CJ206" s="48" t="n">
        <f aca="false">IF(CJ$8=1,IF(Reales!$C$42="PYG",IF(CJ$10&gt;0,N(Reales!CJ42)/CJ$10,0),N(Reales!CJ42)),CJ$181*IF(AND(AND(83&gt;Corte,83&lt;=Corte+n_Ventana),ISNUMBER(Detalle_24m!CJ$46)),Detalle_24m!CJ$46,INDEX(Precio_V,5)*INDEX(IdxPrecio_V,1,MIN(10,CJ$173)))*(1+V_dPrecio))</f>
        <v>0</v>
      </c>
      <c r="CK206" s="48" t="n">
        <f aca="false">IF(CK$8=1,IF(Reales!$C$42="PYG",IF(CK$10&gt;0,N(Reales!CK42)/CK$10,0),N(Reales!CK42)),CK$181*IF(AND(AND(84&gt;Corte,84&lt;=Corte+n_Ventana),ISNUMBER(Detalle_24m!CK$46)),Detalle_24m!CK$46,INDEX(Precio_V,5)*INDEX(IdxPrecio_V,1,MIN(10,CK$173)))*(1+V_dPrecio))</f>
        <v>0</v>
      </c>
      <c r="CL206" s="48" t="n">
        <f aca="false">IF(CL$8=1,IF(Reales!$C$42="PYG",IF(CL$10&gt;0,N(Reales!CL42)/CL$10,0),N(Reales!CL42)),CL$181*IF(AND(AND(85&gt;Corte,85&lt;=Corte+n_Ventana),ISNUMBER(Detalle_24m!CL$46)),Detalle_24m!CL$46,INDEX(Precio_V,5)*INDEX(IdxPrecio_V,1,MIN(10,CL$173)))*(1+V_dPrecio))</f>
        <v>0</v>
      </c>
      <c r="CM206" s="48" t="n">
        <f aca="false">IF(CM$8=1,IF(Reales!$C$42="PYG",IF(CM$10&gt;0,N(Reales!CM42)/CM$10,0),N(Reales!CM42)),CM$181*IF(AND(AND(86&gt;Corte,86&lt;=Corte+n_Ventana),ISNUMBER(Detalle_24m!CM$46)),Detalle_24m!CM$46,INDEX(Precio_V,5)*INDEX(IdxPrecio_V,1,MIN(10,CM$173)))*(1+V_dPrecio))</f>
        <v>0</v>
      </c>
      <c r="CN206" s="48" t="n">
        <f aca="false">IF(CN$8=1,IF(Reales!$C$42="PYG",IF(CN$10&gt;0,N(Reales!CN42)/CN$10,0),N(Reales!CN42)),CN$181*IF(AND(AND(87&gt;Corte,87&lt;=Corte+n_Ventana),ISNUMBER(Detalle_24m!CN$46)),Detalle_24m!CN$46,INDEX(Precio_V,5)*INDEX(IdxPrecio_V,1,MIN(10,CN$173)))*(1+V_dPrecio))</f>
        <v>0</v>
      </c>
      <c r="CO206" s="48" t="n">
        <f aca="false">IF(CO$8=1,IF(Reales!$C$42="PYG",IF(CO$10&gt;0,N(Reales!CO42)/CO$10,0),N(Reales!CO42)),CO$181*IF(AND(AND(88&gt;Corte,88&lt;=Corte+n_Ventana),ISNUMBER(Detalle_24m!CO$46)),Detalle_24m!CO$46,INDEX(Precio_V,5)*INDEX(IdxPrecio_V,1,MIN(10,CO$173)))*(1+V_dPrecio))</f>
        <v>0</v>
      </c>
      <c r="CP206" s="48" t="n">
        <f aca="false">IF(CP$8=1,IF(Reales!$C$42="PYG",IF(CP$10&gt;0,N(Reales!CP42)/CP$10,0),N(Reales!CP42)),CP$181*IF(AND(AND(89&gt;Corte,89&lt;=Corte+n_Ventana),ISNUMBER(Detalle_24m!CP$46)),Detalle_24m!CP$46,INDEX(Precio_V,5)*INDEX(IdxPrecio_V,1,MIN(10,CP$173)))*(1+V_dPrecio))</f>
        <v>0</v>
      </c>
      <c r="CQ206" s="48" t="n">
        <f aca="false">IF(CQ$8=1,IF(Reales!$C$42="PYG",IF(CQ$10&gt;0,N(Reales!CQ42)/CQ$10,0),N(Reales!CQ42)),CQ$181*IF(AND(AND(90&gt;Corte,90&lt;=Corte+n_Ventana),ISNUMBER(Detalle_24m!CQ$46)),Detalle_24m!CQ$46,INDEX(Precio_V,5)*INDEX(IdxPrecio_V,1,MIN(10,CQ$173)))*(1+V_dPrecio))</f>
        <v>0</v>
      </c>
      <c r="CR206" s="48" t="n">
        <f aca="false">IF(CR$8=1,IF(Reales!$C$42="PYG",IF(CR$10&gt;0,N(Reales!CR42)/CR$10,0),N(Reales!CR42)),CR$181*IF(AND(AND(91&gt;Corte,91&lt;=Corte+n_Ventana),ISNUMBER(Detalle_24m!CR$46)),Detalle_24m!CR$46,INDEX(Precio_V,5)*INDEX(IdxPrecio_V,1,MIN(10,CR$173)))*(1+V_dPrecio))</f>
        <v>0</v>
      </c>
      <c r="CS206" s="48" t="n">
        <f aca="false">IF(CS$8=1,IF(Reales!$C$42="PYG",IF(CS$10&gt;0,N(Reales!CS42)/CS$10,0),N(Reales!CS42)),CS$181*IF(AND(AND(92&gt;Corte,92&lt;=Corte+n_Ventana),ISNUMBER(Detalle_24m!CS$46)),Detalle_24m!CS$46,INDEX(Precio_V,5)*INDEX(IdxPrecio_V,1,MIN(10,CS$173)))*(1+V_dPrecio))</f>
        <v>0</v>
      </c>
      <c r="CT206" s="48" t="n">
        <f aca="false">IF(CT$8=1,IF(Reales!$C$42="PYG",IF(CT$10&gt;0,N(Reales!CT42)/CT$10,0),N(Reales!CT42)),CT$181*IF(AND(AND(93&gt;Corte,93&lt;=Corte+n_Ventana),ISNUMBER(Detalle_24m!CT$46)),Detalle_24m!CT$46,INDEX(Precio_V,5)*INDEX(IdxPrecio_V,1,MIN(10,CT$173)))*(1+V_dPrecio))</f>
        <v>0</v>
      </c>
      <c r="CU206" s="48" t="n">
        <f aca="false">IF(CU$8=1,IF(Reales!$C$42="PYG",IF(CU$10&gt;0,N(Reales!CU42)/CU$10,0),N(Reales!CU42)),CU$181*IF(AND(AND(94&gt;Corte,94&lt;=Corte+n_Ventana),ISNUMBER(Detalle_24m!CU$46)),Detalle_24m!CU$46,INDEX(Precio_V,5)*INDEX(IdxPrecio_V,1,MIN(10,CU$173)))*(1+V_dPrecio))</f>
        <v>0</v>
      </c>
      <c r="CV206" s="48" t="n">
        <f aca="false">IF(CV$8=1,IF(Reales!$C$42="PYG",IF(CV$10&gt;0,N(Reales!CV42)/CV$10,0),N(Reales!CV42)),CV$181*IF(AND(AND(95&gt;Corte,95&lt;=Corte+n_Ventana),ISNUMBER(Detalle_24m!CV$46)),Detalle_24m!CV$46,INDEX(Precio_V,5)*INDEX(IdxPrecio_V,1,MIN(10,CV$173)))*(1+V_dPrecio))</f>
        <v>0</v>
      </c>
      <c r="CW206" s="48" t="n">
        <f aca="false">IF(CW$8=1,IF(Reales!$C$42="PYG",IF(CW$10&gt;0,N(Reales!CW42)/CW$10,0),N(Reales!CW42)),CW$181*IF(AND(AND(96&gt;Corte,96&lt;=Corte+n_Ventana),ISNUMBER(Detalle_24m!CW$46)),Detalle_24m!CW$46,INDEX(Precio_V,5)*INDEX(IdxPrecio_V,1,MIN(10,CW$173)))*(1+V_dPrecio))</f>
        <v>0</v>
      </c>
      <c r="CX206" s="48" t="n">
        <f aca="false">IF(CX$8=1,IF(Reales!$C$42="PYG",IF(CX$10&gt;0,N(Reales!CX42)/CX$10,0),N(Reales!CX42)),CX$181*IF(AND(AND(97&gt;Corte,97&lt;=Corte+n_Ventana),ISNUMBER(Detalle_24m!CX$46)),Detalle_24m!CX$46,INDEX(Precio_V,5)*INDEX(IdxPrecio_V,1,MIN(10,CX$173)))*(1+V_dPrecio))</f>
        <v>0</v>
      </c>
      <c r="CY206" s="48" t="n">
        <f aca="false">IF(CY$8=1,IF(Reales!$C$42="PYG",IF(CY$10&gt;0,N(Reales!CY42)/CY$10,0),N(Reales!CY42)),CY$181*IF(AND(AND(98&gt;Corte,98&lt;=Corte+n_Ventana),ISNUMBER(Detalle_24m!CY$46)),Detalle_24m!CY$46,INDEX(Precio_V,5)*INDEX(IdxPrecio_V,1,MIN(10,CY$173)))*(1+V_dPrecio))</f>
        <v>0</v>
      </c>
      <c r="CZ206" s="48" t="n">
        <f aca="false">IF(CZ$8=1,IF(Reales!$C$42="PYG",IF(CZ$10&gt;0,N(Reales!CZ42)/CZ$10,0),N(Reales!CZ42)),CZ$181*IF(AND(AND(99&gt;Corte,99&lt;=Corte+n_Ventana),ISNUMBER(Detalle_24m!CZ$46)),Detalle_24m!CZ$46,INDEX(Precio_V,5)*INDEX(IdxPrecio_V,1,MIN(10,CZ$173)))*(1+V_dPrecio))</f>
        <v>0</v>
      </c>
      <c r="DA206" s="48" t="n">
        <f aca="false">IF(DA$8=1,IF(Reales!$C$42="PYG",IF(DA$10&gt;0,N(Reales!DA42)/DA$10,0),N(Reales!DA42)),DA$181*IF(AND(AND(100&gt;Corte,100&lt;=Corte+n_Ventana),ISNUMBER(Detalle_24m!DA$46)),Detalle_24m!DA$46,INDEX(Precio_V,5)*INDEX(IdxPrecio_V,1,MIN(10,DA$173)))*(1+V_dPrecio))</f>
        <v>0</v>
      </c>
      <c r="DB206" s="48" t="n">
        <f aca="false">IF(DB$8=1,IF(Reales!$C$42="PYG",IF(DB$10&gt;0,N(Reales!DB42)/DB$10,0),N(Reales!DB42)),DB$181*IF(AND(AND(101&gt;Corte,101&lt;=Corte+n_Ventana),ISNUMBER(Detalle_24m!DB$46)),Detalle_24m!DB$46,INDEX(Precio_V,5)*INDEX(IdxPrecio_V,1,MIN(10,DB$173)))*(1+V_dPrecio))</f>
        <v>0</v>
      </c>
      <c r="DC206" s="48" t="n">
        <f aca="false">IF(DC$8=1,IF(Reales!$C$42="PYG",IF(DC$10&gt;0,N(Reales!DC42)/DC$10,0),N(Reales!DC42)),DC$181*IF(AND(AND(102&gt;Corte,102&lt;=Corte+n_Ventana),ISNUMBER(Detalle_24m!DC$46)),Detalle_24m!DC$46,INDEX(Precio_V,5)*INDEX(IdxPrecio_V,1,MIN(10,DC$173)))*(1+V_dPrecio))</f>
        <v>0</v>
      </c>
      <c r="DD206" s="48" t="n">
        <f aca="false">IF(DD$8=1,IF(Reales!$C$42="PYG",IF(DD$10&gt;0,N(Reales!DD42)/DD$10,0),N(Reales!DD42)),DD$181*IF(AND(AND(103&gt;Corte,103&lt;=Corte+n_Ventana),ISNUMBER(Detalle_24m!DD$46)),Detalle_24m!DD$46,INDEX(Precio_V,5)*INDEX(IdxPrecio_V,1,MIN(10,DD$173)))*(1+V_dPrecio))</f>
        <v>0</v>
      </c>
      <c r="DE206" s="48" t="n">
        <f aca="false">IF(DE$8=1,IF(Reales!$C$42="PYG",IF(DE$10&gt;0,N(Reales!DE42)/DE$10,0),N(Reales!DE42)),DE$181*IF(AND(AND(104&gt;Corte,104&lt;=Corte+n_Ventana),ISNUMBER(Detalle_24m!DE$46)),Detalle_24m!DE$46,INDEX(Precio_V,5)*INDEX(IdxPrecio_V,1,MIN(10,DE$173)))*(1+V_dPrecio))</f>
        <v>0</v>
      </c>
      <c r="DF206" s="48" t="n">
        <f aca="false">IF(DF$8=1,IF(Reales!$C$42="PYG",IF(DF$10&gt;0,N(Reales!DF42)/DF$10,0),N(Reales!DF42)),DF$181*IF(AND(AND(105&gt;Corte,105&lt;=Corte+n_Ventana),ISNUMBER(Detalle_24m!DF$46)),Detalle_24m!DF$46,INDEX(Precio_V,5)*INDEX(IdxPrecio_V,1,MIN(10,DF$173)))*(1+V_dPrecio))</f>
        <v>0</v>
      </c>
      <c r="DG206" s="48" t="n">
        <f aca="false">IF(DG$8=1,IF(Reales!$C$42="PYG",IF(DG$10&gt;0,N(Reales!DG42)/DG$10,0),N(Reales!DG42)),DG$181*IF(AND(AND(106&gt;Corte,106&lt;=Corte+n_Ventana),ISNUMBER(Detalle_24m!DG$46)),Detalle_24m!DG$46,INDEX(Precio_V,5)*INDEX(IdxPrecio_V,1,MIN(10,DG$173)))*(1+V_dPrecio))</f>
        <v>0</v>
      </c>
      <c r="DH206" s="48" t="n">
        <f aca="false">IF(DH$8=1,IF(Reales!$C$42="PYG",IF(DH$10&gt;0,N(Reales!DH42)/DH$10,0),N(Reales!DH42)),DH$181*IF(AND(AND(107&gt;Corte,107&lt;=Corte+n_Ventana),ISNUMBER(Detalle_24m!DH$46)),Detalle_24m!DH$46,INDEX(Precio_V,5)*INDEX(IdxPrecio_V,1,MIN(10,DH$173)))*(1+V_dPrecio))</f>
        <v>0</v>
      </c>
      <c r="DI206" s="48" t="n">
        <f aca="false">IF(DI$8=1,IF(Reales!$C$42="PYG",IF(DI$10&gt;0,N(Reales!DI42)/DI$10,0),N(Reales!DI42)),DI$181*IF(AND(AND(108&gt;Corte,108&lt;=Corte+n_Ventana),ISNUMBER(Detalle_24m!DI$46)),Detalle_24m!DI$46,INDEX(Precio_V,5)*INDEX(IdxPrecio_V,1,MIN(10,DI$173)))*(1+V_dPrecio))</f>
        <v>0</v>
      </c>
      <c r="DJ206" s="48" t="n">
        <f aca="false">IF(DJ$8=1,IF(Reales!$C$42="PYG",IF(DJ$10&gt;0,N(Reales!DJ42)/DJ$10,0),N(Reales!DJ42)),DJ$181*IF(AND(AND(109&gt;Corte,109&lt;=Corte+n_Ventana),ISNUMBER(Detalle_24m!DJ$46)),Detalle_24m!DJ$46,INDEX(Precio_V,5)*INDEX(IdxPrecio_V,1,MIN(10,DJ$173)))*(1+V_dPrecio))</f>
        <v>0</v>
      </c>
      <c r="DK206" s="48" t="n">
        <f aca="false">IF(DK$8=1,IF(Reales!$C$42="PYG",IF(DK$10&gt;0,N(Reales!DK42)/DK$10,0),N(Reales!DK42)),DK$181*IF(AND(AND(110&gt;Corte,110&lt;=Corte+n_Ventana),ISNUMBER(Detalle_24m!DK$46)),Detalle_24m!DK$46,INDEX(Precio_V,5)*INDEX(IdxPrecio_V,1,MIN(10,DK$173)))*(1+V_dPrecio))</f>
        <v>0</v>
      </c>
      <c r="DL206" s="48" t="n">
        <f aca="false">IF(DL$8=1,IF(Reales!$C$42="PYG",IF(DL$10&gt;0,N(Reales!DL42)/DL$10,0),N(Reales!DL42)),DL$181*IF(AND(AND(111&gt;Corte,111&lt;=Corte+n_Ventana),ISNUMBER(Detalle_24m!DL$46)),Detalle_24m!DL$46,INDEX(Precio_V,5)*INDEX(IdxPrecio_V,1,MIN(10,DL$173)))*(1+V_dPrecio))</f>
        <v>0</v>
      </c>
      <c r="DM206" s="48" t="n">
        <f aca="false">IF(DM$8=1,IF(Reales!$C$42="PYG",IF(DM$10&gt;0,N(Reales!DM42)/DM$10,0),N(Reales!DM42)),DM$181*IF(AND(AND(112&gt;Corte,112&lt;=Corte+n_Ventana),ISNUMBER(Detalle_24m!DM$46)),Detalle_24m!DM$46,INDEX(Precio_V,5)*INDEX(IdxPrecio_V,1,MIN(10,DM$173)))*(1+V_dPrecio))</f>
        <v>0</v>
      </c>
      <c r="DN206" s="48" t="n">
        <f aca="false">IF(DN$8=1,IF(Reales!$C$42="PYG",IF(DN$10&gt;0,N(Reales!DN42)/DN$10,0),N(Reales!DN42)),DN$181*IF(AND(AND(113&gt;Corte,113&lt;=Corte+n_Ventana),ISNUMBER(Detalle_24m!DN$46)),Detalle_24m!DN$46,INDEX(Precio_V,5)*INDEX(IdxPrecio_V,1,MIN(10,DN$173)))*(1+V_dPrecio))</f>
        <v>0</v>
      </c>
      <c r="DO206" s="48" t="n">
        <f aca="false">IF(DO$8=1,IF(Reales!$C$42="PYG",IF(DO$10&gt;0,N(Reales!DO42)/DO$10,0),N(Reales!DO42)),DO$181*IF(AND(AND(114&gt;Corte,114&lt;=Corte+n_Ventana),ISNUMBER(Detalle_24m!DO$46)),Detalle_24m!DO$46,INDEX(Precio_V,5)*INDEX(IdxPrecio_V,1,MIN(10,DO$173)))*(1+V_dPrecio))</f>
        <v>0</v>
      </c>
      <c r="DP206" s="48" t="n">
        <f aca="false">IF(DP$8=1,IF(Reales!$C$42="PYG",IF(DP$10&gt;0,N(Reales!DP42)/DP$10,0),N(Reales!DP42)),DP$181*IF(AND(AND(115&gt;Corte,115&lt;=Corte+n_Ventana),ISNUMBER(Detalle_24m!DP$46)),Detalle_24m!DP$46,INDEX(Precio_V,5)*INDEX(IdxPrecio_V,1,MIN(10,DP$173)))*(1+V_dPrecio))</f>
        <v>0</v>
      </c>
      <c r="DQ206" s="48" t="n">
        <f aca="false">IF(DQ$8=1,IF(Reales!$C$42="PYG",IF(DQ$10&gt;0,N(Reales!DQ42)/DQ$10,0),N(Reales!DQ42)),DQ$181*IF(AND(AND(116&gt;Corte,116&lt;=Corte+n_Ventana),ISNUMBER(Detalle_24m!DQ$46)),Detalle_24m!DQ$46,INDEX(Precio_V,5)*INDEX(IdxPrecio_V,1,MIN(10,DQ$173)))*(1+V_dPrecio))</f>
        <v>0</v>
      </c>
      <c r="DR206" s="48" t="n">
        <f aca="false">IF(DR$8=1,IF(Reales!$C$42="PYG",IF(DR$10&gt;0,N(Reales!DR42)/DR$10,0),N(Reales!DR42)),DR$181*IF(AND(AND(117&gt;Corte,117&lt;=Corte+n_Ventana),ISNUMBER(Detalle_24m!DR$46)),Detalle_24m!DR$46,INDEX(Precio_V,5)*INDEX(IdxPrecio_V,1,MIN(10,DR$173)))*(1+V_dPrecio))</f>
        <v>0</v>
      </c>
      <c r="DS206" s="48" t="n">
        <f aca="false">IF(DS$8=1,IF(Reales!$C$42="PYG",IF(DS$10&gt;0,N(Reales!DS42)/DS$10,0),N(Reales!DS42)),DS$181*IF(AND(AND(118&gt;Corte,118&lt;=Corte+n_Ventana),ISNUMBER(Detalle_24m!DS$46)),Detalle_24m!DS$46,INDEX(Precio_V,5)*INDEX(IdxPrecio_V,1,MIN(10,DS$173)))*(1+V_dPrecio))</f>
        <v>0</v>
      </c>
      <c r="DT206" s="48" t="n">
        <f aca="false">IF(DT$8=1,IF(Reales!$C$42="PYG",IF(DT$10&gt;0,N(Reales!DT42)/DT$10,0),N(Reales!DT42)),DT$181*IF(AND(AND(119&gt;Corte,119&lt;=Corte+n_Ventana),ISNUMBER(Detalle_24m!DT$46)),Detalle_24m!DT$46,INDEX(Precio_V,5)*INDEX(IdxPrecio_V,1,MIN(10,DT$173)))*(1+V_dPrecio))</f>
        <v>0</v>
      </c>
      <c r="DU206" s="48" t="n">
        <f aca="false">IF(DU$8=1,IF(Reales!$C$42="PYG",IF(DU$10&gt;0,N(Reales!DU42)/DU$10,0),N(Reales!DU42)),DU$181*IF(AND(AND(120&gt;Corte,120&lt;=Corte+n_Ventana),ISNUMBER(Detalle_24m!DU$46)),Detalle_24m!DU$46,INDEX(Precio_V,5)*INDEX(IdxPrecio_V,1,MIN(10,DU$173)))*(1+V_dPrecio))</f>
        <v>0</v>
      </c>
      <c r="DV206" s="48" t="n">
        <f aca="false">IF(DV$8=1,IF(Reales!$C$42="PYG",IF(DV$10&gt;0,N(Reales!DV42)/DV$10,0),N(Reales!DV42)),DV$181*IF(AND(AND(121&gt;Corte,121&lt;=Corte+n_Ventana),ISNUMBER(Detalle_24m!DV$46)),Detalle_24m!DV$46,INDEX(Precio_V,5)*INDEX(IdxPrecio_V,1,MIN(10,DV$173)))*(1+V_dPrecio))</f>
        <v>0</v>
      </c>
      <c r="DW206" s="48" t="n">
        <f aca="false">IF(DW$8=1,IF(Reales!$C$42="PYG",IF(DW$10&gt;0,N(Reales!DW42)/DW$10,0),N(Reales!DW42)),DW$181*IF(AND(AND(122&gt;Corte,122&lt;=Corte+n_Ventana),ISNUMBER(Detalle_24m!DW$46)),Detalle_24m!DW$46,INDEX(Precio_V,5)*INDEX(IdxPrecio_V,1,MIN(10,DW$173)))*(1+V_dPrecio))</f>
        <v>0</v>
      </c>
      <c r="DX206" s="48" t="n">
        <f aca="false">IF(DX$8=1,IF(Reales!$C$42="PYG",IF(DX$10&gt;0,N(Reales!DX42)/DX$10,0),N(Reales!DX42)),DX$181*IF(AND(AND(123&gt;Corte,123&lt;=Corte+n_Ventana),ISNUMBER(Detalle_24m!DX$46)),Detalle_24m!DX$46,INDEX(Precio_V,5)*INDEX(IdxPrecio_V,1,MIN(10,DX$173)))*(1+V_dPrecio))</f>
        <v>0</v>
      </c>
      <c r="DY206" s="48" t="n">
        <f aca="false">IF(DY$8=1,IF(Reales!$C$42="PYG",IF(DY$10&gt;0,N(Reales!DY42)/DY$10,0),N(Reales!DY42)),DY$181*IF(AND(AND(124&gt;Corte,124&lt;=Corte+n_Ventana),ISNUMBER(Detalle_24m!DY$46)),Detalle_24m!DY$46,INDEX(Precio_V,5)*INDEX(IdxPrecio_V,1,MIN(10,DY$173)))*(1+V_dPrecio))</f>
        <v>0</v>
      </c>
      <c r="DZ206" s="48" t="n">
        <f aca="false">IF(DZ$8=1,IF(Reales!$C$42="PYG",IF(DZ$10&gt;0,N(Reales!DZ42)/DZ$10,0),N(Reales!DZ42)),DZ$181*IF(AND(AND(125&gt;Corte,125&lt;=Corte+n_Ventana),ISNUMBER(Detalle_24m!DZ$46)),Detalle_24m!DZ$46,INDEX(Precio_V,5)*INDEX(IdxPrecio_V,1,MIN(10,DZ$173)))*(1+V_dPrecio))</f>
        <v>0</v>
      </c>
      <c r="EA206" s="48" t="n">
        <f aca="false">IF(EA$8=1,IF(Reales!$C$42="PYG",IF(EA$10&gt;0,N(Reales!EA42)/EA$10,0),N(Reales!EA42)),EA$181*IF(AND(AND(126&gt;Corte,126&lt;=Corte+n_Ventana),ISNUMBER(Detalle_24m!EA$46)),Detalle_24m!EA$46,INDEX(Precio_V,5)*INDEX(IdxPrecio_V,1,MIN(10,EA$173)))*(1+V_dPrecio))</f>
        <v>0</v>
      </c>
      <c r="EB206" s="48" t="n">
        <f aca="false">IF(EB$8=1,IF(Reales!$C$42="PYG",IF(EB$10&gt;0,N(Reales!EB42)/EB$10,0),N(Reales!EB42)),EB$181*IF(AND(AND(127&gt;Corte,127&lt;=Corte+n_Ventana),ISNUMBER(Detalle_24m!EB$46)),Detalle_24m!EB$46,INDEX(Precio_V,5)*INDEX(IdxPrecio_V,1,MIN(10,EB$173)))*(1+V_dPrecio))</f>
        <v>0</v>
      </c>
      <c r="EC206" s="48" t="n">
        <f aca="false">IF(EC$8=1,IF(Reales!$C$42="PYG",IF(EC$10&gt;0,N(Reales!EC42)/EC$10,0),N(Reales!EC42)),EC$181*IF(AND(AND(128&gt;Corte,128&lt;=Corte+n_Ventana),ISNUMBER(Detalle_24m!EC$46)),Detalle_24m!EC$46,INDEX(Precio_V,5)*INDEX(IdxPrecio_V,1,MIN(10,EC$173)))*(1+V_dPrecio))</f>
        <v>0</v>
      </c>
      <c r="ED206" s="48" t="n">
        <f aca="false">IF(ED$8=1,IF(Reales!$C$42="PYG",IF(ED$10&gt;0,N(Reales!ED42)/ED$10,0),N(Reales!ED42)),ED$181*IF(AND(AND(129&gt;Corte,129&lt;=Corte+n_Ventana),ISNUMBER(Detalle_24m!ED$46)),Detalle_24m!ED$46,INDEX(Precio_V,5)*INDEX(IdxPrecio_V,1,MIN(10,ED$173)))*(1+V_dPrecio))</f>
        <v>0</v>
      </c>
      <c r="EE206" s="48" t="n">
        <f aca="false">IF(EE$8=1,IF(Reales!$C$42="PYG",IF(EE$10&gt;0,N(Reales!EE42)/EE$10,0),N(Reales!EE42)),EE$181*IF(AND(AND(130&gt;Corte,130&lt;=Corte+n_Ventana),ISNUMBER(Detalle_24m!EE$46)),Detalle_24m!EE$46,INDEX(Precio_V,5)*INDEX(IdxPrecio_V,1,MIN(10,EE$173)))*(1+V_dPrecio))</f>
        <v>0</v>
      </c>
      <c r="EF206" s="48" t="n">
        <f aca="false">IF(EF$8=1,IF(Reales!$C$42="PYG",IF(EF$10&gt;0,N(Reales!EF42)/EF$10,0),N(Reales!EF42)),EF$181*IF(AND(AND(131&gt;Corte,131&lt;=Corte+n_Ventana),ISNUMBER(Detalle_24m!EF$46)),Detalle_24m!EF$46,INDEX(Precio_V,5)*INDEX(IdxPrecio_V,1,MIN(10,EF$173)))*(1+V_dPrecio))</f>
        <v>0</v>
      </c>
      <c r="EG206" s="48" t="n">
        <f aca="false">IF(EG$8=1,IF(Reales!$C$42="PYG",IF(EG$10&gt;0,N(Reales!EG42)/EG$10,0),N(Reales!EG42)),EG$181*IF(AND(AND(132&gt;Corte,132&lt;=Corte+n_Ventana),ISNUMBER(Detalle_24m!EG$46)),Detalle_24m!EG$46,INDEX(Precio_V,5)*INDEX(IdxPrecio_V,1,MIN(10,EG$173)))*(1+V_dPrecio))</f>
        <v>0</v>
      </c>
      <c r="EH206" s="48" t="n">
        <f aca="false">IF(EH$8=1,IF(Reales!$C$42="PYG",IF(EH$10&gt;0,N(Reales!EH42)/EH$10,0),N(Reales!EH42)),EH$181*IF(AND(AND(133&gt;Corte,133&lt;=Corte+n_Ventana),ISNUMBER(Detalle_24m!EH$46)),Detalle_24m!EH$46,INDEX(Precio_V,5)*INDEX(IdxPrecio_V,1,MIN(10,EH$173)))*(1+V_dPrecio))</f>
        <v>0</v>
      </c>
      <c r="EI206" s="48" t="n">
        <f aca="false">IF(EI$8=1,IF(Reales!$C$42="PYG",IF(EI$10&gt;0,N(Reales!EI42)/EI$10,0),N(Reales!EI42)),EI$181*IF(AND(AND(134&gt;Corte,134&lt;=Corte+n_Ventana),ISNUMBER(Detalle_24m!EI$46)),Detalle_24m!EI$46,INDEX(Precio_V,5)*INDEX(IdxPrecio_V,1,MIN(10,EI$173)))*(1+V_dPrecio))</f>
        <v>0</v>
      </c>
      <c r="EJ206" s="48" t="n">
        <f aca="false">IF(EJ$8=1,IF(Reales!$C$42="PYG",IF(EJ$10&gt;0,N(Reales!EJ42)/EJ$10,0),N(Reales!EJ42)),EJ$181*IF(AND(AND(135&gt;Corte,135&lt;=Corte+n_Ventana),ISNUMBER(Detalle_24m!EJ$46)),Detalle_24m!EJ$46,INDEX(Precio_V,5)*INDEX(IdxPrecio_V,1,MIN(10,EJ$173)))*(1+V_dPrecio))</f>
        <v>0</v>
      </c>
      <c r="EK206" s="48" t="n">
        <f aca="false">IF(EK$8=1,IF(Reales!$C$42="PYG",IF(EK$10&gt;0,N(Reales!EK42)/EK$10,0),N(Reales!EK42)),EK$181*IF(AND(AND(136&gt;Corte,136&lt;=Corte+n_Ventana),ISNUMBER(Detalle_24m!EK$46)),Detalle_24m!EK$46,INDEX(Precio_V,5)*INDEX(IdxPrecio_V,1,MIN(10,EK$173)))*(1+V_dPrecio))</f>
        <v>0</v>
      </c>
      <c r="EL206" s="48" t="n">
        <f aca="false">IF(EL$8=1,IF(Reales!$C$42="PYG",IF(EL$10&gt;0,N(Reales!EL42)/EL$10,0),N(Reales!EL42)),EL$181*IF(AND(AND(137&gt;Corte,137&lt;=Corte+n_Ventana),ISNUMBER(Detalle_24m!EL$46)),Detalle_24m!EL$46,INDEX(Precio_V,5)*INDEX(IdxPrecio_V,1,MIN(10,EL$173)))*(1+V_dPrecio))</f>
        <v>0</v>
      </c>
      <c r="EM206" s="48" t="n">
        <f aca="false">IF(EM$8=1,IF(Reales!$C$42="PYG",IF(EM$10&gt;0,N(Reales!EM42)/EM$10,0),N(Reales!EM42)),EM$181*IF(AND(AND(138&gt;Corte,138&lt;=Corte+n_Ventana),ISNUMBER(Detalle_24m!EM$46)),Detalle_24m!EM$46,INDEX(Precio_V,5)*INDEX(IdxPrecio_V,1,MIN(10,EM$173)))*(1+V_dPrecio))</f>
        <v>0</v>
      </c>
      <c r="EN206" s="48" t="n">
        <f aca="false">IF(EN$8=1,IF(Reales!$C$42="PYG",IF(EN$10&gt;0,N(Reales!EN42)/EN$10,0),N(Reales!EN42)),EN$181*IF(AND(AND(139&gt;Corte,139&lt;=Corte+n_Ventana),ISNUMBER(Detalle_24m!EN$46)),Detalle_24m!EN$46,INDEX(Precio_V,5)*INDEX(IdxPrecio_V,1,MIN(10,EN$173)))*(1+V_dPrecio))</f>
        <v>0</v>
      </c>
      <c r="EO206" s="48" t="n">
        <f aca="false">IF(EO$8=1,IF(Reales!$C$42="PYG",IF(EO$10&gt;0,N(Reales!EO42)/EO$10,0),N(Reales!EO42)),EO$181*IF(AND(AND(140&gt;Corte,140&lt;=Corte+n_Ventana),ISNUMBER(Detalle_24m!EO$46)),Detalle_24m!EO$46,INDEX(Precio_V,5)*INDEX(IdxPrecio_V,1,MIN(10,EO$173)))*(1+V_dPrecio))</f>
        <v>0</v>
      </c>
      <c r="EP206" s="48" t="n">
        <f aca="false">IF(EP$8=1,IF(Reales!$C$42="PYG",IF(EP$10&gt;0,N(Reales!EP42)/EP$10,0),N(Reales!EP42)),EP$181*IF(AND(AND(141&gt;Corte,141&lt;=Corte+n_Ventana),ISNUMBER(Detalle_24m!EP$46)),Detalle_24m!EP$46,INDEX(Precio_V,5)*INDEX(IdxPrecio_V,1,MIN(10,EP$173)))*(1+V_dPrecio))</f>
        <v>0</v>
      </c>
      <c r="EQ206" s="48" t="n">
        <f aca="false">IF(EQ$8=1,IF(Reales!$C$42="PYG",IF(EQ$10&gt;0,N(Reales!EQ42)/EQ$10,0),N(Reales!EQ42)),EQ$181*IF(AND(AND(142&gt;Corte,142&lt;=Corte+n_Ventana),ISNUMBER(Detalle_24m!EQ$46)),Detalle_24m!EQ$46,INDEX(Precio_V,5)*INDEX(IdxPrecio_V,1,MIN(10,EQ$173)))*(1+V_dPrecio))</f>
        <v>0</v>
      </c>
      <c r="ER206" s="48" t="n">
        <f aca="false">IF(ER$8=1,IF(Reales!$C$42="PYG",IF(ER$10&gt;0,N(Reales!ER42)/ER$10,0),N(Reales!ER42)),ER$181*IF(AND(AND(143&gt;Corte,143&lt;=Corte+n_Ventana),ISNUMBER(Detalle_24m!ER$46)),Detalle_24m!ER$46,INDEX(Precio_V,5)*INDEX(IdxPrecio_V,1,MIN(10,ER$173)))*(1+V_dPrecio))</f>
        <v>0</v>
      </c>
      <c r="ES206" s="48" t="n">
        <f aca="false">IF(ES$8=1,IF(Reales!$C$42="PYG",IF(ES$10&gt;0,N(Reales!ES42)/ES$10,0),N(Reales!ES42)),ES$181*IF(AND(AND(144&gt;Corte,144&lt;=Corte+n_Ventana),ISNUMBER(Detalle_24m!ES$46)),Detalle_24m!ES$46,INDEX(Precio_V,5)*INDEX(IdxPrecio_V,1,MIN(10,ES$173)))*(1+V_dPrecio))</f>
        <v>0</v>
      </c>
    </row>
    <row r="207" customFormat="false" ht="15" hidden="false" customHeight="false" outlineLevel="0" collapsed="false">
      <c r="A207" s="11" t="s">
        <v>1330</v>
      </c>
      <c r="B207" s="53" t="str">
        <f aca="false">IF(INDEX(Prod_Nombre,6)="","Producto 6",INDEX(Prod_Nombre,6))&amp;" — ventas USD"</f>
        <v>Producto 6 — ventas USD</v>
      </c>
      <c r="C207" s="15" t="s">
        <v>508</v>
      </c>
      <c r="E207" s="54" t="n">
        <f aca="false">SUM(F207:ES207)</f>
        <v>0</v>
      </c>
      <c r="F207" s="48" t="n">
        <f aca="false">IF(F$8=1,IF(Reales!$C$43="PYG",IF(F$10&gt;0,N(Reales!F43)/F$10,0),N(Reales!F43)),F$182*IF(AND(AND(1&gt;Corte,1&lt;=Corte+n_Ventana),ISNUMBER(Detalle_24m!F$47)),Detalle_24m!F$47,INDEX(Precio_V,6)*INDEX(IdxPrecio_V,1,MIN(10,F$173)))*(1+V_dPrecio))</f>
        <v>0</v>
      </c>
      <c r="G207" s="48" t="n">
        <f aca="false">IF(G$8=1,IF(Reales!$C$43="PYG",IF(G$10&gt;0,N(Reales!G43)/G$10,0),N(Reales!G43)),G$182*IF(AND(AND(2&gt;Corte,2&lt;=Corte+n_Ventana),ISNUMBER(Detalle_24m!G$47)),Detalle_24m!G$47,INDEX(Precio_V,6)*INDEX(IdxPrecio_V,1,MIN(10,G$173)))*(1+V_dPrecio))</f>
        <v>0</v>
      </c>
      <c r="H207" s="48" t="n">
        <f aca="false">IF(H$8=1,IF(Reales!$C$43="PYG",IF(H$10&gt;0,N(Reales!H43)/H$10,0),N(Reales!H43)),H$182*IF(AND(AND(3&gt;Corte,3&lt;=Corte+n_Ventana),ISNUMBER(Detalle_24m!H$47)),Detalle_24m!H$47,INDEX(Precio_V,6)*INDEX(IdxPrecio_V,1,MIN(10,H$173)))*(1+V_dPrecio))</f>
        <v>0</v>
      </c>
      <c r="I207" s="48" t="n">
        <f aca="false">IF(I$8=1,IF(Reales!$C$43="PYG",IF(I$10&gt;0,N(Reales!I43)/I$10,0),N(Reales!I43)),I$182*IF(AND(AND(4&gt;Corte,4&lt;=Corte+n_Ventana),ISNUMBER(Detalle_24m!I$47)),Detalle_24m!I$47,INDEX(Precio_V,6)*INDEX(IdxPrecio_V,1,MIN(10,I$173)))*(1+V_dPrecio))</f>
        <v>0</v>
      </c>
      <c r="J207" s="48" t="n">
        <f aca="false">IF(J$8=1,IF(Reales!$C$43="PYG",IF(J$10&gt;0,N(Reales!J43)/J$10,0),N(Reales!J43)),J$182*IF(AND(AND(5&gt;Corte,5&lt;=Corte+n_Ventana),ISNUMBER(Detalle_24m!J$47)),Detalle_24m!J$47,INDEX(Precio_V,6)*INDEX(IdxPrecio_V,1,MIN(10,J$173)))*(1+V_dPrecio))</f>
        <v>0</v>
      </c>
      <c r="K207" s="48" t="n">
        <f aca="false">IF(K$8=1,IF(Reales!$C$43="PYG",IF(K$10&gt;0,N(Reales!K43)/K$10,0),N(Reales!K43)),K$182*IF(AND(AND(6&gt;Corte,6&lt;=Corte+n_Ventana),ISNUMBER(Detalle_24m!K$47)),Detalle_24m!K$47,INDEX(Precio_V,6)*INDEX(IdxPrecio_V,1,MIN(10,K$173)))*(1+V_dPrecio))</f>
        <v>0</v>
      </c>
      <c r="L207" s="48" t="n">
        <f aca="false">IF(L$8=1,IF(Reales!$C$43="PYG",IF(L$10&gt;0,N(Reales!L43)/L$10,0),N(Reales!L43)),L$182*IF(AND(AND(7&gt;Corte,7&lt;=Corte+n_Ventana),ISNUMBER(Detalle_24m!L$47)),Detalle_24m!L$47,INDEX(Precio_V,6)*INDEX(IdxPrecio_V,1,MIN(10,L$173)))*(1+V_dPrecio))</f>
        <v>0</v>
      </c>
      <c r="M207" s="48" t="n">
        <f aca="false">IF(M$8=1,IF(Reales!$C$43="PYG",IF(M$10&gt;0,N(Reales!M43)/M$10,0),N(Reales!M43)),M$182*IF(AND(AND(8&gt;Corte,8&lt;=Corte+n_Ventana),ISNUMBER(Detalle_24m!M$47)),Detalle_24m!M$47,INDEX(Precio_V,6)*INDEX(IdxPrecio_V,1,MIN(10,M$173)))*(1+V_dPrecio))</f>
        <v>0</v>
      </c>
      <c r="N207" s="48" t="n">
        <f aca="false">IF(N$8=1,IF(Reales!$C$43="PYG",IF(N$10&gt;0,N(Reales!N43)/N$10,0),N(Reales!N43)),N$182*IF(AND(AND(9&gt;Corte,9&lt;=Corte+n_Ventana),ISNUMBER(Detalle_24m!N$47)),Detalle_24m!N$47,INDEX(Precio_V,6)*INDEX(IdxPrecio_V,1,MIN(10,N$173)))*(1+V_dPrecio))</f>
        <v>0</v>
      </c>
      <c r="O207" s="48" t="n">
        <f aca="false">IF(O$8=1,IF(Reales!$C$43="PYG",IF(O$10&gt;0,N(Reales!O43)/O$10,0),N(Reales!O43)),O$182*IF(AND(AND(10&gt;Corte,10&lt;=Corte+n_Ventana),ISNUMBER(Detalle_24m!O$47)),Detalle_24m!O$47,INDEX(Precio_V,6)*INDEX(IdxPrecio_V,1,MIN(10,O$173)))*(1+V_dPrecio))</f>
        <v>0</v>
      </c>
      <c r="P207" s="48" t="n">
        <f aca="false">IF(P$8=1,IF(Reales!$C$43="PYG",IF(P$10&gt;0,N(Reales!P43)/P$10,0),N(Reales!P43)),P$182*IF(AND(AND(11&gt;Corte,11&lt;=Corte+n_Ventana),ISNUMBER(Detalle_24m!P$47)),Detalle_24m!P$47,INDEX(Precio_V,6)*INDEX(IdxPrecio_V,1,MIN(10,P$173)))*(1+V_dPrecio))</f>
        <v>0</v>
      </c>
      <c r="Q207" s="48" t="n">
        <f aca="false">IF(Q$8=1,IF(Reales!$C$43="PYG",IF(Q$10&gt;0,N(Reales!Q43)/Q$10,0),N(Reales!Q43)),Q$182*IF(AND(AND(12&gt;Corte,12&lt;=Corte+n_Ventana),ISNUMBER(Detalle_24m!Q$47)),Detalle_24m!Q$47,INDEX(Precio_V,6)*INDEX(IdxPrecio_V,1,MIN(10,Q$173)))*(1+V_dPrecio))</f>
        <v>0</v>
      </c>
      <c r="R207" s="48" t="n">
        <f aca="false">IF(R$8=1,IF(Reales!$C$43="PYG",IF(R$10&gt;0,N(Reales!R43)/R$10,0),N(Reales!R43)),R$182*IF(AND(AND(13&gt;Corte,13&lt;=Corte+n_Ventana),ISNUMBER(Detalle_24m!R$47)),Detalle_24m!R$47,INDEX(Precio_V,6)*INDEX(IdxPrecio_V,1,MIN(10,R$173)))*(1+V_dPrecio))</f>
        <v>0</v>
      </c>
      <c r="S207" s="48" t="n">
        <f aca="false">IF(S$8=1,IF(Reales!$C$43="PYG",IF(S$10&gt;0,N(Reales!S43)/S$10,0),N(Reales!S43)),S$182*IF(AND(AND(14&gt;Corte,14&lt;=Corte+n_Ventana),ISNUMBER(Detalle_24m!S$47)),Detalle_24m!S$47,INDEX(Precio_V,6)*INDEX(IdxPrecio_V,1,MIN(10,S$173)))*(1+V_dPrecio))</f>
        <v>0</v>
      </c>
      <c r="T207" s="48" t="n">
        <f aca="false">IF(T$8=1,IF(Reales!$C$43="PYG",IF(T$10&gt;0,N(Reales!T43)/T$10,0),N(Reales!T43)),T$182*IF(AND(AND(15&gt;Corte,15&lt;=Corte+n_Ventana),ISNUMBER(Detalle_24m!T$47)),Detalle_24m!T$47,INDEX(Precio_V,6)*INDEX(IdxPrecio_V,1,MIN(10,T$173)))*(1+V_dPrecio))</f>
        <v>0</v>
      </c>
      <c r="U207" s="48" t="n">
        <f aca="false">IF(U$8=1,IF(Reales!$C$43="PYG",IF(U$10&gt;0,N(Reales!U43)/U$10,0),N(Reales!U43)),U$182*IF(AND(AND(16&gt;Corte,16&lt;=Corte+n_Ventana),ISNUMBER(Detalle_24m!U$47)),Detalle_24m!U$47,INDEX(Precio_V,6)*INDEX(IdxPrecio_V,1,MIN(10,U$173)))*(1+V_dPrecio))</f>
        <v>0</v>
      </c>
      <c r="V207" s="48" t="n">
        <f aca="false">IF(V$8=1,IF(Reales!$C$43="PYG",IF(V$10&gt;0,N(Reales!V43)/V$10,0),N(Reales!V43)),V$182*IF(AND(AND(17&gt;Corte,17&lt;=Corte+n_Ventana),ISNUMBER(Detalle_24m!V$47)),Detalle_24m!V$47,INDEX(Precio_V,6)*INDEX(IdxPrecio_V,1,MIN(10,V$173)))*(1+V_dPrecio))</f>
        <v>0</v>
      </c>
      <c r="W207" s="48" t="n">
        <f aca="false">IF(W$8=1,IF(Reales!$C$43="PYG",IF(W$10&gt;0,N(Reales!W43)/W$10,0),N(Reales!W43)),W$182*IF(AND(AND(18&gt;Corte,18&lt;=Corte+n_Ventana),ISNUMBER(Detalle_24m!W$47)),Detalle_24m!W$47,INDEX(Precio_V,6)*INDEX(IdxPrecio_V,1,MIN(10,W$173)))*(1+V_dPrecio))</f>
        <v>0</v>
      </c>
      <c r="X207" s="48" t="n">
        <f aca="false">IF(X$8=1,IF(Reales!$C$43="PYG",IF(X$10&gt;0,N(Reales!X43)/X$10,0),N(Reales!X43)),X$182*IF(AND(AND(19&gt;Corte,19&lt;=Corte+n_Ventana),ISNUMBER(Detalle_24m!X$47)),Detalle_24m!X$47,INDEX(Precio_V,6)*INDEX(IdxPrecio_V,1,MIN(10,X$173)))*(1+V_dPrecio))</f>
        <v>0</v>
      </c>
      <c r="Y207" s="48" t="n">
        <f aca="false">IF(Y$8=1,IF(Reales!$C$43="PYG",IF(Y$10&gt;0,N(Reales!Y43)/Y$10,0),N(Reales!Y43)),Y$182*IF(AND(AND(20&gt;Corte,20&lt;=Corte+n_Ventana),ISNUMBER(Detalle_24m!Y$47)),Detalle_24m!Y$47,INDEX(Precio_V,6)*INDEX(IdxPrecio_V,1,MIN(10,Y$173)))*(1+V_dPrecio))</f>
        <v>0</v>
      </c>
      <c r="Z207" s="48" t="n">
        <f aca="false">IF(Z$8=1,IF(Reales!$C$43="PYG",IF(Z$10&gt;0,N(Reales!Z43)/Z$10,0),N(Reales!Z43)),Z$182*IF(AND(AND(21&gt;Corte,21&lt;=Corte+n_Ventana),ISNUMBER(Detalle_24m!Z$47)),Detalle_24m!Z$47,INDEX(Precio_V,6)*INDEX(IdxPrecio_V,1,MIN(10,Z$173)))*(1+V_dPrecio))</f>
        <v>0</v>
      </c>
      <c r="AA207" s="48" t="n">
        <f aca="false">IF(AA$8=1,IF(Reales!$C$43="PYG",IF(AA$10&gt;0,N(Reales!AA43)/AA$10,0),N(Reales!AA43)),AA$182*IF(AND(AND(22&gt;Corte,22&lt;=Corte+n_Ventana),ISNUMBER(Detalle_24m!AA$47)),Detalle_24m!AA$47,INDEX(Precio_V,6)*INDEX(IdxPrecio_V,1,MIN(10,AA$173)))*(1+V_dPrecio))</f>
        <v>0</v>
      </c>
      <c r="AB207" s="48" t="n">
        <f aca="false">IF(AB$8=1,IF(Reales!$C$43="PYG",IF(AB$10&gt;0,N(Reales!AB43)/AB$10,0),N(Reales!AB43)),AB$182*IF(AND(AND(23&gt;Corte,23&lt;=Corte+n_Ventana),ISNUMBER(Detalle_24m!AB$47)),Detalle_24m!AB$47,INDEX(Precio_V,6)*INDEX(IdxPrecio_V,1,MIN(10,AB$173)))*(1+V_dPrecio))</f>
        <v>0</v>
      </c>
      <c r="AC207" s="48" t="n">
        <f aca="false">IF(AC$8=1,IF(Reales!$C$43="PYG",IF(AC$10&gt;0,N(Reales!AC43)/AC$10,0),N(Reales!AC43)),AC$182*IF(AND(AND(24&gt;Corte,24&lt;=Corte+n_Ventana),ISNUMBER(Detalle_24m!AC$47)),Detalle_24m!AC$47,INDEX(Precio_V,6)*INDEX(IdxPrecio_V,1,MIN(10,AC$173)))*(1+V_dPrecio))</f>
        <v>0</v>
      </c>
      <c r="AD207" s="48" t="n">
        <f aca="false">IF(AD$8=1,IF(Reales!$C$43="PYG",IF(AD$10&gt;0,N(Reales!AD43)/AD$10,0),N(Reales!AD43)),AD$182*IF(AND(AND(25&gt;Corte,25&lt;=Corte+n_Ventana),ISNUMBER(Detalle_24m!AD$47)),Detalle_24m!AD$47,INDEX(Precio_V,6)*INDEX(IdxPrecio_V,1,MIN(10,AD$173)))*(1+V_dPrecio))</f>
        <v>0</v>
      </c>
      <c r="AE207" s="48" t="n">
        <f aca="false">IF(AE$8=1,IF(Reales!$C$43="PYG",IF(AE$10&gt;0,N(Reales!AE43)/AE$10,0),N(Reales!AE43)),AE$182*IF(AND(AND(26&gt;Corte,26&lt;=Corte+n_Ventana),ISNUMBER(Detalle_24m!AE$47)),Detalle_24m!AE$47,INDEX(Precio_V,6)*INDEX(IdxPrecio_V,1,MIN(10,AE$173)))*(1+V_dPrecio))</f>
        <v>0</v>
      </c>
      <c r="AF207" s="48" t="n">
        <f aca="false">IF(AF$8=1,IF(Reales!$C$43="PYG",IF(AF$10&gt;0,N(Reales!AF43)/AF$10,0),N(Reales!AF43)),AF$182*IF(AND(AND(27&gt;Corte,27&lt;=Corte+n_Ventana),ISNUMBER(Detalle_24m!AF$47)),Detalle_24m!AF$47,INDEX(Precio_V,6)*INDEX(IdxPrecio_V,1,MIN(10,AF$173)))*(1+V_dPrecio))</f>
        <v>0</v>
      </c>
      <c r="AG207" s="48" t="n">
        <f aca="false">IF(AG$8=1,IF(Reales!$C$43="PYG",IF(AG$10&gt;0,N(Reales!AG43)/AG$10,0),N(Reales!AG43)),AG$182*IF(AND(AND(28&gt;Corte,28&lt;=Corte+n_Ventana),ISNUMBER(Detalle_24m!AG$47)),Detalle_24m!AG$47,INDEX(Precio_V,6)*INDEX(IdxPrecio_V,1,MIN(10,AG$173)))*(1+V_dPrecio))</f>
        <v>0</v>
      </c>
      <c r="AH207" s="48" t="n">
        <f aca="false">IF(AH$8=1,IF(Reales!$C$43="PYG",IF(AH$10&gt;0,N(Reales!AH43)/AH$10,0),N(Reales!AH43)),AH$182*IF(AND(AND(29&gt;Corte,29&lt;=Corte+n_Ventana),ISNUMBER(Detalle_24m!AH$47)),Detalle_24m!AH$47,INDEX(Precio_V,6)*INDEX(IdxPrecio_V,1,MIN(10,AH$173)))*(1+V_dPrecio))</f>
        <v>0</v>
      </c>
      <c r="AI207" s="48" t="n">
        <f aca="false">IF(AI$8=1,IF(Reales!$C$43="PYG",IF(AI$10&gt;0,N(Reales!AI43)/AI$10,0),N(Reales!AI43)),AI$182*IF(AND(AND(30&gt;Corte,30&lt;=Corte+n_Ventana),ISNUMBER(Detalle_24m!AI$47)),Detalle_24m!AI$47,INDEX(Precio_V,6)*INDEX(IdxPrecio_V,1,MIN(10,AI$173)))*(1+V_dPrecio))</f>
        <v>0</v>
      </c>
      <c r="AJ207" s="48" t="n">
        <f aca="false">IF(AJ$8=1,IF(Reales!$C$43="PYG",IF(AJ$10&gt;0,N(Reales!AJ43)/AJ$10,0),N(Reales!AJ43)),AJ$182*IF(AND(AND(31&gt;Corte,31&lt;=Corte+n_Ventana),ISNUMBER(Detalle_24m!AJ$47)),Detalle_24m!AJ$47,INDEX(Precio_V,6)*INDEX(IdxPrecio_V,1,MIN(10,AJ$173)))*(1+V_dPrecio))</f>
        <v>0</v>
      </c>
      <c r="AK207" s="48" t="n">
        <f aca="false">IF(AK$8=1,IF(Reales!$C$43="PYG",IF(AK$10&gt;0,N(Reales!AK43)/AK$10,0),N(Reales!AK43)),AK$182*IF(AND(AND(32&gt;Corte,32&lt;=Corte+n_Ventana),ISNUMBER(Detalle_24m!AK$47)),Detalle_24m!AK$47,INDEX(Precio_V,6)*INDEX(IdxPrecio_V,1,MIN(10,AK$173)))*(1+V_dPrecio))</f>
        <v>0</v>
      </c>
      <c r="AL207" s="48" t="n">
        <f aca="false">IF(AL$8=1,IF(Reales!$C$43="PYG",IF(AL$10&gt;0,N(Reales!AL43)/AL$10,0),N(Reales!AL43)),AL$182*IF(AND(AND(33&gt;Corte,33&lt;=Corte+n_Ventana),ISNUMBER(Detalle_24m!AL$47)),Detalle_24m!AL$47,INDEX(Precio_V,6)*INDEX(IdxPrecio_V,1,MIN(10,AL$173)))*(1+V_dPrecio))</f>
        <v>0</v>
      </c>
      <c r="AM207" s="48" t="n">
        <f aca="false">IF(AM$8=1,IF(Reales!$C$43="PYG",IF(AM$10&gt;0,N(Reales!AM43)/AM$10,0),N(Reales!AM43)),AM$182*IF(AND(AND(34&gt;Corte,34&lt;=Corte+n_Ventana),ISNUMBER(Detalle_24m!AM$47)),Detalle_24m!AM$47,INDEX(Precio_V,6)*INDEX(IdxPrecio_V,1,MIN(10,AM$173)))*(1+V_dPrecio))</f>
        <v>0</v>
      </c>
      <c r="AN207" s="48" t="n">
        <f aca="false">IF(AN$8=1,IF(Reales!$C$43="PYG",IF(AN$10&gt;0,N(Reales!AN43)/AN$10,0),N(Reales!AN43)),AN$182*IF(AND(AND(35&gt;Corte,35&lt;=Corte+n_Ventana),ISNUMBER(Detalle_24m!AN$47)),Detalle_24m!AN$47,INDEX(Precio_V,6)*INDEX(IdxPrecio_V,1,MIN(10,AN$173)))*(1+V_dPrecio))</f>
        <v>0</v>
      </c>
      <c r="AO207" s="48" t="n">
        <f aca="false">IF(AO$8=1,IF(Reales!$C$43="PYG",IF(AO$10&gt;0,N(Reales!AO43)/AO$10,0),N(Reales!AO43)),AO$182*IF(AND(AND(36&gt;Corte,36&lt;=Corte+n_Ventana),ISNUMBER(Detalle_24m!AO$47)),Detalle_24m!AO$47,INDEX(Precio_V,6)*INDEX(IdxPrecio_V,1,MIN(10,AO$173)))*(1+V_dPrecio))</f>
        <v>0</v>
      </c>
      <c r="AP207" s="48" t="n">
        <f aca="false">IF(AP$8=1,IF(Reales!$C$43="PYG",IF(AP$10&gt;0,N(Reales!AP43)/AP$10,0),N(Reales!AP43)),AP$182*IF(AND(AND(37&gt;Corte,37&lt;=Corte+n_Ventana),ISNUMBER(Detalle_24m!AP$47)),Detalle_24m!AP$47,INDEX(Precio_V,6)*INDEX(IdxPrecio_V,1,MIN(10,AP$173)))*(1+V_dPrecio))</f>
        <v>0</v>
      </c>
      <c r="AQ207" s="48" t="n">
        <f aca="false">IF(AQ$8=1,IF(Reales!$C$43="PYG",IF(AQ$10&gt;0,N(Reales!AQ43)/AQ$10,0),N(Reales!AQ43)),AQ$182*IF(AND(AND(38&gt;Corte,38&lt;=Corte+n_Ventana),ISNUMBER(Detalle_24m!AQ$47)),Detalle_24m!AQ$47,INDEX(Precio_V,6)*INDEX(IdxPrecio_V,1,MIN(10,AQ$173)))*(1+V_dPrecio))</f>
        <v>0</v>
      </c>
      <c r="AR207" s="48" t="n">
        <f aca="false">IF(AR$8=1,IF(Reales!$C$43="PYG",IF(AR$10&gt;0,N(Reales!AR43)/AR$10,0),N(Reales!AR43)),AR$182*IF(AND(AND(39&gt;Corte,39&lt;=Corte+n_Ventana),ISNUMBER(Detalle_24m!AR$47)),Detalle_24m!AR$47,INDEX(Precio_V,6)*INDEX(IdxPrecio_V,1,MIN(10,AR$173)))*(1+V_dPrecio))</f>
        <v>0</v>
      </c>
      <c r="AS207" s="48" t="n">
        <f aca="false">IF(AS$8=1,IF(Reales!$C$43="PYG",IF(AS$10&gt;0,N(Reales!AS43)/AS$10,0),N(Reales!AS43)),AS$182*IF(AND(AND(40&gt;Corte,40&lt;=Corte+n_Ventana),ISNUMBER(Detalle_24m!AS$47)),Detalle_24m!AS$47,INDEX(Precio_V,6)*INDEX(IdxPrecio_V,1,MIN(10,AS$173)))*(1+V_dPrecio))</f>
        <v>0</v>
      </c>
      <c r="AT207" s="48" t="n">
        <f aca="false">IF(AT$8=1,IF(Reales!$C$43="PYG",IF(AT$10&gt;0,N(Reales!AT43)/AT$10,0),N(Reales!AT43)),AT$182*IF(AND(AND(41&gt;Corte,41&lt;=Corte+n_Ventana),ISNUMBER(Detalle_24m!AT$47)),Detalle_24m!AT$47,INDEX(Precio_V,6)*INDEX(IdxPrecio_V,1,MIN(10,AT$173)))*(1+V_dPrecio))</f>
        <v>0</v>
      </c>
      <c r="AU207" s="48" t="n">
        <f aca="false">IF(AU$8=1,IF(Reales!$C$43="PYG",IF(AU$10&gt;0,N(Reales!AU43)/AU$10,0),N(Reales!AU43)),AU$182*IF(AND(AND(42&gt;Corte,42&lt;=Corte+n_Ventana),ISNUMBER(Detalle_24m!AU$47)),Detalle_24m!AU$47,INDEX(Precio_V,6)*INDEX(IdxPrecio_V,1,MIN(10,AU$173)))*(1+V_dPrecio))</f>
        <v>0</v>
      </c>
      <c r="AV207" s="48" t="n">
        <f aca="false">IF(AV$8=1,IF(Reales!$C$43="PYG",IF(AV$10&gt;0,N(Reales!AV43)/AV$10,0),N(Reales!AV43)),AV$182*IF(AND(AND(43&gt;Corte,43&lt;=Corte+n_Ventana),ISNUMBER(Detalle_24m!AV$47)),Detalle_24m!AV$47,INDEX(Precio_V,6)*INDEX(IdxPrecio_V,1,MIN(10,AV$173)))*(1+V_dPrecio))</f>
        <v>0</v>
      </c>
      <c r="AW207" s="48" t="n">
        <f aca="false">IF(AW$8=1,IF(Reales!$C$43="PYG",IF(AW$10&gt;0,N(Reales!AW43)/AW$10,0),N(Reales!AW43)),AW$182*IF(AND(AND(44&gt;Corte,44&lt;=Corte+n_Ventana),ISNUMBER(Detalle_24m!AW$47)),Detalle_24m!AW$47,INDEX(Precio_V,6)*INDEX(IdxPrecio_V,1,MIN(10,AW$173)))*(1+V_dPrecio))</f>
        <v>0</v>
      </c>
      <c r="AX207" s="48" t="n">
        <f aca="false">IF(AX$8=1,IF(Reales!$C$43="PYG",IF(AX$10&gt;0,N(Reales!AX43)/AX$10,0),N(Reales!AX43)),AX$182*IF(AND(AND(45&gt;Corte,45&lt;=Corte+n_Ventana),ISNUMBER(Detalle_24m!AX$47)),Detalle_24m!AX$47,INDEX(Precio_V,6)*INDEX(IdxPrecio_V,1,MIN(10,AX$173)))*(1+V_dPrecio))</f>
        <v>0</v>
      </c>
      <c r="AY207" s="48" t="n">
        <f aca="false">IF(AY$8=1,IF(Reales!$C$43="PYG",IF(AY$10&gt;0,N(Reales!AY43)/AY$10,0),N(Reales!AY43)),AY$182*IF(AND(AND(46&gt;Corte,46&lt;=Corte+n_Ventana),ISNUMBER(Detalle_24m!AY$47)),Detalle_24m!AY$47,INDEX(Precio_V,6)*INDEX(IdxPrecio_V,1,MIN(10,AY$173)))*(1+V_dPrecio))</f>
        <v>0</v>
      </c>
      <c r="AZ207" s="48" t="n">
        <f aca="false">IF(AZ$8=1,IF(Reales!$C$43="PYG",IF(AZ$10&gt;0,N(Reales!AZ43)/AZ$10,0),N(Reales!AZ43)),AZ$182*IF(AND(AND(47&gt;Corte,47&lt;=Corte+n_Ventana),ISNUMBER(Detalle_24m!AZ$47)),Detalle_24m!AZ$47,INDEX(Precio_V,6)*INDEX(IdxPrecio_V,1,MIN(10,AZ$173)))*(1+V_dPrecio))</f>
        <v>0</v>
      </c>
      <c r="BA207" s="48" t="n">
        <f aca="false">IF(BA$8=1,IF(Reales!$C$43="PYG",IF(BA$10&gt;0,N(Reales!BA43)/BA$10,0),N(Reales!BA43)),BA$182*IF(AND(AND(48&gt;Corte,48&lt;=Corte+n_Ventana),ISNUMBER(Detalle_24m!BA$47)),Detalle_24m!BA$47,INDEX(Precio_V,6)*INDEX(IdxPrecio_V,1,MIN(10,BA$173)))*(1+V_dPrecio))</f>
        <v>0</v>
      </c>
      <c r="BB207" s="48" t="n">
        <f aca="false">IF(BB$8=1,IF(Reales!$C$43="PYG",IF(BB$10&gt;0,N(Reales!BB43)/BB$10,0),N(Reales!BB43)),BB$182*IF(AND(AND(49&gt;Corte,49&lt;=Corte+n_Ventana),ISNUMBER(Detalle_24m!BB$47)),Detalle_24m!BB$47,INDEX(Precio_V,6)*INDEX(IdxPrecio_V,1,MIN(10,BB$173)))*(1+V_dPrecio))</f>
        <v>0</v>
      </c>
      <c r="BC207" s="48" t="n">
        <f aca="false">IF(BC$8=1,IF(Reales!$C$43="PYG",IF(BC$10&gt;0,N(Reales!BC43)/BC$10,0),N(Reales!BC43)),BC$182*IF(AND(AND(50&gt;Corte,50&lt;=Corte+n_Ventana),ISNUMBER(Detalle_24m!BC$47)),Detalle_24m!BC$47,INDEX(Precio_V,6)*INDEX(IdxPrecio_V,1,MIN(10,BC$173)))*(1+V_dPrecio))</f>
        <v>0</v>
      </c>
      <c r="BD207" s="48" t="n">
        <f aca="false">IF(BD$8=1,IF(Reales!$C$43="PYG",IF(BD$10&gt;0,N(Reales!BD43)/BD$10,0),N(Reales!BD43)),BD$182*IF(AND(AND(51&gt;Corte,51&lt;=Corte+n_Ventana),ISNUMBER(Detalle_24m!BD$47)),Detalle_24m!BD$47,INDEX(Precio_V,6)*INDEX(IdxPrecio_V,1,MIN(10,BD$173)))*(1+V_dPrecio))</f>
        <v>0</v>
      </c>
      <c r="BE207" s="48" t="n">
        <f aca="false">IF(BE$8=1,IF(Reales!$C$43="PYG",IF(BE$10&gt;0,N(Reales!BE43)/BE$10,0),N(Reales!BE43)),BE$182*IF(AND(AND(52&gt;Corte,52&lt;=Corte+n_Ventana),ISNUMBER(Detalle_24m!BE$47)),Detalle_24m!BE$47,INDEX(Precio_V,6)*INDEX(IdxPrecio_V,1,MIN(10,BE$173)))*(1+V_dPrecio))</f>
        <v>0</v>
      </c>
      <c r="BF207" s="48" t="n">
        <f aca="false">IF(BF$8=1,IF(Reales!$C$43="PYG",IF(BF$10&gt;0,N(Reales!BF43)/BF$10,0),N(Reales!BF43)),BF$182*IF(AND(AND(53&gt;Corte,53&lt;=Corte+n_Ventana),ISNUMBER(Detalle_24m!BF$47)),Detalle_24m!BF$47,INDEX(Precio_V,6)*INDEX(IdxPrecio_V,1,MIN(10,BF$173)))*(1+V_dPrecio))</f>
        <v>0</v>
      </c>
      <c r="BG207" s="48" t="n">
        <f aca="false">IF(BG$8=1,IF(Reales!$C$43="PYG",IF(BG$10&gt;0,N(Reales!BG43)/BG$10,0),N(Reales!BG43)),BG$182*IF(AND(AND(54&gt;Corte,54&lt;=Corte+n_Ventana),ISNUMBER(Detalle_24m!BG$47)),Detalle_24m!BG$47,INDEX(Precio_V,6)*INDEX(IdxPrecio_V,1,MIN(10,BG$173)))*(1+V_dPrecio))</f>
        <v>0</v>
      </c>
      <c r="BH207" s="48" t="n">
        <f aca="false">IF(BH$8=1,IF(Reales!$C$43="PYG",IF(BH$10&gt;0,N(Reales!BH43)/BH$10,0),N(Reales!BH43)),BH$182*IF(AND(AND(55&gt;Corte,55&lt;=Corte+n_Ventana),ISNUMBER(Detalle_24m!BH$47)),Detalle_24m!BH$47,INDEX(Precio_V,6)*INDEX(IdxPrecio_V,1,MIN(10,BH$173)))*(1+V_dPrecio))</f>
        <v>0</v>
      </c>
      <c r="BI207" s="48" t="n">
        <f aca="false">IF(BI$8=1,IF(Reales!$C$43="PYG",IF(BI$10&gt;0,N(Reales!BI43)/BI$10,0),N(Reales!BI43)),BI$182*IF(AND(AND(56&gt;Corte,56&lt;=Corte+n_Ventana),ISNUMBER(Detalle_24m!BI$47)),Detalle_24m!BI$47,INDEX(Precio_V,6)*INDEX(IdxPrecio_V,1,MIN(10,BI$173)))*(1+V_dPrecio))</f>
        <v>0</v>
      </c>
      <c r="BJ207" s="48" t="n">
        <f aca="false">IF(BJ$8=1,IF(Reales!$C$43="PYG",IF(BJ$10&gt;0,N(Reales!BJ43)/BJ$10,0),N(Reales!BJ43)),BJ$182*IF(AND(AND(57&gt;Corte,57&lt;=Corte+n_Ventana),ISNUMBER(Detalle_24m!BJ$47)),Detalle_24m!BJ$47,INDEX(Precio_V,6)*INDEX(IdxPrecio_V,1,MIN(10,BJ$173)))*(1+V_dPrecio))</f>
        <v>0</v>
      </c>
      <c r="BK207" s="48" t="n">
        <f aca="false">IF(BK$8=1,IF(Reales!$C$43="PYG",IF(BK$10&gt;0,N(Reales!BK43)/BK$10,0),N(Reales!BK43)),BK$182*IF(AND(AND(58&gt;Corte,58&lt;=Corte+n_Ventana),ISNUMBER(Detalle_24m!BK$47)),Detalle_24m!BK$47,INDEX(Precio_V,6)*INDEX(IdxPrecio_V,1,MIN(10,BK$173)))*(1+V_dPrecio))</f>
        <v>0</v>
      </c>
      <c r="BL207" s="48" t="n">
        <f aca="false">IF(BL$8=1,IF(Reales!$C$43="PYG",IF(BL$10&gt;0,N(Reales!BL43)/BL$10,0),N(Reales!BL43)),BL$182*IF(AND(AND(59&gt;Corte,59&lt;=Corte+n_Ventana),ISNUMBER(Detalle_24m!BL$47)),Detalle_24m!BL$47,INDEX(Precio_V,6)*INDEX(IdxPrecio_V,1,MIN(10,BL$173)))*(1+V_dPrecio))</f>
        <v>0</v>
      </c>
      <c r="BM207" s="48" t="n">
        <f aca="false">IF(BM$8=1,IF(Reales!$C$43="PYG",IF(BM$10&gt;0,N(Reales!BM43)/BM$10,0),N(Reales!BM43)),BM$182*IF(AND(AND(60&gt;Corte,60&lt;=Corte+n_Ventana),ISNUMBER(Detalle_24m!BM$47)),Detalle_24m!BM$47,INDEX(Precio_V,6)*INDEX(IdxPrecio_V,1,MIN(10,BM$173)))*(1+V_dPrecio))</f>
        <v>0</v>
      </c>
      <c r="BN207" s="48" t="n">
        <f aca="false">IF(BN$8=1,IF(Reales!$C$43="PYG",IF(BN$10&gt;0,N(Reales!BN43)/BN$10,0),N(Reales!BN43)),BN$182*IF(AND(AND(61&gt;Corte,61&lt;=Corte+n_Ventana),ISNUMBER(Detalle_24m!BN$47)),Detalle_24m!BN$47,INDEX(Precio_V,6)*INDEX(IdxPrecio_V,1,MIN(10,BN$173)))*(1+V_dPrecio))</f>
        <v>0</v>
      </c>
      <c r="BO207" s="48" t="n">
        <f aca="false">IF(BO$8=1,IF(Reales!$C$43="PYG",IF(BO$10&gt;0,N(Reales!BO43)/BO$10,0),N(Reales!BO43)),BO$182*IF(AND(AND(62&gt;Corte,62&lt;=Corte+n_Ventana),ISNUMBER(Detalle_24m!BO$47)),Detalle_24m!BO$47,INDEX(Precio_V,6)*INDEX(IdxPrecio_V,1,MIN(10,BO$173)))*(1+V_dPrecio))</f>
        <v>0</v>
      </c>
      <c r="BP207" s="48" t="n">
        <f aca="false">IF(BP$8=1,IF(Reales!$C$43="PYG",IF(BP$10&gt;0,N(Reales!BP43)/BP$10,0),N(Reales!BP43)),BP$182*IF(AND(AND(63&gt;Corte,63&lt;=Corte+n_Ventana),ISNUMBER(Detalle_24m!BP$47)),Detalle_24m!BP$47,INDEX(Precio_V,6)*INDEX(IdxPrecio_V,1,MIN(10,BP$173)))*(1+V_dPrecio))</f>
        <v>0</v>
      </c>
      <c r="BQ207" s="48" t="n">
        <f aca="false">IF(BQ$8=1,IF(Reales!$C$43="PYG",IF(BQ$10&gt;0,N(Reales!BQ43)/BQ$10,0),N(Reales!BQ43)),BQ$182*IF(AND(AND(64&gt;Corte,64&lt;=Corte+n_Ventana),ISNUMBER(Detalle_24m!BQ$47)),Detalle_24m!BQ$47,INDEX(Precio_V,6)*INDEX(IdxPrecio_V,1,MIN(10,BQ$173)))*(1+V_dPrecio))</f>
        <v>0</v>
      </c>
      <c r="BR207" s="48" t="n">
        <f aca="false">IF(BR$8=1,IF(Reales!$C$43="PYG",IF(BR$10&gt;0,N(Reales!BR43)/BR$10,0),N(Reales!BR43)),BR$182*IF(AND(AND(65&gt;Corte,65&lt;=Corte+n_Ventana),ISNUMBER(Detalle_24m!BR$47)),Detalle_24m!BR$47,INDEX(Precio_V,6)*INDEX(IdxPrecio_V,1,MIN(10,BR$173)))*(1+V_dPrecio))</f>
        <v>0</v>
      </c>
      <c r="BS207" s="48" t="n">
        <f aca="false">IF(BS$8=1,IF(Reales!$C$43="PYG",IF(BS$10&gt;0,N(Reales!BS43)/BS$10,0),N(Reales!BS43)),BS$182*IF(AND(AND(66&gt;Corte,66&lt;=Corte+n_Ventana),ISNUMBER(Detalle_24m!BS$47)),Detalle_24m!BS$47,INDEX(Precio_V,6)*INDEX(IdxPrecio_V,1,MIN(10,BS$173)))*(1+V_dPrecio))</f>
        <v>0</v>
      </c>
      <c r="BT207" s="48" t="n">
        <f aca="false">IF(BT$8=1,IF(Reales!$C$43="PYG",IF(BT$10&gt;0,N(Reales!BT43)/BT$10,0),N(Reales!BT43)),BT$182*IF(AND(AND(67&gt;Corte,67&lt;=Corte+n_Ventana),ISNUMBER(Detalle_24m!BT$47)),Detalle_24m!BT$47,INDEX(Precio_V,6)*INDEX(IdxPrecio_V,1,MIN(10,BT$173)))*(1+V_dPrecio))</f>
        <v>0</v>
      </c>
      <c r="BU207" s="48" t="n">
        <f aca="false">IF(BU$8=1,IF(Reales!$C$43="PYG",IF(BU$10&gt;0,N(Reales!BU43)/BU$10,0),N(Reales!BU43)),BU$182*IF(AND(AND(68&gt;Corte,68&lt;=Corte+n_Ventana),ISNUMBER(Detalle_24m!BU$47)),Detalle_24m!BU$47,INDEX(Precio_V,6)*INDEX(IdxPrecio_V,1,MIN(10,BU$173)))*(1+V_dPrecio))</f>
        <v>0</v>
      </c>
      <c r="BV207" s="48" t="n">
        <f aca="false">IF(BV$8=1,IF(Reales!$C$43="PYG",IF(BV$10&gt;0,N(Reales!BV43)/BV$10,0),N(Reales!BV43)),BV$182*IF(AND(AND(69&gt;Corte,69&lt;=Corte+n_Ventana),ISNUMBER(Detalle_24m!BV$47)),Detalle_24m!BV$47,INDEX(Precio_V,6)*INDEX(IdxPrecio_V,1,MIN(10,BV$173)))*(1+V_dPrecio))</f>
        <v>0</v>
      </c>
      <c r="BW207" s="48" t="n">
        <f aca="false">IF(BW$8=1,IF(Reales!$C$43="PYG",IF(BW$10&gt;0,N(Reales!BW43)/BW$10,0),N(Reales!BW43)),BW$182*IF(AND(AND(70&gt;Corte,70&lt;=Corte+n_Ventana),ISNUMBER(Detalle_24m!BW$47)),Detalle_24m!BW$47,INDEX(Precio_V,6)*INDEX(IdxPrecio_V,1,MIN(10,BW$173)))*(1+V_dPrecio))</f>
        <v>0</v>
      </c>
      <c r="BX207" s="48" t="n">
        <f aca="false">IF(BX$8=1,IF(Reales!$C$43="PYG",IF(BX$10&gt;0,N(Reales!BX43)/BX$10,0),N(Reales!BX43)),BX$182*IF(AND(AND(71&gt;Corte,71&lt;=Corte+n_Ventana),ISNUMBER(Detalle_24m!BX$47)),Detalle_24m!BX$47,INDEX(Precio_V,6)*INDEX(IdxPrecio_V,1,MIN(10,BX$173)))*(1+V_dPrecio))</f>
        <v>0</v>
      </c>
      <c r="BY207" s="48" t="n">
        <f aca="false">IF(BY$8=1,IF(Reales!$C$43="PYG",IF(BY$10&gt;0,N(Reales!BY43)/BY$10,0),N(Reales!BY43)),BY$182*IF(AND(AND(72&gt;Corte,72&lt;=Corte+n_Ventana),ISNUMBER(Detalle_24m!BY$47)),Detalle_24m!BY$47,INDEX(Precio_V,6)*INDEX(IdxPrecio_V,1,MIN(10,BY$173)))*(1+V_dPrecio))</f>
        <v>0</v>
      </c>
      <c r="BZ207" s="48" t="n">
        <f aca="false">IF(BZ$8=1,IF(Reales!$C$43="PYG",IF(BZ$10&gt;0,N(Reales!BZ43)/BZ$10,0),N(Reales!BZ43)),BZ$182*IF(AND(AND(73&gt;Corte,73&lt;=Corte+n_Ventana),ISNUMBER(Detalle_24m!BZ$47)),Detalle_24m!BZ$47,INDEX(Precio_V,6)*INDEX(IdxPrecio_V,1,MIN(10,BZ$173)))*(1+V_dPrecio))</f>
        <v>0</v>
      </c>
      <c r="CA207" s="48" t="n">
        <f aca="false">IF(CA$8=1,IF(Reales!$C$43="PYG",IF(CA$10&gt;0,N(Reales!CA43)/CA$10,0),N(Reales!CA43)),CA$182*IF(AND(AND(74&gt;Corte,74&lt;=Corte+n_Ventana),ISNUMBER(Detalle_24m!CA$47)),Detalle_24m!CA$47,INDEX(Precio_V,6)*INDEX(IdxPrecio_V,1,MIN(10,CA$173)))*(1+V_dPrecio))</f>
        <v>0</v>
      </c>
      <c r="CB207" s="48" t="n">
        <f aca="false">IF(CB$8=1,IF(Reales!$C$43="PYG",IF(CB$10&gt;0,N(Reales!CB43)/CB$10,0),N(Reales!CB43)),CB$182*IF(AND(AND(75&gt;Corte,75&lt;=Corte+n_Ventana),ISNUMBER(Detalle_24m!CB$47)),Detalle_24m!CB$47,INDEX(Precio_V,6)*INDEX(IdxPrecio_V,1,MIN(10,CB$173)))*(1+V_dPrecio))</f>
        <v>0</v>
      </c>
      <c r="CC207" s="48" t="n">
        <f aca="false">IF(CC$8=1,IF(Reales!$C$43="PYG",IF(CC$10&gt;0,N(Reales!CC43)/CC$10,0),N(Reales!CC43)),CC$182*IF(AND(AND(76&gt;Corte,76&lt;=Corte+n_Ventana),ISNUMBER(Detalle_24m!CC$47)),Detalle_24m!CC$47,INDEX(Precio_V,6)*INDEX(IdxPrecio_V,1,MIN(10,CC$173)))*(1+V_dPrecio))</f>
        <v>0</v>
      </c>
      <c r="CD207" s="48" t="n">
        <f aca="false">IF(CD$8=1,IF(Reales!$C$43="PYG",IF(CD$10&gt;0,N(Reales!CD43)/CD$10,0),N(Reales!CD43)),CD$182*IF(AND(AND(77&gt;Corte,77&lt;=Corte+n_Ventana),ISNUMBER(Detalle_24m!CD$47)),Detalle_24m!CD$47,INDEX(Precio_V,6)*INDEX(IdxPrecio_V,1,MIN(10,CD$173)))*(1+V_dPrecio))</f>
        <v>0</v>
      </c>
      <c r="CE207" s="48" t="n">
        <f aca="false">IF(CE$8=1,IF(Reales!$C$43="PYG",IF(CE$10&gt;0,N(Reales!CE43)/CE$10,0),N(Reales!CE43)),CE$182*IF(AND(AND(78&gt;Corte,78&lt;=Corte+n_Ventana),ISNUMBER(Detalle_24m!CE$47)),Detalle_24m!CE$47,INDEX(Precio_V,6)*INDEX(IdxPrecio_V,1,MIN(10,CE$173)))*(1+V_dPrecio))</f>
        <v>0</v>
      </c>
      <c r="CF207" s="48" t="n">
        <f aca="false">IF(CF$8=1,IF(Reales!$C$43="PYG",IF(CF$10&gt;0,N(Reales!CF43)/CF$10,0),N(Reales!CF43)),CF$182*IF(AND(AND(79&gt;Corte,79&lt;=Corte+n_Ventana),ISNUMBER(Detalle_24m!CF$47)),Detalle_24m!CF$47,INDEX(Precio_V,6)*INDEX(IdxPrecio_V,1,MIN(10,CF$173)))*(1+V_dPrecio))</f>
        <v>0</v>
      </c>
      <c r="CG207" s="48" t="n">
        <f aca="false">IF(CG$8=1,IF(Reales!$C$43="PYG",IF(CG$10&gt;0,N(Reales!CG43)/CG$10,0),N(Reales!CG43)),CG$182*IF(AND(AND(80&gt;Corte,80&lt;=Corte+n_Ventana),ISNUMBER(Detalle_24m!CG$47)),Detalle_24m!CG$47,INDEX(Precio_V,6)*INDEX(IdxPrecio_V,1,MIN(10,CG$173)))*(1+V_dPrecio))</f>
        <v>0</v>
      </c>
      <c r="CH207" s="48" t="n">
        <f aca="false">IF(CH$8=1,IF(Reales!$C$43="PYG",IF(CH$10&gt;0,N(Reales!CH43)/CH$10,0),N(Reales!CH43)),CH$182*IF(AND(AND(81&gt;Corte,81&lt;=Corte+n_Ventana),ISNUMBER(Detalle_24m!CH$47)),Detalle_24m!CH$47,INDEX(Precio_V,6)*INDEX(IdxPrecio_V,1,MIN(10,CH$173)))*(1+V_dPrecio))</f>
        <v>0</v>
      </c>
      <c r="CI207" s="48" t="n">
        <f aca="false">IF(CI$8=1,IF(Reales!$C$43="PYG",IF(CI$10&gt;0,N(Reales!CI43)/CI$10,0),N(Reales!CI43)),CI$182*IF(AND(AND(82&gt;Corte,82&lt;=Corte+n_Ventana),ISNUMBER(Detalle_24m!CI$47)),Detalle_24m!CI$47,INDEX(Precio_V,6)*INDEX(IdxPrecio_V,1,MIN(10,CI$173)))*(1+V_dPrecio))</f>
        <v>0</v>
      </c>
      <c r="CJ207" s="48" t="n">
        <f aca="false">IF(CJ$8=1,IF(Reales!$C$43="PYG",IF(CJ$10&gt;0,N(Reales!CJ43)/CJ$10,0),N(Reales!CJ43)),CJ$182*IF(AND(AND(83&gt;Corte,83&lt;=Corte+n_Ventana),ISNUMBER(Detalle_24m!CJ$47)),Detalle_24m!CJ$47,INDEX(Precio_V,6)*INDEX(IdxPrecio_V,1,MIN(10,CJ$173)))*(1+V_dPrecio))</f>
        <v>0</v>
      </c>
      <c r="CK207" s="48" t="n">
        <f aca="false">IF(CK$8=1,IF(Reales!$C$43="PYG",IF(CK$10&gt;0,N(Reales!CK43)/CK$10,0),N(Reales!CK43)),CK$182*IF(AND(AND(84&gt;Corte,84&lt;=Corte+n_Ventana),ISNUMBER(Detalle_24m!CK$47)),Detalle_24m!CK$47,INDEX(Precio_V,6)*INDEX(IdxPrecio_V,1,MIN(10,CK$173)))*(1+V_dPrecio))</f>
        <v>0</v>
      </c>
      <c r="CL207" s="48" t="n">
        <f aca="false">IF(CL$8=1,IF(Reales!$C$43="PYG",IF(CL$10&gt;0,N(Reales!CL43)/CL$10,0),N(Reales!CL43)),CL$182*IF(AND(AND(85&gt;Corte,85&lt;=Corte+n_Ventana),ISNUMBER(Detalle_24m!CL$47)),Detalle_24m!CL$47,INDEX(Precio_V,6)*INDEX(IdxPrecio_V,1,MIN(10,CL$173)))*(1+V_dPrecio))</f>
        <v>0</v>
      </c>
      <c r="CM207" s="48" t="n">
        <f aca="false">IF(CM$8=1,IF(Reales!$C$43="PYG",IF(CM$10&gt;0,N(Reales!CM43)/CM$10,0),N(Reales!CM43)),CM$182*IF(AND(AND(86&gt;Corte,86&lt;=Corte+n_Ventana),ISNUMBER(Detalle_24m!CM$47)),Detalle_24m!CM$47,INDEX(Precio_V,6)*INDEX(IdxPrecio_V,1,MIN(10,CM$173)))*(1+V_dPrecio))</f>
        <v>0</v>
      </c>
      <c r="CN207" s="48" t="n">
        <f aca="false">IF(CN$8=1,IF(Reales!$C$43="PYG",IF(CN$10&gt;0,N(Reales!CN43)/CN$10,0),N(Reales!CN43)),CN$182*IF(AND(AND(87&gt;Corte,87&lt;=Corte+n_Ventana),ISNUMBER(Detalle_24m!CN$47)),Detalle_24m!CN$47,INDEX(Precio_V,6)*INDEX(IdxPrecio_V,1,MIN(10,CN$173)))*(1+V_dPrecio))</f>
        <v>0</v>
      </c>
      <c r="CO207" s="48" t="n">
        <f aca="false">IF(CO$8=1,IF(Reales!$C$43="PYG",IF(CO$10&gt;0,N(Reales!CO43)/CO$10,0),N(Reales!CO43)),CO$182*IF(AND(AND(88&gt;Corte,88&lt;=Corte+n_Ventana),ISNUMBER(Detalle_24m!CO$47)),Detalle_24m!CO$47,INDEX(Precio_V,6)*INDEX(IdxPrecio_V,1,MIN(10,CO$173)))*(1+V_dPrecio))</f>
        <v>0</v>
      </c>
      <c r="CP207" s="48" t="n">
        <f aca="false">IF(CP$8=1,IF(Reales!$C$43="PYG",IF(CP$10&gt;0,N(Reales!CP43)/CP$10,0),N(Reales!CP43)),CP$182*IF(AND(AND(89&gt;Corte,89&lt;=Corte+n_Ventana),ISNUMBER(Detalle_24m!CP$47)),Detalle_24m!CP$47,INDEX(Precio_V,6)*INDEX(IdxPrecio_V,1,MIN(10,CP$173)))*(1+V_dPrecio))</f>
        <v>0</v>
      </c>
      <c r="CQ207" s="48" t="n">
        <f aca="false">IF(CQ$8=1,IF(Reales!$C$43="PYG",IF(CQ$10&gt;0,N(Reales!CQ43)/CQ$10,0),N(Reales!CQ43)),CQ$182*IF(AND(AND(90&gt;Corte,90&lt;=Corte+n_Ventana),ISNUMBER(Detalle_24m!CQ$47)),Detalle_24m!CQ$47,INDEX(Precio_V,6)*INDEX(IdxPrecio_V,1,MIN(10,CQ$173)))*(1+V_dPrecio))</f>
        <v>0</v>
      </c>
      <c r="CR207" s="48" t="n">
        <f aca="false">IF(CR$8=1,IF(Reales!$C$43="PYG",IF(CR$10&gt;0,N(Reales!CR43)/CR$10,0),N(Reales!CR43)),CR$182*IF(AND(AND(91&gt;Corte,91&lt;=Corte+n_Ventana),ISNUMBER(Detalle_24m!CR$47)),Detalle_24m!CR$47,INDEX(Precio_V,6)*INDEX(IdxPrecio_V,1,MIN(10,CR$173)))*(1+V_dPrecio))</f>
        <v>0</v>
      </c>
      <c r="CS207" s="48" t="n">
        <f aca="false">IF(CS$8=1,IF(Reales!$C$43="PYG",IF(CS$10&gt;0,N(Reales!CS43)/CS$10,0),N(Reales!CS43)),CS$182*IF(AND(AND(92&gt;Corte,92&lt;=Corte+n_Ventana),ISNUMBER(Detalle_24m!CS$47)),Detalle_24m!CS$47,INDEX(Precio_V,6)*INDEX(IdxPrecio_V,1,MIN(10,CS$173)))*(1+V_dPrecio))</f>
        <v>0</v>
      </c>
      <c r="CT207" s="48" t="n">
        <f aca="false">IF(CT$8=1,IF(Reales!$C$43="PYG",IF(CT$10&gt;0,N(Reales!CT43)/CT$10,0),N(Reales!CT43)),CT$182*IF(AND(AND(93&gt;Corte,93&lt;=Corte+n_Ventana),ISNUMBER(Detalle_24m!CT$47)),Detalle_24m!CT$47,INDEX(Precio_V,6)*INDEX(IdxPrecio_V,1,MIN(10,CT$173)))*(1+V_dPrecio))</f>
        <v>0</v>
      </c>
      <c r="CU207" s="48" t="n">
        <f aca="false">IF(CU$8=1,IF(Reales!$C$43="PYG",IF(CU$10&gt;0,N(Reales!CU43)/CU$10,0),N(Reales!CU43)),CU$182*IF(AND(AND(94&gt;Corte,94&lt;=Corte+n_Ventana),ISNUMBER(Detalle_24m!CU$47)),Detalle_24m!CU$47,INDEX(Precio_V,6)*INDEX(IdxPrecio_V,1,MIN(10,CU$173)))*(1+V_dPrecio))</f>
        <v>0</v>
      </c>
      <c r="CV207" s="48" t="n">
        <f aca="false">IF(CV$8=1,IF(Reales!$C$43="PYG",IF(CV$10&gt;0,N(Reales!CV43)/CV$10,0),N(Reales!CV43)),CV$182*IF(AND(AND(95&gt;Corte,95&lt;=Corte+n_Ventana),ISNUMBER(Detalle_24m!CV$47)),Detalle_24m!CV$47,INDEX(Precio_V,6)*INDEX(IdxPrecio_V,1,MIN(10,CV$173)))*(1+V_dPrecio))</f>
        <v>0</v>
      </c>
      <c r="CW207" s="48" t="n">
        <f aca="false">IF(CW$8=1,IF(Reales!$C$43="PYG",IF(CW$10&gt;0,N(Reales!CW43)/CW$10,0),N(Reales!CW43)),CW$182*IF(AND(AND(96&gt;Corte,96&lt;=Corte+n_Ventana),ISNUMBER(Detalle_24m!CW$47)),Detalle_24m!CW$47,INDEX(Precio_V,6)*INDEX(IdxPrecio_V,1,MIN(10,CW$173)))*(1+V_dPrecio))</f>
        <v>0</v>
      </c>
      <c r="CX207" s="48" t="n">
        <f aca="false">IF(CX$8=1,IF(Reales!$C$43="PYG",IF(CX$10&gt;0,N(Reales!CX43)/CX$10,0),N(Reales!CX43)),CX$182*IF(AND(AND(97&gt;Corte,97&lt;=Corte+n_Ventana),ISNUMBER(Detalle_24m!CX$47)),Detalle_24m!CX$47,INDEX(Precio_V,6)*INDEX(IdxPrecio_V,1,MIN(10,CX$173)))*(1+V_dPrecio))</f>
        <v>0</v>
      </c>
      <c r="CY207" s="48" t="n">
        <f aca="false">IF(CY$8=1,IF(Reales!$C$43="PYG",IF(CY$10&gt;0,N(Reales!CY43)/CY$10,0),N(Reales!CY43)),CY$182*IF(AND(AND(98&gt;Corte,98&lt;=Corte+n_Ventana),ISNUMBER(Detalle_24m!CY$47)),Detalle_24m!CY$47,INDEX(Precio_V,6)*INDEX(IdxPrecio_V,1,MIN(10,CY$173)))*(1+V_dPrecio))</f>
        <v>0</v>
      </c>
      <c r="CZ207" s="48" t="n">
        <f aca="false">IF(CZ$8=1,IF(Reales!$C$43="PYG",IF(CZ$10&gt;0,N(Reales!CZ43)/CZ$10,0),N(Reales!CZ43)),CZ$182*IF(AND(AND(99&gt;Corte,99&lt;=Corte+n_Ventana),ISNUMBER(Detalle_24m!CZ$47)),Detalle_24m!CZ$47,INDEX(Precio_V,6)*INDEX(IdxPrecio_V,1,MIN(10,CZ$173)))*(1+V_dPrecio))</f>
        <v>0</v>
      </c>
      <c r="DA207" s="48" t="n">
        <f aca="false">IF(DA$8=1,IF(Reales!$C$43="PYG",IF(DA$10&gt;0,N(Reales!DA43)/DA$10,0),N(Reales!DA43)),DA$182*IF(AND(AND(100&gt;Corte,100&lt;=Corte+n_Ventana),ISNUMBER(Detalle_24m!DA$47)),Detalle_24m!DA$47,INDEX(Precio_V,6)*INDEX(IdxPrecio_V,1,MIN(10,DA$173)))*(1+V_dPrecio))</f>
        <v>0</v>
      </c>
      <c r="DB207" s="48" t="n">
        <f aca="false">IF(DB$8=1,IF(Reales!$C$43="PYG",IF(DB$10&gt;0,N(Reales!DB43)/DB$10,0),N(Reales!DB43)),DB$182*IF(AND(AND(101&gt;Corte,101&lt;=Corte+n_Ventana),ISNUMBER(Detalle_24m!DB$47)),Detalle_24m!DB$47,INDEX(Precio_V,6)*INDEX(IdxPrecio_V,1,MIN(10,DB$173)))*(1+V_dPrecio))</f>
        <v>0</v>
      </c>
      <c r="DC207" s="48" t="n">
        <f aca="false">IF(DC$8=1,IF(Reales!$C$43="PYG",IF(DC$10&gt;0,N(Reales!DC43)/DC$10,0),N(Reales!DC43)),DC$182*IF(AND(AND(102&gt;Corte,102&lt;=Corte+n_Ventana),ISNUMBER(Detalle_24m!DC$47)),Detalle_24m!DC$47,INDEX(Precio_V,6)*INDEX(IdxPrecio_V,1,MIN(10,DC$173)))*(1+V_dPrecio))</f>
        <v>0</v>
      </c>
      <c r="DD207" s="48" t="n">
        <f aca="false">IF(DD$8=1,IF(Reales!$C$43="PYG",IF(DD$10&gt;0,N(Reales!DD43)/DD$10,0),N(Reales!DD43)),DD$182*IF(AND(AND(103&gt;Corte,103&lt;=Corte+n_Ventana),ISNUMBER(Detalle_24m!DD$47)),Detalle_24m!DD$47,INDEX(Precio_V,6)*INDEX(IdxPrecio_V,1,MIN(10,DD$173)))*(1+V_dPrecio))</f>
        <v>0</v>
      </c>
      <c r="DE207" s="48" t="n">
        <f aca="false">IF(DE$8=1,IF(Reales!$C$43="PYG",IF(DE$10&gt;0,N(Reales!DE43)/DE$10,0),N(Reales!DE43)),DE$182*IF(AND(AND(104&gt;Corte,104&lt;=Corte+n_Ventana),ISNUMBER(Detalle_24m!DE$47)),Detalle_24m!DE$47,INDEX(Precio_V,6)*INDEX(IdxPrecio_V,1,MIN(10,DE$173)))*(1+V_dPrecio))</f>
        <v>0</v>
      </c>
      <c r="DF207" s="48" t="n">
        <f aca="false">IF(DF$8=1,IF(Reales!$C$43="PYG",IF(DF$10&gt;0,N(Reales!DF43)/DF$10,0),N(Reales!DF43)),DF$182*IF(AND(AND(105&gt;Corte,105&lt;=Corte+n_Ventana),ISNUMBER(Detalle_24m!DF$47)),Detalle_24m!DF$47,INDEX(Precio_V,6)*INDEX(IdxPrecio_V,1,MIN(10,DF$173)))*(1+V_dPrecio))</f>
        <v>0</v>
      </c>
      <c r="DG207" s="48" t="n">
        <f aca="false">IF(DG$8=1,IF(Reales!$C$43="PYG",IF(DG$10&gt;0,N(Reales!DG43)/DG$10,0),N(Reales!DG43)),DG$182*IF(AND(AND(106&gt;Corte,106&lt;=Corte+n_Ventana),ISNUMBER(Detalle_24m!DG$47)),Detalle_24m!DG$47,INDEX(Precio_V,6)*INDEX(IdxPrecio_V,1,MIN(10,DG$173)))*(1+V_dPrecio))</f>
        <v>0</v>
      </c>
      <c r="DH207" s="48" t="n">
        <f aca="false">IF(DH$8=1,IF(Reales!$C$43="PYG",IF(DH$10&gt;0,N(Reales!DH43)/DH$10,0),N(Reales!DH43)),DH$182*IF(AND(AND(107&gt;Corte,107&lt;=Corte+n_Ventana),ISNUMBER(Detalle_24m!DH$47)),Detalle_24m!DH$47,INDEX(Precio_V,6)*INDEX(IdxPrecio_V,1,MIN(10,DH$173)))*(1+V_dPrecio))</f>
        <v>0</v>
      </c>
      <c r="DI207" s="48" t="n">
        <f aca="false">IF(DI$8=1,IF(Reales!$C$43="PYG",IF(DI$10&gt;0,N(Reales!DI43)/DI$10,0),N(Reales!DI43)),DI$182*IF(AND(AND(108&gt;Corte,108&lt;=Corte+n_Ventana),ISNUMBER(Detalle_24m!DI$47)),Detalle_24m!DI$47,INDEX(Precio_V,6)*INDEX(IdxPrecio_V,1,MIN(10,DI$173)))*(1+V_dPrecio))</f>
        <v>0</v>
      </c>
      <c r="DJ207" s="48" t="n">
        <f aca="false">IF(DJ$8=1,IF(Reales!$C$43="PYG",IF(DJ$10&gt;0,N(Reales!DJ43)/DJ$10,0),N(Reales!DJ43)),DJ$182*IF(AND(AND(109&gt;Corte,109&lt;=Corte+n_Ventana),ISNUMBER(Detalle_24m!DJ$47)),Detalle_24m!DJ$47,INDEX(Precio_V,6)*INDEX(IdxPrecio_V,1,MIN(10,DJ$173)))*(1+V_dPrecio))</f>
        <v>0</v>
      </c>
      <c r="DK207" s="48" t="n">
        <f aca="false">IF(DK$8=1,IF(Reales!$C$43="PYG",IF(DK$10&gt;0,N(Reales!DK43)/DK$10,0),N(Reales!DK43)),DK$182*IF(AND(AND(110&gt;Corte,110&lt;=Corte+n_Ventana),ISNUMBER(Detalle_24m!DK$47)),Detalle_24m!DK$47,INDEX(Precio_V,6)*INDEX(IdxPrecio_V,1,MIN(10,DK$173)))*(1+V_dPrecio))</f>
        <v>0</v>
      </c>
      <c r="DL207" s="48" t="n">
        <f aca="false">IF(DL$8=1,IF(Reales!$C$43="PYG",IF(DL$10&gt;0,N(Reales!DL43)/DL$10,0),N(Reales!DL43)),DL$182*IF(AND(AND(111&gt;Corte,111&lt;=Corte+n_Ventana),ISNUMBER(Detalle_24m!DL$47)),Detalle_24m!DL$47,INDEX(Precio_V,6)*INDEX(IdxPrecio_V,1,MIN(10,DL$173)))*(1+V_dPrecio))</f>
        <v>0</v>
      </c>
      <c r="DM207" s="48" t="n">
        <f aca="false">IF(DM$8=1,IF(Reales!$C$43="PYG",IF(DM$10&gt;0,N(Reales!DM43)/DM$10,0),N(Reales!DM43)),DM$182*IF(AND(AND(112&gt;Corte,112&lt;=Corte+n_Ventana),ISNUMBER(Detalle_24m!DM$47)),Detalle_24m!DM$47,INDEX(Precio_V,6)*INDEX(IdxPrecio_V,1,MIN(10,DM$173)))*(1+V_dPrecio))</f>
        <v>0</v>
      </c>
      <c r="DN207" s="48" t="n">
        <f aca="false">IF(DN$8=1,IF(Reales!$C$43="PYG",IF(DN$10&gt;0,N(Reales!DN43)/DN$10,0),N(Reales!DN43)),DN$182*IF(AND(AND(113&gt;Corte,113&lt;=Corte+n_Ventana),ISNUMBER(Detalle_24m!DN$47)),Detalle_24m!DN$47,INDEX(Precio_V,6)*INDEX(IdxPrecio_V,1,MIN(10,DN$173)))*(1+V_dPrecio))</f>
        <v>0</v>
      </c>
      <c r="DO207" s="48" t="n">
        <f aca="false">IF(DO$8=1,IF(Reales!$C$43="PYG",IF(DO$10&gt;0,N(Reales!DO43)/DO$10,0),N(Reales!DO43)),DO$182*IF(AND(AND(114&gt;Corte,114&lt;=Corte+n_Ventana),ISNUMBER(Detalle_24m!DO$47)),Detalle_24m!DO$47,INDEX(Precio_V,6)*INDEX(IdxPrecio_V,1,MIN(10,DO$173)))*(1+V_dPrecio))</f>
        <v>0</v>
      </c>
      <c r="DP207" s="48" t="n">
        <f aca="false">IF(DP$8=1,IF(Reales!$C$43="PYG",IF(DP$10&gt;0,N(Reales!DP43)/DP$10,0),N(Reales!DP43)),DP$182*IF(AND(AND(115&gt;Corte,115&lt;=Corte+n_Ventana),ISNUMBER(Detalle_24m!DP$47)),Detalle_24m!DP$47,INDEX(Precio_V,6)*INDEX(IdxPrecio_V,1,MIN(10,DP$173)))*(1+V_dPrecio))</f>
        <v>0</v>
      </c>
      <c r="DQ207" s="48" t="n">
        <f aca="false">IF(DQ$8=1,IF(Reales!$C$43="PYG",IF(DQ$10&gt;0,N(Reales!DQ43)/DQ$10,0),N(Reales!DQ43)),DQ$182*IF(AND(AND(116&gt;Corte,116&lt;=Corte+n_Ventana),ISNUMBER(Detalle_24m!DQ$47)),Detalle_24m!DQ$47,INDEX(Precio_V,6)*INDEX(IdxPrecio_V,1,MIN(10,DQ$173)))*(1+V_dPrecio))</f>
        <v>0</v>
      </c>
      <c r="DR207" s="48" t="n">
        <f aca="false">IF(DR$8=1,IF(Reales!$C$43="PYG",IF(DR$10&gt;0,N(Reales!DR43)/DR$10,0),N(Reales!DR43)),DR$182*IF(AND(AND(117&gt;Corte,117&lt;=Corte+n_Ventana),ISNUMBER(Detalle_24m!DR$47)),Detalle_24m!DR$47,INDEX(Precio_V,6)*INDEX(IdxPrecio_V,1,MIN(10,DR$173)))*(1+V_dPrecio))</f>
        <v>0</v>
      </c>
      <c r="DS207" s="48" t="n">
        <f aca="false">IF(DS$8=1,IF(Reales!$C$43="PYG",IF(DS$10&gt;0,N(Reales!DS43)/DS$10,0),N(Reales!DS43)),DS$182*IF(AND(AND(118&gt;Corte,118&lt;=Corte+n_Ventana),ISNUMBER(Detalle_24m!DS$47)),Detalle_24m!DS$47,INDEX(Precio_V,6)*INDEX(IdxPrecio_V,1,MIN(10,DS$173)))*(1+V_dPrecio))</f>
        <v>0</v>
      </c>
      <c r="DT207" s="48" t="n">
        <f aca="false">IF(DT$8=1,IF(Reales!$C$43="PYG",IF(DT$10&gt;0,N(Reales!DT43)/DT$10,0),N(Reales!DT43)),DT$182*IF(AND(AND(119&gt;Corte,119&lt;=Corte+n_Ventana),ISNUMBER(Detalle_24m!DT$47)),Detalle_24m!DT$47,INDEX(Precio_V,6)*INDEX(IdxPrecio_V,1,MIN(10,DT$173)))*(1+V_dPrecio))</f>
        <v>0</v>
      </c>
      <c r="DU207" s="48" t="n">
        <f aca="false">IF(DU$8=1,IF(Reales!$C$43="PYG",IF(DU$10&gt;0,N(Reales!DU43)/DU$10,0),N(Reales!DU43)),DU$182*IF(AND(AND(120&gt;Corte,120&lt;=Corte+n_Ventana),ISNUMBER(Detalle_24m!DU$47)),Detalle_24m!DU$47,INDEX(Precio_V,6)*INDEX(IdxPrecio_V,1,MIN(10,DU$173)))*(1+V_dPrecio))</f>
        <v>0</v>
      </c>
      <c r="DV207" s="48" t="n">
        <f aca="false">IF(DV$8=1,IF(Reales!$C$43="PYG",IF(DV$10&gt;0,N(Reales!DV43)/DV$10,0),N(Reales!DV43)),DV$182*IF(AND(AND(121&gt;Corte,121&lt;=Corte+n_Ventana),ISNUMBER(Detalle_24m!DV$47)),Detalle_24m!DV$47,INDEX(Precio_V,6)*INDEX(IdxPrecio_V,1,MIN(10,DV$173)))*(1+V_dPrecio))</f>
        <v>0</v>
      </c>
      <c r="DW207" s="48" t="n">
        <f aca="false">IF(DW$8=1,IF(Reales!$C$43="PYG",IF(DW$10&gt;0,N(Reales!DW43)/DW$10,0),N(Reales!DW43)),DW$182*IF(AND(AND(122&gt;Corte,122&lt;=Corte+n_Ventana),ISNUMBER(Detalle_24m!DW$47)),Detalle_24m!DW$47,INDEX(Precio_V,6)*INDEX(IdxPrecio_V,1,MIN(10,DW$173)))*(1+V_dPrecio))</f>
        <v>0</v>
      </c>
      <c r="DX207" s="48" t="n">
        <f aca="false">IF(DX$8=1,IF(Reales!$C$43="PYG",IF(DX$10&gt;0,N(Reales!DX43)/DX$10,0),N(Reales!DX43)),DX$182*IF(AND(AND(123&gt;Corte,123&lt;=Corte+n_Ventana),ISNUMBER(Detalle_24m!DX$47)),Detalle_24m!DX$47,INDEX(Precio_V,6)*INDEX(IdxPrecio_V,1,MIN(10,DX$173)))*(1+V_dPrecio))</f>
        <v>0</v>
      </c>
      <c r="DY207" s="48" t="n">
        <f aca="false">IF(DY$8=1,IF(Reales!$C$43="PYG",IF(DY$10&gt;0,N(Reales!DY43)/DY$10,0),N(Reales!DY43)),DY$182*IF(AND(AND(124&gt;Corte,124&lt;=Corte+n_Ventana),ISNUMBER(Detalle_24m!DY$47)),Detalle_24m!DY$47,INDEX(Precio_V,6)*INDEX(IdxPrecio_V,1,MIN(10,DY$173)))*(1+V_dPrecio))</f>
        <v>0</v>
      </c>
      <c r="DZ207" s="48" t="n">
        <f aca="false">IF(DZ$8=1,IF(Reales!$C$43="PYG",IF(DZ$10&gt;0,N(Reales!DZ43)/DZ$10,0),N(Reales!DZ43)),DZ$182*IF(AND(AND(125&gt;Corte,125&lt;=Corte+n_Ventana),ISNUMBER(Detalle_24m!DZ$47)),Detalle_24m!DZ$47,INDEX(Precio_V,6)*INDEX(IdxPrecio_V,1,MIN(10,DZ$173)))*(1+V_dPrecio))</f>
        <v>0</v>
      </c>
      <c r="EA207" s="48" t="n">
        <f aca="false">IF(EA$8=1,IF(Reales!$C$43="PYG",IF(EA$10&gt;0,N(Reales!EA43)/EA$10,0),N(Reales!EA43)),EA$182*IF(AND(AND(126&gt;Corte,126&lt;=Corte+n_Ventana),ISNUMBER(Detalle_24m!EA$47)),Detalle_24m!EA$47,INDEX(Precio_V,6)*INDEX(IdxPrecio_V,1,MIN(10,EA$173)))*(1+V_dPrecio))</f>
        <v>0</v>
      </c>
      <c r="EB207" s="48" t="n">
        <f aca="false">IF(EB$8=1,IF(Reales!$C$43="PYG",IF(EB$10&gt;0,N(Reales!EB43)/EB$10,0),N(Reales!EB43)),EB$182*IF(AND(AND(127&gt;Corte,127&lt;=Corte+n_Ventana),ISNUMBER(Detalle_24m!EB$47)),Detalle_24m!EB$47,INDEX(Precio_V,6)*INDEX(IdxPrecio_V,1,MIN(10,EB$173)))*(1+V_dPrecio))</f>
        <v>0</v>
      </c>
      <c r="EC207" s="48" t="n">
        <f aca="false">IF(EC$8=1,IF(Reales!$C$43="PYG",IF(EC$10&gt;0,N(Reales!EC43)/EC$10,0),N(Reales!EC43)),EC$182*IF(AND(AND(128&gt;Corte,128&lt;=Corte+n_Ventana),ISNUMBER(Detalle_24m!EC$47)),Detalle_24m!EC$47,INDEX(Precio_V,6)*INDEX(IdxPrecio_V,1,MIN(10,EC$173)))*(1+V_dPrecio))</f>
        <v>0</v>
      </c>
      <c r="ED207" s="48" t="n">
        <f aca="false">IF(ED$8=1,IF(Reales!$C$43="PYG",IF(ED$10&gt;0,N(Reales!ED43)/ED$10,0),N(Reales!ED43)),ED$182*IF(AND(AND(129&gt;Corte,129&lt;=Corte+n_Ventana),ISNUMBER(Detalle_24m!ED$47)),Detalle_24m!ED$47,INDEX(Precio_V,6)*INDEX(IdxPrecio_V,1,MIN(10,ED$173)))*(1+V_dPrecio))</f>
        <v>0</v>
      </c>
      <c r="EE207" s="48" t="n">
        <f aca="false">IF(EE$8=1,IF(Reales!$C$43="PYG",IF(EE$10&gt;0,N(Reales!EE43)/EE$10,0),N(Reales!EE43)),EE$182*IF(AND(AND(130&gt;Corte,130&lt;=Corte+n_Ventana),ISNUMBER(Detalle_24m!EE$47)),Detalle_24m!EE$47,INDEX(Precio_V,6)*INDEX(IdxPrecio_V,1,MIN(10,EE$173)))*(1+V_dPrecio))</f>
        <v>0</v>
      </c>
      <c r="EF207" s="48" t="n">
        <f aca="false">IF(EF$8=1,IF(Reales!$C$43="PYG",IF(EF$10&gt;0,N(Reales!EF43)/EF$10,0),N(Reales!EF43)),EF$182*IF(AND(AND(131&gt;Corte,131&lt;=Corte+n_Ventana),ISNUMBER(Detalle_24m!EF$47)),Detalle_24m!EF$47,INDEX(Precio_V,6)*INDEX(IdxPrecio_V,1,MIN(10,EF$173)))*(1+V_dPrecio))</f>
        <v>0</v>
      </c>
      <c r="EG207" s="48" t="n">
        <f aca="false">IF(EG$8=1,IF(Reales!$C$43="PYG",IF(EG$10&gt;0,N(Reales!EG43)/EG$10,0),N(Reales!EG43)),EG$182*IF(AND(AND(132&gt;Corte,132&lt;=Corte+n_Ventana),ISNUMBER(Detalle_24m!EG$47)),Detalle_24m!EG$47,INDEX(Precio_V,6)*INDEX(IdxPrecio_V,1,MIN(10,EG$173)))*(1+V_dPrecio))</f>
        <v>0</v>
      </c>
      <c r="EH207" s="48" t="n">
        <f aca="false">IF(EH$8=1,IF(Reales!$C$43="PYG",IF(EH$10&gt;0,N(Reales!EH43)/EH$10,0),N(Reales!EH43)),EH$182*IF(AND(AND(133&gt;Corte,133&lt;=Corte+n_Ventana),ISNUMBER(Detalle_24m!EH$47)),Detalle_24m!EH$47,INDEX(Precio_V,6)*INDEX(IdxPrecio_V,1,MIN(10,EH$173)))*(1+V_dPrecio))</f>
        <v>0</v>
      </c>
      <c r="EI207" s="48" t="n">
        <f aca="false">IF(EI$8=1,IF(Reales!$C$43="PYG",IF(EI$10&gt;0,N(Reales!EI43)/EI$10,0),N(Reales!EI43)),EI$182*IF(AND(AND(134&gt;Corte,134&lt;=Corte+n_Ventana),ISNUMBER(Detalle_24m!EI$47)),Detalle_24m!EI$47,INDEX(Precio_V,6)*INDEX(IdxPrecio_V,1,MIN(10,EI$173)))*(1+V_dPrecio))</f>
        <v>0</v>
      </c>
      <c r="EJ207" s="48" t="n">
        <f aca="false">IF(EJ$8=1,IF(Reales!$C$43="PYG",IF(EJ$10&gt;0,N(Reales!EJ43)/EJ$10,0),N(Reales!EJ43)),EJ$182*IF(AND(AND(135&gt;Corte,135&lt;=Corte+n_Ventana),ISNUMBER(Detalle_24m!EJ$47)),Detalle_24m!EJ$47,INDEX(Precio_V,6)*INDEX(IdxPrecio_V,1,MIN(10,EJ$173)))*(1+V_dPrecio))</f>
        <v>0</v>
      </c>
      <c r="EK207" s="48" t="n">
        <f aca="false">IF(EK$8=1,IF(Reales!$C$43="PYG",IF(EK$10&gt;0,N(Reales!EK43)/EK$10,0),N(Reales!EK43)),EK$182*IF(AND(AND(136&gt;Corte,136&lt;=Corte+n_Ventana),ISNUMBER(Detalle_24m!EK$47)),Detalle_24m!EK$47,INDEX(Precio_V,6)*INDEX(IdxPrecio_V,1,MIN(10,EK$173)))*(1+V_dPrecio))</f>
        <v>0</v>
      </c>
      <c r="EL207" s="48" t="n">
        <f aca="false">IF(EL$8=1,IF(Reales!$C$43="PYG",IF(EL$10&gt;0,N(Reales!EL43)/EL$10,0),N(Reales!EL43)),EL$182*IF(AND(AND(137&gt;Corte,137&lt;=Corte+n_Ventana),ISNUMBER(Detalle_24m!EL$47)),Detalle_24m!EL$47,INDEX(Precio_V,6)*INDEX(IdxPrecio_V,1,MIN(10,EL$173)))*(1+V_dPrecio))</f>
        <v>0</v>
      </c>
      <c r="EM207" s="48" t="n">
        <f aca="false">IF(EM$8=1,IF(Reales!$C$43="PYG",IF(EM$10&gt;0,N(Reales!EM43)/EM$10,0),N(Reales!EM43)),EM$182*IF(AND(AND(138&gt;Corte,138&lt;=Corte+n_Ventana),ISNUMBER(Detalle_24m!EM$47)),Detalle_24m!EM$47,INDEX(Precio_V,6)*INDEX(IdxPrecio_V,1,MIN(10,EM$173)))*(1+V_dPrecio))</f>
        <v>0</v>
      </c>
      <c r="EN207" s="48" t="n">
        <f aca="false">IF(EN$8=1,IF(Reales!$C$43="PYG",IF(EN$10&gt;0,N(Reales!EN43)/EN$10,0),N(Reales!EN43)),EN$182*IF(AND(AND(139&gt;Corte,139&lt;=Corte+n_Ventana),ISNUMBER(Detalle_24m!EN$47)),Detalle_24m!EN$47,INDEX(Precio_V,6)*INDEX(IdxPrecio_V,1,MIN(10,EN$173)))*(1+V_dPrecio))</f>
        <v>0</v>
      </c>
      <c r="EO207" s="48" t="n">
        <f aca="false">IF(EO$8=1,IF(Reales!$C$43="PYG",IF(EO$10&gt;0,N(Reales!EO43)/EO$10,0),N(Reales!EO43)),EO$182*IF(AND(AND(140&gt;Corte,140&lt;=Corte+n_Ventana),ISNUMBER(Detalle_24m!EO$47)),Detalle_24m!EO$47,INDEX(Precio_V,6)*INDEX(IdxPrecio_V,1,MIN(10,EO$173)))*(1+V_dPrecio))</f>
        <v>0</v>
      </c>
      <c r="EP207" s="48" t="n">
        <f aca="false">IF(EP$8=1,IF(Reales!$C$43="PYG",IF(EP$10&gt;0,N(Reales!EP43)/EP$10,0),N(Reales!EP43)),EP$182*IF(AND(AND(141&gt;Corte,141&lt;=Corte+n_Ventana),ISNUMBER(Detalle_24m!EP$47)),Detalle_24m!EP$47,INDEX(Precio_V,6)*INDEX(IdxPrecio_V,1,MIN(10,EP$173)))*(1+V_dPrecio))</f>
        <v>0</v>
      </c>
      <c r="EQ207" s="48" t="n">
        <f aca="false">IF(EQ$8=1,IF(Reales!$C$43="PYG",IF(EQ$10&gt;0,N(Reales!EQ43)/EQ$10,0),N(Reales!EQ43)),EQ$182*IF(AND(AND(142&gt;Corte,142&lt;=Corte+n_Ventana),ISNUMBER(Detalle_24m!EQ$47)),Detalle_24m!EQ$47,INDEX(Precio_V,6)*INDEX(IdxPrecio_V,1,MIN(10,EQ$173)))*(1+V_dPrecio))</f>
        <v>0</v>
      </c>
      <c r="ER207" s="48" t="n">
        <f aca="false">IF(ER$8=1,IF(Reales!$C$43="PYG",IF(ER$10&gt;0,N(Reales!ER43)/ER$10,0),N(Reales!ER43)),ER$182*IF(AND(AND(143&gt;Corte,143&lt;=Corte+n_Ventana),ISNUMBER(Detalle_24m!ER$47)),Detalle_24m!ER$47,INDEX(Precio_V,6)*INDEX(IdxPrecio_V,1,MIN(10,ER$173)))*(1+V_dPrecio))</f>
        <v>0</v>
      </c>
      <c r="ES207" s="48" t="n">
        <f aca="false">IF(ES$8=1,IF(Reales!$C$43="PYG",IF(ES$10&gt;0,N(Reales!ES43)/ES$10,0),N(Reales!ES43)),ES$182*IF(AND(AND(144&gt;Corte,144&lt;=Corte+n_Ventana),ISNUMBER(Detalle_24m!ES$47)),Detalle_24m!ES$47,INDEX(Precio_V,6)*INDEX(IdxPrecio_V,1,MIN(10,ES$173)))*(1+V_dPrecio))</f>
        <v>0</v>
      </c>
    </row>
    <row r="208" customFormat="false" ht="15" hidden="false" customHeight="false" outlineLevel="0" collapsed="false">
      <c r="A208" s="11" t="s">
        <v>1331</v>
      </c>
      <c r="B208" s="53" t="str">
        <f aca="false">IF(INDEX(Prod_Nombre,7)="","Producto 7",INDEX(Prod_Nombre,7))&amp;" — ventas USD"</f>
        <v>Producto 7 — ventas USD</v>
      </c>
      <c r="C208" s="15" t="s">
        <v>508</v>
      </c>
      <c r="E208" s="54" t="n">
        <f aca="false">SUM(F208:ES208)</f>
        <v>0</v>
      </c>
      <c r="F208" s="48" t="n">
        <f aca="false">IF(F$8=1,IF(Reales!$C$44="PYG",IF(F$10&gt;0,N(Reales!F44)/F$10,0),N(Reales!F44)),F$183*IF(AND(AND(1&gt;Corte,1&lt;=Corte+n_Ventana),ISNUMBER(Detalle_24m!F$48)),Detalle_24m!F$48,INDEX(Precio_V,7)*INDEX(IdxPrecio_V,1,MIN(10,F$173)))*(1+V_dPrecio))</f>
        <v>0</v>
      </c>
      <c r="G208" s="48" t="n">
        <f aca="false">IF(G$8=1,IF(Reales!$C$44="PYG",IF(G$10&gt;0,N(Reales!G44)/G$10,0),N(Reales!G44)),G$183*IF(AND(AND(2&gt;Corte,2&lt;=Corte+n_Ventana),ISNUMBER(Detalle_24m!G$48)),Detalle_24m!G$48,INDEX(Precio_V,7)*INDEX(IdxPrecio_V,1,MIN(10,G$173)))*(1+V_dPrecio))</f>
        <v>0</v>
      </c>
      <c r="H208" s="48" t="n">
        <f aca="false">IF(H$8=1,IF(Reales!$C$44="PYG",IF(H$10&gt;0,N(Reales!H44)/H$10,0),N(Reales!H44)),H$183*IF(AND(AND(3&gt;Corte,3&lt;=Corte+n_Ventana),ISNUMBER(Detalle_24m!H$48)),Detalle_24m!H$48,INDEX(Precio_V,7)*INDEX(IdxPrecio_V,1,MIN(10,H$173)))*(1+V_dPrecio))</f>
        <v>0</v>
      </c>
      <c r="I208" s="48" t="n">
        <f aca="false">IF(I$8=1,IF(Reales!$C$44="PYG",IF(I$10&gt;0,N(Reales!I44)/I$10,0),N(Reales!I44)),I$183*IF(AND(AND(4&gt;Corte,4&lt;=Corte+n_Ventana),ISNUMBER(Detalle_24m!I$48)),Detalle_24m!I$48,INDEX(Precio_V,7)*INDEX(IdxPrecio_V,1,MIN(10,I$173)))*(1+V_dPrecio))</f>
        <v>0</v>
      </c>
      <c r="J208" s="48" t="n">
        <f aca="false">IF(J$8=1,IF(Reales!$C$44="PYG",IF(J$10&gt;0,N(Reales!J44)/J$10,0),N(Reales!J44)),J$183*IF(AND(AND(5&gt;Corte,5&lt;=Corte+n_Ventana),ISNUMBER(Detalle_24m!J$48)),Detalle_24m!J$48,INDEX(Precio_V,7)*INDEX(IdxPrecio_V,1,MIN(10,J$173)))*(1+V_dPrecio))</f>
        <v>0</v>
      </c>
      <c r="K208" s="48" t="n">
        <f aca="false">IF(K$8=1,IF(Reales!$C$44="PYG",IF(K$10&gt;0,N(Reales!K44)/K$10,0),N(Reales!K44)),K$183*IF(AND(AND(6&gt;Corte,6&lt;=Corte+n_Ventana),ISNUMBER(Detalle_24m!K$48)),Detalle_24m!K$48,INDEX(Precio_V,7)*INDEX(IdxPrecio_V,1,MIN(10,K$173)))*(1+V_dPrecio))</f>
        <v>0</v>
      </c>
      <c r="L208" s="48" t="n">
        <f aca="false">IF(L$8=1,IF(Reales!$C$44="PYG",IF(L$10&gt;0,N(Reales!L44)/L$10,0),N(Reales!L44)),L$183*IF(AND(AND(7&gt;Corte,7&lt;=Corte+n_Ventana),ISNUMBER(Detalle_24m!L$48)),Detalle_24m!L$48,INDEX(Precio_V,7)*INDEX(IdxPrecio_V,1,MIN(10,L$173)))*(1+V_dPrecio))</f>
        <v>0</v>
      </c>
      <c r="M208" s="48" t="n">
        <f aca="false">IF(M$8=1,IF(Reales!$C$44="PYG",IF(M$10&gt;0,N(Reales!M44)/M$10,0),N(Reales!M44)),M$183*IF(AND(AND(8&gt;Corte,8&lt;=Corte+n_Ventana),ISNUMBER(Detalle_24m!M$48)),Detalle_24m!M$48,INDEX(Precio_V,7)*INDEX(IdxPrecio_V,1,MIN(10,M$173)))*(1+V_dPrecio))</f>
        <v>0</v>
      </c>
      <c r="N208" s="48" t="n">
        <f aca="false">IF(N$8=1,IF(Reales!$C$44="PYG",IF(N$10&gt;0,N(Reales!N44)/N$10,0),N(Reales!N44)),N$183*IF(AND(AND(9&gt;Corte,9&lt;=Corte+n_Ventana),ISNUMBER(Detalle_24m!N$48)),Detalle_24m!N$48,INDEX(Precio_V,7)*INDEX(IdxPrecio_V,1,MIN(10,N$173)))*(1+V_dPrecio))</f>
        <v>0</v>
      </c>
      <c r="O208" s="48" t="n">
        <f aca="false">IF(O$8=1,IF(Reales!$C$44="PYG",IF(O$10&gt;0,N(Reales!O44)/O$10,0),N(Reales!O44)),O$183*IF(AND(AND(10&gt;Corte,10&lt;=Corte+n_Ventana),ISNUMBER(Detalle_24m!O$48)),Detalle_24m!O$48,INDEX(Precio_V,7)*INDEX(IdxPrecio_V,1,MIN(10,O$173)))*(1+V_dPrecio))</f>
        <v>0</v>
      </c>
      <c r="P208" s="48" t="n">
        <f aca="false">IF(P$8=1,IF(Reales!$C$44="PYG",IF(P$10&gt;0,N(Reales!P44)/P$10,0),N(Reales!P44)),P$183*IF(AND(AND(11&gt;Corte,11&lt;=Corte+n_Ventana),ISNUMBER(Detalle_24m!P$48)),Detalle_24m!P$48,INDEX(Precio_V,7)*INDEX(IdxPrecio_V,1,MIN(10,P$173)))*(1+V_dPrecio))</f>
        <v>0</v>
      </c>
      <c r="Q208" s="48" t="n">
        <f aca="false">IF(Q$8=1,IF(Reales!$C$44="PYG",IF(Q$10&gt;0,N(Reales!Q44)/Q$10,0),N(Reales!Q44)),Q$183*IF(AND(AND(12&gt;Corte,12&lt;=Corte+n_Ventana),ISNUMBER(Detalle_24m!Q$48)),Detalle_24m!Q$48,INDEX(Precio_V,7)*INDEX(IdxPrecio_V,1,MIN(10,Q$173)))*(1+V_dPrecio))</f>
        <v>0</v>
      </c>
      <c r="R208" s="48" t="n">
        <f aca="false">IF(R$8=1,IF(Reales!$C$44="PYG",IF(R$10&gt;0,N(Reales!R44)/R$10,0),N(Reales!R44)),R$183*IF(AND(AND(13&gt;Corte,13&lt;=Corte+n_Ventana),ISNUMBER(Detalle_24m!R$48)),Detalle_24m!R$48,INDEX(Precio_V,7)*INDEX(IdxPrecio_V,1,MIN(10,R$173)))*(1+V_dPrecio))</f>
        <v>0</v>
      </c>
      <c r="S208" s="48" t="n">
        <f aca="false">IF(S$8=1,IF(Reales!$C$44="PYG",IF(S$10&gt;0,N(Reales!S44)/S$10,0),N(Reales!S44)),S$183*IF(AND(AND(14&gt;Corte,14&lt;=Corte+n_Ventana),ISNUMBER(Detalle_24m!S$48)),Detalle_24m!S$48,INDEX(Precio_V,7)*INDEX(IdxPrecio_V,1,MIN(10,S$173)))*(1+V_dPrecio))</f>
        <v>0</v>
      </c>
      <c r="T208" s="48" t="n">
        <f aca="false">IF(T$8=1,IF(Reales!$C$44="PYG",IF(T$10&gt;0,N(Reales!T44)/T$10,0),N(Reales!T44)),T$183*IF(AND(AND(15&gt;Corte,15&lt;=Corte+n_Ventana),ISNUMBER(Detalle_24m!T$48)),Detalle_24m!T$48,INDEX(Precio_V,7)*INDEX(IdxPrecio_V,1,MIN(10,T$173)))*(1+V_dPrecio))</f>
        <v>0</v>
      </c>
      <c r="U208" s="48" t="n">
        <f aca="false">IF(U$8=1,IF(Reales!$C$44="PYG",IF(U$10&gt;0,N(Reales!U44)/U$10,0),N(Reales!U44)),U$183*IF(AND(AND(16&gt;Corte,16&lt;=Corte+n_Ventana),ISNUMBER(Detalle_24m!U$48)),Detalle_24m!U$48,INDEX(Precio_V,7)*INDEX(IdxPrecio_V,1,MIN(10,U$173)))*(1+V_dPrecio))</f>
        <v>0</v>
      </c>
      <c r="V208" s="48" t="n">
        <f aca="false">IF(V$8=1,IF(Reales!$C$44="PYG",IF(V$10&gt;0,N(Reales!V44)/V$10,0),N(Reales!V44)),V$183*IF(AND(AND(17&gt;Corte,17&lt;=Corte+n_Ventana),ISNUMBER(Detalle_24m!V$48)),Detalle_24m!V$48,INDEX(Precio_V,7)*INDEX(IdxPrecio_V,1,MIN(10,V$173)))*(1+V_dPrecio))</f>
        <v>0</v>
      </c>
      <c r="W208" s="48" t="n">
        <f aca="false">IF(W$8=1,IF(Reales!$C$44="PYG",IF(W$10&gt;0,N(Reales!W44)/W$10,0),N(Reales!W44)),W$183*IF(AND(AND(18&gt;Corte,18&lt;=Corte+n_Ventana),ISNUMBER(Detalle_24m!W$48)),Detalle_24m!W$48,INDEX(Precio_V,7)*INDEX(IdxPrecio_V,1,MIN(10,W$173)))*(1+V_dPrecio))</f>
        <v>0</v>
      </c>
      <c r="X208" s="48" t="n">
        <f aca="false">IF(X$8=1,IF(Reales!$C$44="PYG",IF(X$10&gt;0,N(Reales!X44)/X$10,0),N(Reales!X44)),X$183*IF(AND(AND(19&gt;Corte,19&lt;=Corte+n_Ventana),ISNUMBER(Detalle_24m!X$48)),Detalle_24m!X$48,INDEX(Precio_V,7)*INDEX(IdxPrecio_V,1,MIN(10,X$173)))*(1+V_dPrecio))</f>
        <v>0</v>
      </c>
      <c r="Y208" s="48" t="n">
        <f aca="false">IF(Y$8=1,IF(Reales!$C$44="PYG",IF(Y$10&gt;0,N(Reales!Y44)/Y$10,0),N(Reales!Y44)),Y$183*IF(AND(AND(20&gt;Corte,20&lt;=Corte+n_Ventana),ISNUMBER(Detalle_24m!Y$48)),Detalle_24m!Y$48,INDEX(Precio_V,7)*INDEX(IdxPrecio_V,1,MIN(10,Y$173)))*(1+V_dPrecio))</f>
        <v>0</v>
      </c>
      <c r="Z208" s="48" t="n">
        <f aca="false">IF(Z$8=1,IF(Reales!$C$44="PYG",IF(Z$10&gt;0,N(Reales!Z44)/Z$10,0),N(Reales!Z44)),Z$183*IF(AND(AND(21&gt;Corte,21&lt;=Corte+n_Ventana),ISNUMBER(Detalle_24m!Z$48)),Detalle_24m!Z$48,INDEX(Precio_V,7)*INDEX(IdxPrecio_V,1,MIN(10,Z$173)))*(1+V_dPrecio))</f>
        <v>0</v>
      </c>
      <c r="AA208" s="48" t="n">
        <f aca="false">IF(AA$8=1,IF(Reales!$C$44="PYG",IF(AA$10&gt;0,N(Reales!AA44)/AA$10,0),N(Reales!AA44)),AA$183*IF(AND(AND(22&gt;Corte,22&lt;=Corte+n_Ventana),ISNUMBER(Detalle_24m!AA$48)),Detalle_24m!AA$48,INDEX(Precio_V,7)*INDEX(IdxPrecio_V,1,MIN(10,AA$173)))*(1+V_dPrecio))</f>
        <v>0</v>
      </c>
      <c r="AB208" s="48" t="n">
        <f aca="false">IF(AB$8=1,IF(Reales!$C$44="PYG",IF(AB$10&gt;0,N(Reales!AB44)/AB$10,0),N(Reales!AB44)),AB$183*IF(AND(AND(23&gt;Corte,23&lt;=Corte+n_Ventana),ISNUMBER(Detalle_24m!AB$48)),Detalle_24m!AB$48,INDEX(Precio_V,7)*INDEX(IdxPrecio_V,1,MIN(10,AB$173)))*(1+V_dPrecio))</f>
        <v>0</v>
      </c>
      <c r="AC208" s="48" t="n">
        <f aca="false">IF(AC$8=1,IF(Reales!$C$44="PYG",IF(AC$10&gt;0,N(Reales!AC44)/AC$10,0),N(Reales!AC44)),AC$183*IF(AND(AND(24&gt;Corte,24&lt;=Corte+n_Ventana),ISNUMBER(Detalle_24m!AC$48)),Detalle_24m!AC$48,INDEX(Precio_V,7)*INDEX(IdxPrecio_V,1,MIN(10,AC$173)))*(1+V_dPrecio))</f>
        <v>0</v>
      </c>
      <c r="AD208" s="48" t="n">
        <f aca="false">IF(AD$8=1,IF(Reales!$C$44="PYG",IF(AD$10&gt;0,N(Reales!AD44)/AD$10,0),N(Reales!AD44)),AD$183*IF(AND(AND(25&gt;Corte,25&lt;=Corte+n_Ventana),ISNUMBER(Detalle_24m!AD$48)),Detalle_24m!AD$48,INDEX(Precio_V,7)*INDEX(IdxPrecio_V,1,MIN(10,AD$173)))*(1+V_dPrecio))</f>
        <v>0</v>
      </c>
      <c r="AE208" s="48" t="n">
        <f aca="false">IF(AE$8=1,IF(Reales!$C$44="PYG",IF(AE$10&gt;0,N(Reales!AE44)/AE$10,0),N(Reales!AE44)),AE$183*IF(AND(AND(26&gt;Corte,26&lt;=Corte+n_Ventana),ISNUMBER(Detalle_24m!AE$48)),Detalle_24m!AE$48,INDEX(Precio_V,7)*INDEX(IdxPrecio_V,1,MIN(10,AE$173)))*(1+V_dPrecio))</f>
        <v>0</v>
      </c>
      <c r="AF208" s="48" t="n">
        <f aca="false">IF(AF$8=1,IF(Reales!$C$44="PYG",IF(AF$10&gt;0,N(Reales!AF44)/AF$10,0),N(Reales!AF44)),AF$183*IF(AND(AND(27&gt;Corte,27&lt;=Corte+n_Ventana),ISNUMBER(Detalle_24m!AF$48)),Detalle_24m!AF$48,INDEX(Precio_V,7)*INDEX(IdxPrecio_V,1,MIN(10,AF$173)))*(1+V_dPrecio))</f>
        <v>0</v>
      </c>
      <c r="AG208" s="48" t="n">
        <f aca="false">IF(AG$8=1,IF(Reales!$C$44="PYG",IF(AG$10&gt;0,N(Reales!AG44)/AG$10,0),N(Reales!AG44)),AG$183*IF(AND(AND(28&gt;Corte,28&lt;=Corte+n_Ventana),ISNUMBER(Detalle_24m!AG$48)),Detalle_24m!AG$48,INDEX(Precio_V,7)*INDEX(IdxPrecio_V,1,MIN(10,AG$173)))*(1+V_dPrecio))</f>
        <v>0</v>
      </c>
      <c r="AH208" s="48" t="n">
        <f aca="false">IF(AH$8=1,IF(Reales!$C$44="PYG",IF(AH$10&gt;0,N(Reales!AH44)/AH$10,0),N(Reales!AH44)),AH$183*IF(AND(AND(29&gt;Corte,29&lt;=Corte+n_Ventana),ISNUMBER(Detalle_24m!AH$48)),Detalle_24m!AH$48,INDEX(Precio_V,7)*INDEX(IdxPrecio_V,1,MIN(10,AH$173)))*(1+V_dPrecio))</f>
        <v>0</v>
      </c>
      <c r="AI208" s="48" t="n">
        <f aca="false">IF(AI$8=1,IF(Reales!$C$44="PYG",IF(AI$10&gt;0,N(Reales!AI44)/AI$10,0),N(Reales!AI44)),AI$183*IF(AND(AND(30&gt;Corte,30&lt;=Corte+n_Ventana),ISNUMBER(Detalle_24m!AI$48)),Detalle_24m!AI$48,INDEX(Precio_V,7)*INDEX(IdxPrecio_V,1,MIN(10,AI$173)))*(1+V_dPrecio))</f>
        <v>0</v>
      </c>
      <c r="AJ208" s="48" t="n">
        <f aca="false">IF(AJ$8=1,IF(Reales!$C$44="PYG",IF(AJ$10&gt;0,N(Reales!AJ44)/AJ$10,0),N(Reales!AJ44)),AJ$183*IF(AND(AND(31&gt;Corte,31&lt;=Corte+n_Ventana),ISNUMBER(Detalle_24m!AJ$48)),Detalle_24m!AJ$48,INDEX(Precio_V,7)*INDEX(IdxPrecio_V,1,MIN(10,AJ$173)))*(1+V_dPrecio))</f>
        <v>0</v>
      </c>
      <c r="AK208" s="48" t="n">
        <f aca="false">IF(AK$8=1,IF(Reales!$C$44="PYG",IF(AK$10&gt;0,N(Reales!AK44)/AK$10,0),N(Reales!AK44)),AK$183*IF(AND(AND(32&gt;Corte,32&lt;=Corte+n_Ventana),ISNUMBER(Detalle_24m!AK$48)),Detalle_24m!AK$48,INDEX(Precio_V,7)*INDEX(IdxPrecio_V,1,MIN(10,AK$173)))*(1+V_dPrecio))</f>
        <v>0</v>
      </c>
      <c r="AL208" s="48" t="n">
        <f aca="false">IF(AL$8=1,IF(Reales!$C$44="PYG",IF(AL$10&gt;0,N(Reales!AL44)/AL$10,0),N(Reales!AL44)),AL$183*IF(AND(AND(33&gt;Corte,33&lt;=Corte+n_Ventana),ISNUMBER(Detalle_24m!AL$48)),Detalle_24m!AL$48,INDEX(Precio_V,7)*INDEX(IdxPrecio_V,1,MIN(10,AL$173)))*(1+V_dPrecio))</f>
        <v>0</v>
      </c>
      <c r="AM208" s="48" t="n">
        <f aca="false">IF(AM$8=1,IF(Reales!$C$44="PYG",IF(AM$10&gt;0,N(Reales!AM44)/AM$10,0),N(Reales!AM44)),AM$183*IF(AND(AND(34&gt;Corte,34&lt;=Corte+n_Ventana),ISNUMBER(Detalle_24m!AM$48)),Detalle_24m!AM$48,INDEX(Precio_V,7)*INDEX(IdxPrecio_V,1,MIN(10,AM$173)))*(1+V_dPrecio))</f>
        <v>0</v>
      </c>
      <c r="AN208" s="48" t="n">
        <f aca="false">IF(AN$8=1,IF(Reales!$C$44="PYG",IF(AN$10&gt;0,N(Reales!AN44)/AN$10,0),N(Reales!AN44)),AN$183*IF(AND(AND(35&gt;Corte,35&lt;=Corte+n_Ventana),ISNUMBER(Detalle_24m!AN$48)),Detalle_24m!AN$48,INDEX(Precio_V,7)*INDEX(IdxPrecio_V,1,MIN(10,AN$173)))*(1+V_dPrecio))</f>
        <v>0</v>
      </c>
      <c r="AO208" s="48" t="n">
        <f aca="false">IF(AO$8=1,IF(Reales!$C$44="PYG",IF(AO$10&gt;0,N(Reales!AO44)/AO$10,0),N(Reales!AO44)),AO$183*IF(AND(AND(36&gt;Corte,36&lt;=Corte+n_Ventana),ISNUMBER(Detalle_24m!AO$48)),Detalle_24m!AO$48,INDEX(Precio_V,7)*INDEX(IdxPrecio_V,1,MIN(10,AO$173)))*(1+V_dPrecio))</f>
        <v>0</v>
      </c>
      <c r="AP208" s="48" t="n">
        <f aca="false">IF(AP$8=1,IF(Reales!$C$44="PYG",IF(AP$10&gt;0,N(Reales!AP44)/AP$10,0),N(Reales!AP44)),AP$183*IF(AND(AND(37&gt;Corte,37&lt;=Corte+n_Ventana),ISNUMBER(Detalle_24m!AP$48)),Detalle_24m!AP$48,INDEX(Precio_V,7)*INDEX(IdxPrecio_V,1,MIN(10,AP$173)))*(1+V_dPrecio))</f>
        <v>0</v>
      </c>
      <c r="AQ208" s="48" t="n">
        <f aca="false">IF(AQ$8=1,IF(Reales!$C$44="PYG",IF(AQ$10&gt;0,N(Reales!AQ44)/AQ$10,0),N(Reales!AQ44)),AQ$183*IF(AND(AND(38&gt;Corte,38&lt;=Corte+n_Ventana),ISNUMBER(Detalle_24m!AQ$48)),Detalle_24m!AQ$48,INDEX(Precio_V,7)*INDEX(IdxPrecio_V,1,MIN(10,AQ$173)))*(1+V_dPrecio))</f>
        <v>0</v>
      </c>
      <c r="AR208" s="48" t="n">
        <f aca="false">IF(AR$8=1,IF(Reales!$C$44="PYG",IF(AR$10&gt;0,N(Reales!AR44)/AR$10,0),N(Reales!AR44)),AR$183*IF(AND(AND(39&gt;Corte,39&lt;=Corte+n_Ventana),ISNUMBER(Detalle_24m!AR$48)),Detalle_24m!AR$48,INDEX(Precio_V,7)*INDEX(IdxPrecio_V,1,MIN(10,AR$173)))*(1+V_dPrecio))</f>
        <v>0</v>
      </c>
      <c r="AS208" s="48" t="n">
        <f aca="false">IF(AS$8=1,IF(Reales!$C$44="PYG",IF(AS$10&gt;0,N(Reales!AS44)/AS$10,0),N(Reales!AS44)),AS$183*IF(AND(AND(40&gt;Corte,40&lt;=Corte+n_Ventana),ISNUMBER(Detalle_24m!AS$48)),Detalle_24m!AS$48,INDEX(Precio_V,7)*INDEX(IdxPrecio_V,1,MIN(10,AS$173)))*(1+V_dPrecio))</f>
        <v>0</v>
      </c>
      <c r="AT208" s="48" t="n">
        <f aca="false">IF(AT$8=1,IF(Reales!$C$44="PYG",IF(AT$10&gt;0,N(Reales!AT44)/AT$10,0),N(Reales!AT44)),AT$183*IF(AND(AND(41&gt;Corte,41&lt;=Corte+n_Ventana),ISNUMBER(Detalle_24m!AT$48)),Detalle_24m!AT$48,INDEX(Precio_V,7)*INDEX(IdxPrecio_V,1,MIN(10,AT$173)))*(1+V_dPrecio))</f>
        <v>0</v>
      </c>
      <c r="AU208" s="48" t="n">
        <f aca="false">IF(AU$8=1,IF(Reales!$C$44="PYG",IF(AU$10&gt;0,N(Reales!AU44)/AU$10,0),N(Reales!AU44)),AU$183*IF(AND(AND(42&gt;Corte,42&lt;=Corte+n_Ventana),ISNUMBER(Detalle_24m!AU$48)),Detalle_24m!AU$48,INDEX(Precio_V,7)*INDEX(IdxPrecio_V,1,MIN(10,AU$173)))*(1+V_dPrecio))</f>
        <v>0</v>
      </c>
      <c r="AV208" s="48" t="n">
        <f aca="false">IF(AV$8=1,IF(Reales!$C$44="PYG",IF(AV$10&gt;0,N(Reales!AV44)/AV$10,0),N(Reales!AV44)),AV$183*IF(AND(AND(43&gt;Corte,43&lt;=Corte+n_Ventana),ISNUMBER(Detalle_24m!AV$48)),Detalle_24m!AV$48,INDEX(Precio_V,7)*INDEX(IdxPrecio_V,1,MIN(10,AV$173)))*(1+V_dPrecio))</f>
        <v>0</v>
      </c>
      <c r="AW208" s="48" t="n">
        <f aca="false">IF(AW$8=1,IF(Reales!$C$44="PYG",IF(AW$10&gt;0,N(Reales!AW44)/AW$10,0),N(Reales!AW44)),AW$183*IF(AND(AND(44&gt;Corte,44&lt;=Corte+n_Ventana),ISNUMBER(Detalle_24m!AW$48)),Detalle_24m!AW$48,INDEX(Precio_V,7)*INDEX(IdxPrecio_V,1,MIN(10,AW$173)))*(1+V_dPrecio))</f>
        <v>0</v>
      </c>
      <c r="AX208" s="48" t="n">
        <f aca="false">IF(AX$8=1,IF(Reales!$C$44="PYG",IF(AX$10&gt;0,N(Reales!AX44)/AX$10,0),N(Reales!AX44)),AX$183*IF(AND(AND(45&gt;Corte,45&lt;=Corte+n_Ventana),ISNUMBER(Detalle_24m!AX$48)),Detalle_24m!AX$48,INDEX(Precio_V,7)*INDEX(IdxPrecio_V,1,MIN(10,AX$173)))*(1+V_dPrecio))</f>
        <v>0</v>
      </c>
      <c r="AY208" s="48" t="n">
        <f aca="false">IF(AY$8=1,IF(Reales!$C$44="PYG",IF(AY$10&gt;0,N(Reales!AY44)/AY$10,0),N(Reales!AY44)),AY$183*IF(AND(AND(46&gt;Corte,46&lt;=Corte+n_Ventana),ISNUMBER(Detalle_24m!AY$48)),Detalle_24m!AY$48,INDEX(Precio_V,7)*INDEX(IdxPrecio_V,1,MIN(10,AY$173)))*(1+V_dPrecio))</f>
        <v>0</v>
      </c>
      <c r="AZ208" s="48" t="n">
        <f aca="false">IF(AZ$8=1,IF(Reales!$C$44="PYG",IF(AZ$10&gt;0,N(Reales!AZ44)/AZ$10,0),N(Reales!AZ44)),AZ$183*IF(AND(AND(47&gt;Corte,47&lt;=Corte+n_Ventana),ISNUMBER(Detalle_24m!AZ$48)),Detalle_24m!AZ$48,INDEX(Precio_V,7)*INDEX(IdxPrecio_V,1,MIN(10,AZ$173)))*(1+V_dPrecio))</f>
        <v>0</v>
      </c>
      <c r="BA208" s="48" t="n">
        <f aca="false">IF(BA$8=1,IF(Reales!$C$44="PYG",IF(BA$10&gt;0,N(Reales!BA44)/BA$10,0),N(Reales!BA44)),BA$183*IF(AND(AND(48&gt;Corte,48&lt;=Corte+n_Ventana),ISNUMBER(Detalle_24m!BA$48)),Detalle_24m!BA$48,INDEX(Precio_V,7)*INDEX(IdxPrecio_V,1,MIN(10,BA$173)))*(1+V_dPrecio))</f>
        <v>0</v>
      </c>
      <c r="BB208" s="48" t="n">
        <f aca="false">IF(BB$8=1,IF(Reales!$C$44="PYG",IF(BB$10&gt;0,N(Reales!BB44)/BB$10,0),N(Reales!BB44)),BB$183*IF(AND(AND(49&gt;Corte,49&lt;=Corte+n_Ventana),ISNUMBER(Detalle_24m!BB$48)),Detalle_24m!BB$48,INDEX(Precio_V,7)*INDEX(IdxPrecio_V,1,MIN(10,BB$173)))*(1+V_dPrecio))</f>
        <v>0</v>
      </c>
      <c r="BC208" s="48" t="n">
        <f aca="false">IF(BC$8=1,IF(Reales!$C$44="PYG",IF(BC$10&gt;0,N(Reales!BC44)/BC$10,0),N(Reales!BC44)),BC$183*IF(AND(AND(50&gt;Corte,50&lt;=Corte+n_Ventana),ISNUMBER(Detalle_24m!BC$48)),Detalle_24m!BC$48,INDEX(Precio_V,7)*INDEX(IdxPrecio_V,1,MIN(10,BC$173)))*(1+V_dPrecio))</f>
        <v>0</v>
      </c>
      <c r="BD208" s="48" t="n">
        <f aca="false">IF(BD$8=1,IF(Reales!$C$44="PYG",IF(BD$10&gt;0,N(Reales!BD44)/BD$10,0),N(Reales!BD44)),BD$183*IF(AND(AND(51&gt;Corte,51&lt;=Corte+n_Ventana),ISNUMBER(Detalle_24m!BD$48)),Detalle_24m!BD$48,INDEX(Precio_V,7)*INDEX(IdxPrecio_V,1,MIN(10,BD$173)))*(1+V_dPrecio))</f>
        <v>0</v>
      </c>
      <c r="BE208" s="48" t="n">
        <f aca="false">IF(BE$8=1,IF(Reales!$C$44="PYG",IF(BE$10&gt;0,N(Reales!BE44)/BE$10,0),N(Reales!BE44)),BE$183*IF(AND(AND(52&gt;Corte,52&lt;=Corte+n_Ventana),ISNUMBER(Detalle_24m!BE$48)),Detalle_24m!BE$48,INDEX(Precio_V,7)*INDEX(IdxPrecio_V,1,MIN(10,BE$173)))*(1+V_dPrecio))</f>
        <v>0</v>
      </c>
      <c r="BF208" s="48" t="n">
        <f aca="false">IF(BF$8=1,IF(Reales!$C$44="PYG",IF(BF$10&gt;0,N(Reales!BF44)/BF$10,0),N(Reales!BF44)),BF$183*IF(AND(AND(53&gt;Corte,53&lt;=Corte+n_Ventana),ISNUMBER(Detalle_24m!BF$48)),Detalle_24m!BF$48,INDEX(Precio_V,7)*INDEX(IdxPrecio_V,1,MIN(10,BF$173)))*(1+V_dPrecio))</f>
        <v>0</v>
      </c>
      <c r="BG208" s="48" t="n">
        <f aca="false">IF(BG$8=1,IF(Reales!$C$44="PYG",IF(BG$10&gt;0,N(Reales!BG44)/BG$10,0),N(Reales!BG44)),BG$183*IF(AND(AND(54&gt;Corte,54&lt;=Corte+n_Ventana),ISNUMBER(Detalle_24m!BG$48)),Detalle_24m!BG$48,INDEX(Precio_V,7)*INDEX(IdxPrecio_V,1,MIN(10,BG$173)))*(1+V_dPrecio))</f>
        <v>0</v>
      </c>
      <c r="BH208" s="48" t="n">
        <f aca="false">IF(BH$8=1,IF(Reales!$C$44="PYG",IF(BH$10&gt;0,N(Reales!BH44)/BH$10,0),N(Reales!BH44)),BH$183*IF(AND(AND(55&gt;Corte,55&lt;=Corte+n_Ventana),ISNUMBER(Detalle_24m!BH$48)),Detalle_24m!BH$48,INDEX(Precio_V,7)*INDEX(IdxPrecio_V,1,MIN(10,BH$173)))*(1+V_dPrecio))</f>
        <v>0</v>
      </c>
      <c r="BI208" s="48" t="n">
        <f aca="false">IF(BI$8=1,IF(Reales!$C$44="PYG",IF(BI$10&gt;0,N(Reales!BI44)/BI$10,0),N(Reales!BI44)),BI$183*IF(AND(AND(56&gt;Corte,56&lt;=Corte+n_Ventana),ISNUMBER(Detalle_24m!BI$48)),Detalle_24m!BI$48,INDEX(Precio_V,7)*INDEX(IdxPrecio_V,1,MIN(10,BI$173)))*(1+V_dPrecio))</f>
        <v>0</v>
      </c>
      <c r="BJ208" s="48" t="n">
        <f aca="false">IF(BJ$8=1,IF(Reales!$C$44="PYG",IF(BJ$10&gt;0,N(Reales!BJ44)/BJ$10,0),N(Reales!BJ44)),BJ$183*IF(AND(AND(57&gt;Corte,57&lt;=Corte+n_Ventana),ISNUMBER(Detalle_24m!BJ$48)),Detalle_24m!BJ$48,INDEX(Precio_V,7)*INDEX(IdxPrecio_V,1,MIN(10,BJ$173)))*(1+V_dPrecio))</f>
        <v>0</v>
      </c>
      <c r="BK208" s="48" t="n">
        <f aca="false">IF(BK$8=1,IF(Reales!$C$44="PYG",IF(BK$10&gt;0,N(Reales!BK44)/BK$10,0),N(Reales!BK44)),BK$183*IF(AND(AND(58&gt;Corte,58&lt;=Corte+n_Ventana),ISNUMBER(Detalle_24m!BK$48)),Detalle_24m!BK$48,INDEX(Precio_V,7)*INDEX(IdxPrecio_V,1,MIN(10,BK$173)))*(1+V_dPrecio))</f>
        <v>0</v>
      </c>
      <c r="BL208" s="48" t="n">
        <f aca="false">IF(BL$8=1,IF(Reales!$C$44="PYG",IF(BL$10&gt;0,N(Reales!BL44)/BL$10,0),N(Reales!BL44)),BL$183*IF(AND(AND(59&gt;Corte,59&lt;=Corte+n_Ventana),ISNUMBER(Detalle_24m!BL$48)),Detalle_24m!BL$48,INDEX(Precio_V,7)*INDEX(IdxPrecio_V,1,MIN(10,BL$173)))*(1+V_dPrecio))</f>
        <v>0</v>
      </c>
      <c r="BM208" s="48" t="n">
        <f aca="false">IF(BM$8=1,IF(Reales!$C$44="PYG",IF(BM$10&gt;0,N(Reales!BM44)/BM$10,0),N(Reales!BM44)),BM$183*IF(AND(AND(60&gt;Corte,60&lt;=Corte+n_Ventana),ISNUMBER(Detalle_24m!BM$48)),Detalle_24m!BM$48,INDEX(Precio_V,7)*INDEX(IdxPrecio_V,1,MIN(10,BM$173)))*(1+V_dPrecio))</f>
        <v>0</v>
      </c>
      <c r="BN208" s="48" t="n">
        <f aca="false">IF(BN$8=1,IF(Reales!$C$44="PYG",IF(BN$10&gt;0,N(Reales!BN44)/BN$10,0),N(Reales!BN44)),BN$183*IF(AND(AND(61&gt;Corte,61&lt;=Corte+n_Ventana),ISNUMBER(Detalle_24m!BN$48)),Detalle_24m!BN$48,INDEX(Precio_V,7)*INDEX(IdxPrecio_V,1,MIN(10,BN$173)))*(1+V_dPrecio))</f>
        <v>0</v>
      </c>
      <c r="BO208" s="48" t="n">
        <f aca="false">IF(BO$8=1,IF(Reales!$C$44="PYG",IF(BO$10&gt;0,N(Reales!BO44)/BO$10,0),N(Reales!BO44)),BO$183*IF(AND(AND(62&gt;Corte,62&lt;=Corte+n_Ventana),ISNUMBER(Detalle_24m!BO$48)),Detalle_24m!BO$48,INDEX(Precio_V,7)*INDEX(IdxPrecio_V,1,MIN(10,BO$173)))*(1+V_dPrecio))</f>
        <v>0</v>
      </c>
      <c r="BP208" s="48" t="n">
        <f aca="false">IF(BP$8=1,IF(Reales!$C$44="PYG",IF(BP$10&gt;0,N(Reales!BP44)/BP$10,0),N(Reales!BP44)),BP$183*IF(AND(AND(63&gt;Corte,63&lt;=Corte+n_Ventana),ISNUMBER(Detalle_24m!BP$48)),Detalle_24m!BP$48,INDEX(Precio_V,7)*INDEX(IdxPrecio_V,1,MIN(10,BP$173)))*(1+V_dPrecio))</f>
        <v>0</v>
      </c>
      <c r="BQ208" s="48" t="n">
        <f aca="false">IF(BQ$8=1,IF(Reales!$C$44="PYG",IF(BQ$10&gt;0,N(Reales!BQ44)/BQ$10,0),N(Reales!BQ44)),BQ$183*IF(AND(AND(64&gt;Corte,64&lt;=Corte+n_Ventana),ISNUMBER(Detalle_24m!BQ$48)),Detalle_24m!BQ$48,INDEX(Precio_V,7)*INDEX(IdxPrecio_V,1,MIN(10,BQ$173)))*(1+V_dPrecio))</f>
        <v>0</v>
      </c>
      <c r="BR208" s="48" t="n">
        <f aca="false">IF(BR$8=1,IF(Reales!$C$44="PYG",IF(BR$10&gt;0,N(Reales!BR44)/BR$10,0),N(Reales!BR44)),BR$183*IF(AND(AND(65&gt;Corte,65&lt;=Corte+n_Ventana),ISNUMBER(Detalle_24m!BR$48)),Detalle_24m!BR$48,INDEX(Precio_V,7)*INDEX(IdxPrecio_V,1,MIN(10,BR$173)))*(1+V_dPrecio))</f>
        <v>0</v>
      </c>
      <c r="BS208" s="48" t="n">
        <f aca="false">IF(BS$8=1,IF(Reales!$C$44="PYG",IF(BS$10&gt;0,N(Reales!BS44)/BS$10,0),N(Reales!BS44)),BS$183*IF(AND(AND(66&gt;Corte,66&lt;=Corte+n_Ventana),ISNUMBER(Detalle_24m!BS$48)),Detalle_24m!BS$48,INDEX(Precio_V,7)*INDEX(IdxPrecio_V,1,MIN(10,BS$173)))*(1+V_dPrecio))</f>
        <v>0</v>
      </c>
      <c r="BT208" s="48" t="n">
        <f aca="false">IF(BT$8=1,IF(Reales!$C$44="PYG",IF(BT$10&gt;0,N(Reales!BT44)/BT$10,0),N(Reales!BT44)),BT$183*IF(AND(AND(67&gt;Corte,67&lt;=Corte+n_Ventana),ISNUMBER(Detalle_24m!BT$48)),Detalle_24m!BT$48,INDEX(Precio_V,7)*INDEX(IdxPrecio_V,1,MIN(10,BT$173)))*(1+V_dPrecio))</f>
        <v>0</v>
      </c>
      <c r="BU208" s="48" t="n">
        <f aca="false">IF(BU$8=1,IF(Reales!$C$44="PYG",IF(BU$10&gt;0,N(Reales!BU44)/BU$10,0),N(Reales!BU44)),BU$183*IF(AND(AND(68&gt;Corte,68&lt;=Corte+n_Ventana),ISNUMBER(Detalle_24m!BU$48)),Detalle_24m!BU$48,INDEX(Precio_V,7)*INDEX(IdxPrecio_V,1,MIN(10,BU$173)))*(1+V_dPrecio))</f>
        <v>0</v>
      </c>
      <c r="BV208" s="48" t="n">
        <f aca="false">IF(BV$8=1,IF(Reales!$C$44="PYG",IF(BV$10&gt;0,N(Reales!BV44)/BV$10,0),N(Reales!BV44)),BV$183*IF(AND(AND(69&gt;Corte,69&lt;=Corte+n_Ventana),ISNUMBER(Detalle_24m!BV$48)),Detalle_24m!BV$48,INDEX(Precio_V,7)*INDEX(IdxPrecio_V,1,MIN(10,BV$173)))*(1+V_dPrecio))</f>
        <v>0</v>
      </c>
      <c r="BW208" s="48" t="n">
        <f aca="false">IF(BW$8=1,IF(Reales!$C$44="PYG",IF(BW$10&gt;0,N(Reales!BW44)/BW$10,0),N(Reales!BW44)),BW$183*IF(AND(AND(70&gt;Corte,70&lt;=Corte+n_Ventana),ISNUMBER(Detalle_24m!BW$48)),Detalle_24m!BW$48,INDEX(Precio_V,7)*INDEX(IdxPrecio_V,1,MIN(10,BW$173)))*(1+V_dPrecio))</f>
        <v>0</v>
      </c>
      <c r="BX208" s="48" t="n">
        <f aca="false">IF(BX$8=1,IF(Reales!$C$44="PYG",IF(BX$10&gt;0,N(Reales!BX44)/BX$10,0),N(Reales!BX44)),BX$183*IF(AND(AND(71&gt;Corte,71&lt;=Corte+n_Ventana),ISNUMBER(Detalle_24m!BX$48)),Detalle_24m!BX$48,INDEX(Precio_V,7)*INDEX(IdxPrecio_V,1,MIN(10,BX$173)))*(1+V_dPrecio))</f>
        <v>0</v>
      </c>
      <c r="BY208" s="48" t="n">
        <f aca="false">IF(BY$8=1,IF(Reales!$C$44="PYG",IF(BY$10&gt;0,N(Reales!BY44)/BY$10,0),N(Reales!BY44)),BY$183*IF(AND(AND(72&gt;Corte,72&lt;=Corte+n_Ventana),ISNUMBER(Detalle_24m!BY$48)),Detalle_24m!BY$48,INDEX(Precio_V,7)*INDEX(IdxPrecio_V,1,MIN(10,BY$173)))*(1+V_dPrecio))</f>
        <v>0</v>
      </c>
      <c r="BZ208" s="48" t="n">
        <f aca="false">IF(BZ$8=1,IF(Reales!$C$44="PYG",IF(BZ$10&gt;0,N(Reales!BZ44)/BZ$10,0),N(Reales!BZ44)),BZ$183*IF(AND(AND(73&gt;Corte,73&lt;=Corte+n_Ventana),ISNUMBER(Detalle_24m!BZ$48)),Detalle_24m!BZ$48,INDEX(Precio_V,7)*INDEX(IdxPrecio_V,1,MIN(10,BZ$173)))*(1+V_dPrecio))</f>
        <v>0</v>
      </c>
      <c r="CA208" s="48" t="n">
        <f aca="false">IF(CA$8=1,IF(Reales!$C$44="PYG",IF(CA$10&gt;0,N(Reales!CA44)/CA$10,0),N(Reales!CA44)),CA$183*IF(AND(AND(74&gt;Corte,74&lt;=Corte+n_Ventana),ISNUMBER(Detalle_24m!CA$48)),Detalle_24m!CA$48,INDEX(Precio_V,7)*INDEX(IdxPrecio_V,1,MIN(10,CA$173)))*(1+V_dPrecio))</f>
        <v>0</v>
      </c>
      <c r="CB208" s="48" t="n">
        <f aca="false">IF(CB$8=1,IF(Reales!$C$44="PYG",IF(CB$10&gt;0,N(Reales!CB44)/CB$10,0),N(Reales!CB44)),CB$183*IF(AND(AND(75&gt;Corte,75&lt;=Corte+n_Ventana),ISNUMBER(Detalle_24m!CB$48)),Detalle_24m!CB$48,INDEX(Precio_V,7)*INDEX(IdxPrecio_V,1,MIN(10,CB$173)))*(1+V_dPrecio))</f>
        <v>0</v>
      </c>
      <c r="CC208" s="48" t="n">
        <f aca="false">IF(CC$8=1,IF(Reales!$C$44="PYG",IF(CC$10&gt;0,N(Reales!CC44)/CC$10,0),N(Reales!CC44)),CC$183*IF(AND(AND(76&gt;Corte,76&lt;=Corte+n_Ventana),ISNUMBER(Detalle_24m!CC$48)),Detalle_24m!CC$48,INDEX(Precio_V,7)*INDEX(IdxPrecio_V,1,MIN(10,CC$173)))*(1+V_dPrecio))</f>
        <v>0</v>
      </c>
      <c r="CD208" s="48" t="n">
        <f aca="false">IF(CD$8=1,IF(Reales!$C$44="PYG",IF(CD$10&gt;0,N(Reales!CD44)/CD$10,0),N(Reales!CD44)),CD$183*IF(AND(AND(77&gt;Corte,77&lt;=Corte+n_Ventana),ISNUMBER(Detalle_24m!CD$48)),Detalle_24m!CD$48,INDEX(Precio_V,7)*INDEX(IdxPrecio_V,1,MIN(10,CD$173)))*(1+V_dPrecio))</f>
        <v>0</v>
      </c>
      <c r="CE208" s="48" t="n">
        <f aca="false">IF(CE$8=1,IF(Reales!$C$44="PYG",IF(CE$10&gt;0,N(Reales!CE44)/CE$10,0),N(Reales!CE44)),CE$183*IF(AND(AND(78&gt;Corte,78&lt;=Corte+n_Ventana),ISNUMBER(Detalle_24m!CE$48)),Detalle_24m!CE$48,INDEX(Precio_V,7)*INDEX(IdxPrecio_V,1,MIN(10,CE$173)))*(1+V_dPrecio))</f>
        <v>0</v>
      </c>
      <c r="CF208" s="48" t="n">
        <f aca="false">IF(CF$8=1,IF(Reales!$C$44="PYG",IF(CF$10&gt;0,N(Reales!CF44)/CF$10,0),N(Reales!CF44)),CF$183*IF(AND(AND(79&gt;Corte,79&lt;=Corte+n_Ventana),ISNUMBER(Detalle_24m!CF$48)),Detalle_24m!CF$48,INDEX(Precio_V,7)*INDEX(IdxPrecio_V,1,MIN(10,CF$173)))*(1+V_dPrecio))</f>
        <v>0</v>
      </c>
      <c r="CG208" s="48" t="n">
        <f aca="false">IF(CG$8=1,IF(Reales!$C$44="PYG",IF(CG$10&gt;0,N(Reales!CG44)/CG$10,0),N(Reales!CG44)),CG$183*IF(AND(AND(80&gt;Corte,80&lt;=Corte+n_Ventana),ISNUMBER(Detalle_24m!CG$48)),Detalle_24m!CG$48,INDEX(Precio_V,7)*INDEX(IdxPrecio_V,1,MIN(10,CG$173)))*(1+V_dPrecio))</f>
        <v>0</v>
      </c>
      <c r="CH208" s="48" t="n">
        <f aca="false">IF(CH$8=1,IF(Reales!$C$44="PYG",IF(CH$10&gt;0,N(Reales!CH44)/CH$10,0),N(Reales!CH44)),CH$183*IF(AND(AND(81&gt;Corte,81&lt;=Corte+n_Ventana),ISNUMBER(Detalle_24m!CH$48)),Detalle_24m!CH$48,INDEX(Precio_V,7)*INDEX(IdxPrecio_V,1,MIN(10,CH$173)))*(1+V_dPrecio))</f>
        <v>0</v>
      </c>
      <c r="CI208" s="48" t="n">
        <f aca="false">IF(CI$8=1,IF(Reales!$C$44="PYG",IF(CI$10&gt;0,N(Reales!CI44)/CI$10,0),N(Reales!CI44)),CI$183*IF(AND(AND(82&gt;Corte,82&lt;=Corte+n_Ventana),ISNUMBER(Detalle_24m!CI$48)),Detalle_24m!CI$48,INDEX(Precio_V,7)*INDEX(IdxPrecio_V,1,MIN(10,CI$173)))*(1+V_dPrecio))</f>
        <v>0</v>
      </c>
      <c r="CJ208" s="48" t="n">
        <f aca="false">IF(CJ$8=1,IF(Reales!$C$44="PYG",IF(CJ$10&gt;0,N(Reales!CJ44)/CJ$10,0),N(Reales!CJ44)),CJ$183*IF(AND(AND(83&gt;Corte,83&lt;=Corte+n_Ventana),ISNUMBER(Detalle_24m!CJ$48)),Detalle_24m!CJ$48,INDEX(Precio_V,7)*INDEX(IdxPrecio_V,1,MIN(10,CJ$173)))*(1+V_dPrecio))</f>
        <v>0</v>
      </c>
      <c r="CK208" s="48" t="n">
        <f aca="false">IF(CK$8=1,IF(Reales!$C$44="PYG",IF(CK$10&gt;0,N(Reales!CK44)/CK$10,0),N(Reales!CK44)),CK$183*IF(AND(AND(84&gt;Corte,84&lt;=Corte+n_Ventana),ISNUMBER(Detalle_24m!CK$48)),Detalle_24m!CK$48,INDEX(Precio_V,7)*INDEX(IdxPrecio_V,1,MIN(10,CK$173)))*(1+V_dPrecio))</f>
        <v>0</v>
      </c>
      <c r="CL208" s="48" t="n">
        <f aca="false">IF(CL$8=1,IF(Reales!$C$44="PYG",IF(CL$10&gt;0,N(Reales!CL44)/CL$10,0),N(Reales!CL44)),CL$183*IF(AND(AND(85&gt;Corte,85&lt;=Corte+n_Ventana),ISNUMBER(Detalle_24m!CL$48)),Detalle_24m!CL$48,INDEX(Precio_V,7)*INDEX(IdxPrecio_V,1,MIN(10,CL$173)))*(1+V_dPrecio))</f>
        <v>0</v>
      </c>
      <c r="CM208" s="48" t="n">
        <f aca="false">IF(CM$8=1,IF(Reales!$C$44="PYG",IF(CM$10&gt;0,N(Reales!CM44)/CM$10,0),N(Reales!CM44)),CM$183*IF(AND(AND(86&gt;Corte,86&lt;=Corte+n_Ventana),ISNUMBER(Detalle_24m!CM$48)),Detalle_24m!CM$48,INDEX(Precio_V,7)*INDEX(IdxPrecio_V,1,MIN(10,CM$173)))*(1+V_dPrecio))</f>
        <v>0</v>
      </c>
      <c r="CN208" s="48" t="n">
        <f aca="false">IF(CN$8=1,IF(Reales!$C$44="PYG",IF(CN$10&gt;0,N(Reales!CN44)/CN$10,0),N(Reales!CN44)),CN$183*IF(AND(AND(87&gt;Corte,87&lt;=Corte+n_Ventana),ISNUMBER(Detalle_24m!CN$48)),Detalle_24m!CN$48,INDEX(Precio_V,7)*INDEX(IdxPrecio_V,1,MIN(10,CN$173)))*(1+V_dPrecio))</f>
        <v>0</v>
      </c>
      <c r="CO208" s="48" t="n">
        <f aca="false">IF(CO$8=1,IF(Reales!$C$44="PYG",IF(CO$10&gt;0,N(Reales!CO44)/CO$10,0),N(Reales!CO44)),CO$183*IF(AND(AND(88&gt;Corte,88&lt;=Corte+n_Ventana),ISNUMBER(Detalle_24m!CO$48)),Detalle_24m!CO$48,INDEX(Precio_V,7)*INDEX(IdxPrecio_V,1,MIN(10,CO$173)))*(1+V_dPrecio))</f>
        <v>0</v>
      </c>
      <c r="CP208" s="48" t="n">
        <f aca="false">IF(CP$8=1,IF(Reales!$C$44="PYG",IF(CP$10&gt;0,N(Reales!CP44)/CP$10,0),N(Reales!CP44)),CP$183*IF(AND(AND(89&gt;Corte,89&lt;=Corte+n_Ventana),ISNUMBER(Detalle_24m!CP$48)),Detalle_24m!CP$48,INDEX(Precio_V,7)*INDEX(IdxPrecio_V,1,MIN(10,CP$173)))*(1+V_dPrecio))</f>
        <v>0</v>
      </c>
      <c r="CQ208" s="48" t="n">
        <f aca="false">IF(CQ$8=1,IF(Reales!$C$44="PYG",IF(CQ$10&gt;0,N(Reales!CQ44)/CQ$10,0),N(Reales!CQ44)),CQ$183*IF(AND(AND(90&gt;Corte,90&lt;=Corte+n_Ventana),ISNUMBER(Detalle_24m!CQ$48)),Detalle_24m!CQ$48,INDEX(Precio_V,7)*INDEX(IdxPrecio_V,1,MIN(10,CQ$173)))*(1+V_dPrecio))</f>
        <v>0</v>
      </c>
      <c r="CR208" s="48" t="n">
        <f aca="false">IF(CR$8=1,IF(Reales!$C$44="PYG",IF(CR$10&gt;0,N(Reales!CR44)/CR$10,0),N(Reales!CR44)),CR$183*IF(AND(AND(91&gt;Corte,91&lt;=Corte+n_Ventana),ISNUMBER(Detalle_24m!CR$48)),Detalle_24m!CR$48,INDEX(Precio_V,7)*INDEX(IdxPrecio_V,1,MIN(10,CR$173)))*(1+V_dPrecio))</f>
        <v>0</v>
      </c>
      <c r="CS208" s="48" t="n">
        <f aca="false">IF(CS$8=1,IF(Reales!$C$44="PYG",IF(CS$10&gt;0,N(Reales!CS44)/CS$10,0),N(Reales!CS44)),CS$183*IF(AND(AND(92&gt;Corte,92&lt;=Corte+n_Ventana),ISNUMBER(Detalle_24m!CS$48)),Detalle_24m!CS$48,INDEX(Precio_V,7)*INDEX(IdxPrecio_V,1,MIN(10,CS$173)))*(1+V_dPrecio))</f>
        <v>0</v>
      </c>
      <c r="CT208" s="48" t="n">
        <f aca="false">IF(CT$8=1,IF(Reales!$C$44="PYG",IF(CT$10&gt;0,N(Reales!CT44)/CT$10,0),N(Reales!CT44)),CT$183*IF(AND(AND(93&gt;Corte,93&lt;=Corte+n_Ventana),ISNUMBER(Detalle_24m!CT$48)),Detalle_24m!CT$48,INDEX(Precio_V,7)*INDEX(IdxPrecio_V,1,MIN(10,CT$173)))*(1+V_dPrecio))</f>
        <v>0</v>
      </c>
      <c r="CU208" s="48" t="n">
        <f aca="false">IF(CU$8=1,IF(Reales!$C$44="PYG",IF(CU$10&gt;0,N(Reales!CU44)/CU$10,0),N(Reales!CU44)),CU$183*IF(AND(AND(94&gt;Corte,94&lt;=Corte+n_Ventana),ISNUMBER(Detalle_24m!CU$48)),Detalle_24m!CU$48,INDEX(Precio_V,7)*INDEX(IdxPrecio_V,1,MIN(10,CU$173)))*(1+V_dPrecio))</f>
        <v>0</v>
      </c>
      <c r="CV208" s="48" t="n">
        <f aca="false">IF(CV$8=1,IF(Reales!$C$44="PYG",IF(CV$10&gt;0,N(Reales!CV44)/CV$10,0),N(Reales!CV44)),CV$183*IF(AND(AND(95&gt;Corte,95&lt;=Corte+n_Ventana),ISNUMBER(Detalle_24m!CV$48)),Detalle_24m!CV$48,INDEX(Precio_V,7)*INDEX(IdxPrecio_V,1,MIN(10,CV$173)))*(1+V_dPrecio))</f>
        <v>0</v>
      </c>
      <c r="CW208" s="48" t="n">
        <f aca="false">IF(CW$8=1,IF(Reales!$C$44="PYG",IF(CW$10&gt;0,N(Reales!CW44)/CW$10,0),N(Reales!CW44)),CW$183*IF(AND(AND(96&gt;Corte,96&lt;=Corte+n_Ventana),ISNUMBER(Detalle_24m!CW$48)),Detalle_24m!CW$48,INDEX(Precio_V,7)*INDEX(IdxPrecio_V,1,MIN(10,CW$173)))*(1+V_dPrecio))</f>
        <v>0</v>
      </c>
      <c r="CX208" s="48" t="n">
        <f aca="false">IF(CX$8=1,IF(Reales!$C$44="PYG",IF(CX$10&gt;0,N(Reales!CX44)/CX$10,0),N(Reales!CX44)),CX$183*IF(AND(AND(97&gt;Corte,97&lt;=Corte+n_Ventana),ISNUMBER(Detalle_24m!CX$48)),Detalle_24m!CX$48,INDEX(Precio_V,7)*INDEX(IdxPrecio_V,1,MIN(10,CX$173)))*(1+V_dPrecio))</f>
        <v>0</v>
      </c>
      <c r="CY208" s="48" t="n">
        <f aca="false">IF(CY$8=1,IF(Reales!$C$44="PYG",IF(CY$10&gt;0,N(Reales!CY44)/CY$10,0),N(Reales!CY44)),CY$183*IF(AND(AND(98&gt;Corte,98&lt;=Corte+n_Ventana),ISNUMBER(Detalle_24m!CY$48)),Detalle_24m!CY$48,INDEX(Precio_V,7)*INDEX(IdxPrecio_V,1,MIN(10,CY$173)))*(1+V_dPrecio))</f>
        <v>0</v>
      </c>
      <c r="CZ208" s="48" t="n">
        <f aca="false">IF(CZ$8=1,IF(Reales!$C$44="PYG",IF(CZ$10&gt;0,N(Reales!CZ44)/CZ$10,0),N(Reales!CZ44)),CZ$183*IF(AND(AND(99&gt;Corte,99&lt;=Corte+n_Ventana),ISNUMBER(Detalle_24m!CZ$48)),Detalle_24m!CZ$48,INDEX(Precio_V,7)*INDEX(IdxPrecio_V,1,MIN(10,CZ$173)))*(1+V_dPrecio))</f>
        <v>0</v>
      </c>
      <c r="DA208" s="48" t="n">
        <f aca="false">IF(DA$8=1,IF(Reales!$C$44="PYG",IF(DA$10&gt;0,N(Reales!DA44)/DA$10,0),N(Reales!DA44)),DA$183*IF(AND(AND(100&gt;Corte,100&lt;=Corte+n_Ventana),ISNUMBER(Detalle_24m!DA$48)),Detalle_24m!DA$48,INDEX(Precio_V,7)*INDEX(IdxPrecio_V,1,MIN(10,DA$173)))*(1+V_dPrecio))</f>
        <v>0</v>
      </c>
      <c r="DB208" s="48" t="n">
        <f aca="false">IF(DB$8=1,IF(Reales!$C$44="PYG",IF(DB$10&gt;0,N(Reales!DB44)/DB$10,0),N(Reales!DB44)),DB$183*IF(AND(AND(101&gt;Corte,101&lt;=Corte+n_Ventana),ISNUMBER(Detalle_24m!DB$48)),Detalle_24m!DB$48,INDEX(Precio_V,7)*INDEX(IdxPrecio_V,1,MIN(10,DB$173)))*(1+V_dPrecio))</f>
        <v>0</v>
      </c>
      <c r="DC208" s="48" t="n">
        <f aca="false">IF(DC$8=1,IF(Reales!$C$44="PYG",IF(DC$10&gt;0,N(Reales!DC44)/DC$10,0),N(Reales!DC44)),DC$183*IF(AND(AND(102&gt;Corte,102&lt;=Corte+n_Ventana),ISNUMBER(Detalle_24m!DC$48)),Detalle_24m!DC$48,INDEX(Precio_V,7)*INDEX(IdxPrecio_V,1,MIN(10,DC$173)))*(1+V_dPrecio))</f>
        <v>0</v>
      </c>
      <c r="DD208" s="48" t="n">
        <f aca="false">IF(DD$8=1,IF(Reales!$C$44="PYG",IF(DD$10&gt;0,N(Reales!DD44)/DD$10,0),N(Reales!DD44)),DD$183*IF(AND(AND(103&gt;Corte,103&lt;=Corte+n_Ventana),ISNUMBER(Detalle_24m!DD$48)),Detalle_24m!DD$48,INDEX(Precio_V,7)*INDEX(IdxPrecio_V,1,MIN(10,DD$173)))*(1+V_dPrecio))</f>
        <v>0</v>
      </c>
      <c r="DE208" s="48" t="n">
        <f aca="false">IF(DE$8=1,IF(Reales!$C$44="PYG",IF(DE$10&gt;0,N(Reales!DE44)/DE$10,0),N(Reales!DE44)),DE$183*IF(AND(AND(104&gt;Corte,104&lt;=Corte+n_Ventana),ISNUMBER(Detalle_24m!DE$48)),Detalle_24m!DE$48,INDEX(Precio_V,7)*INDEX(IdxPrecio_V,1,MIN(10,DE$173)))*(1+V_dPrecio))</f>
        <v>0</v>
      </c>
      <c r="DF208" s="48" t="n">
        <f aca="false">IF(DF$8=1,IF(Reales!$C$44="PYG",IF(DF$10&gt;0,N(Reales!DF44)/DF$10,0),N(Reales!DF44)),DF$183*IF(AND(AND(105&gt;Corte,105&lt;=Corte+n_Ventana),ISNUMBER(Detalle_24m!DF$48)),Detalle_24m!DF$48,INDEX(Precio_V,7)*INDEX(IdxPrecio_V,1,MIN(10,DF$173)))*(1+V_dPrecio))</f>
        <v>0</v>
      </c>
      <c r="DG208" s="48" t="n">
        <f aca="false">IF(DG$8=1,IF(Reales!$C$44="PYG",IF(DG$10&gt;0,N(Reales!DG44)/DG$10,0),N(Reales!DG44)),DG$183*IF(AND(AND(106&gt;Corte,106&lt;=Corte+n_Ventana),ISNUMBER(Detalle_24m!DG$48)),Detalle_24m!DG$48,INDEX(Precio_V,7)*INDEX(IdxPrecio_V,1,MIN(10,DG$173)))*(1+V_dPrecio))</f>
        <v>0</v>
      </c>
      <c r="DH208" s="48" t="n">
        <f aca="false">IF(DH$8=1,IF(Reales!$C$44="PYG",IF(DH$10&gt;0,N(Reales!DH44)/DH$10,0),N(Reales!DH44)),DH$183*IF(AND(AND(107&gt;Corte,107&lt;=Corte+n_Ventana),ISNUMBER(Detalle_24m!DH$48)),Detalle_24m!DH$48,INDEX(Precio_V,7)*INDEX(IdxPrecio_V,1,MIN(10,DH$173)))*(1+V_dPrecio))</f>
        <v>0</v>
      </c>
      <c r="DI208" s="48" t="n">
        <f aca="false">IF(DI$8=1,IF(Reales!$C$44="PYG",IF(DI$10&gt;0,N(Reales!DI44)/DI$10,0),N(Reales!DI44)),DI$183*IF(AND(AND(108&gt;Corte,108&lt;=Corte+n_Ventana),ISNUMBER(Detalle_24m!DI$48)),Detalle_24m!DI$48,INDEX(Precio_V,7)*INDEX(IdxPrecio_V,1,MIN(10,DI$173)))*(1+V_dPrecio))</f>
        <v>0</v>
      </c>
      <c r="DJ208" s="48" t="n">
        <f aca="false">IF(DJ$8=1,IF(Reales!$C$44="PYG",IF(DJ$10&gt;0,N(Reales!DJ44)/DJ$10,0),N(Reales!DJ44)),DJ$183*IF(AND(AND(109&gt;Corte,109&lt;=Corte+n_Ventana),ISNUMBER(Detalle_24m!DJ$48)),Detalle_24m!DJ$48,INDEX(Precio_V,7)*INDEX(IdxPrecio_V,1,MIN(10,DJ$173)))*(1+V_dPrecio))</f>
        <v>0</v>
      </c>
      <c r="DK208" s="48" t="n">
        <f aca="false">IF(DK$8=1,IF(Reales!$C$44="PYG",IF(DK$10&gt;0,N(Reales!DK44)/DK$10,0),N(Reales!DK44)),DK$183*IF(AND(AND(110&gt;Corte,110&lt;=Corte+n_Ventana),ISNUMBER(Detalle_24m!DK$48)),Detalle_24m!DK$48,INDEX(Precio_V,7)*INDEX(IdxPrecio_V,1,MIN(10,DK$173)))*(1+V_dPrecio))</f>
        <v>0</v>
      </c>
      <c r="DL208" s="48" t="n">
        <f aca="false">IF(DL$8=1,IF(Reales!$C$44="PYG",IF(DL$10&gt;0,N(Reales!DL44)/DL$10,0),N(Reales!DL44)),DL$183*IF(AND(AND(111&gt;Corte,111&lt;=Corte+n_Ventana),ISNUMBER(Detalle_24m!DL$48)),Detalle_24m!DL$48,INDEX(Precio_V,7)*INDEX(IdxPrecio_V,1,MIN(10,DL$173)))*(1+V_dPrecio))</f>
        <v>0</v>
      </c>
      <c r="DM208" s="48" t="n">
        <f aca="false">IF(DM$8=1,IF(Reales!$C$44="PYG",IF(DM$10&gt;0,N(Reales!DM44)/DM$10,0),N(Reales!DM44)),DM$183*IF(AND(AND(112&gt;Corte,112&lt;=Corte+n_Ventana),ISNUMBER(Detalle_24m!DM$48)),Detalle_24m!DM$48,INDEX(Precio_V,7)*INDEX(IdxPrecio_V,1,MIN(10,DM$173)))*(1+V_dPrecio))</f>
        <v>0</v>
      </c>
      <c r="DN208" s="48" t="n">
        <f aca="false">IF(DN$8=1,IF(Reales!$C$44="PYG",IF(DN$10&gt;0,N(Reales!DN44)/DN$10,0),N(Reales!DN44)),DN$183*IF(AND(AND(113&gt;Corte,113&lt;=Corte+n_Ventana),ISNUMBER(Detalle_24m!DN$48)),Detalle_24m!DN$48,INDEX(Precio_V,7)*INDEX(IdxPrecio_V,1,MIN(10,DN$173)))*(1+V_dPrecio))</f>
        <v>0</v>
      </c>
      <c r="DO208" s="48" t="n">
        <f aca="false">IF(DO$8=1,IF(Reales!$C$44="PYG",IF(DO$10&gt;0,N(Reales!DO44)/DO$10,0),N(Reales!DO44)),DO$183*IF(AND(AND(114&gt;Corte,114&lt;=Corte+n_Ventana),ISNUMBER(Detalle_24m!DO$48)),Detalle_24m!DO$48,INDEX(Precio_V,7)*INDEX(IdxPrecio_V,1,MIN(10,DO$173)))*(1+V_dPrecio))</f>
        <v>0</v>
      </c>
      <c r="DP208" s="48" t="n">
        <f aca="false">IF(DP$8=1,IF(Reales!$C$44="PYG",IF(DP$10&gt;0,N(Reales!DP44)/DP$10,0),N(Reales!DP44)),DP$183*IF(AND(AND(115&gt;Corte,115&lt;=Corte+n_Ventana),ISNUMBER(Detalle_24m!DP$48)),Detalle_24m!DP$48,INDEX(Precio_V,7)*INDEX(IdxPrecio_V,1,MIN(10,DP$173)))*(1+V_dPrecio))</f>
        <v>0</v>
      </c>
      <c r="DQ208" s="48" t="n">
        <f aca="false">IF(DQ$8=1,IF(Reales!$C$44="PYG",IF(DQ$10&gt;0,N(Reales!DQ44)/DQ$10,0),N(Reales!DQ44)),DQ$183*IF(AND(AND(116&gt;Corte,116&lt;=Corte+n_Ventana),ISNUMBER(Detalle_24m!DQ$48)),Detalle_24m!DQ$48,INDEX(Precio_V,7)*INDEX(IdxPrecio_V,1,MIN(10,DQ$173)))*(1+V_dPrecio))</f>
        <v>0</v>
      </c>
      <c r="DR208" s="48" t="n">
        <f aca="false">IF(DR$8=1,IF(Reales!$C$44="PYG",IF(DR$10&gt;0,N(Reales!DR44)/DR$10,0),N(Reales!DR44)),DR$183*IF(AND(AND(117&gt;Corte,117&lt;=Corte+n_Ventana),ISNUMBER(Detalle_24m!DR$48)),Detalle_24m!DR$48,INDEX(Precio_V,7)*INDEX(IdxPrecio_V,1,MIN(10,DR$173)))*(1+V_dPrecio))</f>
        <v>0</v>
      </c>
      <c r="DS208" s="48" t="n">
        <f aca="false">IF(DS$8=1,IF(Reales!$C$44="PYG",IF(DS$10&gt;0,N(Reales!DS44)/DS$10,0),N(Reales!DS44)),DS$183*IF(AND(AND(118&gt;Corte,118&lt;=Corte+n_Ventana),ISNUMBER(Detalle_24m!DS$48)),Detalle_24m!DS$48,INDEX(Precio_V,7)*INDEX(IdxPrecio_V,1,MIN(10,DS$173)))*(1+V_dPrecio))</f>
        <v>0</v>
      </c>
      <c r="DT208" s="48" t="n">
        <f aca="false">IF(DT$8=1,IF(Reales!$C$44="PYG",IF(DT$10&gt;0,N(Reales!DT44)/DT$10,0),N(Reales!DT44)),DT$183*IF(AND(AND(119&gt;Corte,119&lt;=Corte+n_Ventana),ISNUMBER(Detalle_24m!DT$48)),Detalle_24m!DT$48,INDEX(Precio_V,7)*INDEX(IdxPrecio_V,1,MIN(10,DT$173)))*(1+V_dPrecio))</f>
        <v>0</v>
      </c>
      <c r="DU208" s="48" t="n">
        <f aca="false">IF(DU$8=1,IF(Reales!$C$44="PYG",IF(DU$10&gt;0,N(Reales!DU44)/DU$10,0),N(Reales!DU44)),DU$183*IF(AND(AND(120&gt;Corte,120&lt;=Corte+n_Ventana),ISNUMBER(Detalle_24m!DU$48)),Detalle_24m!DU$48,INDEX(Precio_V,7)*INDEX(IdxPrecio_V,1,MIN(10,DU$173)))*(1+V_dPrecio))</f>
        <v>0</v>
      </c>
      <c r="DV208" s="48" t="n">
        <f aca="false">IF(DV$8=1,IF(Reales!$C$44="PYG",IF(DV$10&gt;0,N(Reales!DV44)/DV$10,0),N(Reales!DV44)),DV$183*IF(AND(AND(121&gt;Corte,121&lt;=Corte+n_Ventana),ISNUMBER(Detalle_24m!DV$48)),Detalle_24m!DV$48,INDEX(Precio_V,7)*INDEX(IdxPrecio_V,1,MIN(10,DV$173)))*(1+V_dPrecio))</f>
        <v>0</v>
      </c>
      <c r="DW208" s="48" t="n">
        <f aca="false">IF(DW$8=1,IF(Reales!$C$44="PYG",IF(DW$10&gt;0,N(Reales!DW44)/DW$10,0),N(Reales!DW44)),DW$183*IF(AND(AND(122&gt;Corte,122&lt;=Corte+n_Ventana),ISNUMBER(Detalle_24m!DW$48)),Detalle_24m!DW$48,INDEX(Precio_V,7)*INDEX(IdxPrecio_V,1,MIN(10,DW$173)))*(1+V_dPrecio))</f>
        <v>0</v>
      </c>
      <c r="DX208" s="48" t="n">
        <f aca="false">IF(DX$8=1,IF(Reales!$C$44="PYG",IF(DX$10&gt;0,N(Reales!DX44)/DX$10,0),N(Reales!DX44)),DX$183*IF(AND(AND(123&gt;Corte,123&lt;=Corte+n_Ventana),ISNUMBER(Detalle_24m!DX$48)),Detalle_24m!DX$48,INDEX(Precio_V,7)*INDEX(IdxPrecio_V,1,MIN(10,DX$173)))*(1+V_dPrecio))</f>
        <v>0</v>
      </c>
      <c r="DY208" s="48" t="n">
        <f aca="false">IF(DY$8=1,IF(Reales!$C$44="PYG",IF(DY$10&gt;0,N(Reales!DY44)/DY$10,0),N(Reales!DY44)),DY$183*IF(AND(AND(124&gt;Corte,124&lt;=Corte+n_Ventana),ISNUMBER(Detalle_24m!DY$48)),Detalle_24m!DY$48,INDEX(Precio_V,7)*INDEX(IdxPrecio_V,1,MIN(10,DY$173)))*(1+V_dPrecio))</f>
        <v>0</v>
      </c>
      <c r="DZ208" s="48" t="n">
        <f aca="false">IF(DZ$8=1,IF(Reales!$C$44="PYG",IF(DZ$10&gt;0,N(Reales!DZ44)/DZ$10,0),N(Reales!DZ44)),DZ$183*IF(AND(AND(125&gt;Corte,125&lt;=Corte+n_Ventana),ISNUMBER(Detalle_24m!DZ$48)),Detalle_24m!DZ$48,INDEX(Precio_V,7)*INDEX(IdxPrecio_V,1,MIN(10,DZ$173)))*(1+V_dPrecio))</f>
        <v>0</v>
      </c>
      <c r="EA208" s="48" t="n">
        <f aca="false">IF(EA$8=1,IF(Reales!$C$44="PYG",IF(EA$10&gt;0,N(Reales!EA44)/EA$10,0),N(Reales!EA44)),EA$183*IF(AND(AND(126&gt;Corte,126&lt;=Corte+n_Ventana),ISNUMBER(Detalle_24m!EA$48)),Detalle_24m!EA$48,INDEX(Precio_V,7)*INDEX(IdxPrecio_V,1,MIN(10,EA$173)))*(1+V_dPrecio))</f>
        <v>0</v>
      </c>
      <c r="EB208" s="48" t="n">
        <f aca="false">IF(EB$8=1,IF(Reales!$C$44="PYG",IF(EB$10&gt;0,N(Reales!EB44)/EB$10,0),N(Reales!EB44)),EB$183*IF(AND(AND(127&gt;Corte,127&lt;=Corte+n_Ventana),ISNUMBER(Detalle_24m!EB$48)),Detalle_24m!EB$48,INDEX(Precio_V,7)*INDEX(IdxPrecio_V,1,MIN(10,EB$173)))*(1+V_dPrecio))</f>
        <v>0</v>
      </c>
      <c r="EC208" s="48" t="n">
        <f aca="false">IF(EC$8=1,IF(Reales!$C$44="PYG",IF(EC$10&gt;0,N(Reales!EC44)/EC$10,0),N(Reales!EC44)),EC$183*IF(AND(AND(128&gt;Corte,128&lt;=Corte+n_Ventana),ISNUMBER(Detalle_24m!EC$48)),Detalle_24m!EC$48,INDEX(Precio_V,7)*INDEX(IdxPrecio_V,1,MIN(10,EC$173)))*(1+V_dPrecio))</f>
        <v>0</v>
      </c>
      <c r="ED208" s="48" t="n">
        <f aca="false">IF(ED$8=1,IF(Reales!$C$44="PYG",IF(ED$10&gt;0,N(Reales!ED44)/ED$10,0),N(Reales!ED44)),ED$183*IF(AND(AND(129&gt;Corte,129&lt;=Corte+n_Ventana),ISNUMBER(Detalle_24m!ED$48)),Detalle_24m!ED$48,INDEX(Precio_V,7)*INDEX(IdxPrecio_V,1,MIN(10,ED$173)))*(1+V_dPrecio))</f>
        <v>0</v>
      </c>
      <c r="EE208" s="48" t="n">
        <f aca="false">IF(EE$8=1,IF(Reales!$C$44="PYG",IF(EE$10&gt;0,N(Reales!EE44)/EE$10,0),N(Reales!EE44)),EE$183*IF(AND(AND(130&gt;Corte,130&lt;=Corte+n_Ventana),ISNUMBER(Detalle_24m!EE$48)),Detalle_24m!EE$48,INDEX(Precio_V,7)*INDEX(IdxPrecio_V,1,MIN(10,EE$173)))*(1+V_dPrecio))</f>
        <v>0</v>
      </c>
      <c r="EF208" s="48" t="n">
        <f aca="false">IF(EF$8=1,IF(Reales!$C$44="PYG",IF(EF$10&gt;0,N(Reales!EF44)/EF$10,0),N(Reales!EF44)),EF$183*IF(AND(AND(131&gt;Corte,131&lt;=Corte+n_Ventana),ISNUMBER(Detalle_24m!EF$48)),Detalle_24m!EF$48,INDEX(Precio_V,7)*INDEX(IdxPrecio_V,1,MIN(10,EF$173)))*(1+V_dPrecio))</f>
        <v>0</v>
      </c>
      <c r="EG208" s="48" t="n">
        <f aca="false">IF(EG$8=1,IF(Reales!$C$44="PYG",IF(EG$10&gt;0,N(Reales!EG44)/EG$10,0),N(Reales!EG44)),EG$183*IF(AND(AND(132&gt;Corte,132&lt;=Corte+n_Ventana),ISNUMBER(Detalle_24m!EG$48)),Detalle_24m!EG$48,INDEX(Precio_V,7)*INDEX(IdxPrecio_V,1,MIN(10,EG$173)))*(1+V_dPrecio))</f>
        <v>0</v>
      </c>
      <c r="EH208" s="48" t="n">
        <f aca="false">IF(EH$8=1,IF(Reales!$C$44="PYG",IF(EH$10&gt;0,N(Reales!EH44)/EH$10,0),N(Reales!EH44)),EH$183*IF(AND(AND(133&gt;Corte,133&lt;=Corte+n_Ventana),ISNUMBER(Detalle_24m!EH$48)),Detalle_24m!EH$48,INDEX(Precio_V,7)*INDEX(IdxPrecio_V,1,MIN(10,EH$173)))*(1+V_dPrecio))</f>
        <v>0</v>
      </c>
      <c r="EI208" s="48" t="n">
        <f aca="false">IF(EI$8=1,IF(Reales!$C$44="PYG",IF(EI$10&gt;0,N(Reales!EI44)/EI$10,0),N(Reales!EI44)),EI$183*IF(AND(AND(134&gt;Corte,134&lt;=Corte+n_Ventana),ISNUMBER(Detalle_24m!EI$48)),Detalle_24m!EI$48,INDEX(Precio_V,7)*INDEX(IdxPrecio_V,1,MIN(10,EI$173)))*(1+V_dPrecio))</f>
        <v>0</v>
      </c>
      <c r="EJ208" s="48" t="n">
        <f aca="false">IF(EJ$8=1,IF(Reales!$C$44="PYG",IF(EJ$10&gt;0,N(Reales!EJ44)/EJ$10,0),N(Reales!EJ44)),EJ$183*IF(AND(AND(135&gt;Corte,135&lt;=Corte+n_Ventana),ISNUMBER(Detalle_24m!EJ$48)),Detalle_24m!EJ$48,INDEX(Precio_V,7)*INDEX(IdxPrecio_V,1,MIN(10,EJ$173)))*(1+V_dPrecio))</f>
        <v>0</v>
      </c>
      <c r="EK208" s="48" t="n">
        <f aca="false">IF(EK$8=1,IF(Reales!$C$44="PYG",IF(EK$10&gt;0,N(Reales!EK44)/EK$10,0),N(Reales!EK44)),EK$183*IF(AND(AND(136&gt;Corte,136&lt;=Corte+n_Ventana),ISNUMBER(Detalle_24m!EK$48)),Detalle_24m!EK$48,INDEX(Precio_V,7)*INDEX(IdxPrecio_V,1,MIN(10,EK$173)))*(1+V_dPrecio))</f>
        <v>0</v>
      </c>
      <c r="EL208" s="48" t="n">
        <f aca="false">IF(EL$8=1,IF(Reales!$C$44="PYG",IF(EL$10&gt;0,N(Reales!EL44)/EL$10,0),N(Reales!EL44)),EL$183*IF(AND(AND(137&gt;Corte,137&lt;=Corte+n_Ventana),ISNUMBER(Detalle_24m!EL$48)),Detalle_24m!EL$48,INDEX(Precio_V,7)*INDEX(IdxPrecio_V,1,MIN(10,EL$173)))*(1+V_dPrecio))</f>
        <v>0</v>
      </c>
      <c r="EM208" s="48" t="n">
        <f aca="false">IF(EM$8=1,IF(Reales!$C$44="PYG",IF(EM$10&gt;0,N(Reales!EM44)/EM$10,0),N(Reales!EM44)),EM$183*IF(AND(AND(138&gt;Corte,138&lt;=Corte+n_Ventana),ISNUMBER(Detalle_24m!EM$48)),Detalle_24m!EM$48,INDEX(Precio_V,7)*INDEX(IdxPrecio_V,1,MIN(10,EM$173)))*(1+V_dPrecio))</f>
        <v>0</v>
      </c>
      <c r="EN208" s="48" t="n">
        <f aca="false">IF(EN$8=1,IF(Reales!$C$44="PYG",IF(EN$10&gt;0,N(Reales!EN44)/EN$10,0),N(Reales!EN44)),EN$183*IF(AND(AND(139&gt;Corte,139&lt;=Corte+n_Ventana),ISNUMBER(Detalle_24m!EN$48)),Detalle_24m!EN$48,INDEX(Precio_V,7)*INDEX(IdxPrecio_V,1,MIN(10,EN$173)))*(1+V_dPrecio))</f>
        <v>0</v>
      </c>
      <c r="EO208" s="48" t="n">
        <f aca="false">IF(EO$8=1,IF(Reales!$C$44="PYG",IF(EO$10&gt;0,N(Reales!EO44)/EO$10,0),N(Reales!EO44)),EO$183*IF(AND(AND(140&gt;Corte,140&lt;=Corte+n_Ventana),ISNUMBER(Detalle_24m!EO$48)),Detalle_24m!EO$48,INDEX(Precio_V,7)*INDEX(IdxPrecio_V,1,MIN(10,EO$173)))*(1+V_dPrecio))</f>
        <v>0</v>
      </c>
      <c r="EP208" s="48" t="n">
        <f aca="false">IF(EP$8=1,IF(Reales!$C$44="PYG",IF(EP$10&gt;0,N(Reales!EP44)/EP$10,0),N(Reales!EP44)),EP$183*IF(AND(AND(141&gt;Corte,141&lt;=Corte+n_Ventana),ISNUMBER(Detalle_24m!EP$48)),Detalle_24m!EP$48,INDEX(Precio_V,7)*INDEX(IdxPrecio_V,1,MIN(10,EP$173)))*(1+V_dPrecio))</f>
        <v>0</v>
      </c>
      <c r="EQ208" s="48" t="n">
        <f aca="false">IF(EQ$8=1,IF(Reales!$C$44="PYG",IF(EQ$10&gt;0,N(Reales!EQ44)/EQ$10,0),N(Reales!EQ44)),EQ$183*IF(AND(AND(142&gt;Corte,142&lt;=Corte+n_Ventana),ISNUMBER(Detalle_24m!EQ$48)),Detalle_24m!EQ$48,INDEX(Precio_V,7)*INDEX(IdxPrecio_V,1,MIN(10,EQ$173)))*(1+V_dPrecio))</f>
        <v>0</v>
      </c>
      <c r="ER208" s="48" t="n">
        <f aca="false">IF(ER$8=1,IF(Reales!$C$44="PYG",IF(ER$10&gt;0,N(Reales!ER44)/ER$10,0),N(Reales!ER44)),ER$183*IF(AND(AND(143&gt;Corte,143&lt;=Corte+n_Ventana),ISNUMBER(Detalle_24m!ER$48)),Detalle_24m!ER$48,INDEX(Precio_V,7)*INDEX(IdxPrecio_V,1,MIN(10,ER$173)))*(1+V_dPrecio))</f>
        <v>0</v>
      </c>
      <c r="ES208" s="48" t="n">
        <f aca="false">IF(ES$8=1,IF(Reales!$C$44="PYG",IF(ES$10&gt;0,N(Reales!ES44)/ES$10,0),N(Reales!ES44)),ES$183*IF(AND(AND(144&gt;Corte,144&lt;=Corte+n_Ventana),ISNUMBER(Detalle_24m!ES$48)),Detalle_24m!ES$48,INDEX(Precio_V,7)*INDEX(IdxPrecio_V,1,MIN(10,ES$173)))*(1+V_dPrecio))</f>
        <v>0</v>
      </c>
    </row>
    <row r="209" customFormat="false" ht="15" hidden="false" customHeight="false" outlineLevel="0" collapsed="false">
      <c r="A209" s="11" t="s">
        <v>1332</v>
      </c>
      <c r="B209" s="53" t="str">
        <f aca="false">IF(INDEX(Prod_Nombre,8)="","Producto 8",INDEX(Prod_Nombre,8))&amp;" — ventas USD"</f>
        <v>Producto 8 — ventas USD</v>
      </c>
      <c r="C209" s="15" t="s">
        <v>508</v>
      </c>
      <c r="E209" s="54" t="n">
        <f aca="false">SUM(F209:ES209)</f>
        <v>0</v>
      </c>
      <c r="F209" s="48" t="n">
        <f aca="false">IF(F$8=1,IF(Reales!$C$45="PYG",IF(F$10&gt;0,N(Reales!F45)/F$10,0),N(Reales!F45)),F$184*IF(AND(AND(1&gt;Corte,1&lt;=Corte+n_Ventana),ISNUMBER(Detalle_24m!F$49)),Detalle_24m!F$49,INDEX(Precio_V,8)*INDEX(IdxPrecio_V,1,MIN(10,F$173)))*(1+V_dPrecio))</f>
        <v>0</v>
      </c>
      <c r="G209" s="48" t="n">
        <f aca="false">IF(G$8=1,IF(Reales!$C$45="PYG",IF(G$10&gt;0,N(Reales!G45)/G$10,0),N(Reales!G45)),G$184*IF(AND(AND(2&gt;Corte,2&lt;=Corte+n_Ventana),ISNUMBER(Detalle_24m!G$49)),Detalle_24m!G$49,INDEX(Precio_V,8)*INDEX(IdxPrecio_V,1,MIN(10,G$173)))*(1+V_dPrecio))</f>
        <v>0</v>
      </c>
      <c r="H209" s="48" t="n">
        <f aca="false">IF(H$8=1,IF(Reales!$C$45="PYG",IF(H$10&gt;0,N(Reales!H45)/H$10,0),N(Reales!H45)),H$184*IF(AND(AND(3&gt;Corte,3&lt;=Corte+n_Ventana),ISNUMBER(Detalle_24m!H$49)),Detalle_24m!H$49,INDEX(Precio_V,8)*INDEX(IdxPrecio_V,1,MIN(10,H$173)))*(1+V_dPrecio))</f>
        <v>0</v>
      </c>
      <c r="I209" s="48" t="n">
        <f aca="false">IF(I$8=1,IF(Reales!$C$45="PYG",IF(I$10&gt;0,N(Reales!I45)/I$10,0),N(Reales!I45)),I$184*IF(AND(AND(4&gt;Corte,4&lt;=Corte+n_Ventana),ISNUMBER(Detalle_24m!I$49)),Detalle_24m!I$49,INDEX(Precio_V,8)*INDEX(IdxPrecio_V,1,MIN(10,I$173)))*(1+V_dPrecio))</f>
        <v>0</v>
      </c>
      <c r="J209" s="48" t="n">
        <f aca="false">IF(J$8=1,IF(Reales!$C$45="PYG",IF(J$10&gt;0,N(Reales!J45)/J$10,0),N(Reales!J45)),J$184*IF(AND(AND(5&gt;Corte,5&lt;=Corte+n_Ventana),ISNUMBER(Detalle_24m!J$49)),Detalle_24m!J$49,INDEX(Precio_V,8)*INDEX(IdxPrecio_V,1,MIN(10,J$173)))*(1+V_dPrecio))</f>
        <v>0</v>
      </c>
      <c r="K209" s="48" t="n">
        <f aca="false">IF(K$8=1,IF(Reales!$C$45="PYG",IF(K$10&gt;0,N(Reales!K45)/K$10,0),N(Reales!K45)),K$184*IF(AND(AND(6&gt;Corte,6&lt;=Corte+n_Ventana),ISNUMBER(Detalle_24m!K$49)),Detalle_24m!K$49,INDEX(Precio_V,8)*INDEX(IdxPrecio_V,1,MIN(10,K$173)))*(1+V_dPrecio))</f>
        <v>0</v>
      </c>
      <c r="L209" s="48" t="n">
        <f aca="false">IF(L$8=1,IF(Reales!$C$45="PYG",IF(L$10&gt;0,N(Reales!L45)/L$10,0),N(Reales!L45)),L$184*IF(AND(AND(7&gt;Corte,7&lt;=Corte+n_Ventana),ISNUMBER(Detalle_24m!L$49)),Detalle_24m!L$49,INDEX(Precio_V,8)*INDEX(IdxPrecio_V,1,MIN(10,L$173)))*(1+V_dPrecio))</f>
        <v>0</v>
      </c>
      <c r="M209" s="48" t="n">
        <f aca="false">IF(M$8=1,IF(Reales!$C$45="PYG",IF(M$10&gt;0,N(Reales!M45)/M$10,0),N(Reales!M45)),M$184*IF(AND(AND(8&gt;Corte,8&lt;=Corte+n_Ventana),ISNUMBER(Detalle_24m!M$49)),Detalle_24m!M$49,INDEX(Precio_V,8)*INDEX(IdxPrecio_V,1,MIN(10,M$173)))*(1+V_dPrecio))</f>
        <v>0</v>
      </c>
      <c r="N209" s="48" t="n">
        <f aca="false">IF(N$8=1,IF(Reales!$C$45="PYG",IF(N$10&gt;0,N(Reales!N45)/N$10,0),N(Reales!N45)),N$184*IF(AND(AND(9&gt;Corte,9&lt;=Corte+n_Ventana),ISNUMBER(Detalle_24m!N$49)),Detalle_24m!N$49,INDEX(Precio_V,8)*INDEX(IdxPrecio_V,1,MIN(10,N$173)))*(1+V_dPrecio))</f>
        <v>0</v>
      </c>
      <c r="O209" s="48" t="n">
        <f aca="false">IF(O$8=1,IF(Reales!$C$45="PYG",IF(O$10&gt;0,N(Reales!O45)/O$10,0),N(Reales!O45)),O$184*IF(AND(AND(10&gt;Corte,10&lt;=Corte+n_Ventana),ISNUMBER(Detalle_24m!O$49)),Detalle_24m!O$49,INDEX(Precio_V,8)*INDEX(IdxPrecio_V,1,MIN(10,O$173)))*(1+V_dPrecio))</f>
        <v>0</v>
      </c>
      <c r="P209" s="48" t="n">
        <f aca="false">IF(P$8=1,IF(Reales!$C$45="PYG",IF(P$10&gt;0,N(Reales!P45)/P$10,0),N(Reales!P45)),P$184*IF(AND(AND(11&gt;Corte,11&lt;=Corte+n_Ventana),ISNUMBER(Detalle_24m!P$49)),Detalle_24m!P$49,INDEX(Precio_V,8)*INDEX(IdxPrecio_V,1,MIN(10,P$173)))*(1+V_dPrecio))</f>
        <v>0</v>
      </c>
      <c r="Q209" s="48" t="n">
        <f aca="false">IF(Q$8=1,IF(Reales!$C$45="PYG",IF(Q$10&gt;0,N(Reales!Q45)/Q$10,0),N(Reales!Q45)),Q$184*IF(AND(AND(12&gt;Corte,12&lt;=Corte+n_Ventana),ISNUMBER(Detalle_24m!Q$49)),Detalle_24m!Q$49,INDEX(Precio_V,8)*INDEX(IdxPrecio_V,1,MIN(10,Q$173)))*(1+V_dPrecio))</f>
        <v>0</v>
      </c>
      <c r="R209" s="48" t="n">
        <f aca="false">IF(R$8=1,IF(Reales!$C$45="PYG",IF(R$10&gt;0,N(Reales!R45)/R$10,0),N(Reales!R45)),R$184*IF(AND(AND(13&gt;Corte,13&lt;=Corte+n_Ventana),ISNUMBER(Detalle_24m!R$49)),Detalle_24m!R$49,INDEX(Precio_V,8)*INDEX(IdxPrecio_V,1,MIN(10,R$173)))*(1+V_dPrecio))</f>
        <v>0</v>
      </c>
      <c r="S209" s="48" t="n">
        <f aca="false">IF(S$8=1,IF(Reales!$C$45="PYG",IF(S$10&gt;0,N(Reales!S45)/S$10,0),N(Reales!S45)),S$184*IF(AND(AND(14&gt;Corte,14&lt;=Corte+n_Ventana),ISNUMBER(Detalle_24m!S$49)),Detalle_24m!S$49,INDEX(Precio_V,8)*INDEX(IdxPrecio_V,1,MIN(10,S$173)))*(1+V_dPrecio))</f>
        <v>0</v>
      </c>
      <c r="T209" s="48" t="n">
        <f aca="false">IF(T$8=1,IF(Reales!$C$45="PYG",IF(T$10&gt;0,N(Reales!T45)/T$10,0),N(Reales!T45)),T$184*IF(AND(AND(15&gt;Corte,15&lt;=Corte+n_Ventana),ISNUMBER(Detalle_24m!T$49)),Detalle_24m!T$49,INDEX(Precio_V,8)*INDEX(IdxPrecio_V,1,MIN(10,T$173)))*(1+V_dPrecio))</f>
        <v>0</v>
      </c>
      <c r="U209" s="48" t="n">
        <f aca="false">IF(U$8=1,IF(Reales!$C$45="PYG",IF(U$10&gt;0,N(Reales!U45)/U$10,0),N(Reales!U45)),U$184*IF(AND(AND(16&gt;Corte,16&lt;=Corte+n_Ventana),ISNUMBER(Detalle_24m!U$49)),Detalle_24m!U$49,INDEX(Precio_V,8)*INDEX(IdxPrecio_V,1,MIN(10,U$173)))*(1+V_dPrecio))</f>
        <v>0</v>
      </c>
      <c r="V209" s="48" t="n">
        <f aca="false">IF(V$8=1,IF(Reales!$C$45="PYG",IF(V$10&gt;0,N(Reales!V45)/V$10,0),N(Reales!V45)),V$184*IF(AND(AND(17&gt;Corte,17&lt;=Corte+n_Ventana),ISNUMBER(Detalle_24m!V$49)),Detalle_24m!V$49,INDEX(Precio_V,8)*INDEX(IdxPrecio_V,1,MIN(10,V$173)))*(1+V_dPrecio))</f>
        <v>0</v>
      </c>
      <c r="W209" s="48" t="n">
        <f aca="false">IF(W$8=1,IF(Reales!$C$45="PYG",IF(W$10&gt;0,N(Reales!W45)/W$10,0),N(Reales!W45)),W$184*IF(AND(AND(18&gt;Corte,18&lt;=Corte+n_Ventana),ISNUMBER(Detalle_24m!W$49)),Detalle_24m!W$49,INDEX(Precio_V,8)*INDEX(IdxPrecio_V,1,MIN(10,W$173)))*(1+V_dPrecio))</f>
        <v>0</v>
      </c>
      <c r="X209" s="48" t="n">
        <f aca="false">IF(X$8=1,IF(Reales!$C$45="PYG",IF(X$10&gt;0,N(Reales!X45)/X$10,0),N(Reales!X45)),X$184*IF(AND(AND(19&gt;Corte,19&lt;=Corte+n_Ventana),ISNUMBER(Detalle_24m!X$49)),Detalle_24m!X$49,INDEX(Precio_V,8)*INDEX(IdxPrecio_V,1,MIN(10,X$173)))*(1+V_dPrecio))</f>
        <v>0</v>
      </c>
      <c r="Y209" s="48" t="n">
        <f aca="false">IF(Y$8=1,IF(Reales!$C$45="PYG",IF(Y$10&gt;0,N(Reales!Y45)/Y$10,0),N(Reales!Y45)),Y$184*IF(AND(AND(20&gt;Corte,20&lt;=Corte+n_Ventana),ISNUMBER(Detalle_24m!Y$49)),Detalle_24m!Y$49,INDEX(Precio_V,8)*INDEX(IdxPrecio_V,1,MIN(10,Y$173)))*(1+V_dPrecio))</f>
        <v>0</v>
      </c>
      <c r="Z209" s="48" t="n">
        <f aca="false">IF(Z$8=1,IF(Reales!$C$45="PYG",IF(Z$10&gt;0,N(Reales!Z45)/Z$10,0),N(Reales!Z45)),Z$184*IF(AND(AND(21&gt;Corte,21&lt;=Corte+n_Ventana),ISNUMBER(Detalle_24m!Z$49)),Detalle_24m!Z$49,INDEX(Precio_V,8)*INDEX(IdxPrecio_V,1,MIN(10,Z$173)))*(1+V_dPrecio))</f>
        <v>0</v>
      </c>
      <c r="AA209" s="48" t="n">
        <f aca="false">IF(AA$8=1,IF(Reales!$C$45="PYG",IF(AA$10&gt;0,N(Reales!AA45)/AA$10,0),N(Reales!AA45)),AA$184*IF(AND(AND(22&gt;Corte,22&lt;=Corte+n_Ventana),ISNUMBER(Detalle_24m!AA$49)),Detalle_24m!AA$49,INDEX(Precio_V,8)*INDEX(IdxPrecio_V,1,MIN(10,AA$173)))*(1+V_dPrecio))</f>
        <v>0</v>
      </c>
      <c r="AB209" s="48" t="n">
        <f aca="false">IF(AB$8=1,IF(Reales!$C$45="PYG",IF(AB$10&gt;0,N(Reales!AB45)/AB$10,0),N(Reales!AB45)),AB$184*IF(AND(AND(23&gt;Corte,23&lt;=Corte+n_Ventana),ISNUMBER(Detalle_24m!AB$49)),Detalle_24m!AB$49,INDEX(Precio_V,8)*INDEX(IdxPrecio_V,1,MIN(10,AB$173)))*(1+V_dPrecio))</f>
        <v>0</v>
      </c>
      <c r="AC209" s="48" t="n">
        <f aca="false">IF(AC$8=1,IF(Reales!$C$45="PYG",IF(AC$10&gt;0,N(Reales!AC45)/AC$10,0),N(Reales!AC45)),AC$184*IF(AND(AND(24&gt;Corte,24&lt;=Corte+n_Ventana),ISNUMBER(Detalle_24m!AC$49)),Detalle_24m!AC$49,INDEX(Precio_V,8)*INDEX(IdxPrecio_V,1,MIN(10,AC$173)))*(1+V_dPrecio))</f>
        <v>0</v>
      </c>
      <c r="AD209" s="48" t="n">
        <f aca="false">IF(AD$8=1,IF(Reales!$C$45="PYG",IF(AD$10&gt;0,N(Reales!AD45)/AD$10,0),N(Reales!AD45)),AD$184*IF(AND(AND(25&gt;Corte,25&lt;=Corte+n_Ventana),ISNUMBER(Detalle_24m!AD$49)),Detalle_24m!AD$49,INDEX(Precio_V,8)*INDEX(IdxPrecio_V,1,MIN(10,AD$173)))*(1+V_dPrecio))</f>
        <v>0</v>
      </c>
      <c r="AE209" s="48" t="n">
        <f aca="false">IF(AE$8=1,IF(Reales!$C$45="PYG",IF(AE$10&gt;0,N(Reales!AE45)/AE$10,0),N(Reales!AE45)),AE$184*IF(AND(AND(26&gt;Corte,26&lt;=Corte+n_Ventana),ISNUMBER(Detalle_24m!AE$49)),Detalle_24m!AE$49,INDEX(Precio_V,8)*INDEX(IdxPrecio_V,1,MIN(10,AE$173)))*(1+V_dPrecio))</f>
        <v>0</v>
      </c>
      <c r="AF209" s="48" t="n">
        <f aca="false">IF(AF$8=1,IF(Reales!$C$45="PYG",IF(AF$10&gt;0,N(Reales!AF45)/AF$10,0),N(Reales!AF45)),AF$184*IF(AND(AND(27&gt;Corte,27&lt;=Corte+n_Ventana),ISNUMBER(Detalle_24m!AF$49)),Detalle_24m!AF$49,INDEX(Precio_V,8)*INDEX(IdxPrecio_V,1,MIN(10,AF$173)))*(1+V_dPrecio))</f>
        <v>0</v>
      </c>
      <c r="AG209" s="48" t="n">
        <f aca="false">IF(AG$8=1,IF(Reales!$C$45="PYG",IF(AG$10&gt;0,N(Reales!AG45)/AG$10,0),N(Reales!AG45)),AG$184*IF(AND(AND(28&gt;Corte,28&lt;=Corte+n_Ventana),ISNUMBER(Detalle_24m!AG$49)),Detalle_24m!AG$49,INDEX(Precio_V,8)*INDEX(IdxPrecio_V,1,MIN(10,AG$173)))*(1+V_dPrecio))</f>
        <v>0</v>
      </c>
      <c r="AH209" s="48" t="n">
        <f aca="false">IF(AH$8=1,IF(Reales!$C$45="PYG",IF(AH$10&gt;0,N(Reales!AH45)/AH$10,0),N(Reales!AH45)),AH$184*IF(AND(AND(29&gt;Corte,29&lt;=Corte+n_Ventana),ISNUMBER(Detalle_24m!AH$49)),Detalle_24m!AH$49,INDEX(Precio_V,8)*INDEX(IdxPrecio_V,1,MIN(10,AH$173)))*(1+V_dPrecio))</f>
        <v>0</v>
      </c>
      <c r="AI209" s="48" t="n">
        <f aca="false">IF(AI$8=1,IF(Reales!$C$45="PYG",IF(AI$10&gt;0,N(Reales!AI45)/AI$10,0),N(Reales!AI45)),AI$184*IF(AND(AND(30&gt;Corte,30&lt;=Corte+n_Ventana),ISNUMBER(Detalle_24m!AI$49)),Detalle_24m!AI$49,INDEX(Precio_V,8)*INDEX(IdxPrecio_V,1,MIN(10,AI$173)))*(1+V_dPrecio))</f>
        <v>0</v>
      </c>
      <c r="AJ209" s="48" t="n">
        <f aca="false">IF(AJ$8=1,IF(Reales!$C$45="PYG",IF(AJ$10&gt;0,N(Reales!AJ45)/AJ$10,0),N(Reales!AJ45)),AJ$184*IF(AND(AND(31&gt;Corte,31&lt;=Corte+n_Ventana),ISNUMBER(Detalle_24m!AJ$49)),Detalle_24m!AJ$49,INDEX(Precio_V,8)*INDEX(IdxPrecio_V,1,MIN(10,AJ$173)))*(1+V_dPrecio))</f>
        <v>0</v>
      </c>
      <c r="AK209" s="48" t="n">
        <f aca="false">IF(AK$8=1,IF(Reales!$C$45="PYG",IF(AK$10&gt;0,N(Reales!AK45)/AK$10,0),N(Reales!AK45)),AK$184*IF(AND(AND(32&gt;Corte,32&lt;=Corte+n_Ventana),ISNUMBER(Detalle_24m!AK$49)),Detalle_24m!AK$49,INDEX(Precio_V,8)*INDEX(IdxPrecio_V,1,MIN(10,AK$173)))*(1+V_dPrecio))</f>
        <v>0</v>
      </c>
      <c r="AL209" s="48" t="n">
        <f aca="false">IF(AL$8=1,IF(Reales!$C$45="PYG",IF(AL$10&gt;0,N(Reales!AL45)/AL$10,0),N(Reales!AL45)),AL$184*IF(AND(AND(33&gt;Corte,33&lt;=Corte+n_Ventana),ISNUMBER(Detalle_24m!AL$49)),Detalle_24m!AL$49,INDEX(Precio_V,8)*INDEX(IdxPrecio_V,1,MIN(10,AL$173)))*(1+V_dPrecio))</f>
        <v>0</v>
      </c>
      <c r="AM209" s="48" t="n">
        <f aca="false">IF(AM$8=1,IF(Reales!$C$45="PYG",IF(AM$10&gt;0,N(Reales!AM45)/AM$10,0),N(Reales!AM45)),AM$184*IF(AND(AND(34&gt;Corte,34&lt;=Corte+n_Ventana),ISNUMBER(Detalle_24m!AM$49)),Detalle_24m!AM$49,INDEX(Precio_V,8)*INDEX(IdxPrecio_V,1,MIN(10,AM$173)))*(1+V_dPrecio))</f>
        <v>0</v>
      </c>
      <c r="AN209" s="48" t="n">
        <f aca="false">IF(AN$8=1,IF(Reales!$C$45="PYG",IF(AN$10&gt;0,N(Reales!AN45)/AN$10,0),N(Reales!AN45)),AN$184*IF(AND(AND(35&gt;Corte,35&lt;=Corte+n_Ventana),ISNUMBER(Detalle_24m!AN$49)),Detalle_24m!AN$49,INDEX(Precio_V,8)*INDEX(IdxPrecio_V,1,MIN(10,AN$173)))*(1+V_dPrecio))</f>
        <v>0</v>
      </c>
      <c r="AO209" s="48" t="n">
        <f aca="false">IF(AO$8=1,IF(Reales!$C$45="PYG",IF(AO$10&gt;0,N(Reales!AO45)/AO$10,0),N(Reales!AO45)),AO$184*IF(AND(AND(36&gt;Corte,36&lt;=Corte+n_Ventana),ISNUMBER(Detalle_24m!AO$49)),Detalle_24m!AO$49,INDEX(Precio_V,8)*INDEX(IdxPrecio_V,1,MIN(10,AO$173)))*(1+V_dPrecio))</f>
        <v>0</v>
      </c>
      <c r="AP209" s="48" t="n">
        <f aca="false">IF(AP$8=1,IF(Reales!$C$45="PYG",IF(AP$10&gt;0,N(Reales!AP45)/AP$10,0),N(Reales!AP45)),AP$184*IF(AND(AND(37&gt;Corte,37&lt;=Corte+n_Ventana),ISNUMBER(Detalle_24m!AP$49)),Detalle_24m!AP$49,INDEX(Precio_V,8)*INDEX(IdxPrecio_V,1,MIN(10,AP$173)))*(1+V_dPrecio))</f>
        <v>0</v>
      </c>
      <c r="AQ209" s="48" t="n">
        <f aca="false">IF(AQ$8=1,IF(Reales!$C$45="PYG",IF(AQ$10&gt;0,N(Reales!AQ45)/AQ$10,0),N(Reales!AQ45)),AQ$184*IF(AND(AND(38&gt;Corte,38&lt;=Corte+n_Ventana),ISNUMBER(Detalle_24m!AQ$49)),Detalle_24m!AQ$49,INDEX(Precio_V,8)*INDEX(IdxPrecio_V,1,MIN(10,AQ$173)))*(1+V_dPrecio))</f>
        <v>0</v>
      </c>
      <c r="AR209" s="48" t="n">
        <f aca="false">IF(AR$8=1,IF(Reales!$C$45="PYG",IF(AR$10&gt;0,N(Reales!AR45)/AR$10,0),N(Reales!AR45)),AR$184*IF(AND(AND(39&gt;Corte,39&lt;=Corte+n_Ventana),ISNUMBER(Detalle_24m!AR$49)),Detalle_24m!AR$49,INDEX(Precio_V,8)*INDEX(IdxPrecio_V,1,MIN(10,AR$173)))*(1+V_dPrecio))</f>
        <v>0</v>
      </c>
      <c r="AS209" s="48" t="n">
        <f aca="false">IF(AS$8=1,IF(Reales!$C$45="PYG",IF(AS$10&gt;0,N(Reales!AS45)/AS$10,0),N(Reales!AS45)),AS$184*IF(AND(AND(40&gt;Corte,40&lt;=Corte+n_Ventana),ISNUMBER(Detalle_24m!AS$49)),Detalle_24m!AS$49,INDEX(Precio_V,8)*INDEX(IdxPrecio_V,1,MIN(10,AS$173)))*(1+V_dPrecio))</f>
        <v>0</v>
      </c>
      <c r="AT209" s="48" t="n">
        <f aca="false">IF(AT$8=1,IF(Reales!$C$45="PYG",IF(AT$10&gt;0,N(Reales!AT45)/AT$10,0),N(Reales!AT45)),AT$184*IF(AND(AND(41&gt;Corte,41&lt;=Corte+n_Ventana),ISNUMBER(Detalle_24m!AT$49)),Detalle_24m!AT$49,INDEX(Precio_V,8)*INDEX(IdxPrecio_V,1,MIN(10,AT$173)))*(1+V_dPrecio))</f>
        <v>0</v>
      </c>
      <c r="AU209" s="48" t="n">
        <f aca="false">IF(AU$8=1,IF(Reales!$C$45="PYG",IF(AU$10&gt;0,N(Reales!AU45)/AU$10,0),N(Reales!AU45)),AU$184*IF(AND(AND(42&gt;Corte,42&lt;=Corte+n_Ventana),ISNUMBER(Detalle_24m!AU$49)),Detalle_24m!AU$49,INDEX(Precio_V,8)*INDEX(IdxPrecio_V,1,MIN(10,AU$173)))*(1+V_dPrecio))</f>
        <v>0</v>
      </c>
      <c r="AV209" s="48" t="n">
        <f aca="false">IF(AV$8=1,IF(Reales!$C$45="PYG",IF(AV$10&gt;0,N(Reales!AV45)/AV$10,0),N(Reales!AV45)),AV$184*IF(AND(AND(43&gt;Corte,43&lt;=Corte+n_Ventana),ISNUMBER(Detalle_24m!AV$49)),Detalle_24m!AV$49,INDEX(Precio_V,8)*INDEX(IdxPrecio_V,1,MIN(10,AV$173)))*(1+V_dPrecio))</f>
        <v>0</v>
      </c>
      <c r="AW209" s="48" t="n">
        <f aca="false">IF(AW$8=1,IF(Reales!$C$45="PYG",IF(AW$10&gt;0,N(Reales!AW45)/AW$10,0),N(Reales!AW45)),AW$184*IF(AND(AND(44&gt;Corte,44&lt;=Corte+n_Ventana),ISNUMBER(Detalle_24m!AW$49)),Detalle_24m!AW$49,INDEX(Precio_V,8)*INDEX(IdxPrecio_V,1,MIN(10,AW$173)))*(1+V_dPrecio))</f>
        <v>0</v>
      </c>
      <c r="AX209" s="48" t="n">
        <f aca="false">IF(AX$8=1,IF(Reales!$C$45="PYG",IF(AX$10&gt;0,N(Reales!AX45)/AX$10,0),N(Reales!AX45)),AX$184*IF(AND(AND(45&gt;Corte,45&lt;=Corte+n_Ventana),ISNUMBER(Detalle_24m!AX$49)),Detalle_24m!AX$49,INDEX(Precio_V,8)*INDEX(IdxPrecio_V,1,MIN(10,AX$173)))*(1+V_dPrecio))</f>
        <v>0</v>
      </c>
      <c r="AY209" s="48" t="n">
        <f aca="false">IF(AY$8=1,IF(Reales!$C$45="PYG",IF(AY$10&gt;0,N(Reales!AY45)/AY$10,0),N(Reales!AY45)),AY$184*IF(AND(AND(46&gt;Corte,46&lt;=Corte+n_Ventana),ISNUMBER(Detalle_24m!AY$49)),Detalle_24m!AY$49,INDEX(Precio_V,8)*INDEX(IdxPrecio_V,1,MIN(10,AY$173)))*(1+V_dPrecio))</f>
        <v>0</v>
      </c>
      <c r="AZ209" s="48" t="n">
        <f aca="false">IF(AZ$8=1,IF(Reales!$C$45="PYG",IF(AZ$10&gt;0,N(Reales!AZ45)/AZ$10,0),N(Reales!AZ45)),AZ$184*IF(AND(AND(47&gt;Corte,47&lt;=Corte+n_Ventana),ISNUMBER(Detalle_24m!AZ$49)),Detalle_24m!AZ$49,INDEX(Precio_V,8)*INDEX(IdxPrecio_V,1,MIN(10,AZ$173)))*(1+V_dPrecio))</f>
        <v>0</v>
      </c>
      <c r="BA209" s="48" t="n">
        <f aca="false">IF(BA$8=1,IF(Reales!$C$45="PYG",IF(BA$10&gt;0,N(Reales!BA45)/BA$10,0),N(Reales!BA45)),BA$184*IF(AND(AND(48&gt;Corte,48&lt;=Corte+n_Ventana),ISNUMBER(Detalle_24m!BA$49)),Detalle_24m!BA$49,INDEX(Precio_V,8)*INDEX(IdxPrecio_V,1,MIN(10,BA$173)))*(1+V_dPrecio))</f>
        <v>0</v>
      </c>
      <c r="BB209" s="48" t="n">
        <f aca="false">IF(BB$8=1,IF(Reales!$C$45="PYG",IF(BB$10&gt;0,N(Reales!BB45)/BB$10,0),N(Reales!BB45)),BB$184*IF(AND(AND(49&gt;Corte,49&lt;=Corte+n_Ventana),ISNUMBER(Detalle_24m!BB$49)),Detalle_24m!BB$49,INDEX(Precio_V,8)*INDEX(IdxPrecio_V,1,MIN(10,BB$173)))*(1+V_dPrecio))</f>
        <v>0</v>
      </c>
      <c r="BC209" s="48" t="n">
        <f aca="false">IF(BC$8=1,IF(Reales!$C$45="PYG",IF(BC$10&gt;0,N(Reales!BC45)/BC$10,0),N(Reales!BC45)),BC$184*IF(AND(AND(50&gt;Corte,50&lt;=Corte+n_Ventana),ISNUMBER(Detalle_24m!BC$49)),Detalle_24m!BC$49,INDEX(Precio_V,8)*INDEX(IdxPrecio_V,1,MIN(10,BC$173)))*(1+V_dPrecio))</f>
        <v>0</v>
      </c>
      <c r="BD209" s="48" t="n">
        <f aca="false">IF(BD$8=1,IF(Reales!$C$45="PYG",IF(BD$10&gt;0,N(Reales!BD45)/BD$10,0),N(Reales!BD45)),BD$184*IF(AND(AND(51&gt;Corte,51&lt;=Corte+n_Ventana),ISNUMBER(Detalle_24m!BD$49)),Detalle_24m!BD$49,INDEX(Precio_V,8)*INDEX(IdxPrecio_V,1,MIN(10,BD$173)))*(1+V_dPrecio))</f>
        <v>0</v>
      </c>
      <c r="BE209" s="48" t="n">
        <f aca="false">IF(BE$8=1,IF(Reales!$C$45="PYG",IF(BE$10&gt;0,N(Reales!BE45)/BE$10,0),N(Reales!BE45)),BE$184*IF(AND(AND(52&gt;Corte,52&lt;=Corte+n_Ventana),ISNUMBER(Detalle_24m!BE$49)),Detalle_24m!BE$49,INDEX(Precio_V,8)*INDEX(IdxPrecio_V,1,MIN(10,BE$173)))*(1+V_dPrecio))</f>
        <v>0</v>
      </c>
      <c r="BF209" s="48" t="n">
        <f aca="false">IF(BF$8=1,IF(Reales!$C$45="PYG",IF(BF$10&gt;0,N(Reales!BF45)/BF$10,0),N(Reales!BF45)),BF$184*IF(AND(AND(53&gt;Corte,53&lt;=Corte+n_Ventana),ISNUMBER(Detalle_24m!BF$49)),Detalle_24m!BF$49,INDEX(Precio_V,8)*INDEX(IdxPrecio_V,1,MIN(10,BF$173)))*(1+V_dPrecio))</f>
        <v>0</v>
      </c>
      <c r="BG209" s="48" t="n">
        <f aca="false">IF(BG$8=1,IF(Reales!$C$45="PYG",IF(BG$10&gt;0,N(Reales!BG45)/BG$10,0),N(Reales!BG45)),BG$184*IF(AND(AND(54&gt;Corte,54&lt;=Corte+n_Ventana),ISNUMBER(Detalle_24m!BG$49)),Detalle_24m!BG$49,INDEX(Precio_V,8)*INDEX(IdxPrecio_V,1,MIN(10,BG$173)))*(1+V_dPrecio))</f>
        <v>0</v>
      </c>
      <c r="BH209" s="48" t="n">
        <f aca="false">IF(BH$8=1,IF(Reales!$C$45="PYG",IF(BH$10&gt;0,N(Reales!BH45)/BH$10,0),N(Reales!BH45)),BH$184*IF(AND(AND(55&gt;Corte,55&lt;=Corte+n_Ventana),ISNUMBER(Detalle_24m!BH$49)),Detalle_24m!BH$49,INDEX(Precio_V,8)*INDEX(IdxPrecio_V,1,MIN(10,BH$173)))*(1+V_dPrecio))</f>
        <v>0</v>
      </c>
      <c r="BI209" s="48" t="n">
        <f aca="false">IF(BI$8=1,IF(Reales!$C$45="PYG",IF(BI$10&gt;0,N(Reales!BI45)/BI$10,0),N(Reales!BI45)),BI$184*IF(AND(AND(56&gt;Corte,56&lt;=Corte+n_Ventana),ISNUMBER(Detalle_24m!BI$49)),Detalle_24m!BI$49,INDEX(Precio_V,8)*INDEX(IdxPrecio_V,1,MIN(10,BI$173)))*(1+V_dPrecio))</f>
        <v>0</v>
      </c>
      <c r="BJ209" s="48" t="n">
        <f aca="false">IF(BJ$8=1,IF(Reales!$C$45="PYG",IF(BJ$10&gt;0,N(Reales!BJ45)/BJ$10,0),N(Reales!BJ45)),BJ$184*IF(AND(AND(57&gt;Corte,57&lt;=Corte+n_Ventana),ISNUMBER(Detalle_24m!BJ$49)),Detalle_24m!BJ$49,INDEX(Precio_V,8)*INDEX(IdxPrecio_V,1,MIN(10,BJ$173)))*(1+V_dPrecio))</f>
        <v>0</v>
      </c>
      <c r="BK209" s="48" t="n">
        <f aca="false">IF(BK$8=1,IF(Reales!$C$45="PYG",IF(BK$10&gt;0,N(Reales!BK45)/BK$10,0),N(Reales!BK45)),BK$184*IF(AND(AND(58&gt;Corte,58&lt;=Corte+n_Ventana),ISNUMBER(Detalle_24m!BK$49)),Detalle_24m!BK$49,INDEX(Precio_V,8)*INDEX(IdxPrecio_V,1,MIN(10,BK$173)))*(1+V_dPrecio))</f>
        <v>0</v>
      </c>
      <c r="BL209" s="48" t="n">
        <f aca="false">IF(BL$8=1,IF(Reales!$C$45="PYG",IF(BL$10&gt;0,N(Reales!BL45)/BL$10,0),N(Reales!BL45)),BL$184*IF(AND(AND(59&gt;Corte,59&lt;=Corte+n_Ventana),ISNUMBER(Detalle_24m!BL$49)),Detalle_24m!BL$49,INDEX(Precio_V,8)*INDEX(IdxPrecio_V,1,MIN(10,BL$173)))*(1+V_dPrecio))</f>
        <v>0</v>
      </c>
      <c r="BM209" s="48" t="n">
        <f aca="false">IF(BM$8=1,IF(Reales!$C$45="PYG",IF(BM$10&gt;0,N(Reales!BM45)/BM$10,0),N(Reales!BM45)),BM$184*IF(AND(AND(60&gt;Corte,60&lt;=Corte+n_Ventana),ISNUMBER(Detalle_24m!BM$49)),Detalle_24m!BM$49,INDEX(Precio_V,8)*INDEX(IdxPrecio_V,1,MIN(10,BM$173)))*(1+V_dPrecio))</f>
        <v>0</v>
      </c>
      <c r="BN209" s="48" t="n">
        <f aca="false">IF(BN$8=1,IF(Reales!$C$45="PYG",IF(BN$10&gt;0,N(Reales!BN45)/BN$10,0),N(Reales!BN45)),BN$184*IF(AND(AND(61&gt;Corte,61&lt;=Corte+n_Ventana),ISNUMBER(Detalle_24m!BN$49)),Detalle_24m!BN$49,INDEX(Precio_V,8)*INDEX(IdxPrecio_V,1,MIN(10,BN$173)))*(1+V_dPrecio))</f>
        <v>0</v>
      </c>
      <c r="BO209" s="48" t="n">
        <f aca="false">IF(BO$8=1,IF(Reales!$C$45="PYG",IF(BO$10&gt;0,N(Reales!BO45)/BO$10,0),N(Reales!BO45)),BO$184*IF(AND(AND(62&gt;Corte,62&lt;=Corte+n_Ventana),ISNUMBER(Detalle_24m!BO$49)),Detalle_24m!BO$49,INDEX(Precio_V,8)*INDEX(IdxPrecio_V,1,MIN(10,BO$173)))*(1+V_dPrecio))</f>
        <v>0</v>
      </c>
      <c r="BP209" s="48" t="n">
        <f aca="false">IF(BP$8=1,IF(Reales!$C$45="PYG",IF(BP$10&gt;0,N(Reales!BP45)/BP$10,0),N(Reales!BP45)),BP$184*IF(AND(AND(63&gt;Corte,63&lt;=Corte+n_Ventana),ISNUMBER(Detalle_24m!BP$49)),Detalle_24m!BP$49,INDEX(Precio_V,8)*INDEX(IdxPrecio_V,1,MIN(10,BP$173)))*(1+V_dPrecio))</f>
        <v>0</v>
      </c>
      <c r="BQ209" s="48" t="n">
        <f aca="false">IF(BQ$8=1,IF(Reales!$C$45="PYG",IF(BQ$10&gt;0,N(Reales!BQ45)/BQ$10,0),N(Reales!BQ45)),BQ$184*IF(AND(AND(64&gt;Corte,64&lt;=Corte+n_Ventana),ISNUMBER(Detalle_24m!BQ$49)),Detalle_24m!BQ$49,INDEX(Precio_V,8)*INDEX(IdxPrecio_V,1,MIN(10,BQ$173)))*(1+V_dPrecio))</f>
        <v>0</v>
      </c>
      <c r="BR209" s="48" t="n">
        <f aca="false">IF(BR$8=1,IF(Reales!$C$45="PYG",IF(BR$10&gt;0,N(Reales!BR45)/BR$10,0),N(Reales!BR45)),BR$184*IF(AND(AND(65&gt;Corte,65&lt;=Corte+n_Ventana),ISNUMBER(Detalle_24m!BR$49)),Detalle_24m!BR$49,INDEX(Precio_V,8)*INDEX(IdxPrecio_V,1,MIN(10,BR$173)))*(1+V_dPrecio))</f>
        <v>0</v>
      </c>
      <c r="BS209" s="48" t="n">
        <f aca="false">IF(BS$8=1,IF(Reales!$C$45="PYG",IF(BS$10&gt;0,N(Reales!BS45)/BS$10,0),N(Reales!BS45)),BS$184*IF(AND(AND(66&gt;Corte,66&lt;=Corte+n_Ventana),ISNUMBER(Detalle_24m!BS$49)),Detalle_24m!BS$49,INDEX(Precio_V,8)*INDEX(IdxPrecio_V,1,MIN(10,BS$173)))*(1+V_dPrecio))</f>
        <v>0</v>
      </c>
      <c r="BT209" s="48" t="n">
        <f aca="false">IF(BT$8=1,IF(Reales!$C$45="PYG",IF(BT$10&gt;0,N(Reales!BT45)/BT$10,0),N(Reales!BT45)),BT$184*IF(AND(AND(67&gt;Corte,67&lt;=Corte+n_Ventana),ISNUMBER(Detalle_24m!BT$49)),Detalle_24m!BT$49,INDEX(Precio_V,8)*INDEX(IdxPrecio_V,1,MIN(10,BT$173)))*(1+V_dPrecio))</f>
        <v>0</v>
      </c>
      <c r="BU209" s="48" t="n">
        <f aca="false">IF(BU$8=1,IF(Reales!$C$45="PYG",IF(BU$10&gt;0,N(Reales!BU45)/BU$10,0),N(Reales!BU45)),BU$184*IF(AND(AND(68&gt;Corte,68&lt;=Corte+n_Ventana),ISNUMBER(Detalle_24m!BU$49)),Detalle_24m!BU$49,INDEX(Precio_V,8)*INDEX(IdxPrecio_V,1,MIN(10,BU$173)))*(1+V_dPrecio))</f>
        <v>0</v>
      </c>
      <c r="BV209" s="48" t="n">
        <f aca="false">IF(BV$8=1,IF(Reales!$C$45="PYG",IF(BV$10&gt;0,N(Reales!BV45)/BV$10,0),N(Reales!BV45)),BV$184*IF(AND(AND(69&gt;Corte,69&lt;=Corte+n_Ventana),ISNUMBER(Detalle_24m!BV$49)),Detalle_24m!BV$49,INDEX(Precio_V,8)*INDEX(IdxPrecio_V,1,MIN(10,BV$173)))*(1+V_dPrecio))</f>
        <v>0</v>
      </c>
      <c r="BW209" s="48" t="n">
        <f aca="false">IF(BW$8=1,IF(Reales!$C$45="PYG",IF(BW$10&gt;0,N(Reales!BW45)/BW$10,0),N(Reales!BW45)),BW$184*IF(AND(AND(70&gt;Corte,70&lt;=Corte+n_Ventana),ISNUMBER(Detalle_24m!BW$49)),Detalle_24m!BW$49,INDEX(Precio_V,8)*INDEX(IdxPrecio_V,1,MIN(10,BW$173)))*(1+V_dPrecio))</f>
        <v>0</v>
      </c>
      <c r="BX209" s="48" t="n">
        <f aca="false">IF(BX$8=1,IF(Reales!$C$45="PYG",IF(BX$10&gt;0,N(Reales!BX45)/BX$10,0),N(Reales!BX45)),BX$184*IF(AND(AND(71&gt;Corte,71&lt;=Corte+n_Ventana),ISNUMBER(Detalle_24m!BX$49)),Detalle_24m!BX$49,INDEX(Precio_V,8)*INDEX(IdxPrecio_V,1,MIN(10,BX$173)))*(1+V_dPrecio))</f>
        <v>0</v>
      </c>
      <c r="BY209" s="48" t="n">
        <f aca="false">IF(BY$8=1,IF(Reales!$C$45="PYG",IF(BY$10&gt;0,N(Reales!BY45)/BY$10,0),N(Reales!BY45)),BY$184*IF(AND(AND(72&gt;Corte,72&lt;=Corte+n_Ventana),ISNUMBER(Detalle_24m!BY$49)),Detalle_24m!BY$49,INDEX(Precio_V,8)*INDEX(IdxPrecio_V,1,MIN(10,BY$173)))*(1+V_dPrecio))</f>
        <v>0</v>
      </c>
      <c r="BZ209" s="48" t="n">
        <f aca="false">IF(BZ$8=1,IF(Reales!$C$45="PYG",IF(BZ$10&gt;0,N(Reales!BZ45)/BZ$10,0),N(Reales!BZ45)),BZ$184*IF(AND(AND(73&gt;Corte,73&lt;=Corte+n_Ventana),ISNUMBER(Detalle_24m!BZ$49)),Detalle_24m!BZ$49,INDEX(Precio_V,8)*INDEX(IdxPrecio_V,1,MIN(10,BZ$173)))*(1+V_dPrecio))</f>
        <v>0</v>
      </c>
      <c r="CA209" s="48" t="n">
        <f aca="false">IF(CA$8=1,IF(Reales!$C$45="PYG",IF(CA$10&gt;0,N(Reales!CA45)/CA$10,0),N(Reales!CA45)),CA$184*IF(AND(AND(74&gt;Corte,74&lt;=Corte+n_Ventana),ISNUMBER(Detalle_24m!CA$49)),Detalle_24m!CA$49,INDEX(Precio_V,8)*INDEX(IdxPrecio_V,1,MIN(10,CA$173)))*(1+V_dPrecio))</f>
        <v>0</v>
      </c>
      <c r="CB209" s="48" t="n">
        <f aca="false">IF(CB$8=1,IF(Reales!$C$45="PYG",IF(CB$10&gt;0,N(Reales!CB45)/CB$10,0),N(Reales!CB45)),CB$184*IF(AND(AND(75&gt;Corte,75&lt;=Corte+n_Ventana),ISNUMBER(Detalle_24m!CB$49)),Detalle_24m!CB$49,INDEX(Precio_V,8)*INDEX(IdxPrecio_V,1,MIN(10,CB$173)))*(1+V_dPrecio))</f>
        <v>0</v>
      </c>
      <c r="CC209" s="48" t="n">
        <f aca="false">IF(CC$8=1,IF(Reales!$C$45="PYG",IF(CC$10&gt;0,N(Reales!CC45)/CC$10,0),N(Reales!CC45)),CC$184*IF(AND(AND(76&gt;Corte,76&lt;=Corte+n_Ventana),ISNUMBER(Detalle_24m!CC$49)),Detalle_24m!CC$49,INDEX(Precio_V,8)*INDEX(IdxPrecio_V,1,MIN(10,CC$173)))*(1+V_dPrecio))</f>
        <v>0</v>
      </c>
      <c r="CD209" s="48" t="n">
        <f aca="false">IF(CD$8=1,IF(Reales!$C$45="PYG",IF(CD$10&gt;0,N(Reales!CD45)/CD$10,0),N(Reales!CD45)),CD$184*IF(AND(AND(77&gt;Corte,77&lt;=Corte+n_Ventana),ISNUMBER(Detalle_24m!CD$49)),Detalle_24m!CD$49,INDEX(Precio_V,8)*INDEX(IdxPrecio_V,1,MIN(10,CD$173)))*(1+V_dPrecio))</f>
        <v>0</v>
      </c>
      <c r="CE209" s="48" t="n">
        <f aca="false">IF(CE$8=1,IF(Reales!$C$45="PYG",IF(CE$10&gt;0,N(Reales!CE45)/CE$10,0),N(Reales!CE45)),CE$184*IF(AND(AND(78&gt;Corte,78&lt;=Corte+n_Ventana),ISNUMBER(Detalle_24m!CE$49)),Detalle_24m!CE$49,INDEX(Precio_V,8)*INDEX(IdxPrecio_V,1,MIN(10,CE$173)))*(1+V_dPrecio))</f>
        <v>0</v>
      </c>
      <c r="CF209" s="48" t="n">
        <f aca="false">IF(CF$8=1,IF(Reales!$C$45="PYG",IF(CF$10&gt;0,N(Reales!CF45)/CF$10,0),N(Reales!CF45)),CF$184*IF(AND(AND(79&gt;Corte,79&lt;=Corte+n_Ventana),ISNUMBER(Detalle_24m!CF$49)),Detalle_24m!CF$49,INDEX(Precio_V,8)*INDEX(IdxPrecio_V,1,MIN(10,CF$173)))*(1+V_dPrecio))</f>
        <v>0</v>
      </c>
      <c r="CG209" s="48" t="n">
        <f aca="false">IF(CG$8=1,IF(Reales!$C$45="PYG",IF(CG$10&gt;0,N(Reales!CG45)/CG$10,0),N(Reales!CG45)),CG$184*IF(AND(AND(80&gt;Corte,80&lt;=Corte+n_Ventana),ISNUMBER(Detalle_24m!CG$49)),Detalle_24m!CG$49,INDEX(Precio_V,8)*INDEX(IdxPrecio_V,1,MIN(10,CG$173)))*(1+V_dPrecio))</f>
        <v>0</v>
      </c>
      <c r="CH209" s="48" t="n">
        <f aca="false">IF(CH$8=1,IF(Reales!$C$45="PYG",IF(CH$10&gt;0,N(Reales!CH45)/CH$10,0),N(Reales!CH45)),CH$184*IF(AND(AND(81&gt;Corte,81&lt;=Corte+n_Ventana),ISNUMBER(Detalle_24m!CH$49)),Detalle_24m!CH$49,INDEX(Precio_V,8)*INDEX(IdxPrecio_V,1,MIN(10,CH$173)))*(1+V_dPrecio))</f>
        <v>0</v>
      </c>
      <c r="CI209" s="48" t="n">
        <f aca="false">IF(CI$8=1,IF(Reales!$C$45="PYG",IF(CI$10&gt;0,N(Reales!CI45)/CI$10,0),N(Reales!CI45)),CI$184*IF(AND(AND(82&gt;Corte,82&lt;=Corte+n_Ventana),ISNUMBER(Detalle_24m!CI$49)),Detalle_24m!CI$49,INDEX(Precio_V,8)*INDEX(IdxPrecio_V,1,MIN(10,CI$173)))*(1+V_dPrecio))</f>
        <v>0</v>
      </c>
      <c r="CJ209" s="48" t="n">
        <f aca="false">IF(CJ$8=1,IF(Reales!$C$45="PYG",IF(CJ$10&gt;0,N(Reales!CJ45)/CJ$10,0),N(Reales!CJ45)),CJ$184*IF(AND(AND(83&gt;Corte,83&lt;=Corte+n_Ventana),ISNUMBER(Detalle_24m!CJ$49)),Detalle_24m!CJ$49,INDEX(Precio_V,8)*INDEX(IdxPrecio_V,1,MIN(10,CJ$173)))*(1+V_dPrecio))</f>
        <v>0</v>
      </c>
      <c r="CK209" s="48" t="n">
        <f aca="false">IF(CK$8=1,IF(Reales!$C$45="PYG",IF(CK$10&gt;0,N(Reales!CK45)/CK$10,0),N(Reales!CK45)),CK$184*IF(AND(AND(84&gt;Corte,84&lt;=Corte+n_Ventana),ISNUMBER(Detalle_24m!CK$49)),Detalle_24m!CK$49,INDEX(Precio_V,8)*INDEX(IdxPrecio_V,1,MIN(10,CK$173)))*(1+V_dPrecio))</f>
        <v>0</v>
      </c>
      <c r="CL209" s="48" t="n">
        <f aca="false">IF(CL$8=1,IF(Reales!$C$45="PYG",IF(CL$10&gt;0,N(Reales!CL45)/CL$10,0),N(Reales!CL45)),CL$184*IF(AND(AND(85&gt;Corte,85&lt;=Corte+n_Ventana),ISNUMBER(Detalle_24m!CL$49)),Detalle_24m!CL$49,INDEX(Precio_V,8)*INDEX(IdxPrecio_V,1,MIN(10,CL$173)))*(1+V_dPrecio))</f>
        <v>0</v>
      </c>
      <c r="CM209" s="48" t="n">
        <f aca="false">IF(CM$8=1,IF(Reales!$C$45="PYG",IF(CM$10&gt;0,N(Reales!CM45)/CM$10,0),N(Reales!CM45)),CM$184*IF(AND(AND(86&gt;Corte,86&lt;=Corte+n_Ventana),ISNUMBER(Detalle_24m!CM$49)),Detalle_24m!CM$49,INDEX(Precio_V,8)*INDEX(IdxPrecio_V,1,MIN(10,CM$173)))*(1+V_dPrecio))</f>
        <v>0</v>
      </c>
      <c r="CN209" s="48" t="n">
        <f aca="false">IF(CN$8=1,IF(Reales!$C$45="PYG",IF(CN$10&gt;0,N(Reales!CN45)/CN$10,0),N(Reales!CN45)),CN$184*IF(AND(AND(87&gt;Corte,87&lt;=Corte+n_Ventana),ISNUMBER(Detalle_24m!CN$49)),Detalle_24m!CN$49,INDEX(Precio_V,8)*INDEX(IdxPrecio_V,1,MIN(10,CN$173)))*(1+V_dPrecio))</f>
        <v>0</v>
      </c>
      <c r="CO209" s="48" t="n">
        <f aca="false">IF(CO$8=1,IF(Reales!$C$45="PYG",IF(CO$10&gt;0,N(Reales!CO45)/CO$10,0),N(Reales!CO45)),CO$184*IF(AND(AND(88&gt;Corte,88&lt;=Corte+n_Ventana),ISNUMBER(Detalle_24m!CO$49)),Detalle_24m!CO$49,INDEX(Precio_V,8)*INDEX(IdxPrecio_V,1,MIN(10,CO$173)))*(1+V_dPrecio))</f>
        <v>0</v>
      </c>
      <c r="CP209" s="48" t="n">
        <f aca="false">IF(CP$8=1,IF(Reales!$C$45="PYG",IF(CP$10&gt;0,N(Reales!CP45)/CP$10,0),N(Reales!CP45)),CP$184*IF(AND(AND(89&gt;Corte,89&lt;=Corte+n_Ventana),ISNUMBER(Detalle_24m!CP$49)),Detalle_24m!CP$49,INDEX(Precio_V,8)*INDEX(IdxPrecio_V,1,MIN(10,CP$173)))*(1+V_dPrecio))</f>
        <v>0</v>
      </c>
      <c r="CQ209" s="48" t="n">
        <f aca="false">IF(CQ$8=1,IF(Reales!$C$45="PYG",IF(CQ$10&gt;0,N(Reales!CQ45)/CQ$10,0),N(Reales!CQ45)),CQ$184*IF(AND(AND(90&gt;Corte,90&lt;=Corte+n_Ventana),ISNUMBER(Detalle_24m!CQ$49)),Detalle_24m!CQ$49,INDEX(Precio_V,8)*INDEX(IdxPrecio_V,1,MIN(10,CQ$173)))*(1+V_dPrecio))</f>
        <v>0</v>
      </c>
      <c r="CR209" s="48" t="n">
        <f aca="false">IF(CR$8=1,IF(Reales!$C$45="PYG",IF(CR$10&gt;0,N(Reales!CR45)/CR$10,0),N(Reales!CR45)),CR$184*IF(AND(AND(91&gt;Corte,91&lt;=Corte+n_Ventana),ISNUMBER(Detalle_24m!CR$49)),Detalle_24m!CR$49,INDEX(Precio_V,8)*INDEX(IdxPrecio_V,1,MIN(10,CR$173)))*(1+V_dPrecio))</f>
        <v>0</v>
      </c>
      <c r="CS209" s="48" t="n">
        <f aca="false">IF(CS$8=1,IF(Reales!$C$45="PYG",IF(CS$10&gt;0,N(Reales!CS45)/CS$10,0),N(Reales!CS45)),CS$184*IF(AND(AND(92&gt;Corte,92&lt;=Corte+n_Ventana),ISNUMBER(Detalle_24m!CS$49)),Detalle_24m!CS$49,INDEX(Precio_V,8)*INDEX(IdxPrecio_V,1,MIN(10,CS$173)))*(1+V_dPrecio))</f>
        <v>0</v>
      </c>
      <c r="CT209" s="48" t="n">
        <f aca="false">IF(CT$8=1,IF(Reales!$C$45="PYG",IF(CT$10&gt;0,N(Reales!CT45)/CT$10,0),N(Reales!CT45)),CT$184*IF(AND(AND(93&gt;Corte,93&lt;=Corte+n_Ventana),ISNUMBER(Detalle_24m!CT$49)),Detalle_24m!CT$49,INDEX(Precio_V,8)*INDEX(IdxPrecio_V,1,MIN(10,CT$173)))*(1+V_dPrecio))</f>
        <v>0</v>
      </c>
      <c r="CU209" s="48" t="n">
        <f aca="false">IF(CU$8=1,IF(Reales!$C$45="PYG",IF(CU$10&gt;0,N(Reales!CU45)/CU$10,0),N(Reales!CU45)),CU$184*IF(AND(AND(94&gt;Corte,94&lt;=Corte+n_Ventana),ISNUMBER(Detalle_24m!CU$49)),Detalle_24m!CU$49,INDEX(Precio_V,8)*INDEX(IdxPrecio_V,1,MIN(10,CU$173)))*(1+V_dPrecio))</f>
        <v>0</v>
      </c>
      <c r="CV209" s="48" t="n">
        <f aca="false">IF(CV$8=1,IF(Reales!$C$45="PYG",IF(CV$10&gt;0,N(Reales!CV45)/CV$10,0),N(Reales!CV45)),CV$184*IF(AND(AND(95&gt;Corte,95&lt;=Corte+n_Ventana),ISNUMBER(Detalle_24m!CV$49)),Detalle_24m!CV$49,INDEX(Precio_V,8)*INDEX(IdxPrecio_V,1,MIN(10,CV$173)))*(1+V_dPrecio))</f>
        <v>0</v>
      </c>
      <c r="CW209" s="48" t="n">
        <f aca="false">IF(CW$8=1,IF(Reales!$C$45="PYG",IF(CW$10&gt;0,N(Reales!CW45)/CW$10,0),N(Reales!CW45)),CW$184*IF(AND(AND(96&gt;Corte,96&lt;=Corte+n_Ventana),ISNUMBER(Detalle_24m!CW$49)),Detalle_24m!CW$49,INDEX(Precio_V,8)*INDEX(IdxPrecio_V,1,MIN(10,CW$173)))*(1+V_dPrecio))</f>
        <v>0</v>
      </c>
      <c r="CX209" s="48" t="n">
        <f aca="false">IF(CX$8=1,IF(Reales!$C$45="PYG",IF(CX$10&gt;0,N(Reales!CX45)/CX$10,0),N(Reales!CX45)),CX$184*IF(AND(AND(97&gt;Corte,97&lt;=Corte+n_Ventana),ISNUMBER(Detalle_24m!CX$49)),Detalle_24m!CX$49,INDEX(Precio_V,8)*INDEX(IdxPrecio_V,1,MIN(10,CX$173)))*(1+V_dPrecio))</f>
        <v>0</v>
      </c>
      <c r="CY209" s="48" t="n">
        <f aca="false">IF(CY$8=1,IF(Reales!$C$45="PYG",IF(CY$10&gt;0,N(Reales!CY45)/CY$10,0),N(Reales!CY45)),CY$184*IF(AND(AND(98&gt;Corte,98&lt;=Corte+n_Ventana),ISNUMBER(Detalle_24m!CY$49)),Detalle_24m!CY$49,INDEX(Precio_V,8)*INDEX(IdxPrecio_V,1,MIN(10,CY$173)))*(1+V_dPrecio))</f>
        <v>0</v>
      </c>
      <c r="CZ209" s="48" t="n">
        <f aca="false">IF(CZ$8=1,IF(Reales!$C$45="PYG",IF(CZ$10&gt;0,N(Reales!CZ45)/CZ$10,0),N(Reales!CZ45)),CZ$184*IF(AND(AND(99&gt;Corte,99&lt;=Corte+n_Ventana),ISNUMBER(Detalle_24m!CZ$49)),Detalle_24m!CZ$49,INDEX(Precio_V,8)*INDEX(IdxPrecio_V,1,MIN(10,CZ$173)))*(1+V_dPrecio))</f>
        <v>0</v>
      </c>
      <c r="DA209" s="48" t="n">
        <f aca="false">IF(DA$8=1,IF(Reales!$C$45="PYG",IF(DA$10&gt;0,N(Reales!DA45)/DA$10,0),N(Reales!DA45)),DA$184*IF(AND(AND(100&gt;Corte,100&lt;=Corte+n_Ventana),ISNUMBER(Detalle_24m!DA$49)),Detalle_24m!DA$49,INDEX(Precio_V,8)*INDEX(IdxPrecio_V,1,MIN(10,DA$173)))*(1+V_dPrecio))</f>
        <v>0</v>
      </c>
      <c r="DB209" s="48" t="n">
        <f aca="false">IF(DB$8=1,IF(Reales!$C$45="PYG",IF(DB$10&gt;0,N(Reales!DB45)/DB$10,0),N(Reales!DB45)),DB$184*IF(AND(AND(101&gt;Corte,101&lt;=Corte+n_Ventana),ISNUMBER(Detalle_24m!DB$49)),Detalle_24m!DB$49,INDEX(Precio_V,8)*INDEX(IdxPrecio_V,1,MIN(10,DB$173)))*(1+V_dPrecio))</f>
        <v>0</v>
      </c>
      <c r="DC209" s="48" t="n">
        <f aca="false">IF(DC$8=1,IF(Reales!$C$45="PYG",IF(DC$10&gt;0,N(Reales!DC45)/DC$10,0),N(Reales!DC45)),DC$184*IF(AND(AND(102&gt;Corte,102&lt;=Corte+n_Ventana),ISNUMBER(Detalle_24m!DC$49)),Detalle_24m!DC$49,INDEX(Precio_V,8)*INDEX(IdxPrecio_V,1,MIN(10,DC$173)))*(1+V_dPrecio))</f>
        <v>0</v>
      </c>
      <c r="DD209" s="48" t="n">
        <f aca="false">IF(DD$8=1,IF(Reales!$C$45="PYG",IF(DD$10&gt;0,N(Reales!DD45)/DD$10,0),N(Reales!DD45)),DD$184*IF(AND(AND(103&gt;Corte,103&lt;=Corte+n_Ventana),ISNUMBER(Detalle_24m!DD$49)),Detalle_24m!DD$49,INDEX(Precio_V,8)*INDEX(IdxPrecio_V,1,MIN(10,DD$173)))*(1+V_dPrecio))</f>
        <v>0</v>
      </c>
      <c r="DE209" s="48" t="n">
        <f aca="false">IF(DE$8=1,IF(Reales!$C$45="PYG",IF(DE$10&gt;0,N(Reales!DE45)/DE$10,0),N(Reales!DE45)),DE$184*IF(AND(AND(104&gt;Corte,104&lt;=Corte+n_Ventana),ISNUMBER(Detalle_24m!DE$49)),Detalle_24m!DE$49,INDEX(Precio_V,8)*INDEX(IdxPrecio_V,1,MIN(10,DE$173)))*(1+V_dPrecio))</f>
        <v>0</v>
      </c>
      <c r="DF209" s="48" t="n">
        <f aca="false">IF(DF$8=1,IF(Reales!$C$45="PYG",IF(DF$10&gt;0,N(Reales!DF45)/DF$10,0),N(Reales!DF45)),DF$184*IF(AND(AND(105&gt;Corte,105&lt;=Corte+n_Ventana),ISNUMBER(Detalle_24m!DF$49)),Detalle_24m!DF$49,INDEX(Precio_V,8)*INDEX(IdxPrecio_V,1,MIN(10,DF$173)))*(1+V_dPrecio))</f>
        <v>0</v>
      </c>
      <c r="DG209" s="48" t="n">
        <f aca="false">IF(DG$8=1,IF(Reales!$C$45="PYG",IF(DG$10&gt;0,N(Reales!DG45)/DG$10,0),N(Reales!DG45)),DG$184*IF(AND(AND(106&gt;Corte,106&lt;=Corte+n_Ventana),ISNUMBER(Detalle_24m!DG$49)),Detalle_24m!DG$49,INDEX(Precio_V,8)*INDEX(IdxPrecio_V,1,MIN(10,DG$173)))*(1+V_dPrecio))</f>
        <v>0</v>
      </c>
      <c r="DH209" s="48" t="n">
        <f aca="false">IF(DH$8=1,IF(Reales!$C$45="PYG",IF(DH$10&gt;0,N(Reales!DH45)/DH$10,0),N(Reales!DH45)),DH$184*IF(AND(AND(107&gt;Corte,107&lt;=Corte+n_Ventana),ISNUMBER(Detalle_24m!DH$49)),Detalle_24m!DH$49,INDEX(Precio_V,8)*INDEX(IdxPrecio_V,1,MIN(10,DH$173)))*(1+V_dPrecio))</f>
        <v>0</v>
      </c>
      <c r="DI209" s="48" t="n">
        <f aca="false">IF(DI$8=1,IF(Reales!$C$45="PYG",IF(DI$10&gt;0,N(Reales!DI45)/DI$10,0),N(Reales!DI45)),DI$184*IF(AND(AND(108&gt;Corte,108&lt;=Corte+n_Ventana),ISNUMBER(Detalle_24m!DI$49)),Detalle_24m!DI$49,INDEX(Precio_V,8)*INDEX(IdxPrecio_V,1,MIN(10,DI$173)))*(1+V_dPrecio))</f>
        <v>0</v>
      </c>
      <c r="DJ209" s="48" t="n">
        <f aca="false">IF(DJ$8=1,IF(Reales!$C$45="PYG",IF(DJ$10&gt;0,N(Reales!DJ45)/DJ$10,0),N(Reales!DJ45)),DJ$184*IF(AND(AND(109&gt;Corte,109&lt;=Corte+n_Ventana),ISNUMBER(Detalle_24m!DJ$49)),Detalle_24m!DJ$49,INDEX(Precio_V,8)*INDEX(IdxPrecio_V,1,MIN(10,DJ$173)))*(1+V_dPrecio))</f>
        <v>0</v>
      </c>
      <c r="DK209" s="48" t="n">
        <f aca="false">IF(DK$8=1,IF(Reales!$C$45="PYG",IF(DK$10&gt;0,N(Reales!DK45)/DK$10,0),N(Reales!DK45)),DK$184*IF(AND(AND(110&gt;Corte,110&lt;=Corte+n_Ventana),ISNUMBER(Detalle_24m!DK$49)),Detalle_24m!DK$49,INDEX(Precio_V,8)*INDEX(IdxPrecio_V,1,MIN(10,DK$173)))*(1+V_dPrecio))</f>
        <v>0</v>
      </c>
      <c r="DL209" s="48" t="n">
        <f aca="false">IF(DL$8=1,IF(Reales!$C$45="PYG",IF(DL$10&gt;0,N(Reales!DL45)/DL$10,0),N(Reales!DL45)),DL$184*IF(AND(AND(111&gt;Corte,111&lt;=Corte+n_Ventana),ISNUMBER(Detalle_24m!DL$49)),Detalle_24m!DL$49,INDEX(Precio_V,8)*INDEX(IdxPrecio_V,1,MIN(10,DL$173)))*(1+V_dPrecio))</f>
        <v>0</v>
      </c>
      <c r="DM209" s="48" t="n">
        <f aca="false">IF(DM$8=1,IF(Reales!$C$45="PYG",IF(DM$10&gt;0,N(Reales!DM45)/DM$10,0),N(Reales!DM45)),DM$184*IF(AND(AND(112&gt;Corte,112&lt;=Corte+n_Ventana),ISNUMBER(Detalle_24m!DM$49)),Detalle_24m!DM$49,INDEX(Precio_V,8)*INDEX(IdxPrecio_V,1,MIN(10,DM$173)))*(1+V_dPrecio))</f>
        <v>0</v>
      </c>
      <c r="DN209" s="48" t="n">
        <f aca="false">IF(DN$8=1,IF(Reales!$C$45="PYG",IF(DN$10&gt;0,N(Reales!DN45)/DN$10,0),N(Reales!DN45)),DN$184*IF(AND(AND(113&gt;Corte,113&lt;=Corte+n_Ventana),ISNUMBER(Detalle_24m!DN$49)),Detalle_24m!DN$49,INDEX(Precio_V,8)*INDEX(IdxPrecio_V,1,MIN(10,DN$173)))*(1+V_dPrecio))</f>
        <v>0</v>
      </c>
      <c r="DO209" s="48" t="n">
        <f aca="false">IF(DO$8=1,IF(Reales!$C$45="PYG",IF(DO$10&gt;0,N(Reales!DO45)/DO$10,0),N(Reales!DO45)),DO$184*IF(AND(AND(114&gt;Corte,114&lt;=Corte+n_Ventana),ISNUMBER(Detalle_24m!DO$49)),Detalle_24m!DO$49,INDEX(Precio_V,8)*INDEX(IdxPrecio_V,1,MIN(10,DO$173)))*(1+V_dPrecio))</f>
        <v>0</v>
      </c>
      <c r="DP209" s="48" t="n">
        <f aca="false">IF(DP$8=1,IF(Reales!$C$45="PYG",IF(DP$10&gt;0,N(Reales!DP45)/DP$10,0),N(Reales!DP45)),DP$184*IF(AND(AND(115&gt;Corte,115&lt;=Corte+n_Ventana),ISNUMBER(Detalle_24m!DP$49)),Detalle_24m!DP$49,INDEX(Precio_V,8)*INDEX(IdxPrecio_V,1,MIN(10,DP$173)))*(1+V_dPrecio))</f>
        <v>0</v>
      </c>
      <c r="DQ209" s="48" t="n">
        <f aca="false">IF(DQ$8=1,IF(Reales!$C$45="PYG",IF(DQ$10&gt;0,N(Reales!DQ45)/DQ$10,0),N(Reales!DQ45)),DQ$184*IF(AND(AND(116&gt;Corte,116&lt;=Corte+n_Ventana),ISNUMBER(Detalle_24m!DQ$49)),Detalle_24m!DQ$49,INDEX(Precio_V,8)*INDEX(IdxPrecio_V,1,MIN(10,DQ$173)))*(1+V_dPrecio))</f>
        <v>0</v>
      </c>
      <c r="DR209" s="48" t="n">
        <f aca="false">IF(DR$8=1,IF(Reales!$C$45="PYG",IF(DR$10&gt;0,N(Reales!DR45)/DR$10,0),N(Reales!DR45)),DR$184*IF(AND(AND(117&gt;Corte,117&lt;=Corte+n_Ventana),ISNUMBER(Detalle_24m!DR$49)),Detalle_24m!DR$49,INDEX(Precio_V,8)*INDEX(IdxPrecio_V,1,MIN(10,DR$173)))*(1+V_dPrecio))</f>
        <v>0</v>
      </c>
      <c r="DS209" s="48" t="n">
        <f aca="false">IF(DS$8=1,IF(Reales!$C$45="PYG",IF(DS$10&gt;0,N(Reales!DS45)/DS$10,0),N(Reales!DS45)),DS$184*IF(AND(AND(118&gt;Corte,118&lt;=Corte+n_Ventana),ISNUMBER(Detalle_24m!DS$49)),Detalle_24m!DS$49,INDEX(Precio_V,8)*INDEX(IdxPrecio_V,1,MIN(10,DS$173)))*(1+V_dPrecio))</f>
        <v>0</v>
      </c>
      <c r="DT209" s="48" t="n">
        <f aca="false">IF(DT$8=1,IF(Reales!$C$45="PYG",IF(DT$10&gt;0,N(Reales!DT45)/DT$10,0),N(Reales!DT45)),DT$184*IF(AND(AND(119&gt;Corte,119&lt;=Corte+n_Ventana),ISNUMBER(Detalle_24m!DT$49)),Detalle_24m!DT$49,INDEX(Precio_V,8)*INDEX(IdxPrecio_V,1,MIN(10,DT$173)))*(1+V_dPrecio))</f>
        <v>0</v>
      </c>
      <c r="DU209" s="48" t="n">
        <f aca="false">IF(DU$8=1,IF(Reales!$C$45="PYG",IF(DU$10&gt;0,N(Reales!DU45)/DU$10,0),N(Reales!DU45)),DU$184*IF(AND(AND(120&gt;Corte,120&lt;=Corte+n_Ventana),ISNUMBER(Detalle_24m!DU$49)),Detalle_24m!DU$49,INDEX(Precio_V,8)*INDEX(IdxPrecio_V,1,MIN(10,DU$173)))*(1+V_dPrecio))</f>
        <v>0</v>
      </c>
      <c r="DV209" s="48" t="n">
        <f aca="false">IF(DV$8=1,IF(Reales!$C$45="PYG",IF(DV$10&gt;0,N(Reales!DV45)/DV$10,0),N(Reales!DV45)),DV$184*IF(AND(AND(121&gt;Corte,121&lt;=Corte+n_Ventana),ISNUMBER(Detalle_24m!DV$49)),Detalle_24m!DV$49,INDEX(Precio_V,8)*INDEX(IdxPrecio_V,1,MIN(10,DV$173)))*(1+V_dPrecio))</f>
        <v>0</v>
      </c>
      <c r="DW209" s="48" t="n">
        <f aca="false">IF(DW$8=1,IF(Reales!$C$45="PYG",IF(DW$10&gt;0,N(Reales!DW45)/DW$10,0),N(Reales!DW45)),DW$184*IF(AND(AND(122&gt;Corte,122&lt;=Corte+n_Ventana),ISNUMBER(Detalle_24m!DW$49)),Detalle_24m!DW$49,INDEX(Precio_V,8)*INDEX(IdxPrecio_V,1,MIN(10,DW$173)))*(1+V_dPrecio))</f>
        <v>0</v>
      </c>
      <c r="DX209" s="48" t="n">
        <f aca="false">IF(DX$8=1,IF(Reales!$C$45="PYG",IF(DX$10&gt;0,N(Reales!DX45)/DX$10,0),N(Reales!DX45)),DX$184*IF(AND(AND(123&gt;Corte,123&lt;=Corte+n_Ventana),ISNUMBER(Detalle_24m!DX$49)),Detalle_24m!DX$49,INDEX(Precio_V,8)*INDEX(IdxPrecio_V,1,MIN(10,DX$173)))*(1+V_dPrecio))</f>
        <v>0</v>
      </c>
      <c r="DY209" s="48" t="n">
        <f aca="false">IF(DY$8=1,IF(Reales!$C$45="PYG",IF(DY$10&gt;0,N(Reales!DY45)/DY$10,0),N(Reales!DY45)),DY$184*IF(AND(AND(124&gt;Corte,124&lt;=Corte+n_Ventana),ISNUMBER(Detalle_24m!DY$49)),Detalle_24m!DY$49,INDEX(Precio_V,8)*INDEX(IdxPrecio_V,1,MIN(10,DY$173)))*(1+V_dPrecio))</f>
        <v>0</v>
      </c>
      <c r="DZ209" s="48" t="n">
        <f aca="false">IF(DZ$8=1,IF(Reales!$C$45="PYG",IF(DZ$10&gt;0,N(Reales!DZ45)/DZ$10,0),N(Reales!DZ45)),DZ$184*IF(AND(AND(125&gt;Corte,125&lt;=Corte+n_Ventana),ISNUMBER(Detalle_24m!DZ$49)),Detalle_24m!DZ$49,INDEX(Precio_V,8)*INDEX(IdxPrecio_V,1,MIN(10,DZ$173)))*(1+V_dPrecio))</f>
        <v>0</v>
      </c>
      <c r="EA209" s="48" t="n">
        <f aca="false">IF(EA$8=1,IF(Reales!$C$45="PYG",IF(EA$10&gt;0,N(Reales!EA45)/EA$10,0),N(Reales!EA45)),EA$184*IF(AND(AND(126&gt;Corte,126&lt;=Corte+n_Ventana),ISNUMBER(Detalle_24m!EA$49)),Detalle_24m!EA$49,INDEX(Precio_V,8)*INDEX(IdxPrecio_V,1,MIN(10,EA$173)))*(1+V_dPrecio))</f>
        <v>0</v>
      </c>
      <c r="EB209" s="48" t="n">
        <f aca="false">IF(EB$8=1,IF(Reales!$C$45="PYG",IF(EB$10&gt;0,N(Reales!EB45)/EB$10,0),N(Reales!EB45)),EB$184*IF(AND(AND(127&gt;Corte,127&lt;=Corte+n_Ventana),ISNUMBER(Detalle_24m!EB$49)),Detalle_24m!EB$49,INDEX(Precio_V,8)*INDEX(IdxPrecio_V,1,MIN(10,EB$173)))*(1+V_dPrecio))</f>
        <v>0</v>
      </c>
      <c r="EC209" s="48" t="n">
        <f aca="false">IF(EC$8=1,IF(Reales!$C$45="PYG",IF(EC$10&gt;0,N(Reales!EC45)/EC$10,0),N(Reales!EC45)),EC$184*IF(AND(AND(128&gt;Corte,128&lt;=Corte+n_Ventana),ISNUMBER(Detalle_24m!EC$49)),Detalle_24m!EC$49,INDEX(Precio_V,8)*INDEX(IdxPrecio_V,1,MIN(10,EC$173)))*(1+V_dPrecio))</f>
        <v>0</v>
      </c>
      <c r="ED209" s="48" t="n">
        <f aca="false">IF(ED$8=1,IF(Reales!$C$45="PYG",IF(ED$10&gt;0,N(Reales!ED45)/ED$10,0),N(Reales!ED45)),ED$184*IF(AND(AND(129&gt;Corte,129&lt;=Corte+n_Ventana),ISNUMBER(Detalle_24m!ED$49)),Detalle_24m!ED$49,INDEX(Precio_V,8)*INDEX(IdxPrecio_V,1,MIN(10,ED$173)))*(1+V_dPrecio))</f>
        <v>0</v>
      </c>
      <c r="EE209" s="48" t="n">
        <f aca="false">IF(EE$8=1,IF(Reales!$C$45="PYG",IF(EE$10&gt;0,N(Reales!EE45)/EE$10,0),N(Reales!EE45)),EE$184*IF(AND(AND(130&gt;Corte,130&lt;=Corte+n_Ventana),ISNUMBER(Detalle_24m!EE$49)),Detalle_24m!EE$49,INDEX(Precio_V,8)*INDEX(IdxPrecio_V,1,MIN(10,EE$173)))*(1+V_dPrecio))</f>
        <v>0</v>
      </c>
      <c r="EF209" s="48" t="n">
        <f aca="false">IF(EF$8=1,IF(Reales!$C$45="PYG",IF(EF$10&gt;0,N(Reales!EF45)/EF$10,0),N(Reales!EF45)),EF$184*IF(AND(AND(131&gt;Corte,131&lt;=Corte+n_Ventana),ISNUMBER(Detalle_24m!EF$49)),Detalle_24m!EF$49,INDEX(Precio_V,8)*INDEX(IdxPrecio_V,1,MIN(10,EF$173)))*(1+V_dPrecio))</f>
        <v>0</v>
      </c>
      <c r="EG209" s="48" t="n">
        <f aca="false">IF(EG$8=1,IF(Reales!$C$45="PYG",IF(EG$10&gt;0,N(Reales!EG45)/EG$10,0),N(Reales!EG45)),EG$184*IF(AND(AND(132&gt;Corte,132&lt;=Corte+n_Ventana),ISNUMBER(Detalle_24m!EG$49)),Detalle_24m!EG$49,INDEX(Precio_V,8)*INDEX(IdxPrecio_V,1,MIN(10,EG$173)))*(1+V_dPrecio))</f>
        <v>0</v>
      </c>
      <c r="EH209" s="48" t="n">
        <f aca="false">IF(EH$8=1,IF(Reales!$C$45="PYG",IF(EH$10&gt;0,N(Reales!EH45)/EH$10,0),N(Reales!EH45)),EH$184*IF(AND(AND(133&gt;Corte,133&lt;=Corte+n_Ventana),ISNUMBER(Detalle_24m!EH$49)),Detalle_24m!EH$49,INDEX(Precio_V,8)*INDEX(IdxPrecio_V,1,MIN(10,EH$173)))*(1+V_dPrecio))</f>
        <v>0</v>
      </c>
      <c r="EI209" s="48" t="n">
        <f aca="false">IF(EI$8=1,IF(Reales!$C$45="PYG",IF(EI$10&gt;0,N(Reales!EI45)/EI$10,0),N(Reales!EI45)),EI$184*IF(AND(AND(134&gt;Corte,134&lt;=Corte+n_Ventana),ISNUMBER(Detalle_24m!EI$49)),Detalle_24m!EI$49,INDEX(Precio_V,8)*INDEX(IdxPrecio_V,1,MIN(10,EI$173)))*(1+V_dPrecio))</f>
        <v>0</v>
      </c>
      <c r="EJ209" s="48" t="n">
        <f aca="false">IF(EJ$8=1,IF(Reales!$C$45="PYG",IF(EJ$10&gt;0,N(Reales!EJ45)/EJ$10,0),N(Reales!EJ45)),EJ$184*IF(AND(AND(135&gt;Corte,135&lt;=Corte+n_Ventana),ISNUMBER(Detalle_24m!EJ$49)),Detalle_24m!EJ$49,INDEX(Precio_V,8)*INDEX(IdxPrecio_V,1,MIN(10,EJ$173)))*(1+V_dPrecio))</f>
        <v>0</v>
      </c>
      <c r="EK209" s="48" t="n">
        <f aca="false">IF(EK$8=1,IF(Reales!$C$45="PYG",IF(EK$10&gt;0,N(Reales!EK45)/EK$10,0),N(Reales!EK45)),EK$184*IF(AND(AND(136&gt;Corte,136&lt;=Corte+n_Ventana),ISNUMBER(Detalle_24m!EK$49)),Detalle_24m!EK$49,INDEX(Precio_V,8)*INDEX(IdxPrecio_V,1,MIN(10,EK$173)))*(1+V_dPrecio))</f>
        <v>0</v>
      </c>
      <c r="EL209" s="48" t="n">
        <f aca="false">IF(EL$8=1,IF(Reales!$C$45="PYG",IF(EL$10&gt;0,N(Reales!EL45)/EL$10,0),N(Reales!EL45)),EL$184*IF(AND(AND(137&gt;Corte,137&lt;=Corte+n_Ventana),ISNUMBER(Detalle_24m!EL$49)),Detalle_24m!EL$49,INDEX(Precio_V,8)*INDEX(IdxPrecio_V,1,MIN(10,EL$173)))*(1+V_dPrecio))</f>
        <v>0</v>
      </c>
      <c r="EM209" s="48" t="n">
        <f aca="false">IF(EM$8=1,IF(Reales!$C$45="PYG",IF(EM$10&gt;0,N(Reales!EM45)/EM$10,0),N(Reales!EM45)),EM$184*IF(AND(AND(138&gt;Corte,138&lt;=Corte+n_Ventana),ISNUMBER(Detalle_24m!EM$49)),Detalle_24m!EM$49,INDEX(Precio_V,8)*INDEX(IdxPrecio_V,1,MIN(10,EM$173)))*(1+V_dPrecio))</f>
        <v>0</v>
      </c>
      <c r="EN209" s="48" t="n">
        <f aca="false">IF(EN$8=1,IF(Reales!$C$45="PYG",IF(EN$10&gt;0,N(Reales!EN45)/EN$10,0),N(Reales!EN45)),EN$184*IF(AND(AND(139&gt;Corte,139&lt;=Corte+n_Ventana),ISNUMBER(Detalle_24m!EN$49)),Detalle_24m!EN$49,INDEX(Precio_V,8)*INDEX(IdxPrecio_V,1,MIN(10,EN$173)))*(1+V_dPrecio))</f>
        <v>0</v>
      </c>
      <c r="EO209" s="48" t="n">
        <f aca="false">IF(EO$8=1,IF(Reales!$C$45="PYG",IF(EO$10&gt;0,N(Reales!EO45)/EO$10,0),N(Reales!EO45)),EO$184*IF(AND(AND(140&gt;Corte,140&lt;=Corte+n_Ventana),ISNUMBER(Detalle_24m!EO$49)),Detalle_24m!EO$49,INDEX(Precio_V,8)*INDEX(IdxPrecio_V,1,MIN(10,EO$173)))*(1+V_dPrecio))</f>
        <v>0</v>
      </c>
      <c r="EP209" s="48" t="n">
        <f aca="false">IF(EP$8=1,IF(Reales!$C$45="PYG",IF(EP$10&gt;0,N(Reales!EP45)/EP$10,0),N(Reales!EP45)),EP$184*IF(AND(AND(141&gt;Corte,141&lt;=Corte+n_Ventana),ISNUMBER(Detalle_24m!EP$49)),Detalle_24m!EP$49,INDEX(Precio_V,8)*INDEX(IdxPrecio_V,1,MIN(10,EP$173)))*(1+V_dPrecio))</f>
        <v>0</v>
      </c>
      <c r="EQ209" s="48" t="n">
        <f aca="false">IF(EQ$8=1,IF(Reales!$C$45="PYG",IF(EQ$10&gt;0,N(Reales!EQ45)/EQ$10,0),N(Reales!EQ45)),EQ$184*IF(AND(AND(142&gt;Corte,142&lt;=Corte+n_Ventana),ISNUMBER(Detalle_24m!EQ$49)),Detalle_24m!EQ$49,INDEX(Precio_V,8)*INDEX(IdxPrecio_V,1,MIN(10,EQ$173)))*(1+V_dPrecio))</f>
        <v>0</v>
      </c>
      <c r="ER209" s="48" t="n">
        <f aca="false">IF(ER$8=1,IF(Reales!$C$45="PYG",IF(ER$10&gt;0,N(Reales!ER45)/ER$10,0),N(Reales!ER45)),ER$184*IF(AND(AND(143&gt;Corte,143&lt;=Corte+n_Ventana),ISNUMBER(Detalle_24m!ER$49)),Detalle_24m!ER$49,INDEX(Precio_V,8)*INDEX(IdxPrecio_V,1,MIN(10,ER$173)))*(1+V_dPrecio))</f>
        <v>0</v>
      </c>
      <c r="ES209" s="48" t="n">
        <f aca="false">IF(ES$8=1,IF(Reales!$C$45="PYG",IF(ES$10&gt;0,N(Reales!ES45)/ES$10,0),N(Reales!ES45)),ES$184*IF(AND(AND(144&gt;Corte,144&lt;=Corte+n_Ventana),ISNUMBER(Detalle_24m!ES$49)),Detalle_24m!ES$49,INDEX(Precio_V,8)*INDEX(IdxPrecio_V,1,MIN(10,ES$173)))*(1+V_dPrecio))</f>
        <v>0</v>
      </c>
    </row>
    <row r="210" customFormat="false" ht="15" hidden="false" customHeight="false" outlineLevel="0" collapsed="false">
      <c r="A210" s="11" t="s">
        <v>1333</v>
      </c>
      <c r="B210" s="53" t="str">
        <f aca="false">IF(INDEX(Prod_Nombre,9)="","Producto 9",INDEX(Prod_Nombre,9))&amp;" — ventas USD"</f>
        <v>Producto 9 — ventas USD</v>
      </c>
      <c r="C210" s="15" t="s">
        <v>508</v>
      </c>
      <c r="E210" s="54" t="n">
        <f aca="false">SUM(F210:ES210)</f>
        <v>0</v>
      </c>
      <c r="F210" s="48" t="n">
        <f aca="false">IF(F$8=1,IF(Reales!$C$46="PYG",IF(F$10&gt;0,N(Reales!F46)/F$10,0),N(Reales!F46)),F$185*IF(AND(AND(1&gt;Corte,1&lt;=Corte+n_Ventana),ISNUMBER(Detalle_24m!F$50)),Detalle_24m!F$50,INDEX(Precio_V,9)*INDEX(IdxPrecio_V,1,MIN(10,F$173)))*(1+V_dPrecio))</f>
        <v>0</v>
      </c>
      <c r="G210" s="48" t="n">
        <f aca="false">IF(G$8=1,IF(Reales!$C$46="PYG",IF(G$10&gt;0,N(Reales!G46)/G$10,0),N(Reales!G46)),G$185*IF(AND(AND(2&gt;Corte,2&lt;=Corte+n_Ventana),ISNUMBER(Detalle_24m!G$50)),Detalle_24m!G$50,INDEX(Precio_V,9)*INDEX(IdxPrecio_V,1,MIN(10,G$173)))*(1+V_dPrecio))</f>
        <v>0</v>
      </c>
      <c r="H210" s="48" t="n">
        <f aca="false">IF(H$8=1,IF(Reales!$C$46="PYG",IF(H$10&gt;0,N(Reales!H46)/H$10,0),N(Reales!H46)),H$185*IF(AND(AND(3&gt;Corte,3&lt;=Corte+n_Ventana),ISNUMBER(Detalle_24m!H$50)),Detalle_24m!H$50,INDEX(Precio_V,9)*INDEX(IdxPrecio_V,1,MIN(10,H$173)))*(1+V_dPrecio))</f>
        <v>0</v>
      </c>
      <c r="I210" s="48" t="n">
        <f aca="false">IF(I$8=1,IF(Reales!$C$46="PYG",IF(I$10&gt;0,N(Reales!I46)/I$10,0),N(Reales!I46)),I$185*IF(AND(AND(4&gt;Corte,4&lt;=Corte+n_Ventana),ISNUMBER(Detalle_24m!I$50)),Detalle_24m!I$50,INDEX(Precio_V,9)*INDEX(IdxPrecio_V,1,MIN(10,I$173)))*(1+V_dPrecio))</f>
        <v>0</v>
      </c>
      <c r="J210" s="48" t="n">
        <f aca="false">IF(J$8=1,IF(Reales!$C$46="PYG",IF(J$10&gt;0,N(Reales!J46)/J$10,0),N(Reales!J46)),J$185*IF(AND(AND(5&gt;Corte,5&lt;=Corte+n_Ventana),ISNUMBER(Detalle_24m!J$50)),Detalle_24m!J$50,INDEX(Precio_V,9)*INDEX(IdxPrecio_V,1,MIN(10,J$173)))*(1+V_dPrecio))</f>
        <v>0</v>
      </c>
      <c r="K210" s="48" t="n">
        <f aca="false">IF(K$8=1,IF(Reales!$C$46="PYG",IF(K$10&gt;0,N(Reales!K46)/K$10,0),N(Reales!K46)),K$185*IF(AND(AND(6&gt;Corte,6&lt;=Corte+n_Ventana),ISNUMBER(Detalle_24m!K$50)),Detalle_24m!K$50,INDEX(Precio_V,9)*INDEX(IdxPrecio_V,1,MIN(10,K$173)))*(1+V_dPrecio))</f>
        <v>0</v>
      </c>
      <c r="L210" s="48" t="n">
        <f aca="false">IF(L$8=1,IF(Reales!$C$46="PYG",IF(L$10&gt;0,N(Reales!L46)/L$10,0),N(Reales!L46)),L$185*IF(AND(AND(7&gt;Corte,7&lt;=Corte+n_Ventana),ISNUMBER(Detalle_24m!L$50)),Detalle_24m!L$50,INDEX(Precio_V,9)*INDEX(IdxPrecio_V,1,MIN(10,L$173)))*(1+V_dPrecio))</f>
        <v>0</v>
      </c>
      <c r="M210" s="48" t="n">
        <f aca="false">IF(M$8=1,IF(Reales!$C$46="PYG",IF(M$10&gt;0,N(Reales!M46)/M$10,0),N(Reales!M46)),M$185*IF(AND(AND(8&gt;Corte,8&lt;=Corte+n_Ventana),ISNUMBER(Detalle_24m!M$50)),Detalle_24m!M$50,INDEX(Precio_V,9)*INDEX(IdxPrecio_V,1,MIN(10,M$173)))*(1+V_dPrecio))</f>
        <v>0</v>
      </c>
      <c r="N210" s="48" t="n">
        <f aca="false">IF(N$8=1,IF(Reales!$C$46="PYG",IF(N$10&gt;0,N(Reales!N46)/N$10,0),N(Reales!N46)),N$185*IF(AND(AND(9&gt;Corte,9&lt;=Corte+n_Ventana),ISNUMBER(Detalle_24m!N$50)),Detalle_24m!N$50,INDEX(Precio_V,9)*INDEX(IdxPrecio_V,1,MIN(10,N$173)))*(1+V_dPrecio))</f>
        <v>0</v>
      </c>
      <c r="O210" s="48" t="n">
        <f aca="false">IF(O$8=1,IF(Reales!$C$46="PYG",IF(O$10&gt;0,N(Reales!O46)/O$10,0),N(Reales!O46)),O$185*IF(AND(AND(10&gt;Corte,10&lt;=Corte+n_Ventana),ISNUMBER(Detalle_24m!O$50)),Detalle_24m!O$50,INDEX(Precio_V,9)*INDEX(IdxPrecio_V,1,MIN(10,O$173)))*(1+V_dPrecio))</f>
        <v>0</v>
      </c>
      <c r="P210" s="48" t="n">
        <f aca="false">IF(P$8=1,IF(Reales!$C$46="PYG",IF(P$10&gt;0,N(Reales!P46)/P$10,0),N(Reales!P46)),P$185*IF(AND(AND(11&gt;Corte,11&lt;=Corte+n_Ventana),ISNUMBER(Detalle_24m!P$50)),Detalle_24m!P$50,INDEX(Precio_V,9)*INDEX(IdxPrecio_V,1,MIN(10,P$173)))*(1+V_dPrecio))</f>
        <v>0</v>
      </c>
      <c r="Q210" s="48" t="n">
        <f aca="false">IF(Q$8=1,IF(Reales!$C$46="PYG",IF(Q$10&gt;0,N(Reales!Q46)/Q$10,0),N(Reales!Q46)),Q$185*IF(AND(AND(12&gt;Corte,12&lt;=Corte+n_Ventana),ISNUMBER(Detalle_24m!Q$50)),Detalle_24m!Q$50,INDEX(Precio_V,9)*INDEX(IdxPrecio_V,1,MIN(10,Q$173)))*(1+V_dPrecio))</f>
        <v>0</v>
      </c>
      <c r="R210" s="48" t="n">
        <f aca="false">IF(R$8=1,IF(Reales!$C$46="PYG",IF(R$10&gt;0,N(Reales!R46)/R$10,0),N(Reales!R46)),R$185*IF(AND(AND(13&gt;Corte,13&lt;=Corte+n_Ventana),ISNUMBER(Detalle_24m!R$50)),Detalle_24m!R$50,INDEX(Precio_V,9)*INDEX(IdxPrecio_V,1,MIN(10,R$173)))*(1+V_dPrecio))</f>
        <v>0</v>
      </c>
      <c r="S210" s="48" t="n">
        <f aca="false">IF(S$8=1,IF(Reales!$C$46="PYG",IF(S$10&gt;0,N(Reales!S46)/S$10,0),N(Reales!S46)),S$185*IF(AND(AND(14&gt;Corte,14&lt;=Corte+n_Ventana),ISNUMBER(Detalle_24m!S$50)),Detalle_24m!S$50,INDEX(Precio_V,9)*INDEX(IdxPrecio_V,1,MIN(10,S$173)))*(1+V_dPrecio))</f>
        <v>0</v>
      </c>
      <c r="T210" s="48" t="n">
        <f aca="false">IF(T$8=1,IF(Reales!$C$46="PYG",IF(T$10&gt;0,N(Reales!T46)/T$10,0),N(Reales!T46)),T$185*IF(AND(AND(15&gt;Corte,15&lt;=Corte+n_Ventana),ISNUMBER(Detalle_24m!T$50)),Detalle_24m!T$50,INDEX(Precio_V,9)*INDEX(IdxPrecio_V,1,MIN(10,T$173)))*(1+V_dPrecio))</f>
        <v>0</v>
      </c>
      <c r="U210" s="48" t="n">
        <f aca="false">IF(U$8=1,IF(Reales!$C$46="PYG",IF(U$10&gt;0,N(Reales!U46)/U$10,0),N(Reales!U46)),U$185*IF(AND(AND(16&gt;Corte,16&lt;=Corte+n_Ventana),ISNUMBER(Detalle_24m!U$50)),Detalle_24m!U$50,INDEX(Precio_V,9)*INDEX(IdxPrecio_V,1,MIN(10,U$173)))*(1+V_dPrecio))</f>
        <v>0</v>
      </c>
      <c r="V210" s="48" t="n">
        <f aca="false">IF(V$8=1,IF(Reales!$C$46="PYG",IF(V$10&gt;0,N(Reales!V46)/V$10,0),N(Reales!V46)),V$185*IF(AND(AND(17&gt;Corte,17&lt;=Corte+n_Ventana),ISNUMBER(Detalle_24m!V$50)),Detalle_24m!V$50,INDEX(Precio_V,9)*INDEX(IdxPrecio_V,1,MIN(10,V$173)))*(1+V_dPrecio))</f>
        <v>0</v>
      </c>
      <c r="W210" s="48" t="n">
        <f aca="false">IF(W$8=1,IF(Reales!$C$46="PYG",IF(W$10&gt;0,N(Reales!W46)/W$10,0),N(Reales!W46)),W$185*IF(AND(AND(18&gt;Corte,18&lt;=Corte+n_Ventana),ISNUMBER(Detalle_24m!W$50)),Detalle_24m!W$50,INDEX(Precio_V,9)*INDEX(IdxPrecio_V,1,MIN(10,W$173)))*(1+V_dPrecio))</f>
        <v>0</v>
      </c>
      <c r="X210" s="48" t="n">
        <f aca="false">IF(X$8=1,IF(Reales!$C$46="PYG",IF(X$10&gt;0,N(Reales!X46)/X$10,0),N(Reales!X46)),X$185*IF(AND(AND(19&gt;Corte,19&lt;=Corte+n_Ventana),ISNUMBER(Detalle_24m!X$50)),Detalle_24m!X$50,INDEX(Precio_V,9)*INDEX(IdxPrecio_V,1,MIN(10,X$173)))*(1+V_dPrecio))</f>
        <v>0</v>
      </c>
      <c r="Y210" s="48" t="n">
        <f aca="false">IF(Y$8=1,IF(Reales!$C$46="PYG",IF(Y$10&gt;0,N(Reales!Y46)/Y$10,0),N(Reales!Y46)),Y$185*IF(AND(AND(20&gt;Corte,20&lt;=Corte+n_Ventana),ISNUMBER(Detalle_24m!Y$50)),Detalle_24m!Y$50,INDEX(Precio_V,9)*INDEX(IdxPrecio_V,1,MIN(10,Y$173)))*(1+V_dPrecio))</f>
        <v>0</v>
      </c>
      <c r="Z210" s="48" t="n">
        <f aca="false">IF(Z$8=1,IF(Reales!$C$46="PYG",IF(Z$10&gt;0,N(Reales!Z46)/Z$10,0),N(Reales!Z46)),Z$185*IF(AND(AND(21&gt;Corte,21&lt;=Corte+n_Ventana),ISNUMBER(Detalle_24m!Z$50)),Detalle_24m!Z$50,INDEX(Precio_V,9)*INDEX(IdxPrecio_V,1,MIN(10,Z$173)))*(1+V_dPrecio))</f>
        <v>0</v>
      </c>
      <c r="AA210" s="48" t="n">
        <f aca="false">IF(AA$8=1,IF(Reales!$C$46="PYG",IF(AA$10&gt;0,N(Reales!AA46)/AA$10,0),N(Reales!AA46)),AA$185*IF(AND(AND(22&gt;Corte,22&lt;=Corte+n_Ventana),ISNUMBER(Detalle_24m!AA$50)),Detalle_24m!AA$50,INDEX(Precio_V,9)*INDEX(IdxPrecio_V,1,MIN(10,AA$173)))*(1+V_dPrecio))</f>
        <v>0</v>
      </c>
      <c r="AB210" s="48" t="n">
        <f aca="false">IF(AB$8=1,IF(Reales!$C$46="PYG",IF(AB$10&gt;0,N(Reales!AB46)/AB$10,0),N(Reales!AB46)),AB$185*IF(AND(AND(23&gt;Corte,23&lt;=Corte+n_Ventana),ISNUMBER(Detalle_24m!AB$50)),Detalle_24m!AB$50,INDEX(Precio_V,9)*INDEX(IdxPrecio_V,1,MIN(10,AB$173)))*(1+V_dPrecio))</f>
        <v>0</v>
      </c>
      <c r="AC210" s="48" t="n">
        <f aca="false">IF(AC$8=1,IF(Reales!$C$46="PYG",IF(AC$10&gt;0,N(Reales!AC46)/AC$10,0),N(Reales!AC46)),AC$185*IF(AND(AND(24&gt;Corte,24&lt;=Corte+n_Ventana),ISNUMBER(Detalle_24m!AC$50)),Detalle_24m!AC$50,INDEX(Precio_V,9)*INDEX(IdxPrecio_V,1,MIN(10,AC$173)))*(1+V_dPrecio))</f>
        <v>0</v>
      </c>
      <c r="AD210" s="48" t="n">
        <f aca="false">IF(AD$8=1,IF(Reales!$C$46="PYG",IF(AD$10&gt;0,N(Reales!AD46)/AD$10,0),N(Reales!AD46)),AD$185*IF(AND(AND(25&gt;Corte,25&lt;=Corte+n_Ventana),ISNUMBER(Detalle_24m!AD$50)),Detalle_24m!AD$50,INDEX(Precio_V,9)*INDEX(IdxPrecio_V,1,MIN(10,AD$173)))*(1+V_dPrecio))</f>
        <v>0</v>
      </c>
      <c r="AE210" s="48" t="n">
        <f aca="false">IF(AE$8=1,IF(Reales!$C$46="PYG",IF(AE$10&gt;0,N(Reales!AE46)/AE$10,0),N(Reales!AE46)),AE$185*IF(AND(AND(26&gt;Corte,26&lt;=Corte+n_Ventana),ISNUMBER(Detalle_24m!AE$50)),Detalle_24m!AE$50,INDEX(Precio_V,9)*INDEX(IdxPrecio_V,1,MIN(10,AE$173)))*(1+V_dPrecio))</f>
        <v>0</v>
      </c>
      <c r="AF210" s="48" t="n">
        <f aca="false">IF(AF$8=1,IF(Reales!$C$46="PYG",IF(AF$10&gt;0,N(Reales!AF46)/AF$10,0),N(Reales!AF46)),AF$185*IF(AND(AND(27&gt;Corte,27&lt;=Corte+n_Ventana),ISNUMBER(Detalle_24m!AF$50)),Detalle_24m!AF$50,INDEX(Precio_V,9)*INDEX(IdxPrecio_V,1,MIN(10,AF$173)))*(1+V_dPrecio))</f>
        <v>0</v>
      </c>
      <c r="AG210" s="48" t="n">
        <f aca="false">IF(AG$8=1,IF(Reales!$C$46="PYG",IF(AG$10&gt;0,N(Reales!AG46)/AG$10,0),N(Reales!AG46)),AG$185*IF(AND(AND(28&gt;Corte,28&lt;=Corte+n_Ventana),ISNUMBER(Detalle_24m!AG$50)),Detalle_24m!AG$50,INDEX(Precio_V,9)*INDEX(IdxPrecio_V,1,MIN(10,AG$173)))*(1+V_dPrecio))</f>
        <v>0</v>
      </c>
      <c r="AH210" s="48" t="n">
        <f aca="false">IF(AH$8=1,IF(Reales!$C$46="PYG",IF(AH$10&gt;0,N(Reales!AH46)/AH$10,0),N(Reales!AH46)),AH$185*IF(AND(AND(29&gt;Corte,29&lt;=Corte+n_Ventana),ISNUMBER(Detalle_24m!AH$50)),Detalle_24m!AH$50,INDEX(Precio_V,9)*INDEX(IdxPrecio_V,1,MIN(10,AH$173)))*(1+V_dPrecio))</f>
        <v>0</v>
      </c>
      <c r="AI210" s="48" t="n">
        <f aca="false">IF(AI$8=1,IF(Reales!$C$46="PYG",IF(AI$10&gt;0,N(Reales!AI46)/AI$10,0),N(Reales!AI46)),AI$185*IF(AND(AND(30&gt;Corte,30&lt;=Corte+n_Ventana),ISNUMBER(Detalle_24m!AI$50)),Detalle_24m!AI$50,INDEX(Precio_V,9)*INDEX(IdxPrecio_V,1,MIN(10,AI$173)))*(1+V_dPrecio))</f>
        <v>0</v>
      </c>
      <c r="AJ210" s="48" t="n">
        <f aca="false">IF(AJ$8=1,IF(Reales!$C$46="PYG",IF(AJ$10&gt;0,N(Reales!AJ46)/AJ$10,0),N(Reales!AJ46)),AJ$185*IF(AND(AND(31&gt;Corte,31&lt;=Corte+n_Ventana),ISNUMBER(Detalle_24m!AJ$50)),Detalle_24m!AJ$50,INDEX(Precio_V,9)*INDEX(IdxPrecio_V,1,MIN(10,AJ$173)))*(1+V_dPrecio))</f>
        <v>0</v>
      </c>
      <c r="AK210" s="48" t="n">
        <f aca="false">IF(AK$8=1,IF(Reales!$C$46="PYG",IF(AK$10&gt;0,N(Reales!AK46)/AK$10,0),N(Reales!AK46)),AK$185*IF(AND(AND(32&gt;Corte,32&lt;=Corte+n_Ventana),ISNUMBER(Detalle_24m!AK$50)),Detalle_24m!AK$50,INDEX(Precio_V,9)*INDEX(IdxPrecio_V,1,MIN(10,AK$173)))*(1+V_dPrecio))</f>
        <v>0</v>
      </c>
      <c r="AL210" s="48" t="n">
        <f aca="false">IF(AL$8=1,IF(Reales!$C$46="PYG",IF(AL$10&gt;0,N(Reales!AL46)/AL$10,0),N(Reales!AL46)),AL$185*IF(AND(AND(33&gt;Corte,33&lt;=Corte+n_Ventana),ISNUMBER(Detalle_24m!AL$50)),Detalle_24m!AL$50,INDEX(Precio_V,9)*INDEX(IdxPrecio_V,1,MIN(10,AL$173)))*(1+V_dPrecio))</f>
        <v>0</v>
      </c>
      <c r="AM210" s="48" t="n">
        <f aca="false">IF(AM$8=1,IF(Reales!$C$46="PYG",IF(AM$10&gt;0,N(Reales!AM46)/AM$10,0),N(Reales!AM46)),AM$185*IF(AND(AND(34&gt;Corte,34&lt;=Corte+n_Ventana),ISNUMBER(Detalle_24m!AM$50)),Detalle_24m!AM$50,INDEX(Precio_V,9)*INDEX(IdxPrecio_V,1,MIN(10,AM$173)))*(1+V_dPrecio))</f>
        <v>0</v>
      </c>
      <c r="AN210" s="48" t="n">
        <f aca="false">IF(AN$8=1,IF(Reales!$C$46="PYG",IF(AN$10&gt;0,N(Reales!AN46)/AN$10,0),N(Reales!AN46)),AN$185*IF(AND(AND(35&gt;Corte,35&lt;=Corte+n_Ventana),ISNUMBER(Detalle_24m!AN$50)),Detalle_24m!AN$50,INDEX(Precio_V,9)*INDEX(IdxPrecio_V,1,MIN(10,AN$173)))*(1+V_dPrecio))</f>
        <v>0</v>
      </c>
      <c r="AO210" s="48" t="n">
        <f aca="false">IF(AO$8=1,IF(Reales!$C$46="PYG",IF(AO$10&gt;0,N(Reales!AO46)/AO$10,0),N(Reales!AO46)),AO$185*IF(AND(AND(36&gt;Corte,36&lt;=Corte+n_Ventana),ISNUMBER(Detalle_24m!AO$50)),Detalle_24m!AO$50,INDEX(Precio_V,9)*INDEX(IdxPrecio_V,1,MIN(10,AO$173)))*(1+V_dPrecio))</f>
        <v>0</v>
      </c>
      <c r="AP210" s="48" t="n">
        <f aca="false">IF(AP$8=1,IF(Reales!$C$46="PYG",IF(AP$10&gt;0,N(Reales!AP46)/AP$10,0),N(Reales!AP46)),AP$185*IF(AND(AND(37&gt;Corte,37&lt;=Corte+n_Ventana),ISNUMBER(Detalle_24m!AP$50)),Detalle_24m!AP$50,INDEX(Precio_V,9)*INDEX(IdxPrecio_V,1,MIN(10,AP$173)))*(1+V_dPrecio))</f>
        <v>0</v>
      </c>
      <c r="AQ210" s="48" t="n">
        <f aca="false">IF(AQ$8=1,IF(Reales!$C$46="PYG",IF(AQ$10&gt;0,N(Reales!AQ46)/AQ$10,0),N(Reales!AQ46)),AQ$185*IF(AND(AND(38&gt;Corte,38&lt;=Corte+n_Ventana),ISNUMBER(Detalle_24m!AQ$50)),Detalle_24m!AQ$50,INDEX(Precio_V,9)*INDEX(IdxPrecio_V,1,MIN(10,AQ$173)))*(1+V_dPrecio))</f>
        <v>0</v>
      </c>
      <c r="AR210" s="48" t="n">
        <f aca="false">IF(AR$8=1,IF(Reales!$C$46="PYG",IF(AR$10&gt;0,N(Reales!AR46)/AR$10,0),N(Reales!AR46)),AR$185*IF(AND(AND(39&gt;Corte,39&lt;=Corte+n_Ventana),ISNUMBER(Detalle_24m!AR$50)),Detalle_24m!AR$50,INDEX(Precio_V,9)*INDEX(IdxPrecio_V,1,MIN(10,AR$173)))*(1+V_dPrecio))</f>
        <v>0</v>
      </c>
      <c r="AS210" s="48" t="n">
        <f aca="false">IF(AS$8=1,IF(Reales!$C$46="PYG",IF(AS$10&gt;0,N(Reales!AS46)/AS$10,0),N(Reales!AS46)),AS$185*IF(AND(AND(40&gt;Corte,40&lt;=Corte+n_Ventana),ISNUMBER(Detalle_24m!AS$50)),Detalle_24m!AS$50,INDEX(Precio_V,9)*INDEX(IdxPrecio_V,1,MIN(10,AS$173)))*(1+V_dPrecio))</f>
        <v>0</v>
      </c>
      <c r="AT210" s="48" t="n">
        <f aca="false">IF(AT$8=1,IF(Reales!$C$46="PYG",IF(AT$10&gt;0,N(Reales!AT46)/AT$10,0),N(Reales!AT46)),AT$185*IF(AND(AND(41&gt;Corte,41&lt;=Corte+n_Ventana),ISNUMBER(Detalle_24m!AT$50)),Detalle_24m!AT$50,INDEX(Precio_V,9)*INDEX(IdxPrecio_V,1,MIN(10,AT$173)))*(1+V_dPrecio))</f>
        <v>0</v>
      </c>
      <c r="AU210" s="48" t="n">
        <f aca="false">IF(AU$8=1,IF(Reales!$C$46="PYG",IF(AU$10&gt;0,N(Reales!AU46)/AU$10,0),N(Reales!AU46)),AU$185*IF(AND(AND(42&gt;Corte,42&lt;=Corte+n_Ventana),ISNUMBER(Detalle_24m!AU$50)),Detalle_24m!AU$50,INDEX(Precio_V,9)*INDEX(IdxPrecio_V,1,MIN(10,AU$173)))*(1+V_dPrecio))</f>
        <v>0</v>
      </c>
      <c r="AV210" s="48" t="n">
        <f aca="false">IF(AV$8=1,IF(Reales!$C$46="PYG",IF(AV$10&gt;0,N(Reales!AV46)/AV$10,0),N(Reales!AV46)),AV$185*IF(AND(AND(43&gt;Corte,43&lt;=Corte+n_Ventana),ISNUMBER(Detalle_24m!AV$50)),Detalle_24m!AV$50,INDEX(Precio_V,9)*INDEX(IdxPrecio_V,1,MIN(10,AV$173)))*(1+V_dPrecio))</f>
        <v>0</v>
      </c>
      <c r="AW210" s="48" t="n">
        <f aca="false">IF(AW$8=1,IF(Reales!$C$46="PYG",IF(AW$10&gt;0,N(Reales!AW46)/AW$10,0),N(Reales!AW46)),AW$185*IF(AND(AND(44&gt;Corte,44&lt;=Corte+n_Ventana),ISNUMBER(Detalle_24m!AW$50)),Detalle_24m!AW$50,INDEX(Precio_V,9)*INDEX(IdxPrecio_V,1,MIN(10,AW$173)))*(1+V_dPrecio))</f>
        <v>0</v>
      </c>
      <c r="AX210" s="48" t="n">
        <f aca="false">IF(AX$8=1,IF(Reales!$C$46="PYG",IF(AX$10&gt;0,N(Reales!AX46)/AX$10,0),N(Reales!AX46)),AX$185*IF(AND(AND(45&gt;Corte,45&lt;=Corte+n_Ventana),ISNUMBER(Detalle_24m!AX$50)),Detalle_24m!AX$50,INDEX(Precio_V,9)*INDEX(IdxPrecio_V,1,MIN(10,AX$173)))*(1+V_dPrecio))</f>
        <v>0</v>
      </c>
      <c r="AY210" s="48" t="n">
        <f aca="false">IF(AY$8=1,IF(Reales!$C$46="PYG",IF(AY$10&gt;0,N(Reales!AY46)/AY$10,0),N(Reales!AY46)),AY$185*IF(AND(AND(46&gt;Corte,46&lt;=Corte+n_Ventana),ISNUMBER(Detalle_24m!AY$50)),Detalle_24m!AY$50,INDEX(Precio_V,9)*INDEX(IdxPrecio_V,1,MIN(10,AY$173)))*(1+V_dPrecio))</f>
        <v>0</v>
      </c>
      <c r="AZ210" s="48" t="n">
        <f aca="false">IF(AZ$8=1,IF(Reales!$C$46="PYG",IF(AZ$10&gt;0,N(Reales!AZ46)/AZ$10,0),N(Reales!AZ46)),AZ$185*IF(AND(AND(47&gt;Corte,47&lt;=Corte+n_Ventana),ISNUMBER(Detalle_24m!AZ$50)),Detalle_24m!AZ$50,INDEX(Precio_V,9)*INDEX(IdxPrecio_V,1,MIN(10,AZ$173)))*(1+V_dPrecio))</f>
        <v>0</v>
      </c>
      <c r="BA210" s="48" t="n">
        <f aca="false">IF(BA$8=1,IF(Reales!$C$46="PYG",IF(BA$10&gt;0,N(Reales!BA46)/BA$10,0),N(Reales!BA46)),BA$185*IF(AND(AND(48&gt;Corte,48&lt;=Corte+n_Ventana),ISNUMBER(Detalle_24m!BA$50)),Detalle_24m!BA$50,INDEX(Precio_V,9)*INDEX(IdxPrecio_V,1,MIN(10,BA$173)))*(1+V_dPrecio))</f>
        <v>0</v>
      </c>
      <c r="BB210" s="48" t="n">
        <f aca="false">IF(BB$8=1,IF(Reales!$C$46="PYG",IF(BB$10&gt;0,N(Reales!BB46)/BB$10,0),N(Reales!BB46)),BB$185*IF(AND(AND(49&gt;Corte,49&lt;=Corte+n_Ventana),ISNUMBER(Detalle_24m!BB$50)),Detalle_24m!BB$50,INDEX(Precio_V,9)*INDEX(IdxPrecio_V,1,MIN(10,BB$173)))*(1+V_dPrecio))</f>
        <v>0</v>
      </c>
      <c r="BC210" s="48" t="n">
        <f aca="false">IF(BC$8=1,IF(Reales!$C$46="PYG",IF(BC$10&gt;0,N(Reales!BC46)/BC$10,0),N(Reales!BC46)),BC$185*IF(AND(AND(50&gt;Corte,50&lt;=Corte+n_Ventana),ISNUMBER(Detalle_24m!BC$50)),Detalle_24m!BC$50,INDEX(Precio_V,9)*INDEX(IdxPrecio_V,1,MIN(10,BC$173)))*(1+V_dPrecio))</f>
        <v>0</v>
      </c>
      <c r="BD210" s="48" t="n">
        <f aca="false">IF(BD$8=1,IF(Reales!$C$46="PYG",IF(BD$10&gt;0,N(Reales!BD46)/BD$10,0),N(Reales!BD46)),BD$185*IF(AND(AND(51&gt;Corte,51&lt;=Corte+n_Ventana),ISNUMBER(Detalle_24m!BD$50)),Detalle_24m!BD$50,INDEX(Precio_V,9)*INDEX(IdxPrecio_V,1,MIN(10,BD$173)))*(1+V_dPrecio))</f>
        <v>0</v>
      </c>
      <c r="BE210" s="48" t="n">
        <f aca="false">IF(BE$8=1,IF(Reales!$C$46="PYG",IF(BE$10&gt;0,N(Reales!BE46)/BE$10,0),N(Reales!BE46)),BE$185*IF(AND(AND(52&gt;Corte,52&lt;=Corte+n_Ventana),ISNUMBER(Detalle_24m!BE$50)),Detalle_24m!BE$50,INDEX(Precio_V,9)*INDEX(IdxPrecio_V,1,MIN(10,BE$173)))*(1+V_dPrecio))</f>
        <v>0</v>
      </c>
      <c r="BF210" s="48" t="n">
        <f aca="false">IF(BF$8=1,IF(Reales!$C$46="PYG",IF(BF$10&gt;0,N(Reales!BF46)/BF$10,0),N(Reales!BF46)),BF$185*IF(AND(AND(53&gt;Corte,53&lt;=Corte+n_Ventana),ISNUMBER(Detalle_24m!BF$50)),Detalle_24m!BF$50,INDEX(Precio_V,9)*INDEX(IdxPrecio_V,1,MIN(10,BF$173)))*(1+V_dPrecio))</f>
        <v>0</v>
      </c>
      <c r="BG210" s="48" t="n">
        <f aca="false">IF(BG$8=1,IF(Reales!$C$46="PYG",IF(BG$10&gt;0,N(Reales!BG46)/BG$10,0),N(Reales!BG46)),BG$185*IF(AND(AND(54&gt;Corte,54&lt;=Corte+n_Ventana),ISNUMBER(Detalle_24m!BG$50)),Detalle_24m!BG$50,INDEX(Precio_V,9)*INDEX(IdxPrecio_V,1,MIN(10,BG$173)))*(1+V_dPrecio))</f>
        <v>0</v>
      </c>
      <c r="BH210" s="48" t="n">
        <f aca="false">IF(BH$8=1,IF(Reales!$C$46="PYG",IF(BH$10&gt;0,N(Reales!BH46)/BH$10,0),N(Reales!BH46)),BH$185*IF(AND(AND(55&gt;Corte,55&lt;=Corte+n_Ventana),ISNUMBER(Detalle_24m!BH$50)),Detalle_24m!BH$50,INDEX(Precio_V,9)*INDEX(IdxPrecio_V,1,MIN(10,BH$173)))*(1+V_dPrecio))</f>
        <v>0</v>
      </c>
      <c r="BI210" s="48" t="n">
        <f aca="false">IF(BI$8=1,IF(Reales!$C$46="PYG",IF(BI$10&gt;0,N(Reales!BI46)/BI$10,0),N(Reales!BI46)),BI$185*IF(AND(AND(56&gt;Corte,56&lt;=Corte+n_Ventana),ISNUMBER(Detalle_24m!BI$50)),Detalle_24m!BI$50,INDEX(Precio_V,9)*INDEX(IdxPrecio_V,1,MIN(10,BI$173)))*(1+V_dPrecio))</f>
        <v>0</v>
      </c>
      <c r="BJ210" s="48" t="n">
        <f aca="false">IF(BJ$8=1,IF(Reales!$C$46="PYG",IF(BJ$10&gt;0,N(Reales!BJ46)/BJ$10,0),N(Reales!BJ46)),BJ$185*IF(AND(AND(57&gt;Corte,57&lt;=Corte+n_Ventana),ISNUMBER(Detalle_24m!BJ$50)),Detalle_24m!BJ$50,INDEX(Precio_V,9)*INDEX(IdxPrecio_V,1,MIN(10,BJ$173)))*(1+V_dPrecio))</f>
        <v>0</v>
      </c>
      <c r="BK210" s="48" t="n">
        <f aca="false">IF(BK$8=1,IF(Reales!$C$46="PYG",IF(BK$10&gt;0,N(Reales!BK46)/BK$10,0),N(Reales!BK46)),BK$185*IF(AND(AND(58&gt;Corte,58&lt;=Corte+n_Ventana),ISNUMBER(Detalle_24m!BK$50)),Detalle_24m!BK$50,INDEX(Precio_V,9)*INDEX(IdxPrecio_V,1,MIN(10,BK$173)))*(1+V_dPrecio))</f>
        <v>0</v>
      </c>
      <c r="BL210" s="48" t="n">
        <f aca="false">IF(BL$8=1,IF(Reales!$C$46="PYG",IF(BL$10&gt;0,N(Reales!BL46)/BL$10,0),N(Reales!BL46)),BL$185*IF(AND(AND(59&gt;Corte,59&lt;=Corte+n_Ventana),ISNUMBER(Detalle_24m!BL$50)),Detalle_24m!BL$50,INDEX(Precio_V,9)*INDEX(IdxPrecio_V,1,MIN(10,BL$173)))*(1+V_dPrecio))</f>
        <v>0</v>
      </c>
      <c r="BM210" s="48" t="n">
        <f aca="false">IF(BM$8=1,IF(Reales!$C$46="PYG",IF(BM$10&gt;0,N(Reales!BM46)/BM$10,0),N(Reales!BM46)),BM$185*IF(AND(AND(60&gt;Corte,60&lt;=Corte+n_Ventana),ISNUMBER(Detalle_24m!BM$50)),Detalle_24m!BM$50,INDEX(Precio_V,9)*INDEX(IdxPrecio_V,1,MIN(10,BM$173)))*(1+V_dPrecio))</f>
        <v>0</v>
      </c>
      <c r="BN210" s="48" t="n">
        <f aca="false">IF(BN$8=1,IF(Reales!$C$46="PYG",IF(BN$10&gt;0,N(Reales!BN46)/BN$10,0),N(Reales!BN46)),BN$185*IF(AND(AND(61&gt;Corte,61&lt;=Corte+n_Ventana),ISNUMBER(Detalle_24m!BN$50)),Detalle_24m!BN$50,INDEX(Precio_V,9)*INDEX(IdxPrecio_V,1,MIN(10,BN$173)))*(1+V_dPrecio))</f>
        <v>0</v>
      </c>
      <c r="BO210" s="48" t="n">
        <f aca="false">IF(BO$8=1,IF(Reales!$C$46="PYG",IF(BO$10&gt;0,N(Reales!BO46)/BO$10,0),N(Reales!BO46)),BO$185*IF(AND(AND(62&gt;Corte,62&lt;=Corte+n_Ventana),ISNUMBER(Detalle_24m!BO$50)),Detalle_24m!BO$50,INDEX(Precio_V,9)*INDEX(IdxPrecio_V,1,MIN(10,BO$173)))*(1+V_dPrecio))</f>
        <v>0</v>
      </c>
      <c r="BP210" s="48" t="n">
        <f aca="false">IF(BP$8=1,IF(Reales!$C$46="PYG",IF(BP$10&gt;0,N(Reales!BP46)/BP$10,0),N(Reales!BP46)),BP$185*IF(AND(AND(63&gt;Corte,63&lt;=Corte+n_Ventana),ISNUMBER(Detalle_24m!BP$50)),Detalle_24m!BP$50,INDEX(Precio_V,9)*INDEX(IdxPrecio_V,1,MIN(10,BP$173)))*(1+V_dPrecio))</f>
        <v>0</v>
      </c>
      <c r="BQ210" s="48" t="n">
        <f aca="false">IF(BQ$8=1,IF(Reales!$C$46="PYG",IF(BQ$10&gt;0,N(Reales!BQ46)/BQ$10,0),N(Reales!BQ46)),BQ$185*IF(AND(AND(64&gt;Corte,64&lt;=Corte+n_Ventana),ISNUMBER(Detalle_24m!BQ$50)),Detalle_24m!BQ$50,INDEX(Precio_V,9)*INDEX(IdxPrecio_V,1,MIN(10,BQ$173)))*(1+V_dPrecio))</f>
        <v>0</v>
      </c>
      <c r="BR210" s="48" t="n">
        <f aca="false">IF(BR$8=1,IF(Reales!$C$46="PYG",IF(BR$10&gt;0,N(Reales!BR46)/BR$10,0),N(Reales!BR46)),BR$185*IF(AND(AND(65&gt;Corte,65&lt;=Corte+n_Ventana),ISNUMBER(Detalle_24m!BR$50)),Detalle_24m!BR$50,INDEX(Precio_V,9)*INDEX(IdxPrecio_V,1,MIN(10,BR$173)))*(1+V_dPrecio))</f>
        <v>0</v>
      </c>
      <c r="BS210" s="48" t="n">
        <f aca="false">IF(BS$8=1,IF(Reales!$C$46="PYG",IF(BS$10&gt;0,N(Reales!BS46)/BS$10,0),N(Reales!BS46)),BS$185*IF(AND(AND(66&gt;Corte,66&lt;=Corte+n_Ventana),ISNUMBER(Detalle_24m!BS$50)),Detalle_24m!BS$50,INDEX(Precio_V,9)*INDEX(IdxPrecio_V,1,MIN(10,BS$173)))*(1+V_dPrecio))</f>
        <v>0</v>
      </c>
      <c r="BT210" s="48" t="n">
        <f aca="false">IF(BT$8=1,IF(Reales!$C$46="PYG",IF(BT$10&gt;0,N(Reales!BT46)/BT$10,0),N(Reales!BT46)),BT$185*IF(AND(AND(67&gt;Corte,67&lt;=Corte+n_Ventana),ISNUMBER(Detalle_24m!BT$50)),Detalle_24m!BT$50,INDEX(Precio_V,9)*INDEX(IdxPrecio_V,1,MIN(10,BT$173)))*(1+V_dPrecio))</f>
        <v>0</v>
      </c>
      <c r="BU210" s="48" t="n">
        <f aca="false">IF(BU$8=1,IF(Reales!$C$46="PYG",IF(BU$10&gt;0,N(Reales!BU46)/BU$10,0),N(Reales!BU46)),BU$185*IF(AND(AND(68&gt;Corte,68&lt;=Corte+n_Ventana),ISNUMBER(Detalle_24m!BU$50)),Detalle_24m!BU$50,INDEX(Precio_V,9)*INDEX(IdxPrecio_V,1,MIN(10,BU$173)))*(1+V_dPrecio))</f>
        <v>0</v>
      </c>
      <c r="BV210" s="48" t="n">
        <f aca="false">IF(BV$8=1,IF(Reales!$C$46="PYG",IF(BV$10&gt;0,N(Reales!BV46)/BV$10,0),N(Reales!BV46)),BV$185*IF(AND(AND(69&gt;Corte,69&lt;=Corte+n_Ventana),ISNUMBER(Detalle_24m!BV$50)),Detalle_24m!BV$50,INDEX(Precio_V,9)*INDEX(IdxPrecio_V,1,MIN(10,BV$173)))*(1+V_dPrecio))</f>
        <v>0</v>
      </c>
      <c r="BW210" s="48" t="n">
        <f aca="false">IF(BW$8=1,IF(Reales!$C$46="PYG",IF(BW$10&gt;0,N(Reales!BW46)/BW$10,0),N(Reales!BW46)),BW$185*IF(AND(AND(70&gt;Corte,70&lt;=Corte+n_Ventana),ISNUMBER(Detalle_24m!BW$50)),Detalle_24m!BW$50,INDEX(Precio_V,9)*INDEX(IdxPrecio_V,1,MIN(10,BW$173)))*(1+V_dPrecio))</f>
        <v>0</v>
      </c>
      <c r="BX210" s="48" t="n">
        <f aca="false">IF(BX$8=1,IF(Reales!$C$46="PYG",IF(BX$10&gt;0,N(Reales!BX46)/BX$10,0),N(Reales!BX46)),BX$185*IF(AND(AND(71&gt;Corte,71&lt;=Corte+n_Ventana),ISNUMBER(Detalle_24m!BX$50)),Detalle_24m!BX$50,INDEX(Precio_V,9)*INDEX(IdxPrecio_V,1,MIN(10,BX$173)))*(1+V_dPrecio))</f>
        <v>0</v>
      </c>
      <c r="BY210" s="48" t="n">
        <f aca="false">IF(BY$8=1,IF(Reales!$C$46="PYG",IF(BY$10&gt;0,N(Reales!BY46)/BY$10,0),N(Reales!BY46)),BY$185*IF(AND(AND(72&gt;Corte,72&lt;=Corte+n_Ventana),ISNUMBER(Detalle_24m!BY$50)),Detalle_24m!BY$50,INDEX(Precio_V,9)*INDEX(IdxPrecio_V,1,MIN(10,BY$173)))*(1+V_dPrecio))</f>
        <v>0</v>
      </c>
      <c r="BZ210" s="48" t="n">
        <f aca="false">IF(BZ$8=1,IF(Reales!$C$46="PYG",IF(BZ$10&gt;0,N(Reales!BZ46)/BZ$10,0),N(Reales!BZ46)),BZ$185*IF(AND(AND(73&gt;Corte,73&lt;=Corte+n_Ventana),ISNUMBER(Detalle_24m!BZ$50)),Detalle_24m!BZ$50,INDEX(Precio_V,9)*INDEX(IdxPrecio_V,1,MIN(10,BZ$173)))*(1+V_dPrecio))</f>
        <v>0</v>
      </c>
      <c r="CA210" s="48" t="n">
        <f aca="false">IF(CA$8=1,IF(Reales!$C$46="PYG",IF(CA$10&gt;0,N(Reales!CA46)/CA$10,0),N(Reales!CA46)),CA$185*IF(AND(AND(74&gt;Corte,74&lt;=Corte+n_Ventana),ISNUMBER(Detalle_24m!CA$50)),Detalle_24m!CA$50,INDEX(Precio_V,9)*INDEX(IdxPrecio_V,1,MIN(10,CA$173)))*(1+V_dPrecio))</f>
        <v>0</v>
      </c>
      <c r="CB210" s="48" t="n">
        <f aca="false">IF(CB$8=1,IF(Reales!$C$46="PYG",IF(CB$10&gt;0,N(Reales!CB46)/CB$10,0),N(Reales!CB46)),CB$185*IF(AND(AND(75&gt;Corte,75&lt;=Corte+n_Ventana),ISNUMBER(Detalle_24m!CB$50)),Detalle_24m!CB$50,INDEX(Precio_V,9)*INDEX(IdxPrecio_V,1,MIN(10,CB$173)))*(1+V_dPrecio))</f>
        <v>0</v>
      </c>
      <c r="CC210" s="48" t="n">
        <f aca="false">IF(CC$8=1,IF(Reales!$C$46="PYG",IF(CC$10&gt;0,N(Reales!CC46)/CC$10,0),N(Reales!CC46)),CC$185*IF(AND(AND(76&gt;Corte,76&lt;=Corte+n_Ventana),ISNUMBER(Detalle_24m!CC$50)),Detalle_24m!CC$50,INDEX(Precio_V,9)*INDEX(IdxPrecio_V,1,MIN(10,CC$173)))*(1+V_dPrecio))</f>
        <v>0</v>
      </c>
      <c r="CD210" s="48" t="n">
        <f aca="false">IF(CD$8=1,IF(Reales!$C$46="PYG",IF(CD$10&gt;0,N(Reales!CD46)/CD$10,0),N(Reales!CD46)),CD$185*IF(AND(AND(77&gt;Corte,77&lt;=Corte+n_Ventana),ISNUMBER(Detalle_24m!CD$50)),Detalle_24m!CD$50,INDEX(Precio_V,9)*INDEX(IdxPrecio_V,1,MIN(10,CD$173)))*(1+V_dPrecio))</f>
        <v>0</v>
      </c>
      <c r="CE210" s="48" t="n">
        <f aca="false">IF(CE$8=1,IF(Reales!$C$46="PYG",IF(CE$10&gt;0,N(Reales!CE46)/CE$10,0),N(Reales!CE46)),CE$185*IF(AND(AND(78&gt;Corte,78&lt;=Corte+n_Ventana),ISNUMBER(Detalle_24m!CE$50)),Detalle_24m!CE$50,INDEX(Precio_V,9)*INDEX(IdxPrecio_V,1,MIN(10,CE$173)))*(1+V_dPrecio))</f>
        <v>0</v>
      </c>
      <c r="CF210" s="48" t="n">
        <f aca="false">IF(CF$8=1,IF(Reales!$C$46="PYG",IF(CF$10&gt;0,N(Reales!CF46)/CF$10,0),N(Reales!CF46)),CF$185*IF(AND(AND(79&gt;Corte,79&lt;=Corte+n_Ventana),ISNUMBER(Detalle_24m!CF$50)),Detalle_24m!CF$50,INDEX(Precio_V,9)*INDEX(IdxPrecio_V,1,MIN(10,CF$173)))*(1+V_dPrecio))</f>
        <v>0</v>
      </c>
      <c r="CG210" s="48" t="n">
        <f aca="false">IF(CG$8=1,IF(Reales!$C$46="PYG",IF(CG$10&gt;0,N(Reales!CG46)/CG$10,0),N(Reales!CG46)),CG$185*IF(AND(AND(80&gt;Corte,80&lt;=Corte+n_Ventana),ISNUMBER(Detalle_24m!CG$50)),Detalle_24m!CG$50,INDEX(Precio_V,9)*INDEX(IdxPrecio_V,1,MIN(10,CG$173)))*(1+V_dPrecio))</f>
        <v>0</v>
      </c>
      <c r="CH210" s="48" t="n">
        <f aca="false">IF(CH$8=1,IF(Reales!$C$46="PYG",IF(CH$10&gt;0,N(Reales!CH46)/CH$10,0),N(Reales!CH46)),CH$185*IF(AND(AND(81&gt;Corte,81&lt;=Corte+n_Ventana),ISNUMBER(Detalle_24m!CH$50)),Detalle_24m!CH$50,INDEX(Precio_V,9)*INDEX(IdxPrecio_V,1,MIN(10,CH$173)))*(1+V_dPrecio))</f>
        <v>0</v>
      </c>
      <c r="CI210" s="48" t="n">
        <f aca="false">IF(CI$8=1,IF(Reales!$C$46="PYG",IF(CI$10&gt;0,N(Reales!CI46)/CI$10,0),N(Reales!CI46)),CI$185*IF(AND(AND(82&gt;Corte,82&lt;=Corte+n_Ventana),ISNUMBER(Detalle_24m!CI$50)),Detalle_24m!CI$50,INDEX(Precio_V,9)*INDEX(IdxPrecio_V,1,MIN(10,CI$173)))*(1+V_dPrecio))</f>
        <v>0</v>
      </c>
      <c r="CJ210" s="48" t="n">
        <f aca="false">IF(CJ$8=1,IF(Reales!$C$46="PYG",IF(CJ$10&gt;0,N(Reales!CJ46)/CJ$10,0),N(Reales!CJ46)),CJ$185*IF(AND(AND(83&gt;Corte,83&lt;=Corte+n_Ventana),ISNUMBER(Detalle_24m!CJ$50)),Detalle_24m!CJ$50,INDEX(Precio_V,9)*INDEX(IdxPrecio_V,1,MIN(10,CJ$173)))*(1+V_dPrecio))</f>
        <v>0</v>
      </c>
      <c r="CK210" s="48" t="n">
        <f aca="false">IF(CK$8=1,IF(Reales!$C$46="PYG",IF(CK$10&gt;0,N(Reales!CK46)/CK$10,0),N(Reales!CK46)),CK$185*IF(AND(AND(84&gt;Corte,84&lt;=Corte+n_Ventana),ISNUMBER(Detalle_24m!CK$50)),Detalle_24m!CK$50,INDEX(Precio_V,9)*INDEX(IdxPrecio_V,1,MIN(10,CK$173)))*(1+V_dPrecio))</f>
        <v>0</v>
      </c>
      <c r="CL210" s="48" t="n">
        <f aca="false">IF(CL$8=1,IF(Reales!$C$46="PYG",IF(CL$10&gt;0,N(Reales!CL46)/CL$10,0),N(Reales!CL46)),CL$185*IF(AND(AND(85&gt;Corte,85&lt;=Corte+n_Ventana),ISNUMBER(Detalle_24m!CL$50)),Detalle_24m!CL$50,INDEX(Precio_V,9)*INDEX(IdxPrecio_V,1,MIN(10,CL$173)))*(1+V_dPrecio))</f>
        <v>0</v>
      </c>
      <c r="CM210" s="48" t="n">
        <f aca="false">IF(CM$8=1,IF(Reales!$C$46="PYG",IF(CM$10&gt;0,N(Reales!CM46)/CM$10,0),N(Reales!CM46)),CM$185*IF(AND(AND(86&gt;Corte,86&lt;=Corte+n_Ventana),ISNUMBER(Detalle_24m!CM$50)),Detalle_24m!CM$50,INDEX(Precio_V,9)*INDEX(IdxPrecio_V,1,MIN(10,CM$173)))*(1+V_dPrecio))</f>
        <v>0</v>
      </c>
      <c r="CN210" s="48" t="n">
        <f aca="false">IF(CN$8=1,IF(Reales!$C$46="PYG",IF(CN$10&gt;0,N(Reales!CN46)/CN$10,0),N(Reales!CN46)),CN$185*IF(AND(AND(87&gt;Corte,87&lt;=Corte+n_Ventana),ISNUMBER(Detalle_24m!CN$50)),Detalle_24m!CN$50,INDEX(Precio_V,9)*INDEX(IdxPrecio_V,1,MIN(10,CN$173)))*(1+V_dPrecio))</f>
        <v>0</v>
      </c>
      <c r="CO210" s="48" t="n">
        <f aca="false">IF(CO$8=1,IF(Reales!$C$46="PYG",IF(CO$10&gt;0,N(Reales!CO46)/CO$10,0),N(Reales!CO46)),CO$185*IF(AND(AND(88&gt;Corte,88&lt;=Corte+n_Ventana),ISNUMBER(Detalle_24m!CO$50)),Detalle_24m!CO$50,INDEX(Precio_V,9)*INDEX(IdxPrecio_V,1,MIN(10,CO$173)))*(1+V_dPrecio))</f>
        <v>0</v>
      </c>
      <c r="CP210" s="48" t="n">
        <f aca="false">IF(CP$8=1,IF(Reales!$C$46="PYG",IF(CP$10&gt;0,N(Reales!CP46)/CP$10,0),N(Reales!CP46)),CP$185*IF(AND(AND(89&gt;Corte,89&lt;=Corte+n_Ventana),ISNUMBER(Detalle_24m!CP$50)),Detalle_24m!CP$50,INDEX(Precio_V,9)*INDEX(IdxPrecio_V,1,MIN(10,CP$173)))*(1+V_dPrecio))</f>
        <v>0</v>
      </c>
      <c r="CQ210" s="48" t="n">
        <f aca="false">IF(CQ$8=1,IF(Reales!$C$46="PYG",IF(CQ$10&gt;0,N(Reales!CQ46)/CQ$10,0),N(Reales!CQ46)),CQ$185*IF(AND(AND(90&gt;Corte,90&lt;=Corte+n_Ventana),ISNUMBER(Detalle_24m!CQ$50)),Detalle_24m!CQ$50,INDEX(Precio_V,9)*INDEX(IdxPrecio_V,1,MIN(10,CQ$173)))*(1+V_dPrecio))</f>
        <v>0</v>
      </c>
      <c r="CR210" s="48" t="n">
        <f aca="false">IF(CR$8=1,IF(Reales!$C$46="PYG",IF(CR$10&gt;0,N(Reales!CR46)/CR$10,0),N(Reales!CR46)),CR$185*IF(AND(AND(91&gt;Corte,91&lt;=Corte+n_Ventana),ISNUMBER(Detalle_24m!CR$50)),Detalle_24m!CR$50,INDEX(Precio_V,9)*INDEX(IdxPrecio_V,1,MIN(10,CR$173)))*(1+V_dPrecio))</f>
        <v>0</v>
      </c>
      <c r="CS210" s="48" t="n">
        <f aca="false">IF(CS$8=1,IF(Reales!$C$46="PYG",IF(CS$10&gt;0,N(Reales!CS46)/CS$10,0),N(Reales!CS46)),CS$185*IF(AND(AND(92&gt;Corte,92&lt;=Corte+n_Ventana),ISNUMBER(Detalle_24m!CS$50)),Detalle_24m!CS$50,INDEX(Precio_V,9)*INDEX(IdxPrecio_V,1,MIN(10,CS$173)))*(1+V_dPrecio))</f>
        <v>0</v>
      </c>
      <c r="CT210" s="48" t="n">
        <f aca="false">IF(CT$8=1,IF(Reales!$C$46="PYG",IF(CT$10&gt;0,N(Reales!CT46)/CT$10,0),N(Reales!CT46)),CT$185*IF(AND(AND(93&gt;Corte,93&lt;=Corte+n_Ventana),ISNUMBER(Detalle_24m!CT$50)),Detalle_24m!CT$50,INDEX(Precio_V,9)*INDEX(IdxPrecio_V,1,MIN(10,CT$173)))*(1+V_dPrecio))</f>
        <v>0</v>
      </c>
      <c r="CU210" s="48" t="n">
        <f aca="false">IF(CU$8=1,IF(Reales!$C$46="PYG",IF(CU$10&gt;0,N(Reales!CU46)/CU$10,0),N(Reales!CU46)),CU$185*IF(AND(AND(94&gt;Corte,94&lt;=Corte+n_Ventana),ISNUMBER(Detalle_24m!CU$50)),Detalle_24m!CU$50,INDEX(Precio_V,9)*INDEX(IdxPrecio_V,1,MIN(10,CU$173)))*(1+V_dPrecio))</f>
        <v>0</v>
      </c>
      <c r="CV210" s="48" t="n">
        <f aca="false">IF(CV$8=1,IF(Reales!$C$46="PYG",IF(CV$10&gt;0,N(Reales!CV46)/CV$10,0),N(Reales!CV46)),CV$185*IF(AND(AND(95&gt;Corte,95&lt;=Corte+n_Ventana),ISNUMBER(Detalle_24m!CV$50)),Detalle_24m!CV$50,INDEX(Precio_V,9)*INDEX(IdxPrecio_V,1,MIN(10,CV$173)))*(1+V_dPrecio))</f>
        <v>0</v>
      </c>
      <c r="CW210" s="48" t="n">
        <f aca="false">IF(CW$8=1,IF(Reales!$C$46="PYG",IF(CW$10&gt;0,N(Reales!CW46)/CW$10,0),N(Reales!CW46)),CW$185*IF(AND(AND(96&gt;Corte,96&lt;=Corte+n_Ventana),ISNUMBER(Detalle_24m!CW$50)),Detalle_24m!CW$50,INDEX(Precio_V,9)*INDEX(IdxPrecio_V,1,MIN(10,CW$173)))*(1+V_dPrecio))</f>
        <v>0</v>
      </c>
      <c r="CX210" s="48" t="n">
        <f aca="false">IF(CX$8=1,IF(Reales!$C$46="PYG",IF(CX$10&gt;0,N(Reales!CX46)/CX$10,0),N(Reales!CX46)),CX$185*IF(AND(AND(97&gt;Corte,97&lt;=Corte+n_Ventana),ISNUMBER(Detalle_24m!CX$50)),Detalle_24m!CX$50,INDEX(Precio_V,9)*INDEX(IdxPrecio_V,1,MIN(10,CX$173)))*(1+V_dPrecio))</f>
        <v>0</v>
      </c>
      <c r="CY210" s="48" t="n">
        <f aca="false">IF(CY$8=1,IF(Reales!$C$46="PYG",IF(CY$10&gt;0,N(Reales!CY46)/CY$10,0),N(Reales!CY46)),CY$185*IF(AND(AND(98&gt;Corte,98&lt;=Corte+n_Ventana),ISNUMBER(Detalle_24m!CY$50)),Detalle_24m!CY$50,INDEX(Precio_V,9)*INDEX(IdxPrecio_V,1,MIN(10,CY$173)))*(1+V_dPrecio))</f>
        <v>0</v>
      </c>
      <c r="CZ210" s="48" t="n">
        <f aca="false">IF(CZ$8=1,IF(Reales!$C$46="PYG",IF(CZ$10&gt;0,N(Reales!CZ46)/CZ$10,0),N(Reales!CZ46)),CZ$185*IF(AND(AND(99&gt;Corte,99&lt;=Corte+n_Ventana),ISNUMBER(Detalle_24m!CZ$50)),Detalle_24m!CZ$50,INDEX(Precio_V,9)*INDEX(IdxPrecio_V,1,MIN(10,CZ$173)))*(1+V_dPrecio))</f>
        <v>0</v>
      </c>
      <c r="DA210" s="48" t="n">
        <f aca="false">IF(DA$8=1,IF(Reales!$C$46="PYG",IF(DA$10&gt;0,N(Reales!DA46)/DA$10,0),N(Reales!DA46)),DA$185*IF(AND(AND(100&gt;Corte,100&lt;=Corte+n_Ventana),ISNUMBER(Detalle_24m!DA$50)),Detalle_24m!DA$50,INDEX(Precio_V,9)*INDEX(IdxPrecio_V,1,MIN(10,DA$173)))*(1+V_dPrecio))</f>
        <v>0</v>
      </c>
      <c r="DB210" s="48" t="n">
        <f aca="false">IF(DB$8=1,IF(Reales!$C$46="PYG",IF(DB$10&gt;0,N(Reales!DB46)/DB$10,0),N(Reales!DB46)),DB$185*IF(AND(AND(101&gt;Corte,101&lt;=Corte+n_Ventana),ISNUMBER(Detalle_24m!DB$50)),Detalle_24m!DB$50,INDEX(Precio_V,9)*INDEX(IdxPrecio_V,1,MIN(10,DB$173)))*(1+V_dPrecio))</f>
        <v>0</v>
      </c>
      <c r="DC210" s="48" t="n">
        <f aca="false">IF(DC$8=1,IF(Reales!$C$46="PYG",IF(DC$10&gt;0,N(Reales!DC46)/DC$10,0),N(Reales!DC46)),DC$185*IF(AND(AND(102&gt;Corte,102&lt;=Corte+n_Ventana),ISNUMBER(Detalle_24m!DC$50)),Detalle_24m!DC$50,INDEX(Precio_V,9)*INDEX(IdxPrecio_V,1,MIN(10,DC$173)))*(1+V_dPrecio))</f>
        <v>0</v>
      </c>
      <c r="DD210" s="48" t="n">
        <f aca="false">IF(DD$8=1,IF(Reales!$C$46="PYG",IF(DD$10&gt;0,N(Reales!DD46)/DD$10,0),N(Reales!DD46)),DD$185*IF(AND(AND(103&gt;Corte,103&lt;=Corte+n_Ventana),ISNUMBER(Detalle_24m!DD$50)),Detalle_24m!DD$50,INDEX(Precio_V,9)*INDEX(IdxPrecio_V,1,MIN(10,DD$173)))*(1+V_dPrecio))</f>
        <v>0</v>
      </c>
      <c r="DE210" s="48" t="n">
        <f aca="false">IF(DE$8=1,IF(Reales!$C$46="PYG",IF(DE$10&gt;0,N(Reales!DE46)/DE$10,0),N(Reales!DE46)),DE$185*IF(AND(AND(104&gt;Corte,104&lt;=Corte+n_Ventana),ISNUMBER(Detalle_24m!DE$50)),Detalle_24m!DE$50,INDEX(Precio_V,9)*INDEX(IdxPrecio_V,1,MIN(10,DE$173)))*(1+V_dPrecio))</f>
        <v>0</v>
      </c>
      <c r="DF210" s="48" t="n">
        <f aca="false">IF(DF$8=1,IF(Reales!$C$46="PYG",IF(DF$10&gt;0,N(Reales!DF46)/DF$10,0),N(Reales!DF46)),DF$185*IF(AND(AND(105&gt;Corte,105&lt;=Corte+n_Ventana),ISNUMBER(Detalle_24m!DF$50)),Detalle_24m!DF$50,INDEX(Precio_V,9)*INDEX(IdxPrecio_V,1,MIN(10,DF$173)))*(1+V_dPrecio))</f>
        <v>0</v>
      </c>
      <c r="DG210" s="48" t="n">
        <f aca="false">IF(DG$8=1,IF(Reales!$C$46="PYG",IF(DG$10&gt;0,N(Reales!DG46)/DG$10,0),N(Reales!DG46)),DG$185*IF(AND(AND(106&gt;Corte,106&lt;=Corte+n_Ventana),ISNUMBER(Detalle_24m!DG$50)),Detalle_24m!DG$50,INDEX(Precio_V,9)*INDEX(IdxPrecio_V,1,MIN(10,DG$173)))*(1+V_dPrecio))</f>
        <v>0</v>
      </c>
      <c r="DH210" s="48" t="n">
        <f aca="false">IF(DH$8=1,IF(Reales!$C$46="PYG",IF(DH$10&gt;0,N(Reales!DH46)/DH$10,0),N(Reales!DH46)),DH$185*IF(AND(AND(107&gt;Corte,107&lt;=Corte+n_Ventana),ISNUMBER(Detalle_24m!DH$50)),Detalle_24m!DH$50,INDEX(Precio_V,9)*INDEX(IdxPrecio_V,1,MIN(10,DH$173)))*(1+V_dPrecio))</f>
        <v>0</v>
      </c>
      <c r="DI210" s="48" t="n">
        <f aca="false">IF(DI$8=1,IF(Reales!$C$46="PYG",IF(DI$10&gt;0,N(Reales!DI46)/DI$10,0),N(Reales!DI46)),DI$185*IF(AND(AND(108&gt;Corte,108&lt;=Corte+n_Ventana),ISNUMBER(Detalle_24m!DI$50)),Detalle_24m!DI$50,INDEX(Precio_V,9)*INDEX(IdxPrecio_V,1,MIN(10,DI$173)))*(1+V_dPrecio))</f>
        <v>0</v>
      </c>
      <c r="DJ210" s="48" t="n">
        <f aca="false">IF(DJ$8=1,IF(Reales!$C$46="PYG",IF(DJ$10&gt;0,N(Reales!DJ46)/DJ$10,0),N(Reales!DJ46)),DJ$185*IF(AND(AND(109&gt;Corte,109&lt;=Corte+n_Ventana),ISNUMBER(Detalle_24m!DJ$50)),Detalle_24m!DJ$50,INDEX(Precio_V,9)*INDEX(IdxPrecio_V,1,MIN(10,DJ$173)))*(1+V_dPrecio))</f>
        <v>0</v>
      </c>
      <c r="DK210" s="48" t="n">
        <f aca="false">IF(DK$8=1,IF(Reales!$C$46="PYG",IF(DK$10&gt;0,N(Reales!DK46)/DK$10,0),N(Reales!DK46)),DK$185*IF(AND(AND(110&gt;Corte,110&lt;=Corte+n_Ventana),ISNUMBER(Detalle_24m!DK$50)),Detalle_24m!DK$50,INDEX(Precio_V,9)*INDEX(IdxPrecio_V,1,MIN(10,DK$173)))*(1+V_dPrecio))</f>
        <v>0</v>
      </c>
      <c r="DL210" s="48" t="n">
        <f aca="false">IF(DL$8=1,IF(Reales!$C$46="PYG",IF(DL$10&gt;0,N(Reales!DL46)/DL$10,0),N(Reales!DL46)),DL$185*IF(AND(AND(111&gt;Corte,111&lt;=Corte+n_Ventana),ISNUMBER(Detalle_24m!DL$50)),Detalle_24m!DL$50,INDEX(Precio_V,9)*INDEX(IdxPrecio_V,1,MIN(10,DL$173)))*(1+V_dPrecio))</f>
        <v>0</v>
      </c>
      <c r="DM210" s="48" t="n">
        <f aca="false">IF(DM$8=1,IF(Reales!$C$46="PYG",IF(DM$10&gt;0,N(Reales!DM46)/DM$10,0),N(Reales!DM46)),DM$185*IF(AND(AND(112&gt;Corte,112&lt;=Corte+n_Ventana),ISNUMBER(Detalle_24m!DM$50)),Detalle_24m!DM$50,INDEX(Precio_V,9)*INDEX(IdxPrecio_V,1,MIN(10,DM$173)))*(1+V_dPrecio))</f>
        <v>0</v>
      </c>
      <c r="DN210" s="48" t="n">
        <f aca="false">IF(DN$8=1,IF(Reales!$C$46="PYG",IF(DN$10&gt;0,N(Reales!DN46)/DN$10,0),N(Reales!DN46)),DN$185*IF(AND(AND(113&gt;Corte,113&lt;=Corte+n_Ventana),ISNUMBER(Detalle_24m!DN$50)),Detalle_24m!DN$50,INDEX(Precio_V,9)*INDEX(IdxPrecio_V,1,MIN(10,DN$173)))*(1+V_dPrecio))</f>
        <v>0</v>
      </c>
      <c r="DO210" s="48" t="n">
        <f aca="false">IF(DO$8=1,IF(Reales!$C$46="PYG",IF(DO$10&gt;0,N(Reales!DO46)/DO$10,0),N(Reales!DO46)),DO$185*IF(AND(AND(114&gt;Corte,114&lt;=Corte+n_Ventana),ISNUMBER(Detalle_24m!DO$50)),Detalle_24m!DO$50,INDEX(Precio_V,9)*INDEX(IdxPrecio_V,1,MIN(10,DO$173)))*(1+V_dPrecio))</f>
        <v>0</v>
      </c>
      <c r="DP210" s="48" t="n">
        <f aca="false">IF(DP$8=1,IF(Reales!$C$46="PYG",IF(DP$10&gt;0,N(Reales!DP46)/DP$10,0),N(Reales!DP46)),DP$185*IF(AND(AND(115&gt;Corte,115&lt;=Corte+n_Ventana),ISNUMBER(Detalle_24m!DP$50)),Detalle_24m!DP$50,INDEX(Precio_V,9)*INDEX(IdxPrecio_V,1,MIN(10,DP$173)))*(1+V_dPrecio))</f>
        <v>0</v>
      </c>
      <c r="DQ210" s="48" t="n">
        <f aca="false">IF(DQ$8=1,IF(Reales!$C$46="PYG",IF(DQ$10&gt;0,N(Reales!DQ46)/DQ$10,0),N(Reales!DQ46)),DQ$185*IF(AND(AND(116&gt;Corte,116&lt;=Corte+n_Ventana),ISNUMBER(Detalle_24m!DQ$50)),Detalle_24m!DQ$50,INDEX(Precio_V,9)*INDEX(IdxPrecio_V,1,MIN(10,DQ$173)))*(1+V_dPrecio))</f>
        <v>0</v>
      </c>
      <c r="DR210" s="48" t="n">
        <f aca="false">IF(DR$8=1,IF(Reales!$C$46="PYG",IF(DR$10&gt;0,N(Reales!DR46)/DR$10,0),N(Reales!DR46)),DR$185*IF(AND(AND(117&gt;Corte,117&lt;=Corte+n_Ventana),ISNUMBER(Detalle_24m!DR$50)),Detalle_24m!DR$50,INDEX(Precio_V,9)*INDEX(IdxPrecio_V,1,MIN(10,DR$173)))*(1+V_dPrecio))</f>
        <v>0</v>
      </c>
      <c r="DS210" s="48" t="n">
        <f aca="false">IF(DS$8=1,IF(Reales!$C$46="PYG",IF(DS$10&gt;0,N(Reales!DS46)/DS$10,0),N(Reales!DS46)),DS$185*IF(AND(AND(118&gt;Corte,118&lt;=Corte+n_Ventana),ISNUMBER(Detalle_24m!DS$50)),Detalle_24m!DS$50,INDEX(Precio_V,9)*INDEX(IdxPrecio_V,1,MIN(10,DS$173)))*(1+V_dPrecio))</f>
        <v>0</v>
      </c>
      <c r="DT210" s="48" t="n">
        <f aca="false">IF(DT$8=1,IF(Reales!$C$46="PYG",IF(DT$10&gt;0,N(Reales!DT46)/DT$10,0),N(Reales!DT46)),DT$185*IF(AND(AND(119&gt;Corte,119&lt;=Corte+n_Ventana),ISNUMBER(Detalle_24m!DT$50)),Detalle_24m!DT$50,INDEX(Precio_V,9)*INDEX(IdxPrecio_V,1,MIN(10,DT$173)))*(1+V_dPrecio))</f>
        <v>0</v>
      </c>
      <c r="DU210" s="48" t="n">
        <f aca="false">IF(DU$8=1,IF(Reales!$C$46="PYG",IF(DU$10&gt;0,N(Reales!DU46)/DU$10,0),N(Reales!DU46)),DU$185*IF(AND(AND(120&gt;Corte,120&lt;=Corte+n_Ventana),ISNUMBER(Detalle_24m!DU$50)),Detalle_24m!DU$50,INDEX(Precio_V,9)*INDEX(IdxPrecio_V,1,MIN(10,DU$173)))*(1+V_dPrecio))</f>
        <v>0</v>
      </c>
      <c r="DV210" s="48" t="n">
        <f aca="false">IF(DV$8=1,IF(Reales!$C$46="PYG",IF(DV$10&gt;0,N(Reales!DV46)/DV$10,0),N(Reales!DV46)),DV$185*IF(AND(AND(121&gt;Corte,121&lt;=Corte+n_Ventana),ISNUMBER(Detalle_24m!DV$50)),Detalle_24m!DV$50,INDEX(Precio_V,9)*INDEX(IdxPrecio_V,1,MIN(10,DV$173)))*(1+V_dPrecio))</f>
        <v>0</v>
      </c>
      <c r="DW210" s="48" t="n">
        <f aca="false">IF(DW$8=1,IF(Reales!$C$46="PYG",IF(DW$10&gt;0,N(Reales!DW46)/DW$10,0),N(Reales!DW46)),DW$185*IF(AND(AND(122&gt;Corte,122&lt;=Corte+n_Ventana),ISNUMBER(Detalle_24m!DW$50)),Detalle_24m!DW$50,INDEX(Precio_V,9)*INDEX(IdxPrecio_V,1,MIN(10,DW$173)))*(1+V_dPrecio))</f>
        <v>0</v>
      </c>
      <c r="DX210" s="48" t="n">
        <f aca="false">IF(DX$8=1,IF(Reales!$C$46="PYG",IF(DX$10&gt;0,N(Reales!DX46)/DX$10,0),N(Reales!DX46)),DX$185*IF(AND(AND(123&gt;Corte,123&lt;=Corte+n_Ventana),ISNUMBER(Detalle_24m!DX$50)),Detalle_24m!DX$50,INDEX(Precio_V,9)*INDEX(IdxPrecio_V,1,MIN(10,DX$173)))*(1+V_dPrecio))</f>
        <v>0</v>
      </c>
      <c r="DY210" s="48" t="n">
        <f aca="false">IF(DY$8=1,IF(Reales!$C$46="PYG",IF(DY$10&gt;0,N(Reales!DY46)/DY$10,0),N(Reales!DY46)),DY$185*IF(AND(AND(124&gt;Corte,124&lt;=Corte+n_Ventana),ISNUMBER(Detalle_24m!DY$50)),Detalle_24m!DY$50,INDEX(Precio_V,9)*INDEX(IdxPrecio_V,1,MIN(10,DY$173)))*(1+V_dPrecio))</f>
        <v>0</v>
      </c>
      <c r="DZ210" s="48" t="n">
        <f aca="false">IF(DZ$8=1,IF(Reales!$C$46="PYG",IF(DZ$10&gt;0,N(Reales!DZ46)/DZ$10,0),N(Reales!DZ46)),DZ$185*IF(AND(AND(125&gt;Corte,125&lt;=Corte+n_Ventana),ISNUMBER(Detalle_24m!DZ$50)),Detalle_24m!DZ$50,INDEX(Precio_V,9)*INDEX(IdxPrecio_V,1,MIN(10,DZ$173)))*(1+V_dPrecio))</f>
        <v>0</v>
      </c>
      <c r="EA210" s="48" t="n">
        <f aca="false">IF(EA$8=1,IF(Reales!$C$46="PYG",IF(EA$10&gt;0,N(Reales!EA46)/EA$10,0),N(Reales!EA46)),EA$185*IF(AND(AND(126&gt;Corte,126&lt;=Corte+n_Ventana),ISNUMBER(Detalle_24m!EA$50)),Detalle_24m!EA$50,INDEX(Precio_V,9)*INDEX(IdxPrecio_V,1,MIN(10,EA$173)))*(1+V_dPrecio))</f>
        <v>0</v>
      </c>
      <c r="EB210" s="48" t="n">
        <f aca="false">IF(EB$8=1,IF(Reales!$C$46="PYG",IF(EB$10&gt;0,N(Reales!EB46)/EB$10,0),N(Reales!EB46)),EB$185*IF(AND(AND(127&gt;Corte,127&lt;=Corte+n_Ventana),ISNUMBER(Detalle_24m!EB$50)),Detalle_24m!EB$50,INDEX(Precio_V,9)*INDEX(IdxPrecio_V,1,MIN(10,EB$173)))*(1+V_dPrecio))</f>
        <v>0</v>
      </c>
      <c r="EC210" s="48" t="n">
        <f aca="false">IF(EC$8=1,IF(Reales!$C$46="PYG",IF(EC$10&gt;0,N(Reales!EC46)/EC$10,0),N(Reales!EC46)),EC$185*IF(AND(AND(128&gt;Corte,128&lt;=Corte+n_Ventana),ISNUMBER(Detalle_24m!EC$50)),Detalle_24m!EC$50,INDEX(Precio_V,9)*INDEX(IdxPrecio_V,1,MIN(10,EC$173)))*(1+V_dPrecio))</f>
        <v>0</v>
      </c>
      <c r="ED210" s="48" t="n">
        <f aca="false">IF(ED$8=1,IF(Reales!$C$46="PYG",IF(ED$10&gt;0,N(Reales!ED46)/ED$10,0),N(Reales!ED46)),ED$185*IF(AND(AND(129&gt;Corte,129&lt;=Corte+n_Ventana),ISNUMBER(Detalle_24m!ED$50)),Detalle_24m!ED$50,INDEX(Precio_V,9)*INDEX(IdxPrecio_V,1,MIN(10,ED$173)))*(1+V_dPrecio))</f>
        <v>0</v>
      </c>
      <c r="EE210" s="48" t="n">
        <f aca="false">IF(EE$8=1,IF(Reales!$C$46="PYG",IF(EE$10&gt;0,N(Reales!EE46)/EE$10,0),N(Reales!EE46)),EE$185*IF(AND(AND(130&gt;Corte,130&lt;=Corte+n_Ventana),ISNUMBER(Detalle_24m!EE$50)),Detalle_24m!EE$50,INDEX(Precio_V,9)*INDEX(IdxPrecio_V,1,MIN(10,EE$173)))*(1+V_dPrecio))</f>
        <v>0</v>
      </c>
      <c r="EF210" s="48" t="n">
        <f aca="false">IF(EF$8=1,IF(Reales!$C$46="PYG",IF(EF$10&gt;0,N(Reales!EF46)/EF$10,0),N(Reales!EF46)),EF$185*IF(AND(AND(131&gt;Corte,131&lt;=Corte+n_Ventana),ISNUMBER(Detalle_24m!EF$50)),Detalle_24m!EF$50,INDEX(Precio_V,9)*INDEX(IdxPrecio_V,1,MIN(10,EF$173)))*(1+V_dPrecio))</f>
        <v>0</v>
      </c>
      <c r="EG210" s="48" t="n">
        <f aca="false">IF(EG$8=1,IF(Reales!$C$46="PYG",IF(EG$10&gt;0,N(Reales!EG46)/EG$10,0),N(Reales!EG46)),EG$185*IF(AND(AND(132&gt;Corte,132&lt;=Corte+n_Ventana),ISNUMBER(Detalle_24m!EG$50)),Detalle_24m!EG$50,INDEX(Precio_V,9)*INDEX(IdxPrecio_V,1,MIN(10,EG$173)))*(1+V_dPrecio))</f>
        <v>0</v>
      </c>
      <c r="EH210" s="48" t="n">
        <f aca="false">IF(EH$8=1,IF(Reales!$C$46="PYG",IF(EH$10&gt;0,N(Reales!EH46)/EH$10,0),N(Reales!EH46)),EH$185*IF(AND(AND(133&gt;Corte,133&lt;=Corte+n_Ventana),ISNUMBER(Detalle_24m!EH$50)),Detalle_24m!EH$50,INDEX(Precio_V,9)*INDEX(IdxPrecio_V,1,MIN(10,EH$173)))*(1+V_dPrecio))</f>
        <v>0</v>
      </c>
      <c r="EI210" s="48" t="n">
        <f aca="false">IF(EI$8=1,IF(Reales!$C$46="PYG",IF(EI$10&gt;0,N(Reales!EI46)/EI$10,0),N(Reales!EI46)),EI$185*IF(AND(AND(134&gt;Corte,134&lt;=Corte+n_Ventana),ISNUMBER(Detalle_24m!EI$50)),Detalle_24m!EI$50,INDEX(Precio_V,9)*INDEX(IdxPrecio_V,1,MIN(10,EI$173)))*(1+V_dPrecio))</f>
        <v>0</v>
      </c>
      <c r="EJ210" s="48" t="n">
        <f aca="false">IF(EJ$8=1,IF(Reales!$C$46="PYG",IF(EJ$10&gt;0,N(Reales!EJ46)/EJ$10,0),N(Reales!EJ46)),EJ$185*IF(AND(AND(135&gt;Corte,135&lt;=Corte+n_Ventana),ISNUMBER(Detalle_24m!EJ$50)),Detalle_24m!EJ$50,INDEX(Precio_V,9)*INDEX(IdxPrecio_V,1,MIN(10,EJ$173)))*(1+V_dPrecio))</f>
        <v>0</v>
      </c>
      <c r="EK210" s="48" t="n">
        <f aca="false">IF(EK$8=1,IF(Reales!$C$46="PYG",IF(EK$10&gt;0,N(Reales!EK46)/EK$10,0),N(Reales!EK46)),EK$185*IF(AND(AND(136&gt;Corte,136&lt;=Corte+n_Ventana),ISNUMBER(Detalle_24m!EK$50)),Detalle_24m!EK$50,INDEX(Precio_V,9)*INDEX(IdxPrecio_V,1,MIN(10,EK$173)))*(1+V_dPrecio))</f>
        <v>0</v>
      </c>
      <c r="EL210" s="48" t="n">
        <f aca="false">IF(EL$8=1,IF(Reales!$C$46="PYG",IF(EL$10&gt;0,N(Reales!EL46)/EL$10,0),N(Reales!EL46)),EL$185*IF(AND(AND(137&gt;Corte,137&lt;=Corte+n_Ventana),ISNUMBER(Detalle_24m!EL$50)),Detalle_24m!EL$50,INDEX(Precio_V,9)*INDEX(IdxPrecio_V,1,MIN(10,EL$173)))*(1+V_dPrecio))</f>
        <v>0</v>
      </c>
      <c r="EM210" s="48" t="n">
        <f aca="false">IF(EM$8=1,IF(Reales!$C$46="PYG",IF(EM$10&gt;0,N(Reales!EM46)/EM$10,0),N(Reales!EM46)),EM$185*IF(AND(AND(138&gt;Corte,138&lt;=Corte+n_Ventana),ISNUMBER(Detalle_24m!EM$50)),Detalle_24m!EM$50,INDEX(Precio_V,9)*INDEX(IdxPrecio_V,1,MIN(10,EM$173)))*(1+V_dPrecio))</f>
        <v>0</v>
      </c>
      <c r="EN210" s="48" t="n">
        <f aca="false">IF(EN$8=1,IF(Reales!$C$46="PYG",IF(EN$10&gt;0,N(Reales!EN46)/EN$10,0),N(Reales!EN46)),EN$185*IF(AND(AND(139&gt;Corte,139&lt;=Corte+n_Ventana),ISNUMBER(Detalle_24m!EN$50)),Detalle_24m!EN$50,INDEX(Precio_V,9)*INDEX(IdxPrecio_V,1,MIN(10,EN$173)))*(1+V_dPrecio))</f>
        <v>0</v>
      </c>
      <c r="EO210" s="48" t="n">
        <f aca="false">IF(EO$8=1,IF(Reales!$C$46="PYG",IF(EO$10&gt;0,N(Reales!EO46)/EO$10,0),N(Reales!EO46)),EO$185*IF(AND(AND(140&gt;Corte,140&lt;=Corte+n_Ventana),ISNUMBER(Detalle_24m!EO$50)),Detalle_24m!EO$50,INDEX(Precio_V,9)*INDEX(IdxPrecio_V,1,MIN(10,EO$173)))*(1+V_dPrecio))</f>
        <v>0</v>
      </c>
      <c r="EP210" s="48" t="n">
        <f aca="false">IF(EP$8=1,IF(Reales!$C$46="PYG",IF(EP$10&gt;0,N(Reales!EP46)/EP$10,0),N(Reales!EP46)),EP$185*IF(AND(AND(141&gt;Corte,141&lt;=Corte+n_Ventana),ISNUMBER(Detalle_24m!EP$50)),Detalle_24m!EP$50,INDEX(Precio_V,9)*INDEX(IdxPrecio_V,1,MIN(10,EP$173)))*(1+V_dPrecio))</f>
        <v>0</v>
      </c>
      <c r="EQ210" s="48" t="n">
        <f aca="false">IF(EQ$8=1,IF(Reales!$C$46="PYG",IF(EQ$10&gt;0,N(Reales!EQ46)/EQ$10,0),N(Reales!EQ46)),EQ$185*IF(AND(AND(142&gt;Corte,142&lt;=Corte+n_Ventana),ISNUMBER(Detalle_24m!EQ$50)),Detalle_24m!EQ$50,INDEX(Precio_V,9)*INDEX(IdxPrecio_V,1,MIN(10,EQ$173)))*(1+V_dPrecio))</f>
        <v>0</v>
      </c>
      <c r="ER210" s="48" t="n">
        <f aca="false">IF(ER$8=1,IF(Reales!$C$46="PYG",IF(ER$10&gt;0,N(Reales!ER46)/ER$10,0),N(Reales!ER46)),ER$185*IF(AND(AND(143&gt;Corte,143&lt;=Corte+n_Ventana),ISNUMBER(Detalle_24m!ER$50)),Detalle_24m!ER$50,INDEX(Precio_V,9)*INDEX(IdxPrecio_V,1,MIN(10,ER$173)))*(1+V_dPrecio))</f>
        <v>0</v>
      </c>
      <c r="ES210" s="48" t="n">
        <f aca="false">IF(ES$8=1,IF(Reales!$C$46="PYG",IF(ES$10&gt;0,N(Reales!ES46)/ES$10,0),N(Reales!ES46)),ES$185*IF(AND(AND(144&gt;Corte,144&lt;=Corte+n_Ventana),ISNUMBER(Detalle_24m!ES$50)),Detalle_24m!ES$50,INDEX(Precio_V,9)*INDEX(IdxPrecio_V,1,MIN(10,ES$173)))*(1+V_dPrecio))</f>
        <v>0</v>
      </c>
    </row>
    <row r="211" customFormat="false" ht="15" hidden="false" customHeight="false" outlineLevel="0" collapsed="false">
      <c r="A211" s="11" t="s">
        <v>1334</v>
      </c>
      <c r="B211" s="53" t="str">
        <f aca="false">IF(INDEX(Prod_Nombre,10)="","Producto 10",INDEX(Prod_Nombre,10))&amp;" — ventas USD"</f>
        <v>Producto 10 — ventas USD</v>
      </c>
      <c r="C211" s="15" t="s">
        <v>508</v>
      </c>
      <c r="E211" s="54" t="n">
        <f aca="false">SUM(F211:ES211)</f>
        <v>0</v>
      </c>
      <c r="F211" s="48" t="n">
        <f aca="false">IF(F$8=1,IF(Reales!$C$47="PYG",IF(F$10&gt;0,N(Reales!F47)/F$10,0),N(Reales!F47)),F$186*IF(AND(AND(1&gt;Corte,1&lt;=Corte+n_Ventana),ISNUMBER(Detalle_24m!F$51)),Detalle_24m!F$51,INDEX(Precio_V,10)*INDEX(IdxPrecio_V,1,MIN(10,F$173)))*(1+V_dPrecio))</f>
        <v>0</v>
      </c>
      <c r="G211" s="48" t="n">
        <f aca="false">IF(G$8=1,IF(Reales!$C$47="PYG",IF(G$10&gt;0,N(Reales!G47)/G$10,0),N(Reales!G47)),G$186*IF(AND(AND(2&gt;Corte,2&lt;=Corte+n_Ventana),ISNUMBER(Detalle_24m!G$51)),Detalle_24m!G$51,INDEX(Precio_V,10)*INDEX(IdxPrecio_V,1,MIN(10,G$173)))*(1+V_dPrecio))</f>
        <v>0</v>
      </c>
      <c r="H211" s="48" t="n">
        <f aca="false">IF(H$8=1,IF(Reales!$C$47="PYG",IF(H$10&gt;0,N(Reales!H47)/H$10,0),N(Reales!H47)),H$186*IF(AND(AND(3&gt;Corte,3&lt;=Corte+n_Ventana),ISNUMBER(Detalle_24m!H$51)),Detalle_24m!H$51,INDEX(Precio_V,10)*INDEX(IdxPrecio_V,1,MIN(10,H$173)))*(1+V_dPrecio))</f>
        <v>0</v>
      </c>
      <c r="I211" s="48" t="n">
        <f aca="false">IF(I$8=1,IF(Reales!$C$47="PYG",IF(I$10&gt;0,N(Reales!I47)/I$10,0),N(Reales!I47)),I$186*IF(AND(AND(4&gt;Corte,4&lt;=Corte+n_Ventana),ISNUMBER(Detalle_24m!I$51)),Detalle_24m!I$51,INDEX(Precio_V,10)*INDEX(IdxPrecio_V,1,MIN(10,I$173)))*(1+V_dPrecio))</f>
        <v>0</v>
      </c>
      <c r="J211" s="48" t="n">
        <f aca="false">IF(J$8=1,IF(Reales!$C$47="PYG",IF(J$10&gt;0,N(Reales!J47)/J$10,0),N(Reales!J47)),J$186*IF(AND(AND(5&gt;Corte,5&lt;=Corte+n_Ventana),ISNUMBER(Detalle_24m!J$51)),Detalle_24m!J$51,INDEX(Precio_V,10)*INDEX(IdxPrecio_V,1,MIN(10,J$173)))*(1+V_dPrecio))</f>
        <v>0</v>
      </c>
      <c r="K211" s="48" t="n">
        <f aca="false">IF(K$8=1,IF(Reales!$C$47="PYG",IF(K$10&gt;0,N(Reales!K47)/K$10,0),N(Reales!K47)),K$186*IF(AND(AND(6&gt;Corte,6&lt;=Corte+n_Ventana),ISNUMBER(Detalle_24m!K$51)),Detalle_24m!K$51,INDEX(Precio_V,10)*INDEX(IdxPrecio_V,1,MIN(10,K$173)))*(1+V_dPrecio))</f>
        <v>0</v>
      </c>
      <c r="L211" s="48" t="n">
        <f aca="false">IF(L$8=1,IF(Reales!$C$47="PYG",IF(L$10&gt;0,N(Reales!L47)/L$10,0),N(Reales!L47)),L$186*IF(AND(AND(7&gt;Corte,7&lt;=Corte+n_Ventana),ISNUMBER(Detalle_24m!L$51)),Detalle_24m!L$51,INDEX(Precio_V,10)*INDEX(IdxPrecio_V,1,MIN(10,L$173)))*(1+V_dPrecio))</f>
        <v>0</v>
      </c>
      <c r="M211" s="48" t="n">
        <f aca="false">IF(M$8=1,IF(Reales!$C$47="PYG",IF(M$10&gt;0,N(Reales!M47)/M$10,0),N(Reales!M47)),M$186*IF(AND(AND(8&gt;Corte,8&lt;=Corte+n_Ventana),ISNUMBER(Detalle_24m!M$51)),Detalle_24m!M$51,INDEX(Precio_V,10)*INDEX(IdxPrecio_V,1,MIN(10,M$173)))*(1+V_dPrecio))</f>
        <v>0</v>
      </c>
      <c r="N211" s="48" t="n">
        <f aca="false">IF(N$8=1,IF(Reales!$C$47="PYG",IF(N$10&gt;0,N(Reales!N47)/N$10,0),N(Reales!N47)),N$186*IF(AND(AND(9&gt;Corte,9&lt;=Corte+n_Ventana),ISNUMBER(Detalle_24m!N$51)),Detalle_24m!N$51,INDEX(Precio_V,10)*INDEX(IdxPrecio_V,1,MIN(10,N$173)))*(1+V_dPrecio))</f>
        <v>0</v>
      </c>
      <c r="O211" s="48" t="n">
        <f aca="false">IF(O$8=1,IF(Reales!$C$47="PYG",IF(O$10&gt;0,N(Reales!O47)/O$10,0),N(Reales!O47)),O$186*IF(AND(AND(10&gt;Corte,10&lt;=Corte+n_Ventana),ISNUMBER(Detalle_24m!O$51)),Detalle_24m!O$51,INDEX(Precio_V,10)*INDEX(IdxPrecio_V,1,MIN(10,O$173)))*(1+V_dPrecio))</f>
        <v>0</v>
      </c>
      <c r="P211" s="48" t="n">
        <f aca="false">IF(P$8=1,IF(Reales!$C$47="PYG",IF(P$10&gt;0,N(Reales!P47)/P$10,0),N(Reales!P47)),P$186*IF(AND(AND(11&gt;Corte,11&lt;=Corte+n_Ventana),ISNUMBER(Detalle_24m!P$51)),Detalle_24m!P$51,INDEX(Precio_V,10)*INDEX(IdxPrecio_V,1,MIN(10,P$173)))*(1+V_dPrecio))</f>
        <v>0</v>
      </c>
      <c r="Q211" s="48" t="n">
        <f aca="false">IF(Q$8=1,IF(Reales!$C$47="PYG",IF(Q$10&gt;0,N(Reales!Q47)/Q$10,0),N(Reales!Q47)),Q$186*IF(AND(AND(12&gt;Corte,12&lt;=Corte+n_Ventana),ISNUMBER(Detalle_24m!Q$51)),Detalle_24m!Q$51,INDEX(Precio_V,10)*INDEX(IdxPrecio_V,1,MIN(10,Q$173)))*(1+V_dPrecio))</f>
        <v>0</v>
      </c>
      <c r="R211" s="48" t="n">
        <f aca="false">IF(R$8=1,IF(Reales!$C$47="PYG",IF(R$10&gt;0,N(Reales!R47)/R$10,0),N(Reales!R47)),R$186*IF(AND(AND(13&gt;Corte,13&lt;=Corte+n_Ventana),ISNUMBER(Detalle_24m!R$51)),Detalle_24m!R$51,INDEX(Precio_V,10)*INDEX(IdxPrecio_V,1,MIN(10,R$173)))*(1+V_dPrecio))</f>
        <v>0</v>
      </c>
      <c r="S211" s="48" t="n">
        <f aca="false">IF(S$8=1,IF(Reales!$C$47="PYG",IF(S$10&gt;0,N(Reales!S47)/S$10,0),N(Reales!S47)),S$186*IF(AND(AND(14&gt;Corte,14&lt;=Corte+n_Ventana),ISNUMBER(Detalle_24m!S$51)),Detalle_24m!S$51,INDEX(Precio_V,10)*INDEX(IdxPrecio_V,1,MIN(10,S$173)))*(1+V_dPrecio))</f>
        <v>0</v>
      </c>
      <c r="T211" s="48" t="n">
        <f aca="false">IF(T$8=1,IF(Reales!$C$47="PYG",IF(T$10&gt;0,N(Reales!T47)/T$10,0),N(Reales!T47)),T$186*IF(AND(AND(15&gt;Corte,15&lt;=Corte+n_Ventana),ISNUMBER(Detalle_24m!T$51)),Detalle_24m!T$51,INDEX(Precio_V,10)*INDEX(IdxPrecio_V,1,MIN(10,T$173)))*(1+V_dPrecio))</f>
        <v>0</v>
      </c>
      <c r="U211" s="48" t="n">
        <f aca="false">IF(U$8=1,IF(Reales!$C$47="PYG",IF(U$10&gt;0,N(Reales!U47)/U$10,0),N(Reales!U47)),U$186*IF(AND(AND(16&gt;Corte,16&lt;=Corte+n_Ventana),ISNUMBER(Detalle_24m!U$51)),Detalle_24m!U$51,INDEX(Precio_V,10)*INDEX(IdxPrecio_V,1,MIN(10,U$173)))*(1+V_dPrecio))</f>
        <v>0</v>
      </c>
      <c r="V211" s="48" t="n">
        <f aca="false">IF(V$8=1,IF(Reales!$C$47="PYG",IF(V$10&gt;0,N(Reales!V47)/V$10,0),N(Reales!V47)),V$186*IF(AND(AND(17&gt;Corte,17&lt;=Corte+n_Ventana),ISNUMBER(Detalle_24m!V$51)),Detalle_24m!V$51,INDEX(Precio_V,10)*INDEX(IdxPrecio_V,1,MIN(10,V$173)))*(1+V_dPrecio))</f>
        <v>0</v>
      </c>
      <c r="W211" s="48" t="n">
        <f aca="false">IF(W$8=1,IF(Reales!$C$47="PYG",IF(W$10&gt;0,N(Reales!W47)/W$10,0),N(Reales!W47)),W$186*IF(AND(AND(18&gt;Corte,18&lt;=Corte+n_Ventana),ISNUMBER(Detalle_24m!W$51)),Detalle_24m!W$51,INDEX(Precio_V,10)*INDEX(IdxPrecio_V,1,MIN(10,W$173)))*(1+V_dPrecio))</f>
        <v>0</v>
      </c>
      <c r="X211" s="48" t="n">
        <f aca="false">IF(X$8=1,IF(Reales!$C$47="PYG",IF(X$10&gt;0,N(Reales!X47)/X$10,0),N(Reales!X47)),X$186*IF(AND(AND(19&gt;Corte,19&lt;=Corte+n_Ventana),ISNUMBER(Detalle_24m!X$51)),Detalle_24m!X$51,INDEX(Precio_V,10)*INDEX(IdxPrecio_V,1,MIN(10,X$173)))*(1+V_dPrecio))</f>
        <v>0</v>
      </c>
      <c r="Y211" s="48" t="n">
        <f aca="false">IF(Y$8=1,IF(Reales!$C$47="PYG",IF(Y$10&gt;0,N(Reales!Y47)/Y$10,0),N(Reales!Y47)),Y$186*IF(AND(AND(20&gt;Corte,20&lt;=Corte+n_Ventana),ISNUMBER(Detalle_24m!Y$51)),Detalle_24m!Y$51,INDEX(Precio_V,10)*INDEX(IdxPrecio_V,1,MIN(10,Y$173)))*(1+V_dPrecio))</f>
        <v>0</v>
      </c>
      <c r="Z211" s="48" t="n">
        <f aca="false">IF(Z$8=1,IF(Reales!$C$47="PYG",IF(Z$10&gt;0,N(Reales!Z47)/Z$10,0),N(Reales!Z47)),Z$186*IF(AND(AND(21&gt;Corte,21&lt;=Corte+n_Ventana),ISNUMBER(Detalle_24m!Z$51)),Detalle_24m!Z$51,INDEX(Precio_V,10)*INDEX(IdxPrecio_V,1,MIN(10,Z$173)))*(1+V_dPrecio))</f>
        <v>0</v>
      </c>
      <c r="AA211" s="48" t="n">
        <f aca="false">IF(AA$8=1,IF(Reales!$C$47="PYG",IF(AA$10&gt;0,N(Reales!AA47)/AA$10,0),N(Reales!AA47)),AA$186*IF(AND(AND(22&gt;Corte,22&lt;=Corte+n_Ventana),ISNUMBER(Detalle_24m!AA$51)),Detalle_24m!AA$51,INDEX(Precio_V,10)*INDEX(IdxPrecio_V,1,MIN(10,AA$173)))*(1+V_dPrecio))</f>
        <v>0</v>
      </c>
      <c r="AB211" s="48" t="n">
        <f aca="false">IF(AB$8=1,IF(Reales!$C$47="PYG",IF(AB$10&gt;0,N(Reales!AB47)/AB$10,0),N(Reales!AB47)),AB$186*IF(AND(AND(23&gt;Corte,23&lt;=Corte+n_Ventana),ISNUMBER(Detalle_24m!AB$51)),Detalle_24m!AB$51,INDEX(Precio_V,10)*INDEX(IdxPrecio_V,1,MIN(10,AB$173)))*(1+V_dPrecio))</f>
        <v>0</v>
      </c>
      <c r="AC211" s="48" t="n">
        <f aca="false">IF(AC$8=1,IF(Reales!$C$47="PYG",IF(AC$10&gt;0,N(Reales!AC47)/AC$10,0),N(Reales!AC47)),AC$186*IF(AND(AND(24&gt;Corte,24&lt;=Corte+n_Ventana),ISNUMBER(Detalle_24m!AC$51)),Detalle_24m!AC$51,INDEX(Precio_V,10)*INDEX(IdxPrecio_V,1,MIN(10,AC$173)))*(1+V_dPrecio))</f>
        <v>0</v>
      </c>
      <c r="AD211" s="48" t="n">
        <f aca="false">IF(AD$8=1,IF(Reales!$C$47="PYG",IF(AD$10&gt;0,N(Reales!AD47)/AD$10,0),N(Reales!AD47)),AD$186*IF(AND(AND(25&gt;Corte,25&lt;=Corte+n_Ventana),ISNUMBER(Detalle_24m!AD$51)),Detalle_24m!AD$51,INDEX(Precio_V,10)*INDEX(IdxPrecio_V,1,MIN(10,AD$173)))*(1+V_dPrecio))</f>
        <v>0</v>
      </c>
      <c r="AE211" s="48" t="n">
        <f aca="false">IF(AE$8=1,IF(Reales!$C$47="PYG",IF(AE$10&gt;0,N(Reales!AE47)/AE$10,0),N(Reales!AE47)),AE$186*IF(AND(AND(26&gt;Corte,26&lt;=Corte+n_Ventana),ISNUMBER(Detalle_24m!AE$51)),Detalle_24m!AE$51,INDEX(Precio_V,10)*INDEX(IdxPrecio_V,1,MIN(10,AE$173)))*(1+V_dPrecio))</f>
        <v>0</v>
      </c>
      <c r="AF211" s="48" t="n">
        <f aca="false">IF(AF$8=1,IF(Reales!$C$47="PYG",IF(AF$10&gt;0,N(Reales!AF47)/AF$10,0),N(Reales!AF47)),AF$186*IF(AND(AND(27&gt;Corte,27&lt;=Corte+n_Ventana),ISNUMBER(Detalle_24m!AF$51)),Detalle_24m!AF$51,INDEX(Precio_V,10)*INDEX(IdxPrecio_V,1,MIN(10,AF$173)))*(1+V_dPrecio))</f>
        <v>0</v>
      </c>
      <c r="AG211" s="48" t="n">
        <f aca="false">IF(AG$8=1,IF(Reales!$C$47="PYG",IF(AG$10&gt;0,N(Reales!AG47)/AG$10,0),N(Reales!AG47)),AG$186*IF(AND(AND(28&gt;Corte,28&lt;=Corte+n_Ventana),ISNUMBER(Detalle_24m!AG$51)),Detalle_24m!AG$51,INDEX(Precio_V,10)*INDEX(IdxPrecio_V,1,MIN(10,AG$173)))*(1+V_dPrecio))</f>
        <v>0</v>
      </c>
      <c r="AH211" s="48" t="n">
        <f aca="false">IF(AH$8=1,IF(Reales!$C$47="PYG",IF(AH$10&gt;0,N(Reales!AH47)/AH$10,0),N(Reales!AH47)),AH$186*IF(AND(AND(29&gt;Corte,29&lt;=Corte+n_Ventana),ISNUMBER(Detalle_24m!AH$51)),Detalle_24m!AH$51,INDEX(Precio_V,10)*INDEX(IdxPrecio_V,1,MIN(10,AH$173)))*(1+V_dPrecio))</f>
        <v>0</v>
      </c>
      <c r="AI211" s="48" t="n">
        <f aca="false">IF(AI$8=1,IF(Reales!$C$47="PYG",IF(AI$10&gt;0,N(Reales!AI47)/AI$10,0),N(Reales!AI47)),AI$186*IF(AND(AND(30&gt;Corte,30&lt;=Corte+n_Ventana),ISNUMBER(Detalle_24m!AI$51)),Detalle_24m!AI$51,INDEX(Precio_V,10)*INDEX(IdxPrecio_V,1,MIN(10,AI$173)))*(1+V_dPrecio))</f>
        <v>0</v>
      </c>
      <c r="AJ211" s="48" t="n">
        <f aca="false">IF(AJ$8=1,IF(Reales!$C$47="PYG",IF(AJ$10&gt;0,N(Reales!AJ47)/AJ$10,0),N(Reales!AJ47)),AJ$186*IF(AND(AND(31&gt;Corte,31&lt;=Corte+n_Ventana),ISNUMBER(Detalle_24m!AJ$51)),Detalle_24m!AJ$51,INDEX(Precio_V,10)*INDEX(IdxPrecio_V,1,MIN(10,AJ$173)))*(1+V_dPrecio))</f>
        <v>0</v>
      </c>
      <c r="AK211" s="48" t="n">
        <f aca="false">IF(AK$8=1,IF(Reales!$C$47="PYG",IF(AK$10&gt;0,N(Reales!AK47)/AK$10,0),N(Reales!AK47)),AK$186*IF(AND(AND(32&gt;Corte,32&lt;=Corte+n_Ventana),ISNUMBER(Detalle_24m!AK$51)),Detalle_24m!AK$51,INDEX(Precio_V,10)*INDEX(IdxPrecio_V,1,MIN(10,AK$173)))*(1+V_dPrecio))</f>
        <v>0</v>
      </c>
      <c r="AL211" s="48" t="n">
        <f aca="false">IF(AL$8=1,IF(Reales!$C$47="PYG",IF(AL$10&gt;0,N(Reales!AL47)/AL$10,0),N(Reales!AL47)),AL$186*IF(AND(AND(33&gt;Corte,33&lt;=Corte+n_Ventana),ISNUMBER(Detalle_24m!AL$51)),Detalle_24m!AL$51,INDEX(Precio_V,10)*INDEX(IdxPrecio_V,1,MIN(10,AL$173)))*(1+V_dPrecio))</f>
        <v>0</v>
      </c>
      <c r="AM211" s="48" t="n">
        <f aca="false">IF(AM$8=1,IF(Reales!$C$47="PYG",IF(AM$10&gt;0,N(Reales!AM47)/AM$10,0),N(Reales!AM47)),AM$186*IF(AND(AND(34&gt;Corte,34&lt;=Corte+n_Ventana),ISNUMBER(Detalle_24m!AM$51)),Detalle_24m!AM$51,INDEX(Precio_V,10)*INDEX(IdxPrecio_V,1,MIN(10,AM$173)))*(1+V_dPrecio))</f>
        <v>0</v>
      </c>
      <c r="AN211" s="48" t="n">
        <f aca="false">IF(AN$8=1,IF(Reales!$C$47="PYG",IF(AN$10&gt;0,N(Reales!AN47)/AN$10,0),N(Reales!AN47)),AN$186*IF(AND(AND(35&gt;Corte,35&lt;=Corte+n_Ventana),ISNUMBER(Detalle_24m!AN$51)),Detalle_24m!AN$51,INDEX(Precio_V,10)*INDEX(IdxPrecio_V,1,MIN(10,AN$173)))*(1+V_dPrecio))</f>
        <v>0</v>
      </c>
      <c r="AO211" s="48" t="n">
        <f aca="false">IF(AO$8=1,IF(Reales!$C$47="PYG",IF(AO$10&gt;0,N(Reales!AO47)/AO$10,0),N(Reales!AO47)),AO$186*IF(AND(AND(36&gt;Corte,36&lt;=Corte+n_Ventana),ISNUMBER(Detalle_24m!AO$51)),Detalle_24m!AO$51,INDEX(Precio_V,10)*INDEX(IdxPrecio_V,1,MIN(10,AO$173)))*(1+V_dPrecio))</f>
        <v>0</v>
      </c>
      <c r="AP211" s="48" t="n">
        <f aca="false">IF(AP$8=1,IF(Reales!$C$47="PYG",IF(AP$10&gt;0,N(Reales!AP47)/AP$10,0),N(Reales!AP47)),AP$186*IF(AND(AND(37&gt;Corte,37&lt;=Corte+n_Ventana),ISNUMBER(Detalle_24m!AP$51)),Detalle_24m!AP$51,INDEX(Precio_V,10)*INDEX(IdxPrecio_V,1,MIN(10,AP$173)))*(1+V_dPrecio))</f>
        <v>0</v>
      </c>
      <c r="AQ211" s="48" t="n">
        <f aca="false">IF(AQ$8=1,IF(Reales!$C$47="PYG",IF(AQ$10&gt;0,N(Reales!AQ47)/AQ$10,0),N(Reales!AQ47)),AQ$186*IF(AND(AND(38&gt;Corte,38&lt;=Corte+n_Ventana),ISNUMBER(Detalle_24m!AQ$51)),Detalle_24m!AQ$51,INDEX(Precio_V,10)*INDEX(IdxPrecio_V,1,MIN(10,AQ$173)))*(1+V_dPrecio))</f>
        <v>0</v>
      </c>
      <c r="AR211" s="48" t="n">
        <f aca="false">IF(AR$8=1,IF(Reales!$C$47="PYG",IF(AR$10&gt;0,N(Reales!AR47)/AR$10,0),N(Reales!AR47)),AR$186*IF(AND(AND(39&gt;Corte,39&lt;=Corte+n_Ventana),ISNUMBER(Detalle_24m!AR$51)),Detalle_24m!AR$51,INDEX(Precio_V,10)*INDEX(IdxPrecio_V,1,MIN(10,AR$173)))*(1+V_dPrecio))</f>
        <v>0</v>
      </c>
      <c r="AS211" s="48" t="n">
        <f aca="false">IF(AS$8=1,IF(Reales!$C$47="PYG",IF(AS$10&gt;0,N(Reales!AS47)/AS$10,0),N(Reales!AS47)),AS$186*IF(AND(AND(40&gt;Corte,40&lt;=Corte+n_Ventana),ISNUMBER(Detalle_24m!AS$51)),Detalle_24m!AS$51,INDEX(Precio_V,10)*INDEX(IdxPrecio_V,1,MIN(10,AS$173)))*(1+V_dPrecio))</f>
        <v>0</v>
      </c>
      <c r="AT211" s="48" t="n">
        <f aca="false">IF(AT$8=1,IF(Reales!$C$47="PYG",IF(AT$10&gt;0,N(Reales!AT47)/AT$10,0),N(Reales!AT47)),AT$186*IF(AND(AND(41&gt;Corte,41&lt;=Corte+n_Ventana),ISNUMBER(Detalle_24m!AT$51)),Detalle_24m!AT$51,INDEX(Precio_V,10)*INDEX(IdxPrecio_V,1,MIN(10,AT$173)))*(1+V_dPrecio))</f>
        <v>0</v>
      </c>
      <c r="AU211" s="48" t="n">
        <f aca="false">IF(AU$8=1,IF(Reales!$C$47="PYG",IF(AU$10&gt;0,N(Reales!AU47)/AU$10,0),N(Reales!AU47)),AU$186*IF(AND(AND(42&gt;Corte,42&lt;=Corte+n_Ventana),ISNUMBER(Detalle_24m!AU$51)),Detalle_24m!AU$51,INDEX(Precio_V,10)*INDEX(IdxPrecio_V,1,MIN(10,AU$173)))*(1+V_dPrecio))</f>
        <v>0</v>
      </c>
      <c r="AV211" s="48" t="n">
        <f aca="false">IF(AV$8=1,IF(Reales!$C$47="PYG",IF(AV$10&gt;0,N(Reales!AV47)/AV$10,0),N(Reales!AV47)),AV$186*IF(AND(AND(43&gt;Corte,43&lt;=Corte+n_Ventana),ISNUMBER(Detalle_24m!AV$51)),Detalle_24m!AV$51,INDEX(Precio_V,10)*INDEX(IdxPrecio_V,1,MIN(10,AV$173)))*(1+V_dPrecio))</f>
        <v>0</v>
      </c>
      <c r="AW211" s="48" t="n">
        <f aca="false">IF(AW$8=1,IF(Reales!$C$47="PYG",IF(AW$10&gt;0,N(Reales!AW47)/AW$10,0),N(Reales!AW47)),AW$186*IF(AND(AND(44&gt;Corte,44&lt;=Corte+n_Ventana),ISNUMBER(Detalle_24m!AW$51)),Detalle_24m!AW$51,INDEX(Precio_V,10)*INDEX(IdxPrecio_V,1,MIN(10,AW$173)))*(1+V_dPrecio))</f>
        <v>0</v>
      </c>
      <c r="AX211" s="48" t="n">
        <f aca="false">IF(AX$8=1,IF(Reales!$C$47="PYG",IF(AX$10&gt;0,N(Reales!AX47)/AX$10,0),N(Reales!AX47)),AX$186*IF(AND(AND(45&gt;Corte,45&lt;=Corte+n_Ventana),ISNUMBER(Detalle_24m!AX$51)),Detalle_24m!AX$51,INDEX(Precio_V,10)*INDEX(IdxPrecio_V,1,MIN(10,AX$173)))*(1+V_dPrecio))</f>
        <v>0</v>
      </c>
      <c r="AY211" s="48" t="n">
        <f aca="false">IF(AY$8=1,IF(Reales!$C$47="PYG",IF(AY$10&gt;0,N(Reales!AY47)/AY$10,0),N(Reales!AY47)),AY$186*IF(AND(AND(46&gt;Corte,46&lt;=Corte+n_Ventana),ISNUMBER(Detalle_24m!AY$51)),Detalle_24m!AY$51,INDEX(Precio_V,10)*INDEX(IdxPrecio_V,1,MIN(10,AY$173)))*(1+V_dPrecio))</f>
        <v>0</v>
      </c>
      <c r="AZ211" s="48" t="n">
        <f aca="false">IF(AZ$8=1,IF(Reales!$C$47="PYG",IF(AZ$10&gt;0,N(Reales!AZ47)/AZ$10,0),N(Reales!AZ47)),AZ$186*IF(AND(AND(47&gt;Corte,47&lt;=Corte+n_Ventana),ISNUMBER(Detalle_24m!AZ$51)),Detalle_24m!AZ$51,INDEX(Precio_V,10)*INDEX(IdxPrecio_V,1,MIN(10,AZ$173)))*(1+V_dPrecio))</f>
        <v>0</v>
      </c>
      <c r="BA211" s="48" t="n">
        <f aca="false">IF(BA$8=1,IF(Reales!$C$47="PYG",IF(BA$10&gt;0,N(Reales!BA47)/BA$10,0),N(Reales!BA47)),BA$186*IF(AND(AND(48&gt;Corte,48&lt;=Corte+n_Ventana),ISNUMBER(Detalle_24m!BA$51)),Detalle_24m!BA$51,INDEX(Precio_V,10)*INDEX(IdxPrecio_V,1,MIN(10,BA$173)))*(1+V_dPrecio))</f>
        <v>0</v>
      </c>
      <c r="BB211" s="48" t="n">
        <f aca="false">IF(BB$8=1,IF(Reales!$C$47="PYG",IF(BB$10&gt;0,N(Reales!BB47)/BB$10,0),N(Reales!BB47)),BB$186*IF(AND(AND(49&gt;Corte,49&lt;=Corte+n_Ventana),ISNUMBER(Detalle_24m!BB$51)),Detalle_24m!BB$51,INDEX(Precio_V,10)*INDEX(IdxPrecio_V,1,MIN(10,BB$173)))*(1+V_dPrecio))</f>
        <v>0</v>
      </c>
      <c r="BC211" s="48" t="n">
        <f aca="false">IF(BC$8=1,IF(Reales!$C$47="PYG",IF(BC$10&gt;0,N(Reales!BC47)/BC$10,0),N(Reales!BC47)),BC$186*IF(AND(AND(50&gt;Corte,50&lt;=Corte+n_Ventana),ISNUMBER(Detalle_24m!BC$51)),Detalle_24m!BC$51,INDEX(Precio_V,10)*INDEX(IdxPrecio_V,1,MIN(10,BC$173)))*(1+V_dPrecio))</f>
        <v>0</v>
      </c>
      <c r="BD211" s="48" t="n">
        <f aca="false">IF(BD$8=1,IF(Reales!$C$47="PYG",IF(BD$10&gt;0,N(Reales!BD47)/BD$10,0),N(Reales!BD47)),BD$186*IF(AND(AND(51&gt;Corte,51&lt;=Corte+n_Ventana),ISNUMBER(Detalle_24m!BD$51)),Detalle_24m!BD$51,INDEX(Precio_V,10)*INDEX(IdxPrecio_V,1,MIN(10,BD$173)))*(1+V_dPrecio))</f>
        <v>0</v>
      </c>
      <c r="BE211" s="48" t="n">
        <f aca="false">IF(BE$8=1,IF(Reales!$C$47="PYG",IF(BE$10&gt;0,N(Reales!BE47)/BE$10,0),N(Reales!BE47)),BE$186*IF(AND(AND(52&gt;Corte,52&lt;=Corte+n_Ventana),ISNUMBER(Detalle_24m!BE$51)),Detalle_24m!BE$51,INDEX(Precio_V,10)*INDEX(IdxPrecio_V,1,MIN(10,BE$173)))*(1+V_dPrecio))</f>
        <v>0</v>
      </c>
      <c r="BF211" s="48" t="n">
        <f aca="false">IF(BF$8=1,IF(Reales!$C$47="PYG",IF(BF$10&gt;0,N(Reales!BF47)/BF$10,0),N(Reales!BF47)),BF$186*IF(AND(AND(53&gt;Corte,53&lt;=Corte+n_Ventana),ISNUMBER(Detalle_24m!BF$51)),Detalle_24m!BF$51,INDEX(Precio_V,10)*INDEX(IdxPrecio_V,1,MIN(10,BF$173)))*(1+V_dPrecio))</f>
        <v>0</v>
      </c>
      <c r="BG211" s="48" t="n">
        <f aca="false">IF(BG$8=1,IF(Reales!$C$47="PYG",IF(BG$10&gt;0,N(Reales!BG47)/BG$10,0),N(Reales!BG47)),BG$186*IF(AND(AND(54&gt;Corte,54&lt;=Corte+n_Ventana),ISNUMBER(Detalle_24m!BG$51)),Detalle_24m!BG$51,INDEX(Precio_V,10)*INDEX(IdxPrecio_V,1,MIN(10,BG$173)))*(1+V_dPrecio))</f>
        <v>0</v>
      </c>
      <c r="BH211" s="48" t="n">
        <f aca="false">IF(BH$8=1,IF(Reales!$C$47="PYG",IF(BH$10&gt;0,N(Reales!BH47)/BH$10,0),N(Reales!BH47)),BH$186*IF(AND(AND(55&gt;Corte,55&lt;=Corte+n_Ventana),ISNUMBER(Detalle_24m!BH$51)),Detalle_24m!BH$51,INDEX(Precio_V,10)*INDEX(IdxPrecio_V,1,MIN(10,BH$173)))*(1+V_dPrecio))</f>
        <v>0</v>
      </c>
      <c r="BI211" s="48" t="n">
        <f aca="false">IF(BI$8=1,IF(Reales!$C$47="PYG",IF(BI$10&gt;0,N(Reales!BI47)/BI$10,0),N(Reales!BI47)),BI$186*IF(AND(AND(56&gt;Corte,56&lt;=Corte+n_Ventana),ISNUMBER(Detalle_24m!BI$51)),Detalle_24m!BI$51,INDEX(Precio_V,10)*INDEX(IdxPrecio_V,1,MIN(10,BI$173)))*(1+V_dPrecio))</f>
        <v>0</v>
      </c>
      <c r="BJ211" s="48" t="n">
        <f aca="false">IF(BJ$8=1,IF(Reales!$C$47="PYG",IF(BJ$10&gt;0,N(Reales!BJ47)/BJ$10,0),N(Reales!BJ47)),BJ$186*IF(AND(AND(57&gt;Corte,57&lt;=Corte+n_Ventana),ISNUMBER(Detalle_24m!BJ$51)),Detalle_24m!BJ$51,INDEX(Precio_V,10)*INDEX(IdxPrecio_V,1,MIN(10,BJ$173)))*(1+V_dPrecio))</f>
        <v>0</v>
      </c>
      <c r="BK211" s="48" t="n">
        <f aca="false">IF(BK$8=1,IF(Reales!$C$47="PYG",IF(BK$10&gt;0,N(Reales!BK47)/BK$10,0),N(Reales!BK47)),BK$186*IF(AND(AND(58&gt;Corte,58&lt;=Corte+n_Ventana),ISNUMBER(Detalle_24m!BK$51)),Detalle_24m!BK$51,INDEX(Precio_V,10)*INDEX(IdxPrecio_V,1,MIN(10,BK$173)))*(1+V_dPrecio))</f>
        <v>0</v>
      </c>
      <c r="BL211" s="48" t="n">
        <f aca="false">IF(BL$8=1,IF(Reales!$C$47="PYG",IF(BL$10&gt;0,N(Reales!BL47)/BL$10,0),N(Reales!BL47)),BL$186*IF(AND(AND(59&gt;Corte,59&lt;=Corte+n_Ventana),ISNUMBER(Detalle_24m!BL$51)),Detalle_24m!BL$51,INDEX(Precio_V,10)*INDEX(IdxPrecio_V,1,MIN(10,BL$173)))*(1+V_dPrecio))</f>
        <v>0</v>
      </c>
      <c r="BM211" s="48" t="n">
        <f aca="false">IF(BM$8=1,IF(Reales!$C$47="PYG",IF(BM$10&gt;0,N(Reales!BM47)/BM$10,0),N(Reales!BM47)),BM$186*IF(AND(AND(60&gt;Corte,60&lt;=Corte+n_Ventana),ISNUMBER(Detalle_24m!BM$51)),Detalle_24m!BM$51,INDEX(Precio_V,10)*INDEX(IdxPrecio_V,1,MIN(10,BM$173)))*(1+V_dPrecio))</f>
        <v>0</v>
      </c>
      <c r="BN211" s="48" t="n">
        <f aca="false">IF(BN$8=1,IF(Reales!$C$47="PYG",IF(BN$10&gt;0,N(Reales!BN47)/BN$10,0),N(Reales!BN47)),BN$186*IF(AND(AND(61&gt;Corte,61&lt;=Corte+n_Ventana),ISNUMBER(Detalle_24m!BN$51)),Detalle_24m!BN$51,INDEX(Precio_V,10)*INDEX(IdxPrecio_V,1,MIN(10,BN$173)))*(1+V_dPrecio))</f>
        <v>0</v>
      </c>
      <c r="BO211" s="48" t="n">
        <f aca="false">IF(BO$8=1,IF(Reales!$C$47="PYG",IF(BO$10&gt;0,N(Reales!BO47)/BO$10,0),N(Reales!BO47)),BO$186*IF(AND(AND(62&gt;Corte,62&lt;=Corte+n_Ventana),ISNUMBER(Detalle_24m!BO$51)),Detalle_24m!BO$51,INDEX(Precio_V,10)*INDEX(IdxPrecio_V,1,MIN(10,BO$173)))*(1+V_dPrecio))</f>
        <v>0</v>
      </c>
      <c r="BP211" s="48" t="n">
        <f aca="false">IF(BP$8=1,IF(Reales!$C$47="PYG",IF(BP$10&gt;0,N(Reales!BP47)/BP$10,0),N(Reales!BP47)),BP$186*IF(AND(AND(63&gt;Corte,63&lt;=Corte+n_Ventana),ISNUMBER(Detalle_24m!BP$51)),Detalle_24m!BP$51,INDEX(Precio_V,10)*INDEX(IdxPrecio_V,1,MIN(10,BP$173)))*(1+V_dPrecio))</f>
        <v>0</v>
      </c>
      <c r="BQ211" s="48" t="n">
        <f aca="false">IF(BQ$8=1,IF(Reales!$C$47="PYG",IF(BQ$10&gt;0,N(Reales!BQ47)/BQ$10,0),N(Reales!BQ47)),BQ$186*IF(AND(AND(64&gt;Corte,64&lt;=Corte+n_Ventana),ISNUMBER(Detalle_24m!BQ$51)),Detalle_24m!BQ$51,INDEX(Precio_V,10)*INDEX(IdxPrecio_V,1,MIN(10,BQ$173)))*(1+V_dPrecio))</f>
        <v>0</v>
      </c>
      <c r="BR211" s="48" t="n">
        <f aca="false">IF(BR$8=1,IF(Reales!$C$47="PYG",IF(BR$10&gt;0,N(Reales!BR47)/BR$10,0),N(Reales!BR47)),BR$186*IF(AND(AND(65&gt;Corte,65&lt;=Corte+n_Ventana),ISNUMBER(Detalle_24m!BR$51)),Detalle_24m!BR$51,INDEX(Precio_V,10)*INDEX(IdxPrecio_V,1,MIN(10,BR$173)))*(1+V_dPrecio))</f>
        <v>0</v>
      </c>
      <c r="BS211" s="48" t="n">
        <f aca="false">IF(BS$8=1,IF(Reales!$C$47="PYG",IF(BS$10&gt;0,N(Reales!BS47)/BS$10,0),N(Reales!BS47)),BS$186*IF(AND(AND(66&gt;Corte,66&lt;=Corte+n_Ventana),ISNUMBER(Detalle_24m!BS$51)),Detalle_24m!BS$51,INDEX(Precio_V,10)*INDEX(IdxPrecio_V,1,MIN(10,BS$173)))*(1+V_dPrecio))</f>
        <v>0</v>
      </c>
      <c r="BT211" s="48" t="n">
        <f aca="false">IF(BT$8=1,IF(Reales!$C$47="PYG",IF(BT$10&gt;0,N(Reales!BT47)/BT$10,0),N(Reales!BT47)),BT$186*IF(AND(AND(67&gt;Corte,67&lt;=Corte+n_Ventana),ISNUMBER(Detalle_24m!BT$51)),Detalle_24m!BT$51,INDEX(Precio_V,10)*INDEX(IdxPrecio_V,1,MIN(10,BT$173)))*(1+V_dPrecio))</f>
        <v>0</v>
      </c>
      <c r="BU211" s="48" t="n">
        <f aca="false">IF(BU$8=1,IF(Reales!$C$47="PYG",IF(BU$10&gt;0,N(Reales!BU47)/BU$10,0),N(Reales!BU47)),BU$186*IF(AND(AND(68&gt;Corte,68&lt;=Corte+n_Ventana),ISNUMBER(Detalle_24m!BU$51)),Detalle_24m!BU$51,INDEX(Precio_V,10)*INDEX(IdxPrecio_V,1,MIN(10,BU$173)))*(1+V_dPrecio))</f>
        <v>0</v>
      </c>
      <c r="BV211" s="48" t="n">
        <f aca="false">IF(BV$8=1,IF(Reales!$C$47="PYG",IF(BV$10&gt;0,N(Reales!BV47)/BV$10,0),N(Reales!BV47)),BV$186*IF(AND(AND(69&gt;Corte,69&lt;=Corte+n_Ventana),ISNUMBER(Detalle_24m!BV$51)),Detalle_24m!BV$51,INDEX(Precio_V,10)*INDEX(IdxPrecio_V,1,MIN(10,BV$173)))*(1+V_dPrecio))</f>
        <v>0</v>
      </c>
      <c r="BW211" s="48" t="n">
        <f aca="false">IF(BW$8=1,IF(Reales!$C$47="PYG",IF(BW$10&gt;0,N(Reales!BW47)/BW$10,0),N(Reales!BW47)),BW$186*IF(AND(AND(70&gt;Corte,70&lt;=Corte+n_Ventana),ISNUMBER(Detalle_24m!BW$51)),Detalle_24m!BW$51,INDEX(Precio_V,10)*INDEX(IdxPrecio_V,1,MIN(10,BW$173)))*(1+V_dPrecio))</f>
        <v>0</v>
      </c>
      <c r="BX211" s="48" t="n">
        <f aca="false">IF(BX$8=1,IF(Reales!$C$47="PYG",IF(BX$10&gt;0,N(Reales!BX47)/BX$10,0),N(Reales!BX47)),BX$186*IF(AND(AND(71&gt;Corte,71&lt;=Corte+n_Ventana),ISNUMBER(Detalle_24m!BX$51)),Detalle_24m!BX$51,INDEX(Precio_V,10)*INDEX(IdxPrecio_V,1,MIN(10,BX$173)))*(1+V_dPrecio))</f>
        <v>0</v>
      </c>
      <c r="BY211" s="48" t="n">
        <f aca="false">IF(BY$8=1,IF(Reales!$C$47="PYG",IF(BY$10&gt;0,N(Reales!BY47)/BY$10,0),N(Reales!BY47)),BY$186*IF(AND(AND(72&gt;Corte,72&lt;=Corte+n_Ventana),ISNUMBER(Detalle_24m!BY$51)),Detalle_24m!BY$51,INDEX(Precio_V,10)*INDEX(IdxPrecio_V,1,MIN(10,BY$173)))*(1+V_dPrecio))</f>
        <v>0</v>
      </c>
      <c r="BZ211" s="48" t="n">
        <f aca="false">IF(BZ$8=1,IF(Reales!$C$47="PYG",IF(BZ$10&gt;0,N(Reales!BZ47)/BZ$10,0),N(Reales!BZ47)),BZ$186*IF(AND(AND(73&gt;Corte,73&lt;=Corte+n_Ventana),ISNUMBER(Detalle_24m!BZ$51)),Detalle_24m!BZ$51,INDEX(Precio_V,10)*INDEX(IdxPrecio_V,1,MIN(10,BZ$173)))*(1+V_dPrecio))</f>
        <v>0</v>
      </c>
      <c r="CA211" s="48" t="n">
        <f aca="false">IF(CA$8=1,IF(Reales!$C$47="PYG",IF(CA$10&gt;0,N(Reales!CA47)/CA$10,0),N(Reales!CA47)),CA$186*IF(AND(AND(74&gt;Corte,74&lt;=Corte+n_Ventana),ISNUMBER(Detalle_24m!CA$51)),Detalle_24m!CA$51,INDEX(Precio_V,10)*INDEX(IdxPrecio_V,1,MIN(10,CA$173)))*(1+V_dPrecio))</f>
        <v>0</v>
      </c>
      <c r="CB211" s="48" t="n">
        <f aca="false">IF(CB$8=1,IF(Reales!$C$47="PYG",IF(CB$10&gt;0,N(Reales!CB47)/CB$10,0),N(Reales!CB47)),CB$186*IF(AND(AND(75&gt;Corte,75&lt;=Corte+n_Ventana),ISNUMBER(Detalle_24m!CB$51)),Detalle_24m!CB$51,INDEX(Precio_V,10)*INDEX(IdxPrecio_V,1,MIN(10,CB$173)))*(1+V_dPrecio))</f>
        <v>0</v>
      </c>
      <c r="CC211" s="48" t="n">
        <f aca="false">IF(CC$8=1,IF(Reales!$C$47="PYG",IF(CC$10&gt;0,N(Reales!CC47)/CC$10,0),N(Reales!CC47)),CC$186*IF(AND(AND(76&gt;Corte,76&lt;=Corte+n_Ventana),ISNUMBER(Detalle_24m!CC$51)),Detalle_24m!CC$51,INDEX(Precio_V,10)*INDEX(IdxPrecio_V,1,MIN(10,CC$173)))*(1+V_dPrecio))</f>
        <v>0</v>
      </c>
      <c r="CD211" s="48" t="n">
        <f aca="false">IF(CD$8=1,IF(Reales!$C$47="PYG",IF(CD$10&gt;0,N(Reales!CD47)/CD$10,0),N(Reales!CD47)),CD$186*IF(AND(AND(77&gt;Corte,77&lt;=Corte+n_Ventana),ISNUMBER(Detalle_24m!CD$51)),Detalle_24m!CD$51,INDEX(Precio_V,10)*INDEX(IdxPrecio_V,1,MIN(10,CD$173)))*(1+V_dPrecio))</f>
        <v>0</v>
      </c>
      <c r="CE211" s="48" t="n">
        <f aca="false">IF(CE$8=1,IF(Reales!$C$47="PYG",IF(CE$10&gt;0,N(Reales!CE47)/CE$10,0),N(Reales!CE47)),CE$186*IF(AND(AND(78&gt;Corte,78&lt;=Corte+n_Ventana),ISNUMBER(Detalle_24m!CE$51)),Detalle_24m!CE$51,INDEX(Precio_V,10)*INDEX(IdxPrecio_V,1,MIN(10,CE$173)))*(1+V_dPrecio))</f>
        <v>0</v>
      </c>
      <c r="CF211" s="48" t="n">
        <f aca="false">IF(CF$8=1,IF(Reales!$C$47="PYG",IF(CF$10&gt;0,N(Reales!CF47)/CF$10,0),N(Reales!CF47)),CF$186*IF(AND(AND(79&gt;Corte,79&lt;=Corte+n_Ventana),ISNUMBER(Detalle_24m!CF$51)),Detalle_24m!CF$51,INDEX(Precio_V,10)*INDEX(IdxPrecio_V,1,MIN(10,CF$173)))*(1+V_dPrecio))</f>
        <v>0</v>
      </c>
      <c r="CG211" s="48" t="n">
        <f aca="false">IF(CG$8=1,IF(Reales!$C$47="PYG",IF(CG$10&gt;0,N(Reales!CG47)/CG$10,0),N(Reales!CG47)),CG$186*IF(AND(AND(80&gt;Corte,80&lt;=Corte+n_Ventana),ISNUMBER(Detalle_24m!CG$51)),Detalle_24m!CG$51,INDEX(Precio_V,10)*INDEX(IdxPrecio_V,1,MIN(10,CG$173)))*(1+V_dPrecio))</f>
        <v>0</v>
      </c>
      <c r="CH211" s="48" t="n">
        <f aca="false">IF(CH$8=1,IF(Reales!$C$47="PYG",IF(CH$10&gt;0,N(Reales!CH47)/CH$10,0),N(Reales!CH47)),CH$186*IF(AND(AND(81&gt;Corte,81&lt;=Corte+n_Ventana),ISNUMBER(Detalle_24m!CH$51)),Detalle_24m!CH$51,INDEX(Precio_V,10)*INDEX(IdxPrecio_V,1,MIN(10,CH$173)))*(1+V_dPrecio))</f>
        <v>0</v>
      </c>
      <c r="CI211" s="48" t="n">
        <f aca="false">IF(CI$8=1,IF(Reales!$C$47="PYG",IF(CI$10&gt;0,N(Reales!CI47)/CI$10,0),N(Reales!CI47)),CI$186*IF(AND(AND(82&gt;Corte,82&lt;=Corte+n_Ventana),ISNUMBER(Detalle_24m!CI$51)),Detalle_24m!CI$51,INDEX(Precio_V,10)*INDEX(IdxPrecio_V,1,MIN(10,CI$173)))*(1+V_dPrecio))</f>
        <v>0</v>
      </c>
      <c r="CJ211" s="48" t="n">
        <f aca="false">IF(CJ$8=1,IF(Reales!$C$47="PYG",IF(CJ$10&gt;0,N(Reales!CJ47)/CJ$10,0),N(Reales!CJ47)),CJ$186*IF(AND(AND(83&gt;Corte,83&lt;=Corte+n_Ventana),ISNUMBER(Detalle_24m!CJ$51)),Detalle_24m!CJ$51,INDEX(Precio_V,10)*INDEX(IdxPrecio_V,1,MIN(10,CJ$173)))*(1+V_dPrecio))</f>
        <v>0</v>
      </c>
      <c r="CK211" s="48" t="n">
        <f aca="false">IF(CK$8=1,IF(Reales!$C$47="PYG",IF(CK$10&gt;0,N(Reales!CK47)/CK$10,0),N(Reales!CK47)),CK$186*IF(AND(AND(84&gt;Corte,84&lt;=Corte+n_Ventana),ISNUMBER(Detalle_24m!CK$51)),Detalle_24m!CK$51,INDEX(Precio_V,10)*INDEX(IdxPrecio_V,1,MIN(10,CK$173)))*(1+V_dPrecio))</f>
        <v>0</v>
      </c>
      <c r="CL211" s="48" t="n">
        <f aca="false">IF(CL$8=1,IF(Reales!$C$47="PYG",IF(CL$10&gt;0,N(Reales!CL47)/CL$10,0),N(Reales!CL47)),CL$186*IF(AND(AND(85&gt;Corte,85&lt;=Corte+n_Ventana),ISNUMBER(Detalle_24m!CL$51)),Detalle_24m!CL$51,INDEX(Precio_V,10)*INDEX(IdxPrecio_V,1,MIN(10,CL$173)))*(1+V_dPrecio))</f>
        <v>0</v>
      </c>
      <c r="CM211" s="48" t="n">
        <f aca="false">IF(CM$8=1,IF(Reales!$C$47="PYG",IF(CM$10&gt;0,N(Reales!CM47)/CM$10,0),N(Reales!CM47)),CM$186*IF(AND(AND(86&gt;Corte,86&lt;=Corte+n_Ventana),ISNUMBER(Detalle_24m!CM$51)),Detalle_24m!CM$51,INDEX(Precio_V,10)*INDEX(IdxPrecio_V,1,MIN(10,CM$173)))*(1+V_dPrecio))</f>
        <v>0</v>
      </c>
      <c r="CN211" s="48" t="n">
        <f aca="false">IF(CN$8=1,IF(Reales!$C$47="PYG",IF(CN$10&gt;0,N(Reales!CN47)/CN$10,0),N(Reales!CN47)),CN$186*IF(AND(AND(87&gt;Corte,87&lt;=Corte+n_Ventana),ISNUMBER(Detalle_24m!CN$51)),Detalle_24m!CN$51,INDEX(Precio_V,10)*INDEX(IdxPrecio_V,1,MIN(10,CN$173)))*(1+V_dPrecio))</f>
        <v>0</v>
      </c>
      <c r="CO211" s="48" t="n">
        <f aca="false">IF(CO$8=1,IF(Reales!$C$47="PYG",IF(CO$10&gt;0,N(Reales!CO47)/CO$10,0),N(Reales!CO47)),CO$186*IF(AND(AND(88&gt;Corte,88&lt;=Corte+n_Ventana),ISNUMBER(Detalle_24m!CO$51)),Detalle_24m!CO$51,INDEX(Precio_V,10)*INDEX(IdxPrecio_V,1,MIN(10,CO$173)))*(1+V_dPrecio))</f>
        <v>0</v>
      </c>
      <c r="CP211" s="48" t="n">
        <f aca="false">IF(CP$8=1,IF(Reales!$C$47="PYG",IF(CP$10&gt;0,N(Reales!CP47)/CP$10,0),N(Reales!CP47)),CP$186*IF(AND(AND(89&gt;Corte,89&lt;=Corte+n_Ventana),ISNUMBER(Detalle_24m!CP$51)),Detalle_24m!CP$51,INDEX(Precio_V,10)*INDEX(IdxPrecio_V,1,MIN(10,CP$173)))*(1+V_dPrecio))</f>
        <v>0</v>
      </c>
      <c r="CQ211" s="48" t="n">
        <f aca="false">IF(CQ$8=1,IF(Reales!$C$47="PYG",IF(CQ$10&gt;0,N(Reales!CQ47)/CQ$10,0),N(Reales!CQ47)),CQ$186*IF(AND(AND(90&gt;Corte,90&lt;=Corte+n_Ventana),ISNUMBER(Detalle_24m!CQ$51)),Detalle_24m!CQ$51,INDEX(Precio_V,10)*INDEX(IdxPrecio_V,1,MIN(10,CQ$173)))*(1+V_dPrecio))</f>
        <v>0</v>
      </c>
      <c r="CR211" s="48" t="n">
        <f aca="false">IF(CR$8=1,IF(Reales!$C$47="PYG",IF(CR$10&gt;0,N(Reales!CR47)/CR$10,0),N(Reales!CR47)),CR$186*IF(AND(AND(91&gt;Corte,91&lt;=Corte+n_Ventana),ISNUMBER(Detalle_24m!CR$51)),Detalle_24m!CR$51,INDEX(Precio_V,10)*INDEX(IdxPrecio_V,1,MIN(10,CR$173)))*(1+V_dPrecio))</f>
        <v>0</v>
      </c>
      <c r="CS211" s="48" t="n">
        <f aca="false">IF(CS$8=1,IF(Reales!$C$47="PYG",IF(CS$10&gt;0,N(Reales!CS47)/CS$10,0),N(Reales!CS47)),CS$186*IF(AND(AND(92&gt;Corte,92&lt;=Corte+n_Ventana),ISNUMBER(Detalle_24m!CS$51)),Detalle_24m!CS$51,INDEX(Precio_V,10)*INDEX(IdxPrecio_V,1,MIN(10,CS$173)))*(1+V_dPrecio))</f>
        <v>0</v>
      </c>
      <c r="CT211" s="48" t="n">
        <f aca="false">IF(CT$8=1,IF(Reales!$C$47="PYG",IF(CT$10&gt;0,N(Reales!CT47)/CT$10,0),N(Reales!CT47)),CT$186*IF(AND(AND(93&gt;Corte,93&lt;=Corte+n_Ventana),ISNUMBER(Detalle_24m!CT$51)),Detalle_24m!CT$51,INDEX(Precio_V,10)*INDEX(IdxPrecio_V,1,MIN(10,CT$173)))*(1+V_dPrecio))</f>
        <v>0</v>
      </c>
      <c r="CU211" s="48" t="n">
        <f aca="false">IF(CU$8=1,IF(Reales!$C$47="PYG",IF(CU$10&gt;0,N(Reales!CU47)/CU$10,0),N(Reales!CU47)),CU$186*IF(AND(AND(94&gt;Corte,94&lt;=Corte+n_Ventana),ISNUMBER(Detalle_24m!CU$51)),Detalle_24m!CU$51,INDEX(Precio_V,10)*INDEX(IdxPrecio_V,1,MIN(10,CU$173)))*(1+V_dPrecio))</f>
        <v>0</v>
      </c>
      <c r="CV211" s="48" t="n">
        <f aca="false">IF(CV$8=1,IF(Reales!$C$47="PYG",IF(CV$10&gt;0,N(Reales!CV47)/CV$10,0),N(Reales!CV47)),CV$186*IF(AND(AND(95&gt;Corte,95&lt;=Corte+n_Ventana),ISNUMBER(Detalle_24m!CV$51)),Detalle_24m!CV$51,INDEX(Precio_V,10)*INDEX(IdxPrecio_V,1,MIN(10,CV$173)))*(1+V_dPrecio))</f>
        <v>0</v>
      </c>
      <c r="CW211" s="48" t="n">
        <f aca="false">IF(CW$8=1,IF(Reales!$C$47="PYG",IF(CW$10&gt;0,N(Reales!CW47)/CW$10,0),N(Reales!CW47)),CW$186*IF(AND(AND(96&gt;Corte,96&lt;=Corte+n_Ventana),ISNUMBER(Detalle_24m!CW$51)),Detalle_24m!CW$51,INDEX(Precio_V,10)*INDEX(IdxPrecio_V,1,MIN(10,CW$173)))*(1+V_dPrecio))</f>
        <v>0</v>
      </c>
      <c r="CX211" s="48" t="n">
        <f aca="false">IF(CX$8=1,IF(Reales!$C$47="PYG",IF(CX$10&gt;0,N(Reales!CX47)/CX$10,0),N(Reales!CX47)),CX$186*IF(AND(AND(97&gt;Corte,97&lt;=Corte+n_Ventana),ISNUMBER(Detalle_24m!CX$51)),Detalle_24m!CX$51,INDEX(Precio_V,10)*INDEX(IdxPrecio_V,1,MIN(10,CX$173)))*(1+V_dPrecio))</f>
        <v>0</v>
      </c>
      <c r="CY211" s="48" t="n">
        <f aca="false">IF(CY$8=1,IF(Reales!$C$47="PYG",IF(CY$10&gt;0,N(Reales!CY47)/CY$10,0),N(Reales!CY47)),CY$186*IF(AND(AND(98&gt;Corte,98&lt;=Corte+n_Ventana),ISNUMBER(Detalle_24m!CY$51)),Detalle_24m!CY$51,INDEX(Precio_V,10)*INDEX(IdxPrecio_V,1,MIN(10,CY$173)))*(1+V_dPrecio))</f>
        <v>0</v>
      </c>
      <c r="CZ211" s="48" t="n">
        <f aca="false">IF(CZ$8=1,IF(Reales!$C$47="PYG",IF(CZ$10&gt;0,N(Reales!CZ47)/CZ$10,0),N(Reales!CZ47)),CZ$186*IF(AND(AND(99&gt;Corte,99&lt;=Corte+n_Ventana),ISNUMBER(Detalle_24m!CZ$51)),Detalle_24m!CZ$51,INDEX(Precio_V,10)*INDEX(IdxPrecio_V,1,MIN(10,CZ$173)))*(1+V_dPrecio))</f>
        <v>0</v>
      </c>
      <c r="DA211" s="48" t="n">
        <f aca="false">IF(DA$8=1,IF(Reales!$C$47="PYG",IF(DA$10&gt;0,N(Reales!DA47)/DA$10,0),N(Reales!DA47)),DA$186*IF(AND(AND(100&gt;Corte,100&lt;=Corte+n_Ventana),ISNUMBER(Detalle_24m!DA$51)),Detalle_24m!DA$51,INDEX(Precio_V,10)*INDEX(IdxPrecio_V,1,MIN(10,DA$173)))*(1+V_dPrecio))</f>
        <v>0</v>
      </c>
      <c r="DB211" s="48" t="n">
        <f aca="false">IF(DB$8=1,IF(Reales!$C$47="PYG",IF(DB$10&gt;0,N(Reales!DB47)/DB$10,0),N(Reales!DB47)),DB$186*IF(AND(AND(101&gt;Corte,101&lt;=Corte+n_Ventana),ISNUMBER(Detalle_24m!DB$51)),Detalle_24m!DB$51,INDEX(Precio_V,10)*INDEX(IdxPrecio_V,1,MIN(10,DB$173)))*(1+V_dPrecio))</f>
        <v>0</v>
      </c>
      <c r="DC211" s="48" t="n">
        <f aca="false">IF(DC$8=1,IF(Reales!$C$47="PYG",IF(DC$10&gt;0,N(Reales!DC47)/DC$10,0),N(Reales!DC47)),DC$186*IF(AND(AND(102&gt;Corte,102&lt;=Corte+n_Ventana),ISNUMBER(Detalle_24m!DC$51)),Detalle_24m!DC$51,INDEX(Precio_V,10)*INDEX(IdxPrecio_V,1,MIN(10,DC$173)))*(1+V_dPrecio))</f>
        <v>0</v>
      </c>
      <c r="DD211" s="48" t="n">
        <f aca="false">IF(DD$8=1,IF(Reales!$C$47="PYG",IF(DD$10&gt;0,N(Reales!DD47)/DD$10,0),N(Reales!DD47)),DD$186*IF(AND(AND(103&gt;Corte,103&lt;=Corte+n_Ventana),ISNUMBER(Detalle_24m!DD$51)),Detalle_24m!DD$51,INDEX(Precio_V,10)*INDEX(IdxPrecio_V,1,MIN(10,DD$173)))*(1+V_dPrecio))</f>
        <v>0</v>
      </c>
      <c r="DE211" s="48" t="n">
        <f aca="false">IF(DE$8=1,IF(Reales!$C$47="PYG",IF(DE$10&gt;0,N(Reales!DE47)/DE$10,0),N(Reales!DE47)),DE$186*IF(AND(AND(104&gt;Corte,104&lt;=Corte+n_Ventana),ISNUMBER(Detalle_24m!DE$51)),Detalle_24m!DE$51,INDEX(Precio_V,10)*INDEX(IdxPrecio_V,1,MIN(10,DE$173)))*(1+V_dPrecio))</f>
        <v>0</v>
      </c>
      <c r="DF211" s="48" t="n">
        <f aca="false">IF(DF$8=1,IF(Reales!$C$47="PYG",IF(DF$10&gt;0,N(Reales!DF47)/DF$10,0),N(Reales!DF47)),DF$186*IF(AND(AND(105&gt;Corte,105&lt;=Corte+n_Ventana),ISNUMBER(Detalle_24m!DF$51)),Detalle_24m!DF$51,INDEX(Precio_V,10)*INDEX(IdxPrecio_V,1,MIN(10,DF$173)))*(1+V_dPrecio))</f>
        <v>0</v>
      </c>
      <c r="DG211" s="48" t="n">
        <f aca="false">IF(DG$8=1,IF(Reales!$C$47="PYG",IF(DG$10&gt;0,N(Reales!DG47)/DG$10,0),N(Reales!DG47)),DG$186*IF(AND(AND(106&gt;Corte,106&lt;=Corte+n_Ventana),ISNUMBER(Detalle_24m!DG$51)),Detalle_24m!DG$51,INDEX(Precio_V,10)*INDEX(IdxPrecio_V,1,MIN(10,DG$173)))*(1+V_dPrecio))</f>
        <v>0</v>
      </c>
      <c r="DH211" s="48" t="n">
        <f aca="false">IF(DH$8=1,IF(Reales!$C$47="PYG",IF(DH$10&gt;0,N(Reales!DH47)/DH$10,0),N(Reales!DH47)),DH$186*IF(AND(AND(107&gt;Corte,107&lt;=Corte+n_Ventana),ISNUMBER(Detalle_24m!DH$51)),Detalle_24m!DH$51,INDEX(Precio_V,10)*INDEX(IdxPrecio_V,1,MIN(10,DH$173)))*(1+V_dPrecio))</f>
        <v>0</v>
      </c>
      <c r="DI211" s="48" t="n">
        <f aca="false">IF(DI$8=1,IF(Reales!$C$47="PYG",IF(DI$10&gt;0,N(Reales!DI47)/DI$10,0),N(Reales!DI47)),DI$186*IF(AND(AND(108&gt;Corte,108&lt;=Corte+n_Ventana),ISNUMBER(Detalle_24m!DI$51)),Detalle_24m!DI$51,INDEX(Precio_V,10)*INDEX(IdxPrecio_V,1,MIN(10,DI$173)))*(1+V_dPrecio))</f>
        <v>0</v>
      </c>
      <c r="DJ211" s="48" t="n">
        <f aca="false">IF(DJ$8=1,IF(Reales!$C$47="PYG",IF(DJ$10&gt;0,N(Reales!DJ47)/DJ$10,0),N(Reales!DJ47)),DJ$186*IF(AND(AND(109&gt;Corte,109&lt;=Corte+n_Ventana),ISNUMBER(Detalle_24m!DJ$51)),Detalle_24m!DJ$51,INDEX(Precio_V,10)*INDEX(IdxPrecio_V,1,MIN(10,DJ$173)))*(1+V_dPrecio))</f>
        <v>0</v>
      </c>
      <c r="DK211" s="48" t="n">
        <f aca="false">IF(DK$8=1,IF(Reales!$C$47="PYG",IF(DK$10&gt;0,N(Reales!DK47)/DK$10,0),N(Reales!DK47)),DK$186*IF(AND(AND(110&gt;Corte,110&lt;=Corte+n_Ventana),ISNUMBER(Detalle_24m!DK$51)),Detalle_24m!DK$51,INDEX(Precio_V,10)*INDEX(IdxPrecio_V,1,MIN(10,DK$173)))*(1+V_dPrecio))</f>
        <v>0</v>
      </c>
      <c r="DL211" s="48" t="n">
        <f aca="false">IF(DL$8=1,IF(Reales!$C$47="PYG",IF(DL$10&gt;0,N(Reales!DL47)/DL$10,0),N(Reales!DL47)),DL$186*IF(AND(AND(111&gt;Corte,111&lt;=Corte+n_Ventana),ISNUMBER(Detalle_24m!DL$51)),Detalle_24m!DL$51,INDEX(Precio_V,10)*INDEX(IdxPrecio_V,1,MIN(10,DL$173)))*(1+V_dPrecio))</f>
        <v>0</v>
      </c>
      <c r="DM211" s="48" t="n">
        <f aca="false">IF(DM$8=1,IF(Reales!$C$47="PYG",IF(DM$10&gt;0,N(Reales!DM47)/DM$10,0),N(Reales!DM47)),DM$186*IF(AND(AND(112&gt;Corte,112&lt;=Corte+n_Ventana),ISNUMBER(Detalle_24m!DM$51)),Detalle_24m!DM$51,INDEX(Precio_V,10)*INDEX(IdxPrecio_V,1,MIN(10,DM$173)))*(1+V_dPrecio))</f>
        <v>0</v>
      </c>
      <c r="DN211" s="48" t="n">
        <f aca="false">IF(DN$8=1,IF(Reales!$C$47="PYG",IF(DN$10&gt;0,N(Reales!DN47)/DN$10,0),N(Reales!DN47)),DN$186*IF(AND(AND(113&gt;Corte,113&lt;=Corte+n_Ventana),ISNUMBER(Detalle_24m!DN$51)),Detalle_24m!DN$51,INDEX(Precio_V,10)*INDEX(IdxPrecio_V,1,MIN(10,DN$173)))*(1+V_dPrecio))</f>
        <v>0</v>
      </c>
      <c r="DO211" s="48" t="n">
        <f aca="false">IF(DO$8=1,IF(Reales!$C$47="PYG",IF(DO$10&gt;0,N(Reales!DO47)/DO$10,0),N(Reales!DO47)),DO$186*IF(AND(AND(114&gt;Corte,114&lt;=Corte+n_Ventana),ISNUMBER(Detalle_24m!DO$51)),Detalle_24m!DO$51,INDEX(Precio_V,10)*INDEX(IdxPrecio_V,1,MIN(10,DO$173)))*(1+V_dPrecio))</f>
        <v>0</v>
      </c>
      <c r="DP211" s="48" t="n">
        <f aca="false">IF(DP$8=1,IF(Reales!$C$47="PYG",IF(DP$10&gt;0,N(Reales!DP47)/DP$10,0),N(Reales!DP47)),DP$186*IF(AND(AND(115&gt;Corte,115&lt;=Corte+n_Ventana),ISNUMBER(Detalle_24m!DP$51)),Detalle_24m!DP$51,INDEX(Precio_V,10)*INDEX(IdxPrecio_V,1,MIN(10,DP$173)))*(1+V_dPrecio))</f>
        <v>0</v>
      </c>
      <c r="DQ211" s="48" t="n">
        <f aca="false">IF(DQ$8=1,IF(Reales!$C$47="PYG",IF(DQ$10&gt;0,N(Reales!DQ47)/DQ$10,0),N(Reales!DQ47)),DQ$186*IF(AND(AND(116&gt;Corte,116&lt;=Corte+n_Ventana),ISNUMBER(Detalle_24m!DQ$51)),Detalle_24m!DQ$51,INDEX(Precio_V,10)*INDEX(IdxPrecio_V,1,MIN(10,DQ$173)))*(1+V_dPrecio))</f>
        <v>0</v>
      </c>
      <c r="DR211" s="48" t="n">
        <f aca="false">IF(DR$8=1,IF(Reales!$C$47="PYG",IF(DR$10&gt;0,N(Reales!DR47)/DR$10,0),N(Reales!DR47)),DR$186*IF(AND(AND(117&gt;Corte,117&lt;=Corte+n_Ventana),ISNUMBER(Detalle_24m!DR$51)),Detalle_24m!DR$51,INDEX(Precio_V,10)*INDEX(IdxPrecio_V,1,MIN(10,DR$173)))*(1+V_dPrecio))</f>
        <v>0</v>
      </c>
      <c r="DS211" s="48" t="n">
        <f aca="false">IF(DS$8=1,IF(Reales!$C$47="PYG",IF(DS$10&gt;0,N(Reales!DS47)/DS$10,0),N(Reales!DS47)),DS$186*IF(AND(AND(118&gt;Corte,118&lt;=Corte+n_Ventana),ISNUMBER(Detalle_24m!DS$51)),Detalle_24m!DS$51,INDEX(Precio_V,10)*INDEX(IdxPrecio_V,1,MIN(10,DS$173)))*(1+V_dPrecio))</f>
        <v>0</v>
      </c>
      <c r="DT211" s="48" t="n">
        <f aca="false">IF(DT$8=1,IF(Reales!$C$47="PYG",IF(DT$10&gt;0,N(Reales!DT47)/DT$10,0),N(Reales!DT47)),DT$186*IF(AND(AND(119&gt;Corte,119&lt;=Corte+n_Ventana),ISNUMBER(Detalle_24m!DT$51)),Detalle_24m!DT$51,INDEX(Precio_V,10)*INDEX(IdxPrecio_V,1,MIN(10,DT$173)))*(1+V_dPrecio))</f>
        <v>0</v>
      </c>
      <c r="DU211" s="48" t="n">
        <f aca="false">IF(DU$8=1,IF(Reales!$C$47="PYG",IF(DU$10&gt;0,N(Reales!DU47)/DU$10,0),N(Reales!DU47)),DU$186*IF(AND(AND(120&gt;Corte,120&lt;=Corte+n_Ventana),ISNUMBER(Detalle_24m!DU$51)),Detalle_24m!DU$51,INDEX(Precio_V,10)*INDEX(IdxPrecio_V,1,MIN(10,DU$173)))*(1+V_dPrecio))</f>
        <v>0</v>
      </c>
      <c r="DV211" s="48" t="n">
        <f aca="false">IF(DV$8=1,IF(Reales!$C$47="PYG",IF(DV$10&gt;0,N(Reales!DV47)/DV$10,0),N(Reales!DV47)),DV$186*IF(AND(AND(121&gt;Corte,121&lt;=Corte+n_Ventana),ISNUMBER(Detalle_24m!DV$51)),Detalle_24m!DV$51,INDEX(Precio_V,10)*INDEX(IdxPrecio_V,1,MIN(10,DV$173)))*(1+V_dPrecio))</f>
        <v>0</v>
      </c>
      <c r="DW211" s="48" t="n">
        <f aca="false">IF(DW$8=1,IF(Reales!$C$47="PYG",IF(DW$10&gt;0,N(Reales!DW47)/DW$10,0),N(Reales!DW47)),DW$186*IF(AND(AND(122&gt;Corte,122&lt;=Corte+n_Ventana),ISNUMBER(Detalle_24m!DW$51)),Detalle_24m!DW$51,INDEX(Precio_V,10)*INDEX(IdxPrecio_V,1,MIN(10,DW$173)))*(1+V_dPrecio))</f>
        <v>0</v>
      </c>
      <c r="DX211" s="48" t="n">
        <f aca="false">IF(DX$8=1,IF(Reales!$C$47="PYG",IF(DX$10&gt;0,N(Reales!DX47)/DX$10,0),N(Reales!DX47)),DX$186*IF(AND(AND(123&gt;Corte,123&lt;=Corte+n_Ventana),ISNUMBER(Detalle_24m!DX$51)),Detalle_24m!DX$51,INDEX(Precio_V,10)*INDEX(IdxPrecio_V,1,MIN(10,DX$173)))*(1+V_dPrecio))</f>
        <v>0</v>
      </c>
      <c r="DY211" s="48" t="n">
        <f aca="false">IF(DY$8=1,IF(Reales!$C$47="PYG",IF(DY$10&gt;0,N(Reales!DY47)/DY$10,0),N(Reales!DY47)),DY$186*IF(AND(AND(124&gt;Corte,124&lt;=Corte+n_Ventana),ISNUMBER(Detalle_24m!DY$51)),Detalle_24m!DY$51,INDEX(Precio_V,10)*INDEX(IdxPrecio_V,1,MIN(10,DY$173)))*(1+V_dPrecio))</f>
        <v>0</v>
      </c>
      <c r="DZ211" s="48" t="n">
        <f aca="false">IF(DZ$8=1,IF(Reales!$C$47="PYG",IF(DZ$10&gt;0,N(Reales!DZ47)/DZ$10,0),N(Reales!DZ47)),DZ$186*IF(AND(AND(125&gt;Corte,125&lt;=Corte+n_Ventana),ISNUMBER(Detalle_24m!DZ$51)),Detalle_24m!DZ$51,INDEX(Precio_V,10)*INDEX(IdxPrecio_V,1,MIN(10,DZ$173)))*(1+V_dPrecio))</f>
        <v>0</v>
      </c>
      <c r="EA211" s="48" t="n">
        <f aca="false">IF(EA$8=1,IF(Reales!$C$47="PYG",IF(EA$10&gt;0,N(Reales!EA47)/EA$10,0),N(Reales!EA47)),EA$186*IF(AND(AND(126&gt;Corte,126&lt;=Corte+n_Ventana),ISNUMBER(Detalle_24m!EA$51)),Detalle_24m!EA$51,INDEX(Precio_V,10)*INDEX(IdxPrecio_V,1,MIN(10,EA$173)))*(1+V_dPrecio))</f>
        <v>0</v>
      </c>
      <c r="EB211" s="48" t="n">
        <f aca="false">IF(EB$8=1,IF(Reales!$C$47="PYG",IF(EB$10&gt;0,N(Reales!EB47)/EB$10,0),N(Reales!EB47)),EB$186*IF(AND(AND(127&gt;Corte,127&lt;=Corte+n_Ventana),ISNUMBER(Detalle_24m!EB$51)),Detalle_24m!EB$51,INDEX(Precio_V,10)*INDEX(IdxPrecio_V,1,MIN(10,EB$173)))*(1+V_dPrecio))</f>
        <v>0</v>
      </c>
      <c r="EC211" s="48" t="n">
        <f aca="false">IF(EC$8=1,IF(Reales!$C$47="PYG",IF(EC$10&gt;0,N(Reales!EC47)/EC$10,0),N(Reales!EC47)),EC$186*IF(AND(AND(128&gt;Corte,128&lt;=Corte+n_Ventana),ISNUMBER(Detalle_24m!EC$51)),Detalle_24m!EC$51,INDEX(Precio_V,10)*INDEX(IdxPrecio_V,1,MIN(10,EC$173)))*(1+V_dPrecio))</f>
        <v>0</v>
      </c>
      <c r="ED211" s="48" t="n">
        <f aca="false">IF(ED$8=1,IF(Reales!$C$47="PYG",IF(ED$10&gt;0,N(Reales!ED47)/ED$10,0),N(Reales!ED47)),ED$186*IF(AND(AND(129&gt;Corte,129&lt;=Corte+n_Ventana),ISNUMBER(Detalle_24m!ED$51)),Detalle_24m!ED$51,INDEX(Precio_V,10)*INDEX(IdxPrecio_V,1,MIN(10,ED$173)))*(1+V_dPrecio))</f>
        <v>0</v>
      </c>
      <c r="EE211" s="48" t="n">
        <f aca="false">IF(EE$8=1,IF(Reales!$C$47="PYG",IF(EE$10&gt;0,N(Reales!EE47)/EE$10,0),N(Reales!EE47)),EE$186*IF(AND(AND(130&gt;Corte,130&lt;=Corte+n_Ventana),ISNUMBER(Detalle_24m!EE$51)),Detalle_24m!EE$51,INDEX(Precio_V,10)*INDEX(IdxPrecio_V,1,MIN(10,EE$173)))*(1+V_dPrecio))</f>
        <v>0</v>
      </c>
      <c r="EF211" s="48" t="n">
        <f aca="false">IF(EF$8=1,IF(Reales!$C$47="PYG",IF(EF$10&gt;0,N(Reales!EF47)/EF$10,0),N(Reales!EF47)),EF$186*IF(AND(AND(131&gt;Corte,131&lt;=Corte+n_Ventana),ISNUMBER(Detalle_24m!EF$51)),Detalle_24m!EF$51,INDEX(Precio_V,10)*INDEX(IdxPrecio_V,1,MIN(10,EF$173)))*(1+V_dPrecio))</f>
        <v>0</v>
      </c>
      <c r="EG211" s="48" t="n">
        <f aca="false">IF(EG$8=1,IF(Reales!$C$47="PYG",IF(EG$10&gt;0,N(Reales!EG47)/EG$10,0),N(Reales!EG47)),EG$186*IF(AND(AND(132&gt;Corte,132&lt;=Corte+n_Ventana),ISNUMBER(Detalle_24m!EG$51)),Detalle_24m!EG$51,INDEX(Precio_V,10)*INDEX(IdxPrecio_V,1,MIN(10,EG$173)))*(1+V_dPrecio))</f>
        <v>0</v>
      </c>
      <c r="EH211" s="48" t="n">
        <f aca="false">IF(EH$8=1,IF(Reales!$C$47="PYG",IF(EH$10&gt;0,N(Reales!EH47)/EH$10,0),N(Reales!EH47)),EH$186*IF(AND(AND(133&gt;Corte,133&lt;=Corte+n_Ventana),ISNUMBER(Detalle_24m!EH$51)),Detalle_24m!EH$51,INDEX(Precio_V,10)*INDEX(IdxPrecio_V,1,MIN(10,EH$173)))*(1+V_dPrecio))</f>
        <v>0</v>
      </c>
      <c r="EI211" s="48" t="n">
        <f aca="false">IF(EI$8=1,IF(Reales!$C$47="PYG",IF(EI$10&gt;0,N(Reales!EI47)/EI$10,0),N(Reales!EI47)),EI$186*IF(AND(AND(134&gt;Corte,134&lt;=Corte+n_Ventana),ISNUMBER(Detalle_24m!EI$51)),Detalle_24m!EI$51,INDEX(Precio_V,10)*INDEX(IdxPrecio_V,1,MIN(10,EI$173)))*(1+V_dPrecio))</f>
        <v>0</v>
      </c>
      <c r="EJ211" s="48" t="n">
        <f aca="false">IF(EJ$8=1,IF(Reales!$C$47="PYG",IF(EJ$10&gt;0,N(Reales!EJ47)/EJ$10,0),N(Reales!EJ47)),EJ$186*IF(AND(AND(135&gt;Corte,135&lt;=Corte+n_Ventana),ISNUMBER(Detalle_24m!EJ$51)),Detalle_24m!EJ$51,INDEX(Precio_V,10)*INDEX(IdxPrecio_V,1,MIN(10,EJ$173)))*(1+V_dPrecio))</f>
        <v>0</v>
      </c>
      <c r="EK211" s="48" t="n">
        <f aca="false">IF(EK$8=1,IF(Reales!$C$47="PYG",IF(EK$10&gt;0,N(Reales!EK47)/EK$10,0),N(Reales!EK47)),EK$186*IF(AND(AND(136&gt;Corte,136&lt;=Corte+n_Ventana),ISNUMBER(Detalle_24m!EK$51)),Detalle_24m!EK$51,INDEX(Precio_V,10)*INDEX(IdxPrecio_V,1,MIN(10,EK$173)))*(1+V_dPrecio))</f>
        <v>0</v>
      </c>
      <c r="EL211" s="48" t="n">
        <f aca="false">IF(EL$8=1,IF(Reales!$C$47="PYG",IF(EL$10&gt;0,N(Reales!EL47)/EL$10,0),N(Reales!EL47)),EL$186*IF(AND(AND(137&gt;Corte,137&lt;=Corte+n_Ventana),ISNUMBER(Detalle_24m!EL$51)),Detalle_24m!EL$51,INDEX(Precio_V,10)*INDEX(IdxPrecio_V,1,MIN(10,EL$173)))*(1+V_dPrecio))</f>
        <v>0</v>
      </c>
      <c r="EM211" s="48" t="n">
        <f aca="false">IF(EM$8=1,IF(Reales!$C$47="PYG",IF(EM$10&gt;0,N(Reales!EM47)/EM$10,0),N(Reales!EM47)),EM$186*IF(AND(AND(138&gt;Corte,138&lt;=Corte+n_Ventana),ISNUMBER(Detalle_24m!EM$51)),Detalle_24m!EM$51,INDEX(Precio_V,10)*INDEX(IdxPrecio_V,1,MIN(10,EM$173)))*(1+V_dPrecio))</f>
        <v>0</v>
      </c>
      <c r="EN211" s="48" t="n">
        <f aca="false">IF(EN$8=1,IF(Reales!$C$47="PYG",IF(EN$10&gt;0,N(Reales!EN47)/EN$10,0),N(Reales!EN47)),EN$186*IF(AND(AND(139&gt;Corte,139&lt;=Corte+n_Ventana),ISNUMBER(Detalle_24m!EN$51)),Detalle_24m!EN$51,INDEX(Precio_V,10)*INDEX(IdxPrecio_V,1,MIN(10,EN$173)))*(1+V_dPrecio))</f>
        <v>0</v>
      </c>
      <c r="EO211" s="48" t="n">
        <f aca="false">IF(EO$8=1,IF(Reales!$C$47="PYG",IF(EO$10&gt;0,N(Reales!EO47)/EO$10,0),N(Reales!EO47)),EO$186*IF(AND(AND(140&gt;Corte,140&lt;=Corte+n_Ventana),ISNUMBER(Detalle_24m!EO$51)),Detalle_24m!EO$51,INDEX(Precio_V,10)*INDEX(IdxPrecio_V,1,MIN(10,EO$173)))*(1+V_dPrecio))</f>
        <v>0</v>
      </c>
      <c r="EP211" s="48" t="n">
        <f aca="false">IF(EP$8=1,IF(Reales!$C$47="PYG",IF(EP$10&gt;0,N(Reales!EP47)/EP$10,0),N(Reales!EP47)),EP$186*IF(AND(AND(141&gt;Corte,141&lt;=Corte+n_Ventana),ISNUMBER(Detalle_24m!EP$51)),Detalle_24m!EP$51,INDEX(Precio_V,10)*INDEX(IdxPrecio_V,1,MIN(10,EP$173)))*(1+V_dPrecio))</f>
        <v>0</v>
      </c>
      <c r="EQ211" s="48" t="n">
        <f aca="false">IF(EQ$8=1,IF(Reales!$C$47="PYG",IF(EQ$10&gt;0,N(Reales!EQ47)/EQ$10,0),N(Reales!EQ47)),EQ$186*IF(AND(AND(142&gt;Corte,142&lt;=Corte+n_Ventana),ISNUMBER(Detalle_24m!EQ$51)),Detalle_24m!EQ$51,INDEX(Precio_V,10)*INDEX(IdxPrecio_V,1,MIN(10,EQ$173)))*(1+V_dPrecio))</f>
        <v>0</v>
      </c>
      <c r="ER211" s="48" t="n">
        <f aca="false">IF(ER$8=1,IF(Reales!$C$47="PYG",IF(ER$10&gt;0,N(Reales!ER47)/ER$10,0),N(Reales!ER47)),ER$186*IF(AND(AND(143&gt;Corte,143&lt;=Corte+n_Ventana),ISNUMBER(Detalle_24m!ER$51)),Detalle_24m!ER$51,INDEX(Precio_V,10)*INDEX(IdxPrecio_V,1,MIN(10,ER$173)))*(1+V_dPrecio))</f>
        <v>0</v>
      </c>
      <c r="ES211" s="48" t="n">
        <f aca="false">IF(ES$8=1,IF(Reales!$C$47="PYG",IF(ES$10&gt;0,N(Reales!ES47)/ES$10,0),N(Reales!ES47)),ES$186*IF(AND(AND(144&gt;Corte,144&lt;=Corte+n_Ventana),ISNUMBER(Detalle_24m!ES$51)),Detalle_24m!ES$51,INDEX(Precio_V,10)*INDEX(IdxPrecio_V,1,MIN(10,ES$173)))*(1+V_dPrecio))</f>
        <v>0</v>
      </c>
    </row>
    <row r="212" customFormat="false" ht="15" hidden="false" customHeight="false" outlineLevel="0" collapsed="false">
      <c r="A212" s="11" t="s">
        <v>1335</v>
      </c>
      <c r="B212" s="53" t="str">
        <f aca="false">IF(INDEX(Prod_Nombre,11)="","Producto 11",INDEX(Prod_Nombre,11))&amp;" — ventas USD"</f>
        <v>Producto 11 — ventas USD</v>
      </c>
      <c r="C212" s="15" t="s">
        <v>508</v>
      </c>
      <c r="E212" s="54" t="n">
        <f aca="false">SUM(F212:ES212)</f>
        <v>0</v>
      </c>
      <c r="F212" s="48" t="n">
        <f aca="false">IF(F$8=1,IF(Reales!$C$48="PYG",IF(F$10&gt;0,N(Reales!F48)/F$10,0),N(Reales!F48)),F$187*IF(AND(AND(1&gt;Corte,1&lt;=Corte+n_Ventana),ISNUMBER(Detalle_24m!F$52)),Detalle_24m!F$52,INDEX(Precio_V,11)*INDEX(IdxPrecio_V,1,MIN(10,F$173)))*(1+V_dPrecio))</f>
        <v>0</v>
      </c>
      <c r="G212" s="48" t="n">
        <f aca="false">IF(G$8=1,IF(Reales!$C$48="PYG",IF(G$10&gt;0,N(Reales!G48)/G$10,0),N(Reales!G48)),G$187*IF(AND(AND(2&gt;Corte,2&lt;=Corte+n_Ventana),ISNUMBER(Detalle_24m!G$52)),Detalle_24m!G$52,INDEX(Precio_V,11)*INDEX(IdxPrecio_V,1,MIN(10,G$173)))*(1+V_dPrecio))</f>
        <v>0</v>
      </c>
      <c r="H212" s="48" t="n">
        <f aca="false">IF(H$8=1,IF(Reales!$C$48="PYG",IF(H$10&gt;0,N(Reales!H48)/H$10,0),N(Reales!H48)),H$187*IF(AND(AND(3&gt;Corte,3&lt;=Corte+n_Ventana),ISNUMBER(Detalle_24m!H$52)),Detalle_24m!H$52,INDEX(Precio_V,11)*INDEX(IdxPrecio_V,1,MIN(10,H$173)))*(1+V_dPrecio))</f>
        <v>0</v>
      </c>
      <c r="I212" s="48" t="n">
        <f aca="false">IF(I$8=1,IF(Reales!$C$48="PYG",IF(I$10&gt;0,N(Reales!I48)/I$10,0),N(Reales!I48)),I$187*IF(AND(AND(4&gt;Corte,4&lt;=Corte+n_Ventana),ISNUMBER(Detalle_24m!I$52)),Detalle_24m!I$52,INDEX(Precio_V,11)*INDEX(IdxPrecio_V,1,MIN(10,I$173)))*(1+V_dPrecio))</f>
        <v>0</v>
      </c>
      <c r="J212" s="48" t="n">
        <f aca="false">IF(J$8=1,IF(Reales!$C$48="PYG",IF(J$10&gt;0,N(Reales!J48)/J$10,0),N(Reales!J48)),J$187*IF(AND(AND(5&gt;Corte,5&lt;=Corte+n_Ventana),ISNUMBER(Detalle_24m!J$52)),Detalle_24m!J$52,INDEX(Precio_V,11)*INDEX(IdxPrecio_V,1,MIN(10,J$173)))*(1+V_dPrecio))</f>
        <v>0</v>
      </c>
      <c r="K212" s="48" t="n">
        <f aca="false">IF(K$8=1,IF(Reales!$C$48="PYG",IF(K$10&gt;0,N(Reales!K48)/K$10,0),N(Reales!K48)),K$187*IF(AND(AND(6&gt;Corte,6&lt;=Corte+n_Ventana),ISNUMBER(Detalle_24m!K$52)),Detalle_24m!K$52,INDEX(Precio_V,11)*INDEX(IdxPrecio_V,1,MIN(10,K$173)))*(1+V_dPrecio))</f>
        <v>0</v>
      </c>
      <c r="L212" s="48" t="n">
        <f aca="false">IF(L$8=1,IF(Reales!$C$48="PYG",IF(L$10&gt;0,N(Reales!L48)/L$10,0),N(Reales!L48)),L$187*IF(AND(AND(7&gt;Corte,7&lt;=Corte+n_Ventana),ISNUMBER(Detalle_24m!L$52)),Detalle_24m!L$52,INDEX(Precio_V,11)*INDEX(IdxPrecio_V,1,MIN(10,L$173)))*(1+V_dPrecio))</f>
        <v>0</v>
      </c>
      <c r="M212" s="48" t="n">
        <f aca="false">IF(M$8=1,IF(Reales!$C$48="PYG",IF(M$10&gt;0,N(Reales!M48)/M$10,0),N(Reales!M48)),M$187*IF(AND(AND(8&gt;Corte,8&lt;=Corte+n_Ventana),ISNUMBER(Detalle_24m!M$52)),Detalle_24m!M$52,INDEX(Precio_V,11)*INDEX(IdxPrecio_V,1,MIN(10,M$173)))*(1+V_dPrecio))</f>
        <v>0</v>
      </c>
      <c r="N212" s="48" t="n">
        <f aca="false">IF(N$8=1,IF(Reales!$C$48="PYG",IF(N$10&gt;0,N(Reales!N48)/N$10,0),N(Reales!N48)),N$187*IF(AND(AND(9&gt;Corte,9&lt;=Corte+n_Ventana),ISNUMBER(Detalle_24m!N$52)),Detalle_24m!N$52,INDEX(Precio_V,11)*INDEX(IdxPrecio_V,1,MIN(10,N$173)))*(1+V_dPrecio))</f>
        <v>0</v>
      </c>
      <c r="O212" s="48" t="n">
        <f aca="false">IF(O$8=1,IF(Reales!$C$48="PYG",IF(O$10&gt;0,N(Reales!O48)/O$10,0),N(Reales!O48)),O$187*IF(AND(AND(10&gt;Corte,10&lt;=Corte+n_Ventana),ISNUMBER(Detalle_24m!O$52)),Detalle_24m!O$52,INDEX(Precio_V,11)*INDEX(IdxPrecio_V,1,MIN(10,O$173)))*(1+V_dPrecio))</f>
        <v>0</v>
      </c>
      <c r="P212" s="48" t="n">
        <f aca="false">IF(P$8=1,IF(Reales!$C$48="PYG",IF(P$10&gt;0,N(Reales!P48)/P$10,0),N(Reales!P48)),P$187*IF(AND(AND(11&gt;Corte,11&lt;=Corte+n_Ventana),ISNUMBER(Detalle_24m!P$52)),Detalle_24m!P$52,INDEX(Precio_V,11)*INDEX(IdxPrecio_V,1,MIN(10,P$173)))*(1+V_dPrecio))</f>
        <v>0</v>
      </c>
      <c r="Q212" s="48" t="n">
        <f aca="false">IF(Q$8=1,IF(Reales!$C$48="PYG",IF(Q$10&gt;0,N(Reales!Q48)/Q$10,0),N(Reales!Q48)),Q$187*IF(AND(AND(12&gt;Corte,12&lt;=Corte+n_Ventana),ISNUMBER(Detalle_24m!Q$52)),Detalle_24m!Q$52,INDEX(Precio_V,11)*INDEX(IdxPrecio_V,1,MIN(10,Q$173)))*(1+V_dPrecio))</f>
        <v>0</v>
      </c>
      <c r="R212" s="48" t="n">
        <f aca="false">IF(R$8=1,IF(Reales!$C$48="PYG",IF(R$10&gt;0,N(Reales!R48)/R$10,0),N(Reales!R48)),R$187*IF(AND(AND(13&gt;Corte,13&lt;=Corte+n_Ventana),ISNUMBER(Detalle_24m!R$52)),Detalle_24m!R$52,INDEX(Precio_V,11)*INDEX(IdxPrecio_V,1,MIN(10,R$173)))*(1+V_dPrecio))</f>
        <v>0</v>
      </c>
      <c r="S212" s="48" t="n">
        <f aca="false">IF(S$8=1,IF(Reales!$C$48="PYG",IF(S$10&gt;0,N(Reales!S48)/S$10,0),N(Reales!S48)),S$187*IF(AND(AND(14&gt;Corte,14&lt;=Corte+n_Ventana),ISNUMBER(Detalle_24m!S$52)),Detalle_24m!S$52,INDEX(Precio_V,11)*INDEX(IdxPrecio_V,1,MIN(10,S$173)))*(1+V_dPrecio))</f>
        <v>0</v>
      </c>
      <c r="T212" s="48" t="n">
        <f aca="false">IF(T$8=1,IF(Reales!$C$48="PYG",IF(T$10&gt;0,N(Reales!T48)/T$10,0),N(Reales!T48)),T$187*IF(AND(AND(15&gt;Corte,15&lt;=Corte+n_Ventana),ISNUMBER(Detalle_24m!T$52)),Detalle_24m!T$52,INDEX(Precio_V,11)*INDEX(IdxPrecio_V,1,MIN(10,T$173)))*(1+V_dPrecio))</f>
        <v>0</v>
      </c>
      <c r="U212" s="48" t="n">
        <f aca="false">IF(U$8=1,IF(Reales!$C$48="PYG",IF(U$10&gt;0,N(Reales!U48)/U$10,0),N(Reales!U48)),U$187*IF(AND(AND(16&gt;Corte,16&lt;=Corte+n_Ventana),ISNUMBER(Detalle_24m!U$52)),Detalle_24m!U$52,INDEX(Precio_V,11)*INDEX(IdxPrecio_V,1,MIN(10,U$173)))*(1+V_dPrecio))</f>
        <v>0</v>
      </c>
      <c r="V212" s="48" t="n">
        <f aca="false">IF(V$8=1,IF(Reales!$C$48="PYG",IF(V$10&gt;0,N(Reales!V48)/V$10,0),N(Reales!V48)),V$187*IF(AND(AND(17&gt;Corte,17&lt;=Corte+n_Ventana),ISNUMBER(Detalle_24m!V$52)),Detalle_24m!V$52,INDEX(Precio_V,11)*INDEX(IdxPrecio_V,1,MIN(10,V$173)))*(1+V_dPrecio))</f>
        <v>0</v>
      </c>
      <c r="W212" s="48" t="n">
        <f aca="false">IF(W$8=1,IF(Reales!$C$48="PYG",IF(W$10&gt;0,N(Reales!W48)/W$10,0),N(Reales!W48)),W$187*IF(AND(AND(18&gt;Corte,18&lt;=Corte+n_Ventana),ISNUMBER(Detalle_24m!W$52)),Detalle_24m!W$52,INDEX(Precio_V,11)*INDEX(IdxPrecio_V,1,MIN(10,W$173)))*(1+V_dPrecio))</f>
        <v>0</v>
      </c>
      <c r="X212" s="48" t="n">
        <f aca="false">IF(X$8=1,IF(Reales!$C$48="PYG",IF(X$10&gt;0,N(Reales!X48)/X$10,0),N(Reales!X48)),X$187*IF(AND(AND(19&gt;Corte,19&lt;=Corte+n_Ventana),ISNUMBER(Detalle_24m!X$52)),Detalle_24m!X$52,INDEX(Precio_V,11)*INDEX(IdxPrecio_V,1,MIN(10,X$173)))*(1+V_dPrecio))</f>
        <v>0</v>
      </c>
      <c r="Y212" s="48" t="n">
        <f aca="false">IF(Y$8=1,IF(Reales!$C$48="PYG",IF(Y$10&gt;0,N(Reales!Y48)/Y$10,0),N(Reales!Y48)),Y$187*IF(AND(AND(20&gt;Corte,20&lt;=Corte+n_Ventana),ISNUMBER(Detalle_24m!Y$52)),Detalle_24m!Y$52,INDEX(Precio_V,11)*INDEX(IdxPrecio_V,1,MIN(10,Y$173)))*(1+V_dPrecio))</f>
        <v>0</v>
      </c>
      <c r="Z212" s="48" t="n">
        <f aca="false">IF(Z$8=1,IF(Reales!$C$48="PYG",IF(Z$10&gt;0,N(Reales!Z48)/Z$10,0),N(Reales!Z48)),Z$187*IF(AND(AND(21&gt;Corte,21&lt;=Corte+n_Ventana),ISNUMBER(Detalle_24m!Z$52)),Detalle_24m!Z$52,INDEX(Precio_V,11)*INDEX(IdxPrecio_V,1,MIN(10,Z$173)))*(1+V_dPrecio))</f>
        <v>0</v>
      </c>
      <c r="AA212" s="48" t="n">
        <f aca="false">IF(AA$8=1,IF(Reales!$C$48="PYG",IF(AA$10&gt;0,N(Reales!AA48)/AA$10,0),N(Reales!AA48)),AA$187*IF(AND(AND(22&gt;Corte,22&lt;=Corte+n_Ventana),ISNUMBER(Detalle_24m!AA$52)),Detalle_24m!AA$52,INDEX(Precio_V,11)*INDEX(IdxPrecio_V,1,MIN(10,AA$173)))*(1+V_dPrecio))</f>
        <v>0</v>
      </c>
      <c r="AB212" s="48" t="n">
        <f aca="false">IF(AB$8=1,IF(Reales!$C$48="PYG",IF(AB$10&gt;0,N(Reales!AB48)/AB$10,0),N(Reales!AB48)),AB$187*IF(AND(AND(23&gt;Corte,23&lt;=Corte+n_Ventana),ISNUMBER(Detalle_24m!AB$52)),Detalle_24m!AB$52,INDEX(Precio_V,11)*INDEX(IdxPrecio_V,1,MIN(10,AB$173)))*(1+V_dPrecio))</f>
        <v>0</v>
      </c>
      <c r="AC212" s="48" t="n">
        <f aca="false">IF(AC$8=1,IF(Reales!$C$48="PYG",IF(AC$10&gt;0,N(Reales!AC48)/AC$10,0),N(Reales!AC48)),AC$187*IF(AND(AND(24&gt;Corte,24&lt;=Corte+n_Ventana),ISNUMBER(Detalle_24m!AC$52)),Detalle_24m!AC$52,INDEX(Precio_V,11)*INDEX(IdxPrecio_V,1,MIN(10,AC$173)))*(1+V_dPrecio))</f>
        <v>0</v>
      </c>
      <c r="AD212" s="48" t="n">
        <f aca="false">IF(AD$8=1,IF(Reales!$C$48="PYG",IF(AD$10&gt;0,N(Reales!AD48)/AD$10,0),N(Reales!AD48)),AD$187*IF(AND(AND(25&gt;Corte,25&lt;=Corte+n_Ventana),ISNUMBER(Detalle_24m!AD$52)),Detalle_24m!AD$52,INDEX(Precio_V,11)*INDEX(IdxPrecio_V,1,MIN(10,AD$173)))*(1+V_dPrecio))</f>
        <v>0</v>
      </c>
      <c r="AE212" s="48" t="n">
        <f aca="false">IF(AE$8=1,IF(Reales!$C$48="PYG",IF(AE$10&gt;0,N(Reales!AE48)/AE$10,0),N(Reales!AE48)),AE$187*IF(AND(AND(26&gt;Corte,26&lt;=Corte+n_Ventana),ISNUMBER(Detalle_24m!AE$52)),Detalle_24m!AE$52,INDEX(Precio_V,11)*INDEX(IdxPrecio_V,1,MIN(10,AE$173)))*(1+V_dPrecio))</f>
        <v>0</v>
      </c>
      <c r="AF212" s="48" t="n">
        <f aca="false">IF(AF$8=1,IF(Reales!$C$48="PYG",IF(AF$10&gt;0,N(Reales!AF48)/AF$10,0),N(Reales!AF48)),AF$187*IF(AND(AND(27&gt;Corte,27&lt;=Corte+n_Ventana),ISNUMBER(Detalle_24m!AF$52)),Detalle_24m!AF$52,INDEX(Precio_V,11)*INDEX(IdxPrecio_V,1,MIN(10,AF$173)))*(1+V_dPrecio))</f>
        <v>0</v>
      </c>
      <c r="AG212" s="48" t="n">
        <f aca="false">IF(AG$8=1,IF(Reales!$C$48="PYG",IF(AG$10&gt;0,N(Reales!AG48)/AG$10,0),N(Reales!AG48)),AG$187*IF(AND(AND(28&gt;Corte,28&lt;=Corte+n_Ventana),ISNUMBER(Detalle_24m!AG$52)),Detalle_24m!AG$52,INDEX(Precio_V,11)*INDEX(IdxPrecio_V,1,MIN(10,AG$173)))*(1+V_dPrecio))</f>
        <v>0</v>
      </c>
      <c r="AH212" s="48" t="n">
        <f aca="false">IF(AH$8=1,IF(Reales!$C$48="PYG",IF(AH$10&gt;0,N(Reales!AH48)/AH$10,0),N(Reales!AH48)),AH$187*IF(AND(AND(29&gt;Corte,29&lt;=Corte+n_Ventana),ISNUMBER(Detalle_24m!AH$52)),Detalle_24m!AH$52,INDEX(Precio_V,11)*INDEX(IdxPrecio_V,1,MIN(10,AH$173)))*(1+V_dPrecio))</f>
        <v>0</v>
      </c>
      <c r="AI212" s="48" t="n">
        <f aca="false">IF(AI$8=1,IF(Reales!$C$48="PYG",IF(AI$10&gt;0,N(Reales!AI48)/AI$10,0),N(Reales!AI48)),AI$187*IF(AND(AND(30&gt;Corte,30&lt;=Corte+n_Ventana),ISNUMBER(Detalle_24m!AI$52)),Detalle_24m!AI$52,INDEX(Precio_V,11)*INDEX(IdxPrecio_V,1,MIN(10,AI$173)))*(1+V_dPrecio))</f>
        <v>0</v>
      </c>
      <c r="AJ212" s="48" t="n">
        <f aca="false">IF(AJ$8=1,IF(Reales!$C$48="PYG",IF(AJ$10&gt;0,N(Reales!AJ48)/AJ$10,0),N(Reales!AJ48)),AJ$187*IF(AND(AND(31&gt;Corte,31&lt;=Corte+n_Ventana),ISNUMBER(Detalle_24m!AJ$52)),Detalle_24m!AJ$52,INDEX(Precio_V,11)*INDEX(IdxPrecio_V,1,MIN(10,AJ$173)))*(1+V_dPrecio))</f>
        <v>0</v>
      </c>
      <c r="AK212" s="48" t="n">
        <f aca="false">IF(AK$8=1,IF(Reales!$C$48="PYG",IF(AK$10&gt;0,N(Reales!AK48)/AK$10,0),N(Reales!AK48)),AK$187*IF(AND(AND(32&gt;Corte,32&lt;=Corte+n_Ventana),ISNUMBER(Detalle_24m!AK$52)),Detalle_24m!AK$52,INDEX(Precio_V,11)*INDEX(IdxPrecio_V,1,MIN(10,AK$173)))*(1+V_dPrecio))</f>
        <v>0</v>
      </c>
      <c r="AL212" s="48" t="n">
        <f aca="false">IF(AL$8=1,IF(Reales!$C$48="PYG",IF(AL$10&gt;0,N(Reales!AL48)/AL$10,0),N(Reales!AL48)),AL$187*IF(AND(AND(33&gt;Corte,33&lt;=Corte+n_Ventana),ISNUMBER(Detalle_24m!AL$52)),Detalle_24m!AL$52,INDEX(Precio_V,11)*INDEX(IdxPrecio_V,1,MIN(10,AL$173)))*(1+V_dPrecio))</f>
        <v>0</v>
      </c>
      <c r="AM212" s="48" t="n">
        <f aca="false">IF(AM$8=1,IF(Reales!$C$48="PYG",IF(AM$10&gt;0,N(Reales!AM48)/AM$10,0),N(Reales!AM48)),AM$187*IF(AND(AND(34&gt;Corte,34&lt;=Corte+n_Ventana),ISNUMBER(Detalle_24m!AM$52)),Detalle_24m!AM$52,INDEX(Precio_V,11)*INDEX(IdxPrecio_V,1,MIN(10,AM$173)))*(1+V_dPrecio))</f>
        <v>0</v>
      </c>
      <c r="AN212" s="48" t="n">
        <f aca="false">IF(AN$8=1,IF(Reales!$C$48="PYG",IF(AN$10&gt;0,N(Reales!AN48)/AN$10,0),N(Reales!AN48)),AN$187*IF(AND(AND(35&gt;Corte,35&lt;=Corte+n_Ventana),ISNUMBER(Detalle_24m!AN$52)),Detalle_24m!AN$52,INDEX(Precio_V,11)*INDEX(IdxPrecio_V,1,MIN(10,AN$173)))*(1+V_dPrecio))</f>
        <v>0</v>
      </c>
      <c r="AO212" s="48" t="n">
        <f aca="false">IF(AO$8=1,IF(Reales!$C$48="PYG",IF(AO$10&gt;0,N(Reales!AO48)/AO$10,0),N(Reales!AO48)),AO$187*IF(AND(AND(36&gt;Corte,36&lt;=Corte+n_Ventana),ISNUMBER(Detalle_24m!AO$52)),Detalle_24m!AO$52,INDEX(Precio_V,11)*INDEX(IdxPrecio_V,1,MIN(10,AO$173)))*(1+V_dPrecio))</f>
        <v>0</v>
      </c>
      <c r="AP212" s="48" t="n">
        <f aca="false">IF(AP$8=1,IF(Reales!$C$48="PYG",IF(AP$10&gt;0,N(Reales!AP48)/AP$10,0),N(Reales!AP48)),AP$187*IF(AND(AND(37&gt;Corte,37&lt;=Corte+n_Ventana),ISNUMBER(Detalle_24m!AP$52)),Detalle_24m!AP$52,INDEX(Precio_V,11)*INDEX(IdxPrecio_V,1,MIN(10,AP$173)))*(1+V_dPrecio))</f>
        <v>0</v>
      </c>
      <c r="AQ212" s="48" t="n">
        <f aca="false">IF(AQ$8=1,IF(Reales!$C$48="PYG",IF(AQ$10&gt;0,N(Reales!AQ48)/AQ$10,0),N(Reales!AQ48)),AQ$187*IF(AND(AND(38&gt;Corte,38&lt;=Corte+n_Ventana),ISNUMBER(Detalle_24m!AQ$52)),Detalle_24m!AQ$52,INDEX(Precio_V,11)*INDEX(IdxPrecio_V,1,MIN(10,AQ$173)))*(1+V_dPrecio))</f>
        <v>0</v>
      </c>
      <c r="AR212" s="48" t="n">
        <f aca="false">IF(AR$8=1,IF(Reales!$C$48="PYG",IF(AR$10&gt;0,N(Reales!AR48)/AR$10,0),N(Reales!AR48)),AR$187*IF(AND(AND(39&gt;Corte,39&lt;=Corte+n_Ventana),ISNUMBER(Detalle_24m!AR$52)),Detalle_24m!AR$52,INDEX(Precio_V,11)*INDEX(IdxPrecio_V,1,MIN(10,AR$173)))*(1+V_dPrecio))</f>
        <v>0</v>
      </c>
      <c r="AS212" s="48" t="n">
        <f aca="false">IF(AS$8=1,IF(Reales!$C$48="PYG",IF(AS$10&gt;0,N(Reales!AS48)/AS$10,0),N(Reales!AS48)),AS$187*IF(AND(AND(40&gt;Corte,40&lt;=Corte+n_Ventana),ISNUMBER(Detalle_24m!AS$52)),Detalle_24m!AS$52,INDEX(Precio_V,11)*INDEX(IdxPrecio_V,1,MIN(10,AS$173)))*(1+V_dPrecio))</f>
        <v>0</v>
      </c>
      <c r="AT212" s="48" t="n">
        <f aca="false">IF(AT$8=1,IF(Reales!$C$48="PYG",IF(AT$10&gt;0,N(Reales!AT48)/AT$10,0),N(Reales!AT48)),AT$187*IF(AND(AND(41&gt;Corte,41&lt;=Corte+n_Ventana),ISNUMBER(Detalle_24m!AT$52)),Detalle_24m!AT$52,INDEX(Precio_V,11)*INDEX(IdxPrecio_V,1,MIN(10,AT$173)))*(1+V_dPrecio))</f>
        <v>0</v>
      </c>
      <c r="AU212" s="48" t="n">
        <f aca="false">IF(AU$8=1,IF(Reales!$C$48="PYG",IF(AU$10&gt;0,N(Reales!AU48)/AU$10,0),N(Reales!AU48)),AU$187*IF(AND(AND(42&gt;Corte,42&lt;=Corte+n_Ventana),ISNUMBER(Detalle_24m!AU$52)),Detalle_24m!AU$52,INDEX(Precio_V,11)*INDEX(IdxPrecio_V,1,MIN(10,AU$173)))*(1+V_dPrecio))</f>
        <v>0</v>
      </c>
      <c r="AV212" s="48" t="n">
        <f aca="false">IF(AV$8=1,IF(Reales!$C$48="PYG",IF(AV$10&gt;0,N(Reales!AV48)/AV$10,0),N(Reales!AV48)),AV$187*IF(AND(AND(43&gt;Corte,43&lt;=Corte+n_Ventana),ISNUMBER(Detalle_24m!AV$52)),Detalle_24m!AV$52,INDEX(Precio_V,11)*INDEX(IdxPrecio_V,1,MIN(10,AV$173)))*(1+V_dPrecio))</f>
        <v>0</v>
      </c>
      <c r="AW212" s="48" t="n">
        <f aca="false">IF(AW$8=1,IF(Reales!$C$48="PYG",IF(AW$10&gt;0,N(Reales!AW48)/AW$10,0),N(Reales!AW48)),AW$187*IF(AND(AND(44&gt;Corte,44&lt;=Corte+n_Ventana),ISNUMBER(Detalle_24m!AW$52)),Detalle_24m!AW$52,INDEX(Precio_V,11)*INDEX(IdxPrecio_V,1,MIN(10,AW$173)))*(1+V_dPrecio))</f>
        <v>0</v>
      </c>
      <c r="AX212" s="48" t="n">
        <f aca="false">IF(AX$8=1,IF(Reales!$C$48="PYG",IF(AX$10&gt;0,N(Reales!AX48)/AX$10,0),N(Reales!AX48)),AX$187*IF(AND(AND(45&gt;Corte,45&lt;=Corte+n_Ventana),ISNUMBER(Detalle_24m!AX$52)),Detalle_24m!AX$52,INDEX(Precio_V,11)*INDEX(IdxPrecio_V,1,MIN(10,AX$173)))*(1+V_dPrecio))</f>
        <v>0</v>
      </c>
      <c r="AY212" s="48" t="n">
        <f aca="false">IF(AY$8=1,IF(Reales!$C$48="PYG",IF(AY$10&gt;0,N(Reales!AY48)/AY$10,0),N(Reales!AY48)),AY$187*IF(AND(AND(46&gt;Corte,46&lt;=Corte+n_Ventana),ISNUMBER(Detalle_24m!AY$52)),Detalle_24m!AY$52,INDEX(Precio_V,11)*INDEX(IdxPrecio_V,1,MIN(10,AY$173)))*(1+V_dPrecio))</f>
        <v>0</v>
      </c>
      <c r="AZ212" s="48" t="n">
        <f aca="false">IF(AZ$8=1,IF(Reales!$C$48="PYG",IF(AZ$10&gt;0,N(Reales!AZ48)/AZ$10,0),N(Reales!AZ48)),AZ$187*IF(AND(AND(47&gt;Corte,47&lt;=Corte+n_Ventana),ISNUMBER(Detalle_24m!AZ$52)),Detalle_24m!AZ$52,INDEX(Precio_V,11)*INDEX(IdxPrecio_V,1,MIN(10,AZ$173)))*(1+V_dPrecio))</f>
        <v>0</v>
      </c>
      <c r="BA212" s="48" t="n">
        <f aca="false">IF(BA$8=1,IF(Reales!$C$48="PYG",IF(BA$10&gt;0,N(Reales!BA48)/BA$10,0),N(Reales!BA48)),BA$187*IF(AND(AND(48&gt;Corte,48&lt;=Corte+n_Ventana),ISNUMBER(Detalle_24m!BA$52)),Detalle_24m!BA$52,INDEX(Precio_V,11)*INDEX(IdxPrecio_V,1,MIN(10,BA$173)))*(1+V_dPrecio))</f>
        <v>0</v>
      </c>
      <c r="BB212" s="48" t="n">
        <f aca="false">IF(BB$8=1,IF(Reales!$C$48="PYG",IF(BB$10&gt;0,N(Reales!BB48)/BB$10,0),N(Reales!BB48)),BB$187*IF(AND(AND(49&gt;Corte,49&lt;=Corte+n_Ventana),ISNUMBER(Detalle_24m!BB$52)),Detalle_24m!BB$52,INDEX(Precio_V,11)*INDEX(IdxPrecio_V,1,MIN(10,BB$173)))*(1+V_dPrecio))</f>
        <v>0</v>
      </c>
      <c r="BC212" s="48" t="n">
        <f aca="false">IF(BC$8=1,IF(Reales!$C$48="PYG",IF(BC$10&gt;0,N(Reales!BC48)/BC$10,0),N(Reales!BC48)),BC$187*IF(AND(AND(50&gt;Corte,50&lt;=Corte+n_Ventana),ISNUMBER(Detalle_24m!BC$52)),Detalle_24m!BC$52,INDEX(Precio_V,11)*INDEX(IdxPrecio_V,1,MIN(10,BC$173)))*(1+V_dPrecio))</f>
        <v>0</v>
      </c>
      <c r="BD212" s="48" t="n">
        <f aca="false">IF(BD$8=1,IF(Reales!$C$48="PYG",IF(BD$10&gt;0,N(Reales!BD48)/BD$10,0),N(Reales!BD48)),BD$187*IF(AND(AND(51&gt;Corte,51&lt;=Corte+n_Ventana),ISNUMBER(Detalle_24m!BD$52)),Detalle_24m!BD$52,INDEX(Precio_V,11)*INDEX(IdxPrecio_V,1,MIN(10,BD$173)))*(1+V_dPrecio))</f>
        <v>0</v>
      </c>
      <c r="BE212" s="48" t="n">
        <f aca="false">IF(BE$8=1,IF(Reales!$C$48="PYG",IF(BE$10&gt;0,N(Reales!BE48)/BE$10,0),N(Reales!BE48)),BE$187*IF(AND(AND(52&gt;Corte,52&lt;=Corte+n_Ventana),ISNUMBER(Detalle_24m!BE$52)),Detalle_24m!BE$52,INDEX(Precio_V,11)*INDEX(IdxPrecio_V,1,MIN(10,BE$173)))*(1+V_dPrecio))</f>
        <v>0</v>
      </c>
      <c r="BF212" s="48" t="n">
        <f aca="false">IF(BF$8=1,IF(Reales!$C$48="PYG",IF(BF$10&gt;0,N(Reales!BF48)/BF$10,0),N(Reales!BF48)),BF$187*IF(AND(AND(53&gt;Corte,53&lt;=Corte+n_Ventana),ISNUMBER(Detalle_24m!BF$52)),Detalle_24m!BF$52,INDEX(Precio_V,11)*INDEX(IdxPrecio_V,1,MIN(10,BF$173)))*(1+V_dPrecio))</f>
        <v>0</v>
      </c>
      <c r="BG212" s="48" t="n">
        <f aca="false">IF(BG$8=1,IF(Reales!$C$48="PYG",IF(BG$10&gt;0,N(Reales!BG48)/BG$10,0),N(Reales!BG48)),BG$187*IF(AND(AND(54&gt;Corte,54&lt;=Corte+n_Ventana),ISNUMBER(Detalle_24m!BG$52)),Detalle_24m!BG$52,INDEX(Precio_V,11)*INDEX(IdxPrecio_V,1,MIN(10,BG$173)))*(1+V_dPrecio))</f>
        <v>0</v>
      </c>
      <c r="BH212" s="48" t="n">
        <f aca="false">IF(BH$8=1,IF(Reales!$C$48="PYG",IF(BH$10&gt;0,N(Reales!BH48)/BH$10,0),N(Reales!BH48)),BH$187*IF(AND(AND(55&gt;Corte,55&lt;=Corte+n_Ventana),ISNUMBER(Detalle_24m!BH$52)),Detalle_24m!BH$52,INDEX(Precio_V,11)*INDEX(IdxPrecio_V,1,MIN(10,BH$173)))*(1+V_dPrecio))</f>
        <v>0</v>
      </c>
      <c r="BI212" s="48" t="n">
        <f aca="false">IF(BI$8=1,IF(Reales!$C$48="PYG",IF(BI$10&gt;0,N(Reales!BI48)/BI$10,0),N(Reales!BI48)),BI$187*IF(AND(AND(56&gt;Corte,56&lt;=Corte+n_Ventana),ISNUMBER(Detalle_24m!BI$52)),Detalle_24m!BI$52,INDEX(Precio_V,11)*INDEX(IdxPrecio_V,1,MIN(10,BI$173)))*(1+V_dPrecio))</f>
        <v>0</v>
      </c>
      <c r="BJ212" s="48" t="n">
        <f aca="false">IF(BJ$8=1,IF(Reales!$C$48="PYG",IF(BJ$10&gt;0,N(Reales!BJ48)/BJ$10,0),N(Reales!BJ48)),BJ$187*IF(AND(AND(57&gt;Corte,57&lt;=Corte+n_Ventana),ISNUMBER(Detalle_24m!BJ$52)),Detalle_24m!BJ$52,INDEX(Precio_V,11)*INDEX(IdxPrecio_V,1,MIN(10,BJ$173)))*(1+V_dPrecio))</f>
        <v>0</v>
      </c>
      <c r="BK212" s="48" t="n">
        <f aca="false">IF(BK$8=1,IF(Reales!$C$48="PYG",IF(BK$10&gt;0,N(Reales!BK48)/BK$10,0),N(Reales!BK48)),BK$187*IF(AND(AND(58&gt;Corte,58&lt;=Corte+n_Ventana),ISNUMBER(Detalle_24m!BK$52)),Detalle_24m!BK$52,INDEX(Precio_V,11)*INDEX(IdxPrecio_V,1,MIN(10,BK$173)))*(1+V_dPrecio))</f>
        <v>0</v>
      </c>
      <c r="BL212" s="48" t="n">
        <f aca="false">IF(BL$8=1,IF(Reales!$C$48="PYG",IF(BL$10&gt;0,N(Reales!BL48)/BL$10,0),N(Reales!BL48)),BL$187*IF(AND(AND(59&gt;Corte,59&lt;=Corte+n_Ventana),ISNUMBER(Detalle_24m!BL$52)),Detalle_24m!BL$52,INDEX(Precio_V,11)*INDEX(IdxPrecio_V,1,MIN(10,BL$173)))*(1+V_dPrecio))</f>
        <v>0</v>
      </c>
      <c r="BM212" s="48" t="n">
        <f aca="false">IF(BM$8=1,IF(Reales!$C$48="PYG",IF(BM$10&gt;0,N(Reales!BM48)/BM$10,0),N(Reales!BM48)),BM$187*IF(AND(AND(60&gt;Corte,60&lt;=Corte+n_Ventana),ISNUMBER(Detalle_24m!BM$52)),Detalle_24m!BM$52,INDEX(Precio_V,11)*INDEX(IdxPrecio_V,1,MIN(10,BM$173)))*(1+V_dPrecio))</f>
        <v>0</v>
      </c>
      <c r="BN212" s="48" t="n">
        <f aca="false">IF(BN$8=1,IF(Reales!$C$48="PYG",IF(BN$10&gt;0,N(Reales!BN48)/BN$10,0),N(Reales!BN48)),BN$187*IF(AND(AND(61&gt;Corte,61&lt;=Corte+n_Ventana),ISNUMBER(Detalle_24m!BN$52)),Detalle_24m!BN$52,INDEX(Precio_V,11)*INDEX(IdxPrecio_V,1,MIN(10,BN$173)))*(1+V_dPrecio))</f>
        <v>0</v>
      </c>
      <c r="BO212" s="48" t="n">
        <f aca="false">IF(BO$8=1,IF(Reales!$C$48="PYG",IF(BO$10&gt;0,N(Reales!BO48)/BO$10,0),N(Reales!BO48)),BO$187*IF(AND(AND(62&gt;Corte,62&lt;=Corte+n_Ventana),ISNUMBER(Detalle_24m!BO$52)),Detalle_24m!BO$52,INDEX(Precio_V,11)*INDEX(IdxPrecio_V,1,MIN(10,BO$173)))*(1+V_dPrecio))</f>
        <v>0</v>
      </c>
      <c r="BP212" s="48" t="n">
        <f aca="false">IF(BP$8=1,IF(Reales!$C$48="PYG",IF(BP$10&gt;0,N(Reales!BP48)/BP$10,0),N(Reales!BP48)),BP$187*IF(AND(AND(63&gt;Corte,63&lt;=Corte+n_Ventana),ISNUMBER(Detalle_24m!BP$52)),Detalle_24m!BP$52,INDEX(Precio_V,11)*INDEX(IdxPrecio_V,1,MIN(10,BP$173)))*(1+V_dPrecio))</f>
        <v>0</v>
      </c>
      <c r="BQ212" s="48" t="n">
        <f aca="false">IF(BQ$8=1,IF(Reales!$C$48="PYG",IF(BQ$10&gt;0,N(Reales!BQ48)/BQ$10,0),N(Reales!BQ48)),BQ$187*IF(AND(AND(64&gt;Corte,64&lt;=Corte+n_Ventana),ISNUMBER(Detalle_24m!BQ$52)),Detalle_24m!BQ$52,INDEX(Precio_V,11)*INDEX(IdxPrecio_V,1,MIN(10,BQ$173)))*(1+V_dPrecio))</f>
        <v>0</v>
      </c>
      <c r="BR212" s="48" t="n">
        <f aca="false">IF(BR$8=1,IF(Reales!$C$48="PYG",IF(BR$10&gt;0,N(Reales!BR48)/BR$10,0),N(Reales!BR48)),BR$187*IF(AND(AND(65&gt;Corte,65&lt;=Corte+n_Ventana),ISNUMBER(Detalle_24m!BR$52)),Detalle_24m!BR$52,INDEX(Precio_V,11)*INDEX(IdxPrecio_V,1,MIN(10,BR$173)))*(1+V_dPrecio))</f>
        <v>0</v>
      </c>
      <c r="BS212" s="48" t="n">
        <f aca="false">IF(BS$8=1,IF(Reales!$C$48="PYG",IF(BS$10&gt;0,N(Reales!BS48)/BS$10,0),N(Reales!BS48)),BS$187*IF(AND(AND(66&gt;Corte,66&lt;=Corte+n_Ventana),ISNUMBER(Detalle_24m!BS$52)),Detalle_24m!BS$52,INDEX(Precio_V,11)*INDEX(IdxPrecio_V,1,MIN(10,BS$173)))*(1+V_dPrecio))</f>
        <v>0</v>
      </c>
      <c r="BT212" s="48" t="n">
        <f aca="false">IF(BT$8=1,IF(Reales!$C$48="PYG",IF(BT$10&gt;0,N(Reales!BT48)/BT$10,0),N(Reales!BT48)),BT$187*IF(AND(AND(67&gt;Corte,67&lt;=Corte+n_Ventana),ISNUMBER(Detalle_24m!BT$52)),Detalle_24m!BT$52,INDEX(Precio_V,11)*INDEX(IdxPrecio_V,1,MIN(10,BT$173)))*(1+V_dPrecio))</f>
        <v>0</v>
      </c>
      <c r="BU212" s="48" t="n">
        <f aca="false">IF(BU$8=1,IF(Reales!$C$48="PYG",IF(BU$10&gt;0,N(Reales!BU48)/BU$10,0),N(Reales!BU48)),BU$187*IF(AND(AND(68&gt;Corte,68&lt;=Corte+n_Ventana),ISNUMBER(Detalle_24m!BU$52)),Detalle_24m!BU$52,INDEX(Precio_V,11)*INDEX(IdxPrecio_V,1,MIN(10,BU$173)))*(1+V_dPrecio))</f>
        <v>0</v>
      </c>
      <c r="BV212" s="48" t="n">
        <f aca="false">IF(BV$8=1,IF(Reales!$C$48="PYG",IF(BV$10&gt;0,N(Reales!BV48)/BV$10,0),N(Reales!BV48)),BV$187*IF(AND(AND(69&gt;Corte,69&lt;=Corte+n_Ventana),ISNUMBER(Detalle_24m!BV$52)),Detalle_24m!BV$52,INDEX(Precio_V,11)*INDEX(IdxPrecio_V,1,MIN(10,BV$173)))*(1+V_dPrecio))</f>
        <v>0</v>
      </c>
      <c r="BW212" s="48" t="n">
        <f aca="false">IF(BW$8=1,IF(Reales!$C$48="PYG",IF(BW$10&gt;0,N(Reales!BW48)/BW$10,0),N(Reales!BW48)),BW$187*IF(AND(AND(70&gt;Corte,70&lt;=Corte+n_Ventana),ISNUMBER(Detalle_24m!BW$52)),Detalle_24m!BW$52,INDEX(Precio_V,11)*INDEX(IdxPrecio_V,1,MIN(10,BW$173)))*(1+V_dPrecio))</f>
        <v>0</v>
      </c>
      <c r="BX212" s="48" t="n">
        <f aca="false">IF(BX$8=1,IF(Reales!$C$48="PYG",IF(BX$10&gt;0,N(Reales!BX48)/BX$10,0),N(Reales!BX48)),BX$187*IF(AND(AND(71&gt;Corte,71&lt;=Corte+n_Ventana),ISNUMBER(Detalle_24m!BX$52)),Detalle_24m!BX$52,INDEX(Precio_V,11)*INDEX(IdxPrecio_V,1,MIN(10,BX$173)))*(1+V_dPrecio))</f>
        <v>0</v>
      </c>
      <c r="BY212" s="48" t="n">
        <f aca="false">IF(BY$8=1,IF(Reales!$C$48="PYG",IF(BY$10&gt;0,N(Reales!BY48)/BY$10,0),N(Reales!BY48)),BY$187*IF(AND(AND(72&gt;Corte,72&lt;=Corte+n_Ventana),ISNUMBER(Detalle_24m!BY$52)),Detalle_24m!BY$52,INDEX(Precio_V,11)*INDEX(IdxPrecio_V,1,MIN(10,BY$173)))*(1+V_dPrecio))</f>
        <v>0</v>
      </c>
      <c r="BZ212" s="48" t="n">
        <f aca="false">IF(BZ$8=1,IF(Reales!$C$48="PYG",IF(BZ$10&gt;0,N(Reales!BZ48)/BZ$10,0),N(Reales!BZ48)),BZ$187*IF(AND(AND(73&gt;Corte,73&lt;=Corte+n_Ventana),ISNUMBER(Detalle_24m!BZ$52)),Detalle_24m!BZ$52,INDEX(Precio_V,11)*INDEX(IdxPrecio_V,1,MIN(10,BZ$173)))*(1+V_dPrecio))</f>
        <v>0</v>
      </c>
      <c r="CA212" s="48" t="n">
        <f aca="false">IF(CA$8=1,IF(Reales!$C$48="PYG",IF(CA$10&gt;0,N(Reales!CA48)/CA$10,0),N(Reales!CA48)),CA$187*IF(AND(AND(74&gt;Corte,74&lt;=Corte+n_Ventana),ISNUMBER(Detalle_24m!CA$52)),Detalle_24m!CA$52,INDEX(Precio_V,11)*INDEX(IdxPrecio_V,1,MIN(10,CA$173)))*(1+V_dPrecio))</f>
        <v>0</v>
      </c>
      <c r="CB212" s="48" t="n">
        <f aca="false">IF(CB$8=1,IF(Reales!$C$48="PYG",IF(CB$10&gt;0,N(Reales!CB48)/CB$10,0),N(Reales!CB48)),CB$187*IF(AND(AND(75&gt;Corte,75&lt;=Corte+n_Ventana),ISNUMBER(Detalle_24m!CB$52)),Detalle_24m!CB$52,INDEX(Precio_V,11)*INDEX(IdxPrecio_V,1,MIN(10,CB$173)))*(1+V_dPrecio))</f>
        <v>0</v>
      </c>
      <c r="CC212" s="48" t="n">
        <f aca="false">IF(CC$8=1,IF(Reales!$C$48="PYG",IF(CC$10&gt;0,N(Reales!CC48)/CC$10,0),N(Reales!CC48)),CC$187*IF(AND(AND(76&gt;Corte,76&lt;=Corte+n_Ventana),ISNUMBER(Detalle_24m!CC$52)),Detalle_24m!CC$52,INDEX(Precio_V,11)*INDEX(IdxPrecio_V,1,MIN(10,CC$173)))*(1+V_dPrecio))</f>
        <v>0</v>
      </c>
      <c r="CD212" s="48" t="n">
        <f aca="false">IF(CD$8=1,IF(Reales!$C$48="PYG",IF(CD$10&gt;0,N(Reales!CD48)/CD$10,0),N(Reales!CD48)),CD$187*IF(AND(AND(77&gt;Corte,77&lt;=Corte+n_Ventana),ISNUMBER(Detalle_24m!CD$52)),Detalle_24m!CD$52,INDEX(Precio_V,11)*INDEX(IdxPrecio_V,1,MIN(10,CD$173)))*(1+V_dPrecio))</f>
        <v>0</v>
      </c>
      <c r="CE212" s="48" t="n">
        <f aca="false">IF(CE$8=1,IF(Reales!$C$48="PYG",IF(CE$10&gt;0,N(Reales!CE48)/CE$10,0),N(Reales!CE48)),CE$187*IF(AND(AND(78&gt;Corte,78&lt;=Corte+n_Ventana),ISNUMBER(Detalle_24m!CE$52)),Detalle_24m!CE$52,INDEX(Precio_V,11)*INDEX(IdxPrecio_V,1,MIN(10,CE$173)))*(1+V_dPrecio))</f>
        <v>0</v>
      </c>
      <c r="CF212" s="48" t="n">
        <f aca="false">IF(CF$8=1,IF(Reales!$C$48="PYG",IF(CF$10&gt;0,N(Reales!CF48)/CF$10,0),N(Reales!CF48)),CF$187*IF(AND(AND(79&gt;Corte,79&lt;=Corte+n_Ventana),ISNUMBER(Detalle_24m!CF$52)),Detalle_24m!CF$52,INDEX(Precio_V,11)*INDEX(IdxPrecio_V,1,MIN(10,CF$173)))*(1+V_dPrecio))</f>
        <v>0</v>
      </c>
      <c r="CG212" s="48" t="n">
        <f aca="false">IF(CG$8=1,IF(Reales!$C$48="PYG",IF(CG$10&gt;0,N(Reales!CG48)/CG$10,0),N(Reales!CG48)),CG$187*IF(AND(AND(80&gt;Corte,80&lt;=Corte+n_Ventana),ISNUMBER(Detalle_24m!CG$52)),Detalle_24m!CG$52,INDEX(Precio_V,11)*INDEX(IdxPrecio_V,1,MIN(10,CG$173)))*(1+V_dPrecio))</f>
        <v>0</v>
      </c>
      <c r="CH212" s="48" t="n">
        <f aca="false">IF(CH$8=1,IF(Reales!$C$48="PYG",IF(CH$10&gt;0,N(Reales!CH48)/CH$10,0),N(Reales!CH48)),CH$187*IF(AND(AND(81&gt;Corte,81&lt;=Corte+n_Ventana),ISNUMBER(Detalle_24m!CH$52)),Detalle_24m!CH$52,INDEX(Precio_V,11)*INDEX(IdxPrecio_V,1,MIN(10,CH$173)))*(1+V_dPrecio))</f>
        <v>0</v>
      </c>
      <c r="CI212" s="48" t="n">
        <f aca="false">IF(CI$8=1,IF(Reales!$C$48="PYG",IF(CI$10&gt;0,N(Reales!CI48)/CI$10,0),N(Reales!CI48)),CI$187*IF(AND(AND(82&gt;Corte,82&lt;=Corte+n_Ventana),ISNUMBER(Detalle_24m!CI$52)),Detalle_24m!CI$52,INDEX(Precio_V,11)*INDEX(IdxPrecio_V,1,MIN(10,CI$173)))*(1+V_dPrecio))</f>
        <v>0</v>
      </c>
      <c r="CJ212" s="48" t="n">
        <f aca="false">IF(CJ$8=1,IF(Reales!$C$48="PYG",IF(CJ$10&gt;0,N(Reales!CJ48)/CJ$10,0),N(Reales!CJ48)),CJ$187*IF(AND(AND(83&gt;Corte,83&lt;=Corte+n_Ventana),ISNUMBER(Detalle_24m!CJ$52)),Detalle_24m!CJ$52,INDEX(Precio_V,11)*INDEX(IdxPrecio_V,1,MIN(10,CJ$173)))*(1+V_dPrecio))</f>
        <v>0</v>
      </c>
      <c r="CK212" s="48" t="n">
        <f aca="false">IF(CK$8=1,IF(Reales!$C$48="PYG",IF(CK$10&gt;0,N(Reales!CK48)/CK$10,0),N(Reales!CK48)),CK$187*IF(AND(AND(84&gt;Corte,84&lt;=Corte+n_Ventana),ISNUMBER(Detalle_24m!CK$52)),Detalle_24m!CK$52,INDEX(Precio_V,11)*INDEX(IdxPrecio_V,1,MIN(10,CK$173)))*(1+V_dPrecio))</f>
        <v>0</v>
      </c>
      <c r="CL212" s="48" t="n">
        <f aca="false">IF(CL$8=1,IF(Reales!$C$48="PYG",IF(CL$10&gt;0,N(Reales!CL48)/CL$10,0),N(Reales!CL48)),CL$187*IF(AND(AND(85&gt;Corte,85&lt;=Corte+n_Ventana),ISNUMBER(Detalle_24m!CL$52)),Detalle_24m!CL$52,INDEX(Precio_V,11)*INDEX(IdxPrecio_V,1,MIN(10,CL$173)))*(1+V_dPrecio))</f>
        <v>0</v>
      </c>
      <c r="CM212" s="48" t="n">
        <f aca="false">IF(CM$8=1,IF(Reales!$C$48="PYG",IF(CM$10&gt;0,N(Reales!CM48)/CM$10,0),N(Reales!CM48)),CM$187*IF(AND(AND(86&gt;Corte,86&lt;=Corte+n_Ventana),ISNUMBER(Detalle_24m!CM$52)),Detalle_24m!CM$52,INDEX(Precio_V,11)*INDEX(IdxPrecio_V,1,MIN(10,CM$173)))*(1+V_dPrecio))</f>
        <v>0</v>
      </c>
      <c r="CN212" s="48" t="n">
        <f aca="false">IF(CN$8=1,IF(Reales!$C$48="PYG",IF(CN$10&gt;0,N(Reales!CN48)/CN$10,0),N(Reales!CN48)),CN$187*IF(AND(AND(87&gt;Corte,87&lt;=Corte+n_Ventana),ISNUMBER(Detalle_24m!CN$52)),Detalle_24m!CN$52,INDEX(Precio_V,11)*INDEX(IdxPrecio_V,1,MIN(10,CN$173)))*(1+V_dPrecio))</f>
        <v>0</v>
      </c>
      <c r="CO212" s="48" t="n">
        <f aca="false">IF(CO$8=1,IF(Reales!$C$48="PYG",IF(CO$10&gt;0,N(Reales!CO48)/CO$10,0),N(Reales!CO48)),CO$187*IF(AND(AND(88&gt;Corte,88&lt;=Corte+n_Ventana),ISNUMBER(Detalle_24m!CO$52)),Detalle_24m!CO$52,INDEX(Precio_V,11)*INDEX(IdxPrecio_V,1,MIN(10,CO$173)))*(1+V_dPrecio))</f>
        <v>0</v>
      </c>
      <c r="CP212" s="48" t="n">
        <f aca="false">IF(CP$8=1,IF(Reales!$C$48="PYG",IF(CP$10&gt;0,N(Reales!CP48)/CP$10,0),N(Reales!CP48)),CP$187*IF(AND(AND(89&gt;Corte,89&lt;=Corte+n_Ventana),ISNUMBER(Detalle_24m!CP$52)),Detalle_24m!CP$52,INDEX(Precio_V,11)*INDEX(IdxPrecio_V,1,MIN(10,CP$173)))*(1+V_dPrecio))</f>
        <v>0</v>
      </c>
      <c r="CQ212" s="48" t="n">
        <f aca="false">IF(CQ$8=1,IF(Reales!$C$48="PYG",IF(CQ$10&gt;0,N(Reales!CQ48)/CQ$10,0),N(Reales!CQ48)),CQ$187*IF(AND(AND(90&gt;Corte,90&lt;=Corte+n_Ventana),ISNUMBER(Detalle_24m!CQ$52)),Detalle_24m!CQ$52,INDEX(Precio_V,11)*INDEX(IdxPrecio_V,1,MIN(10,CQ$173)))*(1+V_dPrecio))</f>
        <v>0</v>
      </c>
      <c r="CR212" s="48" t="n">
        <f aca="false">IF(CR$8=1,IF(Reales!$C$48="PYG",IF(CR$10&gt;0,N(Reales!CR48)/CR$10,0),N(Reales!CR48)),CR$187*IF(AND(AND(91&gt;Corte,91&lt;=Corte+n_Ventana),ISNUMBER(Detalle_24m!CR$52)),Detalle_24m!CR$52,INDEX(Precio_V,11)*INDEX(IdxPrecio_V,1,MIN(10,CR$173)))*(1+V_dPrecio))</f>
        <v>0</v>
      </c>
      <c r="CS212" s="48" t="n">
        <f aca="false">IF(CS$8=1,IF(Reales!$C$48="PYG",IF(CS$10&gt;0,N(Reales!CS48)/CS$10,0),N(Reales!CS48)),CS$187*IF(AND(AND(92&gt;Corte,92&lt;=Corte+n_Ventana),ISNUMBER(Detalle_24m!CS$52)),Detalle_24m!CS$52,INDEX(Precio_V,11)*INDEX(IdxPrecio_V,1,MIN(10,CS$173)))*(1+V_dPrecio))</f>
        <v>0</v>
      </c>
      <c r="CT212" s="48" t="n">
        <f aca="false">IF(CT$8=1,IF(Reales!$C$48="PYG",IF(CT$10&gt;0,N(Reales!CT48)/CT$10,0),N(Reales!CT48)),CT$187*IF(AND(AND(93&gt;Corte,93&lt;=Corte+n_Ventana),ISNUMBER(Detalle_24m!CT$52)),Detalle_24m!CT$52,INDEX(Precio_V,11)*INDEX(IdxPrecio_V,1,MIN(10,CT$173)))*(1+V_dPrecio))</f>
        <v>0</v>
      </c>
      <c r="CU212" s="48" t="n">
        <f aca="false">IF(CU$8=1,IF(Reales!$C$48="PYG",IF(CU$10&gt;0,N(Reales!CU48)/CU$10,0),N(Reales!CU48)),CU$187*IF(AND(AND(94&gt;Corte,94&lt;=Corte+n_Ventana),ISNUMBER(Detalle_24m!CU$52)),Detalle_24m!CU$52,INDEX(Precio_V,11)*INDEX(IdxPrecio_V,1,MIN(10,CU$173)))*(1+V_dPrecio))</f>
        <v>0</v>
      </c>
      <c r="CV212" s="48" t="n">
        <f aca="false">IF(CV$8=1,IF(Reales!$C$48="PYG",IF(CV$10&gt;0,N(Reales!CV48)/CV$10,0),N(Reales!CV48)),CV$187*IF(AND(AND(95&gt;Corte,95&lt;=Corte+n_Ventana),ISNUMBER(Detalle_24m!CV$52)),Detalle_24m!CV$52,INDEX(Precio_V,11)*INDEX(IdxPrecio_V,1,MIN(10,CV$173)))*(1+V_dPrecio))</f>
        <v>0</v>
      </c>
      <c r="CW212" s="48" t="n">
        <f aca="false">IF(CW$8=1,IF(Reales!$C$48="PYG",IF(CW$10&gt;0,N(Reales!CW48)/CW$10,0),N(Reales!CW48)),CW$187*IF(AND(AND(96&gt;Corte,96&lt;=Corte+n_Ventana),ISNUMBER(Detalle_24m!CW$52)),Detalle_24m!CW$52,INDEX(Precio_V,11)*INDEX(IdxPrecio_V,1,MIN(10,CW$173)))*(1+V_dPrecio))</f>
        <v>0</v>
      </c>
      <c r="CX212" s="48" t="n">
        <f aca="false">IF(CX$8=1,IF(Reales!$C$48="PYG",IF(CX$10&gt;0,N(Reales!CX48)/CX$10,0),N(Reales!CX48)),CX$187*IF(AND(AND(97&gt;Corte,97&lt;=Corte+n_Ventana),ISNUMBER(Detalle_24m!CX$52)),Detalle_24m!CX$52,INDEX(Precio_V,11)*INDEX(IdxPrecio_V,1,MIN(10,CX$173)))*(1+V_dPrecio))</f>
        <v>0</v>
      </c>
      <c r="CY212" s="48" t="n">
        <f aca="false">IF(CY$8=1,IF(Reales!$C$48="PYG",IF(CY$10&gt;0,N(Reales!CY48)/CY$10,0),N(Reales!CY48)),CY$187*IF(AND(AND(98&gt;Corte,98&lt;=Corte+n_Ventana),ISNUMBER(Detalle_24m!CY$52)),Detalle_24m!CY$52,INDEX(Precio_V,11)*INDEX(IdxPrecio_V,1,MIN(10,CY$173)))*(1+V_dPrecio))</f>
        <v>0</v>
      </c>
      <c r="CZ212" s="48" t="n">
        <f aca="false">IF(CZ$8=1,IF(Reales!$C$48="PYG",IF(CZ$10&gt;0,N(Reales!CZ48)/CZ$10,0),N(Reales!CZ48)),CZ$187*IF(AND(AND(99&gt;Corte,99&lt;=Corte+n_Ventana),ISNUMBER(Detalle_24m!CZ$52)),Detalle_24m!CZ$52,INDEX(Precio_V,11)*INDEX(IdxPrecio_V,1,MIN(10,CZ$173)))*(1+V_dPrecio))</f>
        <v>0</v>
      </c>
      <c r="DA212" s="48" t="n">
        <f aca="false">IF(DA$8=1,IF(Reales!$C$48="PYG",IF(DA$10&gt;0,N(Reales!DA48)/DA$10,0),N(Reales!DA48)),DA$187*IF(AND(AND(100&gt;Corte,100&lt;=Corte+n_Ventana),ISNUMBER(Detalle_24m!DA$52)),Detalle_24m!DA$52,INDEX(Precio_V,11)*INDEX(IdxPrecio_V,1,MIN(10,DA$173)))*(1+V_dPrecio))</f>
        <v>0</v>
      </c>
      <c r="DB212" s="48" t="n">
        <f aca="false">IF(DB$8=1,IF(Reales!$C$48="PYG",IF(DB$10&gt;0,N(Reales!DB48)/DB$10,0),N(Reales!DB48)),DB$187*IF(AND(AND(101&gt;Corte,101&lt;=Corte+n_Ventana),ISNUMBER(Detalle_24m!DB$52)),Detalle_24m!DB$52,INDEX(Precio_V,11)*INDEX(IdxPrecio_V,1,MIN(10,DB$173)))*(1+V_dPrecio))</f>
        <v>0</v>
      </c>
      <c r="DC212" s="48" t="n">
        <f aca="false">IF(DC$8=1,IF(Reales!$C$48="PYG",IF(DC$10&gt;0,N(Reales!DC48)/DC$10,0),N(Reales!DC48)),DC$187*IF(AND(AND(102&gt;Corte,102&lt;=Corte+n_Ventana),ISNUMBER(Detalle_24m!DC$52)),Detalle_24m!DC$52,INDEX(Precio_V,11)*INDEX(IdxPrecio_V,1,MIN(10,DC$173)))*(1+V_dPrecio))</f>
        <v>0</v>
      </c>
      <c r="DD212" s="48" t="n">
        <f aca="false">IF(DD$8=1,IF(Reales!$C$48="PYG",IF(DD$10&gt;0,N(Reales!DD48)/DD$10,0),N(Reales!DD48)),DD$187*IF(AND(AND(103&gt;Corte,103&lt;=Corte+n_Ventana),ISNUMBER(Detalle_24m!DD$52)),Detalle_24m!DD$52,INDEX(Precio_V,11)*INDEX(IdxPrecio_V,1,MIN(10,DD$173)))*(1+V_dPrecio))</f>
        <v>0</v>
      </c>
      <c r="DE212" s="48" t="n">
        <f aca="false">IF(DE$8=1,IF(Reales!$C$48="PYG",IF(DE$10&gt;0,N(Reales!DE48)/DE$10,0),N(Reales!DE48)),DE$187*IF(AND(AND(104&gt;Corte,104&lt;=Corte+n_Ventana),ISNUMBER(Detalle_24m!DE$52)),Detalle_24m!DE$52,INDEX(Precio_V,11)*INDEX(IdxPrecio_V,1,MIN(10,DE$173)))*(1+V_dPrecio))</f>
        <v>0</v>
      </c>
      <c r="DF212" s="48" t="n">
        <f aca="false">IF(DF$8=1,IF(Reales!$C$48="PYG",IF(DF$10&gt;0,N(Reales!DF48)/DF$10,0),N(Reales!DF48)),DF$187*IF(AND(AND(105&gt;Corte,105&lt;=Corte+n_Ventana),ISNUMBER(Detalle_24m!DF$52)),Detalle_24m!DF$52,INDEX(Precio_V,11)*INDEX(IdxPrecio_V,1,MIN(10,DF$173)))*(1+V_dPrecio))</f>
        <v>0</v>
      </c>
      <c r="DG212" s="48" t="n">
        <f aca="false">IF(DG$8=1,IF(Reales!$C$48="PYG",IF(DG$10&gt;0,N(Reales!DG48)/DG$10,0),N(Reales!DG48)),DG$187*IF(AND(AND(106&gt;Corte,106&lt;=Corte+n_Ventana),ISNUMBER(Detalle_24m!DG$52)),Detalle_24m!DG$52,INDEX(Precio_V,11)*INDEX(IdxPrecio_V,1,MIN(10,DG$173)))*(1+V_dPrecio))</f>
        <v>0</v>
      </c>
      <c r="DH212" s="48" t="n">
        <f aca="false">IF(DH$8=1,IF(Reales!$C$48="PYG",IF(DH$10&gt;0,N(Reales!DH48)/DH$10,0),N(Reales!DH48)),DH$187*IF(AND(AND(107&gt;Corte,107&lt;=Corte+n_Ventana),ISNUMBER(Detalle_24m!DH$52)),Detalle_24m!DH$52,INDEX(Precio_V,11)*INDEX(IdxPrecio_V,1,MIN(10,DH$173)))*(1+V_dPrecio))</f>
        <v>0</v>
      </c>
      <c r="DI212" s="48" t="n">
        <f aca="false">IF(DI$8=1,IF(Reales!$C$48="PYG",IF(DI$10&gt;0,N(Reales!DI48)/DI$10,0),N(Reales!DI48)),DI$187*IF(AND(AND(108&gt;Corte,108&lt;=Corte+n_Ventana),ISNUMBER(Detalle_24m!DI$52)),Detalle_24m!DI$52,INDEX(Precio_V,11)*INDEX(IdxPrecio_V,1,MIN(10,DI$173)))*(1+V_dPrecio))</f>
        <v>0</v>
      </c>
      <c r="DJ212" s="48" t="n">
        <f aca="false">IF(DJ$8=1,IF(Reales!$C$48="PYG",IF(DJ$10&gt;0,N(Reales!DJ48)/DJ$10,0),N(Reales!DJ48)),DJ$187*IF(AND(AND(109&gt;Corte,109&lt;=Corte+n_Ventana),ISNUMBER(Detalle_24m!DJ$52)),Detalle_24m!DJ$52,INDEX(Precio_V,11)*INDEX(IdxPrecio_V,1,MIN(10,DJ$173)))*(1+V_dPrecio))</f>
        <v>0</v>
      </c>
      <c r="DK212" s="48" t="n">
        <f aca="false">IF(DK$8=1,IF(Reales!$C$48="PYG",IF(DK$10&gt;0,N(Reales!DK48)/DK$10,0),N(Reales!DK48)),DK$187*IF(AND(AND(110&gt;Corte,110&lt;=Corte+n_Ventana),ISNUMBER(Detalle_24m!DK$52)),Detalle_24m!DK$52,INDEX(Precio_V,11)*INDEX(IdxPrecio_V,1,MIN(10,DK$173)))*(1+V_dPrecio))</f>
        <v>0</v>
      </c>
      <c r="DL212" s="48" t="n">
        <f aca="false">IF(DL$8=1,IF(Reales!$C$48="PYG",IF(DL$10&gt;0,N(Reales!DL48)/DL$10,0),N(Reales!DL48)),DL$187*IF(AND(AND(111&gt;Corte,111&lt;=Corte+n_Ventana),ISNUMBER(Detalle_24m!DL$52)),Detalle_24m!DL$52,INDEX(Precio_V,11)*INDEX(IdxPrecio_V,1,MIN(10,DL$173)))*(1+V_dPrecio))</f>
        <v>0</v>
      </c>
      <c r="DM212" s="48" t="n">
        <f aca="false">IF(DM$8=1,IF(Reales!$C$48="PYG",IF(DM$10&gt;0,N(Reales!DM48)/DM$10,0),N(Reales!DM48)),DM$187*IF(AND(AND(112&gt;Corte,112&lt;=Corte+n_Ventana),ISNUMBER(Detalle_24m!DM$52)),Detalle_24m!DM$52,INDEX(Precio_V,11)*INDEX(IdxPrecio_V,1,MIN(10,DM$173)))*(1+V_dPrecio))</f>
        <v>0</v>
      </c>
      <c r="DN212" s="48" t="n">
        <f aca="false">IF(DN$8=1,IF(Reales!$C$48="PYG",IF(DN$10&gt;0,N(Reales!DN48)/DN$10,0),N(Reales!DN48)),DN$187*IF(AND(AND(113&gt;Corte,113&lt;=Corte+n_Ventana),ISNUMBER(Detalle_24m!DN$52)),Detalle_24m!DN$52,INDEX(Precio_V,11)*INDEX(IdxPrecio_V,1,MIN(10,DN$173)))*(1+V_dPrecio))</f>
        <v>0</v>
      </c>
      <c r="DO212" s="48" t="n">
        <f aca="false">IF(DO$8=1,IF(Reales!$C$48="PYG",IF(DO$10&gt;0,N(Reales!DO48)/DO$10,0),N(Reales!DO48)),DO$187*IF(AND(AND(114&gt;Corte,114&lt;=Corte+n_Ventana),ISNUMBER(Detalle_24m!DO$52)),Detalle_24m!DO$52,INDEX(Precio_V,11)*INDEX(IdxPrecio_V,1,MIN(10,DO$173)))*(1+V_dPrecio))</f>
        <v>0</v>
      </c>
      <c r="DP212" s="48" t="n">
        <f aca="false">IF(DP$8=1,IF(Reales!$C$48="PYG",IF(DP$10&gt;0,N(Reales!DP48)/DP$10,0),N(Reales!DP48)),DP$187*IF(AND(AND(115&gt;Corte,115&lt;=Corte+n_Ventana),ISNUMBER(Detalle_24m!DP$52)),Detalle_24m!DP$52,INDEX(Precio_V,11)*INDEX(IdxPrecio_V,1,MIN(10,DP$173)))*(1+V_dPrecio))</f>
        <v>0</v>
      </c>
      <c r="DQ212" s="48" t="n">
        <f aca="false">IF(DQ$8=1,IF(Reales!$C$48="PYG",IF(DQ$10&gt;0,N(Reales!DQ48)/DQ$10,0),N(Reales!DQ48)),DQ$187*IF(AND(AND(116&gt;Corte,116&lt;=Corte+n_Ventana),ISNUMBER(Detalle_24m!DQ$52)),Detalle_24m!DQ$52,INDEX(Precio_V,11)*INDEX(IdxPrecio_V,1,MIN(10,DQ$173)))*(1+V_dPrecio))</f>
        <v>0</v>
      </c>
      <c r="DR212" s="48" t="n">
        <f aca="false">IF(DR$8=1,IF(Reales!$C$48="PYG",IF(DR$10&gt;0,N(Reales!DR48)/DR$10,0),N(Reales!DR48)),DR$187*IF(AND(AND(117&gt;Corte,117&lt;=Corte+n_Ventana),ISNUMBER(Detalle_24m!DR$52)),Detalle_24m!DR$52,INDEX(Precio_V,11)*INDEX(IdxPrecio_V,1,MIN(10,DR$173)))*(1+V_dPrecio))</f>
        <v>0</v>
      </c>
      <c r="DS212" s="48" t="n">
        <f aca="false">IF(DS$8=1,IF(Reales!$C$48="PYG",IF(DS$10&gt;0,N(Reales!DS48)/DS$10,0),N(Reales!DS48)),DS$187*IF(AND(AND(118&gt;Corte,118&lt;=Corte+n_Ventana),ISNUMBER(Detalle_24m!DS$52)),Detalle_24m!DS$52,INDEX(Precio_V,11)*INDEX(IdxPrecio_V,1,MIN(10,DS$173)))*(1+V_dPrecio))</f>
        <v>0</v>
      </c>
      <c r="DT212" s="48" t="n">
        <f aca="false">IF(DT$8=1,IF(Reales!$C$48="PYG",IF(DT$10&gt;0,N(Reales!DT48)/DT$10,0),N(Reales!DT48)),DT$187*IF(AND(AND(119&gt;Corte,119&lt;=Corte+n_Ventana),ISNUMBER(Detalle_24m!DT$52)),Detalle_24m!DT$52,INDEX(Precio_V,11)*INDEX(IdxPrecio_V,1,MIN(10,DT$173)))*(1+V_dPrecio))</f>
        <v>0</v>
      </c>
      <c r="DU212" s="48" t="n">
        <f aca="false">IF(DU$8=1,IF(Reales!$C$48="PYG",IF(DU$10&gt;0,N(Reales!DU48)/DU$10,0),N(Reales!DU48)),DU$187*IF(AND(AND(120&gt;Corte,120&lt;=Corte+n_Ventana),ISNUMBER(Detalle_24m!DU$52)),Detalle_24m!DU$52,INDEX(Precio_V,11)*INDEX(IdxPrecio_V,1,MIN(10,DU$173)))*(1+V_dPrecio))</f>
        <v>0</v>
      </c>
      <c r="DV212" s="48" t="n">
        <f aca="false">IF(DV$8=1,IF(Reales!$C$48="PYG",IF(DV$10&gt;0,N(Reales!DV48)/DV$10,0),N(Reales!DV48)),DV$187*IF(AND(AND(121&gt;Corte,121&lt;=Corte+n_Ventana),ISNUMBER(Detalle_24m!DV$52)),Detalle_24m!DV$52,INDEX(Precio_V,11)*INDEX(IdxPrecio_V,1,MIN(10,DV$173)))*(1+V_dPrecio))</f>
        <v>0</v>
      </c>
      <c r="DW212" s="48" t="n">
        <f aca="false">IF(DW$8=1,IF(Reales!$C$48="PYG",IF(DW$10&gt;0,N(Reales!DW48)/DW$10,0),N(Reales!DW48)),DW$187*IF(AND(AND(122&gt;Corte,122&lt;=Corte+n_Ventana),ISNUMBER(Detalle_24m!DW$52)),Detalle_24m!DW$52,INDEX(Precio_V,11)*INDEX(IdxPrecio_V,1,MIN(10,DW$173)))*(1+V_dPrecio))</f>
        <v>0</v>
      </c>
      <c r="DX212" s="48" t="n">
        <f aca="false">IF(DX$8=1,IF(Reales!$C$48="PYG",IF(DX$10&gt;0,N(Reales!DX48)/DX$10,0),N(Reales!DX48)),DX$187*IF(AND(AND(123&gt;Corte,123&lt;=Corte+n_Ventana),ISNUMBER(Detalle_24m!DX$52)),Detalle_24m!DX$52,INDEX(Precio_V,11)*INDEX(IdxPrecio_V,1,MIN(10,DX$173)))*(1+V_dPrecio))</f>
        <v>0</v>
      </c>
      <c r="DY212" s="48" t="n">
        <f aca="false">IF(DY$8=1,IF(Reales!$C$48="PYG",IF(DY$10&gt;0,N(Reales!DY48)/DY$10,0),N(Reales!DY48)),DY$187*IF(AND(AND(124&gt;Corte,124&lt;=Corte+n_Ventana),ISNUMBER(Detalle_24m!DY$52)),Detalle_24m!DY$52,INDEX(Precio_V,11)*INDEX(IdxPrecio_V,1,MIN(10,DY$173)))*(1+V_dPrecio))</f>
        <v>0</v>
      </c>
      <c r="DZ212" s="48" t="n">
        <f aca="false">IF(DZ$8=1,IF(Reales!$C$48="PYG",IF(DZ$10&gt;0,N(Reales!DZ48)/DZ$10,0),N(Reales!DZ48)),DZ$187*IF(AND(AND(125&gt;Corte,125&lt;=Corte+n_Ventana),ISNUMBER(Detalle_24m!DZ$52)),Detalle_24m!DZ$52,INDEX(Precio_V,11)*INDEX(IdxPrecio_V,1,MIN(10,DZ$173)))*(1+V_dPrecio))</f>
        <v>0</v>
      </c>
      <c r="EA212" s="48" t="n">
        <f aca="false">IF(EA$8=1,IF(Reales!$C$48="PYG",IF(EA$10&gt;0,N(Reales!EA48)/EA$10,0),N(Reales!EA48)),EA$187*IF(AND(AND(126&gt;Corte,126&lt;=Corte+n_Ventana),ISNUMBER(Detalle_24m!EA$52)),Detalle_24m!EA$52,INDEX(Precio_V,11)*INDEX(IdxPrecio_V,1,MIN(10,EA$173)))*(1+V_dPrecio))</f>
        <v>0</v>
      </c>
      <c r="EB212" s="48" t="n">
        <f aca="false">IF(EB$8=1,IF(Reales!$C$48="PYG",IF(EB$10&gt;0,N(Reales!EB48)/EB$10,0),N(Reales!EB48)),EB$187*IF(AND(AND(127&gt;Corte,127&lt;=Corte+n_Ventana),ISNUMBER(Detalle_24m!EB$52)),Detalle_24m!EB$52,INDEX(Precio_V,11)*INDEX(IdxPrecio_V,1,MIN(10,EB$173)))*(1+V_dPrecio))</f>
        <v>0</v>
      </c>
      <c r="EC212" s="48" t="n">
        <f aca="false">IF(EC$8=1,IF(Reales!$C$48="PYG",IF(EC$10&gt;0,N(Reales!EC48)/EC$10,0),N(Reales!EC48)),EC$187*IF(AND(AND(128&gt;Corte,128&lt;=Corte+n_Ventana),ISNUMBER(Detalle_24m!EC$52)),Detalle_24m!EC$52,INDEX(Precio_V,11)*INDEX(IdxPrecio_V,1,MIN(10,EC$173)))*(1+V_dPrecio))</f>
        <v>0</v>
      </c>
      <c r="ED212" s="48" t="n">
        <f aca="false">IF(ED$8=1,IF(Reales!$C$48="PYG",IF(ED$10&gt;0,N(Reales!ED48)/ED$10,0),N(Reales!ED48)),ED$187*IF(AND(AND(129&gt;Corte,129&lt;=Corte+n_Ventana),ISNUMBER(Detalle_24m!ED$52)),Detalle_24m!ED$52,INDEX(Precio_V,11)*INDEX(IdxPrecio_V,1,MIN(10,ED$173)))*(1+V_dPrecio))</f>
        <v>0</v>
      </c>
      <c r="EE212" s="48" t="n">
        <f aca="false">IF(EE$8=1,IF(Reales!$C$48="PYG",IF(EE$10&gt;0,N(Reales!EE48)/EE$10,0),N(Reales!EE48)),EE$187*IF(AND(AND(130&gt;Corte,130&lt;=Corte+n_Ventana),ISNUMBER(Detalle_24m!EE$52)),Detalle_24m!EE$52,INDEX(Precio_V,11)*INDEX(IdxPrecio_V,1,MIN(10,EE$173)))*(1+V_dPrecio))</f>
        <v>0</v>
      </c>
      <c r="EF212" s="48" t="n">
        <f aca="false">IF(EF$8=1,IF(Reales!$C$48="PYG",IF(EF$10&gt;0,N(Reales!EF48)/EF$10,0),N(Reales!EF48)),EF$187*IF(AND(AND(131&gt;Corte,131&lt;=Corte+n_Ventana),ISNUMBER(Detalle_24m!EF$52)),Detalle_24m!EF$52,INDEX(Precio_V,11)*INDEX(IdxPrecio_V,1,MIN(10,EF$173)))*(1+V_dPrecio))</f>
        <v>0</v>
      </c>
      <c r="EG212" s="48" t="n">
        <f aca="false">IF(EG$8=1,IF(Reales!$C$48="PYG",IF(EG$10&gt;0,N(Reales!EG48)/EG$10,0),N(Reales!EG48)),EG$187*IF(AND(AND(132&gt;Corte,132&lt;=Corte+n_Ventana),ISNUMBER(Detalle_24m!EG$52)),Detalle_24m!EG$52,INDEX(Precio_V,11)*INDEX(IdxPrecio_V,1,MIN(10,EG$173)))*(1+V_dPrecio))</f>
        <v>0</v>
      </c>
      <c r="EH212" s="48" t="n">
        <f aca="false">IF(EH$8=1,IF(Reales!$C$48="PYG",IF(EH$10&gt;0,N(Reales!EH48)/EH$10,0),N(Reales!EH48)),EH$187*IF(AND(AND(133&gt;Corte,133&lt;=Corte+n_Ventana),ISNUMBER(Detalle_24m!EH$52)),Detalle_24m!EH$52,INDEX(Precio_V,11)*INDEX(IdxPrecio_V,1,MIN(10,EH$173)))*(1+V_dPrecio))</f>
        <v>0</v>
      </c>
      <c r="EI212" s="48" t="n">
        <f aca="false">IF(EI$8=1,IF(Reales!$C$48="PYG",IF(EI$10&gt;0,N(Reales!EI48)/EI$10,0),N(Reales!EI48)),EI$187*IF(AND(AND(134&gt;Corte,134&lt;=Corte+n_Ventana),ISNUMBER(Detalle_24m!EI$52)),Detalle_24m!EI$52,INDEX(Precio_V,11)*INDEX(IdxPrecio_V,1,MIN(10,EI$173)))*(1+V_dPrecio))</f>
        <v>0</v>
      </c>
      <c r="EJ212" s="48" t="n">
        <f aca="false">IF(EJ$8=1,IF(Reales!$C$48="PYG",IF(EJ$10&gt;0,N(Reales!EJ48)/EJ$10,0),N(Reales!EJ48)),EJ$187*IF(AND(AND(135&gt;Corte,135&lt;=Corte+n_Ventana),ISNUMBER(Detalle_24m!EJ$52)),Detalle_24m!EJ$52,INDEX(Precio_V,11)*INDEX(IdxPrecio_V,1,MIN(10,EJ$173)))*(1+V_dPrecio))</f>
        <v>0</v>
      </c>
      <c r="EK212" s="48" t="n">
        <f aca="false">IF(EK$8=1,IF(Reales!$C$48="PYG",IF(EK$10&gt;0,N(Reales!EK48)/EK$10,0),N(Reales!EK48)),EK$187*IF(AND(AND(136&gt;Corte,136&lt;=Corte+n_Ventana),ISNUMBER(Detalle_24m!EK$52)),Detalle_24m!EK$52,INDEX(Precio_V,11)*INDEX(IdxPrecio_V,1,MIN(10,EK$173)))*(1+V_dPrecio))</f>
        <v>0</v>
      </c>
      <c r="EL212" s="48" t="n">
        <f aca="false">IF(EL$8=1,IF(Reales!$C$48="PYG",IF(EL$10&gt;0,N(Reales!EL48)/EL$10,0),N(Reales!EL48)),EL$187*IF(AND(AND(137&gt;Corte,137&lt;=Corte+n_Ventana),ISNUMBER(Detalle_24m!EL$52)),Detalle_24m!EL$52,INDEX(Precio_V,11)*INDEX(IdxPrecio_V,1,MIN(10,EL$173)))*(1+V_dPrecio))</f>
        <v>0</v>
      </c>
      <c r="EM212" s="48" t="n">
        <f aca="false">IF(EM$8=1,IF(Reales!$C$48="PYG",IF(EM$10&gt;0,N(Reales!EM48)/EM$10,0),N(Reales!EM48)),EM$187*IF(AND(AND(138&gt;Corte,138&lt;=Corte+n_Ventana),ISNUMBER(Detalle_24m!EM$52)),Detalle_24m!EM$52,INDEX(Precio_V,11)*INDEX(IdxPrecio_V,1,MIN(10,EM$173)))*(1+V_dPrecio))</f>
        <v>0</v>
      </c>
      <c r="EN212" s="48" t="n">
        <f aca="false">IF(EN$8=1,IF(Reales!$C$48="PYG",IF(EN$10&gt;0,N(Reales!EN48)/EN$10,0),N(Reales!EN48)),EN$187*IF(AND(AND(139&gt;Corte,139&lt;=Corte+n_Ventana),ISNUMBER(Detalle_24m!EN$52)),Detalle_24m!EN$52,INDEX(Precio_V,11)*INDEX(IdxPrecio_V,1,MIN(10,EN$173)))*(1+V_dPrecio))</f>
        <v>0</v>
      </c>
      <c r="EO212" s="48" t="n">
        <f aca="false">IF(EO$8=1,IF(Reales!$C$48="PYG",IF(EO$10&gt;0,N(Reales!EO48)/EO$10,0),N(Reales!EO48)),EO$187*IF(AND(AND(140&gt;Corte,140&lt;=Corte+n_Ventana),ISNUMBER(Detalle_24m!EO$52)),Detalle_24m!EO$52,INDEX(Precio_V,11)*INDEX(IdxPrecio_V,1,MIN(10,EO$173)))*(1+V_dPrecio))</f>
        <v>0</v>
      </c>
      <c r="EP212" s="48" t="n">
        <f aca="false">IF(EP$8=1,IF(Reales!$C$48="PYG",IF(EP$10&gt;0,N(Reales!EP48)/EP$10,0),N(Reales!EP48)),EP$187*IF(AND(AND(141&gt;Corte,141&lt;=Corte+n_Ventana),ISNUMBER(Detalle_24m!EP$52)),Detalle_24m!EP$52,INDEX(Precio_V,11)*INDEX(IdxPrecio_V,1,MIN(10,EP$173)))*(1+V_dPrecio))</f>
        <v>0</v>
      </c>
      <c r="EQ212" s="48" t="n">
        <f aca="false">IF(EQ$8=1,IF(Reales!$C$48="PYG",IF(EQ$10&gt;0,N(Reales!EQ48)/EQ$10,0),N(Reales!EQ48)),EQ$187*IF(AND(AND(142&gt;Corte,142&lt;=Corte+n_Ventana),ISNUMBER(Detalle_24m!EQ$52)),Detalle_24m!EQ$52,INDEX(Precio_V,11)*INDEX(IdxPrecio_V,1,MIN(10,EQ$173)))*(1+V_dPrecio))</f>
        <v>0</v>
      </c>
      <c r="ER212" s="48" t="n">
        <f aca="false">IF(ER$8=1,IF(Reales!$C$48="PYG",IF(ER$10&gt;0,N(Reales!ER48)/ER$10,0),N(Reales!ER48)),ER$187*IF(AND(AND(143&gt;Corte,143&lt;=Corte+n_Ventana),ISNUMBER(Detalle_24m!ER$52)),Detalle_24m!ER$52,INDEX(Precio_V,11)*INDEX(IdxPrecio_V,1,MIN(10,ER$173)))*(1+V_dPrecio))</f>
        <v>0</v>
      </c>
      <c r="ES212" s="48" t="n">
        <f aca="false">IF(ES$8=1,IF(Reales!$C$48="PYG",IF(ES$10&gt;0,N(Reales!ES48)/ES$10,0),N(Reales!ES48)),ES$187*IF(AND(AND(144&gt;Corte,144&lt;=Corte+n_Ventana),ISNUMBER(Detalle_24m!ES$52)),Detalle_24m!ES$52,INDEX(Precio_V,11)*INDEX(IdxPrecio_V,1,MIN(10,ES$173)))*(1+V_dPrecio))</f>
        <v>0</v>
      </c>
    </row>
    <row r="213" customFormat="false" ht="15" hidden="false" customHeight="false" outlineLevel="0" collapsed="false">
      <c r="A213" s="11" t="s">
        <v>1336</v>
      </c>
      <c r="B213" s="53" t="str">
        <f aca="false">IF(INDEX(Prod_Nombre,12)="","Producto 12",INDEX(Prod_Nombre,12))&amp;" — ventas USD"</f>
        <v>Producto 12 — ventas USD</v>
      </c>
      <c r="C213" s="15" t="s">
        <v>508</v>
      </c>
      <c r="E213" s="54" t="n">
        <f aca="false">SUM(F213:ES213)</f>
        <v>0</v>
      </c>
      <c r="F213" s="48" t="n">
        <f aca="false">IF(F$8=1,IF(Reales!$C$49="PYG",IF(F$10&gt;0,N(Reales!F49)/F$10,0),N(Reales!F49)),F$188*IF(AND(AND(1&gt;Corte,1&lt;=Corte+n_Ventana),ISNUMBER(Detalle_24m!F$53)),Detalle_24m!F$53,INDEX(Precio_V,12)*INDEX(IdxPrecio_V,1,MIN(10,F$173)))*(1+V_dPrecio))</f>
        <v>0</v>
      </c>
      <c r="G213" s="48" t="n">
        <f aca="false">IF(G$8=1,IF(Reales!$C$49="PYG",IF(G$10&gt;0,N(Reales!G49)/G$10,0),N(Reales!G49)),G$188*IF(AND(AND(2&gt;Corte,2&lt;=Corte+n_Ventana),ISNUMBER(Detalle_24m!G$53)),Detalle_24m!G$53,INDEX(Precio_V,12)*INDEX(IdxPrecio_V,1,MIN(10,G$173)))*(1+V_dPrecio))</f>
        <v>0</v>
      </c>
      <c r="H213" s="48" t="n">
        <f aca="false">IF(H$8=1,IF(Reales!$C$49="PYG",IF(H$10&gt;0,N(Reales!H49)/H$10,0),N(Reales!H49)),H$188*IF(AND(AND(3&gt;Corte,3&lt;=Corte+n_Ventana),ISNUMBER(Detalle_24m!H$53)),Detalle_24m!H$53,INDEX(Precio_V,12)*INDEX(IdxPrecio_V,1,MIN(10,H$173)))*(1+V_dPrecio))</f>
        <v>0</v>
      </c>
      <c r="I213" s="48" t="n">
        <f aca="false">IF(I$8=1,IF(Reales!$C$49="PYG",IF(I$10&gt;0,N(Reales!I49)/I$10,0),N(Reales!I49)),I$188*IF(AND(AND(4&gt;Corte,4&lt;=Corte+n_Ventana),ISNUMBER(Detalle_24m!I$53)),Detalle_24m!I$53,INDEX(Precio_V,12)*INDEX(IdxPrecio_V,1,MIN(10,I$173)))*(1+V_dPrecio))</f>
        <v>0</v>
      </c>
      <c r="J213" s="48" t="n">
        <f aca="false">IF(J$8=1,IF(Reales!$C$49="PYG",IF(J$10&gt;0,N(Reales!J49)/J$10,0),N(Reales!J49)),J$188*IF(AND(AND(5&gt;Corte,5&lt;=Corte+n_Ventana),ISNUMBER(Detalle_24m!J$53)),Detalle_24m!J$53,INDEX(Precio_V,12)*INDEX(IdxPrecio_V,1,MIN(10,J$173)))*(1+V_dPrecio))</f>
        <v>0</v>
      </c>
      <c r="K213" s="48" t="n">
        <f aca="false">IF(K$8=1,IF(Reales!$C$49="PYG",IF(K$10&gt;0,N(Reales!K49)/K$10,0),N(Reales!K49)),K$188*IF(AND(AND(6&gt;Corte,6&lt;=Corte+n_Ventana),ISNUMBER(Detalle_24m!K$53)),Detalle_24m!K$53,INDEX(Precio_V,12)*INDEX(IdxPrecio_V,1,MIN(10,K$173)))*(1+V_dPrecio))</f>
        <v>0</v>
      </c>
      <c r="L213" s="48" t="n">
        <f aca="false">IF(L$8=1,IF(Reales!$C$49="PYG",IF(L$10&gt;0,N(Reales!L49)/L$10,0),N(Reales!L49)),L$188*IF(AND(AND(7&gt;Corte,7&lt;=Corte+n_Ventana),ISNUMBER(Detalle_24m!L$53)),Detalle_24m!L$53,INDEX(Precio_V,12)*INDEX(IdxPrecio_V,1,MIN(10,L$173)))*(1+V_dPrecio))</f>
        <v>0</v>
      </c>
      <c r="M213" s="48" t="n">
        <f aca="false">IF(M$8=1,IF(Reales!$C$49="PYG",IF(M$10&gt;0,N(Reales!M49)/M$10,0),N(Reales!M49)),M$188*IF(AND(AND(8&gt;Corte,8&lt;=Corte+n_Ventana),ISNUMBER(Detalle_24m!M$53)),Detalle_24m!M$53,INDEX(Precio_V,12)*INDEX(IdxPrecio_V,1,MIN(10,M$173)))*(1+V_dPrecio))</f>
        <v>0</v>
      </c>
      <c r="N213" s="48" t="n">
        <f aca="false">IF(N$8=1,IF(Reales!$C$49="PYG",IF(N$10&gt;0,N(Reales!N49)/N$10,0),N(Reales!N49)),N$188*IF(AND(AND(9&gt;Corte,9&lt;=Corte+n_Ventana),ISNUMBER(Detalle_24m!N$53)),Detalle_24m!N$53,INDEX(Precio_V,12)*INDEX(IdxPrecio_V,1,MIN(10,N$173)))*(1+V_dPrecio))</f>
        <v>0</v>
      </c>
      <c r="O213" s="48" t="n">
        <f aca="false">IF(O$8=1,IF(Reales!$C$49="PYG",IF(O$10&gt;0,N(Reales!O49)/O$10,0),N(Reales!O49)),O$188*IF(AND(AND(10&gt;Corte,10&lt;=Corte+n_Ventana),ISNUMBER(Detalle_24m!O$53)),Detalle_24m!O$53,INDEX(Precio_V,12)*INDEX(IdxPrecio_V,1,MIN(10,O$173)))*(1+V_dPrecio))</f>
        <v>0</v>
      </c>
      <c r="P213" s="48" t="n">
        <f aca="false">IF(P$8=1,IF(Reales!$C$49="PYG",IF(P$10&gt;0,N(Reales!P49)/P$10,0),N(Reales!P49)),P$188*IF(AND(AND(11&gt;Corte,11&lt;=Corte+n_Ventana),ISNUMBER(Detalle_24m!P$53)),Detalle_24m!P$53,INDEX(Precio_V,12)*INDEX(IdxPrecio_V,1,MIN(10,P$173)))*(1+V_dPrecio))</f>
        <v>0</v>
      </c>
      <c r="Q213" s="48" t="n">
        <f aca="false">IF(Q$8=1,IF(Reales!$C$49="PYG",IF(Q$10&gt;0,N(Reales!Q49)/Q$10,0),N(Reales!Q49)),Q$188*IF(AND(AND(12&gt;Corte,12&lt;=Corte+n_Ventana),ISNUMBER(Detalle_24m!Q$53)),Detalle_24m!Q$53,INDEX(Precio_V,12)*INDEX(IdxPrecio_V,1,MIN(10,Q$173)))*(1+V_dPrecio))</f>
        <v>0</v>
      </c>
      <c r="R213" s="48" t="n">
        <f aca="false">IF(R$8=1,IF(Reales!$C$49="PYG",IF(R$10&gt;0,N(Reales!R49)/R$10,0),N(Reales!R49)),R$188*IF(AND(AND(13&gt;Corte,13&lt;=Corte+n_Ventana),ISNUMBER(Detalle_24m!R$53)),Detalle_24m!R$53,INDEX(Precio_V,12)*INDEX(IdxPrecio_V,1,MIN(10,R$173)))*(1+V_dPrecio))</f>
        <v>0</v>
      </c>
      <c r="S213" s="48" t="n">
        <f aca="false">IF(S$8=1,IF(Reales!$C$49="PYG",IF(S$10&gt;0,N(Reales!S49)/S$10,0),N(Reales!S49)),S$188*IF(AND(AND(14&gt;Corte,14&lt;=Corte+n_Ventana),ISNUMBER(Detalle_24m!S$53)),Detalle_24m!S$53,INDEX(Precio_V,12)*INDEX(IdxPrecio_V,1,MIN(10,S$173)))*(1+V_dPrecio))</f>
        <v>0</v>
      </c>
      <c r="T213" s="48" t="n">
        <f aca="false">IF(T$8=1,IF(Reales!$C$49="PYG",IF(T$10&gt;0,N(Reales!T49)/T$10,0),N(Reales!T49)),T$188*IF(AND(AND(15&gt;Corte,15&lt;=Corte+n_Ventana),ISNUMBER(Detalle_24m!T$53)),Detalle_24m!T$53,INDEX(Precio_V,12)*INDEX(IdxPrecio_V,1,MIN(10,T$173)))*(1+V_dPrecio))</f>
        <v>0</v>
      </c>
      <c r="U213" s="48" t="n">
        <f aca="false">IF(U$8=1,IF(Reales!$C$49="PYG",IF(U$10&gt;0,N(Reales!U49)/U$10,0),N(Reales!U49)),U$188*IF(AND(AND(16&gt;Corte,16&lt;=Corte+n_Ventana),ISNUMBER(Detalle_24m!U$53)),Detalle_24m!U$53,INDEX(Precio_V,12)*INDEX(IdxPrecio_V,1,MIN(10,U$173)))*(1+V_dPrecio))</f>
        <v>0</v>
      </c>
      <c r="V213" s="48" t="n">
        <f aca="false">IF(V$8=1,IF(Reales!$C$49="PYG",IF(V$10&gt;0,N(Reales!V49)/V$10,0),N(Reales!V49)),V$188*IF(AND(AND(17&gt;Corte,17&lt;=Corte+n_Ventana),ISNUMBER(Detalle_24m!V$53)),Detalle_24m!V$53,INDEX(Precio_V,12)*INDEX(IdxPrecio_V,1,MIN(10,V$173)))*(1+V_dPrecio))</f>
        <v>0</v>
      </c>
      <c r="W213" s="48" t="n">
        <f aca="false">IF(W$8=1,IF(Reales!$C$49="PYG",IF(W$10&gt;0,N(Reales!W49)/W$10,0),N(Reales!W49)),W$188*IF(AND(AND(18&gt;Corte,18&lt;=Corte+n_Ventana),ISNUMBER(Detalle_24m!W$53)),Detalle_24m!W$53,INDEX(Precio_V,12)*INDEX(IdxPrecio_V,1,MIN(10,W$173)))*(1+V_dPrecio))</f>
        <v>0</v>
      </c>
      <c r="X213" s="48" t="n">
        <f aca="false">IF(X$8=1,IF(Reales!$C$49="PYG",IF(X$10&gt;0,N(Reales!X49)/X$10,0),N(Reales!X49)),X$188*IF(AND(AND(19&gt;Corte,19&lt;=Corte+n_Ventana),ISNUMBER(Detalle_24m!X$53)),Detalle_24m!X$53,INDEX(Precio_V,12)*INDEX(IdxPrecio_V,1,MIN(10,X$173)))*(1+V_dPrecio))</f>
        <v>0</v>
      </c>
      <c r="Y213" s="48" t="n">
        <f aca="false">IF(Y$8=1,IF(Reales!$C$49="PYG",IF(Y$10&gt;0,N(Reales!Y49)/Y$10,0),N(Reales!Y49)),Y$188*IF(AND(AND(20&gt;Corte,20&lt;=Corte+n_Ventana),ISNUMBER(Detalle_24m!Y$53)),Detalle_24m!Y$53,INDEX(Precio_V,12)*INDEX(IdxPrecio_V,1,MIN(10,Y$173)))*(1+V_dPrecio))</f>
        <v>0</v>
      </c>
      <c r="Z213" s="48" t="n">
        <f aca="false">IF(Z$8=1,IF(Reales!$C$49="PYG",IF(Z$10&gt;0,N(Reales!Z49)/Z$10,0),N(Reales!Z49)),Z$188*IF(AND(AND(21&gt;Corte,21&lt;=Corte+n_Ventana),ISNUMBER(Detalle_24m!Z$53)),Detalle_24m!Z$53,INDEX(Precio_V,12)*INDEX(IdxPrecio_V,1,MIN(10,Z$173)))*(1+V_dPrecio))</f>
        <v>0</v>
      </c>
      <c r="AA213" s="48" t="n">
        <f aca="false">IF(AA$8=1,IF(Reales!$C$49="PYG",IF(AA$10&gt;0,N(Reales!AA49)/AA$10,0),N(Reales!AA49)),AA$188*IF(AND(AND(22&gt;Corte,22&lt;=Corte+n_Ventana),ISNUMBER(Detalle_24m!AA$53)),Detalle_24m!AA$53,INDEX(Precio_V,12)*INDEX(IdxPrecio_V,1,MIN(10,AA$173)))*(1+V_dPrecio))</f>
        <v>0</v>
      </c>
      <c r="AB213" s="48" t="n">
        <f aca="false">IF(AB$8=1,IF(Reales!$C$49="PYG",IF(AB$10&gt;0,N(Reales!AB49)/AB$10,0),N(Reales!AB49)),AB$188*IF(AND(AND(23&gt;Corte,23&lt;=Corte+n_Ventana),ISNUMBER(Detalle_24m!AB$53)),Detalle_24m!AB$53,INDEX(Precio_V,12)*INDEX(IdxPrecio_V,1,MIN(10,AB$173)))*(1+V_dPrecio))</f>
        <v>0</v>
      </c>
      <c r="AC213" s="48" t="n">
        <f aca="false">IF(AC$8=1,IF(Reales!$C$49="PYG",IF(AC$10&gt;0,N(Reales!AC49)/AC$10,0),N(Reales!AC49)),AC$188*IF(AND(AND(24&gt;Corte,24&lt;=Corte+n_Ventana),ISNUMBER(Detalle_24m!AC$53)),Detalle_24m!AC$53,INDEX(Precio_V,12)*INDEX(IdxPrecio_V,1,MIN(10,AC$173)))*(1+V_dPrecio))</f>
        <v>0</v>
      </c>
      <c r="AD213" s="48" t="n">
        <f aca="false">IF(AD$8=1,IF(Reales!$C$49="PYG",IF(AD$10&gt;0,N(Reales!AD49)/AD$10,0),N(Reales!AD49)),AD$188*IF(AND(AND(25&gt;Corte,25&lt;=Corte+n_Ventana),ISNUMBER(Detalle_24m!AD$53)),Detalle_24m!AD$53,INDEX(Precio_V,12)*INDEX(IdxPrecio_V,1,MIN(10,AD$173)))*(1+V_dPrecio))</f>
        <v>0</v>
      </c>
      <c r="AE213" s="48" t="n">
        <f aca="false">IF(AE$8=1,IF(Reales!$C$49="PYG",IF(AE$10&gt;0,N(Reales!AE49)/AE$10,0),N(Reales!AE49)),AE$188*IF(AND(AND(26&gt;Corte,26&lt;=Corte+n_Ventana),ISNUMBER(Detalle_24m!AE$53)),Detalle_24m!AE$53,INDEX(Precio_V,12)*INDEX(IdxPrecio_V,1,MIN(10,AE$173)))*(1+V_dPrecio))</f>
        <v>0</v>
      </c>
      <c r="AF213" s="48" t="n">
        <f aca="false">IF(AF$8=1,IF(Reales!$C$49="PYG",IF(AF$10&gt;0,N(Reales!AF49)/AF$10,0),N(Reales!AF49)),AF$188*IF(AND(AND(27&gt;Corte,27&lt;=Corte+n_Ventana),ISNUMBER(Detalle_24m!AF$53)),Detalle_24m!AF$53,INDEX(Precio_V,12)*INDEX(IdxPrecio_V,1,MIN(10,AF$173)))*(1+V_dPrecio))</f>
        <v>0</v>
      </c>
      <c r="AG213" s="48" t="n">
        <f aca="false">IF(AG$8=1,IF(Reales!$C$49="PYG",IF(AG$10&gt;0,N(Reales!AG49)/AG$10,0),N(Reales!AG49)),AG$188*IF(AND(AND(28&gt;Corte,28&lt;=Corte+n_Ventana),ISNUMBER(Detalle_24m!AG$53)),Detalle_24m!AG$53,INDEX(Precio_V,12)*INDEX(IdxPrecio_V,1,MIN(10,AG$173)))*(1+V_dPrecio))</f>
        <v>0</v>
      </c>
      <c r="AH213" s="48" t="n">
        <f aca="false">IF(AH$8=1,IF(Reales!$C$49="PYG",IF(AH$10&gt;0,N(Reales!AH49)/AH$10,0),N(Reales!AH49)),AH$188*IF(AND(AND(29&gt;Corte,29&lt;=Corte+n_Ventana),ISNUMBER(Detalle_24m!AH$53)),Detalle_24m!AH$53,INDEX(Precio_V,12)*INDEX(IdxPrecio_V,1,MIN(10,AH$173)))*(1+V_dPrecio))</f>
        <v>0</v>
      </c>
      <c r="AI213" s="48" t="n">
        <f aca="false">IF(AI$8=1,IF(Reales!$C$49="PYG",IF(AI$10&gt;0,N(Reales!AI49)/AI$10,0),N(Reales!AI49)),AI$188*IF(AND(AND(30&gt;Corte,30&lt;=Corte+n_Ventana),ISNUMBER(Detalle_24m!AI$53)),Detalle_24m!AI$53,INDEX(Precio_V,12)*INDEX(IdxPrecio_V,1,MIN(10,AI$173)))*(1+V_dPrecio))</f>
        <v>0</v>
      </c>
      <c r="AJ213" s="48" t="n">
        <f aca="false">IF(AJ$8=1,IF(Reales!$C$49="PYG",IF(AJ$10&gt;0,N(Reales!AJ49)/AJ$10,0),N(Reales!AJ49)),AJ$188*IF(AND(AND(31&gt;Corte,31&lt;=Corte+n_Ventana),ISNUMBER(Detalle_24m!AJ$53)),Detalle_24m!AJ$53,INDEX(Precio_V,12)*INDEX(IdxPrecio_V,1,MIN(10,AJ$173)))*(1+V_dPrecio))</f>
        <v>0</v>
      </c>
      <c r="AK213" s="48" t="n">
        <f aca="false">IF(AK$8=1,IF(Reales!$C$49="PYG",IF(AK$10&gt;0,N(Reales!AK49)/AK$10,0),N(Reales!AK49)),AK$188*IF(AND(AND(32&gt;Corte,32&lt;=Corte+n_Ventana),ISNUMBER(Detalle_24m!AK$53)),Detalle_24m!AK$53,INDEX(Precio_V,12)*INDEX(IdxPrecio_V,1,MIN(10,AK$173)))*(1+V_dPrecio))</f>
        <v>0</v>
      </c>
      <c r="AL213" s="48" t="n">
        <f aca="false">IF(AL$8=1,IF(Reales!$C$49="PYG",IF(AL$10&gt;0,N(Reales!AL49)/AL$10,0),N(Reales!AL49)),AL$188*IF(AND(AND(33&gt;Corte,33&lt;=Corte+n_Ventana),ISNUMBER(Detalle_24m!AL$53)),Detalle_24m!AL$53,INDEX(Precio_V,12)*INDEX(IdxPrecio_V,1,MIN(10,AL$173)))*(1+V_dPrecio))</f>
        <v>0</v>
      </c>
      <c r="AM213" s="48" t="n">
        <f aca="false">IF(AM$8=1,IF(Reales!$C$49="PYG",IF(AM$10&gt;0,N(Reales!AM49)/AM$10,0),N(Reales!AM49)),AM$188*IF(AND(AND(34&gt;Corte,34&lt;=Corte+n_Ventana),ISNUMBER(Detalle_24m!AM$53)),Detalle_24m!AM$53,INDEX(Precio_V,12)*INDEX(IdxPrecio_V,1,MIN(10,AM$173)))*(1+V_dPrecio))</f>
        <v>0</v>
      </c>
      <c r="AN213" s="48" t="n">
        <f aca="false">IF(AN$8=1,IF(Reales!$C$49="PYG",IF(AN$10&gt;0,N(Reales!AN49)/AN$10,0),N(Reales!AN49)),AN$188*IF(AND(AND(35&gt;Corte,35&lt;=Corte+n_Ventana),ISNUMBER(Detalle_24m!AN$53)),Detalle_24m!AN$53,INDEX(Precio_V,12)*INDEX(IdxPrecio_V,1,MIN(10,AN$173)))*(1+V_dPrecio))</f>
        <v>0</v>
      </c>
      <c r="AO213" s="48" t="n">
        <f aca="false">IF(AO$8=1,IF(Reales!$C$49="PYG",IF(AO$10&gt;0,N(Reales!AO49)/AO$10,0),N(Reales!AO49)),AO$188*IF(AND(AND(36&gt;Corte,36&lt;=Corte+n_Ventana),ISNUMBER(Detalle_24m!AO$53)),Detalle_24m!AO$53,INDEX(Precio_V,12)*INDEX(IdxPrecio_V,1,MIN(10,AO$173)))*(1+V_dPrecio))</f>
        <v>0</v>
      </c>
      <c r="AP213" s="48" t="n">
        <f aca="false">IF(AP$8=1,IF(Reales!$C$49="PYG",IF(AP$10&gt;0,N(Reales!AP49)/AP$10,0),N(Reales!AP49)),AP$188*IF(AND(AND(37&gt;Corte,37&lt;=Corte+n_Ventana),ISNUMBER(Detalle_24m!AP$53)),Detalle_24m!AP$53,INDEX(Precio_V,12)*INDEX(IdxPrecio_V,1,MIN(10,AP$173)))*(1+V_dPrecio))</f>
        <v>0</v>
      </c>
      <c r="AQ213" s="48" t="n">
        <f aca="false">IF(AQ$8=1,IF(Reales!$C$49="PYG",IF(AQ$10&gt;0,N(Reales!AQ49)/AQ$10,0),N(Reales!AQ49)),AQ$188*IF(AND(AND(38&gt;Corte,38&lt;=Corte+n_Ventana),ISNUMBER(Detalle_24m!AQ$53)),Detalle_24m!AQ$53,INDEX(Precio_V,12)*INDEX(IdxPrecio_V,1,MIN(10,AQ$173)))*(1+V_dPrecio))</f>
        <v>0</v>
      </c>
      <c r="AR213" s="48" t="n">
        <f aca="false">IF(AR$8=1,IF(Reales!$C$49="PYG",IF(AR$10&gt;0,N(Reales!AR49)/AR$10,0),N(Reales!AR49)),AR$188*IF(AND(AND(39&gt;Corte,39&lt;=Corte+n_Ventana),ISNUMBER(Detalle_24m!AR$53)),Detalle_24m!AR$53,INDEX(Precio_V,12)*INDEX(IdxPrecio_V,1,MIN(10,AR$173)))*(1+V_dPrecio))</f>
        <v>0</v>
      </c>
      <c r="AS213" s="48" t="n">
        <f aca="false">IF(AS$8=1,IF(Reales!$C$49="PYG",IF(AS$10&gt;0,N(Reales!AS49)/AS$10,0),N(Reales!AS49)),AS$188*IF(AND(AND(40&gt;Corte,40&lt;=Corte+n_Ventana),ISNUMBER(Detalle_24m!AS$53)),Detalle_24m!AS$53,INDEX(Precio_V,12)*INDEX(IdxPrecio_V,1,MIN(10,AS$173)))*(1+V_dPrecio))</f>
        <v>0</v>
      </c>
      <c r="AT213" s="48" t="n">
        <f aca="false">IF(AT$8=1,IF(Reales!$C$49="PYG",IF(AT$10&gt;0,N(Reales!AT49)/AT$10,0),N(Reales!AT49)),AT$188*IF(AND(AND(41&gt;Corte,41&lt;=Corte+n_Ventana),ISNUMBER(Detalle_24m!AT$53)),Detalle_24m!AT$53,INDEX(Precio_V,12)*INDEX(IdxPrecio_V,1,MIN(10,AT$173)))*(1+V_dPrecio))</f>
        <v>0</v>
      </c>
      <c r="AU213" s="48" t="n">
        <f aca="false">IF(AU$8=1,IF(Reales!$C$49="PYG",IF(AU$10&gt;0,N(Reales!AU49)/AU$10,0),N(Reales!AU49)),AU$188*IF(AND(AND(42&gt;Corte,42&lt;=Corte+n_Ventana),ISNUMBER(Detalle_24m!AU$53)),Detalle_24m!AU$53,INDEX(Precio_V,12)*INDEX(IdxPrecio_V,1,MIN(10,AU$173)))*(1+V_dPrecio))</f>
        <v>0</v>
      </c>
      <c r="AV213" s="48" t="n">
        <f aca="false">IF(AV$8=1,IF(Reales!$C$49="PYG",IF(AV$10&gt;0,N(Reales!AV49)/AV$10,0),N(Reales!AV49)),AV$188*IF(AND(AND(43&gt;Corte,43&lt;=Corte+n_Ventana),ISNUMBER(Detalle_24m!AV$53)),Detalle_24m!AV$53,INDEX(Precio_V,12)*INDEX(IdxPrecio_V,1,MIN(10,AV$173)))*(1+V_dPrecio))</f>
        <v>0</v>
      </c>
      <c r="AW213" s="48" t="n">
        <f aca="false">IF(AW$8=1,IF(Reales!$C$49="PYG",IF(AW$10&gt;0,N(Reales!AW49)/AW$10,0),N(Reales!AW49)),AW$188*IF(AND(AND(44&gt;Corte,44&lt;=Corte+n_Ventana),ISNUMBER(Detalle_24m!AW$53)),Detalle_24m!AW$53,INDEX(Precio_V,12)*INDEX(IdxPrecio_V,1,MIN(10,AW$173)))*(1+V_dPrecio))</f>
        <v>0</v>
      </c>
      <c r="AX213" s="48" t="n">
        <f aca="false">IF(AX$8=1,IF(Reales!$C$49="PYG",IF(AX$10&gt;0,N(Reales!AX49)/AX$10,0),N(Reales!AX49)),AX$188*IF(AND(AND(45&gt;Corte,45&lt;=Corte+n_Ventana),ISNUMBER(Detalle_24m!AX$53)),Detalle_24m!AX$53,INDEX(Precio_V,12)*INDEX(IdxPrecio_V,1,MIN(10,AX$173)))*(1+V_dPrecio))</f>
        <v>0</v>
      </c>
      <c r="AY213" s="48" t="n">
        <f aca="false">IF(AY$8=1,IF(Reales!$C$49="PYG",IF(AY$10&gt;0,N(Reales!AY49)/AY$10,0),N(Reales!AY49)),AY$188*IF(AND(AND(46&gt;Corte,46&lt;=Corte+n_Ventana),ISNUMBER(Detalle_24m!AY$53)),Detalle_24m!AY$53,INDEX(Precio_V,12)*INDEX(IdxPrecio_V,1,MIN(10,AY$173)))*(1+V_dPrecio))</f>
        <v>0</v>
      </c>
      <c r="AZ213" s="48" t="n">
        <f aca="false">IF(AZ$8=1,IF(Reales!$C$49="PYG",IF(AZ$10&gt;0,N(Reales!AZ49)/AZ$10,0),N(Reales!AZ49)),AZ$188*IF(AND(AND(47&gt;Corte,47&lt;=Corte+n_Ventana),ISNUMBER(Detalle_24m!AZ$53)),Detalle_24m!AZ$53,INDEX(Precio_V,12)*INDEX(IdxPrecio_V,1,MIN(10,AZ$173)))*(1+V_dPrecio))</f>
        <v>0</v>
      </c>
      <c r="BA213" s="48" t="n">
        <f aca="false">IF(BA$8=1,IF(Reales!$C$49="PYG",IF(BA$10&gt;0,N(Reales!BA49)/BA$10,0),N(Reales!BA49)),BA$188*IF(AND(AND(48&gt;Corte,48&lt;=Corte+n_Ventana),ISNUMBER(Detalle_24m!BA$53)),Detalle_24m!BA$53,INDEX(Precio_V,12)*INDEX(IdxPrecio_V,1,MIN(10,BA$173)))*(1+V_dPrecio))</f>
        <v>0</v>
      </c>
      <c r="BB213" s="48" t="n">
        <f aca="false">IF(BB$8=1,IF(Reales!$C$49="PYG",IF(BB$10&gt;0,N(Reales!BB49)/BB$10,0),N(Reales!BB49)),BB$188*IF(AND(AND(49&gt;Corte,49&lt;=Corte+n_Ventana),ISNUMBER(Detalle_24m!BB$53)),Detalle_24m!BB$53,INDEX(Precio_V,12)*INDEX(IdxPrecio_V,1,MIN(10,BB$173)))*(1+V_dPrecio))</f>
        <v>0</v>
      </c>
      <c r="BC213" s="48" t="n">
        <f aca="false">IF(BC$8=1,IF(Reales!$C$49="PYG",IF(BC$10&gt;0,N(Reales!BC49)/BC$10,0),N(Reales!BC49)),BC$188*IF(AND(AND(50&gt;Corte,50&lt;=Corte+n_Ventana),ISNUMBER(Detalle_24m!BC$53)),Detalle_24m!BC$53,INDEX(Precio_V,12)*INDEX(IdxPrecio_V,1,MIN(10,BC$173)))*(1+V_dPrecio))</f>
        <v>0</v>
      </c>
      <c r="BD213" s="48" t="n">
        <f aca="false">IF(BD$8=1,IF(Reales!$C$49="PYG",IF(BD$10&gt;0,N(Reales!BD49)/BD$10,0),N(Reales!BD49)),BD$188*IF(AND(AND(51&gt;Corte,51&lt;=Corte+n_Ventana),ISNUMBER(Detalle_24m!BD$53)),Detalle_24m!BD$53,INDEX(Precio_V,12)*INDEX(IdxPrecio_V,1,MIN(10,BD$173)))*(1+V_dPrecio))</f>
        <v>0</v>
      </c>
      <c r="BE213" s="48" t="n">
        <f aca="false">IF(BE$8=1,IF(Reales!$C$49="PYG",IF(BE$10&gt;0,N(Reales!BE49)/BE$10,0),N(Reales!BE49)),BE$188*IF(AND(AND(52&gt;Corte,52&lt;=Corte+n_Ventana),ISNUMBER(Detalle_24m!BE$53)),Detalle_24m!BE$53,INDEX(Precio_V,12)*INDEX(IdxPrecio_V,1,MIN(10,BE$173)))*(1+V_dPrecio))</f>
        <v>0</v>
      </c>
      <c r="BF213" s="48" t="n">
        <f aca="false">IF(BF$8=1,IF(Reales!$C$49="PYG",IF(BF$10&gt;0,N(Reales!BF49)/BF$10,0),N(Reales!BF49)),BF$188*IF(AND(AND(53&gt;Corte,53&lt;=Corte+n_Ventana),ISNUMBER(Detalle_24m!BF$53)),Detalle_24m!BF$53,INDEX(Precio_V,12)*INDEX(IdxPrecio_V,1,MIN(10,BF$173)))*(1+V_dPrecio))</f>
        <v>0</v>
      </c>
      <c r="BG213" s="48" t="n">
        <f aca="false">IF(BG$8=1,IF(Reales!$C$49="PYG",IF(BG$10&gt;0,N(Reales!BG49)/BG$10,0),N(Reales!BG49)),BG$188*IF(AND(AND(54&gt;Corte,54&lt;=Corte+n_Ventana),ISNUMBER(Detalle_24m!BG$53)),Detalle_24m!BG$53,INDEX(Precio_V,12)*INDEX(IdxPrecio_V,1,MIN(10,BG$173)))*(1+V_dPrecio))</f>
        <v>0</v>
      </c>
      <c r="BH213" s="48" t="n">
        <f aca="false">IF(BH$8=1,IF(Reales!$C$49="PYG",IF(BH$10&gt;0,N(Reales!BH49)/BH$10,0),N(Reales!BH49)),BH$188*IF(AND(AND(55&gt;Corte,55&lt;=Corte+n_Ventana),ISNUMBER(Detalle_24m!BH$53)),Detalle_24m!BH$53,INDEX(Precio_V,12)*INDEX(IdxPrecio_V,1,MIN(10,BH$173)))*(1+V_dPrecio))</f>
        <v>0</v>
      </c>
      <c r="BI213" s="48" t="n">
        <f aca="false">IF(BI$8=1,IF(Reales!$C$49="PYG",IF(BI$10&gt;0,N(Reales!BI49)/BI$10,0),N(Reales!BI49)),BI$188*IF(AND(AND(56&gt;Corte,56&lt;=Corte+n_Ventana),ISNUMBER(Detalle_24m!BI$53)),Detalle_24m!BI$53,INDEX(Precio_V,12)*INDEX(IdxPrecio_V,1,MIN(10,BI$173)))*(1+V_dPrecio))</f>
        <v>0</v>
      </c>
      <c r="BJ213" s="48" t="n">
        <f aca="false">IF(BJ$8=1,IF(Reales!$C$49="PYG",IF(BJ$10&gt;0,N(Reales!BJ49)/BJ$10,0),N(Reales!BJ49)),BJ$188*IF(AND(AND(57&gt;Corte,57&lt;=Corte+n_Ventana),ISNUMBER(Detalle_24m!BJ$53)),Detalle_24m!BJ$53,INDEX(Precio_V,12)*INDEX(IdxPrecio_V,1,MIN(10,BJ$173)))*(1+V_dPrecio))</f>
        <v>0</v>
      </c>
      <c r="BK213" s="48" t="n">
        <f aca="false">IF(BK$8=1,IF(Reales!$C$49="PYG",IF(BK$10&gt;0,N(Reales!BK49)/BK$10,0),N(Reales!BK49)),BK$188*IF(AND(AND(58&gt;Corte,58&lt;=Corte+n_Ventana),ISNUMBER(Detalle_24m!BK$53)),Detalle_24m!BK$53,INDEX(Precio_V,12)*INDEX(IdxPrecio_V,1,MIN(10,BK$173)))*(1+V_dPrecio))</f>
        <v>0</v>
      </c>
      <c r="BL213" s="48" t="n">
        <f aca="false">IF(BL$8=1,IF(Reales!$C$49="PYG",IF(BL$10&gt;0,N(Reales!BL49)/BL$10,0),N(Reales!BL49)),BL$188*IF(AND(AND(59&gt;Corte,59&lt;=Corte+n_Ventana),ISNUMBER(Detalle_24m!BL$53)),Detalle_24m!BL$53,INDEX(Precio_V,12)*INDEX(IdxPrecio_V,1,MIN(10,BL$173)))*(1+V_dPrecio))</f>
        <v>0</v>
      </c>
      <c r="BM213" s="48" t="n">
        <f aca="false">IF(BM$8=1,IF(Reales!$C$49="PYG",IF(BM$10&gt;0,N(Reales!BM49)/BM$10,0),N(Reales!BM49)),BM$188*IF(AND(AND(60&gt;Corte,60&lt;=Corte+n_Ventana),ISNUMBER(Detalle_24m!BM$53)),Detalle_24m!BM$53,INDEX(Precio_V,12)*INDEX(IdxPrecio_V,1,MIN(10,BM$173)))*(1+V_dPrecio))</f>
        <v>0</v>
      </c>
      <c r="BN213" s="48" t="n">
        <f aca="false">IF(BN$8=1,IF(Reales!$C$49="PYG",IF(BN$10&gt;0,N(Reales!BN49)/BN$10,0),N(Reales!BN49)),BN$188*IF(AND(AND(61&gt;Corte,61&lt;=Corte+n_Ventana),ISNUMBER(Detalle_24m!BN$53)),Detalle_24m!BN$53,INDEX(Precio_V,12)*INDEX(IdxPrecio_V,1,MIN(10,BN$173)))*(1+V_dPrecio))</f>
        <v>0</v>
      </c>
      <c r="BO213" s="48" t="n">
        <f aca="false">IF(BO$8=1,IF(Reales!$C$49="PYG",IF(BO$10&gt;0,N(Reales!BO49)/BO$10,0),N(Reales!BO49)),BO$188*IF(AND(AND(62&gt;Corte,62&lt;=Corte+n_Ventana),ISNUMBER(Detalle_24m!BO$53)),Detalle_24m!BO$53,INDEX(Precio_V,12)*INDEX(IdxPrecio_V,1,MIN(10,BO$173)))*(1+V_dPrecio))</f>
        <v>0</v>
      </c>
      <c r="BP213" s="48" t="n">
        <f aca="false">IF(BP$8=1,IF(Reales!$C$49="PYG",IF(BP$10&gt;0,N(Reales!BP49)/BP$10,0),N(Reales!BP49)),BP$188*IF(AND(AND(63&gt;Corte,63&lt;=Corte+n_Ventana),ISNUMBER(Detalle_24m!BP$53)),Detalle_24m!BP$53,INDEX(Precio_V,12)*INDEX(IdxPrecio_V,1,MIN(10,BP$173)))*(1+V_dPrecio))</f>
        <v>0</v>
      </c>
      <c r="BQ213" s="48" t="n">
        <f aca="false">IF(BQ$8=1,IF(Reales!$C$49="PYG",IF(BQ$10&gt;0,N(Reales!BQ49)/BQ$10,0),N(Reales!BQ49)),BQ$188*IF(AND(AND(64&gt;Corte,64&lt;=Corte+n_Ventana),ISNUMBER(Detalle_24m!BQ$53)),Detalle_24m!BQ$53,INDEX(Precio_V,12)*INDEX(IdxPrecio_V,1,MIN(10,BQ$173)))*(1+V_dPrecio))</f>
        <v>0</v>
      </c>
      <c r="BR213" s="48" t="n">
        <f aca="false">IF(BR$8=1,IF(Reales!$C$49="PYG",IF(BR$10&gt;0,N(Reales!BR49)/BR$10,0),N(Reales!BR49)),BR$188*IF(AND(AND(65&gt;Corte,65&lt;=Corte+n_Ventana),ISNUMBER(Detalle_24m!BR$53)),Detalle_24m!BR$53,INDEX(Precio_V,12)*INDEX(IdxPrecio_V,1,MIN(10,BR$173)))*(1+V_dPrecio))</f>
        <v>0</v>
      </c>
      <c r="BS213" s="48" t="n">
        <f aca="false">IF(BS$8=1,IF(Reales!$C$49="PYG",IF(BS$10&gt;0,N(Reales!BS49)/BS$10,0),N(Reales!BS49)),BS$188*IF(AND(AND(66&gt;Corte,66&lt;=Corte+n_Ventana),ISNUMBER(Detalle_24m!BS$53)),Detalle_24m!BS$53,INDEX(Precio_V,12)*INDEX(IdxPrecio_V,1,MIN(10,BS$173)))*(1+V_dPrecio))</f>
        <v>0</v>
      </c>
      <c r="BT213" s="48" t="n">
        <f aca="false">IF(BT$8=1,IF(Reales!$C$49="PYG",IF(BT$10&gt;0,N(Reales!BT49)/BT$10,0),N(Reales!BT49)),BT$188*IF(AND(AND(67&gt;Corte,67&lt;=Corte+n_Ventana),ISNUMBER(Detalle_24m!BT$53)),Detalle_24m!BT$53,INDEX(Precio_V,12)*INDEX(IdxPrecio_V,1,MIN(10,BT$173)))*(1+V_dPrecio))</f>
        <v>0</v>
      </c>
      <c r="BU213" s="48" t="n">
        <f aca="false">IF(BU$8=1,IF(Reales!$C$49="PYG",IF(BU$10&gt;0,N(Reales!BU49)/BU$10,0),N(Reales!BU49)),BU$188*IF(AND(AND(68&gt;Corte,68&lt;=Corte+n_Ventana),ISNUMBER(Detalle_24m!BU$53)),Detalle_24m!BU$53,INDEX(Precio_V,12)*INDEX(IdxPrecio_V,1,MIN(10,BU$173)))*(1+V_dPrecio))</f>
        <v>0</v>
      </c>
      <c r="BV213" s="48" t="n">
        <f aca="false">IF(BV$8=1,IF(Reales!$C$49="PYG",IF(BV$10&gt;0,N(Reales!BV49)/BV$10,0),N(Reales!BV49)),BV$188*IF(AND(AND(69&gt;Corte,69&lt;=Corte+n_Ventana),ISNUMBER(Detalle_24m!BV$53)),Detalle_24m!BV$53,INDEX(Precio_V,12)*INDEX(IdxPrecio_V,1,MIN(10,BV$173)))*(1+V_dPrecio))</f>
        <v>0</v>
      </c>
      <c r="BW213" s="48" t="n">
        <f aca="false">IF(BW$8=1,IF(Reales!$C$49="PYG",IF(BW$10&gt;0,N(Reales!BW49)/BW$10,0),N(Reales!BW49)),BW$188*IF(AND(AND(70&gt;Corte,70&lt;=Corte+n_Ventana),ISNUMBER(Detalle_24m!BW$53)),Detalle_24m!BW$53,INDEX(Precio_V,12)*INDEX(IdxPrecio_V,1,MIN(10,BW$173)))*(1+V_dPrecio))</f>
        <v>0</v>
      </c>
      <c r="BX213" s="48" t="n">
        <f aca="false">IF(BX$8=1,IF(Reales!$C$49="PYG",IF(BX$10&gt;0,N(Reales!BX49)/BX$10,0),N(Reales!BX49)),BX$188*IF(AND(AND(71&gt;Corte,71&lt;=Corte+n_Ventana),ISNUMBER(Detalle_24m!BX$53)),Detalle_24m!BX$53,INDEX(Precio_V,12)*INDEX(IdxPrecio_V,1,MIN(10,BX$173)))*(1+V_dPrecio))</f>
        <v>0</v>
      </c>
      <c r="BY213" s="48" t="n">
        <f aca="false">IF(BY$8=1,IF(Reales!$C$49="PYG",IF(BY$10&gt;0,N(Reales!BY49)/BY$10,0),N(Reales!BY49)),BY$188*IF(AND(AND(72&gt;Corte,72&lt;=Corte+n_Ventana),ISNUMBER(Detalle_24m!BY$53)),Detalle_24m!BY$53,INDEX(Precio_V,12)*INDEX(IdxPrecio_V,1,MIN(10,BY$173)))*(1+V_dPrecio))</f>
        <v>0</v>
      </c>
      <c r="BZ213" s="48" t="n">
        <f aca="false">IF(BZ$8=1,IF(Reales!$C$49="PYG",IF(BZ$10&gt;0,N(Reales!BZ49)/BZ$10,0),N(Reales!BZ49)),BZ$188*IF(AND(AND(73&gt;Corte,73&lt;=Corte+n_Ventana),ISNUMBER(Detalle_24m!BZ$53)),Detalle_24m!BZ$53,INDEX(Precio_V,12)*INDEX(IdxPrecio_V,1,MIN(10,BZ$173)))*(1+V_dPrecio))</f>
        <v>0</v>
      </c>
      <c r="CA213" s="48" t="n">
        <f aca="false">IF(CA$8=1,IF(Reales!$C$49="PYG",IF(CA$10&gt;0,N(Reales!CA49)/CA$10,0),N(Reales!CA49)),CA$188*IF(AND(AND(74&gt;Corte,74&lt;=Corte+n_Ventana),ISNUMBER(Detalle_24m!CA$53)),Detalle_24m!CA$53,INDEX(Precio_V,12)*INDEX(IdxPrecio_V,1,MIN(10,CA$173)))*(1+V_dPrecio))</f>
        <v>0</v>
      </c>
      <c r="CB213" s="48" t="n">
        <f aca="false">IF(CB$8=1,IF(Reales!$C$49="PYG",IF(CB$10&gt;0,N(Reales!CB49)/CB$10,0),N(Reales!CB49)),CB$188*IF(AND(AND(75&gt;Corte,75&lt;=Corte+n_Ventana),ISNUMBER(Detalle_24m!CB$53)),Detalle_24m!CB$53,INDEX(Precio_V,12)*INDEX(IdxPrecio_V,1,MIN(10,CB$173)))*(1+V_dPrecio))</f>
        <v>0</v>
      </c>
      <c r="CC213" s="48" t="n">
        <f aca="false">IF(CC$8=1,IF(Reales!$C$49="PYG",IF(CC$10&gt;0,N(Reales!CC49)/CC$10,0),N(Reales!CC49)),CC$188*IF(AND(AND(76&gt;Corte,76&lt;=Corte+n_Ventana),ISNUMBER(Detalle_24m!CC$53)),Detalle_24m!CC$53,INDEX(Precio_V,12)*INDEX(IdxPrecio_V,1,MIN(10,CC$173)))*(1+V_dPrecio))</f>
        <v>0</v>
      </c>
      <c r="CD213" s="48" t="n">
        <f aca="false">IF(CD$8=1,IF(Reales!$C$49="PYG",IF(CD$10&gt;0,N(Reales!CD49)/CD$10,0),N(Reales!CD49)),CD$188*IF(AND(AND(77&gt;Corte,77&lt;=Corte+n_Ventana),ISNUMBER(Detalle_24m!CD$53)),Detalle_24m!CD$53,INDEX(Precio_V,12)*INDEX(IdxPrecio_V,1,MIN(10,CD$173)))*(1+V_dPrecio))</f>
        <v>0</v>
      </c>
      <c r="CE213" s="48" t="n">
        <f aca="false">IF(CE$8=1,IF(Reales!$C$49="PYG",IF(CE$10&gt;0,N(Reales!CE49)/CE$10,0),N(Reales!CE49)),CE$188*IF(AND(AND(78&gt;Corte,78&lt;=Corte+n_Ventana),ISNUMBER(Detalle_24m!CE$53)),Detalle_24m!CE$53,INDEX(Precio_V,12)*INDEX(IdxPrecio_V,1,MIN(10,CE$173)))*(1+V_dPrecio))</f>
        <v>0</v>
      </c>
      <c r="CF213" s="48" t="n">
        <f aca="false">IF(CF$8=1,IF(Reales!$C$49="PYG",IF(CF$10&gt;0,N(Reales!CF49)/CF$10,0),N(Reales!CF49)),CF$188*IF(AND(AND(79&gt;Corte,79&lt;=Corte+n_Ventana),ISNUMBER(Detalle_24m!CF$53)),Detalle_24m!CF$53,INDEX(Precio_V,12)*INDEX(IdxPrecio_V,1,MIN(10,CF$173)))*(1+V_dPrecio))</f>
        <v>0</v>
      </c>
      <c r="CG213" s="48" t="n">
        <f aca="false">IF(CG$8=1,IF(Reales!$C$49="PYG",IF(CG$10&gt;0,N(Reales!CG49)/CG$10,0),N(Reales!CG49)),CG$188*IF(AND(AND(80&gt;Corte,80&lt;=Corte+n_Ventana),ISNUMBER(Detalle_24m!CG$53)),Detalle_24m!CG$53,INDEX(Precio_V,12)*INDEX(IdxPrecio_V,1,MIN(10,CG$173)))*(1+V_dPrecio))</f>
        <v>0</v>
      </c>
      <c r="CH213" s="48" t="n">
        <f aca="false">IF(CH$8=1,IF(Reales!$C$49="PYG",IF(CH$10&gt;0,N(Reales!CH49)/CH$10,0),N(Reales!CH49)),CH$188*IF(AND(AND(81&gt;Corte,81&lt;=Corte+n_Ventana),ISNUMBER(Detalle_24m!CH$53)),Detalle_24m!CH$53,INDEX(Precio_V,12)*INDEX(IdxPrecio_V,1,MIN(10,CH$173)))*(1+V_dPrecio))</f>
        <v>0</v>
      </c>
      <c r="CI213" s="48" t="n">
        <f aca="false">IF(CI$8=1,IF(Reales!$C$49="PYG",IF(CI$10&gt;0,N(Reales!CI49)/CI$10,0),N(Reales!CI49)),CI$188*IF(AND(AND(82&gt;Corte,82&lt;=Corte+n_Ventana),ISNUMBER(Detalle_24m!CI$53)),Detalle_24m!CI$53,INDEX(Precio_V,12)*INDEX(IdxPrecio_V,1,MIN(10,CI$173)))*(1+V_dPrecio))</f>
        <v>0</v>
      </c>
      <c r="CJ213" s="48" t="n">
        <f aca="false">IF(CJ$8=1,IF(Reales!$C$49="PYG",IF(CJ$10&gt;0,N(Reales!CJ49)/CJ$10,0),N(Reales!CJ49)),CJ$188*IF(AND(AND(83&gt;Corte,83&lt;=Corte+n_Ventana),ISNUMBER(Detalle_24m!CJ$53)),Detalle_24m!CJ$53,INDEX(Precio_V,12)*INDEX(IdxPrecio_V,1,MIN(10,CJ$173)))*(1+V_dPrecio))</f>
        <v>0</v>
      </c>
      <c r="CK213" s="48" t="n">
        <f aca="false">IF(CK$8=1,IF(Reales!$C$49="PYG",IF(CK$10&gt;0,N(Reales!CK49)/CK$10,0),N(Reales!CK49)),CK$188*IF(AND(AND(84&gt;Corte,84&lt;=Corte+n_Ventana),ISNUMBER(Detalle_24m!CK$53)),Detalle_24m!CK$53,INDEX(Precio_V,12)*INDEX(IdxPrecio_V,1,MIN(10,CK$173)))*(1+V_dPrecio))</f>
        <v>0</v>
      </c>
      <c r="CL213" s="48" t="n">
        <f aca="false">IF(CL$8=1,IF(Reales!$C$49="PYG",IF(CL$10&gt;0,N(Reales!CL49)/CL$10,0),N(Reales!CL49)),CL$188*IF(AND(AND(85&gt;Corte,85&lt;=Corte+n_Ventana),ISNUMBER(Detalle_24m!CL$53)),Detalle_24m!CL$53,INDEX(Precio_V,12)*INDEX(IdxPrecio_V,1,MIN(10,CL$173)))*(1+V_dPrecio))</f>
        <v>0</v>
      </c>
      <c r="CM213" s="48" t="n">
        <f aca="false">IF(CM$8=1,IF(Reales!$C$49="PYG",IF(CM$10&gt;0,N(Reales!CM49)/CM$10,0),N(Reales!CM49)),CM$188*IF(AND(AND(86&gt;Corte,86&lt;=Corte+n_Ventana),ISNUMBER(Detalle_24m!CM$53)),Detalle_24m!CM$53,INDEX(Precio_V,12)*INDEX(IdxPrecio_V,1,MIN(10,CM$173)))*(1+V_dPrecio))</f>
        <v>0</v>
      </c>
      <c r="CN213" s="48" t="n">
        <f aca="false">IF(CN$8=1,IF(Reales!$C$49="PYG",IF(CN$10&gt;0,N(Reales!CN49)/CN$10,0),N(Reales!CN49)),CN$188*IF(AND(AND(87&gt;Corte,87&lt;=Corte+n_Ventana),ISNUMBER(Detalle_24m!CN$53)),Detalle_24m!CN$53,INDEX(Precio_V,12)*INDEX(IdxPrecio_V,1,MIN(10,CN$173)))*(1+V_dPrecio))</f>
        <v>0</v>
      </c>
      <c r="CO213" s="48" t="n">
        <f aca="false">IF(CO$8=1,IF(Reales!$C$49="PYG",IF(CO$10&gt;0,N(Reales!CO49)/CO$10,0),N(Reales!CO49)),CO$188*IF(AND(AND(88&gt;Corte,88&lt;=Corte+n_Ventana),ISNUMBER(Detalle_24m!CO$53)),Detalle_24m!CO$53,INDEX(Precio_V,12)*INDEX(IdxPrecio_V,1,MIN(10,CO$173)))*(1+V_dPrecio))</f>
        <v>0</v>
      </c>
      <c r="CP213" s="48" t="n">
        <f aca="false">IF(CP$8=1,IF(Reales!$C$49="PYG",IF(CP$10&gt;0,N(Reales!CP49)/CP$10,0),N(Reales!CP49)),CP$188*IF(AND(AND(89&gt;Corte,89&lt;=Corte+n_Ventana),ISNUMBER(Detalle_24m!CP$53)),Detalle_24m!CP$53,INDEX(Precio_V,12)*INDEX(IdxPrecio_V,1,MIN(10,CP$173)))*(1+V_dPrecio))</f>
        <v>0</v>
      </c>
      <c r="CQ213" s="48" t="n">
        <f aca="false">IF(CQ$8=1,IF(Reales!$C$49="PYG",IF(CQ$10&gt;0,N(Reales!CQ49)/CQ$10,0),N(Reales!CQ49)),CQ$188*IF(AND(AND(90&gt;Corte,90&lt;=Corte+n_Ventana),ISNUMBER(Detalle_24m!CQ$53)),Detalle_24m!CQ$53,INDEX(Precio_V,12)*INDEX(IdxPrecio_V,1,MIN(10,CQ$173)))*(1+V_dPrecio))</f>
        <v>0</v>
      </c>
      <c r="CR213" s="48" t="n">
        <f aca="false">IF(CR$8=1,IF(Reales!$C$49="PYG",IF(CR$10&gt;0,N(Reales!CR49)/CR$10,0),N(Reales!CR49)),CR$188*IF(AND(AND(91&gt;Corte,91&lt;=Corte+n_Ventana),ISNUMBER(Detalle_24m!CR$53)),Detalle_24m!CR$53,INDEX(Precio_V,12)*INDEX(IdxPrecio_V,1,MIN(10,CR$173)))*(1+V_dPrecio))</f>
        <v>0</v>
      </c>
      <c r="CS213" s="48" t="n">
        <f aca="false">IF(CS$8=1,IF(Reales!$C$49="PYG",IF(CS$10&gt;0,N(Reales!CS49)/CS$10,0),N(Reales!CS49)),CS$188*IF(AND(AND(92&gt;Corte,92&lt;=Corte+n_Ventana),ISNUMBER(Detalle_24m!CS$53)),Detalle_24m!CS$53,INDEX(Precio_V,12)*INDEX(IdxPrecio_V,1,MIN(10,CS$173)))*(1+V_dPrecio))</f>
        <v>0</v>
      </c>
      <c r="CT213" s="48" t="n">
        <f aca="false">IF(CT$8=1,IF(Reales!$C$49="PYG",IF(CT$10&gt;0,N(Reales!CT49)/CT$10,0),N(Reales!CT49)),CT$188*IF(AND(AND(93&gt;Corte,93&lt;=Corte+n_Ventana),ISNUMBER(Detalle_24m!CT$53)),Detalle_24m!CT$53,INDEX(Precio_V,12)*INDEX(IdxPrecio_V,1,MIN(10,CT$173)))*(1+V_dPrecio))</f>
        <v>0</v>
      </c>
      <c r="CU213" s="48" t="n">
        <f aca="false">IF(CU$8=1,IF(Reales!$C$49="PYG",IF(CU$10&gt;0,N(Reales!CU49)/CU$10,0),N(Reales!CU49)),CU$188*IF(AND(AND(94&gt;Corte,94&lt;=Corte+n_Ventana),ISNUMBER(Detalle_24m!CU$53)),Detalle_24m!CU$53,INDEX(Precio_V,12)*INDEX(IdxPrecio_V,1,MIN(10,CU$173)))*(1+V_dPrecio))</f>
        <v>0</v>
      </c>
      <c r="CV213" s="48" t="n">
        <f aca="false">IF(CV$8=1,IF(Reales!$C$49="PYG",IF(CV$10&gt;0,N(Reales!CV49)/CV$10,0),N(Reales!CV49)),CV$188*IF(AND(AND(95&gt;Corte,95&lt;=Corte+n_Ventana),ISNUMBER(Detalle_24m!CV$53)),Detalle_24m!CV$53,INDEX(Precio_V,12)*INDEX(IdxPrecio_V,1,MIN(10,CV$173)))*(1+V_dPrecio))</f>
        <v>0</v>
      </c>
      <c r="CW213" s="48" t="n">
        <f aca="false">IF(CW$8=1,IF(Reales!$C$49="PYG",IF(CW$10&gt;0,N(Reales!CW49)/CW$10,0),N(Reales!CW49)),CW$188*IF(AND(AND(96&gt;Corte,96&lt;=Corte+n_Ventana),ISNUMBER(Detalle_24m!CW$53)),Detalle_24m!CW$53,INDEX(Precio_V,12)*INDEX(IdxPrecio_V,1,MIN(10,CW$173)))*(1+V_dPrecio))</f>
        <v>0</v>
      </c>
      <c r="CX213" s="48" t="n">
        <f aca="false">IF(CX$8=1,IF(Reales!$C$49="PYG",IF(CX$10&gt;0,N(Reales!CX49)/CX$10,0),N(Reales!CX49)),CX$188*IF(AND(AND(97&gt;Corte,97&lt;=Corte+n_Ventana),ISNUMBER(Detalle_24m!CX$53)),Detalle_24m!CX$53,INDEX(Precio_V,12)*INDEX(IdxPrecio_V,1,MIN(10,CX$173)))*(1+V_dPrecio))</f>
        <v>0</v>
      </c>
      <c r="CY213" s="48" t="n">
        <f aca="false">IF(CY$8=1,IF(Reales!$C$49="PYG",IF(CY$10&gt;0,N(Reales!CY49)/CY$10,0),N(Reales!CY49)),CY$188*IF(AND(AND(98&gt;Corte,98&lt;=Corte+n_Ventana),ISNUMBER(Detalle_24m!CY$53)),Detalle_24m!CY$53,INDEX(Precio_V,12)*INDEX(IdxPrecio_V,1,MIN(10,CY$173)))*(1+V_dPrecio))</f>
        <v>0</v>
      </c>
      <c r="CZ213" s="48" t="n">
        <f aca="false">IF(CZ$8=1,IF(Reales!$C$49="PYG",IF(CZ$10&gt;0,N(Reales!CZ49)/CZ$10,0),N(Reales!CZ49)),CZ$188*IF(AND(AND(99&gt;Corte,99&lt;=Corte+n_Ventana),ISNUMBER(Detalle_24m!CZ$53)),Detalle_24m!CZ$53,INDEX(Precio_V,12)*INDEX(IdxPrecio_V,1,MIN(10,CZ$173)))*(1+V_dPrecio))</f>
        <v>0</v>
      </c>
      <c r="DA213" s="48" t="n">
        <f aca="false">IF(DA$8=1,IF(Reales!$C$49="PYG",IF(DA$10&gt;0,N(Reales!DA49)/DA$10,0),N(Reales!DA49)),DA$188*IF(AND(AND(100&gt;Corte,100&lt;=Corte+n_Ventana),ISNUMBER(Detalle_24m!DA$53)),Detalle_24m!DA$53,INDEX(Precio_V,12)*INDEX(IdxPrecio_V,1,MIN(10,DA$173)))*(1+V_dPrecio))</f>
        <v>0</v>
      </c>
      <c r="DB213" s="48" t="n">
        <f aca="false">IF(DB$8=1,IF(Reales!$C$49="PYG",IF(DB$10&gt;0,N(Reales!DB49)/DB$10,0),N(Reales!DB49)),DB$188*IF(AND(AND(101&gt;Corte,101&lt;=Corte+n_Ventana),ISNUMBER(Detalle_24m!DB$53)),Detalle_24m!DB$53,INDEX(Precio_V,12)*INDEX(IdxPrecio_V,1,MIN(10,DB$173)))*(1+V_dPrecio))</f>
        <v>0</v>
      </c>
      <c r="DC213" s="48" t="n">
        <f aca="false">IF(DC$8=1,IF(Reales!$C$49="PYG",IF(DC$10&gt;0,N(Reales!DC49)/DC$10,0),N(Reales!DC49)),DC$188*IF(AND(AND(102&gt;Corte,102&lt;=Corte+n_Ventana),ISNUMBER(Detalle_24m!DC$53)),Detalle_24m!DC$53,INDEX(Precio_V,12)*INDEX(IdxPrecio_V,1,MIN(10,DC$173)))*(1+V_dPrecio))</f>
        <v>0</v>
      </c>
      <c r="DD213" s="48" t="n">
        <f aca="false">IF(DD$8=1,IF(Reales!$C$49="PYG",IF(DD$10&gt;0,N(Reales!DD49)/DD$10,0),N(Reales!DD49)),DD$188*IF(AND(AND(103&gt;Corte,103&lt;=Corte+n_Ventana),ISNUMBER(Detalle_24m!DD$53)),Detalle_24m!DD$53,INDEX(Precio_V,12)*INDEX(IdxPrecio_V,1,MIN(10,DD$173)))*(1+V_dPrecio))</f>
        <v>0</v>
      </c>
      <c r="DE213" s="48" t="n">
        <f aca="false">IF(DE$8=1,IF(Reales!$C$49="PYG",IF(DE$10&gt;0,N(Reales!DE49)/DE$10,0),N(Reales!DE49)),DE$188*IF(AND(AND(104&gt;Corte,104&lt;=Corte+n_Ventana),ISNUMBER(Detalle_24m!DE$53)),Detalle_24m!DE$53,INDEX(Precio_V,12)*INDEX(IdxPrecio_V,1,MIN(10,DE$173)))*(1+V_dPrecio))</f>
        <v>0</v>
      </c>
      <c r="DF213" s="48" t="n">
        <f aca="false">IF(DF$8=1,IF(Reales!$C$49="PYG",IF(DF$10&gt;0,N(Reales!DF49)/DF$10,0),N(Reales!DF49)),DF$188*IF(AND(AND(105&gt;Corte,105&lt;=Corte+n_Ventana),ISNUMBER(Detalle_24m!DF$53)),Detalle_24m!DF$53,INDEX(Precio_V,12)*INDEX(IdxPrecio_V,1,MIN(10,DF$173)))*(1+V_dPrecio))</f>
        <v>0</v>
      </c>
      <c r="DG213" s="48" t="n">
        <f aca="false">IF(DG$8=1,IF(Reales!$C$49="PYG",IF(DG$10&gt;0,N(Reales!DG49)/DG$10,0),N(Reales!DG49)),DG$188*IF(AND(AND(106&gt;Corte,106&lt;=Corte+n_Ventana),ISNUMBER(Detalle_24m!DG$53)),Detalle_24m!DG$53,INDEX(Precio_V,12)*INDEX(IdxPrecio_V,1,MIN(10,DG$173)))*(1+V_dPrecio))</f>
        <v>0</v>
      </c>
      <c r="DH213" s="48" t="n">
        <f aca="false">IF(DH$8=1,IF(Reales!$C$49="PYG",IF(DH$10&gt;0,N(Reales!DH49)/DH$10,0),N(Reales!DH49)),DH$188*IF(AND(AND(107&gt;Corte,107&lt;=Corte+n_Ventana),ISNUMBER(Detalle_24m!DH$53)),Detalle_24m!DH$53,INDEX(Precio_V,12)*INDEX(IdxPrecio_V,1,MIN(10,DH$173)))*(1+V_dPrecio))</f>
        <v>0</v>
      </c>
      <c r="DI213" s="48" t="n">
        <f aca="false">IF(DI$8=1,IF(Reales!$C$49="PYG",IF(DI$10&gt;0,N(Reales!DI49)/DI$10,0),N(Reales!DI49)),DI$188*IF(AND(AND(108&gt;Corte,108&lt;=Corte+n_Ventana),ISNUMBER(Detalle_24m!DI$53)),Detalle_24m!DI$53,INDEX(Precio_V,12)*INDEX(IdxPrecio_V,1,MIN(10,DI$173)))*(1+V_dPrecio))</f>
        <v>0</v>
      </c>
      <c r="DJ213" s="48" t="n">
        <f aca="false">IF(DJ$8=1,IF(Reales!$C$49="PYG",IF(DJ$10&gt;0,N(Reales!DJ49)/DJ$10,0),N(Reales!DJ49)),DJ$188*IF(AND(AND(109&gt;Corte,109&lt;=Corte+n_Ventana),ISNUMBER(Detalle_24m!DJ$53)),Detalle_24m!DJ$53,INDEX(Precio_V,12)*INDEX(IdxPrecio_V,1,MIN(10,DJ$173)))*(1+V_dPrecio))</f>
        <v>0</v>
      </c>
      <c r="DK213" s="48" t="n">
        <f aca="false">IF(DK$8=1,IF(Reales!$C$49="PYG",IF(DK$10&gt;0,N(Reales!DK49)/DK$10,0),N(Reales!DK49)),DK$188*IF(AND(AND(110&gt;Corte,110&lt;=Corte+n_Ventana),ISNUMBER(Detalle_24m!DK$53)),Detalle_24m!DK$53,INDEX(Precio_V,12)*INDEX(IdxPrecio_V,1,MIN(10,DK$173)))*(1+V_dPrecio))</f>
        <v>0</v>
      </c>
      <c r="DL213" s="48" t="n">
        <f aca="false">IF(DL$8=1,IF(Reales!$C$49="PYG",IF(DL$10&gt;0,N(Reales!DL49)/DL$10,0),N(Reales!DL49)),DL$188*IF(AND(AND(111&gt;Corte,111&lt;=Corte+n_Ventana),ISNUMBER(Detalle_24m!DL$53)),Detalle_24m!DL$53,INDEX(Precio_V,12)*INDEX(IdxPrecio_V,1,MIN(10,DL$173)))*(1+V_dPrecio))</f>
        <v>0</v>
      </c>
      <c r="DM213" s="48" t="n">
        <f aca="false">IF(DM$8=1,IF(Reales!$C$49="PYG",IF(DM$10&gt;0,N(Reales!DM49)/DM$10,0),N(Reales!DM49)),DM$188*IF(AND(AND(112&gt;Corte,112&lt;=Corte+n_Ventana),ISNUMBER(Detalle_24m!DM$53)),Detalle_24m!DM$53,INDEX(Precio_V,12)*INDEX(IdxPrecio_V,1,MIN(10,DM$173)))*(1+V_dPrecio))</f>
        <v>0</v>
      </c>
      <c r="DN213" s="48" t="n">
        <f aca="false">IF(DN$8=1,IF(Reales!$C$49="PYG",IF(DN$10&gt;0,N(Reales!DN49)/DN$10,0),N(Reales!DN49)),DN$188*IF(AND(AND(113&gt;Corte,113&lt;=Corte+n_Ventana),ISNUMBER(Detalle_24m!DN$53)),Detalle_24m!DN$53,INDEX(Precio_V,12)*INDEX(IdxPrecio_V,1,MIN(10,DN$173)))*(1+V_dPrecio))</f>
        <v>0</v>
      </c>
      <c r="DO213" s="48" t="n">
        <f aca="false">IF(DO$8=1,IF(Reales!$C$49="PYG",IF(DO$10&gt;0,N(Reales!DO49)/DO$10,0),N(Reales!DO49)),DO$188*IF(AND(AND(114&gt;Corte,114&lt;=Corte+n_Ventana),ISNUMBER(Detalle_24m!DO$53)),Detalle_24m!DO$53,INDEX(Precio_V,12)*INDEX(IdxPrecio_V,1,MIN(10,DO$173)))*(1+V_dPrecio))</f>
        <v>0</v>
      </c>
      <c r="DP213" s="48" t="n">
        <f aca="false">IF(DP$8=1,IF(Reales!$C$49="PYG",IF(DP$10&gt;0,N(Reales!DP49)/DP$10,0),N(Reales!DP49)),DP$188*IF(AND(AND(115&gt;Corte,115&lt;=Corte+n_Ventana),ISNUMBER(Detalle_24m!DP$53)),Detalle_24m!DP$53,INDEX(Precio_V,12)*INDEX(IdxPrecio_V,1,MIN(10,DP$173)))*(1+V_dPrecio))</f>
        <v>0</v>
      </c>
      <c r="DQ213" s="48" t="n">
        <f aca="false">IF(DQ$8=1,IF(Reales!$C$49="PYG",IF(DQ$10&gt;0,N(Reales!DQ49)/DQ$10,0),N(Reales!DQ49)),DQ$188*IF(AND(AND(116&gt;Corte,116&lt;=Corte+n_Ventana),ISNUMBER(Detalle_24m!DQ$53)),Detalle_24m!DQ$53,INDEX(Precio_V,12)*INDEX(IdxPrecio_V,1,MIN(10,DQ$173)))*(1+V_dPrecio))</f>
        <v>0</v>
      </c>
      <c r="DR213" s="48" t="n">
        <f aca="false">IF(DR$8=1,IF(Reales!$C$49="PYG",IF(DR$10&gt;0,N(Reales!DR49)/DR$10,0),N(Reales!DR49)),DR$188*IF(AND(AND(117&gt;Corte,117&lt;=Corte+n_Ventana),ISNUMBER(Detalle_24m!DR$53)),Detalle_24m!DR$53,INDEX(Precio_V,12)*INDEX(IdxPrecio_V,1,MIN(10,DR$173)))*(1+V_dPrecio))</f>
        <v>0</v>
      </c>
      <c r="DS213" s="48" t="n">
        <f aca="false">IF(DS$8=1,IF(Reales!$C$49="PYG",IF(DS$10&gt;0,N(Reales!DS49)/DS$10,0),N(Reales!DS49)),DS$188*IF(AND(AND(118&gt;Corte,118&lt;=Corte+n_Ventana),ISNUMBER(Detalle_24m!DS$53)),Detalle_24m!DS$53,INDEX(Precio_V,12)*INDEX(IdxPrecio_V,1,MIN(10,DS$173)))*(1+V_dPrecio))</f>
        <v>0</v>
      </c>
      <c r="DT213" s="48" t="n">
        <f aca="false">IF(DT$8=1,IF(Reales!$C$49="PYG",IF(DT$10&gt;0,N(Reales!DT49)/DT$10,0),N(Reales!DT49)),DT$188*IF(AND(AND(119&gt;Corte,119&lt;=Corte+n_Ventana),ISNUMBER(Detalle_24m!DT$53)),Detalle_24m!DT$53,INDEX(Precio_V,12)*INDEX(IdxPrecio_V,1,MIN(10,DT$173)))*(1+V_dPrecio))</f>
        <v>0</v>
      </c>
      <c r="DU213" s="48" t="n">
        <f aca="false">IF(DU$8=1,IF(Reales!$C$49="PYG",IF(DU$10&gt;0,N(Reales!DU49)/DU$10,0),N(Reales!DU49)),DU$188*IF(AND(AND(120&gt;Corte,120&lt;=Corte+n_Ventana),ISNUMBER(Detalle_24m!DU$53)),Detalle_24m!DU$53,INDEX(Precio_V,12)*INDEX(IdxPrecio_V,1,MIN(10,DU$173)))*(1+V_dPrecio))</f>
        <v>0</v>
      </c>
      <c r="DV213" s="48" t="n">
        <f aca="false">IF(DV$8=1,IF(Reales!$C$49="PYG",IF(DV$10&gt;0,N(Reales!DV49)/DV$10,0),N(Reales!DV49)),DV$188*IF(AND(AND(121&gt;Corte,121&lt;=Corte+n_Ventana),ISNUMBER(Detalle_24m!DV$53)),Detalle_24m!DV$53,INDEX(Precio_V,12)*INDEX(IdxPrecio_V,1,MIN(10,DV$173)))*(1+V_dPrecio))</f>
        <v>0</v>
      </c>
      <c r="DW213" s="48" t="n">
        <f aca="false">IF(DW$8=1,IF(Reales!$C$49="PYG",IF(DW$10&gt;0,N(Reales!DW49)/DW$10,0),N(Reales!DW49)),DW$188*IF(AND(AND(122&gt;Corte,122&lt;=Corte+n_Ventana),ISNUMBER(Detalle_24m!DW$53)),Detalle_24m!DW$53,INDEX(Precio_V,12)*INDEX(IdxPrecio_V,1,MIN(10,DW$173)))*(1+V_dPrecio))</f>
        <v>0</v>
      </c>
      <c r="DX213" s="48" t="n">
        <f aca="false">IF(DX$8=1,IF(Reales!$C$49="PYG",IF(DX$10&gt;0,N(Reales!DX49)/DX$10,0),N(Reales!DX49)),DX$188*IF(AND(AND(123&gt;Corte,123&lt;=Corte+n_Ventana),ISNUMBER(Detalle_24m!DX$53)),Detalle_24m!DX$53,INDEX(Precio_V,12)*INDEX(IdxPrecio_V,1,MIN(10,DX$173)))*(1+V_dPrecio))</f>
        <v>0</v>
      </c>
      <c r="DY213" s="48" t="n">
        <f aca="false">IF(DY$8=1,IF(Reales!$C$49="PYG",IF(DY$10&gt;0,N(Reales!DY49)/DY$10,0),N(Reales!DY49)),DY$188*IF(AND(AND(124&gt;Corte,124&lt;=Corte+n_Ventana),ISNUMBER(Detalle_24m!DY$53)),Detalle_24m!DY$53,INDEX(Precio_V,12)*INDEX(IdxPrecio_V,1,MIN(10,DY$173)))*(1+V_dPrecio))</f>
        <v>0</v>
      </c>
      <c r="DZ213" s="48" t="n">
        <f aca="false">IF(DZ$8=1,IF(Reales!$C$49="PYG",IF(DZ$10&gt;0,N(Reales!DZ49)/DZ$10,0),N(Reales!DZ49)),DZ$188*IF(AND(AND(125&gt;Corte,125&lt;=Corte+n_Ventana),ISNUMBER(Detalle_24m!DZ$53)),Detalle_24m!DZ$53,INDEX(Precio_V,12)*INDEX(IdxPrecio_V,1,MIN(10,DZ$173)))*(1+V_dPrecio))</f>
        <v>0</v>
      </c>
      <c r="EA213" s="48" t="n">
        <f aca="false">IF(EA$8=1,IF(Reales!$C$49="PYG",IF(EA$10&gt;0,N(Reales!EA49)/EA$10,0),N(Reales!EA49)),EA$188*IF(AND(AND(126&gt;Corte,126&lt;=Corte+n_Ventana),ISNUMBER(Detalle_24m!EA$53)),Detalle_24m!EA$53,INDEX(Precio_V,12)*INDEX(IdxPrecio_V,1,MIN(10,EA$173)))*(1+V_dPrecio))</f>
        <v>0</v>
      </c>
      <c r="EB213" s="48" t="n">
        <f aca="false">IF(EB$8=1,IF(Reales!$C$49="PYG",IF(EB$10&gt;0,N(Reales!EB49)/EB$10,0),N(Reales!EB49)),EB$188*IF(AND(AND(127&gt;Corte,127&lt;=Corte+n_Ventana),ISNUMBER(Detalle_24m!EB$53)),Detalle_24m!EB$53,INDEX(Precio_V,12)*INDEX(IdxPrecio_V,1,MIN(10,EB$173)))*(1+V_dPrecio))</f>
        <v>0</v>
      </c>
      <c r="EC213" s="48" t="n">
        <f aca="false">IF(EC$8=1,IF(Reales!$C$49="PYG",IF(EC$10&gt;0,N(Reales!EC49)/EC$10,0),N(Reales!EC49)),EC$188*IF(AND(AND(128&gt;Corte,128&lt;=Corte+n_Ventana),ISNUMBER(Detalle_24m!EC$53)),Detalle_24m!EC$53,INDEX(Precio_V,12)*INDEX(IdxPrecio_V,1,MIN(10,EC$173)))*(1+V_dPrecio))</f>
        <v>0</v>
      </c>
      <c r="ED213" s="48" t="n">
        <f aca="false">IF(ED$8=1,IF(Reales!$C$49="PYG",IF(ED$10&gt;0,N(Reales!ED49)/ED$10,0),N(Reales!ED49)),ED$188*IF(AND(AND(129&gt;Corte,129&lt;=Corte+n_Ventana),ISNUMBER(Detalle_24m!ED$53)),Detalle_24m!ED$53,INDEX(Precio_V,12)*INDEX(IdxPrecio_V,1,MIN(10,ED$173)))*(1+V_dPrecio))</f>
        <v>0</v>
      </c>
      <c r="EE213" s="48" t="n">
        <f aca="false">IF(EE$8=1,IF(Reales!$C$49="PYG",IF(EE$10&gt;0,N(Reales!EE49)/EE$10,0),N(Reales!EE49)),EE$188*IF(AND(AND(130&gt;Corte,130&lt;=Corte+n_Ventana),ISNUMBER(Detalle_24m!EE$53)),Detalle_24m!EE$53,INDEX(Precio_V,12)*INDEX(IdxPrecio_V,1,MIN(10,EE$173)))*(1+V_dPrecio))</f>
        <v>0</v>
      </c>
      <c r="EF213" s="48" t="n">
        <f aca="false">IF(EF$8=1,IF(Reales!$C$49="PYG",IF(EF$10&gt;0,N(Reales!EF49)/EF$10,0),N(Reales!EF49)),EF$188*IF(AND(AND(131&gt;Corte,131&lt;=Corte+n_Ventana),ISNUMBER(Detalle_24m!EF$53)),Detalle_24m!EF$53,INDEX(Precio_V,12)*INDEX(IdxPrecio_V,1,MIN(10,EF$173)))*(1+V_dPrecio))</f>
        <v>0</v>
      </c>
      <c r="EG213" s="48" t="n">
        <f aca="false">IF(EG$8=1,IF(Reales!$C$49="PYG",IF(EG$10&gt;0,N(Reales!EG49)/EG$10,0),N(Reales!EG49)),EG$188*IF(AND(AND(132&gt;Corte,132&lt;=Corte+n_Ventana),ISNUMBER(Detalle_24m!EG$53)),Detalle_24m!EG$53,INDEX(Precio_V,12)*INDEX(IdxPrecio_V,1,MIN(10,EG$173)))*(1+V_dPrecio))</f>
        <v>0</v>
      </c>
      <c r="EH213" s="48" t="n">
        <f aca="false">IF(EH$8=1,IF(Reales!$C$49="PYG",IF(EH$10&gt;0,N(Reales!EH49)/EH$10,0),N(Reales!EH49)),EH$188*IF(AND(AND(133&gt;Corte,133&lt;=Corte+n_Ventana),ISNUMBER(Detalle_24m!EH$53)),Detalle_24m!EH$53,INDEX(Precio_V,12)*INDEX(IdxPrecio_V,1,MIN(10,EH$173)))*(1+V_dPrecio))</f>
        <v>0</v>
      </c>
      <c r="EI213" s="48" t="n">
        <f aca="false">IF(EI$8=1,IF(Reales!$C$49="PYG",IF(EI$10&gt;0,N(Reales!EI49)/EI$10,0),N(Reales!EI49)),EI$188*IF(AND(AND(134&gt;Corte,134&lt;=Corte+n_Ventana),ISNUMBER(Detalle_24m!EI$53)),Detalle_24m!EI$53,INDEX(Precio_V,12)*INDEX(IdxPrecio_V,1,MIN(10,EI$173)))*(1+V_dPrecio))</f>
        <v>0</v>
      </c>
      <c r="EJ213" s="48" t="n">
        <f aca="false">IF(EJ$8=1,IF(Reales!$C$49="PYG",IF(EJ$10&gt;0,N(Reales!EJ49)/EJ$10,0),N(Reales!EJ49)),EJ$188*IF(AND(AND(135&gt;Corte,135&lt;=Corte+n_Ventana),ISNUMBER(Detalle_24m!EJ$53)),Detalle_24m!EJ$53,INDEX(Precio_V,12)*INDEX(IdxPrecio_V,1,MIN(10,EJ$173)))*(1+V_dPrecio))</f>
        <v>0</v>
      </c>
      <c r="EK213" s="48" t="n">
        <f aca="false">IF(EK$8=1,IF(Reales!$C$49="PYG",IF(EK$10&gt;0,N(Reales!EK49)/EK$10,0),N(Reales!EK49)),EK$188*IF(AND(AND(136&gt;Corte,136&lt;=Corte+n_Ventana),ISNUMBER(Detalle_24m!EK$53)),Detalle_24m!EK$53,INDEX(Precio_V,12)*INDEX(IdxPrecio_V,1,MIN(10,EK$173)))*(1+V_dPrecio))</f>
        <v>0</v>
      </c>
      <c r="EL213" s="48" t="n">
        <f aca="false">IF(EL$8=1,IF(Reales!$C$49="PYG",IF(EL$10&gt;0,N(Reales!EL49)/EL$10,0),N(Reales!EL49)),EL$188*IF(AND(AND(137&gt;Corte,137&lt;=Corte+n_Ventana),ISNUMBER(Detalle_24m!EL$53)),Detalle_24m!EL$53,INDEX(Precio_V,12)*INDEX(IdxPrecio_V,1,MIN(10,EL$173)))*(1+V_dPrecio))</f>
        <v>0</v>
      </c>
      <c r="EM213" s="48" t="n">
        <f aca="false">IF(EM$8=1,IF(Reales!$C$49="PYG",IF(EM$10&gt;0,N(Reales!EM49)/EM$10,0),N(Reales!EM49)),EM$188*IF(AND(AND(138&gt;Corte,138&lt;=Corte+n_Ventana),ISNUMBER(Detalle_24m!EM$53)),Detalle_24m!EM$53,INDEX(Precio_V,12)*INDEX(IdxPrecio_V,1,MIN(10,EM$173)))*(1+V_dPrecio))</f>
        <v>0</v>
      </c>
      <c r="EN213" s="48" t="n">
        <f aca="false">IF(EN$8=1,IF(Reales!$C$49="PYG",IF(EN$10&gt;0,N(Reales!EN49)/EN$10,0),N(Reales!EN49)),EN$188*IF(AND(AND(139&gt;Corte,139&lt;=Corte+n_Ventana),ISNUMBER(Detalle_24m!EN$53)),Detalle_24m!EN$53,INDEX(Precio_V,12)*INDEX(IdxPrecio_V,1,MIN(10,EN$173)))*(1+V_dPrecio))</f>
        <v>0</v>
      </c>
      <c r="EO213" s="48" t="n">
        <f aca="false">IF(EO$8=1,IF(Reales!$C$49="PYG",IF(EO$10&gt;0,N(Reales!EO49)/EO$10,0),N(Reales!EO49)),EO$188*IF(AND(AND(140&gt;Corte,140&lt;=Corte+n_Ventana),ISNUMBER(Detalle_24m!EO$53)),Detalle_24m!EO$53,INDEX(Precio_V,12)*INDEX(IdxPrecio_V,1,MIN(10,EO$173)))*(1+V_dPrecio))</f>
        <v>0</v>
      </c>
      <c r="EP213" s="48" t="n">
        <f aca="false">IF(EP$8=1,IF(Reales!$C$49="PYG",IF(EP$10&gt;0,N(Reales!EP49)/EP$10,0),N(Reales!EP49)),EP$188*IF(AND(AND(141&gt;Corte,141&lt;=Corte+n_Ventana),ISNUMBER(Detalle_24m!EP$53)),Detalle_24m!EP$53,INDEX(Precio_V,12)*INDEX(IdxPrecio_V,1,MIN(10,EP$173)))*(1+V_dPrecio))</f>
        <v>0</v>
      </c>
      <c r="EQ213" s="48" t="n">
        <f aca="false">IF(EQ$8=1,IF(Reales!$C$49="PYG",IF(EQ$10&gt;0,N(Reales!EQ49)/EQ$10,0),N(Reales!EQ49)),EQ$188*IF(AND(AND(142&gt;Corte,142&lt;=Corte+n_Ventana),ISNUMBER(Detalle_24m!EQ$53)),Detalle_24m!EQ$53,INDEX(Precio_V,12)*INDEX(IdxPrecio_V,1,MIN(10,EQ$173)))*(1+V_dPrecio))</f>
        <v>0</v>
      </c>
      <c r="ER213" s="48" t="n">
        <f aca="false">IF(ER$8=1,IF(Reales!$C$49="PYG",IF(ER$10&gt;0,N(Reales!ER49)/ER$10,0),N(Reales!ER49)),ER$188*IF(AND(AND(143&gt;Corte,143&lt;=Corte+n_Ventana),ISNUMBER(Detalle_24m!ER$53)),Detalle_24m!ER$53,INDEX(Precio_V,12)*INDEX(IdxPrecio_V,1,MIN(10,ER$173)))*(1+V_dPrecio))</f>
        <v>0</v>
      </c>
      <c r="ES213" s="48" t="n">
        <f aca="false">IF(ES$8=1,IF(Reales!$C$49="PYG",IF(ES$10&gt;0,N(Reales!ES49)/ES$10,0),N(Reales!ES49)),ES$188*IF(AND(AND(144&gt;Corte,144&lt;=Corte+n_Ventana),ISNUMBER(Detalle_24m!ES$53)),Detalle_24m!ES$53,INDEX(Precio_V,12)*INDEX(IdxPrecio_V,1,MIN(10,ES$173)))*(1+V_dPrecio))</f>
        <v>0</v>
      </c>
    </row>
    <row r="214" customFormat="false" ht="15" hidden="false" customHeight="false" outlineLevel="0" collapsed="false">
      <c r="A214" s="11" t="s">
        <v>1337</v>
      </c>
      <c r="B214" s="53" t="str">
        <f aca="false">IF(INDEX(Prod_Nombre,13)="","Producto 13",INDEX(Prod_Nombre,13))&amp;" — ventas USD"</f>
        <v>Producto 13 — ventas USD</v>
      </c>
      <c r="C214" s="15" t="s">
        <v>508</v>
      </c>
      <c r="E214" s="54" t="n">
        <f aca="false">SUM(F214:ES214)</f>
        <v>0</v>
      </c>
      <c r="F214" s="48" t="n">
        <f aca="false">IF(F$8=1,IF(Reales!$C$50="PYG",IF(F$10&gt;0,N(Reales!F50)/F$10,0),N(Reales!F50)),F$189*IF(AND(AND(1&gt;Corte,1&lt;=Corte+n_Ventana),ISNUMBER(Detalle_24m!F$54)),Detalle_24m!F$54,INDEX(Precio_V,13)*INDEX(IdxPrecio_V,1,MIN(10,F$173)))*(1+V_dPrecio))</f>
        <v>0</v>
      </c>
      <c r="G214" s="48" t="n">
        <f aca="false">IF(G$8=1,IF(Reales!$C$50="PYG",IF(G$10&gt;0,N(Reales!G50)/G$10,0),N(Reales!G50)),G$189*IF(AND(AND(2&gt;Corte,2&lt;=Corte+n_Ventana),ISNUMBER(Detalle_24m!G$54)),Detalle_24m!G$54,INDEX(Precio_V,13)*INDEX(IdxPrecio_V,1,MIN(10,G$173)))*(1+V_dPrecio))</f>
        <v>0</v>
      </c>
      <c r="H214" s="48" t="n">
        <f aca="false">IF(H$8=1,IF(Reales!$C$50="PYG",IF(H$10&gt;0,N(Reales!H50)/H$10,0),N(Reales!H50)),H$189*IF(AND(AND(3&gt;Corte,3&lt;=Corte+n_Ventana),ISNUMBER(Detalle_24m!H$54)),Detalle_24m!H$54,INDEX(Precio_V,13)*INDEX(IdxPrecio_V,1,MIN(10,H$173)))*(1+V_dPrecio))</f>
        <v>0</v>
      </c>
      <c r="I214" s="48" t="n">
        <f aca="false">IF(I$8=1,IF(Reales!$C$50="PYG",IF(I$10&gt;0,N(Reales!I50)/I$10,0),N(Reales!I50)),I$189*IF(AND(AND(4&gt;Corte,4&lt;=Corte+n_Ventana),ISNUMBER(Detalle_24m!I$54)),Detalle_24m!I$54,INDEX(Precio_V,13)*INDEX(IdxPrecio_V,1,MIN(10,I$173)))*(1+V_dPrecio))</f>
        <v>0</v>
      </c>
      <c r="J214" s="48" t="n">
        <f aca="false">IF(J$8=1,IF(Reales!$C$50="PYG",IF(J$10&gt;0,N(Reales!J50)/J$10,0),N(Reales!J50)),J$189*IF(AND(AND(5&gt;Corte,5&lt;=Corte+n_Ventana),ISNUMBER(Detalle_24m!J$54)),Detalle_24m!J$54,INDEX(Precio_V,13)*INDEX(IdxPrecio_V,1,MIN(10,J$173)))*(1+V_dPrecio))</f>
        <v>0</v>
      </c>
      <c r="K214" s="48" t="n">
        <f aca="false">IF(K$8=1,IF(Reales!$C$50="PYG",IF(K$10&gt;0,N(Reales!K50)/K$10,0),N(Reales!K50)),K$189*IF(AND(AND(6&gt;Corte,6&lt;=Corte+n_Ventana),ISNUMBER(Detalle_24m!K$54)),Detalle_24m!K$54,INDEX(Precio_V,13)*INDEX(IdxPrecio_V,1,MIN(10,K$173)))*(1+V_dPrecio))</f>
        <v>0</v>
      </c>
      <c r="L214" s="48" t="n">
        <f aca="false">IF(L$8=1,IF(Reales!$C$50="PYG",IF(L$10&gt;0,N(Reales!L50)/L$10,0),N(Reales!L50)),L$189*IF(AND(AND(7&gt;Corte,7&lt;=Corte+n_Ventana),ISNUMBER(Detalle_24m!L$54)),Detalle_24m!L$54,INDEX(Precio_V,13)*INDEX(IdxPrecio_V,1,MIN(10,L$173)))*(1+V_dPrecio))</f>
        <v>0</v>
      </c>
      <c r="M214" s="48" t="n">
        <f aca="false">IF(M$8=1,IF(Reales!$C$50="PYG",IF(M$10&gt;0,N(Reales!M50)/M$10,0),N(Reales!M50)),M$189*IF(AND(AND(8&gt;Corte,8&lt;=Corte+n_Ventana),ISNUMBER(Detalle_24m!M$54)),Detalle_24m!M$54,INDEX(Precio_V,13)*INDEX(IdxPrecio_V,1,MIN(10,M$173)))*(1+V_dPrecio))</f>
        <v>0</v>
      </c>
      <c r="N214" s="48" t="n">
        <f aca="false">IF(N$8=1,IF(Reales!$C$50="PYG",IF(N$10&gt;0,N(Reales!N50)/N$10,0),N(Reales!N50)),N$189*IF(AND(AND(9&gt;Corte,9&lt;=Corte+n_Ventana),ISNUMBER(Detalle_24m!N$54)),Detalle_24m!N$54,INDEX(Precio_V,13)*INDEX(IdxPrecio_V,1,MIN(10,N$173)))*(1+V_dPrecio))</f>
        <v>0</v>
      </c>
      <c r="O214" s="48" t="n">
        <f aca="false">IF(O$8=1,IF(Reales!$C$50="PYG",IF(O$10&gt;0,N(Reales!O50)/O$10,0),N(Reales!O50)),O$189*IF(AND(AND(10&gt;Corte,10&lt;=Corte+n_Ventana),ISNUMBER(Detalle_24m!O$54)),Detalle_24m!O$54,INDEX(Precio_V,13)*INDEX(IdxPrecio_V,1,MIN(10,O$173)))*(1+V_dPrecio))</f>
        <v>0</v>
      </c>
      <c r="P214" s="48" t="n">
        <f aca="false">IF(P$8=1,IF(Reales!$C$50="PYG",IF(P$10&gt;0,N(Reales!P50)/P$10,0),N(Reales!P50)),P$189*IF(AND(AND(11&gt;Corte,11&lt;=Corte+n_Ventana),ISNUMBER(Detalle_24m!P$54)),Detalle_24m!P$54,INDEX(Precio_V,13)*INDEX(IdxPrecio_V,1,MIN(10,P$173)))*(1+V_dPrecio))</f>
        <v>0</v>
      </c>
      <c r="Q214" s="48" t="n">
        <f aca="false">IF(Q$8=1,IF(Reales!$C$50="PYG",IF(Q$10&gt;0,N(Reales!Q50)/Q$10,0),N(Reales!Q50)),Q$189*IF(AND(AND(12&gt;Corte,12&lt;=Corte+n_Ventana),ISNUMBER(Detalle_24m!Q$54)),Detalle_24m!Q$54,INDEX(Precio_V,13)*INDEX(IdxPrecio_V,1,MIN(10,Q$173)))*(1+V_dPrecio))</f>
        <v>0</v>
      </c>
      <c r="R214" s="48" t="n">
        <f aca="false">IF(R$8=1,IF(Reales!$C$50="PYG",IF(R$10&gt;0,N(Reales!R50)/R$10,0),N(Reales!R50)),R$189*IF(AND(AND(13&gt;Corte,13&lt;=Corte+n_Ventana),ISNUMBER(Detalle_24m!R$54)),Detalle_24m!R$54,INDEX(Precio_V,13)*INDEX(IdxPrecio_V,1,MIN(10,R$173)))*(1+V_dPrecio))</f>
        <v>0</v>
      </c>
      <c r="S214" s="48" t="n">
        <f aca="false">IF(S$8=1,IF(Reales!$C$50="PYG",IF(S$10&gt;0,N(Reales!S50)/S$10,0),N(Reales!S50)),S$189*IF(AND(AND(14&gt;Corte,14&lt;=Corte+n_Ventana),ISNUMBER(Detalle_24m!S$54)),Detalle_24m!S$54,INDEX(Precio_V,13)*INDEX(IdxPrecio_V,1,MIN(10,S$173)))*(1+V_dPrecio))</f>
        <v>0</v>
      </c>
      <c r="T214" s="48" t="n">
        <f aca="false">IF(T$8=1,IF(Reales!$C$50="PYG",IF(T$10&gt;0,N(Reales!T50)/T$10,0),N(Reales!T50)),T$189*IF(AND(AND(15&gt;Corte,15&lt;=Corte+n_Ventana),ISNUMBER(Detalle_24m!T$54)),Detalle_24m!T$54,INDEX(Precio_V,13)*INDEX(IdxPrecio_V,1,MIN(10,T$173)))*(1+V_dPrecio))</f>
        <v>0</v>
      </c>
      <c r="U214" s="48" t="n">
        <f aca="false">IF(U$8=1,IF(Reales!$C$50="PYG",IF(U$10&gt;0,N(Reales!U50)/U$10,0),N(Reales!U50)),U$189*IF(AND(AND(16&gt;Corte,16&lt;=Corte+n_Ventana),ISNUMBER(Detalle_24m!U$54)),Detalle_24m!U$54,INDEX(Precio_V,13)*INDEX(IdxPrecio_V,1,MIN(10,U$173)))*(1+V_dPrecio))</f>
        <v>0</v>
      </c>
      <c r="V214" s="48" t="n">
        <f aca="false">IF(V$8=1,IF(Reales!$C$50="PYG",IF(V$10&gt;0,N(Reales!V50)/V$10,0),N(Reales!V50)),V$189*IF(AND(AND(17&gt;Corte,17&lt;=Corte+n_Ventana),ISNUMBER(Detalle_24m!V$54)),Detalle_24m!V$54,INDEX(Precio_V,13)*INDEX(IdxPrecio_V,1,MIN(10,V$173)))*(1+V_dPrecio))</f>
        <v>0</v>
      </c>
      <c r="W214" s="48" t="n">
        <f aca="false">IF(W$8=1,IF(Reales!$C$50="PYG",IF(W$10&gt;0,N(Reales!W50)/W$10,0),N(Reales!W50)),W$189*IF(AND(AND(18&gt;Corte,18&lt;=Corte+n_Ventana),ISNUMBER(Detalle_24m!W$54)),Detalle_24m!W$54,INDEX(Precio_V,13)*INDEX(IdxPrecio_V,1,MIN(10,W$173)))*(1+V_dPrecio))</f>
        <v>0</v>
      </c>
      <c r="X214" s="48" t="n">
        <f aca="false">IF(X$8=1,IF(Reales!$C$50="PYG",IF(X$10&gt;0,N(Reales!X50)/X$10,0),N(Reales!X50)),X$189*IF(AND(AND(19&gt;Corte,19&lt;=Corte+n_Ventana),ISNUMBER(Detalle_24m!X$54)),Detalle_24m!X$54,INDEX(Precio_V,13)*INDEX(IdxPrecio_V,1,MIN(10,X$173)))*(1+V_dPrecio))</f>
        <v>0</v>
      </c>
      <c r="Y214" s="48" t="n">
        <f aca="false">IF(Y$8=1,IF(Reales!$C$50="PYG",IF(Y$10&gt;0,N(Reales!Y50)/Y$10,0),N(Reales!Y50)),Y$189*IF(AND(AND(20&gt;Corte,20&lt;=Corte+n_Ventana),ISNUMBER(Detalle_24m!Y$54)),Detalle_24m!Y$54,INDEX(Precio_V,13)*INDEX(IdxPrecio_V,1,MIN(10,Y$173)))*(1+V_dPrecio))</f>
        <v>0</v>
      </c>
      <c r="Z214" s="48" t="n">
        <f aca="false">IF(Z$8=1,IF(Reales!$C$50="PYG",IF(Z$10&gt;0,N(Reales!Z50)/Z$10,0),N(Reales!Z50)),Z$189*IF(AND(AND(21&gt;Corte,21&lt;=Corte+n_Ventana),ISNUMBER(Detalle_24m!Z$54)),Detalle_24m!Z$54,INDEX(Precio_V,13)*INDEX(IdxPrecio_V,1,MIN(10,Z$173)))*(1+V_dPrecio))</f>
        <v>0</v>
      </c>
      <c r="AA214" s="48" t="n">
        <f aca="false">IF(AA$8=1,IF(Reales!$C$50="PYG",IF(AA$10&gt;0,N(Reales!AA50)/AA$10,0),N(Reales!AA50)),AA$189*IF(AND(AND(22&gt;Corte,22&lt;=Corte+n_Ventana),ISNUMBER(Detalle_24m!AA$54)),Detalle_24m!AA$54,INDEX(Precio_V,13)*INDEX(IdxPrecio_V,1,MIN(10,AA$173)))*(1+V_dPrecio))</f>
        <v>0</v>
      </c>
      <c r="AB214" s="48" t="n">
        <f aca="false">IF(AB$8=1,IF(Reales!$C$50="PYG",IF(AB$10&gt;0,N(Reales!AB50)/AB$10,0),N(Reales!AB50)),AB$189*IF(AND(AND(23&gt;Corte,23&lt;=Corte+n_Ventana),ISNUMBER(Detalle_24m!AB$54)),Detalle_24m!AB$54,INDEX(Precio_V,13)*INDEX(IdxPrecio_V,1,MIN(10,AB$173)))*(1+V_dPrecio))</f>
        <v>0</v>
      </c>
      <c r="AC214" s="48" t="n">
        <f aca="false">IF(AC$8=1,IF(Reales!$C$50="PYG",IF(AC$10&gt;0,N(Reales!AC50)/AC$10,0),N(Reales!AC50)),AC$189*IF(AND(AND(24&gt;Corte,24&lt;=Corte+n_Ventana),ISNUMBER(Detalle_24m!AC$54)),Detalle_24m!AC$54,INDEX(Precio_V,13)*INDEX(IdxPrecio_V,1,MIN(10,AC$173)))*(1+V_dPrecio))</f>
        <v>0</v>
      </c>
      <c r="AD214" s="48" t="n">
        <f aca="false">IF(AD$8=1,IF(Reales!$C$50="PYG",IF(AD$10&gt;0,N(Reales!AD50)/AD$10,0),N(Reales!AD50)),AD$189*IF(AND(AND(25&gt;Corte,25&lt;=Corte+n_Ventana),ISNUMBER(Detalle_24m!AD$54)),Detalle_24m!AD$54,INDEX(Precio_V,13)*INDEX(IdxPrecio_V,1,MIN(10,AD$173)))*(1+V_dPrecio))</f>
        <v>0</v>
      </c>
      <c r="AE214" s="48" t="n">
        <f aca="false">IF(AE$8=1,IF(Reales!$C$50="PYG",IF(AE$10&gt;0,N(Reales!AE50)/AE$10,0),N(Reales!AE50)),AE$189*IF(AND(AND(26&gt;Corte,26&lt;=Corte+n_Ventana),ISNUMBER(Detalle_24m!AE$54)),Detalle_24m!AE$54,INDEX(Precio_V,13)*INDEX(IdxPrecio_V,1,MIN(10,AE$173)))*(1+V_dPrecio))</f>
        <v>0</v>
      </c>
      <c r="AF214" s="48" t="n">
        <f aca="false">IF(AF$8=1,IF(Reales!$C$50="PYG",IF(AF$10&gt;0,N(Reales!AF50)/AF$10,0),N(Reales!AF50)),AF$189*IF(AND(AND(27&gt;Corte,27&lt;=Corte+n_Ventana),ISNUMBER(Detalle_24m!AF$54)),Detalle_24m!AF$54,INDEX(Precio_V,13)*INDEX(IdxPrecio_V,1,MIN(10,AF$173)))*(1+V_dPrecio))</f>
        <v>0</v>
      </c>
      <c r="AG214" s="48" t="n">
        <f aca="false">IF(AG$8=1,IF(Reales!$C$50="PYG",IF(AG$10&gt;0,N(Reales!AG50)/AG$10,0),N(Reales!AG50)),AG$189*IF(AND(AND(28&gt;Corte,28&lt;=Corte+n_Ventana),ISNUMBER(Detalle_24m!AG$54)),Detalle_24m!AG$54,INDEX(Precio_V,13)*INDEX(IdxPrecio_V,1,MIN(10,AG$173)))*(1+V_dPrecio))</f>
        <v>0</v>
      </c>
      <c r="AH214" s="48" t="n">
        <f aca="false">IF(AH$8=1,IF(Reales!$C$50="PYG",IF(AH$10&gt;0,N(Reales!AH50)/AH$10,0),N(Reales!AH50)),AH$189*IF(AND(AND(29&gt;Corte,29&lt;=Corte+n_Ventana),ISNUMBER(Detalle_24m!AH$54)),Detalle_24m!AH$54,INDEX(Precio_V,13)*INDEX(IdxPrecio_V,1,MIN(10,AH$173)))*(1+V_dPrecio))</f>
        <v>0</v>
      </c>
      <c r="AI214" s="48" t="n">
        <f aca="false">IF(AI$8=1,IF(Reales!$C$50="PYG",IF(AI$10&gt;0,N(Reales!AI50)/AI$10,0),N(Reales!AI50)),AI$189*IF(AND(AND(30&gt;Corte,30&lt;=Corte+n_Ventana),ISNUMBER(Detalle_24m!AI$54)),Detalle_24m!AI$54,INDEX(Precio_V,13)*INDEX(IdxPrecio_V,1,MIN(10,AI$173)))*(1+V_dPrecio))</f>
        <v>0</v>
      </c>
      <c r="AJ214" s="48" t="n">
        <f aca="false">IF(AJ$8=1,IF(Reales!$C$50="PYG",IF(AJ$10&gt;0,N(Reales!AJ50)/AJ$10,0),N(Reales!AJ50)),AJ$189*IF(AND(AND(31&gt;Corte,31&lt;=Corte+n_Ventana),ISNUMBER(Detalle_24m!AJ$54)),Detalle_24m!AJ$54,INDEX(Precio_V,13)*INDEX(IdxPrecio_V,1,MIN(10,AJ$173)))*(1+V_dPrecio))</f>
        <v>0</v>
      </c>
      <c r="AK214" s="48" t="n">
        <f aca="false">IF(AK$8=1,IF(Reales!$C$50="PYG",IF(AK$10&gt;0,N(Reales!AK50)/AK$10,0),N(Reales!AK50)),AK$189*IF(AND(AND(32&gt;Corte,32&lt;=Corte+n_Ventana),ISNUMBER(Detalle_24m!AK$54)),Detalle_24m!AK$54,INDEX(Precio_V,13)*INDEX(IdxPrecio_V,1,MIN(10,AK$173)))*(1+V_dPrecio))</f>
        <v>0</v>
      </c>
      <c r="AL214" s="48" t="n">
        <f aca="false">IF(AL$8=1,IF(Reales!$C$50="PYG",IF(AL$10&gt;0,N(Reales!AL50)/AL$10,0),N(Reales!AL50)),AL$189*IF(AND(AND(33&gt;Corte,33&lt;=Corte+n_Ventana),ISNUMBER(Detalle_24m!AL$54)),Detalle_24m!AL$54,INDEX(Precio_V,13)*INDEX(IdxPrecio_V,1,MIN(10,AL$173)))*(1+V_dPrecio))</f>
        <v>0</v>
      </c>
      <c r="AM214" s="48" t="n">
        <f aca="false">IF(AM$8=1,IF(Reales!$C$50="PYG",IF(AM$10&gt;0,N(Reales!AM50)/AM$10,0),N(Reales!AM50)),AM$189*IF(AND(AND(34&gt;Corte,34&lt;=Corte+n_Ventana),ISNUMBER(Detalle_24m!AM$54)),Detalle_24m!AM$54,INDEX(Precio_V,13)*INDEX(IdxPrecio_V,1,MIN(10,AM$173)))*(1+V_dPrecio))</f>
        <v>0</v>
      </c>
      <c r="AN214" s="48" t="n">
        <f aca="false">IF(AN$8=1,IF(Reales!$C$50="PYG",IF(AN$10&gt;0,N(Reales!AN50)/AN$10,0),N(Reales!AN50)),AN$189*IF(AND(AND(35&gt;Corte,35&lt;=Corte+n_Ventana),ISNUMBER(Detalle_24m!AN$54)),Detalle_24m!AN$54,INDEX(Precio_V,13)*INDEX(IdxPrecio_V,1,MIN(10,AN$173)))*(1+V_dPrecio))</f>
        <v>0</v>
      </c>
      <c r="AO214" s="48" t="n">
        <f aca="false">IF(AO$8=1,IF(Reales!$C$50="PYG",IF(AO$10&gt;0,N(Reales!AO50)/AO$10,0),N(Reales!AO50)),AO$189*IF(AND(AND(36&gt;Corte,36&lt;=Corte+n_Ventana),ISNUMBER(Detalle_24m!AO$54)),Detalle_24m!AO$54,INDEX(Precio_V,13)*INDEX(IdxPrecio_V,1,MIN(10,AO$173)))*(1+V_dPrecio))</f>
        <v>0</v>
      </c>
      <c r="AP214" s="48" t="n">
        <f aca="false">IF(AP$8=1,IF(Reales!$C$50="PYG",IF(AP$10&gt;0,N(Reales!AP50)/AP$10,0),N(Reales!AP50)),AP$189*IF(AND(AND(37&gt;Corte,37&lt;=Corte+n_Ventana),ISNUMBER(Detalle_24m!AP$54)),Detalle_24m!AP$54,INDEX(Precio_V,13)*INDEX(IdxPrecio_V,1,MIN(10,AP$173)))*(1+V_dPrecio))</f>
        <v>0</v>
      </c>
      <c r="AQ214" s="48" t="n">
        <f aca="false">IF(AQ$8=1,IF(Reales!$C$50="PYG",IF(AQ$10&gt;0,N(Reales!AQ50)/AQ$10,0),N(Reales!AQ50)),AQ$189*IF(AND(AND(38&gt;Corte,38&lt;=Corte+n_Ventana),ISNUMBER(Detalle_24m!AQ$54)),Detalle_24m!AQ$54,INDEX(Precio_V,13)*INDEX(IdxPrecio_V,1,MIN(10,AQ$173)))*(1+V_dPrecio))</f>
        <v>0</v>
      </c>
      <c r="AR214" s="48" t="n">
        <f aca="false">IF(AR$8=1,IF(Reales!$C$50="PYG",IF(AR$10&gt;0,N(Reales!AR50)/AR$10,0),N(Reales!AR50)),AR$189*IF(AND(AND(39&gt;Corte,39&lt;=Corte+n_Ventana),ISNUMBER(Detalle_24m!AR$54)),Detalle_24m!AR$54,INDEX(Precio_V,13)*INDEX(IdxPrecio_V,1,MIN(10,AR$173)))*(1+V_dPrecio))</f>
        <v>0</v>
      </c>
      <c r="AS214" s="48" t="n">
        <f aca="false">IF(AS$8=1,IF(Reales!$C$50="PYG",IF(AS$10&gt;0,N(Reales!AS50)/AS$10,0),N(Reales!AS50)),AS$189*IF(AND(AND(40&gt;Corte,40&lt;=Corte+n_Ventana),ISNUMBER(Detalle_24m!AS$54)),Detalle_24m!AS$54,INDEX(Precio_V,13)*INDEX(IdxPrecio_V,1,MIN(10,AS$173)))*(1+V_dPrecio))</f>
        <v>0</v>
      </c>
      <c r="AT214" s="48" t="n">
        <f aca="false">IF(AT$8=1,IF(Reales!$C$50="PYG",IF(AT$10&gt;0,N(Reales!AT50)/AT$10,0),N(Reales!AT50)),AT$189*IF(AND(AND(41&gt;Corte,41&lt;=Corte+n_Ventana),ISNUMBER(Detalle_24m!AT$54)),Detalle_24m!AT$54,INDEX(Precio_V,13)*INDEX(IdxPrecio_V,1,MIN(10,AT$173)))*(1+V_dPrecio))</f>
        <v>0</v>
      </c>
      <c r="AU214" s="48" t="n">
        <f aca="false">IF(AU$8=1,IF(Reales!$C$50="PYG",IF(AU$10&gt;0,N(Reales!AU50)/AU$10,0),N(Reales!AU50)),AU$189*IF(AND(AND(42&gt;Corte,42&lt;=Corte+n_Ventana),ISNUMBER(Detalle_24m!AU$54)),Detalle_24m!AU$54,INDEX(Precio_V,13)*INDEX(IdxPrecio_V,1,MIN(10,AU$173)))*(1+V_dPrecio))</f>
        <v>0</v>
      </c>
      <c r="AV214" s="48" t="n">
        <f aca="false">IF(AV$8=1,IF(Reales!$C$50="PYG",IF(AV$10&gt;0,N(Reales!AV50)/AV$10,0),N(Reales!AV50)),AV$189*IF(AND(AND(43&gt;Corte,43&lt;=Corte+n_Ventana),ISNUMBER(Detalle_24m!AV$54)),Detalle_24m!AV$54,INDEX(Precio_V,13)*INDEX(IdxPrecio_V,1,MIN(10,AV$173)))*(1+V_dPrecio))</f>
        <v>0</v>
      </c>
      <c r="AW214" s="48" t="n">
        <f aca="false">IF(AW$8=1,IF(Reales!$C$50="PYG",IF(AW$10&gt;0,N(Reales!AW50)/AW$10,0),N(Reales!AW50)),AW$189*IF(AND(AND(44&gt;Corte,44&lt;=Corte+n_Ventana),ISNUMBER(Detalle_24m!AW$54)),Detalle_24m!AW$54,INDEX(Precio_V,13)*INDEX(IdxPrecio_V,1,MIN(10,AW$173)))*(1+V_dPrecio))</f>
        <v>0</v>
      </c>
      <c r="AX214" s="48" t="n">
        <f aca="false">IF(AX$8=1,IF(Reales!$C$50="PYG",IF(AX$10&gt;0,N(Reales!AX50)/AX$10,0),N(Reales!AX50)),AX$189*IF(AND(AND(45&gt;Corte,45&lt;=Corte+n_Ventana),ISNUMBER(Detalle_24m!AX$54)),Detalle_24m!AX$54,INDEX(Precio_V,13)*INDEX(IdxPrecio_V,1,MIN(10,AX$173)))*(1+V_dPrecio))</f>
        <v>0</v>
      </c>
      <c r="AY214" s="48" t="n">
        <f aca="false">IF(AY$8=1,IF(Reales!$C$50="PYG",IF(AY$10&gt;0,N(Reales!AY50)/AY$10,0),N(Reales!AY50)),AY$189*IF(AND(AND(46&gt;Corte,46&lt;=Corte+n_Ventana),ISNUMBER(Detalle_24m!AY$54)),Detalle_24m!AY$54,INDEX(Precio_V,13)*INDEX(IdxPrecio_V,1,MIN(10,AY$173)))*(1+V_dPrecio))</f>
        <v>0</v>
      </c>
      <c r="AZ214" s="48" t="n">
        <f aca="false">IF(AZ$8=1,IF(Reales!$C$50="PYG",IF(AZ$10&gt;0,N(Reales!AZ50)/AZ$10,0),N(Reales!AZ50)),AZ$189*IF(AND(AND(47&gt;Corte,47&lt;=Corte+n_Ventana),ISNUMBER(Detalle_24m!AZ$54)),Detalle_24m!AZ$54,INDEX(Precio_V,13)*INDEX(IdxPrecio_V,1,MIN(10,AZ$173)))*(1+V_dPrecio))</f>
        <v>0</v>
      </c>
      <c r="BA214" s="48" t="n">
        <f aca="false">IF(BA$8=1,IF(Reales!$C$50="PYG",IF(BA$10&gt;0,N(Reales!BA50)/BA$10,0),N(Reales!BA50)),BA$189*IF(AND(AND(48&gt;Corte,48&lt;=Corte+n_Ventana),ISNUMBER(Detalle_24m!BA$54)),Detalle_24m!BA$54,INDEX(Precio_V,13)*INDEX(IdxPrecio_V,1,MIN(10,BA$173)))*(1+V_dPrecio))</f>
        <v>0</v>
      </c>
      <c r="BB214" s="48" t="n">
        <f aca="false">IF(BB$8=1,IF(Reales!$C$50="PYG",IF(BB$10&gt;0,N(Reales!BB50)/BB$10,0),N(Reales!BB50)),BB$189*IF(AND(AND(49&gt;Corte,49&lt;=Corte+n_Ventana),ISNUMBER(Detalle_24m!BB$54)),Detalle_24m!BB$54,INDEX(Precio_V,13)*INDEX(IdxPrecio_V,1,MIN(10,BB$173)))*(1+V_dPrecio))</f>
        <v>0</v>
      </c>
      <c r="BC214" s="48" t="n">
        <f aca="false">IF(BC$8=1,IF(Reales!$C$50="PYG",IF(BC$10&gt;0,N(Reales!BC50)/BC$10,0),N(Reales!BC50)),BC$189*IF(AND(AND(50&gt;Corte,50&lt;=Corte+n_Ventana),ISNUMBER(Detalle_24m!BC$54)),Detalle_24m!BC$54,INDEX(Precio_V,13)*INDEX(IdxPrecio_V,1,MIN(10,BC$173)))*(1+V_dPrecio))</f>
        <v>0</v>
      </c>
      <c r="BD214" s="48" t="n">
        <f aca="false">IF(BD$8=1,IF(Reales!$C$50="PYG",IF(BD$10&gt;0,N(Reales!BD50)/BD$10,0),N(Reales!BD50)),BD$189*IF(AND(AND(51&gt;Corte,51&lt;=Corte+n_Ventana),ISNUMBER(Detalle_24m!BD$54)),Detalle_24m!BD$54,INDEX(Precio_V,13)*INDEX(IdxPrecio_V,1,MIN(10,BD$173)))*(1+V_dPrecio))</f>
        <v>0</v>
      </c>
      <c r="BE214" s="48" t="n">
        <f aca="false">IF(BE$8=1,IF(Reales!$C$50="PYG",IF(BE$10&gt;0,N(Reales!BE50)/BE$10,0),N(Reales!BE50)),BE$189*IF(AND(AND(52&gt;Corte,52&lt;=Corte+n_Ventana),ISNUMBER(Detalle_24m!BE$54)),Detalle_24m!BE$54,INDEX(Precio_V,13)*INDEX(IdxPrecio_V,1,MIN(10,BE$173)))*(1+V_dPrecio))</f>
        <v>0</v>
      </c>
      <c r="BF214" s="48" t="n">
        <f aca="false">IF(BF$8=1,IF(Reales!$C$50="PYG",IF(BF$10&gt;0,N(Reales!BF50)/BF$10,0),N(Reales!BF50)),BF$189*IF(AND(AND(53&gt;Corte,53&lt;=Corte+n_Ventana),ISNUMBER(Detalle_24m!BF$54)),Detalle_24m!BF$54,INDEX(Precio_V,13)*INDEX(IdxPrecio_V,1,MIN(10,BF$173)))*(1+V_dPrecio))</f>
        <v>0</v>
      </c>
      <c r="BG214" s="48" t="n">
        <f aca="false">IF(BG$8=1,IF(Reales!$C$50="PYG",IF(BG$10&gt;0,N(Reales!BG50)/BG$10,0),N(Reales!BG50)),BG$189*IF(AND(AND(54&gt;Corte,54&lt;=Corte+n_Ventana),ISNUMBER(Detalle_24m!BG$54)),Detalle_24m!BG$54,INDEX(Precio_V,13)*INDEX(IdxPrecio_V,1,MIN(10,BG$173)))*(1+V_dPrecio))</f>
        <v>0</v>
      </c>
      <c r="BH214" s="48" t="n">
        <f aca="false">IF(BH$8=1,IF(Reales!$C$50="PYG",IF(BH$10&gt;0,N(Reales!BH50)/BH$10,0),N(Reales!BH50)),BH$189*IF(AND(AND(55&gt;Corte,55&lt;=Corte+n_Ventana),ISNUMBER(Detalle_24m!BH$54)),Detalle_24m!BH$54,INDEX(Precio_V,13)*INDEX(IdxPrecio_V,1,MIN(10,BH$173)))*(1+V_dPrecio))</f>
        <v>0</v>
      </c>
      <c r="BI214" s="48" t="n">
        <f aca="false">IF(BI$8=1,IF(Reales!$C$50="PYG",IF(BI$10&gt;0,N(Reales!BI50)/BI$10,0),N(Reales!BI50)),BI$189*IF(AND(AND(56&gt;Corte,56&lt;=Corte+n_Ventana),ISNUMBER(Detalle_24m!BI$54)),Detalle_24m!BI$54,INDEX(Precio_V,13)*INDEX(IdxPrecio_V,1,MIN(10,BI$173)))*(1+V_dPrecio))</f>
        <v>0</v>
      </c>
      <c r="BJ214" s="48" t="n">
        <f aca="false">IF(BJ$8=1,IF(Reales!$C$50="PYG",IF(BJ$10&gt;0,N(Reales!BJ50)/BJ$10,0),N(Reales!BJ50)),BJ$189*IF(AND(AND(57&gt;Corte,57&lt;=Corte+n_Ventana),ISNUMBER(Detalle_24m!BJ$54)),Detalle_24m!BJ$54,INDEX(Precio_V,13)*INDEX(IdxPrecio_V,1,MIN(10,BJ$173)))*(1+V_dPrecio))</f>
        <v>0</v>
      </c>
      <c r="BK214" s="48" t="n">
        <f aca="false">IF(BK$8=1,IF(Reales!$C$50="PYG",IF(BK$10&gt;0,N(Reales!BK50)/BK$10,0),N(Reales!BK50)),BK$189*IF(AND(AND(58&gt;Corte,58&lt;=Corte+n_Ventana),ISNUMBER(Detalle_24m!BK$54)),Detalle_24m!BK$54,INDEX(Precio_V,13)*INDEX(IdxPrecio_V,1,MIN(10,BK$173)))*(1+V_dPrecio))</f>
        <v>0</v>
      </c>
      <c r="BL214" s="48" t="n">
        <f aca="false">IF(BL$8=1,IF(Reales!$C$50="PYG",IF(BL$10&gt;0,N(Reales!BL50)/BL$10,0),N(Reales!BL50)),BL$189*IF(AND(AND(59&gt;Corte,59&lt;=Corte+n_Ventana),ISNUMBER(Detalle_24m!BL$54)),Detalle_24m!BL$54,INDEX(Precio_V,13)*INDEX(IdxPrecio_V,1,MIN(10,BL$173)))*(1+V_dPrecio))</f>
        <v>0</v>
      </c>
      <c r="BM214" s="48" t="n">
        <f aca="false">IF(BM$8=1,IF(Reales!$C$50="PYG",IF(BM$10&gt;0,N(Reales!BM50)/BM$10,0),N(Reales!BM50)),BM$189*IF(AND(AND(60&gt;Corte,60&lt;=Corte+n_Ventana),ISNUMBER(Detalle_24m!BM$54)),Detalle_24m!BM$54,INDEX(Precio_V,13)*INDEX(IdxPrecio_V,1,MIN(10,BM$173)))*(1+V_dPrecio))</f>
        <v>0</v>
      </c>
      <c r="BN214" s="48" t="n">
        <f aca="false">IF(BN$8=1,IF(Reales!$C$50="PYG",IF(BN$10&gt;0,N(Reales!BN50)/BN$10,0),N(Reales!BN50)),BN$189*IF(AND(AND(61&gt;Corte,61&lt;=Corte+n_Ventana),ISNUMBER(Detalle_24m!BN$54)),Detalle_24m!BN$54,INDEX(Precio_V,13)*INDEX(IdxPrecio_V,1,MIN(10,BN$173)))*(1+V_dPrecio))</f>
        <v>0</v>
      </c>
      <c r="BO214" s="48" t="n">
        <f aca="false">IF(BO$8=1,IF(Reales!$C$50="PYG",IF(BO$10&gt;0,N(Reales!BO50)/BO$10,0),N(Reales!BO50)),BO$189*IF(AND(AND(62&gt;Corte,62&lt;=Corte+n_Ventana),ISNUMBER(Detalle_24m!BO$54)),Detalle_24m!BO$54,INDEX(Precio_V,13)*INDEX(IdxPrecio_V,1,MIN(10,BO$173)))*(1+V_dPrecio))</f>
        <v>0</v>
      </c>
      <c r="BP214" s="48" t="n">
        <f aca="false">IF(BP$8=1,IF(Reales!$C$50="PYG",IF(BP$10&gt;0,N(Reales!BP50)/BP$10,0),N(Reales!BP50)),BP$189*IF(AND(AND(63&gt;Corte,63&lt;=Corte+n_Ventana),ISNUMBER(Detalle_24m!BP$54)),Detalle_24m!BP$54,INDEX(Precio_V,13)*INDEX(IdxPrecio_V,1,MIN(10,BP$173)))*(1+V_dPrecio))</f>
        <v>0</v>
      </c>
      <c r="BQ214" s="48" t="n">
        <f aca="false">IF(BQ$8=1,IF(Reales!$C$50="PYG",IF(BQ$10&gt;0,N(Reales!BQ50)/BQ$10,0),N(Reales!BQ50)),BQ$189*IF(AND(AND(64&gt;Corte,64&lt;=Corte+n_Ventana),ISNUMBER(Detalle_24m!BQ$54)),Detalle_24m!BQ$54,INDEX(Precio_V,13)*INDEX(IdxPrecio_V,1,MIN(10,BQ$173)))*(1+V_dPrecio))</f>
        <v>0</v>
      </c>
      <c r="BR214" s="48" t="n">
        <f aca="false">IF(BR$8=1,IF(Reales!$C$50="PYG",IF(BR$10&gt;0,N(Reales!BR50)/BR$10,0),N(Reales!BR50)),BR$189*IF(AND(AND(65&gt;Corte,65&lt;=Corte+n_Ventana),ISNUMBER(Detalle_24m!BR$54)),Detalle_24m!BR$54,INDEX(Precio_V,13)*INDEX(IdxPrecio_V,1,MIN(10,BR$173)))*(1+V_dPrecio))</f>
        <v>0</v>
      </c>
      <c r="BS214" s="48" t="n">
        <f aca="false">IF(BS$8=1,IF(Reales!$C$50="PYG",IF(BS$10&gt;0,N(Reales!BS50)/BS$10,0),N(Reales!BS50)),BS$189*IF(AND(AND(66&gt;Corte,66&lt;=Corte+n_Ventana),ISNUMBER(Detalle_24m!BS$54)),Detalle_24m!BS$54,INDEX(Precio_V,13)*INDEX(IdxPrecio_V,1,MIN(10,BS$173)))*(1+V_dPrecio))</f>
        <v>0</v>
      </c>
      <c r="BT214" s="48" t="n">
        <f aca="false">IF(BT$8=1,IF(Reales!$C$50="PYG",IF(BT$10&gt;0,N(Reales!BT50)/BT$10,0),N(Reales!BT50)),BT$189*IF(AND(AND(67&gt;Corte,67&lt;=Corte+n_Ventana),ISNUMBER(Detalle_24m!BT$54)),Detalle_24m!BT$54,INDEX(Precio_V,13)*INDEX(IdxPrecio_V,1,MIN(10,BT$173)))*(1+V_dPrecio))</f>
        <v>0</v>
      </c>
      <c r="BU214" s="48" t="n">
        <f aca="false">IF(BU$8=1,IF(Reales!$C$50="PYG",IF(BU$10&gt;0,N(Reales!BU50)/BU$10,0),N(Reales!BU50)),BU$189*IF(AND(AND(68&gt;Corte,68&lt;=Corte+n_Ventana),ISNUMBER(Detalle_24m!BU$54)),Detalle_24m!BU$54,INDEX(Precio_V,13)*INDEX(IdxPrecio_V,1,MIN(10,BU$173)))*(1+V_dPrecio))</f>
        <v>0</v>
      </c>
      <c r="BV214" s="48" t="n">
        <f aca="false">IF(BV$8=1,IF(Reales!$C$50="PYG",IF(BV$10&gt;0,N(Reales!BV50)/BV$10,0),N(Reales!BV50)),BV$189*IF(AND(AND(69&gt;Corte,69&lt;=Corte+n_Ventana),ISNUMBER(Detalle_24m!BV$54)),Detalle_24m!BV$54,INDEX(Precio_V,13)*INDEX(IdxPrecio_V,1,MIN(10,BV$173)))*(1+V_dPrecio))</f>
        <v>0</v>
      </c>
      <c r="BW214" s="48" t="n">
        <f aca="false">IF(BW$8=1,IF(Reales!$C$50="PYG",IF(BW$10&gt;0,N(Reales!BW50)/BW$10,0),N(Reales!BW50)),BW$189*IF(AND(AND(70&gt;Corte,70&lt;=Corte+n_Ventana),ISNUMBER(Detalle_24m!BW$54)),Detalle_24m!BW$54,INDEX(Precio_V,13)*INDEX(IdxPrecio_V,1,MIN(10,BW$173)))*(1+V_dPrecio))</f>
        <v>0</v>
      </c>
      <c r="BX214" s="48" t="n">
        <f aca="false">IF(BX$8=1,IF(Reales!$C$50="PYG",IF(BX$10&gt;0,N(Reales!BX50)/BX$10,0),N(Reales!BX50)),BX$189*IF(AND(AND(71&gt;Corte,71&lt;=Corte+n_Ventana),ISNUMBER(Detalle_24m!BX$54)),Detalle_24m!BX$54,INDEX(Precio_V,13)*INDEX(IdxPrecio_V,1,MIN(10,BX$173)))*(1+V_dPrecio))</f>
        <v>0</v>
      </c>
      <c r="BY214" s="48" t="n">
        <f aca="false">IF(BY$8=1,IF(Reales!$C$50="PYG",IF(BY$10&gt;0,N(Reales!BY50)/BY$10,0),N(Reales!BY50)),BY$189*IF(AND(AND(72&gt;Corte,72&lt;=Corte+n_Ventana),ISNUMBER(Detalle_24m!BY$54)),Detalle_24m!BY$54,INDEX(Precio_V,13)*INDEX(IdxPrecio_V,1,MIN(10,BY$173)))*(1+V_dPrecio))</f>
        <v>0</v>
      </c>
      <c r="BZ214" s="48" t="n">
        <f aca="false">IF(BZ$8=1,IF(Reales!$C$50="PYG",IF(BZ$10&gt;0,N(Reales!BZ50)/BZ$10,0),N(Reales!BZ50)),BZ$189*IF(AND(AND(73&gt;Corte,73&lt;=Corte+n_Ventana),ISNUMBER(Detalle_24m!BZ$54)),Detalle_24m!BZ$54,INDEX(Precio_V,13)*INDEX(IdxPrecio_V,1,MIN(10,BZ$173)))*(1+V_dPrecio))</f>
        <v>0</v>
      </c>
      <c r="CA214" s="48" t="n">
        <f aca="false">IF(CA$8=1,IF(Reales!$C$50="PYG",IF(CA$10&gt;0,N(Reales!CA50)/CA$10,0),N(Reales!CA50)),CA$189*IF(AND(AND(74&gt;Corte,74&lt;=Corte+n_Ventana),ISNUMBER(Detalle_24m!CA$54)),Detalle_24m!CA$54,INDEX(Precio_V,13)*INDEX(IdxPrecio_V,1,MIN(10,CA$173)))*(1+V_dPrecio))</f>
        <v>0</v>
      </c>
      <c r="CB214" s="48" t="n">
        <f aca="false">IF(CB$8=1,IF(Reales!$C$50="PYG",IF(CB$10&gt;0,N(Reales!CB50)/CB$10,0),N(Reales!CB50)),CB$189*IF(AND(AND(75&gt;Corte,75&lt;=Corte+n_Ventana),ISNUMBER(Detalle_24m!CB$54)),Detalle_24m!CB$54,INDEX(Precio_V,13)*INDEX(IdxPrecio_V,1,MIN(10,CB$173)))*(1+V_dPrecio))</f>
        <v>0</v>
      </c>
      <c r="CC214" s="48" t="n">
        <f aca="false">IF(CC$8=1,IF(Reales!$C$50="PYG",IF(CC$10&gt;0,N(Reales!CC50)/CC$10,0),N(Reales!CC50)),CC$189*IF(AND(AND(76&gt;Corte,76&lt;=Corte+n_Ventana),ISNUMBER(Detalle_24m!CC$54)),Detalle_24m!CC$54,INDEX(Precio_V,13)*INDEX(IdxPrecio_V,1,MIN(10,CC$173)))*(1+V_dPrecio))</f>
        <v>0</v>
      </c>
      <c r="CD214" s="48" t="n">
        <f aca="false">IF(CD$8=1,IF(Reales!$C$50="PYG",IF(CD$10&gt;0,N(Reales!CD50)/CD$10,0),N(Reales!CD50)),CD$189*IF(AND(AND(77&gt;Corte,77&lt;=Corte+n_Ventana),ISNUMBER(Detalle_24m!CD$54)),Detalle_24m!CD$54,INDEX(Precio_V,13)*INDEX(IdxPrecio_V,1,MIN(10,CD$173)))*(1+V_dPrecio))</f>
        <v>0</v>
      </c>
      <c r="CE214" s="48" t="n">
        <f aca="false">IF(CE$8=1,IF(Reales!$C$50="PYG",IF(CE$10&gt;0,N(Reales!CE50)/CE$10,0),N(Reales!CE50)),CE$189*IF(AND(AND(78&gt;Corte,78&lt;=Corte+n_Ventana),ISNUMBER(Detalle_24m!CE$54)),Detalle_24m!CE$54,INDEX(Precio_V,13)*INDEX(IdxPrecio_V,1,MIN(10,CE$173)))*(1+V_dPrecio))</f>
        <v>0</v>
      </c>
      <c r="CF214" s="48" t="n">
        <f aca="false">IF(CF$8=1,IF(Reales!$C$50="PYG",IF(CF$10&gt;0,N(Reales!CF50)/CF$10,0),N(Reales!CF50)),CF$189*IF(AND(AND(79&gt;Corte,79&lt;=Corte+n_Ventana),ISNUMBER(Detalle_24m!CF$54)),Detalle_24m!CF$54,INDEX(Precio_V,13)*INDEX(IdxPrecio_V,1,MIN(10,CF$173)))*(1+V_dPrecio))</f>
        <v>0</v>
      </c>
      <c r="CG214" s="48" t="n">
        <f aca="false">IF(CG$8=1,IF(Reales!$C$50="PYG",IF(CG$10&gt;0,N(Reales!CG50)/CG$10,0),N(Reales!CG50)),CG$189*IF(AND(AND(80&gt;Corte,80&lt;=Corte+n_Ventana),ISNUMBER(Detalle_24m!CG$54)),Detalle_24m!CG$54,INDEX(Precio_V,13)*INDEX(IdxPrecio_V,1,MIN(10,CG$173)))*(1+V_dPrecio))</f>
        <v>0</v>
      </c>
      <c r="CH214" s="48" t="n">
        <f aca="false">IF(CH$8=1,IF(Reales!$C$50="PYG",IF(CH$10&gt;0,N(Reales!CH50)/CH$10,0),N(Reales!CH50)),CH$189*IF(AND(AND(81&gt;Corte,81&lt;=Corte+n_Ventana),ISNUMBER(Detalle_24m!CH$54)),Detalle_24m!CH$54,INDEX(Precio_V,13)*INDEX(IdxPrecio_V,1,MIN(10,CH$173)))*(1+V_dPrecio))</f>
        <v>0</v>
      </c>
      <c r="CI214" s="48" t="n">
        <f aca="false">IF(CI$8=1,IF(Reales!$C$50="PYG",IF(CI$10&gt;0,N(Reales!CI50)/CI$10,0),N(Reales!CI50)),CI$189*IF(AND(AND(82&gt;Corte,82&lt;=Corte+n_Ventana),ISNUMBER(Detalle_24m!CI$54)),Detalle_24m!CI$54,INDEX(Precio_V,13)*INDEX(IdxPrecio_V,1,MIN(10,CI$173)))*(1+V_dPrecio))</f>
        <v>0</v>
      </c>
      <c r="CJ214" s="48" t="n">
        <f aca="false">IF(CJ$8=1,IF(Reales!$C$50="PYG",IF(CJ$10&gt;0,N(Reales!CJ50)/CJ$10,0),N(Reales!CJ50)),CJ$189*IF(AND(AND(83&gt;Corte,83&lt;=Corte+n_Ventana),ISNUMBER(Detalle_24m!CJ$54)),Detalle_24m!CJ$54,INDEX(Precio_V,13)*INDEX(IdxPrecio_V,1,MIN(10,CJ$173)))*(1+V_dPrecio))</f>
        <v>0</v>
      </c>
      <c r="CK214" s="48" t="n">
        <f aca="false">IF(CK$8=1,IF(Reales!$C$50="PYG",IF(CK$10&gt;0,N(Reales!CK50)/CK$10,0),N(Reales!CK50)),CK$189*IF(AND(AND(84&gt;Corte,84&lt;=Corte+n_Ventana),ISNUMBER(Detalle_24m!CK$54)),Detalle_24m!CK$54,INDEX(Precio_V,13)*INDEX(IdxPrecio_V,1,MIN(10,CK$173)))*(1+V_dPrecio))</f>
        <v>0</v>
      </c>
      <c r="CL214" s="48" t="n">
        <f aca="false">IF(CL$8=1,IF(Reales!$C$50="PYG",IF(CL$10&gt;0,N(Reales!CL50)/CL$10,0),N(Reales!CL50)),CL$189*IF(AND(AND(85&gt;Corte,85&lt;=Corte+n_Ventana),ISNUMBER(Detalle_24m!CL$54)),Detalle_24m!CL$54,INDEX(Precio_V,13)*INDEX(IdxPrecio_V,1,MIN(10,CL$173)))*(1+V_dPrecio))</f>
        <v>0</v>
      </c>
      <c r="CM214" s="48" t="n">
        <f aca="false">IF(CM$8=1,IF(Reales!$C$50="PYG",IF(CM$10&gt;0,N(Reales!CM50)/CM$10,0),N(Reales!CM50)),CM$189*IF(AND(AND(86&gt;Corte,86&lt;=Corte+n_Ventana),ISNUMBER(Detalle_24m!CM$54)),Detalle_24m!CM$54,INDEX(Precio_V,13)*INDEX(IdxPrecio_V,1,MIN(10,CM$173)))*(1+V_dPrecio))</f>
        <v>0</v>
      </c>
      <c r="CN214" s="48" t="n">
        <f aca="false">IF(CN$8=1,IF(Reales!$C$50="PYG",IF(CN$10&gt;0,N(Reales!CN50)/CN$10,0),N(Reales!CN50)),CN$189*IF(AND(AND(87&gt;Corte,87&lt;=Corte+n_Ventana),ISNUMBER(Detalle_24m!CN$54)),Detalle_24m!CN$54,INDEX(Precio_V,13)*INDEX(IdxPrecio_V,1,MIN(10,CN$173)))*(1+V_dPrecio))</f>
        <v>0</v>
      </c>
      <c r="CO214" s="48" t="n">
        <f aca="false">IF(CO$8=1,IF(Reales!$C$50="PYG",IF(CO$10&gt;0,N(Reales!CO50)/CO$10,0),N(Reales!CO50)),CO$189*IF(AND(AND(88&gt;Corte,88&lt;=Corte+n_Ventana),ISNUMBER(Detalle_24m!CO$54)),Detalle_24m!CO$54,INDEX(Precio_V,13)*INDEX(IdxPrecio_V,1,MIN(10,CO$173)))*(1+V_dPrecio))</f>
        <v>0</v>
      </c>
      <c r="CP214" s="48" t="n">
        <f aca="false">IF(CP$8=1,IF(Reales!$C$50="PYG",IF(CP$10&gt;0,N(Reales!CP50)/CP$10,0),N(Reales!CP50)),CP$189*IF(AND(AND(89&gt;Corte,89&lt;=Corte+n_Ventana),ISNUMBER(Detalle_24m!CP$54)),Detalle_24m!CP$54,INDEX(Precio_V,13)*INDEX(IdxPrecio_V,1,MIN(10,CP$173)))*(1+V_dPrecio))</f>
        <v>0</v>
      </c>
      <c r="CQ214" s="48" t="n">
        <f aca="false">IF(CQ$8=1,IF(Reales!$C$50="PYG",IF(CQ$10&gt;0,N(Reales!CQ50)/CQ$10,0),N(Reales!CQ50)),CQ$189*IF(AND(AND(90&gt;Corte,90&lt;=Corte+n_Ventana),ISNUMBER(Detalle_24m!CQ$54)),Detalle_24m!CQ$54,INDEX(Precio_V,13)*INDEX(IdxPrecio_V,1,MIN(10,CQ$173)))*(1+V_dPrecio))</f>
        <v>0</v>
      </c>
      <c r="CR214" s="48" t="n">
        <f aca="false">IF(CR$8=1,IF(Reales!$C$50="PYG",IF(CR$10&gt;0,N(Reales!CR50)/CR$10,0),N(Reales!CR50)),CR$189*IF(AND(AND(91&gt;Corte,91&lt;=Corte+n_Ventana),ISNUMBER(Detalle_24m!CR$54)),Detalle_24m!CR$54,INDEX(Precio_V,13)*INDEX(IdxPrecio_V,1,MIN(10,CR$173)))*(1+V_dPrecio))</f>
        <v>0</v>
      </c>
      <c r="CS214" s="48" t="n">
        <f aca="false">IF(CS$8=1,IF(Reales!$C$50="PYG",IF(CS$10&gt;0,N(Reales!CS50)/CS$10,0),N(Reales!CS50)),CS$189*IF(AND(AND(92&gt;Corte,92&lt;=Corte+n_Ventana),ISNUMBER(Detalle_24m!CS$54)),Detalle_24m!CS$54,INDEX(Precio_V,13)*INDEX(IdxPrecio_V,1,MIN(10,CS$173)))*(1+V_dPrecio))</f>
        <v>0</v>
      </c>
      <c r="CT214" s="48" t="n">
        <f aca="false">IF(CT$8=1,IF(Reales!$C$50="PYG",IF(CT$10&gt;0,N(Reales!CT50)/CT$10,0),N(Reales!CT50)),CT$189*IF(AND(AND(93&gt;Corte,93&lt;=Corte+n_Ventana),ISNUMBER(Detalle_24m!CT$54)),Detalle_24m!CT$54,INDEX(Precio_V,13)*INDEX(IdxPrecio_V,1,MIN(10,CT$173)))*(1+V_dPrecio))</f>
        <v>0</v>
      </c>
      <c r="CU214" s="48" t="n">
        <f aca="false">IF(CU$8=1,IF(Reales!$C$50="PYG",IF(CU$10&gt;0,N(Reales!CU50)/CU$10,0),N(Reales!CU50)),CU$189*IF(AND(AND(94&gt;Corte,94&lt;=Corte+n_Ventana),ISNUMBER(Detalle_24m!CU$54)),Detalle_24m!CU$54,INDEX(Precio_V,13)*INDEX(IdxPrecio_V,1,MIN(10,CU$173)))*(1+V_dPrecio))</f>
        <v>0</v>
      </c>
      <c r="CV214" s="48" t="n">
        <f aca="false">IF(CV$8=1,IF(Reales!$C$50="PYG",IF(CV$10&gt;0,N(Reales!CV50)/CV$10,0),N(Reales!CV50)),CV$189*IF(AND(AND(95&gt;Corte,95&lt;=Corte+n_Ventana),ISNUMBER(Detalle_24m!CV$54)),Detalle_24m!CV$54,INDEX(Precio_V,13)*INDEX(IdxPrecio_V,1,MIN(10,CV$173)))*(1+V_dPrecio))</f>
        <v>0</v>
      </c>
      <c r="CW214" s="48" t="n">
        <f aca="false">IF(CW$8=1,IF(Reales!$C$50="PYG",IF(CW$10&gt;0,N(Reales!CW50)/CW$10,0),N(Reales!CW50)),CW$189*IF(AND(AND(96&gt;Corte,96&lt;=Corte+n_Ventana),ISNUMBER(Detalle_24m!CW$54)),Detalle_24m!CW$54,INDEX(Precio_V,13)*INDEX(IdxPrecio_V,1,MIN(10,CW$173)))*(1+V_dPrecio))</f>
        <v>0</v>
      </c>
      <c r="CX214" s="48" t="n">
        <f aca="false">IF(CX$8=1,IF(Reales!$C$50="PYG",IF(CX$10&gt;0,N(Reales!CX50)/CX$10,0),N(Reales!CX50)),CX$189*IF(AND(AND(97&gt;Corte,97&lt;=Corte+n_Ventana),ISNUMBER(Detalle_24m!CX$54)),Detalle_24m!CX$54,INDEX(Precio_V,13)*INDEX(IdxPrecio_V,1,MIN(10,CX$173)))*(1+V_dPrecio))</f>
        <v>0</v>
      </c>
      <c r="CY214" s="48" t="n">
        <f aca="false">IF(CY$8=1,IF(Reales!$C$50="PYG",IF(CY$10&gt;0,N(Reales!CY50)/CY$10,0),N(Reales!CY50)),CY$189*IF(AND(AND(98&gt;Corte,98&lt;=Corte+n_Ventana),ISNUMBER(Detalle_24m!CY$54)),Detalle_24m!CY$54,INDEX(Precio_V,13)*INDEX(IdxPrecio_V,1,MIN(10,CY$173)))*(1+V_dPrecio))</f>
        <v>0</v>
      </c>
      <c r="CZ214" s="48" t="n">
        <f aca="false">IF(CZ$8=1,IF(Reales!$C$50="PYG",IF(CZ$10&gt;0,N(Reales!CZ50)/CZ$10,0),N(Reales!CZ50)),CZ$189*IF(AND(AND(99&gt;Corte,99&lt;=Corte+n_Ventana),ISNUMBER(Detalle_24m!CZ$54)),Detalle_24m!CZ$54,INDEX(Precio_V,13)*INDEX(IdxPrecio_V,1,MIN(10,CZ$173)))*(1+V_dPrecio))</f>
        <v>0</v>
      </c>
      <c r="DA214" s="48" t="n">
        <f aca="false">IF(DA$8=1,IF(Reales!$C$50="PYG",IF(DA$10&gt;0,N(Reales!DA50)/DA$10,0),N(Reales!DA50)),DA$189*IF(AND(AND(100&gt;Corte,100&lt;=Corte+n_Ventana),ISNUMBER(Detalle_24m!DA$54)),Detalle_24m!DA$54,INDEX(Precio_V,13)*INDEX(IdxPrecio_V,1,MIN(10,DA$173)))*(1+V_dPrecio))</f>
        <v>0</v>
      </c>
      <c r="DB214" s="48" t="n">
        <f aca="false">IF(DB$8=1,IF(Reales!$C$50="PYG",IF(DB$10&gt;0,N(Reales!DB50)/DB$10,0),N(Reales!DB50)),DB$189*IF(AND(AND(101&gt;Corte,101&lt;=Corte+n_Ventana),ISNUMBER(Detalle_24m!DB$54)),Detalle_24m!DB$54,INDEX(Precio_V,13)*INDEX(IdxPrecio_V,1,MIN(10,DB$173)))*(1+V_dPrecio))</f>
        <v>0</v>
      </c>
      <c r="DC214" s="48" t="n">
        <f aca="false">IF(DC$8=1,IF(Reales!$C$50="PYG",IF(DC$10&gt;0,N(Reales!DC50)/DC$10,0),N(Reales!DC50)),DC$189*IF(AND(AND(102&gt;Corte,102&lt;=Corte+n_Ventana),ISNUMBER(Detalle_24m!DC$54)),Detalle_24m!DC$54,INDEX(Precio_V,13)*INDEX(IdxPrecio_V,1,MIN(10,DC$173)))*(1+V_dPrecio))</f>
        <v>0</v>
      </c>
      <c r="DD214" s="48" t="n">
        <f aca="false">IF(DD$8=1,IF(Reales!$C$50="PYG",IF(DD$10&gt;0,N(Reales!DD50)/DD$10,0),N(Reales!DD50)),DD$189*IF(AND(AND(103&gt;Corte,103&lt;=Corte+n_Ventana),ISNUMBER(Detalle_24m!DD$54)),Detalle_24m!DD$54,INDEX(Precio_V,13)*INDEX(IdxPrecio_V,1,MIN(10,DD$173)))*(1+V_dPrecio))</f>
        <v>0</v>
      </c>
      <c r="DE214" s="48" t="n">
        <f aca="false">IF(DE$8=1,IF(Reales!$C$50="PYG",IF(DE$10&gt;0,N(Reales!DE50)/DE$10,0),N(Reales!DE50)),DE$189*IF(AND(AND(104&gt;Corte,104&lt;=Corte+n_Ventana),ISNUMBER(Detalle_24m!DE$54)),Detalle_24m!DE$54,INDEX(Precio_V,13)*INDEX(IdxPrecio_V,1,MIN(10,DE$173)))*(1+V_dPrecio))</f>
        <v>0</v>
      </c>
      <c r="DF214" s="48" t="n">
        <f aca="false">IF(DF$8=1,IF(Reales!$C$50="PYG",IF(DF$10&gt;0,N(Reales!DF50)/DF$10,0),N(Reales!DF50)),DF$189*IF(AND(AND(105&gt;Corte,105&lt;=Corte+n_Ventana),ISNUMBER(Detalle_24m!DF$54)),Detalle_24m!DF$54,INDEX(Precio_V,13)*INDEX(IdxPrecio_V,1,MIN(10,DF$173)))*(1+V_dPrecio))</f>
        <v>0</v>
      </c>
      <c r="DG214" s="48" t="n">
        <f aca="false">IF(DG$8=1,IF(Reales!$C$50="PYG",IF(DG$10&gt;0,N(Reales!DG50)/DG$10,0),N(Reales!DG50)),DG$189*IF(AND(AND(106&gt;Corte,106&lt;=Corte+n_Ventana),ISNUMBER(Detalle_24m!DG$54)),Detalle_24m!DG$54,INDEX(Precio_V,13)*INDEX(IdxPrecio_V,1,MIN(10,DG$173)))*(1+V_dPrecio))</f>
        <v>0</v>
      </c>
      <c r="DH214" s="48" t="n">
        <f aca="false">IF(DH$8=1,IF(Reales!$C$50="PYG",IF(DH$10&gt;0,N(Reales!DH50)/DH$10,0),N(Reales!DH50)),DH$189*IF(AND(AND(107&gt;Corte,107&lt;=Corte+n_Ventana),ISNUMBER(Detalle_24m!DH$54)),Detalle_24m!DH$54,INDEX(Precio_V,13)*INDEX(IdxPrecio_V,1,MIN(10,DH$173)))*(1+V_dPrecio))</f>
        <v>0</v>
      </c>
      <c r="DI214" s="48" t="n">
        <f aca="false">IF(DI$8=1,IF(Reales!$C$50="PYG",IF(DI$10&gt;0,N(Reales!DI50)/DI$10,0),N(Reales!DI50)),DI$189*IF(AND(AND(108&gt;Corte,108&lt;=Corte+n_Ventana),ISNUMBER(Detalle_24m!DI$54)),Detalle_24m!DI$54,INDEX(Precio_V,13)*INDEX(IdxPrecio_V,1,MIN(10,DI$173)))*(1+V_dPrecio))</f>
        <v>0</v>
      </c>
      <c r="DJ214" s="48" t="n">
        <f aca="false">IF(DJ$8=1,IF(Reales!$C$50="PYG",IF(DJ$10&gt;0,N(Reales!DJ50)/DJ$10,0),N(Reales!DJ50)),DJ$189*IF(AND(AND(109&gt;Corte,109&lt;=Corte+n_Ventana),ISNUMBER(Detalle_24m!DJ$54)),Detalle_24m!DJ$54,INDEX(Precio_V,13)*INDEX(IdxPrecio_V,1,MIN(10,DJ$173)))*(1+V_dPrecio))</f>
        <v>0</v>
      </c>
      <c r="DK214" s="48" t="n">
        <f aca="false">IF(DK$8=1,IF(Reales!$C$50="PYG",IF(DK$10&gt;0,N(Reales!DK50)/DK$10,0),N(Reales!DK50)),DK$189*IF(AND(AND(110&gt;Corte,110&lt;=Corte+n_Ventana),ISNUMBER(Detalle_24m!DK$54)),Detalle_24m!DK$54,INDEX(Precio_V,13)*INDEX(IdxPrecio_V,1,MIN(10,DK$173)))*(1+V_dPrecio))</f>
        <v>0</v>
      </c>
      <c r="DL214" s="48" t="n">
        <f aca="false">IF(DL$8=1,IF(Reales!$C$50="PYG",IF(DL$10&gt;0,N(Reales!DL50)/DL$10,0),N(Reales!DL50)),DL$189*IF(AND(AND(111&gt;Corte,111&lt;=Corte+n_Ventana),ISNUMBER(Detalle_24m!DL$54)),Detalle_24m!DL$54,INDEX(Precio_V,13)*INDEX(IdxPrecio_V,1,MIN(10,DL$173)))*(1+V_dPrecio))</f>
        <v>0</v>
      </c>
      <c r="DM214" s="48" t="n">
        <f aca="false">IF(DM$8=1,IF(Reales!$C$50="PYG",IF(DM$10&gt;0,N(Reales!DM50)/DM$10,0),N(Reales!DM50)),DM$189*IF(AND(AND(112&gt;Corte,112&lt;=Corte+n_Ventana),ISNUMBER(Detalle_24m!DM$54)),Detalle_24m!DM$54,INDEX(Precio_V,13)*INDEX(IdxPrecio_V,1,MIN(10,DM$173)))*(1+V_dPrecio))</f>
        <v>0</v>
      </c>
      <c r="DN214" s="48" t="n">
        <f aca="false">IF(DN$8=1,IF(Reales!$C$50="PYG",IF(DN$10&gt;0,N(Reales!DN50)/DN$10,0),N(Reales!DN50)),DN$189*IF(AND(AND(113&gt;Corte,113&lt;=Corte+n_Ventana),ISNUMBER(Detalle_24m!DN$54)),Detalle_24m!DN$54,INDEX(Precio_V,13)*INDEX(IdxPrecio_V,1,MIN(10,DN$173)))*(1+V_dPrecio))</f>
        <v>0</v>
      </c>
      <c r="DO214" s="48" t="n">
        <f aca="false">IF(DO$8=1,IF(Reales!$C$50="PYG",IF(DO$10&gt;0,N(Reales!DO50)/DO$10,0),N(Reales!DO50)),DO$189*IF(AND(AND(114&gt;Corte,114&lt;=Corte+n_Ventana),ISNUMBER(Detalle_24m!DO$54)),Detalle_24m!DO$54,INDEX(Precio_V,13)*INDEX(IdxPrecio_V,1,MIN(10,DO$173)))*(1+V_dPrecio))</f>
        <v>0</v>
      </c>
      <c r="DP214" s="48" t="n">
        <f aca="false">IF(DP$8=1,IF(Reales!$C$50="PYG",IF(DP$10&gt;0,N(Reales!DP50)/DP$10,0),N(Reales!DP50)),DP$189*IF(AND(AND(115&gt;Corte,115&lt;=Corte+n_Ventana),ISNUMBER(Detalle_24m!DP$54)),Detalle_24m!DP$54,INDEX(Precio_V,13)*INDEX(IdxPrecio_V,1,MIN(10,DP$173)))*(1+V_dPrecio))</f>
        <v>0</v>
      </c>
      <c r="DQ214" s="48" t="n">
        <f aca="false">IF(DQ$8=1,IF(Reales!$C$50="PYG",IF(DQ$10&gt;0,N(Reales!DQ50)/DQ$10,0),N(Reales!DQ50)),DQ$189*IF(AND(AND(116&gt;Corte,116&lt;=Corte+n_Ventana),ISNUMBER(Detalle_24m!DQ$54)),Detalle_24m!DQ$54,INDEX(Precio_V,13)*INDEX(IdxPrecio_V,1,MIN(10,DQ$173)))*(1+V_dPrecio))</f>
        <v>0</v>
      </c>
      <c r="DR214" s="48" t="n">
        <f aca="false">IF(DR$8=1,IF(Reales!$C$50="PYG",IF(DR$10&gt;0,N(Reales!DR50)/DR$10,0),N(Reales!DR50)),DR$189*IF(AND(AND(117&gt;Corte,117&lt;=Corte+n_Ventana),ISNUMBER(Detalle_24m!DR$54)),Detalle_24m!DR$54,INDEX(Precio_V,13)*INDEX(IdxPrecio_V,1,MIN(10,DR$173)))*(1+V_dPrecio))</f>
        <v>0</v>
      </c>
      <c r="DS214" s="48" t="n">
        <f aca="false">IF(DS$8=1,IF(Reales!$C$50="PYG",IF(DS$10&gt;0,N(Reales!DS50)/DS$10,0),N(Reales!DS50)),DS$189*IF(AND(AND(118&gt;Corte,118&lt;=Corte+n_Ventana),ISNUMBER(Detalle_24m!DS$54)),Detalle_24m!DS$54,INDEX(Precio_V,13)*INDEX(IdxPrecio_V,1,MIN(10,DS$173)))*(1+V_dPrecio))</f>
        <v>0</v>
      </c>
      <c r="DT214" s="48" t="n">
        <f aca="false">IF(DT$8=1,IF(Reales!$C$50="PYG",IF(DT$10&gt;0,N(Reales!DT50)/DT$10,0),N(Reales!DT50)),DT$189*IF(AND(AND(119&gt;Corte,119&lt;=Corte+n_Ventana),ISNUMBER(Detalle_24m!DT$54)),Detalle_24m!DT$54,INDEX(Precio_V,13)*INDEX(IdxPrecio_V,1,MIN(10,DT$173)))*(1+V_dPrecio))</f>
        <v>0</v>
      </c>
      <c r="DU214" s="48" t="n">
        <f aca="false">IF(DU$8=1,IF(Reales!$C$50="PYG",IF(DU$10&gt;0,N(Reales!DU50)/DU$10,0),N(Reales!DU50)),DU$189*IF(AND(AND(120&gt;Corte,120&lt;=Corte+n_Ventana),ISNUMBER(Detalle_24m!DU$54)),Detalle_24m!DU$54,INDEX(Precio_V,13)*INDEX(IdxPrecio_V,1,MIN(10,DU$173)))*(1+V_dPrecio))</f>
        <v>0</v>
      </c>
      <c r="DV214" s="48" t="n">
        <f aca="false">IF(DV$8=1,IF(Reales!$C$50="PYG",IF(DV$10&gt;0,N(Reales!DV50)/DV$10,0),N(Reales!DV50)),DV$189*IF(AND(AND(121&gt;Corte,121&lt;=Corte+n_Ventana),ISNUMBER(Detalle_24m!DV$54)),Detalle_24m!DV$54,INDEX(Precio_V,13)*INDEX(IdxPrecio_V,1,MIN(10,DV$173)))*(1+V_dPrecio))</f>
        <v>0</v>
      </c>
      <c r="DW214" s="48" t="n">
        <f aca="false">IF(DW$8=1,IF(Reales!$C$50="PYG",IF(DW$10&gt;0,N(Reales!DW50)/DW$10,0),N(Reales!DW50)),DW$189*IF(AND(AND(122&gt;Corte,122&lt;=Corte+n_Ventana),ISNUMBER(Detalle_24m!DW$54)),Detalle_24m!DW$54,INDEX(Precio_V,13)*INDEX(IdxPrecio_V,1,MIN(10,DW$173)))*(1+V_dPrecio))</f>
        <v>0</v>
      </c>
      <c r="DX214" s="48" t="n">
        <f aca="false">IF(DX$8=1,IF(Reales!$C$50="PYG",IF(DX$10&gt;0,N(Reales!DX50)/DX$10,0),N(Reales!DX50)),DX$189*IF(AND(AND(123&gt;Corte,123&lt;=Corte+n_Ventana),ISNUMBER(Detalle_24m!DX$54)),Detalle_24m!DX$54,INDEX(Precio_V,13)*INDEX(IdxPrecio_V,1,MIN(10,DX$173)))*(1+V_dPrecio))</f>
        <v>0</v>
      </c>
      <c r="DY214" s="48" t="n">
        <f aca="false">IF(DY$8=1,IF(Reales!$C$50="PYG",IF(DY$10&gt;0,N(Reales!DY50)/DY$10,0),N(Reales!DY50)),DY$189*IF(AND(AND(124&gt;Corte,124&lt;=Corte+n_Ventana),ISNUMBER(Detalle_24m!DY$54)),Detalle_24m!DY$54,INDEX(Precio_V,13)*INDEX(IdxPrecio_V,1,MIN(10,DY$173)))*(1+V_dPrecio))</f>
        <v>0</v>
      </c>
      <c r="DZ214" s="48" t="n">
        <f aca="false">IF(DZ$8=1,IF(Reales!$C$50="PYG",IF(DZ$10&gt;0,N(Reales!DZ50)/DZ$10,0),N(Reales!DZ50)),DZ$189*IF(AND(AND(125&gt;Corte,125&lt;=Corte+n_Ventana),ISNUMBER(Detalle_24m!DZ$54)),Detalle_24m!DZ$54,INDEX(Precio_V,13)*INDEX(IdxPrecio_V,1,MIN(10,DZ$173)))*(1+V_dPrecio))</f>
        <v>0</v>
      </c>
      <c r="EA214" s="48" t="n">
        <f aca="false">IF(EA$8=1,IF(Reales!$C$50="PYG",IF(EA$10&gt;0,N(Reales!EA50)/EA$10,0),N(Reales!EA50)),EA$189*IF(AND(AND(126&gt;Corte,126&lt;=Corte+n_Ventana),ISNUMBER(Detalle_24m!EA$54)),Detalle_24m!EA$54,INDEX(Precio_V,13)*INDEX(IdxPrecio_V,1,MIN(10,EA$173)))*(1+V_dPrecio))</f>
        <v>0</v>
      </c>
      <c r="EB214" s="48" t="n">
        <f aca="false">IF(EB$8=1,IF(Reales!$C$50="PYG",IF(EB$10&gt;0,N(Reales!EB50)/EB$10,0),N(Reales!EB50)),EB$189*IF(AND(AND(127&gt;Corte,127&lt;=Corte+n_Ventana),ISNUMBER(Detalle_24m!EB$54)),Detalle_24m!EB$54,INDEX(Precio_V,13)*INDEX(IdxPrecio_V,1,MIN(10,EB$173)))*(1+V_dPrecio))</f>
        <v>0</v>
      </c>
      <c r="EC214" s="48" t="n">
        <f aca="false">IF(EC$8=1,IF(Reales!$C$50="PYG",IF(EC$10&gt;0,N(Reales!EC50)/EC$10,0),N(Reales!EC50)),EC$189*IF(AND(AND(128&gt;Corte,128&lt;=Corte+n_Ventana),ISNUMBER(Detalle_24m!EC$54)),Detalle_24m!EC$54,INDEX(Precio_V,13)*INDEX(IdxPrecio_V,1,MIN(10,EC$173)))*(1+V_dPrecio))</f>
        <v>0</v>
      </c>
      <c r="ED214" s="48" t="n">
        <f aca="false">IF(ED$8=1,IF(Reales!$C$50="PYG",IF(ED$10&gt;0,N(Reales!ED50)/ED$10,0),N(Reales!ED50)),ED$189*IF(AND(AND(129&gt;Corte,129&lt;=Corte+n_Ventana),ISNUMBER(Detalle_24m!ED$54)),Detalle_24m!ED$54,INDEX(Precio_V,13)*INDEX(IdxPrecio_V,1,MIN(10,ED$173)))*(1+V_dPrecio))</f>
        <v>0</v>
      </c>
      <c r="EE214" s="48" t="n">
        <f aca="false">IF(EE$8=1,IF(Reales!$C$50="PYG",IF(EE$10&gt;0,N(Reales!EE50)/EE$10,0),N(Reales!EE50)),EE$189*IF(AND(AND(130&gt;Corte,130&lt;=Corte+n_Ventana),ISNUMBER(Detalle_24m!EE$54)),Detalle_24m!EE$54,INDEX(Precio_V,13)*INDEX(IdxPrecio_V,1,MIN(10,EE$173)))*(1+V_dPrecio))</f>
        <v>0</v>
      </c>
      <c r="EF214" s="48" t="n">
        <f aca="false">IF(EF$8=1,IF(Reales!$C$50="PYG",IF(EF$10&gt;0,N(Reales!EF50)/EF$10,0),N(Reales!EF50)),EF$189*IF(AND(AND(131&gt;Corte,131&lt;=Corte+n_Ventana),ISNUMBER(Detalle_24m!EF$54)),Detalle_24m!EF$54,INDEX(Precio_V,13)*INDEX(IdxPrecio_V,1,MIN(10,EF$173)))*(1+V_dPrecio))</f>
        <v>0</v>
      </c>
      <c r="EG214" s="48" t="n">
        <f aca="false">IF(EG$8=1,IF(Reales!$C$50="PYG",IF(EG$10&gt;0,N(Reales!EG50)/EG$10,0),N(Reales!EG50)),EG$189*IF(AND(AND(132&gt;Corte,132&lt;=Corte+n_Ventana),ISNUMBER(Detalle_24m!EG$54)),Detalle_24m!EG$54,INDEX(Precio_V,13)*INDEX(IdxPrecio_V,1,MIN(10,EG$173)))*(1+V_dPrecio))</f>
        <v>0</v>
      </c>
      <c r="EH214" s="48" t="n">
        <f aca="false">IF(EH$8=1,IF(Reales!$C$50="PYG",IF(EH$10&gt;0,N(Reales!EH50)/EH$10,0),N(Reales!EH50)),EH$189*IF(AND(AND(133&gt;Corte,133&lt;=Corte+n_Ventana),ISNUMBER(Detalle_24m!EH$54)),Detalle_24m!EH$54,INDEX(Precio_V,13)*INDEX(IdxPrecio_V,1,MIN(10,EH$173)))*(1+V_dPrecio))</f>
        <v>0</v>
      </c>
      <c r="EI214" s="48" t="n">
        <f aca="false">IF(EI$8=1,IF(Reales!$C$50="PYG",IF(EI$10&gt;0,N(Reales!EI50)/EI$10,0),N(Reales!EI50)),EI$189*IF(AND(AND(134&gt;Corte,134&lt;=Corte+n_Ventana),ISNUMBER(Detalle_24m!EI$54)),Detalle_24m!EI$54,INDEX(Precio_V,13)*INDEX(IdxPrecio_V,1,MIN(10,EI$173)))*(1+V_dPrecio))</f>
        <v>0</v>
      </c>
      <c r="EJ214" s="48" t="n">
        <f aca="false">IF(EJ$8=1,IF(Reales!$C$50="PYG",IF(EJ$10&gt;0,N(Reales!EJ50)/EJ$10,0),N(Reales!EJ50)),EJ$189*IF(AND(AND(135&gt;Corte,135&lt;=Corte+n_Ventana),ISNUMBER(Detalle_24m!EJ$54)),Detalle_24m!EJ$54,INDEX(Precio_V,13)*INDEX(IdxPrecio_V,1,MIN(10,EJ$173)))*(1+V_dPrecio))</f>
        <v>0</v>
      </c>
      <c r="EK214" s="48" t="n">
        <f aca="false">IF(EK$8=1,IF(Reales!$C$50="PYG",IF(EK$10&gt;0,N(Reales!EK50)/EK$10,0),N(Reales!EK50)),EK$189*IF(AND(AND(136&gt;Corte,136&lt;=Corte+n_Ventana),ISNUMBER(Detalle_24m!EK$54)),Detalle_24m!EK$54,INDEX(Precio_V,13)*INDEX(IdxPrecio_V,1,MIN(10,EK$173)))*(1+V_dPrecio))</f>
        <v>0</v>
      </c>
      <c r="EL214" s="48" t="n">
        <f aca="false">IF(EL$8=1,IF(Reales!$C$50="PYG",IF(EL$10&gt;0,N(Reales!EL50)/EL$10,0),N(Reales!EL50)),EL$189*IF(AND(AND(137&gt;Corte,137&lt;=Corte+n_Ventana),ISNUMBER(Detalle_24m!EL$54)),Detalle_24m!EL$54,INDEX(Precio_V,13)*INDEX(IdxPrecio_V,1,MIN(10,EL$173)))*(1+V_dPrecio))</f>
        <v>0</v>
      </c>
      <c r="EM214" s="48" t="n">
        <f aca="false">IF(EM$8=1,IF(Reales!$C$50="PYG",IF(EM$10&gt;0,N(Reales!EM50)/EM$10,0),N(Reales!EM50)),EM$189*IF(AND(AND(138&gt;Corte,138&lt;=Corte+n_Ventana),ISNUMBER(Detalle_24m!EM$54)),Detalle_24m!EM$54,INDEX(Precio_V,13)*INDEX(IdxPrecio_V,1,MIN(10,EM$173)))*(1+V_dPrecio))</f>
        <v>0</v>
      </c>
      <c r="EN214" s="48" t="n">
        <f aca="false">IF(EN$8=1,IF(Reales!$C$50="PYG",IF(EN$10&gt;0,N(Reales!EN50)/EN$10,0),N(Reales!EN50)),EN$189*IF(AND(AND(139&gt;Corte,139&lt;=Corte+n_Ventana),ISNUMBER(Detalle_24m!EN$54)),Detalle_24m!EN$54,INDEX(Precio_V,13)*INDEX(IdxPrecio_V,1,MIN(10,EN$173)))*(1+V_dPrecio))</f>
        <v>0</v>
      </c>
      <c r="EO214" s="48" t="n">
        <f aca="false">IF(EO$8=1,IF(Reales!$C$50="PYG",IF(EO$10&gt;0,N(Reales!EO50)/EO$10,0),N(Reales!EO50)),EO$189*IF(AND(AND(140&gt;Corte,140&lt;=Corte+n_Ventana),ISNUMBER(Detalle_24m!EO$54)),Detalle_24m!EO$54,INDEX(Precio_V,13)*INDEX(IdxPrecio_V,1,MIN(10,EO$173)))*(1+V_dPrecio))</f>
        <v>0</v>
      </c>
      <c r="EP214" s="48" t="n">
        <f aca="false">IF(EP$8=1,IF(Reales!$C$50="PYG",IF(EP$10&gt;0,N(Reales!EP50)/EP$10,0),N(Reales!EP50)),EP$189*IF(AND(AND(141&gt;Corte,141&lt;=Corte+n_Ventana),ISNUMBER(Detalle_24m!EP$54)),Detalle_24m!EP$54,INDEX(Precio_V,13)*INDEX(IdxPrecio_V,1,MIN(10,EP$173)))*(1+V_dPrecio))</f>
        <v>0</v>
      </c>
      <c r="EQ214" s="48" t="n">
        <f aca="false">IF(EQ$8=1,IF(Reales!$C$50="PYG",IF(EQ$10&gt;0,N(Reales!EQ50)/EQ$10,0),N(Reales!EQ50)),EQ$189*IF(AND(AND(142&gt;Corte,142&lt;=Corte+n_Ventana),ISNUMBER(Detalle_24m!EQ$54)),Detalle_24m!EQ$54,INDEX(Precio_V,13)*INDEX(IdxPrecio_V,1,MIN(10,EQ$173)))*(1+V_dPrecio))</f>
        <v>0</v>
      </c>
      <c r="ER214" s="48" t="n">
        <f aca="false">IF(ER$8=1,IF(Reales!$C$50="PYG",IF(ER$10&gt;0,N(Reales!ER50)/ER$10,0),N(Reales!ER50)),ER$189*IF(AND(AND(143&gt;Corte,143&lt;=Corte+n_Ventana),ISNUMBER(Detalle_24m!ER$54)),Detalle_24m!ER$54,INDEX(Precio_V,13)*INDEX(IdxPrecio_V,1,MIN(10,ER$173)))*(1+V_dPrecio))</f>
        <v>0</v>
      </c>
      <c r="ES214" s="48" t="n">
        <f aca="false">IF(ES$8=1,IF(Reales!$C$50="PYG",IF(ES$10&gt;0,N(Reales!ES50)/ES$10,0),N(Reales!ES50)),ES$189*IF(AND(AND(144&gt;Corte,144&lt;=Corte+n_Ventana),ISNUMBER(Detalle_24m!ES$54)),Detalle_24m!ES$54,INDEX(Precio_V,13)*INDEX(IdxPrecio_V,1,MIN(10,ES$173)))*(1+V_dPrecio))</f>
        <v>0</v>
      </c>
    </row>
    <row r="215" customFormat="false" ht="15" hidden="false" customHeight="false" outlineLevel="0" collapsed="false">
      <c r="A215" s="11" t="s">
        <v>1338</v>
      </c>
      <c r="B215" s="53" t="str">
        <f aca="false">IF(INDEX(Prod_Nombre,14)="","Producto 14",INDEX(Prod_Nombre,14))&amp;" — ventas USD"</f>
        <v>Producto 14 — ventas USD</v>
      </c>
      <c r="C215" s="15" t="s">
        <v>508</v>
      </c>
      <c r="E215" s="54" t="n">
        <f aca="false">SUM(F215:ES215)</f>
        <v>0</v>
      </c>
      <c r="F215" s="48" t="n">
        <f aca="false">IF(F$8=1,IF(Reales!$C$51="PYG",IF(F$10&gt;0,N(Reales!F51)/F$10,0),N(Reales!F51)),F$190*IF(AND(AND(1&gt;Corte,1&lt;=Corte+n_Ventana),ISNUMBER(Detalle_24m!F$55)),Detalle_24m!F$55,INDEX(Precio_V,14)*INDEX(IdxPrecio_V,1,MIN(10,F$173)))*(1+V_dPrecio))</f>
        <v>0</v>
      </c>
      <c r="G215" s="48" t="n">
        <f aca="false">IF(G$8=1,IF(Reales!$C$51="PYG",IF(G$10&gt;0,N(Reales!G51)/G$10,0),N(Reales!G51)),G$190*IF(AND(AND(2&gt;Corte,2&lt;=Corte+n_Ventana),ISNUMBER(Detalle_24m!G$55)),Detalle_24m!G$55,INDEX(Precio_V,14)*INDEX(IdxPrecio_V,1,MIN(10,G$173)))*(1+V_dPrecio))</f>
        <v>0</v>
      </c>
      <c r="H215" s="48" t="n">
        <f aca="false">IF(H$8=1,IF(Reales!$C$51="PYG",IF(H$10&gt;0,N(Reales!H51)/H$10,0),N(Reales!H51)),H$190*IF(AND(AND(3&gt;Corte,3&lt;=Corte+n_Ventana),ISNUMBER(Detalle_24m!H$55)),Detalle_24m!H$55,INDEX(Precio_V,14)*INDEX(IdxPrecio_V,1,MIN(10,H$173)))*(1+V_dPrecio))</f>
        <v>0</v>
      </c>
      <c r="I215" s="48" t="n">
        <f aca="false">IF(I$8=1,IF(Reales!$C$51="PYG",IF(I$10&gt;0,N(Reales!I51)/I$10,0),N(Reales!I51)),I$190*IF(AND(AND(4&gt;Corte,4&lt;=Corte+n_Ventana),ISNUMBER(Detalle_24m!I$55)),Detalle_24m!I$55,INDEX(Precio_V,14)*INDEX(IdxPrecio_V,1,MIN(10,I$173)))*(1+V_dPrecio))</f>
        <v>0</v>
      </c>
      <c r="J215" s="48" t="n">
        <f aca="false">IF(J$8=1,IF(Reales!$C$51="PYG",IF(J$10&gt;0,N(Reales!J51)/J$10,0),N(Reales!J51)),J$190*IF(AND(AND(5&gt;Corte,5&lt;=Corte+n_Ventana),ISNUMBER(Detalle_24m!J$55)),Detalle_24m!J$55,INDEX(Precio_V,14)*INDEX(IdxPrecio_V,1,MIN(10,J$173)))*(1+V_dPrecio))</f>
        <v>0</v>
      </c>
      <c r="K215" s="48" t="n">
        <f aca="false">IF(K$8=1,IF(Reales!$C$51="PYG",IF(K$10&gt;0,N(Reales!K51)/K$10,0),N(Reales!K51)),K$190*IF(AND(AND(6&gt;Corte,6&lt;=Corte+n_Ventana),ISNUMBER(Detalle_24m!K$55)),Detalle_24m!K$55,INDEX(Precio_V,14)*INDEX(IdxPrecio_V,1,MIN(10,K$173)))*(1+V_dPrecio))</f>
        <v>0</v>
      </c>
      <c r="L215" s="48" t="n">
        <f aca="false">IF(L$8=1,IF(Reales!$C$51="PYG",IF(L$10&gt;0,N(Reales!L51)/L$10,0),N(Reales!L51)),L$190*IF(AND(AND(7&gt;Corte,7&lt;=Corte+n_Ventana),ISNUMBER(Detalle_24m!L$55)),Detalle_24m!L$55,INDEX(Precio_V,14)*INDEX(IdxPrecio_V,1,MIN(10,L$173)))*(1+V_dPrecio))</f>
        <v>0</v>
      </c>
      <c r="M215" s="48" t="n">
        <f aca="false">IF(M$8=1,IF(Reales!$C$51="PYG",IF(M$10&gt;0,N(Reales!M51)/M$10,0),N(Reales!M51)),M$190*IF(AND(AND(8&gt;Corte,8&lt;=Corte+n_Ventana),ISNUMBER(Detalle_24m!M$55)),Detalle_24m!M$55,INDEX(Precio_V,14)*INDEX(IdxPrecio_V,1,MIN(10,M$173)))*(1+V_dPrecio))</f>
        <v>0</v>
      </c>
      <c r="N215" s="48" t="n">
        <f aca="false">IF(N$8=1,IF(Reales!$C$51="PYG",IF(N$10&gt;0,N(Reales!N51)/N$10,0),N(Reales!N51)),N$190*IF(AND(AND(9&gt;Corte,9&lt;=Corte+n_Ventana),ISNUMBER(Detalle_24m!N$55)),Detalle_24m!N$55,INDEX(Precio_V,14)*INDEX(IdxPrecio_V,1,MIN(10,N$173)))*(1+V_dPrecio))</f>
        <v>0</v>
      </c>
      <c r="O215" s="48" t="n">
        <f aca="false">IF(O$8=1,IF(Reales!$C$51="PYG",IF(O$10&gt;0,N(Reales!O51)/O$10,0),N(Reales!O51)),O$190*IF(AND(AND(10&gt;Corte,10&lt;=Corte+n_Ventana),ISNUMBER(Detalle_24m!O$55)),Detalle_24m!O$55,INDEX(Precio_V,14)*INDEX(IdxPrecio_V,1,MIN(10,O$173)))*(1+V_dPrecio))</f>
        <v>0</v>
      </c>
      <c r="P215" s="48" t="n">
        <f aca="false">IF(P$8=1,IF(Reales!$C$51="PYG",IF(P$10&gt;0,N(Reales!P51)/P$10,0),N(Reales!P51)),P$190*IF(AND(AND(11&gt;Corte,11&lt;=Corte+n_Ventana),ISNUMBER(Detalle_24m!P$55)),Detalle_24m!P$55,INDEX(Precio_V,14)*INDEX(IdxPrecio_V,1,MIN(10,P$173)))*(1+V_dPrecio))</f>
        <v>0</v>
      </c>
      <c r="Q215" s="48" t="n">
        <f aca="false">IF(Q$8=1,IF(Reales!$C$51="PYG",IF(Q$10&gt;0,N(Reales!Q51)/Q$10,0),N(Reales!Q51)),Q$190*IF(AND(AND(12&gt;Corte,12&lt;=Corte+n_Ventana),ISNUMBER(Detalle_24m!Q$55)),Detalle_24m!Q$55,INDEX(Precio_V,14)*INDEX(IdxPrecio_V,1,MIN(10,Q$173)))*(1+V_dPrecio))</f>
        <v>0</v>
      </c>
      <c r="R215" s="48" t="n">
        <f aca="false">IF(R$8=1,IF(Reales!$C$51="PYG",IF(R$10&gt;0,N(Reales!R51)/R$10,0),N(Reales!R51)),R$190*IF(AND(AND(13&gt;Corte,13&lt;=Corte+n_Ventana),ISNUMBER(Detalle_24m!R$55)),Detalle_24m!R$55,INDEX(Precio_V,14)*INDEX(IdxPrecio_V,1,MIN(10,R$173)))*(1+V_dPrecio))</f>
        <v>0</v>
      </c>
      <c r="S215" s="48" t="n">
        <f aca="false">IF(S$8=1,IF(Reales!$C$51="PYG",IF(S$10&gt;0,N(Reales!S51)/S$10,0),N(Reales!S51)),S$190*IF(AND(AND(14&gt;Corte,14&lt;=Corte+n_Ventana),ISNUMBER(Detalle_24m!S$55)),Detalle_24m!S$55,INDEX(Precio_V,14)*INDEX(IdxPrecio_V,1,MIN(10,S$173)))*(1+V_dPrecio))</f>
        <v>0</v>
      </c>
      <c r="T215" s="48" t="n">
        <f aca="false">IF(T$8=1,IF(Reales!$C$51="PYG",IF(T$10&gt;0,N(Reales!T51)/T$10,0),N(Reales!T51)),T$190*IF(AND(AND(15&gt;Corte,15&lt;=Corte+n_Ventana),ISNUMBER(Detalle_24m!T$55)),Detalle_24m!T$55,INDEX(Precio_V,14)*INDEX(IdxPrecio_V,1,MIN(10,T$173)))*(1+V_dPrecio))</f>
        <v>0</v>
      </c>
      <c r="U215" s="48" t="n">
        <f aca="false">IF(U$8=1,IF(Reales!$C$51="PYG",IF(U$10&gt;0,N(Reales!U51)/U$10,0),N(Reales!U51)),U$190*IF(AND(AND(16&gt;Corte,16&lt;=Corte+n_Ventana),ISNUMBER(Detalle_24m!U$55)),Detalle_24m!U$55,INDEX(Precio_V,14)*INDEX(IdxPrecio_V,1,MIN(10,U$173)))*(1+V_dPrecio))</f>
        <v>0</v>
      </c>
      <c r="V215" s="48" t="n">
        <f aca="false">IF(V$8=1,IF(Reales!$C$51="PYG",IF(V$10&gt;0,N(Reales!V51)/V$10,0),N(Reales!V51)),V$190*IF(AND(AND(17&gt;Corte,17&lt;=Corte+n_Ventana),ISNUMBER(Detalle_24m!V$55)),Detalle_24m!V$55,INDEX(Precio_V,14)*INDEX(IdxPrecio_V,1,MIN(10,V$173)))*(1+V_dPrecio))</f>
        <v>0</v>
      </c>
      <c r="W215" s="48" t="n">
        <f aca="false">IF(W$8=1,IF(Reales!$C$51="PYG",IF(W$10&gt;0,N(Reales!W51)/W$10,0),N(Reales!W51)),W$190*IF(AND(AND(18&gt;Corte,18&lt;=Corte+n_Ventana),ISNUMBER(Detalle_24m!W$55)),Detalle_24m!W$55,INDEX(Precio_V,14)*INDEX(IdxPrecio_V,1,MIN(10,W$173)))*(1+V_dPrecio))</f>
        <v>0</v>
      </c>
      <c r="X215" s="48" t="n">
        <f aca="false">IF(X$8=1,IF(Reales!$C$51="PYG",IF(X$10&gt;0,N(Reales!X51)/X$10,0),N(Reales!X51)),X$190*IF(AND(AND(19&gt;Corte,19&lt;=Corte+n_Ventana),ISNUMBER(Detalle_24m!X$55)),Detalle_24m!X$55,INDEX(Precio_V,14)*INDEX(IdxPrecio_V,1,MIN(10,X$173)))*(1+V_dPrecio))</f>
        <v>0</v>
      </c>
      <c r="Y215" s="48" t="n">
        <f aca="false">IF(Y$8=1,IF(Reales!$C$51="PYG",IF(Y$10&gt;0,N(Reales!Y51)/Y$10,0),N(Reales!Y51)),Y$190*IF(AND(AND(20&gt;Corte,20&lt;=Corte+n_Ventana),ISNUMBER(Detalle_24m!Y$55)),Detalle_24m!Y$55,INDEX(Precio_V,14)*INDEX(IdxPrecio_V,1,MIN(10,Y$173)))*(1+V_dPrecio))</f>
        <v>0</v>
      </c>
      <c r="Z215" s="48" t="n">
        <f aca="false">IF(Z$8=1,IF(Reales!$C$51="PYG",IF(Z$10&gt;0,N(Reales!Z51)/Z$10,0),N(Reales!Z51)),Z$190*IF(AND(AND(21&gt;Corte,21&lt;=Corte+n_Ventana),ISNUMBER(Detalle_24m!Z$55)),Detalle_24m!Z$55,INDEX(Precio_V,14)*INDEX(IdxPrecio_V,1,MIN(10,Z$173)))*(1+V_dPrecio))</f>
        <v>0</v>
      </c>
      <c r="AA215" s="48" t="n">
        <f aca="false">IF(AA$8=1,IF(Reales!$C$51="PYG",IF(AA$10&gt;0,N(Reales!AA51)/AA$10,0),N(Reales!AA51)),AA$190*IF(AND(AND(22&gt;Corte,22&lt;=Corte+n_Ventana),ISNUMBER(Detalle_24m!AA$55)),Detalle_24m!AA$55,INDEX(Precio_V,14)*INDEX(IdxPrecio_V,1,MIN(10,AA$173)))*(1+V_dPrecio))</f>
        <v>0</v>
      </c>
      <c r="AB215" s="48" t="n">
        <f aca="false">IF(AB$8=1,IF(Reales!$C$51="PYG",IF(AB$10&gt;0,N(Reales!AB51)/AB$10,0),N(Reales!AB51)),AB$190*IF(AND(AND(23&gt;Corte,23&lt;=Corte+n_Ventana),ISNUMBER(Detalle_24m!AB$55)),Detalle_24m!AB$55,INDEX(Precio_V,14)*INDEX(IdxPrecio_V,1,MIN(10,AB$173)))*(1+V_dPrecio))</f>
        <v>0</v>
      </c>
      <c r="AC215" s="48" t="n">
        <f aca="false">IF(AC$8=1,IF(Reales!$C$51="PYG",IF(AC$10&gt;0,N(Reales!AC51)/AC$10,0),N(Reales!AC51)),AC$190*IF(AND(AND(24&gt;Corte,24&lt;=Corte+n_Ventana),ISNUMBER(Detalle_24m!AC$55)),Detalle_24m!AC$55,INDEX(Precio_V,14)*INDEX(IdxPrecio_V,1,MIN(10,AC$173)))*(1+V_dPrecio))</f>
        <v>0</v>
      </c>
      <c r="AD215" s="48" t="n">
        <f aca="false">IF(AD$8=1,IF(Reales!$C$51="PYG",IF(AD$10&gt;0,N(Reales!AD51)/AD$10,0),N(Reales!AD51)),AD$190*IF(AND(AND(25&gt;Corte,25&lt;=Corte+n_Ventana),ISNUMBER(Detalle_24m!AD$55)),Detalle_24m!AD$55,INDEX(Precio_V,14)*INDEX(IdxPrecio_V,1,MIN(10,AD$173)))*(1+V_dPrecio))</f>
        <v>0</v>
      </c>
      <c r="AE215" s="48" t="n">
        <f aca="false">IF(AE$8=1,IF(Reales!$C$51="PYG",IF(AE$10&gt;0,N(Reales!AE51)/AE$10,0),N(Reales!AE51)),AE$190*IF(AND(AND(26&gt;Corte,26&lt;=Corte+n_Ventana),ISNUMBER(Detalle_24m!AE$55)),Detalle_24m!AE$55,INDEX(Precio_V,14)*INDEX(IdxPrecio_V,1,MIN(10,AE$173)))*(1+V_dPrecio))</f>
        <v>0</v>
      </c>
      <c r="AF215" s="48" t="n">
        <f aca="false">IF(AF$8=1,IF(Reales!$C$51="PYG",IF(AF$10&gt;0,N(Reales!AF51)/AF$10,0),N(Reales!AF51)),AF$190*IF(AND(AND(27&gt;Corte,27&lt;=Corte+n_Ventana),ISNUMBER(Detalle_24m!AF$55)),Detalle_24m!AF$55,INDEX(Precio_V,14)*INDEX(IdxPrecio_V,1,MIN(10,AF$173)))*(1+V_dPrecio))</f>
        <v>0</v>
      </c>
      <c r="AG215" s="48" t="n">
        <f aca="false">IF(AG$8=1,IF(Reales!$C$51="PYG",IF(AG$10&gt;0,N(Reales!AG51)/AG$10,0),N(Reales!AG51)),AG$190*IF(AND(AND(28&gt;Corte,28&lt;=Corte+n_Ventana),ISNUMBER(Detalle_24m!AG$55)),Detalle_24m!AG$55,INDEX(Precio_V,14)*INDEX(IdxPrecio_V,1,MIN(10,AG$173)))*(1+V_dPrecio))</f>
        <v>0</v>
      </c>
      <c r="AH215" s="48" t="n">
        <f aca="false">IF(AH$8=1,IF(Reales!$C$51="PYG",IF(AH$10&gt;0,N(Reales!AH51)/AH$10,0),N(Reales!AH51)),AH$190*IF(AND(AND(29&gt;Corte,29&lt;=Corte+n_Ventana),ISNUMBER(Detalle_24m!AH$55)),Detalle_24m!AH$55,INDEX(Precio_V,14)*INDEX(IdxPrecio_V,1,MIN(10,AH$173)))*(1+V_dPrecio))</f>
        <v>0</v>
      </c>
      <c r="AI215" s="48" t="n">
        <f aca="false">IF(AI$8=1,IF(Reales!$C$51="PYG",IF(AI$10&gt;0,N(Reales!AI51)/AI$10,0),N(Reales!AI51)),AI$190*IF(AND(AND(30&gt;Corte,30&lt;=Corte+n_Ventana),ISNUMBER(Detalle_24m!AI$55)),Detalle_24m!AI$55,INDEX(Precio_V,14)*INDEX(IdxPrecio_V,1,MIN(10,AI$173)))*(1+V_dPrecio))</f>
        <v>0</v>
      </c>
      <c r="AJ215" s="48" t="n">
        <f aca="false">IF(AJ$8=1,IF(Reales!$C$51="PYG",IF(AJ$10&gt;0,N(Reales!AJ51)/AJ$10,0),N(Reales!AJ51)),AJ$190*IF(AND(AND(31&gt;Corte,31&lt;=Corte+n_Ventana),ISNUMBER(Detalle_24m!AJ$55)),Detalle_24m!AJ$55,INDEX(Precio_V,14)*INDEX(IdxPrecio_V,1,MIN(10,AJ$173)))*(1+V_dPrecio))</f>
        <v>0</v>
      </c>
      <c r="AK215" s="48" t="n">
        <f aca="false">IF(AK$8=1,IF(Reales!$C$51="PYG",IF(AK$10&gt;0,N(Reales!AK51)/AK$10,0),N(Reales!AK51)),AK$190*IF(AND(AND(32&gt;Corte,32&lt;=Corte+n_Ventana),ISNUMBER(Detalle_24m!AK$55)),Detalle_24m!AK$55,INDEX(Precio_V,14)*INDEX(IdxPrecio_V,1,MIN(10,AK$173)))*(1+V_dPrecio))</f>
        <v>0</v>
      </c>
      <c r="AL215" s="48" t="n">
        <f aca="false">IF(AL$8=1,IF(Reales!$C$51="PYG",IF(AL$10&gt;0,N(Reales!AL51)/AL$10,0),N(Reales!AL51)),AL$190*IF(AND(AND(33&gt;Corte,33&lt;=Corte+n_Ventana),ISNUMBER(Detalle_24m!AL$55)),Detalle_24m!AL$55,INDEX(Precio_V,14)*INDEX(IdxPrecio_V,1,MIN(10,AL$173)))*(1+V_dPrecio))</f>
        <v>0</v>
      </c>
      <c r="AM215" s="48" t="n">
        <f aca="false">IF(AM$8=1,IF(Reales!$C$51="PYG",IF(AM$10&gt;0,N(Reales!AM51)/AM$10,0),N(Reales!AM51)),AM$190*IF(AND(AND(34&gt;Corte,34&lt;=Corte+n_Ventana),ISNUMBER(Detalle_24m!AM$55)),Detalle_24m!AM$55,INDEX(Precio_V,14)*INDEX(IdxPrecio_V,1,MIN(10,AM$173)))*(1+V_dPrecio))</f>
        <v>0</v>
      </c>
      <c r="AN215" s="48" t="n">
        <f aca="false">IF(AN$8=1,IF(Reales!$C$51="PYG",IF(AN$10&gt;0,N(Reales!AN51)/AN$10,0),N(Reales!AN51)),AN$190*IF(AND(AND(35&gt;Corte,35&lt;=Corte+n_Ventana),ISNUMBER(Detalle_24m!AN$55)),Detalle_24m!AN$55,INDEX(Precio_V,14)*INDEX(IdxPrecio_V,1,MIN(10,AN$173)))*(1+V_dPrecio))</f>
        <v>0</v>
      </c>
      <c r="AO215" s="48" t="n">
        <f aca="false">IF(AO$8=1,IF(Reales!$C$51="PYG",IF(AO$10&gt;0,N(Reales!AO51)/AO$10,0),N(Reales!AO51)),AO$190*IF(AND(AND(36&gt;Corte,36&lt;=Corte+n_Ventana),ISNUMBER(Detalle_24m!AO$55)),Detalle_24m!AO$55,INDEX(Precio_V,14)*INDEX(IdxPrecio_V,1,MIN(10,AO$173)))*(1+V_dPrecio))</f>
        <v>0</v>
      </c>
      <c r="AP215" s="48" t="n">
        <f aca="false">IF(AP$8=1,IF(Reales!$C$51="PYG",IF(AP$10&gt;0,N(Reales!AP51)/AP$10,0),N(Reales!AP51)),AP$190*IF(AND(AND(37&gt;Corte,37&lt;=Corte+n_Ventana),ISNUMBER(Detalle_24m!AP$55)),Detalle_24m!AP$55,INDEX(Precio_V,14)*INDEX(IdxPrecio_V,1,MIN(10,AP$173)))*(1+V_dPrecio))</f>
        <v>0</v>
      </c>
      <c r="AQ215" s="48" t="n">
        <f aca="false">IF(AQ$8=1,IF(Reales!$C$51="PYG",IF(AQ$10&gt;0,N(Reales!AQ51)/AQ$10,0),N(Reales!AQ51)),AQ$190*IF(AND(AND(38&gt;Corte,38&lt;=Corte+n_Ventana),ISNUMBER(Detalle_24m!AQ$55)),Detalle_24m!AQ$55,INDEX(Precio_V,14)*INDEX(IdxPrecio_V,1,MIN(10,AQ$173)))*(1+V_dPrecio))</f>
        <v>0</v>
      </c>
      <c r="AR215" s="48" t="n">
        <f aca="false">IF(AR$8=1,IF(Reales!$C$51="PYG",IF(AR$10&gt;0,N(Reales!AR51)/AR$10,0),N(Reales!AR51)),AR$190*IF(AND(AND(39&gt;Corte,39&lt;=Corte+n_Ventana),ISNUMBER(Detalle_24m!AR$55)),Detalle_24m!AR$55,INDEX(Precio_V,14)*INDEX(IdxPrecio_V,1,MIN(10,AR$173)))*(1+V_dPrecio))</f>
        <v>0</v>
      </c>
      <c r="AS215" s="48" t="n">
        <f aca="false">IF(AS$8=1,IF(Reales!$C$51="PYG",IF(AS$10&gt;0,N(Reales!AS51)/AS$10,0),N(Reales!AS51)),AS$190*IF(AND(AND(40&gt;Corte,40&lt;=Corte+n_Ventana),ISNUMBER(Detalle_24m!AS$55)),Detalle_24m!AS$55,INDEX(Precio_V,14)*INDEX(IdxPrecio_V,1,MIN(10,AS$173)))*(1+V_dPrecio))</f>
        <v>0</v>
      </c>
      <c r="AT215" s="48" t="n">
        <f aca="false">IF(AT$8=1,IF(Reales!$C$51="PYG",IF(AT$10&gt;0,N(Reales!AT51)/AT$10,0),N(Reales!AT51)),AT$190*IF(AND(AND(41&gt;Corte,41&lt;=Corte+n_Ventana),ISNUMBER(Detalle_24m!AT$55)),Detalle_24m!AT$55,INDEX(Precio_V,14)*INDEX(IdxPrecio_V,1,MIN(10,AT$173)))*(1+V_dPrecio))</f>
        <v>0</v>
      </c>
      <c r="AU215" s="48" t="n">
        <f aca="false">IF(AU$8=1,IF(Reales!$C$51="PYG",IF(AU$10&gt;0,N(Reales!AU51)/AU$10,0),N(Reales!AU51)),AU$190*IF(AND(AND(42&gt;Corte,42&lt;=Corte+n_Ventana),ISNUMBER(Detalle_24m!AU$55)),Detalle_24m!AU$55,INDEX(Precio_V,14)*INDEX(IdxPrecio_V,1,MIN(10,AU$173)))*(1+V_dPrecio))</f>
        <v>0</v>
      </c>
      <c r="AV215" s="48" t="n">
        <f aca="false">IF(AV$8=1,IF(Reales!$C$51="PYG",IF(AV$10&gt;0,N(Reales!AV51)/AV$10,0),N(Reales!AV51)),AV$190*IF(AND(AND(43&gt;Corte,43&lt;=Corte+n_Ventana),ISNUMBER(Detalle_24m!AV$55)),Detalle_24m!AV$55,INDEX(Precio_V,14)*INDEX(IdxPrecio_V,1,MIN(10,AV$173)))*(1+V_dPrecio))</f>
        <v>0</v>
      </c>
      <c r="AW215" s="48" t="n">
        <f aca="false">IF(AW$8=1,IF(Reales!$C$51="PYG",IF(AW$10&gt;0,N(Reales!AW51)/AW$10,0),N(Reales!AW51)),AW$190*IF(AND(AND(44&gt;Corte,44&lt;=Corte+n_Ventana),ISNUMBER(Detalle_24m!AW$55)),Detalle_24m!AW$55,INDEX(Precio_V,14)*INDEX(IdxPrecio_V,1,MIN(10,AW$173)))*(1+V_dPrecio))</f>
        <v>0</v>
      </c>
      <c r="AX215" s="48" t="n">
        <f aca="false">IF(AX$8=1,IF(Reales!$C$51="PYG",IF(AX$10&gt;0,N(Reales!AX51)/AX$10,0),N(Reales!AX51)),AX$190*IF(AND(AND(45&gt;Corte,45&lt;=Corte+n_Ventana),ISNUMBER(Detalle_24m!AX$55)),Detalle_24m!AX$55,INDEX(Precio_V,14)*INDEX(IdxPrecio_V,1,MIN(10,AX$173)))*(1+V_dPrecio))</f>
        <v>0</v>
      </c>
      <c r="AY215" s="48" t="n">
        <f aca="false">IF(AY$8=1,IF(Reales!$C$51="PYG",IF(AY$10&gt;0,N(Reales!AY51)/AY$10,0),N(Reales!AY51)),AY$190*IF(AND(AND(46&gt;Corte,46&lt;=Corte+n_Ventana),ISNUMBER(Detalle_24m!AY$55)),Detalle_24m!AY$55,INDEX(Precio_V,14)*INDEX(IdxPrecio_V,1,MIN(10,AY$173)))*(1+V_dPrecio))</f>
        <v>0</v>
      </c>
      <c r="AZ215" s="48" t="n">
        <f aca="false">IF(AZ$8=1,IF(Reales!$C$51="PYG",IF(AZ$10&gt;0,N(Reales!AZ51)/AZ$10,0),N(Reales!AZ51)),AZ$190*IF(AND(AND(47&gt;Corte,47&lt;=Corte+n_Ventana),ISNUMBER(Detalle_24m!AZ$55)),Detalle_24m!AZ$55,INDEX(Precio_V,14)*INDEX(IdxPrecio_V,1,MIN(10,AZ$173)))*(1+V_dPrecio))</f>
        <v>0</v>
      </c>
      <c r="BA215" s="48" t="n">
        <f aca="false">IF(BA$8=1,IF(Reales!$C$51="PYG",IF(BA$10&gt;0,N(Reales!BA51)/BA$10,0),N(Reales!BA51)),BA$190*IF(AND(AND(48&gt;Corte,48&lt;=Corte+n_Ventana),ISNUMBER(Detalle_24m!BA$55)),Detalle_24m!BA$55,INDEX(Precio_V,14)*INDEX(IdxPrecio_V,1,MIN(10,BA$173)))*(1+V_dPrecio))</f>
        <v>0</v>
      </c>
      <c r="BB215" s="48" t="n">
        <f aca="false">IF(BB$8=1,IF(Reales!$C$51="PYG",IF(BB$10&gt;0,N(Reales!BB51)/BB$10,0),N(Reales!BB51)),BB$190*IF(AND(AND(49&gt;Corte,49&lt;=Corte+n_Ventana),ISNUMBER(Detalle_24m!BB$55)),Detalle_24m!BB$55,INDEX(Precio_V,14)*INDEX(IdxPrecio_V,1,MIN(10,BB$173)))*(1+V_dPrecio))</f>
        <v>0</v>
      </c>
      <c r="BC215" s="48" t="n">
        <f aca="false">IF(BC$8=1,IF(Reales!$C$51="PYG",IF(BC$10&gt;0,N(Reales!BC51)/BC$10,0),N(Reales!BC51)),BC$190*IF(AND(AND(50&gt;Corte,50&lt;=Corte+n_Ventana),ISNUMBER(Detalle_24m!BC$55)),Detalle_24m!BC$55,INDEX(Precio_V,14)*INDEX(IdxPrecio_V,1,MIN(10,BC$173)))*(1+V_dPrecio))</f>
        <v>0</v>
      </c>
      <c r="BD215" s="48" t="n">
        <f aca="false">IF(BD$8=1,IF(Reales!$C$51="PYG",IF(BD$10&gt;0,N(Reales!BD51)/BD$10,0),N(Reales!BD51)),BD$190*IF(AND(AND(51&gt;Corte,51&lt;=Corte+n_Ventana),ISNUMBER(Detalle_24m!BD$55)),Detalle_24m!BD$55,INDEX(Precio_V,14)*INDEX(IdxPrecio_V,1,MIN(10,BD$173)))*(1+V_dPrecio))</f>
        <v>0</v>
      </c>
      <c r="BE215" s="48" t="n">
        <f aca="false">IF(BE$8=1,IF(Reales!$C$51="PYG",IF(BE$10&gt;0,N(Reales!BE51)/BE$10,0),N(Reales!BE51)),BE$190*IF(AND(AND(52&gt;Corte,52&lt;=Corte+n_Ventana),ISNUMBER(Detalle_24m!BE$55)),Detalle_24m!BE$55,INDEX(Precio_V,14)*INDEX(IdxPrecio_V,1,MIN(10,BE$173)))*(1+V_dPrecio))</f>
        <v>0</v>
      </c>
      <c r="BF215" s="48" t="n">
        <f aca="false">IF(BF$8=1,IF(Reales!$C$51="PYG",IF(BF$10&gt;0,N(Reales!BF51)/BF$10,0),N(Reales!BF51)),BF$190*IF(AND(AND(53&gt;Corte,53&lt;=Corte+n_Ventana),ISNUMBER(Detalle_24m!BF$55)),Detalle_24m!BF$55,INDEX(Precio_V,14)*INDEX(IdxPrecio_V,1,MIN(10,BF$173)))*(1+V_dPrecio))</f>
        <v>0</v>
      </c>
      <c r="BG215" s="48" t="n">
        <f aca="false">IF(BG$8=1,IF(Reales!$C$51="PYG",IF(BG$10&gt;0,N(Reales!BG51)/BG$10,0),N(Reales!BG51)),BG$190*IF(AND(AND(54&gt;Corte,54&lt;=Corte+n_Ventana),ISNUMBER(Detalle_24m!BG$55)),Detalle_24m!BG$55,INDEX(Precio_V,14)*INDEX(IdxPrecio_V,1,MIN(10,BG$173)))*(1+V_dPrecio))</f>
        <v>0</v>
      </c>
      <c r="BH215" s="48" t="n">
        <f aca="false">IF(BH$8=1,IF(Reales!$C$51="PYG",IF(BH$10&gt;0,N(Reales!BH51)/BH$10,0),N(Reales!BH51)),BH$190*IF(AND(AND(55&gt;Corte,55&lt;=Corte+n_Ventana),ISNUMBER(Detalle_24m!BH$55)),Detalle_24m!BH$55,INDEX(Precio_V,14)*INDEX(IdxPrecio_V,1,MIN(10,BH$173)))*(1+V_dPrecio))</f>
        <v>0</v>
      </c>
      <c r="BI215" s="48" t="n">
        <f aca="false">IF(BI$8=1,IF(Reales!$C$51="PYG",IF(BI$10&gt;0,N(Reales!BI51)/BI$10,0),N(Reales!BI51)),BI$190*IF(AND(AND(56&gt;Corte,56&lt;=Corte+n_Ventana),ISNUMBER(Detalle_24m!BI$55)),Detalle_24m!BI$55,INDEX(Precio_V,14)*INDEX(IdxPrecio_V,1,MIN(10,BI$173)))*(1+V_dPrecio))</f>
        <v>0</v>
      </c>
      <c r="BJ215" s="48" t="n">
        <f aca="false">IF(BJ$8=1,IF(Reales!$C$51="PYG",IF(BJ$10&gt;0,N(Reales!BJ51)/BJ$10,0),N(Reales!BJ51)),BJ$190*IF(AND(AND(57&gt;Corte,57&lt;=Corte+n_Ventana),ISNUMBER(Detalle_24m!BJ$55)),Detalle_24m!BJ$55,INDEX(Precio_V,14)*INDEX(IdxPrecio_V,1,MIN(10,BJ$173)))*(1+V_dPrecio))</f>
        <v>0</v>
      </c>
      <c r="BK215" s="48" t="n">
        <f aca="false">IF(BK$8=1,IF(Reales!$C$51="PYG",IF(BK$10&gt;0,N(Reales!BK51)/BK$10,0),N(Reales!BK51)),BK$190*IF(AND(AND(58&gt;Corte,58&lt;=Corte+n_Ventana),ISNUMBER(Detalle_24m!BK$55)),Detalle_24m!BK$55,INDEX(Precio_V,14)*INDEX(IdxPrecio_V,1,MIN(10,BK$173)))*(1+V_dPrecio))</f>
        <v>0</v>
      </c>
      <c r="BL215" s="48" t="n">
        <f aca="false">IF(BL$8=1,IF(Reales!$C$51="PYG",IF(BL$10&gt;0,N(Reales!BL51)/BL$10,0),N(Reales!BL51)),BL$190*IF(AND(AND(59&gt;Corte,59&lt;=Corte+n_Ventana),ISNUMBER(Detalle_24m!BL$55)),Detalle_24m!BL$55,INDEX(Precio_V,14)*INDEX(IdxPrecio_V,1,MIN(10,BL$173)))*(1+V_dPrecio))</f>
        <v>0</v>
      </c>
      <c r="BM215" s="48" t="n">
        <f aca="false">IF(BM$8=1,IF(Reales!$C$51="PYG",IF(BM$10&gt;0,N(Reales!BM51)/BM$10,0),N(Reales!BM51)),BM$190*IF(AND(AND(60&gt;Corte,60&lt;=Corte+n_Ventana),ISNUMBER(Detalle_24m!BM$55)),Detalle_24m!BM$55,INDEX(Precio_V,14)*INDEX(IdxPrecio_V,1,MIN(10,BM$173)))*(1+V_dPrecio))</f>
        <v>0</v>
      </c>
      <c r="BN215" s="48" t="n">
        <f aca="false">IF(BN$8=1,IF(Reales!$C$51="PYG",IF(BN$10&gt;0,N(Reales!BN51)/BN$10,0),N(Reales!BN51)),BN$190*IF(AND(AND(61&gt;Corte,61&lt;=Corte+n_Ventana),ISNUMBER(Detalle_24m!BN$55)),Detalle_24m!BN$55,INDEX(Precio_V,14)*INDEX(IdxPrecio_V,1,MIN(10,BN$173)))*(1+V_dPrecio))</f>
        <v>0</v>
      </c>
      <c r="BO215" s="48" t="n">
        <f aca="false">IF(BO$8=1,IF(Reales!$C$51="PYG",IF(BO$10&gt;0,N(Reales!BO51)/BO$10,0),N(Reales!BO51)),BO$190*IF(AND(AND(62&gt;Corte,62&lt;=Corte+n_Ventana),ISNUMBER(Detalle_24m!BO$55)),Detalle_24m!BO$55,INDEX(Precio_V,14)*INDEX(IdxPrecio_V,1,MIN(10,BO$173)))*(1+V_dPrecio))</f>
        <v>0</v>
      </c>
      <c r="BP215" s="48" t="n">
        <f aca="false">IF(BP$8=1,IF(Reales!$C$51="PYG",IF(BP$10&gt;0,N(Reales!BP51)/BP$10,0),N(Reales!BP51)),BP$190*IF(AND(AND(63&gt;Corte,63&lt;=Corte+n_Ventana),ISNUMBER(Detalle_24m!BP$55)),Detalle_24m!BP$55,INDEX(Precio_V,14)*INDEX(IdxPrecio_V,1,MIN(10,BP$173)))*(1+V_dPrecio))</f>
        <v>0</v>
      </c>
      <c r="BQ215" s="48" t="n">
        <f aca="false">IF(BQ$8=1,IF(Reales!$C$51="PYG",IF(BQ$10&gt;0,N(Reales!BQ51)/BQ$10,0),N(Reales!BQ51)),BQ$190*IF(AND(AND(64&gt;Corte,64&lt;=Corte+n_Ventana),ISNUMBER(Detalle_24m!BQ$55)),Detalle_24m!BQ$55,INDEX(Precio_V,14)*INDEX(IdxPrecio_V,1,MIN(10,BQ$173)))*(1+V_dPrecio))</f>
        <v>0</v>
      </c>
      <c r="BR215" s="48" t="n">
        <f aca="false">IF(BR$8=1,IF(Reales!$C$51="PYG",IF(BR$10&gt;0,N(Reales!BR51)/BR$10,0),N(Reales!BR51)),BR$190*IF(AND(AND(65&gt;Corte,65&lt;=Corte+n_Ventana),ISNUMBER(Detalle_24m!BR$55)),Detalle_24m!BR$55,INDEX(Precio_V,14)*INDEX(IdxPrecio_V,1,MIN(10,BR$173)))*(1+V_dPrecio))</f>
        <v>0</v>
      </c>
      <c r="BS215" s="48" t="n">
        <f aca="false">IF(BS$8=1,IF(Reales!$C$51="PYG",IF(BS$10&gt;0,N(Reales!BS51)/BS$10,0),N(Reales!BS51)),BS$190*IF(AND(AND(66&gt;Corte,66&lt;=Corte+n_Ventana),ISNUMBER(Detalle_24m!BS$55)),Detalle_24m!BS$55,INDEX(Precio_V,14)*INDEX(IdxPrecio_V,1,MIN(10,BS$173)))*(1+V_dPrecio))</f>
        <v>0</v>
      </c>
      <c r="BT215" s="48" t="n">
        <f aca="false">IF(BT$8=1,IF(Reales!$C$51="PYG",IF(BT$10&gt;0,N(Reales!BT51)/BT$10,0),N(Reales!BT51)),BT$190*IF(AND(AND(67&gt;Corte,67&lt;=Corte+n_Ventana),ISNUMBER(Detalle_24m!BT$55)),Detalle_24m!BT$55,INDEX(Precio_V,14)*INDEX(IdxPrecio_V,1,MIN(10,BT$173)))*(1+V_dPrecio))</f>
        <v>0</v>
      </c>
      <c r="BU215" s="48" t="n">
        <f aca="false">IF(BU$8=1,IF(Reales!$C$51="PYG",IF(BU$10&gt;0,N(Reales!BU51)/BU$10,0),N(Reales!BU51)),BU$190*IF(AND(AND(68&gt;Corte,68&lt;=Corte+n_Ventana),ISNUMBER(Detalle_24m!BU$55)),Detalle_24m!BU$55,INDEX(Precio_V,14)*INDEX(IdxPrecio_V,1,MIN(10,BU$173)))*(1+V_dPrecio))</f>
        <v>0</v>
      </c>
      <c r="BV215" s="48" t="n">
        <f aca="false">IF(BV$8=1,IF(Reales!$C$51="PYG",IF(BV$10&gt;0,N(Reales!BV51)/BV$10,0),N(Reales!BV51)),BV$190*IF(AND(AND(69&gt;Corte,69&lt;=Corte+n_Ventana),ISNUMBER(Detalle_24m!BV$55)),Detalle_24m!BV$55,INDEX(Precio_V,14)*INDEX(IdxPrecio_V,1,MIN(10,BV$173)))*(1+V_dPrecio))</f>
        <v>0</v>
      </c>
      <c r="BW215" s="48" t="n">
        <f aca="false">IF(BW$8=1,IF(Reales!$C$51="PYG",IF(BW$10&gt;0,N(Reales!BW51)/BW$10,0),N(Reales!BW51)),BW$190*IF(AND(AND(70&gt;Corte,70&lt;=Corte+n_Ventana),ISNUMBER(Detalle_24m!BW$55)),Detalle_24m!BW$55,INDEX(Precio_V,14)*INDEX(IdxPrecio_V,1,MIN(10,BW$173)))*(1+V_dPrecio))</f>
        <v>0</v>
      </c>
      <c r="BX215" s="48" t="n">
        <f aca="false">IF(BX$8=1,IF(Reales!$C$51="PYG",IF(BX$10&gt;0,N(Reales!BX51)/BX$10,0),N(Reales!BX51)),BX$190*IF(AND(AND(71&gt;Corte,71&lt;=Corte+n_Ventana),ISNUMBER(Detalle_24m!BX$55)),Detalle_24m!BX$55,INDEX(Precio_V,14)*INDEX(IdxPrecio_V,1,MIN(10,BX$173)))*(1+V_dPrecio))</f>
        <v>0</v>
      </c>
      <c r="BY215" s="48" t="n">
        <f aca="false">IF(BY$8=1,IF(Reales!$C$51="PYG",IF(BY$10&gt;0,N(Reales!BY51)/BY$10,0),N(Reales!BY51)),BY$190*IF(AND(AND(72&gt;Corte,72&lt;=Corte+n_Ventana),ISNUMBER(Detalle_24m!BY$55)),Detalle_24m!BY$55,INDEX(Precio_V,14)*INDEX(IdxPrecio_V,1,MIN(10,BY$173)))*(1+V_dPrecio))</f>
        <v>0</v>
      </c>
      <c r="BZ215" s="48" t="n">
        <f aca="false">IF(BZ$8=1,IF(Reales!$C$51="PYG",IF(BZ$10&gt;0,N(Reales!BZ51)/BZ$10,0),N(Reales!BZ51)),BZ$190*IF(AND(AND(73&gt;Corte,73&lt;=Corte+n_Ventana),ISNUMBER(Detalle_24m!BZ$55)),Detalle_24m!BZ$55,INDEX(Precio_V,14)*INDEX(IdxPrecio_V,1,MIN(10,BZ$173)))*(1+V_dPrecio))</f>
        <v>0</v>
      </c>
      <c r="CA215" s="48" t="n">
        <f aca="false">IF(CA$8=1,IF(Reales!$C$51="PYG",IF(CA$10&gt;0,N(Reales!CA51)/CA$10,0),N(Reales!CA51)),CA$190*IF(AND(AND(74&gt;Corte,74&lt;=Corte+n_Ventana),ISNUMBER(Detalle_24m!CA$55)),Detalle_24m!CA$55,INDEX(Precio_V,14)*INDEX(IdxPrecio_V,1,MIN(10,CA$173)))*(1+V_dPrecio))</f>
        <v>0</v>
      </c>
      <c r="CB215" s="48" t="n">
        <f aca="false">IF(CB$8=1,IF(Reales!$C$51="PYG",IF(CB$10&gt;0,N(Reales!CB51)/CB$10,0),N(Reales!CB51)),CB$190*IF(AND(AND(75&gt;Corte,75&lt;=Corte+n_Ventana),ISNUMBER(Detalle_24m!CB$55)),Detalle_24m!CB$55,INDEX(Precio_V,14)*INDEX(IdxPrecio_V,1,MIN(10,CB$173)))*(1+V_dPrecio))</f>
        <v>0</v>
      </c>
      <c r="CC215" s="48" t="n">
        <f aca="false">IF(CC$8=1,IF(Reales!$C$51="PYG",IF(CC$10&gt;0,N(Reales!CC51)/CC$10,0),N(Reales!CC51)),CC$190*IF(AND(AND(76&gt;Corte,76&lt;=Corte+n_Ventana),ISNUMBER(Detalle_24m!CC$55)),Detalle_24m!CC$55,INDEX(Precio_V,14)*INDEX(IdxPrecio_V,1,MIN(10,CC$173)))*(1+V_dPrecio))</f>
        <v>0</v>
      </c>
      <c r="CD215" s="48" t="n">
        <f aca="false">IF(CD$8=1,IF(Reales!$C$51="PYG",IF(CD$10&gt;0,N(Reales!CD51)/CD$10,0),N(Reales!CD51)),CD$190*IF(AND(AND(77&gt;Corte,77&lt;=Corte+n_Ventana),ISNUMBER(Detalle_24m!CD$55)),Detalle_24m!CD$55,INDEX(Precio_V,14)*INDEX(IdxPrecio_V,1,MIN(10,CD$173)))*(1+V_dPrecio))</f>
        <v>0</v>
      </c>
      <c r="CE215" s="48" t="n">
        <f aca="false">IF(CE$8=1,IF(Reales!$C$51="PYG",IF(CE$10&gt;0,N(Reales!CE51)/CE$10,0),N(Reales!CE51)),CE$190*IF(AND(AND(78&gt;Corte,78&lt;=Corte+n_Ventana),ISNUMBER(Detalle_24m!CE$55)),Detalle_24m!CE$55,INDEX(Precio_V,14)*INDEX(IdxPrecio_V,1,MIN(10,CE$173)))*(1+V_dPrecio))</f>
        <v>0</v>
      </c>
      <c r="CF215" s="48" t="n">
        <f aca="false">IF(CF$8=1,IF(Reales!$C$51="PYG",IF(CF$10&gt;0,N(Reales!CF51)/CF$10,0),N(Reales!CF51)),CF$190*IF(AND(AND(79&gt;Corte,79&lt;=Corte+n_Ventana),ISNUMBER(Detalle_24m!CF$55)),Detalle_24m!CF$55,INDEX(Precio_V,14)*INDEX(IdxPrecio_V,1,MIN(10,CF$173)))*(1+V_dPrecio))</f>
        <v>0</v>
      </c>
      <c r="CG215" s="48" t="n">
        <f aca="false">IF(CG$8=1,IF(Reales!$C$51="PYG",IF(CG$10&gt;0,N(Reales!CG51)/CG$10,0),N(Reales!CG51)),CG$190*IF(AND(AND(80&gt;Corte,80&lt;=Corte+n_Ventana),ISNUMBER(Detalle_24m!CG$55)),Detalle_24m!CG$55,INDEX(Precio_V,14)*INDEX(IdxPrecio_V,1,MIN(10,CG$173)))*(1+V_dPrecio))</f>
        <v>0</v>
      </c>
      <c r="CH215" s="48" t="n">
        <f aca="false">IF(CH$8=1,IF(Reales!$C$51="PYG",IF(CH$10&gt;0,N(Reales!CH51)/CH$10,0),N(Reales!CH51)),CH$190*IF(AND(AND(81&gt;Corte,81&lt;=Corte+n_Ventana),ISNUMBER(Detalle_24m!CH$55)),Detalle_24m!CH$55,INDEX(Precio_V,14)*INDEX(IdxPrecio_V,1,MIN(10,CH$173)))*(1+V_dPrecio))</f>
        <v>0</v>
      </c>
      <c r="CI215" s="48" t="n">
        <f aca="false">IF(CI$8=1,IF(Reales!$C$51="PYG",IF(CI$10&gt;0,N(Reales!CI51)/CI$10,0),N(Reales!CI51)),CI$190*IF(AND(AND(82&gt;Corte,82&lt;=Corte+n_Ventana),ISNUMBER(Detalle_24m!CI$55)),Detalle_24m!CI$55,INDEX(Precio_V,14)*INDEX(IdxPrecio_V,1,MIN(10,CI$173)))*(1+V_dPrecio))</f>
        <v>0</v>
      </c>
      <c r="CJ215" s="48" t="n">
        <f aca="false">IF(CJ$8=1,IF(Reales!$C$51="PYG",IF(CJ$10&gt;0,N(Reales!CJ51)/CJ$10,0),N(Reales!CJ51)),CJ$190*IF(AND(AND(83&gt;Corte,83&lt;=Corte+n_Ventana),ISNUMBER(Detalle_24m!CJ$55)),Detalle_24m!CJ$55,INDEX(Precio_V,14)*INDEX(IdxPrecio_V,1,MIN(10,CJ$173)))*(1+V_dPrecio))</f>
        <v>0</v>
      </c>
      <c r="CK215" s="48" t="n">
        <f aca="false">IF(CK$8=1,IF(Reales!$C$51="PYG",IF(CK$10&gt;0,N(Reales!CK51)/CK$10,0),N(Reales!CK51)),CK$190*IF(AND(AND(84&gt;Corte,84&lt;=Corte+n_Ventana),ISNUMBER(Detalle_24m!CK$55)),Detalle_24m!CK$55,INDEX(Precio_V,14)*INDEX(IdxPrecio_V,1,MIN(10,CK$173)))*(1+V_dPrecio))</f>
        <v>0</v>
      </c>
      <c r="CL215" s="48" t="n">
        <f aca="false">IF(CL$8=1,IF(Reales!$C$51="PYG",IF(CL$10&gt;0,N(Reales!CL51)/CL$10,0),N(Reales!CL51)),CL$190*IF(AND(AND(85&gt;Corte,85&lt;=Corte+n_Ventana),ISNUMBER(Detalle_24m!CL$55)),Detalle_24m!CL$55,INDEX(Precio_V,14)*INDEX(IdxPrecio_V,1,MIN(10,CL$173)))*(1+V_dPrecio))</f>
        <v>0</v>
      </c>
      <c r="CM215" s="48" t="n">
        <f aca="false">IF(CM$8=1,IF(Reales!$C$51="PYG",IF(CM$10&gt;0,N(Reales!CM51)/CM$10,0),N(Reales!CM51)),CM$190*IF(AND(AND(86&gt;Corte,86&lt;=Corte+n_Ventana),ISNUMBER(Detalle_24m!CM$55)),Detalle_24m!CM$55,INDEX(Precio_V,14)*INDEX(IdxPrecio_V,1,MIN(10,CM$173)))*(1+V_dPrecio))</f>
        <v>0</v>
      </c>
      <c r="CN215" s="48" t="n">
        <f aca="false">IF(CN$8=1,IF(Reales!$C$51="PYG",IF(CN$10&gt;0,N(Reales!CN51)/CN$10,0),N(Reales!CN51)),CN$190*IF(AND(AND(87&gt;Corte,87&lt;=Corte+n_Ventana),ISNUMBER(Detalle_24m!CN$55)),Detalle_24m!CN$55,INDEX(Precio_V,14)*INDEX(IdxPrecio_V,1,MIN(10,CN$173)))*(1+V_dPrecio))</f>
        <v>0</v>
      </c>
      <c r="CO215" s="48" t="n">
        <f aca="false">IF(CO$8=1,IF(Reales!$C$51="PYG",IF(CO$10&gt;0,N(Reales!CO51)/CO$10,0),N(Reales!CO51)),CO$190*IF(AND(AND(88&gt;Corte,88&lt;=Corte+n_Ventana),ISNUMBER(Detalle_24m!CO$55)),Detalle_24m!CO$55,INDEX(Precio_V,14)*INDEX(IdxPrecio_V,1,MIN(10,CO$173)))*(1+V_dPrecio))</f>
        <v>0</v>
      </c>
      <c r="CP215" s="48" t="n">
        <f aca="false">IF(CP$8=1,IF(Reales!$C$51="PYG",IF(CP$10&gt;0,N(Reales!CP51)/CP$10,0),N(Reales!CP51)),CP$190*IF(AND(AND(89&gt;Corte,89&lt;=Corte+n_Ventana),ISNUMBER(Detalle_24m!CP$55)),Detalle_24m!CP$55,INDEX(Precio_V,14)*INDEX(IdxPrecio_V,1,MIN(10,CP$173)))*(1+V_dPrecio))</f>
        <v>0</v>
      </c>
      <c r="CQ215" s="48" t="n">
        <f aca="false">IF(CQ$8=1,IF(Reales!$C$51="PYG",IF(CQ$10&gt;0,N(Reales!CQ51)/CQ$10,0),N(Reales!CQ51)),CQ$190*IF(AND(AND(90&gt;Corte,90&lt;=Corte+n_Ventana),ISNUMBER(Detalle_24m!CQ$55)),Detalle_24m!CQ$55,INDEX(Precio_V,14)*INDEX(IdxPrecio_V,1,MIN(10,CQ$173)))*(1+V_dPrecio))</f>
        <v>0</v>
      </c>
      <c r="CR215" s="48" t="n">
        <f aca="false">IF(CR$8=1,IF(Reales!$C$51="PYG",IF(CR$10&gt;0,N(Reales!CR51)/CR$10,0),N(Reales!CR51)),CR$190*IF(AND(AND(91&gt;Corte,91&lt;=Corte+n_Ventana),ISNUMBER(Detalle_24m!CR$55)),Detalle_24m!CR$55,INDEX(Precio_V,14)*INDEX(IdxPrecio_V,1,MIN(10,CR$173)))*(1+V_dPrecio))</f>
        <v>0</v>
      </c>
      <c r="CS215" s="48" t="n">
        <f aca="false">IF(CS$8=1,IF(Reales!$C$51="PYG",IF(CS$10&gt;0,N(Reales!CS51)/CS$10,0),N(Reales!CS51)),CS$190*IF(AND(AND(92&gt;Corte,92&lt;=Corte+n_Ventana),ISNUMBER(Detalle_24m!CS$55)),Detalle_24m!CS$55,INDEX(Precio_V,14)*INDEX(IdxPrecio_V,1,MIN(10,CS$173)))*(1+V_dPrecio))</f>
        <v>0</v>
      </c>
      <c r="CT215" s="48" t="n">
        <f aca="false">IF(CT$8=1,IF(Reales!$C$51="PYG",IF(CT$10&gt;0,N(Reales!CT51)/CT$10,0),N(Reales!CT51)),CT$190*IF(AND(AND(93&gt;Corte,93&lt;=Corte+n_Ventana),ISNUMBER(Detalle_24m!CT$55)),Detalle_24m!CT$55,INDEX(Precio_V,14)*INDEX(IdxPrecio_V,1,MIN(10,CT$173)))*(1+V_dPrecio))</f>
        <v>0</v>
      </c>
      <c r="CU215" s="48" t="n">
        <f aca="false">IF(CU$8=1,IF(Reales!$C$51="PYG",IF(CU$10&gt;0,N(Reales!CU51)/CU$10,0),N(Reales!CU51)),CU$190*IF(AND(AND(94&gt;Corte,94&lt;=Corte+n_Ventana),ISNUMBER(Detalle_24m!CU$55)),Detalle_24m!CU$55,INDEX(Precio_V,14)*INDEX(IdxPrecio_V,1,MIN(10,CU$173)))*(1+V_dPrecio))</f>
        <v>0</v>
      </c>
      <c r="CV215" s="48" t="n">
        <f aca="false">IF(CV$8=1,IF(Reales!$C$51="PYG",IF(CV$10&gt;0,N(Reales!CV51)/CV$10,0),N(Reales!CV51)),CV$190*IF(AND(AND(95&gt;Corte,95&lt;=Corte+n_Ventana),ISNUMBER(Detalle_24m!CV$55)),Detalle_24m!CV$55,INDEX(Precio_V,14)*INDEX(IdxPrecio_V,1,MIN(10,CV$173)))*(1+V_dPrecio))</f>
        <v>0</v>
      </c>
      <c r="CW215" s="48" t="n">
        <f aca="false">IF(CW$8=1,IF(Reales!$C$51="PYG",IF(CW$10&gt;0,N(Reales!CW51)/CW$10,0),N(Reales!CW51)),CW$190*IF(AND(AND(96&gt;Corte,96&lt;=Corte+n_Ventana),ISNUMBER(Detalle_24m!CW$55)),Detalle_24m!CW$55,INDEX(Precio_V,14)*INDEX(IdxPrecio_V,1,MIN(10,CW$173)))*(1+V_dPrecio))</f>
        <v>0</v>
      </c>
      <c r="CX215" s="48" t="n">
        <f aca="false">IF(CX$8=1,IF(Reales!$C$51="PYG",IF(CX$10&gt;0,N(Reales!CX51)/CX$10,0),N(Reales!CX51)),CX$190*IF(AND(AND(97&gt;Corte,97&lt;=Corte+n_Ventana),ISNUMBER(Detalle_24m!CX$55)),Detalle_24m!CX$55,INDEX(Precio_V,14)*INDEX(IdxPrecio_V,1,MIN(10,CX$173)))*(1+V_dPrecio))</f>
        <v>0</v>
      </c>
      <c r="CY215" s="48" t="n">
        <f aca="false">IF(CY$8=1,IF(Reales!$C$51="PYG",IF(CY$10&gt;0,N(Reales!CY51)/CY$10,0),N(Reales!CY51)),CY$190*IF(AND(AND(98&gt;Corte,98&lt;=Corte+n_Ventana),ISNUMBER(Detalle_24m!CY$55)),Detalle_24m!CY$55,INDEX(Precio_V,14)*INDEX(IdxPrecio_V,1,MIN(10,CY$173)))*(1+V_dPrecio))</f>
        <v>0</v>
      </c>
      <c r="CZ215" s="48" t="n">
        <f aca="false">IF(CZ$8=1,IF(Reales!$C$51="PYG",IF(CZ$10&gt;0,N(Reales!CZ51)/CZ$10,0),N(Reales!CZ51)),CZ$190*IF(AND(AND(99&gt;Corte,99&lt;=Corte+n_Ventana),ISNUMBER(Detalle_24m!CZ$55)),Detalle_24m!CZ$55,INDEX(Precio_V,14)*INDEX(IdxPrecio_V,1,MIN(10,CZ$173)))*(1+V_dPrecio))</f>
        <v>0</v>
      </c>
      <c r="DA215" s="48" t="n">
        <f aca="false">IF(DA$8=1,IF(Reales!$C$51="PYG",IF(DA$10&gt;0,N(Reales!DA51)/DA$10,0),N(Reales!DA51)),DA$190*IF(AND(AND(100&gt;Corte,100&lt;=Corte+n_Ventana),ISNUMBER(Detalle_24m!DA$55)),Detalle_24m!DA$55,INDEX(Precio_V,14)*INDEX(IdxPrecio_V,1,MIN(10,DA$173)))*(1+V_dPrecio))</f>
        <v>0</v>
      </c>
      <c r="DB215" s="48" t="n">
        <f aca="false">IF(DB$8=1,IF(Reales!$C$51="PYG",IF(DB$10&gt;0,N(Reales!DB51)/DB$10,0),N(Reales!DB51)),DB$190*IF(AND(AND(101&gt;Corte,101&lt;=Corte+n_Ventana),ISNUMBER(Detalle_24m!DB$55)),Detalle_24m!DB$55,INDEX(Precio_V,14)*INDEX(IdxPrecio_V,1,MIN(10,DB$173)))*(1+V_dPrecio))</f>
        <v>0</v>
      </c>
      <c r="DC215" s="48" t="n">
        <f aca="false">IF(DC$8=1,IF(Reales!$C$51="PYG",IF(DC$10&gt;0,N(Reales!DC51)/DC$10,0),N(Reales!DC51)),DC$190*IF(AND(AND(102&gt;Corte,102&lt;=Corte+n_Ventana),ISNUMBER(Detalle_24m!DC$55)),Detalle_24m!DC$55,INDEX(Precio_V,14)*INDEX(IdxPrecio_V,1,MIN(10,DC$173)))*(1+V_dPrecio))</f>
        <v>0</v>
      </c>
      <c r="DD215" s="48" t="n">
        <f aca="false">IF(DD$8=1,IF(Reales!$C$51="PYG",IF(DD$10&gt;0,N(Reales!DD51)/DD$10,0),N(Reales!DD51)),DD$190*IF(AND(AND(103&gt;Corte,103&lt;=Corte+n_Ventana),ISNUMBER(Detalle_24m!DD$55)),Detalle_24m!DD$55,INDEX(Precio_V,14)*INDEX(IdxPrecio_V,1,MIN(10,DD$173)))*(1+V_dPrecio))</f>
        <v>0</v>
      </c>
      <c r="DE215" s="48" t="n">
        <f aca="false">IF(DE$8=1,IF(Reales!$C$51="PYG",IF(DE$10&gt;0,N(Reales!DE51)/DE$10,0),N(Reales!DE51)),DE$190*IF(AND(AND(104&gt;Corte,104&lt;=Corte+n_Ventana),ISNUMBER(Detalle_24m!DE$55)),Detalle_24m!DE$55,INDEX(Precio_V,14)*INDEX(IdxPrecio_V,1,MIN(10,DE$173)))*(1+V_dPrecio))</f>
        <v>0</v>
      </c>
      <c r="DF215" s="48" t="n">
        <f aca="false">IF(DF$8=1,IF(Reales!$C$51="PYG",IF(DF$10&gt;0,N(Reales!DF51)/DF$10,0),N(Reales!DF51)),DF$190*IF(AND(AND(105&gt;Corte,105&lt;=Corte+n_Ventana),ISNUMBER(Detalle_24m!DF$55)),Detalle_24m!DF$55,INDEX(Precio_V,14)*INDEX(IdxPrecio_V,1,MIN(10,DF$173)))*(1+V_dPrecio))</f>
        <v>0</v>
      </c>
      <c r="DG215" s="48" t="n">
        <f aca="false">IF(DG$8=1,IF(Reales!$C$51="PYG",IF(DG$10&gt;0,N(Reales!DG51)/DG$10,0),N(Reales!DG51)),DG$190*IF(AND(AND(106&gt;Corte,106&lt;=Corte+n_Ventana),ISNUMBER(Detalle_24m!DG$55)),Detalle_24m!DG$55,INDEX(Precio_V,14)*INDEX(IdxPrecio_V,1,MIN(10,DG$173)))*(1+V_dPrecio))</f>
        <v>0</v>
      </c>
      <c r="DH215" s="48" t="n">
        <f aca="false">IF(DH$8=1,IF(Reales!$C$51="PYG",IF(DH$10&gt;0,N(Reales!DH51)/DH$10,0),N(Reales!DH51)),DH$190*IF(AND(AND(107&gt;Corte,107&lt;=Corte+n_Ventana),ISNUMBER(Detalle_24m!DH$55)),Detalle_24m!DH$55,INDEX(Precio_V,14)*INDEX(IdxPrecio_V,1,MIN(10,DH$173)))*(1+V_dPrecio))</f>
        <v>0</v>
      </c>
      <c r="DI215" s="48" t="n">
        <f aca="false">IF(DI$8=1,IF(Reales!$C$51="PYG",IF(DI$10&gt;0,N(Reales!DI51)/DI$10,0),N(Reales!DI51)),DI$190*IF(AND(AND(108&gt;Corte,108&lt;=Corte+n_Ventana),ISNUMBER(Detalle_24m!DI$55)),Detalle_24m!DI$55,INDEX(Precio_V,14)*INDEX(IdxPrecio_V,1,MIN(10,DI$173)))*(1+V_dPrecio))</f>
        <v>0</v>
      </c>
      <c r="DJ215" s="48" t="n">
        <f aca="false">IF(DJ$8=1,IF(Reales!$C$51="PYG",IF(DJ$10&gt;0,N(Reales!DJ51)/DJ$10,0),N(Reales!DJ51)),DJ$190*IF(AND(AND(109&gt;Corte,109&lt;=Corte+n_Ventana),ISNUMBER(Detalle_24m!DJ$55)),Detalle_24m!DJ$55,INDEX(Precio_V,14)*INDEX(IdxPrecio_V,1,MIN(10,DJ$173)))*(1+V_dPrecio))</f>
        <v>0</v>
      </c>
      <c r="DK215" s="48" t="n">
        <f aca="false">IF(DK$8=1,IF(Reales!$C$51="PYG",IF(DK$10&gt;0,N(Reales!DK51)/DK$10,0),N(Reales!DK51)),DK$190*IF(AND(AND(110&gt;Corte,110&lt;=Corte+n_Ventana),ISNUMBER(Detalle_24m!DK$55)),Detalle_24m!DK$55,INDEX(Precio_V,14)*INDEX(IdxPrecio_V,1,MIN(10,DK$173)))*(1+V_dPrecio))</f>
        <v>0</v>
      </c>
      <c r="DL215" s="48" t="n">
        <f aca="false">IF(DL$8=1,IF(Reales!$C$51="PYG",IF(DL$10&gt;0,N(Reales!DL51)/DL$10,0),N(Reales!DL51)),DL$190*IF(AND(AND(111&gt;Corte,111&lt;=Corte+n_Ventana),ISNUMBER(Detalle_24m!DL$55)),Detalle_24m!DL$55,INDEX(Precio_V,14)*INDEX(IdxPrecio_V,1,MIN(10,DL$173)))*(1+V_dPrecio))</f>
        <v>0</v>
      </c>
      <c r="DM215" s="48" t="n">
        <f aca="false">IF(DM$8=1,IF(Reales!$C$51="PYG",IF(DM$10&gt;0,N(Reales!DM51)/DM$10,0),N(Reales!DM51)),DM$190*IF(AND(AND(112&gt;Corte,112&lt;=Corte+n_Ventana),ISNUMBER(Detalle_24m!DM$55)),Detalle_24m!DM$55,INDEX(Precio_V,14)*INDEX(IdxPrecio_V,1,MIN(10,DM$173)))*(1+V_dPrecio))</f>
        <v>0</v>
      </c>
      <c r="DN215" s="48" t="n">
        <f aca="false">IF(DN$8=1,IF(Reales!$C$51="PYG",IF(DN$10&gt;0,N(Reales!DN51)/DN$10,0),N(Reales!DN51)),DN$190*IF(AND(AND(113&gt;Corte,113&lt;=Corte+n_Ventana),ISNUMBER(Detalle_24m!DN$55)),Detalle_24m!DN$55,INDEX(Precio_V,14)*INDEX(IdxPrecio_V,1,MIN(10,DN$173)))*(1+V_dPrecio))</f>
        <v>0</v>
      </c>
      <c r="DO215" s="48" t="n">
        <f aca="false">IF(DO$8=1,IF(Reales!$C$51="PYG",IF(DO$10&gt;0,N(Reales!DO51)/DO$10,0),N(Reales!DO51)),DO$190*IF(AND(AND(114&gt;Corte,114&lt;=Corte+n_Ventana),ISNUMBER(Detalle_24m!DO$55)),Detalle_24m!DO$55,INDEX(Precio_V,14)*INDEX(IdxPrecio_V,1,MIN(10,DO$173)))*(1+V_dPrecio))</f>
        <v>0</v>
      </c>
      <c r="DP215" s="48" t="n">
        <f aca="false">IF(DP$8=1,IF(Reales!$C$51="PYG",IF(DP$10&gt;0,N(Reales!DP51)/DP$10,0),N(Reales!DP51)),DP$190*IF(AND(AND(115&gt;Corte,115&lt;=Corte+n_Ventana),ISNUMBER(Detalle_24m!DP$55)),Detalle_24m!DP$55,INDEX(Precio_V,14)*INDEX(IdxPrecio_V,1,MIN(10,DP$173)))*(1+V_dPrecio))</f>
        <v>0</v>
      </c>
      <c r="DQ215" s="48" t="n">
        <f aca="false">IF(DQ$8=1,IF(Reales!$C$51="PYG",IF(DQ$10&gt;0,N(Reales!DQ51)/DQ$10,0),N(Reales!DQ51)),DQ$190*IF(AND(AND(116&gt;Corte,116&lt;=Corte+n_Ventana),ISNUMBER(Detalle_24m!DQ$55)),Detalle_24m!DQ$55,INDEX(Precio_V,14)*INDEX(IdxPrecio_V,1,MIN(10,DQ$173)))*(1+V_dPrecio))</f>
        <v>0</v>
      </c>
      <c r="DR215" s="48" t="n">
        <f aca="false">IF(DR$8=1,IF(Reales!$C$51="PYG",IF(DR$10&gt;0,N(Reales!DR51)/DR$10,0),N(Reales!DR51)),DR$190*IF(AND(AND(117&gt;Corte,117&lt;=Corte+n_Ventana),ISNUMBER(Detalle_24m!DR$55)),Detalle_24m!DR$55,INDEX(Precio_V,14)*INDEX(IdxPrecio_V,1,MIN(10,DR$173)))*(1+V_dPrecio))</f>
        <v>0</v>
      </c>
      <c r="DS215" s="48" t="n">
        <f aca="false">IF(DS$8=1,IF(Reales!$C$51="PYG",IF(DS$10&gt;0,N(Reales!DS51)/DS$10,0),N(Reales!DS51)),DS$190*IF(AND(AND(118&gt;Corte,118&lt;=Corte+n_Ventana),ISNUMBER(Detalle_24m!DS$55)),Detalle_24m!DS$55,INDEX(Precio_V,14)*INDEX(IdxPrecio_V,1,MIN(10,DS$173)))*(1+V_dPrecio))</f>
        <v>0</v>
      </c>
      <c r="DT215" s="48" t="n">
        <f aca="false">IF(DT$8=1,IF(Reales!$C$51="PYG",IF(DT$10&gt;0,N(Reales!DT51)/DT$10,0),N(Reales!DT51)),DT$190*IF(AND(AND(119&gt;Corte,119&lt;=Corte+n_Ventana),ISNUMBER(Detalle_24m!DT$55)),Detalle_24m!DT$55,INDEX(Precio_V,14)*INDEX(IdxPrecio_V,1,MIN(10,DT$173)))*(1+V_dPrecio))</f>
        <v>0</v>
      </c>
      <c r="DU215" s="48" t="n">
        <f aca="false">IF(DU$8=1,IF(Reales!$C$51="PYG",IF(DU$10&gt;0,N(Reales!DU51)/DU$10,0),N(Reales!DU51)),DU$190*IF(AND(AND(120&gt;Corte,120&lt;=Corte+n_Ventana),ISNUMBER(Detalle_24m!DU$55)),Detalle_24m!DU$55,INDEX(Precio_V,14)*INDEX(IdxPrecio_V,1,MIN(10,DU$173)))*(1+V_dPrecio))</f>
        <v>0</v>
      </c>
      <c r="DV215" s="48" t="n">
        <f aca="false">IF(DV$8=1,IF(Reales!$C$51="PYG",IF(DV$10&gt;0,N(Reales!DV51)/DV$10,0),N(Reales!DV51)),DV$190*IF(AND(AND(121&gt;Corte,121&lt;=Corte+n_Ventana),ISNUMBER(Detalle_24m!DV$55)),Detalle_24m!DV$55,INDEX(Precio_V,14)*INDEX(IdxPrecio_V,1,MIN(10,DV$173)))*(1+V_dPrecio))</f>
        <v>0</v>
      </c>
      <c r="DW215" s="48" t="n">
        <f aca="false">IF(DW$8=1,IF(Reales!$C$51="PYG",IF(DW$10&gt;0,N(Reales!DW51)/DW$10,0),N(Reales!DW51)),DW$190*IF(AND(AND(122&gt;Corte,122&lt;=Corte+n_Ventana),ISNUMBER(Detalle_24m!DW$55)),Detalle_24m!DW$55,INDEX(Precio_V,14)*INDEX(IdxPrecio_V,1,MIN(10,DW$173)))*(1+V_dPrecio))</f>
        <v>0</v>
      </c>
      <c r="DX215" s="48" t="n">
        <f aca="false">IF(DX$8=1,IF(Reales!$C$51="PYG",IF(DX$10&gt;0,N(Reales!DX51)/DX$10,0),N(Reales!DX51)),DX$190*IF(AND(AND(123&gt;Corte,123&lt;=Corte+n_Ventana),ISNUMBER(Detalle_24m!DX$55)),Detalle_24m!DX$55,INDEX(Precio_V,14)*INDEX(IdxPrecio_V,1,MIN(10,DX$173)))*(1+V_dPrecio))</f>
        <v>0</v>
      </c>
      <c r="DY215" s="48" t="n">
        <f aca="false">IF(DY$8=1,IF(Reales!$C$51="PYG",IF(DY$10&gt;0,N(Reales!DY51)/DY$10,0),N(Reales!DY51)),DY$190*IF(AND(AND(124&gt;Corte,124&lt;=Corte+n_Ventana),ISNUMBER(Detalle_24m!DY$55)),Detalle_24m!DY$55,INDEX(Precio_V,14)*INDEX(IdxPrecio_V,1,MIN(10,DY$173)))*(1+V_dPrecio))</f>
        <v>0</v>
      </c>
      <c r="DZ215" s="48" t="n">
        <f aca="false">IF(DZ$8=1,IF(Reales!$C$51="PYG",IF(DZ$10&gt;0,N(Reales!DZ51)/DZ$10,0),N(Reales!DZ51)),DZ$190*IF(AND(AND(125&gt;Corte,125&lt;=Corte+n_Ventana),ISNUMBER(Detalle_24m!DZ$55)),Detalle_24m!DZ$55,INDEX(Precio_V,14)*INDEX(IdxPrecio_V,1,MIN(10,DZ$173)))*(1+V_dPrecio))</f>
        <v>0</v>
      </c>
      <c r="EA215" s="48" t="n">
        <f aca="false">IF(EA$8=1,IF(Reales!$C$51="PYG",IF(EA$10&gt;0,N(Reales!EA51)/EA$10,0),N(Reales!EA51)),EA$190*IF(AND(AND(126&gt;Corte,126&lt;=Corte+n_Ventana),ISNUMBER(Detalle_24m!EA$55)),Detalle_24m!EA$55,INDEX(Precio_V,14)*INDEX(IdxPrecio_V,1,MIN(10,EA$173)))*(1+V_dPrecio))</f>
        <v>0</v>
      </c>
      <c r="EB215" s="48" t="n">
        <f aca="false">IF(EB$8=1,IF(Reales!$C$51="PYG",IF(EB$10&gt;0,N(Reales!EB51)/EB$10,0),N(Reales!EB51)),EB$190*IF(AND(AND(127&gt;Corte,127&lt;=Corte+n_Ventana),ISNUMBER(Detalle_24m!EB$55)),Detalle_24m!EB$55,INDEX(Precio_V,14)*INDEX(IdxPrecio_V,1,MIN(10,EB$173)))*(1+V_dPrecio))</f>
        <v>0</v>
      </c>
      <c r="EC215" s="48" t="n">
        <f aca="false">IF(EC$8=1,IF(Reales!$C$51="PYG",IF(EC$10&gt;0,N(Reales!EC51)/EC$10,0),N(Reales!EC51)),EC$190*IF(AND(AND(128&gt;Corte,128&lt;=Corte+n_Ventana),ISNUMBER(Detalle_24m!EC$55)),Detalle_24m!EC$55,INDEX(Precio_V,14)*INDEX(IdxPrecio_V,1,MIN(10,EC$173)))*(1+V_dPrecio))</f>
        <v>0</v>
      </c>
      <c r="ED215" s="48" t="n">
        <f aca="false">IF(ED$8=1,IF(Reales!$C$51="PYG",IF(ED$10&gt;0,N(Reales!ED51)/ED$10,0),N(Reales!ED51)),ED$190*IF(AND(AND(129&gt;Corte,129&lt;=Corte+n_Ventana),ISNUMBER(Detalle_24m!ED$55)),Detalle_24m!ED$55,INDEX(Precio_V,14)*INDEX(IdxPrecio_V,1,MIN(10,ED$173)))*(1+V_dPrecio))</f>
        <v>0</v>
      </c>
      <c r="EE215" s="48" t="n">
        <f aca="false">IF(EE$8=1,IF(Reales!$C$51="PYG",IF(EE$10&gt;0,N(Reales!EE51)/EE$10,0),N(Reales!EE51)),EE$190*IF(AND(AND(130&gt;Corte,130&lt;=Corte+n_Ventana),ISNUMBER(Detalle_24m!EE$55)),Detalle_24m!EE$55,INDEX(Precio_V,14)*INDEX(IdxPrecio_V,1,MIN(10,EE$173)))*(1+V_dPrecio))</f>
        <v>0</v>
      </c>
      <c r="EF215" s="48" t="n">
        <f aca="false">IF(EF$8=1,IF(Reales!$C$51="PYG",IF(EF$10&gt;0,N(Reales!EF51)/EF$10,0),N(Reales!EF51)),EF$190*IF(AND(AND(131&gt;Corte,131&lt;=Corte+n_Ventana),ISNUMBER(Detalle_24m!EF$55)),Detalle_24m!EF$55,INDEX(Precio_V,14)*INDEX(IdxPrecio_V,1,MIN(10,EF$173)))*(1+V_dPrecio))</f>
        <v>0</v>
      </c>
      <c r="EG215" s="48" t="n">
        <f aca="false">IF(EG$8=1,IF(Reales!$C$51="PYG",IF(EG$10&gt;0,N(Reales!EG51)/EG$10,0),N(Reales!EG51)),EG$190*IF(AND(AND(132&gt;Corte,132&lt;=Corte+n_Ventana),ISNUMBER(Detalle_24m!EG$55)),Detalle_24m!EG$55,INDEX(Precio_V,14)*INDEX(IdxPrecio_V,1,MIN(10,EG$173)))*(1+V_dPrecio))</f>
        <v>0</v>
      </c>
      <c r="EH215" s="48" t="n">
        <f aca="false">IF(EH$8=1,IF(Reales!$C$51="PYG",IF(EH$10&gt;0,N(Reales!EH51)/EH$10,0),N(Reales!EH51)),EH$190*IF(AND(AND(133&gt;Corte,133&lt;=Corte+n_Ventana),ISNUMBER(Detalle_24m!EH$55)),Detalle_24m!EH$55,INDEX(Precio_V,14)*INDEX(IdxPrecio_V,1,MIN(10,EH$173)))*(1+V_dPrecio))</f>
        <v>0</v>
      </c>
      <c r="EI215" s="48" t="n">
        <f aca="false">IF(EI$8=1,IF(Reales!$C$51="PYG",IF(EI$10&gt;0,N(Reales!EI51)/EI$10,0),N(Reales!EI51)),EI$190*IF(AND(AND(134&gt;Corte,134&lt;=Corte+n_Ventana),ISNUMBER(Detalle_24m!EI$55)),Detalle_24m!EI$55,INDEX(Precio_V,14)*INDEX(IdxPrecio_V,1,MIN(10,EI$173)))*(1+V_dPrecio))</f>
        <v>0</v>
      </c>
      <c r="EJ215" s="48" t="n">
        <f aca="false">IF(EJ$8=1,IF(Reales!$C$51="PYG",IF(EJ$10&gt;0,N(Reales!EJ51)/EJ$10,0),N(Reales!EJ51)),EJ$190*IF(AND(AND(135&gt;Corte,135&lt;=Corte+n_Ventana),ISNUMBER(Detalle_24m!EJ$55)),Detalle_24m!EJ$55,INDEX(Precio_V,14)*INDEX(IdxPrecio_V,1,MIN(10,EJ$173)))*(1+V_dPrecio))</f>
        <v>0</v>
      </c>
      <c r="EK215" s="48" t="n">
        <f aca="false">IF(EK$8=1,IF(Reales!$C$51="PYG",IF(EK$10&gt;0,N(Reales!EK51)/EK$10,0),N(Reales!EK51)),EK$190*IF(AND(AND(136&gt;Corte,136&lt;=Corte+n_Ventana),ISNUMBER(Detalle_24m!EK$55)),Detalle_24m!EK$55,INDEX(Precio_V,14)*INDEX(IdxPrecio_V,1,MIN(10,EK$173)))*(1+V_dPrecio))</f>
        <v>0</v>
      </c>
      <c r="EL215" s="48" t="n">
        <f aca="false">IF(EL$8=1,IF(Reales!$C$51="PYG",IF(EL$10&gt;0,N(Reales!EL51)/EL$10,0),N(Reales!EL51)),EL$190*IF(AND(AND(137&gt;Corte,137&lt;=Corte+n_Ventana),ISNUMBER(Detalle_24m!EL$55)),Detalle_24m!EL$55,INDEX(Precio_V,14)*INDEX(IdxPrecio_V,1,MIN(10,EL$173)))*(1+V_dPrecio))</f>
        <v>0</v>
      </c>
      <c r="EM215" s="48" t="n">
        <f aca="false">IF(EM$8=1,IF(Reales!$C$51="PYG",IF(EM$10&gt;0,N(Reales!EM51)/EM$10,0),N(Reales!EM51)),EM$190*IF(AND(AND(138&gt;Corte,138&lt;=Corte+n_Ventana),ISNUMBER(Detalle_24m!EM$55)),Detalle_24m!EM$55,INDEX(Precio_V,14)*INDEX(IdxPrecio_V,1,MIN(10,EM$173)))*(1+V_dPrecio))</f>
        <v>0</v>
      </c>
      <c r="EN215" s="48" t="n">
        <f aca="false">IF(EN$8=1,IF(Reales!$C$51="PYG",IF(EN$10&gt;0,N(Reales!EN51)/EN$10,0),N(Reales!EN51)),EN$190*IF(AND(AND(139&gt;Corte,139&lt;=Corte+n_Ventana),ISNUMBER(Detalle_24m!EN$55)),Detalle_24m!EN$55,INDEX(Precio_V,14)*INDEX(IdxPrecio_V,1,MIN(10,EN$173)))*(1+V_dPrecio))</f>
        <v>0</v>
      </c>
      <c r="EO215" s="48" t="n">
        <f aca="false">IF(EO$8=1,IF(Reales!$C$51="PYG",IF(EO$10&gt;0,N(Reales!EO51)/EO$10,0),N(Reales!EO51)),EO$190*IF(AND(AND(140&gt;Corte,140&lt;=Corte+n_Ventana),ISNUMBER(Detalle_24m!EO$55)),Detalle_24m!EO$55,INDEX(Precio_V,14)*INDEX(IdxPrecio_V,1,MIN(10,EO$173)))*(1+V_dPrecio))</f>
        <v>0</v>
      </c>
      <c r="EP215" s="48" t="n">
        <f aca="false">IF(EP$8=1,IF(Reales!$C$51="PYG",IF(EP$10&gt;0,N(Reales!EP51)/EP$10,0),N(Reales!EP51)),EP$190*IF(AND(AND(141&gt;Corte,141&lt;=Corte+n_Ventana),ISNUMBER(Detalle_24m!EP$55)),Detalle_24m!EP$55,INDEX(Precio_V,14)*INDEX(IdxPrecio_V,1,MIN(10,EP$173)))*(1+V_dPrecio))</f>
        <v>0</v>
      </c>
      <c r="EQ215" s="48" t="n">
        <f aca="false">IF(EQ$8=1,IF(Reales!$C$51="PYG",IF(EQ$10&gt;0,N(Reales!EQ51)/EQ$10,0),N(Reales!EQ51)),EQ$190*IF(AND(AND(142&gt;Corte,142&lt;=Corte+n_Ventana),ISNUMBER(Detalle_24m!EQ$55)),Detalle_24m!EQ$55,INDEX(Precio_V,14)*INDEX(IdxPrecio_V,1,MIN(10,EQ$173)))*(1+V_dPrecio))</f>
        <v>0</v>
      </c>
      <c r="ER215" s="48" t="n">
        <f aca="false">IF(ER$8=1,IF(Reales!$C$51="PYG",IF(ER$10&gt;0,N(Reales!ER51)/ER$10,0),N(Reales!ER51)),ER$190*IF(AND(AND(143&gt;Corte,143&lt;=Corte+n_Ventana),ISNUMBER(Detalle_24m!ER$55)),Detalle_24m!ER$55,INDEX(Precio_V,14)*INDEX(IdxPrecio_V,1,MIN(10,ER$173)))*(1+V_dPrecio))</f>
        <v>0</v>
      </c>
      <c r="ES215" s="48" t="n">
        <f aca="false">IF(ES$8=1,IF(Reales!$C$51="PYG",IF(ES$10&gt;0,N(Reales!ES51)/ES$10,0),N(Reales!ES51)),ES$190*IF(AND(AND(144&gt;Corte,144&lt;=Corte+n_Ventana),ISNUMBER(Detalle_24m!ES$55)),Detalle_24m!ES$55,INDEX(Precio_V,14)*INDEX(IdxPrecio_V,1,MIN(10,ES$173)))*(1+V_dPrecio))</f>
        <v>0</v>
      </c>
    </row>
    <row r="216" customFormat="false" ht="15" hidden="false" customHeight="false" outlineLevel="0" collapsed="false">
      <c r="A216" s="11" t="s">
        <v>1339</v>
      </c>
      <c r="B216" s="53" t="str">
        <f aca="false">IF(INDEX(Prod_Nombre,15)="","Producto 15",INDEX(Prod_Nombre,15))&amp;" — ventas USD"</f>
        <v>Producto 15 — ventas USD</v>
      </c>
      <c r="C216" s="15" t="s">
        <v>508</v>
      </c>
      <c r="E216" s="54" t="n">
        <f aca="false">SUM(F216:ES216)</f>
        <v>0</v>
      </c>
      <c r="F216" s="48" t="n">
        <f aca="false">IF(F$8=1,IF(Reales!$C$52="PYG",IF(F$10&gt;0,N(Reales!F52)/F$10,0),N(Reales!F52)),F$191*IF(AND(AND(1&gt;Corte,1&lt;=Corte+n_Ventana),ISNUMBER(Detalle_24m!F$56)),Detalle_24m!F$56,INDEX(Precio_V,15)*INDEX(IdxPrecio_V,1,MIN(10,F$173)))*(1+V_dPrecio))</f>
        <v>0</v>
      </c>
      <c r="G216" s="48" t="n">
        <f aca="false">IF(G$8=1,IF(Reales!$C$52="PYG",IF(G$10&gt;0,N(Reales!G52)/G$10,0),N(Reales!G52)),G$191*IF(AND(AND(2&gt;Corte,2&lt;=Corte+n_Ventana),ISNUMBER(Detalle_24m!G$56)),Detalle_24m!G$56,INDEX(Precio_V,15)*INDEX(IdxPrecio_V,1,MIN(10,G$173)))*(1+V_dPrecio))</f>
        <v>0</v>
      </c>
      <c r="H216" s="48" t="n">
        <f aca="false">IF(H$8=1,IF(Reales!$C$52="PYG",IF(H$10&gt;0,N(Reales!H52)/H$10,0),N(Reales!H52)),H$191*IF(AND(AND(3&gt;Corte,3&lt;=Corte+n_Ventana),ISNUMBER(Detalle_24m!H$56)),Detalle_24m!H$56,INDEX(Precio_V,15)*INDEX(IdxPrecio_V,1,MIN(10,H$173)))*(1+V_dPrecio))</f>
        <v>0</v>
      </c>
      <c r="I216" s="48" t="n">
        <f aca="false">IF(I$8=1,IF(Reales!$C$52="PYG",IF(I$10&gt;0,N(Reales!I52)/I$10,0),N(Reales!I52)),I$191*IF(AND(AND(4&gt;Corte,4&lt;=Corte+n_Ventana),ISNUMBER(Detalle_24m!I$56)),Detalle_24m!I$56,INDEX(Precio_V,15)*INDEX(IdxPrecio_V,1,MIN(10,I$173)))*(1+V_dPrecio))</f>
        <v>0</v>
      </c>
      <c r="J216" s="48" t="n">
        <f aca="false">IF(J$8=1,IF(Reales!$C$52="PYG",IF(J$10&gt;0,N(Reales!J52)/J$10,0),N(Reales!J52)),J$191*IF(AND(AND(5&gt;Corte,5&lt;=Corte+n_Ventana),ISNUMBER(Detalle_24m!J$56)),Detalle_24m!J$56,INDEX(Precio_V,15)*INDEX(IdxPrecio_V,1,MIN(10,J$173)))*(1+V_dPrecio))</f>
        <v>0</v>
      </c>
      <c r="K216" s="48" t="n">
        <f aca="false">IF(K$8=1,IF(Reales!$C$52="PYG",IF(K$10&gt;0,N(Reales!K52)/K$10,0),N(Reales!K52)),K$191*IF(AND(AND(6&gt;Corte,6&lt;=Corte+n_Ventana),ISNUMBER(Detalle_24m!K$56)),Detalle_24m!K$56,INDEX(Precio_V,15)*INDEX(IdxPrecio_V,1,MIN(10,K$173)))*(1+V_dPrecio))</f>
        <v>0</v>
      </c>
      <c r="L216" s="48" t="n">
        <f aca="false">IF(L$8=1,IF(Reales!$C$52="PYG",IF(L$10&gt;0,N(Reales!L52)/L$10,0),N(Reales!L52)),L$191*IF(AND(AND(7&gt;Corte,7&lt;=Corte+n_Ventana),ISNUMBER(Detalle_24m!L$56)),Detalle_24m!L$56,INDEX(Precio_V,15)*INDEX(IdxPrecio_V,1,MIN(10,L$173)))*(1+V_dPrecio))</f>
        <v>0</v>
      </c>
      <c r="M216" s="48" t="n">
        <f aca="false">IF(M$8=1,IF(Reales!$C$52="PYG",IF(M$10&gt;0,N(Reales!M52)/M$10,0),N(Reales!M52)),M$191*IF(AND(AND(8&gt;Corte,8&lt;=Corte+n_Ventana),ISNUMBER(Detalle_24m!M$56)),Detalle_24m!M$56,INDEX(Precio_V,15)*INDEX(IdxPrecio_V,1,MIN(10,M$173)))*(1+V_dPrecio))</f>
        <v>0</v>
      </c>
      <c r="N216" s="48" t="n">
        <f aca="false">IF(N$8=1,IF(Reales!$C$52="PYG",IF(N$10&gt;0,N(Reales!N52)/N$10,0),N(Reales!N52)),N$191*IF(AND(AND(9&gt;Corte,9&lt;=Corte+n_Ventana),ISNUMBER(Detalle_24m!N$56)),Detalle_24m!N$56,INDEX(Precio_V,15)*INDEX(IdxPrecio_V,1,MIN(10,N$173)))*(1+V_dPrecio))</f>
        <v>0</v>
      </c>
      <c r="O216" s="48" t="n">
        <f aca="false">IF(O$8=1,IF(Reales!$C$52="PYG",IF(O$10&gt;0,N(Reales!O52)/O$10,0),N(Reales!O52)),O$191*IF(AND(AND(10&gt;Corte,10&lt;=Corte+n_Ventana),ISNUMBER(Detalle_24m!O$56)),Detalle_24m!O$56,INDEX(Precio_V,15)*INDEX(IdxPrecio_V,1,MIN(10,O$173)))*(1+V_dPrecio))</f>
        <v>0</v>
      </c>
      <c r="P216" s="48" t="n">
        <f aca="false">IF(P$8=1,IF(Reales!$C$52="PYG",IF(P$10&gt;0,N(Reales!P52)/P$10,0),N(Reales!P52)),P$191*IF(AND(AND(11&gt;Corte,11&lt;=Corte+n_Ventana),ISNUMBER(Detalle_24m!P$56)),Detalle_24m!P$56,INDEX(Precio_V,15)*INDEX(IdxPrecio_V,1,MIN(10,P$173)))*(1+V_dPrecio))</f>
        <v>0</v>
      </c>
      <c r="Q216" s="48" t="n">
        <f aca="false">IF(Q$8=1,IF(Reales!$C$52="PYG",IF(Q$10&gt;0,N(Reales!Q52)/Q$10,0),N(Reales!Q52)),Q$191*IF(AND(AND(12&gt;Corte,12&lt;=Corte+n_Ventana),ISNUMBER(Detalle_24m!Q$56)),Detalle_24m!Q$56,INDEX(Precio_V,15)*INDEX(IdxPrecio_V,1,MIN(10,Q$173)))*(1+V_dPrecio))</f>
        <v>0</v>
      </c>
      <c r="R216" s="48" t="n">
        <f aca="false">IF(R$8=1,IF(Reales!$C$52="PYG",IF(R$10&gt;0,N(Reales!R52)/R$10,0),N(Reales!R52)),R$191*IF(AND(AND(13&gt;Corte,13&lt;=Corte+n_Ventana),ISNUMBER(Detalle_24m!R$56)),Detalle_24m!R$56,INDEX(Precio_V,15)*INDEX(IdxPrecio_V,1,MIN(10,R$173)))*(1+V_dPrecio))</f>
        <v>0</v>
      </c>
      <c r="S216" s="48" t="n">
        <f aca="false">IF(S$8=1,IF(Reales!$C$52="PYG",IF(S$10&gt;0,N(Reales!S52)/S$10,0),N(Reales!S52)),S$191*IF(AND(AND(14&gt;Corte,14&lt;=Corte+n_Ventana),ISNUMBER(Detalle_24m!S$56)),Detalle_24m!S$56,INDEX(Precio_V,15)*INDEX(IdxPrecio_V,1,MIN(10,S$173)))*(1+V_dPrecio))</f>
        <v>0</v>
      </c>
      <c r="T216" s="48" t="n">
        <f aca="false">IF(T$8=1,IF(Reales!$C$52="PYG",IF(T$10&gt;0,N(Reales!T52)/T$10,0),N(Reales!T52)),T$191*IF(AND(AND(15&gt;Corte,15&lt;=Corte+n_Ventana),ISNUMBER(Detalle_24m!T$56)),Detalle_24m!T$56,INDEX(Precio_V,15)*INDEX(IdxPrecio_V,1,MIN(10,T$173)))*(1+V_dPrecio))</f>
        <v>0</v>
      </c>
      <c r="U216" s="48" t="n">
        <f aca="false">IF(U$8=1,IF(Reales!$C$52="PYG",IF(U$10&gt;0,N(Reales!U52)/U$10,0),N(Reales!U52)),U$191*IF(AND(AND(16&gt;Corte,16&lt;=Corte+n_Ventana),ISNUMBER(Detalle_24m!U$56)),Detalle_24m!U$56,INDEX(Precio_V,15)*INDEX(IdxPrecio_V,1,MIN(10,U$173)))*(1+V_dPrecio))</f>
        <v>0</v>
      </c>
      <c r="V216" s="48" t="n">
        <f aca="false">IF(V$8=1,IF(Reales!$C$52="PYG",IF(V$10&gt;0,N(Reales!V52)/V$10,0),N(Reales!V52)),V$191*IF(AND(AND(17&gt;Corte,17&lt;=Corte+n_Ventana),ISNUMBER(Detalle_24m!V$56)),Detalle_24m!V$56,INDEX(Precio_V,15)*INDEX(IdxPrecio_V,1,MIN(10,V$173)))*(1+V_dPrecio))</f>
        <v>0</v>
      </c>
      <c r="W216" s="48" t="n">
        <f aca="false">IF(W$8=1,IF(Reales!$C$52="PYG",IF(W$10&gt;0,N(Reales!W52)/W$10,0),N(Reales!W52)),W$191*IF(AND(AND(18&gt;Corte,18&lt;=Corte+n_Ventana),ISNUMBER(Detalle_24m!W$56)),Detalle_24m!W$56,INDEX(Precio_V,15)*INDEX(IdxPrecio_V,1,MIN(10,W$173)))*(1+V_dPrecio))</f>
        <v>0</v>
      </c>
      <c r="X216" s="48" t="n">
        <f aca="false">IF(X$8=1,IF(Reales!$C$52="PYG",IF(X$10&gt;0,N(Reales!X52)/X$10,0),N(Reales!X52)),X$191*IF(AND(AND(19&gt;Corte,19&lt;=Corte+n_Ventana),ISNUMBER(Detalle_24m!X$56)),Detalle_24m!X$56,INDEX(Precio_V,15)*INDEX(IdxPrecio_V,1,MIN(10,X$173)))*(1+V_dPrecio))</f>
        <v>0</v>
      </c>
      <c r="Y216" s="48" t="n">
        <f aca="false">IF(Y$8=1,IF(Reales!$C$52="PYG",IF(Y$10&gt;0,N(Reales!Y52)/Y$10,0),N(Reales!Y52)),Y$191*IF(AND(AND(20&gt;Corte,20&lt;=Corte+n_Ventana),ISNUMBER(Detalle_24m!Y$56)),Detalle_24m!Y$56,INDEX(Precio_V,15)*INDEX(IdxPrecio_V,1,MIN(10,Y$173)))*(1+V_dPrecio))</f>
        <v>0</v>
      </c>
      <c r="Z216" s="48" t="n">
        <f aca="false">IF(Z$8=1,IF(Reales!$C$52="PYG",IF(Z$10&gt;0,N(Reales!Z52)/Z$10,0),N(Reales!Z52)),Z$191*IF(AND(AND(21&gt;Corte,21&lt;=Corte+n_Ventana),ISNUMBER(Detalle_24m!Z$56)),Detalle_24m!Z$56,INDEX(Precio_V,15)*INDEX(IdxPrecio_V,1,MIN(10,Z$173)))*(1+V_dPrecio))</f>
        <v>0</v>
      </c>
      <c r="AA216" s="48" t="n">
        <f aca="false">IF(AA$8=1,IF(Reales!$C$52="PYG",IF(AA$10&gt;0,N(Reales!AA52)/AA$10,0),N(Reales!AA52)),AA$191*IF(AND(AND(22&gt;Corte,22&lt;=Corte+n_Ventana),ISNUMBER(Detalle_24m!AA$56)),Detalle_24m!AA$56,INDEX(Precio_V,15)*INDEX(IdxPrecio_V,1,MIN(10,AA$173)))*(1+V_dPrecio))</f>
        <v>0</v>
      </c>
      <c r="AB216" s="48" t="n">
        <f aca="false">IF(AB$8=1,IF(Reales!$C$52="PYG",IF(AB$10&gt;0,N(Reales!AB52)/AB$10,0),N(Reales!AB52)),AB$191*IF(AND(AND(23&gt;Corte,23&lt;=Corte+n_Ventana),ISNUMBER(Detalle_24m!AB$56)),Detalle_24m!AB$56,INDEX(Precio_V,15)*INDEX(IdxPrecio_V,1,MIN(10,AB$173)))*(1+V_dPrecio))</f>
        <v>0</v>
      </c>
      <c r="AC216" s="48" t="n">
        <f aca="false">IF(AC$8=1,IF(Reales!$C$52="PYG",IF(AC$10&gt;0,N(Reales!AC52)/AC$10,0),N(Reales!AC52)),AC$191*IF(AND(AND(24&gt;Corte,24&lt;=Corte+n_Ventana),ISNUMBER(Detalle_24m!AC$56)),Detalle_24m!AC$56,INDEX(Precio_V,15)*INDEX(IdxPrecio_V,1,MIN(10,AC$173)))*(1+V_dPrecio))</f>
        <v>0</v>
      </c>
      <c r="AD216" s="48" t="n">
        <f aca="false">IF(AD$8=1,IF(Reales!$C$52="PYG",IF(AD$10&gt;0,N(Reales!AD52)/AD$10,0),N(Reales!AD52)),AD$191*IF(AND(AND(25&gt;Corte,25&lt;=Corte+n_Ventana),ISNUMBER(Detalle_24m!AD$56)),Detalle_24m!AD$56,INDEX(Precio_V,15)*INDEX(IdxPrecio_V,1,MIN(10,AD$173)))*(1+V_dPrecio))</f>
        <v>0</v>
      </c>
      <c r="AE216" s="48" t="n">
        <f aca="false">IF(AE$8=1,IF(Reales!$C$52="PYG",IF(AE$10&gt;0,N(Reales!AE52)/AE$10,0),N(Reales!AE52)),AE$191*IF(AND(AND(26&gt;Corte,26&lt;=Corte+n_Ventana),ISNUMBER(Detalle_24m!AE$56)),Detalle_24m!AE$56,INDEX(Precio_V,15)*INDEX(IdxPrecio_V,1,MIN(10,AE$173)))*(1+V_dPrecio))</f>
        <v>0</v>
      </c>
      <c r="AF216" s="48" t="n">
        <f aca="false">IF(AF$8=1,IF(Reales!$C$52="PYG",IF(AF$10&gt;0,N(Reales!AF52)/AF$10,0),N(Reales!AF52)),AF$191*IF(AND(AND(27&gt;Corte,27&lt;=Corte+n_Ventana),ISNUMBER(Detalle_24m!AF$56)),Detalle_24m!AF$56,INDEX(Precio_V,15)*INDEX(IdxPrecio_V,1,MIN(10,AF$173)))*(1+V_dPrecio))</f>
        <v>0</v>
      </c>
      <c r="AG216" s="48" t="n">
        <f aca="false">IF(AG$8=1,IF(Reales!$C$52="PYG",IF(AG$10&gt;0,N(Reales!AG52)/AG$10,0),N(Reales!AG52)),AG$191*IF(AND(AND(28&gt;Corte,28&lt;=Corte+n_Ventana),ISNUMBER(Detalle_24m!AG$56)),Detalle_24m!AG$56,INDEX(Precio_V,15)*INDEX(IdxPrecio_V,1,MIN(10,AG$173)))*(1+V_dPrecio))</f>
        <v>0</v>
      </c>
      <c r="AH216" s="48" t="n">
        <f aca="false">IF(AH$8=1,IF(Reales!$C$52="PYG",IF(AH$10&gt;0,N(Reales!AH52)/AH$10,0),N(Reales!AH52)),AH$191*IF(AND(AND(29&gt;Corte,29&lt;=Corte+n_Ventana),ISNUMBER(Detalle_24m!AH$56)),Detalle_24m!AH$56,INDEX(Precio_V,15)*INDEX(IdxPrecio_V,1,MIN(10,AH$173)))*(1+V_dPrecio))</f>
        <v>0</v>
      </c>
      <c r="AI216" s="48" t="n">
        <f aca="false">IF(AI$8=1,IF(Reales!$C$52="PYG",IF(AI$10&gt;0,N(Reales!AI52)/AI$10,0),N(Reales!AI52)),AI$191*IF(AND(AND(30&gt;Corte,30&lt;=Corte+n_Ventana),ISNUMBER(Detalle_24m!AI$56)),Detalle_24m!AI$56,INDEX(Precio_V,15)*INDEX(IdxPrecio_V,1,MIN(10,AI$173)))*(1+V_dPrecio))</f>
        <v>0</v>
      </c>
      <c r="AJ216" s="48" t="n">
        <f aca="false">IF(AJ$8=1,IF(Reales!$C$52="PYG",IF(AJ$10&gt;0,N(Reales!AJ52)/AJ$10,0),N(Reales!AJ52)),AJ$191*IF(AND(AND(31&gt;Corte,31&lt;=Corte+n_Ventana),ISNUMBER(Detalle_24m!AJ$56)),Detalle_24m!AJ$56,INDEX(Precio_V,15)*INDEX(IdxPrecio_V,1,MIN(10,AJ$173)))*(1+V_dPrecio))</f>
        <v>0</v>
      </c>
      <c r="AK216" s="48" t="n">
        <f aca="false">IF(AK$8=1,IF(Reales!$C$52="PYG",IF(AK$10&gt;0,N(Reales!AK52)/AK$10,0),N(Reales!AK52)),AK$191*IF(AND(AND(32&gt;Corte,32&lt;=Corte+n_Ventana),ISNUMBER(Detalle_24m!AK$56)),Detalle_24m!AK$56,INDEX(Precio_V,15)*INDEX(IdxPrecio_V,1,MIN(10,AK$173)))*(1+V_dPrecio))</f>
        <v>0</v>
      </c>
      <c r="AL216" s="48" t="n">
        <f aca="false">IF(AL$8=1,IF(Reales!$C$52="PYG",IF(AL$10&gt;0,N(Reales!AL52)/AL$10,0),N(Reales!AL52)),AL$191*IF(AND(AND(33&gt;Corte,33&lt;=Corte+n_Ventana),ISNUMBER(Detalle_24m!AL$56)),Detalle_24m!AL$56,INDEX(Precio_V,15)*INDEX(IdxPrecio_V,1,MIN(10,AL$173)))*(1+V_dPrecio))</f>
        <v>0</v>
      </c>
      <c r="AM216" s="48" t="n">
        <f aca="false">IF(AM$8=1,IF(Reales!$C$52="PYG",IF(AM$10&gt;0,N(Reales!AM52)/AM$10,0),N(Reales!AM52)),AM$191*IF(AND(AND(34&gt;Corte,34&lt;=Corte+n_Ventana),ISNUMBER(Detalle_24m!AM$56)),Detalle_24m!AM$56,INDEX(Precio_V,15)*INDEX(IdxPrecio_V,1,MIN(10,AM$173)))*(1+V_dPrecio))</f>
        <v>0</v>
      </c>
      <c r="AN216" s="48" t="n">
        <f aca="false">IF(AN$8=1,IF(Reales!$C$52="PYG",IF(AN$10&gt;0,N(Reales!AN52)/AN$10,0),N(Reales!AN52)),AN$191*IF(AND(AND(35&gt;Corte,35&lt;=Corte+n_Ventana),ISNUMBER(Detalle_24m!AN$56)),Detalle_24m!AN$56,INDEX(Precio_V,15)*INDEX(IdxPrecio_V,1,MIN(10,AN$173)))*(1+V_dPrecio))</f>
        <v>0</v>
      </c>
      <c r="AO216" s="48" t="n">
        <f aca="false">IF(AO$8=1,IF(Reales!$C$52="PYG",IF(AO$10&gt;0,N(Reales!AO52)/AO$10,0),N(Reales!AO52)),AO$191*IF(AND(AND(36&gt;Corte,36&lt;=Corte+n_Ventana),ISNUMBER(Detalle_24m!AO$56)),Detalle_24m!AO$56,INDEX(Precio_V,15)*INDEX(IdxPrecio_V,1,MIN(10,AO$173)))*(1+V_dPrecio))</f>
        <v>0</v>
      </c>
      <c r="AP216" s="48" t="n">
        <f aca="false">IF(AP$8=1,IF(Reales!$C$52="PYG",IF(AP$10&gt;0,N(Reales!AP52)/AP$10,0),N(Reales!AP52)),AP$191*IF(AND(AND(37&gt;Corte,37&lt;=Corte+n_Ventana),ISNUMBER(Detalle_24m!AP$56)),Detalle_24m!AP$56,INDEX(Precio_V,15)*INDEX(IdxPrecio_V,1,MIN(10,AP$173)))*(1+V_dPrecio))</f>
        <v>0</v>
      </c>
      <c r="AQ216" s="48" t="n">
        <f aca="false">IF(AQ$8=1,IF(Reales!$C$52="PYG",IF(AQ$10&gt;0,N(Reales!AQ52)/AQ$10,0),N(Reales!AQ52)),AQ$191*IF(AND(AND(38&gt;Corte,38&lt;=Corte+n_Ventana),ISNUMBER(Detalle_24m!AQ$56)),Detalle_24m!AQ$56,INDEX(Precio_V,15)*INDEX(IdxPrecio_V,1,MIN(10,AQ$173)))*(1+V_dPrecio))</f>
        <v>0</v>
      </c>
      <c r="AR216" s="48" t="n">
        <f aca="false">IF(AR$8=1,IF(Reales!$C$52="PYG",IF(AR$10&gt;0,N(Reales!AR52)/AR$10,0),N(Reales!AR52)),AR$191*IF(AND(AND(39&gt;Corte,39&lt;=Corte+n_Ventana),ISNUMBER(Detalle_24m!AR$56)),Detalle_24m!AR$56,INDEX(Precio_V,15)*INDEX(IdxPrecio_V,1,MIN(10,AR$173)))*(1+V_dPrecio))</f>
        <v>0</v>
      </c>
      <c r="AS216" s="48" t="n">
        <f aca="false">IF(AS$8=1,IF(Reales!$C$52="PYG",IF(AS$10&gt;0,N(Reales!AS52)/AS$10,0),N(Reales!AS52)),AS$191*IF(AND(AND(40&gt;Corte,40&lt;=Corte+n_Ventana),ISNUMBER(Detalle_24m!AS$56)),Detalle_24m!AS$56,INDEX(Precio_V,15)*INDEX(IdxPrecio_V,1,MIN(10,AS$173)))*(1+V_dPrecio))</f>
        <v>0</v>
      </c>
      <c r="AT216" s="48" t="n">
        <f aca="false">IF(AT$8=1,IF(Reales!$C$52="PYG",IF(AT$10&gt;0,N(Reales!AT52)/AT$10,0),N(Reales!AT52)),AT$191*IF(AND(AND(41&gt;Corte,41&lt;=Corte+n_Ventana),ISNUMBER(Detalle_24m!AT$56)),Detalle_24m!AT$56,INDEX(Precio_V,15)*INDEX(IdxPrecio_V,1,MIN(10,AT$173)))*(1+V_dPrecio))</f>
        <v>0</v>
      </c>
      <c r="AU216" s="48" t="n">
        <f aca="false">IF(AU$8=1,IF(Reales!$C$52="PYG",IF(AU$10&gt;0,N(Reales!AU52)/AU$10,0),N(Reales!AU52)),AU$191*IF(AND(AND(42&gt;Corte,42&lt;=Corte+n_Ventana),ISNUMBER(Detalle_24m!AU$56)),Detalle_24m!AU$56,INDEX(Precio_V,15)*INDEX(IdxPrecio_V,1,MIN(10,AU$173)))*(1+V_dPrecio))</f>
        <v>0</v>
      </c>
      <c r="AV216" s="48" t="n">
        <f aca="false">IF(AV$8=1,IF(Reales!$C$52="PYG",IF(AV$10&gt;0,N(Reales!AV52)/AV$10,0),N(Reales!AV52)),AV$191*IF(AND(AND(43&gt;Corte,43&lt;=Corte+n_Ventana),ISNUMBER(Detalle_24m!AV$56)),Detalle_24m!AV$56,INDEX(Precio_V,15)*INDEX(IdxPrecio_V,1,MIN(10,AV$173)))*(1+V_dPrecio))</f>
        <v>0</v>
      </c>
      <c r="AW216" s="48" t="n">
        <f aca="false">IF(AW$8=1,IF(Reales!$C$52="PYG",IF(AW$10&gt;0,N(Reales!AW52)/AW$10,0),N(Reales!AW52)),AW$191*IF(AND(AND(44&gt;Corte,44&lt;=Corte+n_Ventana),ISNUMBER(Detalle_24m!AW$56)),Detalle_24m!AW$56,INDEX(Precio_V,15)*INDEX(IdxPrecio_V,1,MIN(10,AW$173)))*(1+V_dPrecio))</f>
        <v>0</v>
      </c>
      <c r="AX216" s="48" t="n">
        <f aca="false">IF(AX$8=1,IF(Reales!$C$52="PYG",IF(AX$10&gt;0,N(Reales!AX52)/AX$10,0),N(Reales!AX52)),AX$191*IF(AND(AND(45&gt;Corte,45&lt;=Corte+n_Ventana),ISNUMBER(Detalle_24m!AX$56)),Detalle_24m!AX$56,INDEX(Precio_V,15)*INDEX(IdxPrecio_V,1,MIN(10,AX$173)))*(1+V_dPrecio))</f>
        <v>0</v>
      </c>
      <c r="AY216" s="48" t="n">
        <f aca="false">IF(AY$8=1,IF(Reales!$C$52="PYG",IF(AY$10&gt;0,N(Reales!AY52)/AY$10,0),N(Reales!AY52)),AY$191*IF(AND(AND(46&gt;Corte,46&lt;=Corte+n_Ventana),ISNUMBER(Detalle_24m!AY$56)),Detalle_24m!AY$56,INDEX(Precio_V,15)*INDEX(IdxPrecio_V,1,MIN(10,AY$173)))*(1+V_dPrecio))</f>
        <v>0</v>
      </c>
      <c r="AZ216" s="48" t="n">
        <f aca="false">IF(AZ$8=1,IF(Reales!$C$52="PYG",IF(AZ$10&gt;0,N(Reales!AZ52)/AZ$10,0),N(Reales!AZ52)),AZ$191*IF(AND(AND(47&gt;Corte,47&lt;=Corte+n_Ventana),ISNUMBER(Detalle_24m!AZ$56)),Detalle_24m!AZ$56,INDEX(Precio_V,15)*INDEX(IdxPrecio_V,1,MIN(10,AZ$173)))*(1+V_dPrecio))</f>
        <v>0</v>
      </c>
      <c r="BA216" s="48" t="n">
        <f aca="false">IF(BA$8=1,IF(Reales!$C$52="PYG",IF(BA$10&gt;0,N(Reales!BA52)/BA$10,0),N(Reales!BA52)),BA$191*IF(AND(AND(48&gt;Corte,48&lt;=Corte+n_Ventana),ISNUMBER(Detalle_24m!BA$56)),Detalle_24m!BA$56,INDEX(Precio_V,15)*INDEX(IdxPrecio_V,1,MIN(10,BA$173)))*(1+V_dPrecio))</f>
        <v>0</v>
      </c>
      <c r="BB216" s="48" t="n">
        <f aca="false">IF(BB$8=1,IF(Reales!$C$52="PYG",IF(BB$10&gt;0,N(Reales!BB52)/BB$10,0),N(Reales!BB52)),BB$191*IF(AND(AND(49&gt;Corte,49&lt;=Corte+n_Ventana),ISNUMBER(Detalle_24m!BB$56)),Detalle_24m!BB$56,INDEX(Precio_V,15)*INDEX(IdxPrecio_V,1,MIN(10,BB$173)))*(1+V_dPrecio))</f>
        <v>0</v>
      </c>
      <c r="BC216" s="48" t="n">
        <f aca="false">IF(BC$8=1,IF(Reales!$C$52="PYG",IF(BC$10&gt;0,N(Reales!BC52)/BC$10,0),N(Reales!BC52)),BC$191*IF(AND(AND(50&gt;Corte,50&lt;=Corte+n_Ventana),ISNUMBER(Detalle_24m!BC$56)),Detalle_24m!BC$56,INDEX(Precio_V,15)*INDEX(IdxPrecio_V,1,MIN(10,BC$173)))*(1+V_dPrecio))</f>
        <v>0</v>
      </c>
      <c r="BD216" s="48" t="n">
        <f aca="false">IF(BD$8=1,IF(Reales!$C$52="PYG",IF(BD$10&gt;0,N(Reales!BD52)/BD$10,0),N(Reales!BD52)),BD$191*IF(AND(AND(51&gt;Corte,51&lt;=Corte+n_Ventana),ISNUMBER(Detalle_24m!BD$56)),Detalle_24m!BD$56,INDEX(Precio_V,15)*INDEX(IdxPrecio_V,1,MIN(10,BD$173)))*(1+V_dPrecio))</f>
        <v>0</v>
      </c>
      <c r="BE216" s="48" t="n">
        <f aca="false">IF(BE$8=1,IF(Reales!$C$52="PYG",IF(BE$10&gt;0,N(Reales!BE52)/BE$10,0),N(Reales!BE52)),BE$191*IF(AND(AND(52&gt;Corte,52&lt;=Corte+n_Ventana),ISNUMBER(Detalle_24m!BE$56)),Detalle_24m!BE$56,INDEX(Precio_V,15)*INDEX(IdxPrecio_V,1,MIN(10,BE$173)))*(1+V_dPrecio))</f>
        <v>0</v>
      </c>
      <c r="BF216" s="48" t="n">
        <f aca="false">IF(BF$8=1,IF(Reales!$C$52="PYG",IF(BF$10&gt;0,N(Reales!BF52)/BF$10,0),N(Reales!BF52)),BF$191*IF(AND(AND(53&gt;Corte,53&lt;=Corte+n_Ventana),ISNUMBER(Detalle_24m!BF$56)),Detalle_24m!BF$56,INDEX(Precio_V,15)*INDEX(IdxPrecio_V,1,MIN(10,BF$173)))*(1+V_dPrecio))</f>
        <v>0</v>
      </c>
      <c r="BG216" s="48" t="n">
        <f aca="false">IF(BG$8=1,IF(Reales!$C$52="PYG",IF(BG$10&gt;0,N(Reales!BG52)/BG$10,0),N(Reales!BG52)),BG$191*IF(AND(AND(54&gt;Corte,54&lt;=Corte+n_Ventana),ISNUMBER(Detalle_24m!BG$56)),Detalle_24m!BG$56,INDEX(Precio_V,15)*INDEX(IdxPrecio_V,1,MIN(10,BG$173)))*(1+V_dPrecio))</f>
        <v>0</v>
      </c>
      <c r="BH216" s="48" t="n">
        <f aca="false">IF(BH$8=1,IF(Reales!$C$52="PYG",IF(BH$10&gt;0,N(Reales!BH52)/BH$10,0),N(Reales!BH52)),BH$191*IF(AND(AND(55&gt;Corte,55&lt;=Corte+n_Ventana),ISNUMBER(Detalle_24m!BH$56)),Detalle_24m!BH$56,INDEX(Precio_V,15)*INDEX(IdxPrecio_V,1,MIN(10,BH$173)))*(1+V_dPrecio))</f>
        <v>0</v>
      </c>
      <c r="BI216" s="48" t="n">
        <f aca="false">IF(BI$8=1,IF(Reales!$C$52="PYG",IF(BI$10&gt;0,N(Reales!BI52)/BI$10,0),N(Reales!BI52)),BI$191*IF(AND(AND(56&gt;Corte,56&lt;=Corte+n_Ventana),ISNUMBER(Detalle_24m!BI$56)),Detalle_24m!BI$56,INDEX(Precio_V,15)*INDEX(IdxPrecio_V,1,MIN(10,BI$173)))*(1+V_dPrecio))</f>
        <v>0</v>
      </c>
      <c r="BJ216" s="48" t="n">
        <f aca="false">IF(BJ$8=1,IF(Reales!$C$52="PYG",IF(BJ$10&gt;0,N(Reales!BJ52)/BJ$10,0),N(Reales!BJ52)),BJ$191*IF(AND(AND(57&gt;Corte,57&lt;=Corte+n_Ventana),ISNUMBER(Detalle_24m!BJ$56)),Detalle_24m!BJ$56,INDEX(Precio_V,15)*INDEX(IdxPrecio_V,1,MIN(10,BJ$173)))*(1+V_dPrecio))</f>
        <v>0</v>
      </c>
      <c r="BK216" s="48" t="n">
        <f aca="false">IF(BK$8=1,IF(Reales!$C$52="PYG",IF(BK$10&gt;0,N(Reales!BK52)/BK$10,0),N(Reales!BK52)),BK$191*IF(AND(AND(58&gt;Corte,58&lt;=Corte+n_Ventana),ISNUMBER(Detalle_24m!BK$56)),Detalle_24m!BK$56,INDEX(Precio_V,15)*INDEX(IdxPrecio_V,1,MIN(10,BK$173)))*(1+V_dPrecio))</f>
        <v>0</v>
      </c>
      <c r="BL216" s="48" t="n">
        <f aca="false">IF(BL$8=1,IF(Reales!$C$52="PYG",IF(BL$10&gt;0,N(Reales!BL52)/BL$10,0),N(Reales!BL52)),BL$191*IF(AND(AND(59&gt;Corte,59&lt;=Corte+n_Ventana),ISNUMBER(Detalle_24m!BL$56)),Detalle_24m!BL$56,INDEX(Precio_V,15)*INDEX(IdxPrecio_V,1,MIN(10,BL$173)))*(1+V_dPrecio))</f>
        <v>0</v>
      </c>
      <c r="BM216" s="48" t="n">
        <f aca="false">IF(BM$8=1,IF(Reales!$C$52="PYG",IF(BM$10&gt;0,N(Reales!BM52)/BM$10,0),N(Reales!BM52)),BM$191*IF(AND(AND(60&gt;Corte,60&lt;=Corte+n_Ventana),ISNUMBER(Detalle_24m!BM$56)),Detalle_24m!BM$56,INDEX(Precio_V,15)*INDEX(IdxPrecio_V,1,MIN(10,BM$173)))*(1+V_dPrecio))</f>
        <v>0</v>
      </c>
      <c r="BN216" s="48" t="n">
        <f aca="false">IF(BN$8=1,IF(Reales!$C$52="PYG",IF(BN$10&gt;0,N(Reales!BN52)/BN$10,0),N(Reales!BN52)),BN$191*IF(AND(AND(61&gt;Corte,61&lt;=Corte+n_Ventana),ISNUMBER(Detalle_24m!BN$56)),Detalle_24m!BN$56,INDEX(Precio_V,15)*INDEX(IdxPrecio_V,1,MIN(10,BN$173)))*(1+V_dPrecio))</f>
        <v>0</v>
      </c>
      <c r="BO216" s="48" t="n">
        <f aca="false">IF(BO$8=1,IF(Reales!$C$52="PYG",IF(BO$10&gt;0,N(Reales!BO52)/BO$10,0),N(Reales!BO52)),BO$191*IF(AND(AND(62&gt;Corte,62&lt;=Corte+n_Ventana),ISNUMBER(Detalle_24m!BO$56)),Detalle_24m!BO$56,INDEX(Precio_V,15)*INDEX(IdxPrecio_V,1,MIN(10,BO$173)))*(1+V_dPrecio))</f>
        <v>0</v>
      </c>
      <c r="BP216" s="48" t="n">
        <f aca="false">IF(BP$8=1,IF(Reales!$C$52="PYG",IF(BP$10&gt;0,N(Reales!BP52)/BP$10,0),N(Reales!BP52)),BP$191*IF(AND(AND(63&gt;Corte,63&lt;=Corte+n_Ventana),ISNUMBER(Detalle_24m!BP$56)),Detalle_24m!BP$56,INDEX(Precio_V,15)*INDEX(IdxPrecio_V,1,MIN(10,BP$173)))*(1+V_dPrecio))</f>
        <v>0</v>
      </c>
      <c r="BQ216" s="48" t="n">
        <f aca="false">IF(BQ$8=1,IF(Reales!$C$52="PYG",IF(BQ$10&gt;0,N(Reales!BQ52)/BQ$10,0),N(Reales!BQ52)),BQ$191*IF(AND(AND(64&gt;Corte,64&lt;=Corte+n_Ventana),ISNUMBER(Detalle_24m!BQ$56)),Detalle_24m!BQ$56,INDEX(Precio_V,15)*INDEX(IdxPrecio_V,1,MIN(10,BQ$173)))*(1+V_dPrecio))</f>
        <v>0</v>
      </c>
      <c r="BR216" s="48" t="n">
        <f aca="false">IF(BR$8=1,IF(Reales!$C$52="PYG",IF(BR$10&gt;0,N(Reales!BR52)/BR$10,0),N(Reales!BR52)),BR$191*IF(AND(AND(65&gt;Corte,65&lt;=Corte+n_Ventana),ISNUMBER(Detalle_24m!BR$56)),Detalle_24m!BR$56,INDEX(Precio_V,15)*INDEX(IdxPrecio_V,1,MIN(10,BR$173)))*(1+V_dPrecio))</f>
        <v>0</v>
      </c>
      <c r="BS216" s="48" t="n">
        <f aca="false">IF(BS$8=1,IF(Reales!$C$52="PYG",IF(BS$10&gt;0,N(Reales!BS52)/BS$10,0),N(Reales!BS52)),BS$191*IF(AND(AND(66&gt;Corte,66&lt;=Corte+n_Ventana),ISNUMBER(Detalle_24m!BS$56)),Detalle_24m!BS$56,INDEX(Precio_V,15)*INDEX(IdxPrecio_V,1,MIN(10,BS$173)))*(1+V_dPrecio))</f>
        <v>0</v>
      </c>
      <c r="BT216" s="48" t="n">
        <f aca="false">IF(BT$8=1,IF(Reales!$C$52="PYG",IF(BT$10&gt;0,N(Reales!BT52)/BT$10,0),N(Reales!BT52)),BT$191*IF(AND(AND(67&gt;Corte,67&lt;=Corte+n_Ventana),ISNUMBER(Detalle_24m!BT$56)),Detalle_24m!BT$56,INDEX(Precio_V,15)*INDEX(IdxPrecio_V,1,MIN(10,BT$173)))*(1+V_dPrecio))</f>
        <v>0</v>
      </c>
      <c r="BU216" s="48" t="n">
        <f aca="false">IF(BU$8=1,IF(Reales!$C$52="PYG",IF(BU$10&gt;0,N(Reales!BU52)/BU$10,0),N(Reales!BU52)),BU$191*IF(AND(AND(68&gt;Corte,68&lt;=Corte+n_Ventana),ISNUMBER(Detalle_24m!BU$56)),Detalle_24m!BU$56,INDEX(Precio_V,15)*INDEX(IdxPrecio_V,1,MIN(10,BU$173)))*(1+V_dPrecio))</f>
        <v>0</v>
      </c>
      <c r="BV216" s="48" t="n">
        <f aca="false">IF(BV$8=1,IF(Reales!$C$52="PYG",IF(BV$10&gt;0,N(Reales!BV52)/BV$10,0),N(Reales!BV52)),BV$191*IF(AND(AND(69&gt;Corte,69&lt;=Corte+n_Ventana),ISNUMBER(Detalle_24m!BV$56)),Detalle_24m!BV$56,INDEX(Precio_V,15)*INDEX(IdxPrecio_V,1,MIN(10,BV$173)))*(1+V_dPrecio))</f>
        <v>0</v>
      </c>
      <c r="BW216" s="48" t="n">
        <f aca="false">IF(BW$8=1,IF(Reales!$C$52="PYG",IF(BW$10&gt;0,N(Reales!BW52)/BW$10,0),N(Reales!BW52)),BW$191*IF(AND(AND(70&gt;Corte,70&lt;=Corte+n_Ventana),ISNUMBER(Detalle_24m!BW$56)),Detalle_24m!BW$56,INDEX(Precio_V,15)*INDEX(IdxPrecio_V,1,MIN(10,BW$173)))*(1+V_dPrecio))</f>
        <v>0</v>
      </c>
      <c r="BX216" s="48" t="n">
        <f aca="false">IF(BX$8=1,IF(Reales!$C$52="PYG",IF(BX$10&gt;0,N(Reales!BX52)/BX$10,0),N(Reales!BX52)),BX$191*IF(AND(AND(71&gt;Corte,71&lt;=Corte+n_Ventana),ISNUMBER(Detalle_24m!BX$56)),Detalle_24m!BX$56,INDEX(Precio_V,15)*INDEX(IdxPrecio_V,1,MIN(10,BX$173)))*(1+V_dPrecio))</f>
        <v>0</v>
      </c>
      <c r="BY216" s="48" t="n">
        <f aca="false">IF(BY$8=1,IF(Reales!$C$52="PYG",IF(BY$10&gt;0,N(Reales!BY52)/BY$10,0),N(Reales!BY52)),BY$191*IF(AND(AND(72&gt;Corte,72&lt;=Corte+n_Ventana),ISNUMBER(Detalle_24m!BY$56)),Detalle_24m!BY$56,INDEX(Precio_V,15)*INDEX(IdxPrecio_V,1,MIN(10,BY$173)))*(1+V_dPrecio))</f>
        <v>0</v>
      </c>
      <c r="BZ216" s="48" t="n">
        <f aca="false">IF(BZ$8=1,IF(Reales!$C$52="PYG",IF(BZ$10&gt;0,N(Reales!BZ52)/BZ$10,0),N(Reales!BZ52)),BZ$191*IF(AND(AND(73&gt;Corte,73&lt;=Corte+n_Ventana),ISNUMBER(Detalle_24m!BZ$56)),Detalle_24m!BZ$56,INDEX(Precio_V,15)*INDEX(IdxPrecio_V,1,MIN(10,BZ$173)))*(1+V_dPrecio))</f>
        <v>0</v>
      </c>
      <c r="CA216" s="48" t="n">
        <f aca="false">IF(CA$8=1,IF(Reales!$C$52="PYG",IF(CA$10&gt;0,N(Reales!CA52)/CA$10,0),N(Reales!CA52)),CA$191*IF(AND(AND(74&gt;Corte,74&lt;=Corte+n_Ventana),ISNUMBER(Detalle_24m!CA$56)),Detalle_24m!CA$56,INDEX(Precio_V,15)*INDEX(IdxPrecio_V,1,MIN(10,CA$173)))*(1+V_dPrecio))</f>
        <v>0</v>
      </c>
      <c r="CB216" s="48" t="n">
        <f aca="false">IF(CB$8=1,IF(Reales!$C$52="PYG",IF(CB$10&gt;0,N(Reales!CB52)/CB$10,0),N(Reales!CB52)),CB$191*IF(AND(AND(75&gt;Corte,75&lt;=Corte+n_Ventana),ISNUMBER(Detalle_24m!CB$56)),Detalle_24m!CB$56,INDEX(Precio_V,15)*INDEX(IdxPrecio_V,1,MIN(10,CB$173)))*(1+V_dPrecio))</f>
        <v>0</v>
      </c>
      <c r="CC216" s="48" t="n">
        <f aca="false">IF(CC$8=1,IF(Reales!$C$52="PYG",IF(CC$10&gt;0,N(Reales!CC52)/CC$10,0),N(Reales!CC52)),CC$191*IF(AND(AND(76&gt;Corte,76&lt;=Corte+n_Ventana),ISNUMBER(Detalle_24m!CC$56)),Detalle_24m!CC$56,INDEX(Precio_V,15)*INDEX(IdxPrecio_V,1,MIN(10,CC$173)))*(1+V_dPrecio))</f>
        <v>0</v>
      </c>
      <c r="CD216" s="48" t="n">
        <f aca="false">IF(CD$8=1,IF(Reales!$C$52="PYG",IF(CD$10&gt;0,N(Reales!CD52)/CD$10,0),N(Reales!CD52)),CD$191*IF(AND(AND(77&gt;Corte,77&lt;=Corte+n_Ventana),ISNUMBER(Detalle_24m!CD$56)),Detalle_24m!CD$56,INDEX(Precio_V,15)*INDEX(IdxPrecio_V,1,MIN(10,CD$173)))*(1+V_dPrecio))</f>
        <v>0</v>
      </c>
      <c r="CE216" s="48" t="n">
        <f aca="false">IF(CE$8=1,IF(Reales!$C$52="PYG",IF(CE$10&gt;0,N(Reales!CE52)/CE$10,0),N(Reales!CE52)),CE$191*IF(AND(AND(78&gt;Corte,78&lt;=Corte+n_Ventana),ISNUMBER(Detalle_24m!CE$56)),Detalle_24m!CE$56,INDEX(Precio_V,15)*INDEX(IdxPrecio_V,1,MIN(10,CE$173)))*(1+V_dPrecio))</f>
        <v>0</v>
      </c>
      <c r="CF216" s="48" t="n">
        <f aca="false">IF(CF$8=1,IF(Reales!$C$52="PYG",IF(CF$10&gt;0,N(Reales!CF52)/CF$10,0),N(Reales!CF52)),CF$191*IF(AND(AND(79&gt;Corte,79&lt;=Corte+n_Ventana),ISNUMBER(Detalle_24m!CF$56)),Detalle_24m!CF$56,INDEX(Precio_V,15)*INDEX(IdxPrecio_V,1,MIN(10,CF$173)))*(1+V_dPrecio))</f>
        <v>0</v>
      </c>
      <c r="CG216" s="48" t="n">
        <f aca="false">IF(CG$8=1,IF(Reales!$C$52="PYG",IF(CG$10&gt;0,N(Reales!CG52)/CG$10,0),N(Reales!CG52)),CG$191*IF(AND(AND(80&gt;Corte,80&lt;=Corte+n_Ventana),ISNUMBER(Detalle_24m!CG$56)),Detalle_24m!CG$56,INDEX(Precio_V,15)*INDEX(IdxPrecio_V,1,MIN(10,CG$173)))*(1+V_dPrecio))</f>
        <v>0</v>
      </c>
      <c r="CH216" s="48" t="n">
        <f aca="false">IF(CH$8=1,IF(Reales!$C$52="PYG",IF(CH$10&gt;0,N(Reales!CH52)/CH$10,0),N(Reales!CH52)),CH$191*IF(AND(AND(81&gt;Corte,81&lt;=Corte+n_Ventana),ISNUMBER(Detalle_24m!CH$56)),Detalle_24m!CH$56,INDEX(Precio_V,15)*INDEX(IdxPrecio_V,1,MIN(10,CH$173)))*(1+V_dPrecio))</f>
        <v>0</v>
      </c>
      <c r="CI216" s="48" t="n">
        <f aca="false">IF(CI$8=1,IF(Reales!$C$52="PYG",IF(CI$10&gt;0,N(Reales!CI52)/CI$10,0),N(Reales!CI52)),CI$191*IF(AND(AND(82&gt;Corte,82&lt;=Corte+n_Ventana),ISNUMBER(Detalle_24m!CI$56)),Detalle_24m!CI$56,INDEX(Precio_V,15)*INDEX(IdxPrecio_V,1,MIN(10,CI$173)))*(1+V_dPrecio))</f>
        <v>0</v>
      </c>
      <c r="CJ216" s="48" t="n">
        <f aca="false">IF(CJ$8=1,IF(Reales!$C$52="PYG",IF(CJ$10&gt;0,N(Reales!CJ52)/CJ$10,0),N(Reales!CJ52)),CJ$191*IF(AND(AND(83&gt;Corte,83&lt;=Corte+n_Ventana),ISNUMBER(Detalle_24m!CJ$56)),Detalle_24m!CJ$56,INDEX(Precio_V,15)*INDEX(IdxPrecio_V,1,MIN(10,CJ$173)))*(1+V_dPrecio))</f>
        <v>0</v>
      </c>
      <c r="CK216" s="48" t="n">
        <f aca="false">IF(CK$8=1,IF(Reales!$C$52="PYG",IF(CK$10&gt;0,N(Reales!CK52)/CK$10,0),N(Reales!CK52)),CK$191*IF(AND(AND(84&gt;Corte,84&lt;=Corte+n_Ventana),ISNUMBER(Detalle_24m!CK$56)),Detalle_24m!CK$56,INDEX(Precio_V,15)*INDEX(IdxPrecio_V,1,MIN(10,CK$173)))*(1+V_dPrecio))</f>
        <v>0</v>
      </c>
      <c r="CL216" s="48" t="n">
        <f aca="false">IF(CL$8=1,IF(Reales!$C$52="PYG",IF(CL$10&gt;0,N(Reales!CL52)/CL$10,0),N(Reales!CL52)),CL$191*IF(AND(AND(85&gt;Corte,85&lt;=Corte+n_Ventana),ISNUMBER(Detalle_24m!CL$56)),Detalle_24m!CL$56,INDEX(Precio_V,15)*INDEX(IdxPrecio_V,1,MIN(10,CL$173)))*(1+V_dPrecio))</f>
        <v>0</v>
      </c>
      <c r="CM216" s="48" t="n">
        <f aca="false">IF(CM$8=1,IF(Reales!$C$52="PYG",IF(CM$10&gt;0,N(Reales!CM52)/CM$10,0),N(Reales!CM52)),CM$191*IF(AND(AND(86&gt;Corte,86&lt;=Corte+n_Ventana),ISNUMBER(Detalle_24m!CM$56)),Detalle_24m!CM$56,INDEX(Precio_V,15)*INDEX(IdxPrecio_V,1,MIN(10,CM$173)))*(1+V_dPrecio))</f>
        <v>0</v>
      </c>
      <c r="CN216" s="48" t="n">
        <f aca="false">IF(CN$8=1,IF(Reales!$C$52="PYG",IF(CN$10&gt;0,N(Reales!CN52)/CN$10,0),N(Reales!CN52)),CN$191*IF(AND(AND(87&gt;Corte,87&lt;=Corte+n_Ventana),ISNUMBER(Detalle_24m!CN$56)),Detalle_24m!CN$56,INDEX(Precio_V,15)*INDEX(IdxPrecio_V,1,MIN(10,CN$173)))*(1+V_dPrecio))</f>
        <v>0</v>
      </c>
      <c r="CO216" s="48" t="n">
        <f aca="false">IF(CO$8=1,IF(Reales!$C$52="PYG",IF(CO$10&gt;0,N(Reales!CO52)/CO$10,0),N(Reales!CO52)),CO$191*IF(AND(AND(88&gt;Corte,88&lt;=Corte+n_Ventana),ISNUMBER(Detalle_24m!CO$56)),Detalle_24m!CO$56,INDEX(Precio_V,15)*INDEX(IdxPrecio_V,1,MIN(10,CO$173)))*(1+V_dPrecio))</f>
        <v>0</v>
      </c>
      <c r="CP216" s="48" t="n">
        <f aca="false">IF(CP$8=1,IF(Reales!$C$52="PYG",IF(CP$10&gt;0,N(Reales!CP52)/CP$10,0),N(Reales!CP52)),CP$191*IF(AND(AND(89&gt;Corte,89&lt;=Corte+n_Ventana),ISNUMBER(Detalle_24m!CP$56)),Detalle_24m!CP$56,INDEX(Precio_V,15)*INDEX(IdxPrecio_V,1,MIN(10,CP$173)))*(1+V_dPrecio))</f>
        <v>0</v>
      </c>
      <c r="CQ216" s="48" t="n">
        <f aca="false">IF(CQ$8=1,IF(Reales!$C$52="PYG",IF(CQ$10&gt;0,N(Reales!CQ52)/CQ$10,0),N(Reales!CQ52)),CQ$191*IF(AND(AND(90&gt;Corte,90&lt;=Corte+n_Ventana),ISNUMBER(Detalle_24m!CQ$56)),Detalle_24m!CQ$56,INDEX(Precio_V,15)*INDEX(IdxPrecio_V,1,MIN(10,CQ$173)))*(1+V_dPrecio))</f>
        <v>0</v>
      </c>
      <c r="CR216" s="48" t="n">
        <f aca="false">IF(CR$8=1,IF(Reales!$C$52="PYG",IF(CR$10&gt;0,N(Reales!CR52)/CR$10,0),N(Reales!CR52)),CR$191*IF(AND(AND(91&gt;Corte,91&lt;=Corte+n_Ventana),ISNUMBER(Detalle_24m!CR$56)),Detalle_24m!CR$56,INDEX(Precio_V,15)*INDEX(IdxPrecio_V,1,MIN(10,CR$173)))*(1+V_dPrecio))</f>
        <v>0</v>
      </c>
      <c r="CS216" s="48" t="n">
        <f aca="false">IF(CS$8=1,IF(Reales!$C$52="PYG",IF(CS$10&gt;0,N(Reales!CS52)/CS$10,0),N(Reales!CS52)),CS$191*IF(AND(AND(92&gt;Corte,92&lt;=Corte+n_Ventana),ISNUMBER(Detalle_24m!CS$56)),Detalle_24m!CS$56,INDEX(Precio_V,15)*INDEX(IdxPrecio_V,1,MIN(10,CS$173)))*(1+V_dPrecio))</f>
        <v>0</v>
      </c>
      <c r="CT216" s="48" t="n">
        <f aca="false">IF(CT$8=1,IF(Reales!$C$52="PYG",IF(CT$10&gt;0,N(Reales!CT52)/CT$10,0),N(Reales!CT52)),CT$191*IF(AND(AND(93&gt;Corte,93&lt;=Corte+n_Ventana),ISNUMBER(Detalle_24m!CT$56)),Detalle_24m!CT$56,INDEX(Precio_V,15)*INDEX(IdxPrecio_V,1,MIN(10,CT$173)))*(1+V_dPrecio))</f>
        <v>0</v>
      </c>
      <c r="CU216" s="48" t="n">
        <f aca="false">IF(CU$8=1,IF(Reales!$C$52="PYG",IF(CU$10&gt;0,N(Reales!CU52)/CU$10,0),N(Reales!CU52)),CU$191*IF(AND(AND(94&gt;Corte,94&lt;=Corte+n_Ventana),ISNUMBER(Detalle_24m!CU$56)),Detalle_24m!CU$56,INDEX(Precio_V,15)*INDEX(IdxPrecio_V,1,MIN(10,CU$173)))*(1+V_dPrecio))</f>
        <v>0</v>
      </c>
      <c r="CV216" s="48" t="n">
        <f aca="false">IF(CV$8=1,IF(Reales!$C$52="PYG",IF(CV$10&gt;0,N(Reales!CV52)/CV$10,0),N(Reales!CV52)),CV$191*IF(AND(AND(95&gt;Corte,95&lt;=Corte+n_Ventana),ISNUMBER(Detalle_24m!CV$56)),Detalle_24m!CV$56,INDEX(Precio_V,15)*INDEX(IdxPrecio_V,1,MIN(10,CV$173)))*(1+V_dPrecio))</f>
        <v>0</v>
      </c>
      <c r="CW216" s="48" t="n">
        <f aca="false">IF(CW$8=1,IF(Reales!$C$52="PYG",IF(CW$10&gt;0,N(Reales!CW52)/CW$10,0),N(Reales!CW52)),CW$191*IF(AND(AND(96&gt;Corte,96&lt;=Corte+n_Ventana),ISNUMBER(Detalle_24m!CW$56)),Detalle_24m!CW$56,INDEX(Precio_V,15)*INDEX(IdxPrecio_V,1,MIN(10,CW$173)))*(1+V_dPrecio))</f>
        <v>0</v>
      </c>
      <c r="CX216" s="48" t="n">
        <f aca="false">IF(CX$8=1,IF(Reales!$C$52="PYG",IF(CX$10&gt;0,N(Reales!CX52)/CX$10,0),N(Reales!CX52)),CX$191*IF(AND(AND(97&gt;Corte,97&lt;=Corte+n_Ventana),ISNUMBER(Detalle_24m!CX$56)),Detalle_24m!CX$56,INDEX(Precio_V,15)*INDEX(IdxPrecio_V,1,MIN(10,CX$173)))*(1+V_dPrecio))</f>
        <v>0</v>
      </c>
      <c r="CY216" s="48" t="n">
        <f aca="false">IF(CY$8=1,IF(Reales!$C$52="PYG",IF(CY$10&gt;0,N(Reales!CY52)/CY$10,0),N(Reales!CY52)),CY$191*IF(AND(AND(98&gt;Corte,98&lt;=Corte+n_Ventana),ISNUMBER(Detalle_24m!CY$56)),Detalle_24m!CY$56,INDEX(Precio_V,15)*INDEX(IdxPrecio_V,1,MIN(10,CY$173)))*(1+V_dPrecio))</f>
        <v>0</v>
      </c>
      <c r="CZ216" s="48" t="n">
        <f aca="false">IF(CZ$8=1,IF(Reales!$C$52="PYG",IF(CZ$10&gt;0,N(Reales!CZ52)/CZ$10,0),N(Reales!CZ52)),CZ$191*IF(AND(AND(99&gt;Corte,99&lt;=Corte+n_Ventana),ISNUMBER(Detalle_24m!CZ$56)),Detalle_24m!CZ$56,INDEX(Precio_V,15)*INDEX(IdxPrecio_V,1,MIN(10,CZ$173)))*(1+V_dPrecio))</f>
        <v>0</v>
      </c>
      <c r="DA216" s="48" t="n">
        <f aca="false">IF(DA$8=1,IF(Reales!$C$52="PYG",IF(DA$10&gt;0,N(Reales!DA52)/DA$10,0),N(Reales!DA52)),DA$191*IF(AND(AND(100&gt;Corte,100&lt;=Corte+n_Ventana),ISNUMBER(Detalle_24m!DA$56)),Detalle_24m!DA$56,INDEX(Precio_V,15)*INDEX(IdxPrecio_V,1,MIN(10,DA$173)))*(1+V_dPrecio))</f>
        <v>0</v>
      </c>
      <c r="DB216" s="48" t="n">
        <f aca="false">IF(DB$8=1,IF(Reales!$C$52="PYG",IF(DB$10&gt;0,N(Reales!DB52)/DB$10,0),N(Reales!DB52)),DB$191*IF(AND(AND(101&gt;Corte,101&lt;=Corte+n_Ventana),ISNUMBER(Detalle_24m!DB$56)),Detalle_24m!DB$56,INDEX(Precio_V,15)*INDEX(IdxPrecio_V,1,MIN(10,DB$173)))*(1+V_dPrecio))</f>
        <v>0</v>
      </c>
      <c r="DC216" s="48" t="n">
        <f aca="false">IF(DC$8=1,IF(Reales!$C$52="PYG",IF(DC$10&gt;0,N(Reales!DC52)/DC$10,0),N(Reales!DC52)),DC$191*IF(AND(AND(102&gt;Corte,102&lt;=Corte+n_Ventana),ISNUMBER(Detalle_24m!DC$56)),Detalle_24m!DC$56,INDEX(Precio_V,15)*INDEX(IdxPrecio_V,1,MIN(10,DC$173)))*(1+V_dPrecio))</f>
        <v>0</v>
      </c>
      <c r="DD216" s="48" t="n">
        <f aca="false">IF(DD$8=1,IF(Reales!$C$52="PYG",IF(DD$10&gt;0,N(Reales!DD52)/DD$10,0),N(Reales!DD52)),DD$191*IF(AND(AND(103&gt;Corte,103&lt;=Corte+n_Ventana),ISNUMBER(Detalle_24m!DD$56)),Detalle_24m!DD$56,INDEX(Precio_V,15)*INDEX(IdxPrecio_V,1,MIN(10,DD$173)))*(1+V_dPrecio))</f>
        <v>0</v>
      </c>
      <c r="DE216" s="48" t="n">
        <f aca="false">IF(DE$8=1,IF(Reales!$C$52="PYG",IF(DE$10&gt;0,N(Reales!DE52)/DE$10,0),N(Reales!DE52)),DE$191*IF(AND(AND(104&gt;Corte,104&lt;=Corte+n_Ventana),ISNUMBER(Detalle_24m!DE$56)),Detalle_24m!DE$56,INDEX(Precio_V,15)*INDEX(IdxPrecio_V,1,MIN(10,DE$173)))*(1+V_dPrecio))</f>
        <v>0</v>
      </c>
      <c r="DF216" s="48" t="n">
        <f aca="false">IF(DF$8=1,IF(Reales!$C$52="PYG",IF(DF$10&gt;0,N(Reales!DF52)/DF$10,0),N(Reales!DF52)),DF$191*IF(AND(AND(105&gt;Corte,105&lt;=Corte+n_Ventana),ISNUMBER(Detalle_24m!DF$56)),Detalle_24m!DF$56,INDEX(Precio_V,15)*INDEX(IdxPrecio_V,1,MIN(10,DF$173)))*(1+V_dPrecio))</f>
        <v>0</v>
      </c>
      <c r="DG216" s="48" t="n">
        <f aca="false">IF(DG$8=1,IF(Reales!$C$52="PYG",IF(DG$10&gt;0,N(Reales!DG52)/DG$10,0),N(Reales!DG52)),DG$191*IF(AND(AND(106&gt;Corte,106&lt;=Corte+n_Ventana),ISNUMBER(Detalle_24m!DG$56)),Detalle_24m!DG$56,INDEX(Precio_V,15)*INDEX(IdxPrecio_V,1,MIN(10,DG$173)))*(1+V_dPrecio))</f>
        <v>0</v>
      </c>
      <c r="DH216" s="48" t="n">
        <f aca="false">IF(DH$8=1,IF(Reales!$C$52="PYG",IF(DH$10&gt;0,N(Reales!DH52)/DH$10,0),N(Reales!DH52)),DH$191*IF(AND(AND(107&gt;Corte,107&lt;=Corte+n_Ventana),ISNUMBER(Detalle_24m!DH$56)),Detalle_24m!DH$56,INDEX(Precio_V,15)*INDEX(IdxPrecio_V,1,MIN(10,DH$173)))*(1+V_dPrecio))</f>
        <v>0</v>
      </c>
      <c r="DI216" s="48" t="n">
        <f aca="false">IF(DI$8=1,IF(Reales!$C$52="PYG",IF(DI$10&gt;0,N(Reales!DI52)/DI$10,0),N(Reales!DI52)),DI$191*IF(AND(AND(108&gt;Corte,108&lt;=Corte+n_Ventana),ISNUMBER(Detalle_24m!DI$56)),Detalle_24m!DI$56,INDEX(Precio_V,15)*INDEX(IdxPrecio_V,1,MIN(10,DI$173)))*(1+V_dPrecio))</f>
        <v>0</v>
      </c>
      <c r="DJ216" s="48" t="n">
        <f aca="false">IF(DJ$8=1,IF(Reales!$C$52="PYG",IF(DJ$10&gt;0,N(Reales!DJ52)/DJ$10,0),N(Reales!DJ52)),DJ$191*IF(AND(AND(109&gt;Corte,109&lt;=Corte+n_Ventana),ISNUMBER(Detalle_24m!DJ$56)),Detalle_24m!DJ$56,INDEX(Precio_V,15)*INDEX(IdxPrecio_V,1,MIN(10,DJ$173)))*(1+V_dPrecio))</f>
        <v>0</v>
      </c>
      <c r="DK216" s="48" t="n">
        <f aca="false">IF(DK$8=1,IF(Reales!$C$52="PYG",IF(DK$10&gt;0,N(Reales!DK52)/DK$10,0),N(Reales!DK52)),DK$191*IF(AND(AND(110&gt;Corte,110&lt;=Corte+n_Ventana),ISNUMBER(Detalle_24m!DK$56)),Detalle_24m!DK$56,INDEX(Precio_V,15)*INDEX(IdxPrecio_V,1,MIN(10,DK$173)))*(1+V_dPrecio))</f>
        <v>0</v>
      </c>
      <c r="DL216" s="48" t="n">
        <f aca="false">IF(DL$8=1,IF(Reales!$C$52="PYG",IF(DL$10&gt;0,N(Reales!DL52)/DL$10,0),N(Reales!DL52)),DL$191*IF(AND(AND(111&gt;Corte,111&lt;=Corte+n_Ventana),ISNUMBER(Detalle_24m!DL$56)),Detalle_24m!DL$56,INDEX(Precio_V,15)*INDEX(IdxPrecio_V,1,MIN(10,DL$173)))*(1+V_dPrecio))</f>
        <v>0</v>
      </c>
      <c r="DM216" s="48" t="n">
        <f aca="false">IF(DM$8=1,IF(Reales!$C$52="PYG",IF(DM$10&gt;0,N(Reales!DM52)/DM$10,0),N(Reales!DM52)),DM$191*IF(AND(AND(112&gt;Corte,112&lt;=Corte+n_Ventana),ISNUMBER(Detalle_24m!DM$56)),Detalle_24m!DM$56,INDEX(Precio_V,15)*INDEX(IdxPrecio_V,1,MIN(10,DM$173)))*(1+V_dPrecio))</f>
        <v>0</v>
      </c>
      <c r="DN216" s="48" t="n">
        <f aca="false">IF(DN$8=1,IF(Reales!$C$52="PYG",IF(DN$10&gt;0,N(Reales!DN52)/DN$10,0),N(Reales!DN52)),DN$191*IF(AND(AND(113&gt;Corte,113&lt;=Corte+n_Ventana),ISNUMBER(Detalle_24m!DN$56)),Detalle_24m!DN$56,INDEX(Precio_V,15)*INDEX(IdxPrecio_V,1,MIN(10,DN$173)))*(1+V_dPrecio))</f>
        <v>0</v>
      </c>
      <c r="DO216" s="48" t="n">
        <f aca="false">IF(DO$8=1,IF(Reales!$C$52="PYG",IF(DO$10&gt;0,N(Reales!DO52)/DO$10,0),N(Reales!DO52)),DO$191*IF(AND(AND(114&gt;Corte,114&lt;=Corte+n_Ventana),ISNUMBER(Detalle_24m!DO$56)),Detalle_24m!DO$56,INDEX(Precio_V,15)*INDEX(IdxPrecio_V,1,MIN(10,DO$173)))*(1+V_dPrecio))</f>
        <v>0</v>
      </c>
      <c r="DP216" s="48" t="n">
        <f aca="false">IF(DP$8=1,IF(Reales!$C$52="PYG",IF(DP$10&gt;0,N(Reales!DP52)/DP$10,0),N(Reales!DP52)),DP$191*IF(AND(AND(115&gt;Corte,115&lt;=Corte+n_Ventana),ISNUMBER(Detalle_24m!DP$56)),Detalle_24m!DP$56,INDEX(Precio_V,15)*INDEX(IdxPrecio_V,1,MIN(10,DP$173)))*(1+V_dPrecio))</f>
        <v>0</v>
      </c>
      <c r="DQ216" s="48" t="n">
        <f aca="false">IF(DQ$8=1,IF(Reales!$C$52="PYG",IF(DQ$10&gt;0,N(Reales!DQ52)/DQ$10,0),N(Reales!DQ52)),DQ$191*IF(AND(AND(116&gt;Corte,116&lt;=Corte+n_Ventana),ISNUMBER(Detalle_24m!DQ$56)),Detalle_24m!DQ$56,INDEX(Precio_V,15)*INDEX(IdxPrecio_V,1,MIN(10,DQ$173)))*(1+V_dPrecio))</f>
        <v>0</v>
      </c>
      <c r="DR216" s="48" t="n">
        <f aca="false">IF(DR$8=1,IF(Reales!$C$52="PYG",IF(DR$10&gt;0,N(Reales!DR52)/DR$10,0),N(Reales!DR52)),DR$191*IF(AND(AND(117&gt;Corte,117&lt;=Corte+n_Ventana),ISNUMBER(Detalle_24m!DR$56)),Detalle_24m!DR$56,INDEX(Precio_V,15)*INDEX(IdxPrecio_V,1,MIN(10,DR$173)))*(1+V_dPrecio))</f>
        <v>0</v>
      </c>
      <c r="DS216" s="48" t="n">
        <f aca="false">IF(DS$8=1,IF(Reales!$C$52="PYG",IF(DS$10&gt;0,N(Reales!DS52)/DS$10,0),N(Reales!DS52)),DS$191*IF(AND(AND(118&gt;Corte,118&lt;=Corte+n_Ventana),ISNUMBER(Detalle_24m!DS$56)),Detalle_24m!DS$56,INDEX(Precio_V,15)*INDEX(IdxPrecio_V,1,MIN(10,DS$173)))*(1+V_dPrecio))</f>
        <v>0</v>
      </c>
      <c r="DT216" s="48" t="n">
        <f aca="false">IF(DT$8=1,IF(Reales!$C$52="PYG",IF(DT$10&gt;0,N(Reales!DT52)/DT$10,0),N(Reales!DT52)),DT$191*IF(AND(AND(119&gt;Corte,119&lt;=Corte+n_Ventana),ISNUMBER(Detalle_24m!DT$56)),Detalle_24m!DT$56,INDEX(Precio_V,15)*INDEX(IdxPrecio_V,1,MIN(10,DT$173)))*(1+V_dPrecio))</f>
        <v>0</v>
      </c>
      <c r="DU216" s="48" t="n">
        <f aca="false">IF(DU$8=1,IF(Reales!$C$52="PYG",IF(DU$10&gt;0,N(Reales!DU52)/DU$10,0),N(Reales!DU52)),DU$191*IF(AND(AND(120&gt;Corte,120&lt;=Corte+n_Ventana),ISNUMBER(Detalle_24m!DU$56)),Detalle_24m!DU$56,INDEX(Precio_V,15)*INDEX(IdxPrecio_V,1,MIN(10,DU$173)))*(1+V_dPrecio))</f>
        <v>0</v>
      </c>
      <c r="DV216" s="48" t="n">
        <f aca="false">IF(DV$8=1,IF(Reales!$C$52="PYG",IF(DV$10&gt;0,N(Reales!DV52)/DV$10,0),N(Reales!DV52)),DV$191*IF(AND(AND(121&gt;Corte,121&lt;=Corte+n_Ventana),ISNUMBER(Detalle_24m!DV$56)),Detalle_24m!DV$56,INDEX(Precio_V,15)*INDEX(IdxPrecio_V,1,MIN(10,DV$173)))*(1+V_dPrecio))</f>
        <v>0</v>
      </c>
      <c r="DW216" s="48" t="n">
        <f aca="false">IF(DW$8=1,IF(Reales!$C$52="PYG",IF(DW$10&gt;0,N(Reales!DW52)/DW$10,0),N(Reales!DW52)),DW$191*IF(AND(AND(122&gt;Corte,122&lt;=Corte+n_Ventana),ISNUMBER(Detalle_24m!DW$56)),Detalle_24m!DW$56,INDEX(Precio_V,15)*INDEX(IdxPrecio_V,1,MIN(10,DW$173)))*(1+V_dPrecio))</f>
        <v>0</v>
      </c>
      <c r="DX216" s="48" t="n">
        <f aca="false">IF(DX$8=1,IF(Reales!$C$52="PYG",IF(DX$10&gt;0,N(Reales!DX52)/DX$10,0),N(Reales!DX52)),DX$191*IF(AND(AND(123&gt;Corte,123&lt;=Corte+n_Ventana),ISNUMBER(Detalle_24m!DX$56)),Detalle_24m!DX$56,INDEX(Precio_V,15)*INDEX(IdxPrecio_V,1,MIN(10,DX$173)))*(1+V_dPrecio))</f>
        <v>0</v>
      </c>
      <c r="DY216" s="48" t="n">
        <f aca="false">IF(DY$8=1,IF(Reales!$C$52="PYG",IF(DY$10&gt;0,N(Reales!DY52)/DY$10,0),N(Reales!DY52)),DY$191*IF(AND(AND(124&gt;Corte,124&lt;=Corte+n_Ventana),ISNUMBER(Detalle_24m!DY$56)),Detalle_24m!DY$56,INDEX(Precio_V,15)*INDEX(IdxPrecio_V,1,MIN(10,DY$173)))*(1+V_dPrecio))</f>
        <v>0</v>
      </c>
      <c r="DZ216" s="48" t="n">
        <f aca="false">IF(DZ$8=1,IF(Reales!$C$52="PYG",IF(DZ$10&gt;0,N(Reales!DZ52)/DZ$10,0),N(Reales!DZ52)),DZ$191*IF(AND(AND(125&gt;Corte,125&lt;=Corte+n_Ventana),ISNUMBER(Detalle_24m!DZ$56)),Detalle_24m!DZ$56,INDEX(Precio_V,15)*INDEX(IdxPrecio_V,1,MIN(10,DZ$173)))*(1+V_dPrecio))</f>
        <v>0</v>
      </c>
      <c r="EA216" s="48" t="n">
        <f aca="false">IF(EA$8=1,IF(Reales!$C$52="PYG",IF(EA$10&gt;0,N(Reales!EA52)/EA$10,0),N(Reales!EA52)),EA$191*IF(AND(AND(126&gt;Corte,126&lt;=Corte+n_Ventana),ISNUMBER(Detalle_24m!EA$56)),Detalle_24m!EA$56,INDEX(Precio_V,15)*INDEX(IdxPrecio_V,1,MIN(10,EA$173)))*(1+V_dPrecio))</f>
        <v>0</v>
      </c>
      <c r="EB216" s="48" t="n">
        <f aca="false">IF(EB$8=1,IF(Reales!$C$52="PYG",IF(EB$10&gt;0,N(Reales!EB52)/EB$10,0),N(Reales!EB52)),EB$191*IF(AND(AND(127&gt;Corte,127&lt;=Corte+n_Ventana),ISNUMBER(Detalle_24m!EB$56)),Detalle_24m!EB$56,INDEX(Precio_V,15)*INDEX(IdxPrecio_V,1,MIN(10,EB$173)))*(1+V_dPrecio))</f>
        <v>0</v>
      </c>
      <c r="EC216" s="48" t="n">
        <f aca="false">IF(EC$8=1,IF(Reales!$C$52="PYG",IF(EC$10&gt;0,N(Reales!EC52)/EC$10,0),N(Reales!EC52)),EC$191*IF(AND(AND(128&gt;Corte,128&lt;=Corte+n_Ventana),ISNUMBER(Detalle_24m!EC$56)),Detalle_24m!EC$56,INDEX(Precio_V,15)*INDEX(IdxPrecio_V,1,MIN(10,EC$173)))*(1+V_dPrecio))</f>
        <v>0</v>
      </c>
      <c r="ED216" s="48" t="n">
        <f aca="false">IF(ED$8=1,IF(Reales!$C$52="PYG",IF(ED$10&gt;0,N(Reales!ED52)/ED$10,0),N(Reales!ED52)),ED$191*IF(AND(AND(129&gt;Corte,129&lt;=Corte+n_Ventana),ISNUMBER(Detalle_24m!ED$56)),Detalle_24m!ED$56,INDEX(Precio_V,15)*INDEX(IdxPrecio_V,1,MIN(10,ED$173)))*(1+V_dPrecio))</f>
        <v>0</v>
      </c>
      <c r="EE216" s="48" t="n">
        <f aca="false">IF(EE$8=1,IF(Reales!$C$52="PYG",IF(EE$10&gt;0,N(Reales!EE52)/EE$10,0),N(Reales!EE52)),EE$191*IF(AND(AND(130&gt;Corte,130&lt;=Corte+n_Ventana),ISNUMBER(Detalle_24m!EE$56)),Detalle_24m!EE$56,INDEX(Precio_V,15)*INDEX(IdxPrecio_V,1,MIN(10,EE$173)))*(1+V_dPrecio))</f>
        <v>0</v>
      </c>
      <c r="EF216" s="48" t="n">
        <f aca="false">IF(EF$8=1,IF(Reales!$C$52="PYG",IF(EF$10&gt;0,N(Reales!EF52)/EF$10,0),N(Reales!EF52)),EF$191*IF(AND(AND(131&gt;Corte,131&lt;=Corte+n_Ventana),ISNUMBER(Detalle_24m!EF$56)),Detalle_24m!EF$56,INDEX(Precio_V,15)*INDEX(IdxPrecio_V,1,MIN(10,EF$173)))*(1+V_dPrecio))</f>
        <v>0</v>
      </c>
      <c r="EG216" s="48" t="n">
        <f aca="false">IF(EG$8=1,IF(Reales!$C$52="PYG",IF(EG$10&gt;0,N(Reales!EG52)/EG$10,0),N(Reales!EG52)),EG$191*IF(AND(AND(132&gt;Corte,132&lt;=Corte+n_Ventana),ISNUMBER(Detalle_24m!EG$56)),Detalle_24m!EG$56,INDEX(Precio_V,15)*INDEX(IdxPrecio_V,1,MIN(10,EG$173)))*(1+V_dPrecio))</f>
        <v>0</v>
      </c>
      <c r="EH216" s="48" t="n">
        <f aca="false">IF(EH$8=1,IF(Reales!$C$52="PYG",IF(EH$10&gt;0,N(Reales!EH52)/EH$10,0),N(Reales!EH52)),EH$191*IF(AND(AND(133&gt;Corte,133&lt;=Corte+n_Ventana),ISNUMBER(Detalle_24m!EH$56)),Detalle_24m!EH$56,INDEX(Precio_V,15)*INDEX(IdxPrecio_V,1,MIN(10,EH$173)))*(1+V_dPrecio))</f>
        <v>0</v>
      </c>
      <c r="EI216" s="48" t="n">
        <f aca="false">IF(EI$8=1,IF(Reales!$C$52="PYG",IF(EI$10&gt;0,N(Reales!EI52)/EI$10,0),N(Reales!EI52)),EI$191*IF(AND(AND(134&gt;Corte,134&lt;=Corte+n_Ventana),ISNUMBER(Detalle_24m!EI$56)),Detalle_24m!EI$56,INDEX(Precio_V,15)*INDEX(IdxPrecio_V,1,MIN(10,EI$173)))*(1+V_dPrecio))</f>
        <v>0</v>
      </c>
      <c r="EJ216" s="48" t="n">
        <f aca="false">IF(EJ$8=1,IF(Reales!$C$52="PYG",IF(EJ$10&gt;0,N(Reales!EJ52)/EJ$10,0),N(Reales!EJ52)),EJ$191*IF(AND(AND(135&gt;Corte,135&lt;=Corte+n_Ventana),ISNUMBER(Detalle_24m!EJ$56)),Detalle_24m!EJ$56,INDEX(Precio_V,15)*INDEX(IdxPrecio_V,1,MIN(10,EJ$173)))*(1+V_dPrecio))</f>
        <v>0</v>
      </c>
      <c r="EK216" s="48" t="n">
        <f aca="false">IF(EK$8=1,IF(Reales!$C$52="PYG",IF(EK$10&gt;0,N(Reales!EK52)/EK$10,0),N(Reales!EK52)),EK$191*IF(AND(AND(136&gt;Corte,136&lt;=Corte+n_Ventana),ISNUMBER(Detalle_24m!EK$56)),Detalle_24m!EK$56,INDEX(Precio_V,15)*INDEX(IdxPrecio_V,1,MIN(10,EK$173)))*(1+V_dPrecio))</f>
        <v>0</v>
      </c>
      <c r="EL216" s="48" t="n">
        <f aca="false">IF(EL$8=1,IF(Reales!$C$52="PYG",IF(EL$10&gt;0,N(Reales!EL52)/EL$10,0),N(Reales!EL52)),EL$191*IF(AND(AND(137&gt;Corte,137&lt;=Corte+n_Ventana),ISNUMBER(Detalle_24m!EL$56)),Detalle_24m!EL$56,INDEX(Precio_V,15)*INDEX(IdxPrecio_V,1,MIN(10,EL$173)))*(1+V_dPrecio))</f>
        <v>0</v>
      </c>
      <c r="EM216" s="48" t="n">
        <f aca="false">IF(EM$8=1,IF(Reales!$C$52="PYG",IF(EM$10&gt;0,N(Reales!EM52)/EM$10,0),N(Reales!EM52)),EM$191*IF(AND(AND(138&gt;Corte,138&lt;=Corte+n_Ventana),ISNUMBER(Detalle_24m!EM$56)),Detalle_24m!EM$56,INDEX(Precio_V,15)*INDEX(IdxPrecio_V,1,MIN(10,EM$173)))*(1+V_dPrecio))</f>
        <v>0</v>
      </c>
      <c r="EN216" s="48" t="n">
        <f aca="false">IF(EN$8=1,IF(Reales!$C$52="PYG",IF(EN$10&gt;0,N(Reales!EN52)/EN$10,0),N(Reales!EN52)),EN$191*IF(AND(AND(139&gt;Corte,139&lt;=Corte+n_Ventana),ISNUMBER(Detalle_24m!EN$56)),Detalle_24m!EN$56,INDEX(Precio_V,15)*INDEX(IdxPrecio_V,1,MIN(10,EN$173)))*(1+V_dPrecio))</f>
        <v>0</v>
      </c>
      <c r="EO216" s="48" t="n">
        <f aca="false">IF(EO$8=1,IF(Reales!$C$52="PYG",IF(EO$10&gt;0,N(Reales!EO52)/EO$10,0),N(Reales!EO52)),EO$191*IF(AND(AND(140&gt;Corte,140&lt;=Corte+n_Ventana),ISNUMBER(Detalle_24m!EO$56)),Detalle_24m!EO$56,INDEX(Precio_V,15)*INDEX(IdxPrecio_V,1,MIN(10,EO$173)))*(1+V_dPrecio))</f>
        <v>0</v>
      </c>
      <c r="EP216" s="48" t="n">
        <f aca="false">IF(EP$8=1,IF(Reales!$C$52="PYG",IF(EP$10&gt;0,N(Reales!EP52)/EP$10,0),N(Reales!EP52)),EP$191*IF(AND(AND(141&gt;Corte,141&lt;=Corte+n_Ventana),ISNUMBER(Detalle_24m!EP$56)),Detalle_24m!EP$56,INDEX(Precio_V,15)*INDEX(IdxPrecio_V,1,MIN(10,EP$173)))*(1+V_dPrecio))</f>
        <v>0</v>
      </c>
      <c r="EQ216" s="48" t="n">
        <f aca="false">IF(EQ$8=1,IF(Reales!$C$52="PYG",IF(EQ$10&gt;0,N(Reales!EQ52)/EQ$10,0),N(Reales!EQ52)),EQ$191*IF(AND(AND(142&gt;Corte,142&lt;=Corte+n_Ventana),ISNUMBER(Detalle_24m!EQ$56)),Detalle_24m!EQ$56,INDEX(Precio_V,15)*INDEX(IdxPrecio_V,1,MIN(10,EQ$173)))*(1+V_dPrecio))</f>
        <v>0</v>
      </c>
      <c r="ER216" s="48" t="n">
        <f aca="false">IF(ER$8=1,IF(Reales!$C$52="PYG",IF(ER$10&gt;0,N(Reales!ER52)/ER$10,0),N(Reales!ER52)),ER$191*IF(AND(AND(143&gt;Corte,143&lt;=Corte+n_Ventana),ISNUMBER(Detalle_24m!ER$56)),Detalle_24m!ER$56,INDEX(Precio_V,15)*INDEX(IdxPrecio_V,1,MIN(10,ER$173)))*(1+V_dPrecio))</f>
        <v>0</v>
      </c>
      <c r="ES216" s="48" t="n">
        <f aca="false">IF(ES$8=1,IF(Reales!$C$52="PYG",IF(ES$10&gt;0,N(Reales!ES52)/ES$10,0),N(Reales!ES52)),ES$191*IF(AND(AND(144&gt;Corte,144&lt;=Corte+n_Ventana),ISNUMBER(Detalle_24m!ES$56)),Detalle_24m!ES$56,INDEX(Precio_V,15)*INDEX(IdxPrecio_V,1,MIN(10,ES$173)))*(1+V_dPrecio))</f>
        <v>0</v>
      </c>
    </row>
    <row r="217" customFormat="false" ht="15" hidden="false" customHeight="false" outlineLevel="0" collapsed="false">
      <c r="A217" s="11" t="s">
        <v>1340</v>
      </c>
      <c r="B217" s="53" t="str">
        <f aca="false">IF(INDEX(Prod_Nombre,16)="","Producto 16",INDEX(Prod_Nombre,16))&amp;" — ventas USD"</f>
        <v>Producto 16 — ventas USD</v>
      </c>
      <c r="C217" s="15" t="s">
        <v>508</v>
      </c>
      <c r="E217" s="54" t="n">
        <f aca="false">SUM(F217:ES217)</f>
        <v>0</v>
      </c>
      <c r="F217" s="48" t="n">
        <f aca="false">IF(F$8=1,IF(Reales!$C$53="PYG",IF(F$10&gt;0,N(Reales!F53)/F$10,0),N(Reales!F53)),F$192*IF(AND(AND(1&gt;Corte,1&lt;=Corte+n_Ventana),ISNUMBER(Detalle_24m!F$57)),Detalle_24m!F$57,INDEX(Precio_V,16)*INDEX(IdxPrecio_V,1,MIN(10,F$173)))*(1+V_dPrecio))</f>
        <v>0</v>
      </c>
      <c r="G217" s="48" t="n">
        <f aca="false">IF(G$8=1,IF(Reales!$C$53="PYG",IF(G$10&gt;0,N(Reales!G53)/G$10,0),N(Reales!G53)),G$192*IF(AND(AND(2&gt;Corte,2&lt;=Corte+n_Ventana),ISNUMBER(Detalle_24m!G$57)),Detalle_24m!G$57,INDEX(Precio_V,16)*INDEX(IdxPrecio_V,1,MIN(10,G$173)))*(1+V_dPrecio))</f>
        <v>0</v>
      </c>
      <c r="H217" s="48" t="n">
        <f aca="false">IF(H$8=1,IF(Reales!$C$53="PYG",IF(H$10&gt;0,N(Reales!H53)/H$10,0),N(Reales!H53)),H$192*IF(AND(AND(3&gt;Corte,3&lt;=Corte+n_Ventana),ISNUMBER(Detalle_24m!H$57)),Detalle_24m!H$57,INDEX(Precio_V,16)*INDEX(IdxPrecio_V,1,MIN(10,H$173)))*(1+V_dPrecio))</f>
        <v>0</v>
      </c>
      <c r="I217" s="48" t="n">
        <f aca="false">IF(I$8=1,IF(Reales!$C$53="PYG",IF(I$10&gt;0,N(Reales!I53)/I$10,0),N(Reales!I53)),I$192*IF(AND(AND(4&gt;Corte,4&lt;=Corte+n_Ventana),ISNUMBER(Detalle_24m!I$57)),Detalle_24m!I$57,INDEX(Precio_V,16)*INDEX(IdxPrecio_V,1,MIN(10,I$173)))*(1+V_dPrecio))</f>
        <v>0</v>
      </c>
      <c r="J217" s="48" t="n">
        <f aca="false">IF(J$8=1,IF(Reales!$C$53="PYG",IF(J$10&gt;0,N(Reales!J53)/J$10,0),N(Reales!J53)),J$192*IF(AND(AND(5&gt;Corte,5&lt;=Corte+n_Ventana),ISNUMBER(Detalle_24m!J$57)),Detalle_24m!J$57,INDEX(Precio_V,16)*INDEX(IdxPrecio_V,1,MIN(10,J$173)))*(1+V_dPrecio))</f>
        <v>0</v>
      </c>
      <c r="K217" s="48" t="n">
        <f aca="false">IF(K$8=1,IF(Reales!$C$53="PYG",IF(K$10&gt;0,N(Reales!K53)/K$10,0),N(Reales!K53)),K$192*IF(AND(AND(6&gt;Corte,6&lt;=Corte+n_Ventana),ISNUMBER(Detalle_24m!K$57)),Detalle_24m!K$57,INDEX(Precio_V,16)*INDEX(IdxPrecio_V,1,MIN(10,K$173)))*(1+V_dPrecio))</f>
        <v>0</v>
      </c>
      <c r="L217" s="48" t="n">
        <f aca="false">IF(L$8=1,IF(Reales!$C$53="PYG",IF(L$10&gt;0,N(Reales!L53)/L$10,0),N(Reales!L53)),L$192*IF(AND(AND(7&gt;Corte,7&lt;=Corte+n_Ventana),ISNUMBER(Detalle_24m!L$57)),Detalle_24m!L$57,INDEX(Precio_V,16)*INDEX(IdxPrecio_V,1,MIN(10,L$173)))*(1+V_dPrecio))</f>
        <v>0</v>
      </c>
      <c r="M217" s="48" t="n">
        <f aca="false">IF(M$8=1,IF(Reales!$C$53="PYG",IF(M$10&gt;0,N(Reales!M53)/M$10,0),N(Reales!M53)),M$192*IF(AND(AND(8&gt;Corte,8&lt;=Corte+n_Ventana),ISNUMBER(Detalle_24m!M$57)),Detalle_24m!M$57,INDEX(Precio_V,16)*INDEX(IdxPrecio_V,1,MIN(10,M$173)))*(1+V_dPrecio))</f>
        <v>0</v>
      </c>
      <c r="N217" s="48" t="n">
        <f aca="false">IF(N$8=1,IF(Reales!$C$53="PYG",IF(N$10&gt;0,N(Reales!N53)/N$10,0),N(Reales!N53)),N$192*IF(AND(AND(9&gt;Corte,9&lt;=Corte+n_Ventana),ISNUMBER(Detalle_24m!N$57)),Detalle_24m!N$57,INDEX(Precio_V,16)*INDEX(IdxPrecio_V,1,MIN(10,N$173)))*(1+V_dPrecio))</f>
        <v>0</v>
      </c>
      <c r="O217" s="48" t="n">
        <f aca="false">IF(O$8=1,IF(Reales!$C$53="PYG",IF(O$10&gt;0,N(Reales!O53)/O$10,0),N(Reales!O53)),O$192*IF(AND(AND(10&gt;Corte,10&lt;=Corte+n_Ventana),ISNUMBER(Detalle_24m!O$57)),Detalle_24m!O$57,INDEX(Precio_V,16)*INDEX(IdxPrecio_V,1,MIN(10,O$173)))*(1+V_dPrecio))</f>
        <v>0</v>
      </c>
      <c r="P217" s="48" t="n">
        <f aca="false">IF(P$8=1,IF(Reales!$C$53="PYG",IF(P$10&gt;0,N(Reales!P53)/P$10,0),N(Reales!P53)),P$192*IF(AND(AND(11&gt;Corte,11&lt;=Corte+n_Ventana),ISNUMBER(Detalle_24m!P$57)),Detalle_24m!P$57,INDEX(Precio_V,16)*INDEX(IdxPrecio_V,1,MIN(10,P$173)))*(1+V_dPrecio))</f>
        <v>0</v>
      </c>
      <c r="Q217" s="48" t="n">
        <f aca="false">IF(Q$8=1,IF(Reales!$C$53="PYG",IF(Q$10&gt;0,N(Reales!Q53)/Q$10,0),N(Reales!Q53)),Q$192*IF(AND(AND(12&gt;Corte,12&lt;=Corte+n_Ventana),ISNUMBER(Detalle_24m!Q$57)),Detalle_24m!Q$57,INDEX(Precio_V,16)*INDEX(IdxPrecio_V,1,MIN(10,Q$173)))*(1+V_dPrecio))</f>
        <v>0</v>
      </c>
      <c r="R217" s="48" t="n">
        <f aca="false">IF(R$8=1,IF(Reales!$C$53="PYG",IF(R$10&gt;0,N(Reales!R53)/R$10,0),N(Reales!R53)),R$192*IF(AND(AND(13&gt;Corte,13&lt;=Corte+n_Ventana),ISNUMBER(Detalle_24m!R$57)),Detalle_24m!R$57,INDEX(Precio_V,16)*INDEX(IdxPrecio_V,1,MIN(10,R$173)))*(1+V_dPrecio))</f>
        <v>0</v>
      </c>
      <c r="S217" s="48" t="n">
        <f aca="false">IF(S$8=1,IF(Reales!$C$53="PYG",IF(S$10&gt;0,N(Reales!S53)/S$10,0),N(Reales!S53)),S$192*IF(AND(AND(14&gt;Corte,14&lt;=Corte+n_Ventana),ISNUMBER(Detalle_24m!S$57)),Detalle_24m!S$57,INDEX(Precio_V,16)*INDEX(IdxPrecio_V,1,MIN(10,S$173)))*(1+V_dPrecio))</f>
        <v>0</v>
      </c>
      <c r="T217" s="48" t="n">
        <f aca="false">IF(T$8=1,IF(Reales!$C$53="PYG",IF(T$10&gt;0,N(Reales!T53)/T$10,0),N(Reales!T53)),T$192*IF(AND(AND(15&gt;Corte,15&lt;=Corte+n_Ventana),ISNUMBER(Detalle_24m!T$57)),Detalle_24m!T$57,INDEX(Precio_V,16)*INDEX(IdxPrecio_V,1,MIN(10,T$173)))*(1+V_dPrecio))</f>
        <v>0</v>
      </c>
      <c r="U217" s="48" t="n">
        <f aca="false">IF(U$8=1,IF(Reales!$C$53="PYG",IF(U$10&gt;0,N(Reales!U53)/U$10,0),N(Reales!U53)),U$192*IF(AND(AND(16&gt;Corte,16&lt;=Corte+n_Ventana),ISNUMBER(Detalle_24m!U$57)),Detalle_24m!U$57,INDEX(Precio_V,16)*INDEX(IdxPrecio_V,1,MIN(10,U$173)))*(1+V_dPrecio))</f>
        <v>0</v>
      </c>
      <c r="V217" s="48" t="n">
        <f aca="false">IF(V$8=1,IF(Reales!$C$53="PYG",IF(V$10&gt;0,N(Reales!V53)/V$10,0),N(Reales!V53)),V$192*IF(AND(AND(17&gt;Corte,17&lt;=Corte+n_Ventana),ISNUMBER(Detalle_24m!V$57)),Detalle_24m!V$57,INDEX(Precio_V,16)*INDEX(IdxPrecio_V,1,MIN(10,V$173)))*(1+V_dPrecio))</f>
        <v>0</v>
      </c>
      <c r="W217" s="48" t="n">
        <f aca="false">IF(W$8=1,IF(Reales!$C$53="PYG",IF(W$10&gt;0,N(Reales!W53)/W$10,0),N(Reales!W53)),W$192*IF(AND(AND(18&gt;Corte,18&lt;=Corte+n_Ventana),ISNUMBER(Detalle_24m!W$57)),Detalle_24m!W$57,INDEX(Precio_V,16)*INDEX(IdxPrecio_V,1,MIN(10,W$173)))*(1+V_dPrecio))</f>
        <v>0</v>
      </c>
      <c r="X217" s="48" t="n">
        <f aca="false">IF(X$8=1,IF(Reales!$C$53="PYG",IF(X$10&gt;0,N(Reales!X53)/X$10,0),N(Reales!X53)),X$192*IF(AND(AND(19&gt;Corte,19&lt;=Corte+n_Ventana),ISNUMBER(Detalle_24m!X$57)),Detalle_24m!X$57,INDEX(Precio_V,16)*INDEX(IdxPrecio_V,1,MIN(10,X$173)))*(1+V_dPrecio))</f>
        <v>0</v>
      </c>
      <c r="Y217" s="48" t="n">
        <f aca="false">IF(Y$8=1,IF(Reales!$C$53="PYG",IF(Y$10&gt;0,N(Reales!Y53)/Y$10,0),N(Reales!Y53)),Y$192*IF(AND(AND(20&gt;Corte,20&lt;=Corte+n_Ventana),ISNUMBER(Detalle_24m!Y$57)),Detalle_24m!Y$57,INDEX(Precio_V,16)*INDEX(IdxPrecio_V,1,MIN(10,Y$173)))*(1+V_dPrecio))</f>
        <v>0</v>
      </c>
      <c r="Z217" s="48" t="n">
        <f aca="false">IF(Z$8=1,IF(Reales!$C$53="PYG",IF(Z$10&gt;0,N(Reales!Z53)/Z$10,0),N(Reales!Z53)),Z$192*IF(AND(AND(21&gt;Corte,21&lt;=Corte+n_Ventana),ISNUMBER(Detalle_24m!Z$57)),Detalle_24m!Z$57,INDEX(Precio_V,16)*INDEX(IdxPrecio_V,1,MIN(10,Z$173)))*(1+V_dPrecio))</f>
        <v>0</v>
      </c>
      <c r="AA217" s="48" t="n">
        <f aca="false">IF(AA$8=1,IF(Reales!$C$53="PYG",IF(AA$10&gt;0,N(Reales!AA53)/AA$10,0),N(Reales!AA53)),AA$192*IF(AND(AND(22&gt;Corte,22&lt;=Corte+n_Ventana),ISNUMBER(Detalle_24m!AA$57)),Detalle_24m!AA$57,INDEX(Precio_V,16)*INDEX(IdxPrecio_V,1,MIN(10,AA$173)))*(1+V_dPrecio))</f>
        <v>0</v>
      </c>
      <c r="AB217" s="48" t="n">
        <f aca="false">IF(AB$8=1,IF(Reales!$C$53="PYG",IF(AB$10&gt;0,N(Reales!AB53)/AB$10,0),N(Reales!AB53)),AB$192*IF(AND(AND(23&gt;Corte,23&lt;=Corte+n_Ventana),ISNUMBER(Detalle_24m!AB$57)),Detalle_24m!AB$57,INDEX(Precio_V,16)*INDEX(IdxPrecio_V,1,MIN(10,AB$173)))*(1+V_dPrecio))</f>
        <v>0</v>
      </c>
      <c r="AC217" s="48" t="n">
        <f aca="false">IF(AC$8=1,IF(Reales!$C$53="PYG",IF(AC$10&gt;0,N(Reales!AC53)/AC$10,0),N(Reales!AC53)),AC$192*IF(AND(AND(24&gt;Corte,24&lt;=Corte+n_Ventana),ISNUMBER(Detalle_24m!AC$57)),Detalle_24m!AC$57,INDEX(Precio_V,16)*INDEX(IdxPrecio_V,1,MIN(10,AC$173)))*(1+V_dPrecio))</f>
        <v>0</v>
      </c>
      <c r="AD217" s="48" t="n">
        <f aca="false">IF(AD$8=1,IF(Reales!$C$53="PYG",IF(AD$10&gt;0,N(Reales!AD53)/AD$10,0),N(Reales!AD53)),AD$192*IF(AND(AND(25&gt;Corte,25&lt;=Corte+n_Ventana),ISNUMBER(Detalle_24m!AD$57)),Detalle_24m!AD$57,INDEX(Precio_V,16)*INDEX(IdxPrecio_V,1,MIN(10,AD$173)))*(1+V_dPrecio))</f>
        <v>0</v>
      </c>
      <c r="AE217" s="48" t="n">
        <f aca="false">IF(AE$8=1,IF(Reales!$C$53="PYG",IF(AE$10&gt;0,N(Reales!AE53)/AE$10,0),N(Reales!AE53)),AE$192*IF(AND(AND(26&gt;Corte,26&lt;=Corte+n_Ventana),ISNUMBER(Detalle_24m!AE$57)),Detalle_24m!AE$57,INDEX(Precio_V,16)*INDEX(IdxPrecio_V,1,MIN(10,AE$173)))*(1+V_dPrecio))</f>
        <v>0</v>
      </c>
      <c r="AF217" s="48" t="n">
        <f aca="false">IF(AF$8=1,IF(Reales!$C$53="PYG",IF(AF$10&gt;0,N(Reales!AF53)/AF$10,0),N(Reales!AF53)),AF$192*IF(AND(AND(27&gt;Corte,27&lt;=Corte+n_Ventana),ISNUMBER(Detalle_24m!AF$57)),Detalle_24m!AF$57,INDEX(Precio_V,16)*INDEX(IdxPrecio_V,1,MIN(10,AF$173)))*(1+V_dPrecio))</f>
        <v>0</v>
      </c>
      <c r="AG217" s="48" t="n">
        <f aca="false">IF(AG$8=1,IF(Reales!$C$53="PYG",IF(AG$10&gt;0,N(Reales!AG53)/AG$10,0),N(Reales!AG53)),AG$192*IF(AND(AND(28&gt;Corte,28&lt;=Corte+n_Ventana),ISNUMBER(Detalle_24m!AG$57)),Detalle_24m!AG$57,INDEX(Precio_V,16)*INDEX(IdxPrecio_V,1,MIN(10,AG$173)))*(1+V_dPrecio))</f>
        <v>0</v>
      </c>
      <c r="AH217" s="48" t="n">
        <f aca="false">IF(AH$8=1,IF(Reales!$C$53="PYG",IF(AH$10&gt;0,N(Reales!AH53)/AH$10,0),N(Reales!AH53)),AH$192*IF(AND(AND(29&gt;Corte,29&lt;=Corte+n_Ventana),ISNUMBER(Detalle_24m!AH$57)),Detalle_24m!AH$57,INDEX(Precio_V,16)*INDEX(IdxPrecio_V,1,MIN(10,AH$173)))*(1+V_dPrecio))</f>
        <v>0</v>
      </c>
      <c r="AI217" s="48" t="n">
        <f aca="false">IF(AI$8=1,IF(Reales!$C$53="PYG",IF(AI$10&gt;0,N(Reales!AI53)/AI$10,0),N(Reales!AI53)),AI$192*IF(AND(AND(30&gt;Corte,30&lt;=Corte+n_Ventana),ISNUMBER(Detalle_24m!AI$57)),Detalle_24m!AI$57,INDEX(Precio_V,16)*INDEX(IdxPrecio_V,1,MIN(10,AI$173)))*(1+V_dPrecio))</f>
        <v>0</v>
      </c>
      <c r="AJ217" s="48" t="n">
        <f aca="false">IF(AJ$8=1,IF(Reales!$C$53="PYG",IF(AJ$10&gt;0,N(Reales!AJ53)/AJ$10,0),N(Reales!AJ53)),AJ$192*IF(AND(AND(31&gt;Corte,31&lt;=Corte+n_Ventana),ISNUMBER(Detalle_24m!AJ$57)),Detalle_24m!AJ$57,INDEX(Precio_V,16)*INDEX(IdxPrecio_V,1,MIN(10,AJ$173)))*(1+V_dPrecio))</f>
        <v>0</v>
      </c>
      <c r="AK217" s="48" t="n">
        <f aca="false">IF(AK$8=1,IF(Reales!$C$53="PYG",IF(AK$10&gt;0,N(Reales!AK53)/AK$10,0),N(Reales!AK53)),AK$192*IF(AND(AND(32&gt;Corte,32&lt;=Corte+n_Ventana),ISNUMBER(Detalle_24m!AK$57)),Detalle_24m!AK$57,INDEX(Precio_V,16)*INDEX(IdxPrecio_V,1,MIN(10,AK$173)))*(1+V_dPrecio))</f>
        <v>0</v>
      </c>
      <c r="AL217" s="48" t="n">
        <f aca="false">IF(AL$8=1,IF(Reales!$C$53="PYG",IF(AL$10&gt;0,N(Reales!AL53)/AL$10,0),N(Reales!AL53)),AL$192*IF(AND(AND(33&gt;Corte,33&lt;=Corte+n_Ventana),ISNUMBER(Detalle_24m!AL$57)),Detalle_24m!AL$57,INDEX(Precio_V,16)*INDEX(IdxPrecio_V,1,MIN(10,AL$173)))*(1+V_dPrecio))</f>
        <v>0</v>
      </c>
      <c r="AM217" s="48" t="n">
        <f aca="false">IF(AM$8=1,IF(Reales!$C$53="PYG",IF(AM$10&gt;0,N(Reales!AM53)/AM$10,0),N(Reales!AM53)),AM$192*IF(AND(AND(34&gt;Corte,34&lt;=Corte+n_Ventana),ISNUMBER(Detalle_24m!AM$57)),Detalle_24m!AM$57,INDEX(Precio_V,16)*INDEX(IdxPrecio_V,1,MIN(10,AM$173)))*(1+V_dPrecio))</f>
        <v>0</v>
      </c>
      <c r="AN217" s="48" t="n">
        <f aca="false">IF(AN$8=1,IF(Reales!$C$53="PYG",IF(AN$10&gt;0,N(Reales!AN53)/AN$10,0),N(Reales!AN53)),AN$192*IF(AND(AND(35&gt;Corte,35&lt;=Corte+n_Ventana),ISNUMBER(Detalle_24m!AN$57)),Detalle_24m!AN$57,INDEX(Precio_V,16)*INDEX(IdxPrecio_V,1,MIN(10,AN$173)))*(1+V_dPrecio))</f>
        <v>0</v>
      </c>
      <c r="AO217" s="48" t="n">
        <f aca="false">IF(AO$8=1,IF(Reales!$C$53="PYG",IF(AO$10&gt;0,N(Reales!AO53)/AO$10,0),N(Reales!AO53)),AO$192*IF(AND(AND(36&gt;Corte,36&lt;=Corte+n_Ventana),ISNUMBER(Detalle_24m!AO$57)),Detalle_24m!AO$57,INDEX(Precio_V,16)*INDEX(IdxPrecio_V,1,MIN(10,AO$173)))*(1+V_dPrecio))</f>
        <v>0</v>
      </c>
      <c r="AP217" s="48" t="n">
        <f aca="false">IF(AP$8=1,IF(Reales!$C$53="PYG",IF(AP$10&gt;0,N(Reales!AP53)/AP$10,0),N(Reales!AP53)),AP$192*IF(AND(AND(37&gt;Corte,37&lt;=Corte+n_Ventana),ISNUMBER(Detalle_24m!AP$57)),Detalle_24m!AP$57,INDEX(Precio_V,16)*INDEX(IdxPrecio_V,1,MIN(10,AP$173)))*(1+V_dPrecio))</f>
        <v>0</v>
      </c>
      <c r="AQ217" s="48" t="n">
        <f aca="false">IF(AQ$8=1,IF(Reales!$C$53="PYG",IF(AQ$10&gt;0,N(Reales!AQ53)/AQ$10,0),N(Reales!AQ53)),AQ$192*IF(AND(AND(38&gt;Corte,38&lt;=Corte+n_Ventana),ISNUMBER(Detalle_24m!AQ$57)),Detalle_24m!AQ$57,INDEX(Precio_V,16)*INDEX(IdxPrecio_V,1,MIN(10,AQ$173)))*(1+V_dPrecio))</f>
        <v>0</v>
      </c>
      <c r="AR217" s="48" t="n">
        <f aca="false">IF(AR$8=1,IF(Reales!$C$53="PYG",IF(AR$10&gt;0,N(Reales!AR53)/AR$10,0),N(Reales!AR53)),AR$192*IF(AND(AND(39&gt;Corte,39&lt;=Corte+n_Ventana),ISNUMBER(Detalle_24m!AR$57)),Detalle_24m!AR$57,INDEX(Precio_V,16)*INDEX(IdxPrecio_V,1,MIN(10,AR$173)))*(1+V_dPrecio))</f>
        <v>0</v>
      </c>
      <c r="AS217" s="48" t="n">
        <f aca="false">IF(AS$8=1,IF(Reales!$C$53="PYG",IF(AS$10&gt;0,N(Reales!AS53)/AS$10,0),N(Reales!AS53)),AS$192*IF(AND(AND(40&gt;Corte,40&lt;=Corte+n_Ventana),ISNUMBER(Detalle_24m!AS$57)),Detalle_24m!AS$57,INDEX(Precio_V,16)*INDEX(IdxPrecio_V,1,MIN(10,AS$173)))*(1+V_dPrecio))</f>
        <v>0</v>
      </c>
      <c r="AT217" s="48" t="n">
        <f aca="false">IF(AT$8=1,IF(Reales!$C$53="PYG",IF(AT$10&gt;0,N(Reales!AT53)/AT$10,0),N(Reales!AT53)),AT$192*IF(AND(AND(41&gt;Corte,41&lt;=Corte+n_Ventana),ISNUMBER(Detalle_24m!AT$57)),Detalle_24m!AT$57,INDEX(Precio_V,16)*INDEX(IdxPrecio_V,1,MIN(10,AT$173)))*(1+V_dPrecio))</f>
        <v>0</v>
      </c>
      <c r="AU217" s="48" t="n">
        <f aca="false">IF(AU$8=1,IF(Reales!$C$53="PYG",IF(AU$10&gt;0,N(Reales!AU53)/AU$10,0),N(Reales!AU53)),AU$192*IF(AND(AND(42&gt;Corte,42&lt;=Corte+n_Ventana),ISNUMBER(Detalle_24m!AU$57)),Detalle_24m!AU$57,INDEX(Precio_V,16)*INDEX(IdxPrecio_V,1,MIN(10,AU$173)))*(1+V_dPrecio))</f>
        <v>0</v>
      </c>
      <c r="AV217" s="48" t="n">
        <f aca="false">IF(AV$8=1,IF(Reales!$C$53="PYG",IF(AV$10&gt;0,N(Reales!AV53)/AV$10,0),N(Reales!AV53)),AV$192*IF(AND(AND(43&gt;Corte,43&lt;=Corte+n_Ventana),ISNUMBER(Detalle_24m!AV$57)),Detalle_24m!AV$57,INDEX(Precio_V,16)*INDEX(IdxPrecio_V,1,MIN(10,AV$173)))*(1+V_dPrecio))</f>
        <v>0</v>
      </c>
      <c r="AW217" s="48" t="n">
        <f aca="false">IF(AW$8=1,IF(Reales!$C$53="PYG",IF(AW$10&gt;0,N(Reales!AW53)/AW$10,0),N(Reales!AW53)),AW$192*IF(AND(AND(44&gt;Corte,44&lt;=Corte+n_Ventana),ISNUMBER(Detalle_24m!AW$57)),Detalle_24m!AW$57,INDEX(Precio_V,16)*INDEX(IdxPrecio_V,1,MIN(10,AW$173)))*(1+V_dPrecio))</f>
        <v>0</v>
      </c>
      <c r="AX217" s="48" t="n">
        <f aca="false">IF(AX$8=1,IF(Reales!$C$53="PYG",IF(AX$10&gt;0,N(Reales!AX53)/AX$10,0),N(Reales!AX53)),AX$192*IF(AND(AND(45&gt;Corte,45&lt;=Corte+n_Ventana),ISNUMBER(Detalle_24m!AX$57)),Detalle_24m!AX$57,INDEX(Precio_V,16)*INDEX(IdxPrecio_V,1,MIN(10,AX$173)))*(1+V_dPrecio))</f>
        <v>0</v>
      </c>
      <c r="AY217" s="48" t="n">
        <f aca="false">IF(AY$8=1,IF(Reales!$C$53="PYG",IF(AY$10&gt;0,N(Reales!AY53)/AY$10,0),N(Reales!AY53)),AY$192*IF(AND(AND(46&gt;Corte,46&lt;=Corte+n_Ventana),ISNUMBER(Detalle_24m!AY$57)),Detalle_24m!AY$57,INDEX(Precio_V,16)*INDEX(IdxPrecio_V,1,MIN(10,AY$173)))*(1+V_dPrecio))</f>
        <v>0</v>
      </c>
      <c r="AZ217" s="48" t="n">
        <f aca="false">IF(AZ$8=1,IF(Reales!$C$53="PYG",IF(AZ$10&gt;0,N(Reales!AZ53)/AZ$10,0),N(Reales!AZ53)),AZ$192*IF(AND(AND(47&gt;Corte,47&lt;=Corte+n_Ventana),ISNUMBER(Detalle_24m!AZ$57)),Detalle_24m!AZ$57,INDEX(Precio_V,16)*INDEX(IdxPrecio_V,1,MIN(10,AZ$173)))*(1+V_dPrecio))</f>
        <v>0</v>
      </c>
      <c r="BA217" s="48" t="n">
        <f aca="false">IF(BA$8=1,IF(Reales!$C$53="PYG",IF(BA$10&gt;0,N(Reales!BA53)/BA$10,0),N(Reales!BA53)),BA$192*IF(AND(AND(48&gt;Corte,48&lt;=Corte+n_Ventana),ISNUMBER(Detalle_24m!BA$57)),Detalle_24m!BA$57,INDEX(Precio_V,16)*INDEX(IdxPrecio_V,1,MIN(10,BA$173)))*(1+V_dPrecio))</f>
        <v>0</v>
      </c>
      <c r="BB217" s="48" t="n">
        <f aca="false">IF(BB$8=1,IF(Reales!$C$53="PYG",IF(BB$10&gt;0,N(Reales!BB53)/BB$10,0),N(Reales!BB53)),BB$192*IF(AND(AND(49&gt;Corte,49&lt;=Corte+n_Ventana),ISNUMBER(Detalle_24m!BB$57)),Detalle_24m!BB$57,INDEX(Precio_V,16)*INDEX(IdxPrecio_V,1,MIN(10,BB$173)))*(1+V_dPrecio))</f>
        <v>0</v>
      </c>
      <c r="BC217" s="48" t="n">
        <f aca="false">IF(BC$8=1,IF(Reales!$C$53="PYG",IF(BC$10&gt;0,N(Reales!BC53)/BC$10,0),N(Reales!BC53)),BC$192*IF(AND(AND(50&gt;Corte,50&lt;=Corte+n_Ventana),ISNUMBER(Detalle_24m!BC$57)),Detalle_24m!BC$57,INDEX(Precio_V,16)*INDEX(IdxPrecio_V,1,MIN(10,BC$173)))*(1+V_dPrecio))</f>
        <v>0</v>
      </c>
      <c r="BD217" s="48" t="n">
        <f aca="false">IF(BD$8=1,IF(Reales!$C$53="PYG",IF(BD$10&gt;0,N(Reales!BD53)/BD$10,0),N(Reales!BD53)),BD$192*IF(AND(AND(51&gt;Corte,51&lt;=Corte+n_Ventana),ISNUMBER(Detalle_24m!BD$57)),Detalle_24m!BD$57,INDEX(Precio_V,16)*INDEX(IdxPrecio_V,1,MIN(10,BD$173)))*(1+V_dPrecio))</f>
        <v>0</v>
      </c>
      <c r="BE217" s="48" t="n">
        <f aca="false">IF(BE$8=1,IF(Reales!$C$53="PYG",IF(BE$10&gt;0,N(Reales!BE53)/BE$10,0),N(Reales!BE53)),BE$192*IF(AND(AND(52&gt;Corte,52&lt;=Corte+n_Ventana),ISNUMBER(Detalle_24m!BE$57)),Detalle_24m!BE$57,INDEX(Precio_V,16)*INDEX(IdxPrecio_V,1,MIN(10,BE$173)))*(1+V_dPrecio))</f>
        <v>0</v>
      </c>
      <c r="BF217" s="48" t="n">
        <f aca="false">IF(BF$8=1,IF(Reales!$C$53="PYG",IF(BF$10&gt;0,N(Reales!BF53)/BF$10,0),N(Reales!BF53)),BF$192*IF(AND(AND(53&gt;Corte,53&lt;=Corte+n_Ventana),ISNUMBER(Detalle_24m!BF$57)),Detalle_24m!BF$57,INDEX(Precio_V,16)*INDEX(IdxPrecio_V,1,MIN(10,BF$173)))*(1+V_dPrecio))</f>
        <v>0</v>
      </c>
      <c r="BG217" s="48" t="n">
        <f aca="false">IF(BG$8=1,IF(Reales!$C$53="PYG",IF(BG$10&gt;0,N(Reales!BG53)/BG$10,0),N(Reales!BG53)),BG$192*IF(AND(AND(54&gt;Corte,54&lt;=Corte+n_Ventana),ISNUMBER(Detalle_24m!BG$57)),Detalle_24m!BG$57,INDEX(Precio_V,16)*INDEX(IdxPrecio_V,1,MIN(10,BG$173)))*(1+V_dPrecio))</f>
        <v>0</v>
      </c>
      <c r="BH217" s="48" t="n">
        <f aca="false">IF(BH$8=1,IF(Reales!$C$53="PYG",IF(BH$10&gt;0,N(Reales!BH53)/BH$10,0),N(Reales!BH53)),BH$192*IF(AND(AND(55&gt;Corte,55&lt;=Corte+n_Ventana),ISNUMBER(Detalle_24m!BH$57)),Detalle_24m!BH$57,INDEX(Precio_V,16)*INDEX(IdxPrecio_V,1,MIN(10,BH$173)))*(1+V_dPrecio))</f>
        <v>0</v>
      </c>
      <c r="BI217" s="48" t="n">
        <f aca="false">IF(BI$8=1,IF(Reales!$C$53="PYG",IF(BI$10&gt;0,N(Reales!BI53)/BI$10,0),N(Reales!BI53)),BI$192*IF(AND(AND(56&gt;Corte,56&lt;=Corte+n_Ventana),ISNUMBER(Detalle_24m!BI$57)),Detalle_24m!BI$57,INDEX(Precio_V,16)*INDEX(IdxPrecio_V,1,MIN(10,BI$173)))*(1+V_dPrecio))</f>
        <v>0</v>
      </c>
      <c r="BJ217" s="48" t="n">
        <f aca="false">IF(BJ$8=1,IF(Reales!$C$53="PYG",IF(BJ$10&gt;0,N(Reales!BJ53)/BJ$10,0),N(Reales!BJ53)),BJ$192*IF(AND(AND(57&gt;Corte,57&lt;=Corte+n_Ventana),ISNUMBER(Detalle_24m!BJ$57)),Detalle_24m!BJ$57,INDEX(Precio_V,16)*INDEX(IdxPrecio_V,1,MIN(10,BJ$173)))*(1+V_dPrecio))</f>
        <v>0</v>
      </c>
      <c r="BK217" s="48" t="n">
        <f aca="false">IF(BK$8=1,IF(Reales!$C$53="PYG",IF(BK$10&gt;0,N(Reales!BK53)/BK$10,0),N(Reales!BK53)),BK$192*IF(AND(AND(58&gt;Corte,58&lt;=Corte+n_Ventana),ISNUMBER(Detalle_24m!BK$57)),Detalle_24m!BK$57,INDEX(Precio_V,16)*INDEX(IdxPrecio_V,1,MIN(10,BK$173)))*(1+V_dPrecio))</f>
        <v>0</v>
      </c>
      <c r="BL217" s="48" t="n">
        <f aca="false">IF(BL$8=1,IF(Reales!$C$53="PYG",IF(BL$10&gt;0,N(Reales!BL53)/BL$10,0),N(Reales!BL53)),BL$192*IF(AND(AND(59&gt;Corte,59&lt;=Corte+n_Ventana),ISNUMBER(Detalle_24m!BL$57)),Detalle_24m!BL$57,INDEX(Precio_V,16)*INDEX(IdxPrecio_V,1,MIN(10,BL$173)))*(1+V_dPrecio))</f>
        <v>0</v>
      </c>
      <c r="BM217" s="48" t="n">
        <f aca="false">IF(BM$8=1,IF(Reales!$C$53="PYG",IF(BM$10&gt;0,N(Reales!BM53)/BM$10,0),N(Reales!BM53)),BM$192*IF(AND(AND(60&gt;Corte,60&lt;=Corte+n_Ventana),ISNUMBER(Detalle_24m!BM$57)),Detalle_24m!BM$57,INDEX(Precio_V,16)*INDEX(IdxPrecio_V,1,MIN(10,BM$173)))*(1+V_dPrecio))</f>
        <v>0</v>
      </c>
      <c r="BN217" s="48" t="n">
        <f aca="false">IF(BN$8=1,IF(Reales!$C$53="PYG",IF(BN$10&gt;0,N(Reales!BN53)/BN$10,0),N(Reales!BN53)),BN$192*IF(AND(AND(61&gt;Corte,61&lt;=Corte+n_Ventana),ISNUMBER(Detalle_24m!BN$57)),Detalle_24m!BN$57,INDEX(Precio_V,16)*INDEX(IdxPrecio_V,1,MIN(10,BN$173)))*(1+V_dPrecio))</f>
        <v>0</v>
      </c>
      <c r="BO217" s="48" t="n">
        <f aca="false">IF(BO$8=1,IF(Reales!$C$53="PYG",IF(BO$10&gt;0,N(Reales!BO53)/BO$10,0),N(Reales!BO53)),BO$192*IF(AND(AND(62&gt;Corte,62&lt;=Corte+n_Ventana),ISNUMBER(Detalle_24m!BO$57)),Detalle_24m!BO$57,INDEX(Precio_V,16)*INDEX(IdxPrecio_V,1,MIN(10,BO$173)))*(1+V_dPrecio))</f>
        <v>0</v>
      </c>
      <c r="BP217" s="48" t="n">
        <f aca="false">IF(BP$8=1,IF(Reales!$C$53="PYG",IF(BP$10&gt;0,N(Reales!BP53)/BP$10,0),N(Reales!BP53)),BP$192*IF(AND(AND(63&gt;Corte,63&lt;=Corte+n_Ventana),ISNUMBER(Detalle_24m!BP$57)),Detalle_24m!BP$57,INDEX(Precio_V,16)*INDEX(IdxPrecio_V,1,MIN(10,BP$173)))*(1+V_dPrecio))</f>
        <v>0</v>
      </c>
      <c r="BQ217" s="48" t="n">
        <f aca="false">IF(BQ$8=1,IF(Reales!$C$53="PYG",IF(BQ$10&gt;0,N(Reales!BQ53)/BQ$10,0),N(Reales!BQ53)),BQ$192*IF(AND(AND(64&gt;Corte,64&lt;=Corte+n_Ventana),ISNUMBER(Detalle_24m!BQ$57)),Detalle_24m!BQ$57,INDEX(Precio_V,16)*INDEX(IdxPrecio_V,1,MIN(10,BQ$173)))*(1+V_dPrecio))</f>
        <v>0</v>
      </c>
      <c r="BR217" s="48" t="n">
        <f aca="false">IF(BR$8=1,IF(Reales!$C$53="PYG",IF(BR$10&gt;0,N(Reales!BR53)/BR$10,0),N(Reales!BR53)),BR$192*IF(AND(AND(65&gt;Corte,65&lt;=Corte+n_Ventana),ISNUMBER(Detalle_24m!BR$57)),Detalle_24m!BR$57,INDEX(Precio_V,16)*INDEX(IdxPrecio_V,1,MIN(10,BR$173)))*(1+V_dPrecio))</f>
        <v>0</v>
      </c>
      <c r="BS217" s="48" t="n">
        <f aca="false">IF(BS$8=1,IF(Reales!$C$53="PYG",IF(BS$10&gt;0,N(Reales!BS53)/BS$10,0),N(Reales!BS53)),BS$192*IF(AND(AND(66&gt;Corte,66&lt;=Corte+n_Ventana),ISNUMBER(Detalle_24m!BS$57)),Detalle_24m!BS$57,INDEX(Precio_V,16)*INDEX(IdxPrecio_V,1,MIN(10,BS$173)))*(1+V_dPrecio))</f>
        <v>0</v>
      </c>
      <c r="BT217" s="48" t="n">
        <f aca="false">IF(BT$8=1,IF(Reales!$C$53="PYG",IF(BT$10&gt;0,N(Reales!BT53)/BT$10,0),N(Reales!BT53)),BT$192*IF(AND(AND(67&gt;Corte,67&lt;=Corte+n_Ventana),ISNUMBER(Detalle_24m!BT$57)),Detalle_24m!BT$57,INDEX(Precio_V,16)*INDEX(IdxPrecio_V,1,MIN(10,BT$173)))*(1+V_dPrecio))</f>
        <v>0</v>
      </c>
      <c r="BU217" s="48" t="n">
        <f aca="false">IF(BU$8=1,IF(Reales!$C$53="PYG",IF(BU$10&gt;0,N(Reales!BU53)/BU$10,0),N(Reales!BU53)),BU$192*IF(AND(AND(68&gt;Corte,68&lt;=Corte+n_Ventana),ISNUMBER(Detalle_24m!BU$57)),Detalle_24m!BU$57,INDEX(Precio_V,16)*INDEX(IdxPrecio_V,1,MIN(10,BU$173)))*(1+V_dPrecio))</f>
        <v>0</v>
      </c>
      <c r="BV217" s="48" t="n">
        <f aca="false">IF(BV$8=1,IF(Reales!$C$53="PYG",IF(BV$10&gt;0,N(Reales!BV53)/BV$10,0),N(Reales!BV53)),BV$192*IF(AND(AND(69&gt;Corte,69&lt;=Corte+n_Ventana),ISNUMBER(Detalle_24m!BV$57)),Detalle_24m!BV$57,INDEX(Precio_V,16)*INDEX(IdxPrecio_V,1,MIN(10,BV$173)))*(1+V_dPrecio))</f>
        <v>0</v>
      </c>
      <c r="BW217" s="48" t="n">
        <f aca="false">IF(BW$8=1,IF(Reales!$C$53="PYG",IF(BW$10&gt;0,N(Reales!BW53)/BW$10,0),N(Reales!BW53)),BW$192*IF(AND(AND(70&gt;Corte,70&lt;=Corte+n_Ventana),ISNUMBER(Detalle_24m!BW$57)),Detalle_24m!BW$57,INDEX(Precio_V,16)*INDEX(IdxPrecio_V,1,MIN(10,BW$173)))*(1+V_dPrecio))</f>
        <v>0</v>
      </c>
      <c r="BX217" s="48" t="n">
        <f aca="false">IF(BX$8=1,IF(Reales!$C$53="PYG",IF(BX$10&gt;0,N(Reales!BX53)/BX$10,0),N(Reales!BX53)),BX$192*IF(AND(AND(71&gt;Corte,71&lt;=Corte+n_Ventana),ISNUMBER(Detalle_24m!BX$57)),Detalle_24m!BX$57,INDEX(Precio_V,16)*INDEX(IdxPrecio_V,1,MIN(10,BX$173)))*(1+V_dPrecio))</f>
        <v>0</v>
      </c>
      <c r="BY217" s="48" t="n">
        <f aca="false">IF(BY$8=1,IF(Reales!$C$53="PYG",IF(BY$10&gt;0,N(Reales!BY53)/BY$10,0),N(Reales!BY53)),BY$192*IF(AND(AND(72&gt;Corte,72&lt;=Corte+n_Ventana),ISNUMBER(Detalle_24m!BY$57)),Detalle_24m!BY$57,INDEX(Precio_V,16)*INDEX(IdxPrecio_V,1,MIN(10,BY$173)))*(1+V_dPrecio))</f>
        <v>0</v>
      </c>
      <c r="BZ217" s="48" t="n">
        <f aca="false">IF(BZ$8=1,IF(Reales!$C$53="PYG",IF(BZ$10&gt;0,N(Reales!BZ53)/BZ$10,0),N(Reales!BZ53)),BZ$192*IF(AND(AND(73&gt;Corte,73&lt;=Corte+n_Ventana),ISNUMBER(Detalle_24m!BZ$57)),Detalle_24m!BZ$57,INDEX(Precio_V,16)*INDEX(IdxPrecio_V,1,MIN(10,BZ$173)))*(1+V_dPrecio))</f>
        <v>0</v>
      </c>
      <c r="CA217" s="48" t="n">
        <f aca="false">IF(CA$8=1,IF(Reales!$C$53="PYG",IF(CA$10&gt;0,N(Reales!CA53)/CA$10,0),N(Reales!CA53)),CA$192*IF(AND(AND(74&gt;Corte,74&lt;=Corte+n_Ventana),ISNUMBER(Detalle_24m!CA$57)),Detalle_24m!CA$57,INDEX(Precio_V,16)*INDEX(IdxPrecio_V,1,MIN(10,CA$173)))*(1+V_dPrecio))</f>
        <v>0</v>
      </c>
      <c r="CB217" s="48" t="n">
        <f aca="false">IF(CB$8=1,IF(Reales!$C$53="PYG",IF(CB$10&gt;0,N(Reales!CB53)/CB$10,0),N(Reales!CB53)),CB$192*IF(AND(AND(75&gt;Corte,75&lt;=Corte+n_Ventana),ISNUMBER(Detalle_24m!CB$57)),Detalle_24m!CB$57,INDEX(Precio_V,16)*INDEX(IdxPrecio_V,1,MIN(10,CB$173)))*(1+V_dPrecio))</f>
        <v>0</v>
      </c>
      <c r="CC217" s="48" t="n">
        <f aca="false">IF(CC$8=1,IF(Reales!$C$53="PYG",IF(CC$10&gt;0,N(Reales!CC53)/CC$10,0),N(Reales!CC53)),CC$192*IF(AND(AND(76&gt;Corte,76&lt;=Corte+n_Ventana),ISNUMBER(Detalle_24m!CC$57)),Detalle_24m!CC$57,INDEX(Precio_V,16)*INDEX(IdxPrecio_V,1,MIN(10,CC$173)))*(1+V_dPrecio))</f>
        <v>0</v>
      </c>
      <c r="CD217" s="48" t="n">
        <f aca="false">IF(CD$8=1,IF(Reales!$C$53="PYG",IF(CD$10&gt;0,N(Reales!CD53)/CD$10,0),N(Reales!CD53)),CD$192*IF(AND(AND(77&gt;Corte,77&lt;=Corte+n_Ventana),ISNUMBER(Detalle_24m!CD$57)),Detalle_24m!CD$57,INDEX(Precio_V,16)*INDEX(IdxPrecio_V,1,MIN(10,CD$173)))*(1+V_dPrecio))</f>
        <v>0</v>
      </c>
      <c r="CE217" s="48" t="n">
        <f aca="false">IF(CE$8=1,IF(Reales!$C$53="PYG",IF(CE$10&gt;0,N(Reales!CE53)/CE$10,0),N(Reales!CE53)),CE$192*IF(AND(AND(78&gt;Corte,78&lt;=Corte+n_Ventana),ISNUMBER(Detalle_24m!CE$57)),Detalle_24m!CE$57,INDEX(Precio_V,16)*INDEX(IdxPrecio_V,1,MIN(10,CE$173)))*(1+V_dPrecio))</f>
        <v>0</v>
      </c>
      <c r="CF217" s="48" t="n">
        <f aca="false">IF(CF$8=1,IF(Reales!$C$53="PYG",IF(CF$10&gt;0,N(Reales!CF53)/CF$10,0),N(Reales!CF53)),CF$192*IF(AND(AND(79&gt;Corte,79&lt;=Corte+n_Ventana),ISNUMBER(Detalle_24m!CF$57)),Detalle_24m!CF$57,INDEX(Precio_V,16)*INDEX(IdxPrecio_V,1,MIN(10,CF$173)))*(1+V_dPrecio))</f>
        <v>0</v>
      </c>
      <c r="CG217" s="48" t="n">
        <f aca="false">IF(CG$8=1,IF(Reales!$C$53="PYG",IF(CG$10&gt;0,N(Reales!CG53)/CG$10,0),N(Reales!CG53)),CG$192*IF(AND(AND(80&gt;Corte,80&lt;=Corte+n_Ventana),ISNUMBER(Detalle_24m!CG$57)),Detalle_24m!CG$57,INDEX(Precio_V,16)*INDEX(IdxPrecio_V,1,MIN(10,CG$173)))*(1+V_dPrecio))</f>
        <v>0</v>
      </c>
      <c r="CH217" s="48" t="n">
        <f aca="false">IF(CH$8=1,IF(Reales!$C$53="PYG",IF(CH$10&gt;0,N(Reales!CH53)/CH$10,0),N(Reales!CH53)),CH$192*IF(AND(AND(81&gt;Corte,81&lt;=Corte+n_Ventana),ISNUMBER(Detalle_24m!CH$57)),Detalle_24m!CH$57,INDEX(Precio_V,16)*INDEX(IdxPrecio_V,1,MIN(10,CH$173)))*(1+V_dPrecio))</f>
        <v>0</v>
      </c>
      <c r="CI217" s="48" t="n">
        <f aca="false">IF(CI$8=1,IF(Reales!$C$53="PYG",IF(CI$10&gt;0,N(Reales!CI53)/CI$10,0),N(Reales!CI53)),CI$192*IF(AND(AND(82&gt;Corte,82&lt;=Corte+n_Ventana),ISNUMBER(Detalle_24m!CI$57)),Detalle_24m!CI$57,INDEX(Precio_V,16)*INDEX(IdxPrecio_V,1,MIN(10,CI$173)))*(1+V_dPrecio))</f>
        <v>0</v>
      </c>
      <c r="CJ217" s="48" t="n">
        <f aca="false">IF(CJ$8=1,IF(Reales!$C$53="PYG",IF(CJ$10&gt;0,N(Reales!CJ53)/CJ$10,0),N(Reales!CJ53)),CJ$192*IF(AND(AND(83&gt;Corte,83&lt;=Corte+n_Ventana),ISNUMBER(Detalle_24m!CJ$57)),Detalle_24m!CJ$57,INDEX(Precio_V,16)*INDEX(IdxPrecio_V,1,MIN(10,CJ$173)))*(1+V_dPrecio))</f>
        <v>0</v>
      </c>
      <c r="CK217" s="48" t="n">
        <f aca="false">IF(CK$8=1,IF(Reales!$C$53="PYG",IF(CK$10&gt;0,N(Reales!CK53)/CK$10,0),N(Reales!CK53)),CK$192*IF(AND(AND(84&gt;Corte,84&lt;=Corte+n_Ventana),ISNUMBER(Detalle_24m!CK$57)),Detalle_24m!CK$57,INDEX(Precio_V,16)*INDEX(IdxPrecio_V,1,MIN(10,CK$173)))*(1+V_dPrecio))</f>
        <v>0</v>
      </c>
      <c r="CL217" s="48" t="n">
        <f aca="false">IF(CL$8=1,IF(Reales!$C$53="PYG",IF(CL$10&gt;0,N(Reales!CL53)/CL$10,0),N(Reales!CL53)),CL$192*IF(AND(AND(85&gt;Corte,85&lt;=Corte+n_Ventana),ISNUMBER(Detalle_24m!CL$57)),Detalle_24m!CL$57,INDEX(Precio_V,16)*INDEX(IdxPrecio_V,1,MIN(10,CL$173)))*(1+V_dPrecio))</f>
        <v>0</v>
      </c>
      <c r="CM217" s="48" t="n">
        <f aca="false">IF(CM$8=1,IF(Reales!$C$53="PYG",IF(CM$10&gt;0,N(Reales!CM53)/CM$10,0),N(Reales!CM53)),CM$192*IF(AND(AND(86&gt;Corte,86&lt;=Corte+n_Ventana),ISNUMBER(Detalle_24m!CM$57)),Detalle_24m!CM$57,INDEX(Precio_V,16)*INDEX(IdxPrecio_V,1,MIN(10,CM$173)))*(1+V_dPrecio))</f>
        <v>0</v>
      </c>
      <c r="CN217" s="48" t="n">
        <f aca="false">IF(CN$8=1,IF(Reales!$C$53="PYG",IF(CN$10&gt;0,N(Reales!CN53)/CN$10,0),N(Reales!CN53)),CN$192*IF(AND(AND(87&gt;Corte,87&lt;=Corte+n_Ventana),ISNUMBER(Detalle_24m!CN$57)),Detalle_24m!CN$57,INDEX(Precio_V,16)*INDEX(IdxPrecio_V,1,MIN(10,CN$173)))*(1+V_dPrecio))</f>
        <v>0</v>
      </c>
      <c r="CO217" s="48" t="n">
        <f aca="false">IF(CO$8=1,IF(Reales!$C$53="PYG",IF(CO$10&gt;0,N(Reales!CO53)/CO$10,0),N(Reales!CO53)),CO$192*IF(AND(AND(88&gt;Corte,88&lt;=Corte+n_Ventana),ISNUMBER(Detalle_24m!CO$57)),Detalle_24m!CO$57,INDEX(Precio_V,16)*INDEX(IdxPrecio_V,1,MIN(10,CO$173)))*(1+V_dPrecio))</f>
        <v>0</v>
      </c>
      <c r="CP217" s="48" t="n">
        <f aca="false">IF(CP$8=1,IF(Reales!$C$53="PYG",IF(CP$10&gt;0,N(Reales!CP53)/CP$10,0),N(Reales!CP53)),CP$192*IF(AND(AND(89&gt;Corte,89&lt;=Corte+n_Ventana),ISNUMBER(Detalle_24m!CP$57)),Detalle_24m!CP$57,INDEX(Precio_V,16)*INDEX(IdxPrecio_V,1,MIN(10,CP$173)))*(1+V_dPrecio))</f>
        <v>0</v>
      </c>
      <c r="CQ217" s="48" t="n">
        <f aca="false">IF(CQ$8=1,IF(Reales!$C$53="PYG",IF(CQ$10&gt;0,N(Reales!CQ53)/CQ$10,0),N(Reales!CQ53)),CQ$192*IF(AND(AND(90&gt;Corte,90&lt;=Corte+n_Ventana),ISNUMBER(Detalle_24m!CQ$57)),Detalle_24m!CQ$57,INDEX(Precio_V,16)*INDEX(IdxPrecio_V,1,MIN(10,CQ$173)))*(1+V_dPrecio))</f>
        <v>0</v>
      </c>
      <c r="CR217" s="48" t="n">
        <f aca="false">IF(CR$8=1,IF(Reales!$C$53="PYG",IF(CR$10&gt;0,N(Reales!CR53)/CR$10,0),N(Reales!CR53)),CR$192*IF(AND(AND(91&gt;Corte,91&lt;=Corte+n_Ventana),ISNUMBER(Detalle_24m!CR$57)),Detalle_24m!CR$57,INDEX(Precio_V,16)*INDEX(IdxPrecio_V,1,MIN(10,CR$173)))*(1+V_dPrecio))</f>
        <v>0</v>
      </c>
      <c r="CS217" s="48" t="n">
        <f aca="false">IF(CS$8=1,IF(Reales!$C$53="PYG",IF(CS$10&gt;0,N(Reales!CS53)/CS$10,0),N(Reales!CS53)),CS$192*IF(AND(AND(92&gt;Corte,92&lt;=Corte+n_Ventana),ISNUMBER(Detalle_24m!CS$57)),Detalle_24m!CS$57,INDEX(Precio_V,16)*INDEX(IdxPrecio_V,1,MIN(10,CS$173)))*(1+V_dPrecio))</f>
        <v>0</v>
      </c>
      <c r="CT217" s="48" t="n">
        <f aca="false">IF(CT$8=1,IF(Reales!$C$53="PYG",IF(CT$10&gt;0,N(Reales!CT53)/CT$10,0),N(Reales!CT53)),CT$192*IF(AND(AND(93&gt;Corte,93&lt;=Corte+n_Ventana),ISNUMBER(Detalle_24m!CT$57)),Detalle_24m!CT$57,INDEX(Precio_V,16)*INDEX(IdxPrecio_V,1,MIN(10,CT$173)))*(1+V_dPrecio))</f>
        <v>0</v>
      </c>
      <c r="CU217" s="48" t="n">
        <f aca="false">IF(CU$8=1,IF(Reales!$C$53="PYG",IF(CU$10&gt;0,N(Reales!CU53)/CU$10,0),N(Reales!CU53)),CU$192*IF(AND(AND(94&gt;Corte,94&lt;=Corte+n_Ventana),ISNUMBER(Detalle_24m!CU$57)),Detalle_24m!CU$57,INDEX(Precio_V,16)*INDEX(IdxPrecio_V,1,MIN(10,CU$173)))*(1+V_dPrecio))</f>
        <v>0</v>
      </c>
      <c r="CV217" s="48" t="n">
        <f aca="false">IF(CV$8=1,IF(Reales!$C$53="PYG",IF(CV$10&gt;0,N(Reales!CV53)/CV$10,0),N(Reales!CV53)),CV$192*IF(AND(AND(95&gt;Corte,95&lt;=Corte+n_Ventana),ISNUMBER(Detalle_24m!CV$57)),Detalle_24m!CV$57,INDEX(Precio_V,16)*INDEX(IdxPrecio_V,1,MIN(10,CV$173)))*(1+V_dPrecio))</f>
        <v>0</v>
      </c>
      <c r="CW217" s="48" t="n">
        <f aca="false">IF(CW$8=1,IF(Reales!$C$53="PYG",IF(CW$10&gt;0,N(Reales!CW53)/CW$10,0),N(Reales!CW53)),CW$192*IF(AND(AND(96&gt;Corte,96&lt;=Corte+n_Ventana),ISNUMBER(Detalle_24m!CW$57)),Detalle_24m!CW$57,INDEX(Precio_V,16)*INDEX(IdxPrecio_V,1,MIN(10,CW$173)))*(1+V_dPrecio))</f>
        <v>0</v>
      </c>
      <c r="CX217" s="48" t="n">
        <f aca="false">IF(CX$8=1,IF(Reales!$C$53="PYG",IF(CX$10&gt;0,N(Reales!CX53)/CX$10,0),N(Reales!CX53)),CX$192*IF(AND(AND(97&gt;Corte,97&lt;=Corte+n_Ventana),ISNUMBER(Detalle_24m!CX$57)),Detalle_24m!CX$57,INDEX(Precio_V,16)*INDEX(IdxPrecio_V,1,MIN(10,CX$173)))*(1+V_dPrecio))</f>
        <v>0</v>
      </c>
      <c r="CY217" s="48" t="n">
        <f aca="false">IF(CY$8=1,IF(Reales!$C$53="PYG",IF(CY$10&gt;0,N(Reales!CY53)/CY$10,0),N(Reales!CY53)),CY$192*IF(AND(AND(98&gt;Corte,98&lt;=Corte+n_Ventana),ISNUMBER(Detalle_24m!CY$57)),Detalle_24m!CY$57,INDEX(Precio_V,16)*INDEX(IdxPrecio_V,1,MIN(10,CY$173)))*(1+V_dPrecio))</f>
        <v>0</v>
      </c>
      <c r="CZ217" s="48" t="n">
        <f aca="false">IF(CZ$8=1,IF(Reales!$C$53="PYG",IF(CZ$10&gt;0,N(Reales!CZ53)/CZ$10,0),N(Reales!CZ53)),CZ$192*IF(AND(AND(99&gt;Corte,99&lt;=Corte+n_Ventana),ISNUMBER(Detalle_24m!CZ$57)),Detalle_24m!CZ$57,INDEX(Precio_V,16)*INDEX(IdxPrecio_V,1,MIN(10,CZ$173)))*(1+V_dPrecio))</f>
        <v>0</v>
      </c>
      <c r="DA217" s="48" t="n">
        <f aca="false">IF(DA$8=1,IF(Reales!$C$53="PYG",IF(DA$10&gt;0,N(Reales!DA53)/DA$10,0),N(Reales!DA53)),DA$192*IF(AND(AND(100&gt;Corte,100&lt;=Corte+n_Ventana),ISNUMBER(Detalle_24m!DA$57)),Detalle_24m!DA$57,INDEX(Precio_V,16)*INDEX(IdxPrecio_V,1,MIN(10,DA$173)))*(1+V_dPrecio))</f>
        <v>0</v>
      </c>
      <c r="DB217" s="48" t="n">
        <f aca="false">IF(DB$8=1,IF(Reales!$C$53="PYG",IF(DB$10&gt;0,N(Reales!DB53)/DB$10,0),N(Reales!DB53)),DB$192*IF(AND(AND(101&gt;Corte,101&lt;=Corte+n_Ventana),ISNUMBER(Detalle_24m!DB$57)),Detalle_24m!DB$57,INDEX(Precio_V,16)*INDEX(IdxPrecio_V,1,MIN(10,DB$173)))*(1+V_dPrecio))</f>
        <v>0</v>
      </c>
      <c r="DC217" s="48" t="n">
        <f aca="false">IF(DC$8=1,IF(Reales!$C$53="PYG",IF(DC$10&gt;0,N(Reales!DC53)/DC$10,0),N(Reales!DC53)),DC$192*IF(AND(AND(102&gt;Corte,102&lt;=Corte+n_Ventana),ISNUMBER(Detalle_24m!DC$57)),Detalle_24m!DC$57,INDEX(Precio_V,16)*INDEX(IdxPrecio_V,1,MIN(10,DC$173)))*(1+V_dPrecio))</f>
        <v>0</v>
      </c>
      <c r="DD217" s="48" t="n">
        <f aca="false">IF(DD$8=1,IF(Reales!$C$53="PYG",IF(DD$10&gt;0,N(Reales!DD53)/DD$10,0),N(Reales!DD53)),DD$192*IF(AND(AND(103&gt;Corte,103&lt;=Corte+n_Ventana),ISNUMBER(Detalle_24m!DD$57)),Detalle_24m!DD$57,INDEX(Precio_V,16)*INDEX(IdxPrecio_V,1,MIN(10,DD$173)))*(1+V_dPrecio))</f>
        <v>0</v>
      </c>
      <c r="DE217" s="48" t="n">
        <f aca="false">IF(DE$8=1,IF(Reales!$C$53="PYG",IF(DE$10&gt;0,N(Reales!DE53)/DE$10,0),N(Reales!DE53)),DE$192*IF(AND(AND(104&gt;Corte,104&lt;=Corte+n_Ventana),ISNUMBER(Detalle_24m!DE$57)),Detalle_24m!DE$57,INDEX(Precio_V,16)*INDEX(IdxPrecio_V,1,MIN(10,DE$173)))*(1+V_dPrecio))</f>
        <v>0</v>
      </c>
      <c r="DF217" s="48" t="n">
        <f aca="false">IF(DF$8=1,IF(Reales!$C$53="PYG",IF(DF$10&gt;0,N(Reales!DF53)/DF$10,0),N(Reales!DF53)),DF$192*IF(AND(AND(105&gt;Corte,105&lt;=Corte+n_Ventana),ISNUMBER(Detalle_24m!DF$57)),Detalle_24m!DF$57,INDEX(Precio_V,16)*INDEX(IdxPrecio_V,1,MIN(10,DF$173)))*(1+V_dPrecio))</f>
        <v>0</v>
      </c>
      <c r="DG217" s="48" t="n">
        <f aca="false">IF(DG$8=1,IF(Reales!$C$53="PYG",IF(DG$10&gt;0,N(Reales!DG53)/DG$10,0),N(Reales!DG53)),DG$192*IF(AND(AND(106&gt;Corte,106&lt;=Corte+n_Ventana),ISNUMBER(Detalle_24m!DG$57)),Detalle_24m!DG$57,INDEX(Precio_V,16)*INDEX(IdxPrecio_V,1,MIN(10,DG$173)))*(1+V_dPrecio))</f>
        <v>0</v>
      </c>
      <c r="DH217" s="48" t="n">
        <f aca="false">IF(DH$8=1,IF(Reales!$C$53="PYG",IF(DH$10&gt;0,N(Reales!DH53)/DH$10,0),N(Reales!DH53)),DH$192*IF(AND(AND(107&gt;Corte,107&lt;=Corte+n_Ventana),ISNUMBER(Detalle_24m!DH$57)),Detalle_24m!DH$57,INDEX(Precio_V,16)*INDEX(IdxPrecio_V,1,MIN(10,DH$173)))*(1+V_dPrecio))</f>
        <v>0</v>
      </c>
      <c r="DI217" s="48" t="n">
        <f aca="false">IF(DI$8=1,IF(Reales!$C$53="PYG",IF(DI$10&gt;0,N(Reales!DI53)/DI$10,0),N(Reales!DI53)),DI$192*IF(AND(AND(108&gt;Corte,108&lt;=Corte+n_Ventana),ISNUMBER(Detalle_24m!DI$57)),Detalle_24m!DI$57,INDEX(Precio_V,16)*INDEX(IdxPrecio_V,1,MIN(10,DI$173)))*(1+V_dPrecio))</f>
        <v>0</v>
      </c>
      <c r="DJ217" s="48" t="n">
        <f aca="false">IF(DJ$8=1,IF(Reales!$C$53="PYG",IF(DJ$10&gt;0,N(Reales!DJ53)/DJ$10,0),N(Reales!DJ53)),DJ$192*IF(AND(AND(109&gt;Corte,109&lt;=Corte+n_Ventana),ISNUMBER(Detalle_24m!DJ$57)),Detalle_24m!DJ$57,INDEX(Precio_V,16)*INDEX(IdxPrecio_V,1,MIN(10,DJ$173)))*(1+V_dPrecio))</f>
        <v>0</v>
      </c>
      <c r="DK217" s="48" t="n">
        <f aca="false">IF(DK$8=1,IF(Reales!$C$53="PYG",IF(DK$10&gt;0,N(Reales!DK53)/DK$10,0),N(Reales!DK53)),DK$192*IF(AND(AND(110&gt;Corte,110&lt;=Corte+n_Ventana),ISNUMBER(Detalle_24m!DK$57)),Detalle_24m!DK$57,INDEX(Precio_V,16)*INDEX(IdxPrecio_V,1,MIN(10,DK$173)))*(1+V_dPrecio))</f>
        <v>0</v>
      </c>
      <c r="DL217" s="48" t="n">
        <f aca="false">IF(DL$8=1,IF(Reales!$C$53="PYG",IF(DL$10&gt;0,N(Reales!DL53)/DL$10,0),N(Reales!DL53)),DL$192*IF(AND(AND(111&gt;Corte,111&lt;=Corte+n_Ventana),ISNUMBER(Detalle_24m!DL$57)),Detalle_24m!DL$57,INDEX(Precio_V,16)*INDEX(IdxPrecio_V,1,MIN(10,DL$173)))*(1+V_dPrecio))</f>
        <v>0</v>
      </c>
      <c r="DM217" s="48" t="n">
        <f aca="false">IF(DM$8=1,IF(Reales!$C$53="PYG",IF(DM$10&gt;0,N(Reales!DM53)/DM$10,0),N(Reales!DM53)),DM$192*IF(AND(AND(112&gt;Corte,112&lt;=Corte+n_Ventana),ISNUMBER(Detalle_24m!DM$57)),Detalle_24m!DM$57,INDEX(Precio_V,16)*INDEX(IdxPrecio_V,1,MIN(10,DM$173)))*(1+V_dPrecio))</f>
        <v>0</v>
      </c>
      <c r="DN217" s="48" t="n">
        <f aca="false">IF(DN$8=1,IF(Reales!$C$53="PYG",IF(DN$10&gt;0,N(Reales!DN53)/DN$10,0),N(Reales!DN53)),DN$192*IF(AND(AND(113&gt;Corte,113&lt;=Corte+n_Ventana),ISNUMBER(Detalle_24m!DN$57)),Detalle_24m!DN$57,INDEX(Precio_V,16)*INDEX(IdxPrecio_V,1,MIN(10,DN$173)))*(1+V_dPrecio))</f>
        <v>0</v>
      </c>
      <c r="DO217" s="48" t="n">
        <f aca="false">IF(DO$8=1,IF(Reales!$C$53="PYG",IF(DO$10&gt;0,N(Reales!DO53)/DO$10,0),N(Reales!DO53)),DO$192*IF(AND(AND(114&gt;Corte,114&lt;=Corte+n_Ventana),ISNUMBER(Detalle_24m!DO$57)),Detalle_24m!DO$57,INDEX(Precio_V,16)*INDEX(IdxPrecio_V,1,MIN(10,DO$173)))*(1+V_dPrecio))</f>
        <v>0</v>
      </c>
      <c r="DP217" s="48" t="n">
        <f aca="false">IF(DP$8=1,IF(Reales!$C$53="PYG",IF(DP$10&gt;0,N(Reales!DP53)/DP$10,0),N(Reales!DP53)),DP$192*IF(AND(AND(115&gt;Corte,115&lt;=Corte+n_Ventana),ISNUMBER(Detalle_24m!DP$57)),Detalle_24m!DP$57,INDEX(Precio_V,16)*INDEX(IdxPrecio_V,1,MIN(10,DP$173)))*(1+V_dPrecio))</f>
        <v>0</v>
      </c>
      <c r="DQ217" s="48" t="n">
        <f aca="false">IF(DQ$8=1,IF(Reales!$C$53="PYG",IF(DQ$10&gt;0,N(Reales!DQ53)/DQ$10,0),N(Reales!DQ53)),DQ$192*IF(AND(AND(116&gt;Corte,116&lt;=Corte+n_Ventana),ISNUMBER(Detalle_24m!DQ$57)),Detalle_24m!DQ$57,INDEX(Precio_V,16)*INDEX(IdxPrecio_V,1,MIN(10,DQ$173)))*(1+V_dPrecio))</f>
        <v>0</v>
      </c>
      <c r="DR217" s="48" t="n">
        <f aca="false">IF(DR$8=1,IF(Reales!$C$53="PYG",IF(DR$10&gt;0,N(Reales!DR53)/DR$10,0),N(Reales!DR53)),DR$192*IF(AND(AND(117&gt;Corte,117&lt;=Corte+n_Ventana),ISNUMBER(Detalle_24m!DR$57)),Detalle_24m!DR$57,INDEX(Precio_V,16)*INDEX(IdxPrecio_V,1,MIN(10,DR$173)))*(1+V_dPrecio))</f>
        <v>0</v>
      </c>
      <c r="DS217" s="48" t="n">
        <f aca="false">IF(DS$8=1,IF(Reales!$C$53="PYG",IF(DS$10&gt;0,N(Reales!DS53)/DS$10,0),N(Reales!DS53)),DS$192*IF(AND(AND(118&gt;Corte,118&lt;=Corte+n_Ventana),ISNUMBER(Detalle_24m!DS$57)),Detalle_24m!DS$57,INDEX(Precio_V,16)*INDEX(IdxPrecio_V,1,MIN(10,DS$173)))*(1+V_dPrecio))</f>
        <v>0</v>
      </c>
      <c r="DT217" s="48" t="n">
        <f aca="false">IF(DT$8=1,IF(Reales!$C$53="PYG",IF(DT$10&gt;0,N(Reales!DT53)/DT$10,0),N(Reales!DT53)),DT$192*IF(AND(AND(119&gt;Corte,119&lt;=Corte+n_Ventana),ISNUMBER(Detalle_24m!DT$57)),Detalle_24m!DT$57,INDEX(Precio_V,16)*INDEX(IdxPrecio_V,1,MIN(10,DT$173)))*(1+V_dPrecio))</f>
        <v>0</v>
      </c>
      <c r="DU217" s="48" t="n">
        <f aca="false">IF(DU$8=1,IF(Reales!$C$53="PYG",IF(DU$10&gt;0,N(Reales!DU53)/DU$10,0),N(Reales!DU53)),DU$192*IF(AND(AND(120&gt;Corte,120&lt;=Corte+n_Ventana),ISNUMBER(Detalle_24m!DU$57)),Detalle_24m!DU$57,INDEX(Precio_V,16)*INDEX(IdxPrecio_V,1,MIN(10,DU$173)))*(1+V_dPrecio))</f>
        <v>0</v>
      </c>
      <c r="DV217" s="48" t="n">
        <f aca="false">IF(DV$8=1,IF(Reales!$C$53="PYG",IF(DV$10&gt;0,N(Reales!DV53)/DV$10,0),N(Reales!DV53)),DV$192*IF(AND(AND(121&gt;Corte,121&lt;=Corte+n_Ventana),ISNUMBER(Detalle_24m!DV$57)),Detalle_24m!DV$57,INDEX(Precio_V,16)*INDEX(IdxPrecio_V,1,MIN(10,DV$173)))*(1+V_dPrecio))</f>
        <v>0</v>
      </c>
      <c r="DW217" s="48" t="n">
        <f aca="false">IF(DW$8=1,IF(Reales!$C$53="PYG",IF(DW$10&gt;0,N(Reales!DW53)/DW$10,0),N(Reales!DW53)),DW$192*IF(AND(AND(122&gt;Corte,122&lt;=Corte+n_Ventana),ISNUMBER(Detalle_24m!DW$57)),Detalle_24m!DW$57,INDEX(Precio_V,16)*INDEX(IdxPrecio_V,1,MIN(10,DW$173)))*(1+V_dPrecio))</f>
        <v>0</v>
      </c>
      <c r="DX217" s="48" t="n">
        <f aca="false">IF(DX$8=1,IF(Reales!$C$53="PYG",IF(DX$10&gt;0,N(Reales!DX53)/DX$10,0),N(Reales!DX53)),DX$192*IF(AND(AND(123&gt;Corte,123&lt;=Corte+n_Ventana),ISNUMBER(Detalle_24m!DX$57)),Detalle_24m!DX$57,INDEX(Precio_V,16)*INDEX(IdxPrecio_V,1,MIN(10,DX$173)))*(1+V_dPrecio))</f>
        <v>0</v>
      </c>
      <c r="DY217" s="48" t="n">
        <f aca="false">IF(DY$8=1,IF(Reales!$C$53="PYG",IF(DY$10&gt;0,N(Reales!DY53)/DY$10,0),N(Reales!DY53)),DY$192*IF(AND(AND(124&gt;Corte,124&lt;=Corte+n_Ventana),ISNUMBER(Detalle_24m!DY$57)),Detalle_24m!DY$57,INDEX(Precio_V,16)*INDEX(IdxPrecio_V,1,MIN(10,DY$173)))*(1+V_dPrecio))</f>
        <v>0</v>
      </c>
      <c r="DZ217" s="48" t="n">
        <f aca="false">IF(DZ$8=1,IF(Reales!$C$53="PYG",IF(DZ$10&gt;0,N(Reales!DZ53)/DZ$10,0),N(Reales!DZ53)),DZ$192*IF(AND(AND(125&gt;Corte,125&lt;=Corte+n_Ventana),ISNUMBER(Detalle_24m!DZ$57)),Detalle_24m!DZ$57,INDEX(Precio_V,16)*INDEX(IdxPrecio_V,1,MIN(10,DZ$173)))*(1+V_dPrecio))</f>
        <v>0</v>
      </c>
      <c r="EA217" s="48" t="n">
        <f aca="false">IF(EA$8=1,IF(Reales!$C$53="PYG",IF(EA$10&gt;0,N(Reales!EA53)/EA$10,0),N(Reales!EA53)),EA$192*IF(AND(AND(126&gt;Corte,126&lt;=Corte+n_Ventana),ISNUMBER(Detalle_24m!EA$57)),Detalle_24m!EA$57,INDEX(Precio_V,16)*INDEX(IdxPrecio_V,1,MIN(10,EA$173)))*(1+V_dPrecio))</f>
        <v>0</v>
      </c>
      <c r="EB217" s="48" t="n">
        <f aca="false">IF(EB$8=1,IF(Reales!$C$53="PYG",IF(EB$10&gt;0,N(Reales!EB53)/EB$10,0),N(Reales!EB53)),EB$192*IF(AND(AND(127&gt;Corte,127&lt;=Corte+n_Ventana),ISNUMBER(Detalle_24m!EB$57)),Detalle_24m!EB$57,INDEX(Precio_V,16)*INDEX(IdxPrecio_V,1,MIN(10,EB$173)))*(1+V_dPrecio))</f>
        <v>0</v>
      </c>
      <c r="EC217" s="48" t="n">
        <f aca="false">IF(EC$8=1,IF(Reales!$C$53="PYG",IF(EC$10&gt;0,N(Reales!EC53)/EC$10,0),N(Reales!EC53)),EC$192*IF(AND(AND(128&gt;Corte,128&lt;=Corte+n_Ventana),ISNUMBER(Detalle_24m!EC$57)),Detalle_24m!EC$57,INDEX(Precio_V,16)*INDEX(IdxPrecio_V,1,MIN(10,EC$173)))*(1+V_dPrecio))</f>
        <v>0</v>
      </c>
      <c r="ED217" s="48" t="n">
        <f aca="false">IF(ED$8=1,IF(Reales!$C$53="PYG",IF(ED$10&gt;0,N(Reales!ED53)/ED$10,0),N(Reales!ED53)),ED$192*IF(AND(AND(129&gt;Corte,129&lt;=Corte+n_Ventana),ISNUMBER(Detalle_24m!ED$57)),Detalle_24m!ED$57,INDEX(Precio_V,16)*INDEX(IdxPrecio_V,1,MIN(10,ED$173)))*(1+V_dPrecio))</f>
        <v>0</v>
      </c>
      <c r="EE217" s="48" t="n">
        <f aca="false">IF(EE$8=1,IF(Reales!$C$53="PYG",IF(EE$10&gt;0,N(Reales!EE53)/EE$10,0),N(Reales!EE53)),EE$192*IF(AND(AND(130&gt;Corte,130&lt;=Corte+n_Ventana),ISNUMBER(Detalle_24m!EE$57)),Detalle_24m!EE$57,INDEX(Precio_V,16)*INDEX(IdxPrecio_V,1,MIN(10,EE$173)))*(1+V_dPrecio))</f>
        <v>0</v>
      </c>
      <c r="EF217" s="48" t="n">
        <f aca="false">IF(EF$8=1,IF(Reales!$C$53="PYG",IF(EF$10&gt;0,N(Reales!EF53)/EF$10,0),N(Reales!EF53)),EF$192*IF(AND(AND(131&gt;Corte,131&lt;=Corte+n_Ventana),ISNUMBER(Detalle_24m!EF$57)),Detalle_24m!EF$57,INDEX(Precio_V,16)*INDEX(IdxPrecio_V,1,MIN(10,EF$173)))*(1+V_dPrecio))</f>
        <v>0</v>
      </c>
      <c r="EG217" s="48" t="n">
        <f aca="false">IF(EG$8=1,IF(Reales!$C$53="PYG",IF(EG$10&gt;0,N(Reales!EG53)/EG$10,0),N(Reales!EG53)),EG$192*IF(AND(AND(132&gt;Corte,132&lt;=Corte+n_Ventana),ISNUMBER(Detalle_24m!EG$57)),Detalle_24m!EG$57,INDEX(Precio_V,16)*INDEX(IdxPrecio_V,1,MIN(10,EG$173)))*(1+V_dPrecio))</f>
        <v>0</v>
      </c>
      <c r="EH217" s="48" t="n">
        <f aca="false">IF(EH$8=1,IF(Reales!$C$53="PYG",IF(EH$10&gt;0,N(Reales!EH53)/EH$10,0),N(Reales!EH53)),EH$192*IF(AND(AND(133&gt;Corte,133&lt;=Corte+n_Ventana),ISNUMBER(Detalle_24m!EH$57)),Detalle_24m!EH$57,INDEX(Precio_V,16)*INDEX(IdxPrecio_V,1,MIN(10,EH$173)))*(1+V_dPrecio))</f>
        <v>0</v>
      </c>
      <c r="EI217" s="48" t="n">
        <f aca="false">IF(EI$8=1,IF(Reales!$C$53="PYG",IF(EI$10&gt;0,N(Reales!EI53)/EI$10,0),N(Reales!EI53)),EI$192*IF(AND(AND(134&gt;Corte,134&lt;=Corte+n_Ventana),ISNUMBER(Detalle_24m!EI$57)),Detalle_24m!EI$57,INDEX(Precio_V,16)*INDEX(IdxPrecio_V,1,MIN(10,EI$173)))*(1+V_dPrecio))</f>
        <v>0</v>
      </c>
      <c r="EJ217" s="48" t="n">
        <f aca="false">IF(EJ$8=1,IF(Reales!$C$53="PYG",IF(EJ$10&gt;0,N(Reales!EJ53)/EJ$10,0),N(Reales!EJ53)),EJ$192*IF(AND(AND(135&gt;Corte,135&lt;=Corte+n_Ventana),ISNUMBER(Detalle_24m!EJ$57)),Detalle_24m!EJ$57,INDEX(Precio_V,16)*INDEX(IdxPrecio_V,1,MIN(10,EJ$173)))*(1+V_dPrecio))</f>
        <v>0</v>
      </c>
      <c r="EK217" s="48" t="n">
        <f aca="false">IF(EK$8=1,IF(Reales!$C$53="PYG",IF(EK$10&gt;0,N(Reales!EK53)/EK$10,0),N(Reales!EK53)),EK$192*IF(AND(AND(136&gt;Corte,136&lt;=Corte+n_Ventana),ISNUMBER(Detalle_24m!EK$57)),Detalle_24m!EK$57,INDEX(Precio_V,16)*INDEX(IdxPrecio_V,1,MIN(10,EK$173)))*(1+V_dPrecio))</f>
        <v>0</v>
      </c>
      <c r="EL217" s="48" t="n">
        <f aca="false">IF(EL$8=1,IF(Reales!$C$53="PYG",IF(EL$10&gt;0,N(Reales!EL53)/EL$10,0),N(Reales!EL53)),EL$192*IF(AND(AND(137&gt;Corte,137&lt;=Corte+n_Ventana),ISNUMBER(Detalle_24m!EL$57)),Detalle_24m!EL$57,INDEX(Precio_V,16)*INDEX(IdxPrecio_V,1,MIN(10,EL$173)))*(1+V_dPrecio))</f>
        <v>0</v>
      </c>
      <c r="EM217" s="48" t="n">
        <f aca="false">IF(EM$8=1,IF(Reales!$C$53="PYG",IF(EM$10&gt;0,N(Reales!EM53)/EM$10,0),N(Reales!EM53)),EM$192*IF(AND(AND(138&gt;Corte,138&lt;=Corte+n_Ventana),ISNUMBER(Detalle_24m!EM$57)),Detalle_24m!EM$57,INDEX(Precio_V,16)*INDEX(IdxPrecio_V,1,MIN(10,EM$173)))*(1+V_dPrecio))</f>
        <v>0</v>
      </c>
      <c r="EN217" s="48" t="n">
        <f aca="false">IF(EN$8=1,IF(Reales!$C$53="PYG",IF(EN$10&gt;0,N(Reales!EN53)/EN$10,0),N(Reales!EN53)),EN$192*IF(AND(AND(139&gt;Corte,139&lt;=Corte+n_Ventana),ISNUMBER(Detalle_24m!EN$57)),Detalle_24m!EN$57,INDEX(Precio_V,16)*INDEX(IdxPrecio_V,1,MIN(10,EN$173)))*(1+V_dPrecio))</f>
        <v>0</v>
      </c>
      <c r="EO217" s="48" t="n">
        <f aca="false">IF(EO$8=1,IF(Reales!$C$53="PYG",IF(EO$10&gt;0,N(Reales!EO53)/EO$10,0),N(Reales!EO53)),EO$192*IF(AND(AND(140&gt;Corte,140&lt;=Corte+n_Ventana),ISNUMBER(Detalle_24m!EO$57)),Detalle_24m!EO$57,INDEX(Precio_V,16)*INDEX(IdxPrecio_V,1,MIN(10,EO$173)))*(1+V_dPrecio))</f>
        <v>0</v>
      </c>
      <c r="EP217" s="48" t="n">
        <f aca="false">IF(EP$8=1,IF(Reales!$C$53="PYG",IF(EP$10&gt;0,N(Reales!EP53)/EP$10,0),N(Reales!EP53)),EP$192*IF(AND(AND(141&gt;Corte,141&lt;=Corte+n_Ventana),ISNUMBER(Detalle_24m!EP$57)),Detalle_24m!EP$57,INDEX(Precio_V,16)*INDEX(IdxPrecio_V,1,MIN(10,EP$173)))*(1+V_dPrecio))</f>
        <v>0</v>
      </c>
      <c r="EQ217" s="48" t="n">
        <f aca="false">IF(EQ$8=1,IF(Reales!$C$53="PYG",IF(EQ$10&gt;0,N(Reales!EQ53)/EQ$10,0),N(Reales!EQ53)),EQ$192*IF(AND(AND(142&gt;Corte,142&lt;=Corte+n_Ventana),ISNUMBER(Detalle_24m!EQ$57)),Detalle_24m!EQ$57,INDEX(Precio_V,16)*INDEX(IdxPrecio_V,1,MIN(10,EQ$173)))*(1+V_dPrecio))</f>
        <v>0</v>
      </c>
      <c r="ER217" s="48" t="n">
        <f aca="false">IF(ER$8=1,IF(Reales!$C$53="PYG",IF(ER$10&gt;0,N(Reales!ER53)/ER$10,0),N(Reales!ER53)),ER$192*IF(AND(AND(143&gt;Corte,143&lt;=Corte+n_Ventana),ISNUMBER(Detalle_24m!ER$57)),Detalle_24m!ER$57,INDEX(Precio_V,16)*INDEX(IdxPrecio_V,1,MIN(10,ER$173)))*(1+V_dPrecio))</f>
        <v>0</v>
      </c>
      <c r="ES217" s="48" t="n">
        <f aca="false">IF(ES$8=1,IF(Reales!$C$53="PYG",IF(ES$10&gt;0,N(Reales!ES53)/ES$10,0),N(Reales!ES53)),ES$192*IF(AND(AND(144&gt;Corte,144&lt;=Corte+n_Ventana),ISNUMBER(Detalle_24m!ES$57)),Detalle_24m!ES$57,INDEX(Precio_V,16)*INDEX(IdxPrecio_V,1,MIN(10,ES$173)))*(1+V_dPrecio))</f>
        <v>0</v>
      </c>
    </row>
    <row r="218" customFormat="false" ht="15" hidden="false" customHeight="false" outlineLevel="0" collapsed="false">
      <c r="A218" s="11" t="s">
        <v>1341</v>
      </c>
      <c r="B218" s="53" t="str">
        <f aca="false">IF(INDEX(Prod_Nombre,17)="","Producto 17",INDEX(Prod_Nombre,17))&amp;" — ventas USD"</f>
        <v>Producto 17 — ventas USD</v>
      </c>
      <c r="C218" s="15" t="s">
        <v>508</v>
      </c>
      <c r="E218" s="54" t="n">
        <f aca="false">SUM(F218:ES218)</f>
        <v>0</v>
      </c>
      <c r="F218" s="48" t="n">
        <f aca="false">IF(F$8=1,IF(Reales!$C$54="PYG",IF(F$10&gt;0,N(Reales!F54)/F$10,0),N(Reales!F54)),F$193*IF(AND(AND(1&gt;Corte,1&lt;=Corte+n_Ventana),ISNUMBER(Detalle_24m!F$58)),Detalle_24m!F$58,INDEX(Precio_V,17)*INDEX(IdxPrecio_V,1,MIN(10,F$173)))*(1+V_dPrecio))</f>
        <v>0</v>
      </c>
      <c r="G218" s="48" t="n">
        <f aca="false">IF(G$8=1,IF(Reales!$C$54="PYG",IF(G$10&gt;0,N(Reales!G54)/G$10,0),N(Reales!G54)),G$193*IF(AND(AND(2&gt;Corte,2&lt;=Corte+n_Ventana),ISNUMBER(Detalle_24m!G$58)),Detalle_24m!G$58,INDEX(Precio_V,17)*INDEX(IdxPrecio_V,1,MIN(10,G$173)))*(1+V_dPrecio))</f>
        <v>0</v>
      </c>
      <c r="H218" s="48" t="n">
        <f aca="false">IF(H$8=1,IF(Reales!$C$54="PYG",IF(H$10&gt;0,N(Reales!H54)/H$10,0),N(Reales!H54)),H$193*IF(AND(AND(3&gt;Corte,3&lt;=Corte+n_Ventana),ISNUMBER(Detalle_24m!H$58)),Detalle_24m!H$58,INDEX(Precio_V,17)*INDEX(IdxPrecio_V,1,MIN(10,H$173)))*(1+V_dPrecio))</f>
        <v>0</v>
      </c>
      <c r="I218" s="48" t="n">
        <f aca="false">IF(I$8=1,IF(Reales!$C$54="PYG",IF(I$10&gt;0,N(Reales!I54)/I$10,0),N(Reales!I54)),I$193*IF(AND(AND(4&gt;Corte,4&lt;=Corte+n_Ventana),ISNUMBER(Detalle_24m!I$58)),Detalle_24m!I$58,INDEX(Precio_V,17)*INDEX(IdxPrecio_V,1,MIN(10,I$173)))*(1+V_dPrecio))</f>
        <v>0</v>
      </c>
      <c r="J218" s="48" t="n">
        <f aca="false">IF(J$8=1,IF(Reales!$C$54="PYG",IF(J$10&gt;0,N(Reales!J54)/J$10,0),N(Reales!J54)),J$193*IF(AND(AND(5&gt;Corte,5&lt;=Corte+n_Ventana),ISNUMBER(Detalle_24m!J$58)),Detalle_24m!J$58,INDEX(Precio_V,17)*INDEX(IdxPrecio_V,1,MIN(10,J$173)))*(1+V_dPrecio))</f>
        <v>0</v>
      </c>
      <c r="K218" s="48" t="n">
        <f aca="false">IF(K$8=1,IF(Reales!$C$54="PYG",IF(K$10&gt;0,N(Reales!K54)/K$10,0),N(Reales!K54)),K$193*IF(AND(AND(6&gt;Corte,6&lt;=Corte+n_Ventana),ISNUMBER(Detalle_24m!K$58)),Detalle_24m!K$58,INDEX(Precio_V,17)*INDEX(IdxPrecio_V,1,MIN(10,K$173)))*(1+V_dPrecio))</f>
        <v>0</v>
      </c>
      <c r="L218" s="48" t="n">
        <f aca="false">IF(L$8=1,IF(Reales!$C$54="PYG",IF(L$10&gt;0,N(Reales!L54)/L$10,0),N(Reales!L54)),L$193*IF(AND(AND(7&gt;Corte,7&lt;=Corte+n_Ventana),ISNUMBER(Detalle_24m!L$58)),Detalle_24m!L$58,INDEX(Precio_V,17)*INDEX(IdxPrecio_V,1,MIN(10,L$173)))*(1+V_dPrecio))</f>
        <v>0</v>
      </c>
      <c r="M218" s="48" t="n">
        <f aca="false">IF(M$8=1,IF(Reales!$C$54="PYG",IF(M$10&gt;0,N(Reales!M54)/M$10,0),N(Reales!M54)),M$193*IF(AND(AND(8&gt;Corte,8&lt;=Corte+n_Ventana),ISNUMBER(Detalle_24m!M$58)),Detalle_24m!M$58,INDEX(Precio_V,17)*INDEX(IdxPrecio_V,1,MIN(10,M$173)))*(1+V_dPrecio))</f>
        <v>0</v>
      </c>
      <c r="N218" s="48" t="n">
        <f aca="false">IF(N$8=1,IF(Reales!$C$54="PYG",IF(N$10&gt;0,N(Reales!N54)/N$10,0),N(Reales!N54)),N$193*IF(AND(AND(9&gt;Corte,9&lt;=Corte+n_Ventana),ISNUMBER(Detalle_24m!N$58)),Detalle_24m!N$58,INDEX(Precio_V,17)*INDEX(IdxPrecio_V,1,MIN(10,N$173)))*(1+V_dPrecio))</f>
        <v>0</v>
      </c>
      <c r="O218" s="48" t="n">
        <f aca="false">IF(O$8=1,IF(Reales!$C$54="PYG",IF(O$10&gt;0,N(Reales!O54)/O$10,0),N(Reales!O54)),O$193*IF(AND(AND(10&gt;Corte,10&lt;=Corte+n_Ventana),ISNUMBER(Detalle_24m!O$58)),Detalle_24m!O$58,INDEX(Precio_V,17)*INDEX(IdxPrecio_V,1,MIN(10,O$173)))*(1+V_dPrecio))</f>
        <v>0</v>
      </c>
      <c r="P218" s="48" t="n">
        <f aca="false">IF(P$8=1,IF(Reales!$C$54="PYG",IF(P$10&gt;0,N(Reales!P54)/P$10,0),N(Reales!P54)),P$193*IF(AND(AND(11&gt;Corte,11&lt;=Corte+n_Ventana),ISNUMBER(Detalle_24m!P$58)),Detalle_24m!P$58,INDEX(Precio_V,17)*INDEX(IdxPrecio_V,1,MIN(10,P$173)))*(1+V_dPrecio))</f>
        <v>0</v>
      </c>
      <c r="Q218" s="48" t="n">
        <f aca="false">IF(Q$8=1,IF(Reales!$C$54="PYG",IF(Q$10&gt;0,N(Reales!Q54)/Q$10,0),N(Reales!Q54)),Q$193*IF(AND(AND(12&gt;Corte,12&lt;=Corte+n_Ventana),ISNUMBER(Detalle_24m!Q$58)),Detalle_24m!Q$58,INDEX(Precio_V,17)*INDEX(IdxPrecio_V,1,MIN(10,Q$173)))*(1+V_dPrecio))</f>
        <v>0</v>
      </c>
      <c r="R218" s="48" t="n">
        <f aca="false">IF(R$8=1,IF(Reales!$C$54="PYG",IF(R$10&gt;0,N(Reales!R54)/R$10,0),N(Reales!R54)),R$193*IF(AND(AND(13&gt;Corte,13&lt;=Corte+n_Ventana),ISNUMBER(Detalle_24m!R$58)),Detalle_24m!R$58,INDEX(Precio_V,17)*INDEX(IdxPrecio_V,1,MIN(10,R$173)))*(1+V_dPrecio))</f>
        <v>0</v>
      </c>
      <c r="S218" s="48" t="n">
        <f aca="false">IF(S$8=1,IF(Reales!$C$54="PYG",IF(S$10&gt;0,N(Reales!S54)/S$10,0),N(Reales!S54)),S$193*IF(AND(AND(14&gt;Corte,14&lt;=Corte+n_Ventana),ISNUMBER(Detalle_24m!S$58)),Detalle_24m!S$58,INDEX(Precio_V,17)*INDEX(IdxPrecio_V,1,MIN(10,S$173)))*(1+V_dPrecio))</f>
        <v>0</v>
      </c>
      <c r="T218" s="48" t="n">
        <f aca="false">IF(T$8=1,IF(Reales!$C$54="PYG",IF(T$10&gt;0,N(Reales!T54)/T$10,0),N(Reales!T54)),T$193*IF(AND(AND(15&gt;Corte,15&lt;=Corte+n_Ventana),ISNUMBER(Detalle_24m!T$58)),Detalle_24m!T$58,INDEX(Precio_V,17)*INDEX(IdxPrecio_V,1,MIN(10,T$173)))*(1+V_dPrecio))</f>
        <v>0</v>
      </c>
      <c r="U218" s="48" t="n">
        <f aca="false">IF(U$8=1,IF(Reales!$C$54="PYG",IF(U$10&gt;0,N(Reales!U54)/U$10,0),N(Reales!U54)),U$193*IF(AND(AND(16&gt;Corte,16&lt;=Corte+n_Ventana),ISNUMBER(Detalle_24m!U$58)),Detalle_24m!U$58,INDEX(Precio_V,17)*INDEX(IdxPrecio_V,1,MIN(10,U$173)))*(1+V_dPrecio))</f>
        <v>0</v>
      </c>
      <c r="V218" s="48" t="n">
        <f aca="false">IF(V$8=1,IF(Reales!$C$54="PYG",IF(V$10&gt;0,N(Reales!V54)/V$10,0),N(Reales!V54)),V$193*IF(AND(AND(17&gt;Corte,17&lt;=Corte+n_Ventana),ISNUMBER(Detalle_24m!V$58)),Detalle_24m!V$58,INDEX(Precio_V,17)*INDEX(IdxPrecio_V,1,MIN(10,V$173)))*(1+V_dPrecio))</f>
        <v>0</v>
      </c>
      <c r="W218" s="48" t="n">
        <f aca="false">IF(W$8=1,IF(Reales!$C$54="PYG",IF(W$10&gt;0,N(Reales!W54)/W$10,0),N(Reales!W54)),W$193*IF(AND(AND(18&gt;Corte,18&lt;=Corte+n_Ventana),ISNUMBER(Detalle_24m!W$58)),Detalle_24m!W$58,INDEX(Precio_V,17)*INDEX(IdxPrecio_V,1,MIN(10,W$173)))*(1+V_dPrecio))</f>
        <v>0</v>
      </c>
      <c r="X218" s="48" t="n">
        <f aca="false">IF(X$8=1,IF(Reales!$C$54="PYG",IF(X$10&gt;0,N(Reales!X54)/X$10,0),N(Reales!X54)),X$193*IF(AND(AND(19&gt;Corte,19&lt;=Corte+n_Ventana),ISNUMBER(Detalle_24m!X$58)),Detalle_24m!X$58,INDEX(Precio_V,17)*INDEX(IdxPrecio_V,1,MIN(10,X$173)))*(1+V_dPrecio))</f>
        <v>0</v>
      </c>
      <c r="Y218" s="48" t="n">
        <f aca="false">IF(Y$8=1,IF(Reales!$C$54="PYG",IF(Y$10&gt;0,N(Reales!Y54)/Y$10,0),N(Reales!Y54)),Y$193*IF(AND(AND(20&gt;Corte,20&lt;=Corte+n_Ventana),ISNUMBER(Detalle_24m!Y$58)),Detalle_24m!Y$58,INDEX(Precio_V,17)*INDEX(IdxPrecio_V,1,MIN(10,Y$173)))*(1+V_dPrecio))</f>
        <v>0</v>
      </c>
      <c r="Z218" s="48" t="n">
        <f aca="false">IF(Z$8=1,IF(Reales!$C$54="PYG",IF(Z$10&gt;0,N(Reales!Z54)/Z$10,0),N(Reales!Z54)),Z$193*IF(AND(AND(21&gt;Corte,21&lt;=Corte+n_Ventana),ISNUMBER(Detalle_24m!Z$58)),Detalle_24m!Z$58,INDEX(Precio_V,17)*INDEX(IdxPrecio_V,1,MIN(10,Z$173)))*(1+V_dPrecio))</f>
        <v>0</v>
      </c>
      <c r="AA218" s="48" t="n">
        <f aca="false">IF(AA$8=1,IF(Reales!$C$54="PYG",IF(AA$10&gt;0,N(Reales!AA54)/AA$10,0),N(Reales!AA54)),AA$193*IF(AND(AND(22&gt;Corte,22&lt;=Corte+n_Ventana),ISNUMBER(Detalle_24m!AA$58)),Detalle_24m!AA$58,INDEX(Precio_V,17)*INDEX(IdxPrecio_V,1,MIN(10,AA$173)))*(1+V_dPrecio))</f>
        <v>0</v>
      </c>
      <c r="AB218" s="48" t="n">
        <f aca="false">IF(AB$8=1,IF(Reales!$C$54="PYG",IF(AB$10&gt;0,N(Reales!AB54)/AB$10,0),N(Reales!AB54)),AB$193*IF(AND(AND(23&gt;Corte,23&lt;=Corte+n_Ventana),ISNUMBER(Detalle_24m!AB$58)),Detalle_24m!AB$58,INDEX(Precio_V,17)*INDEX(IdxPrecio_V,1,MIN(10,AB$173)))*(1+V_dPrecio))</f>
        <v>0</v>
      </c>
      <c r="AC218" s="48" t="n">
        <f aca="false">IF(AC$8=1,IF(Reales!$C$54="PYG",IF(AC$10&gt;0,N(Reales!AC54)/AC$10,0),N(Reales!AC54)),AC$193*IF(AND(AND(24&gt;Corte,24&lt;=Corte+n_Ventana),ISNUMBER(Detalle_24m!AC$58)),Detalle_24m!AC$58,INDEX(Precio_V,17)*INDEX(IdxPrecio_V,1,MIN(10,AC$173)))*(1+V_dPrecio))</f>
        <v>0</v>
      </c>
      <c r="AD218" s="48" t="n">
        <f aca="false">IF(AD$8=1,IF(Reales!$C$54="PYG",IF(AD$10&gt;0,N(Reales!AD54)/AD$10,0),N(Reales!AD54)),AD$193*IF(AND(AND(25&gt;Corte,25&lt;=Corte+n_Ventana),ISNUMBER(Detalle_24m!AD$58)),Detalle_24m!AD$58,INDEX(Precio_V,17)*INDEX(IdxPrecio_V,1,MIN(10,AD$173)))*(1+V_dPrecio))</f>
        <v>0</v>
      </c>
      <c r="AE218" s="48" t="n">
        <f aca="false">IF(AE$8=1,IF(Reales!$C$54="PYG",IF(AE$10&gt;0,N(Reales!AE54)/AE$10,0),N(Reales!AE54)),AE$193*IF(AND(AND(26&gt;Corte,26&lt;=Corte+n_Ventana),ISNUMBER(Detalle_24m!AE$58)),Detalle_24m!AE$58,INDEX(Precio_V,17)*INDEX(IdxPrecio_V,1,MIN(10,AE$173)))*(1+V_dPrecio))</f>
        <v>0</v>
      </c>
      <c r="AF218" s="48" t="n">
        <f aca="false">IF(AF$8=1,IF(Reales!$C$54="PYG",IF(AF$10&gt;0,N(Reales!AF54)/AF$10,0),N(Reales!AF54)),AF$193*IF(AND(AND(27&gt;Corte,27&lt;=Corte+n_Ventana),ISNUMBER(Detalle_24m!AF$58)),Detalle_24m!AF$58,INDEX(Precio_V,17)*INDEX(IdxPrecio_V,1,MIN(10,AF$173)))*(1+V_dPrecio))</f>
        <v>0</v>
      </c>
      <c r="AG218" s="48" t="n">
        <f aca="false">IF(AG$8=1,IF(Reales!$C$54="PYG",IF(AG$10&gt;0,N(Reales!AG54)/AG$10,0),N(Reales!AG54)),AG$193*IF(AND(AND(28&gt;Corte,28&lt;=Corte+n_Ventana),ISNUMBER(Detalle_24m!AG$58)),Detalle_24m!AG$58,INDEX(Precio_V,17)*INDEX(IdxPrecio_V,1,MIN(10,AG$173)))*(1+V_dPrecio))</f>
        <v>0</v>
      </c>
      <c r="AH218" s="48" t="n">
        <f aca="false">IF(AH$8=1,IF(Reales!$C$54="PYG",IF(AH$10&gt;0,N(Reales!AH54)/AH$10,0),N(Reales!AH54)),AH$193*IF(AND(AND(29&gt;Corte,29&lt;=Corte+n_Ventana),ISNUMBER(Detalle_24m!AH$58)),Detalle_24m!AH$58,INDEX(Precio_V,17)*INDEX(IdxPrecio_V,1,MIN(10,AH$173)))*(1+V_dPrecio))</f>
        <v>0</v>
      </c>
      <c r="AI218" s="48" t="n">
        <f aca="false">IF(AI$8=1,IF(Reales!$C$54="PYG",IF(AI$10&gt;0,N(Reales!AI54)/AI$10,0),N(Reales!AI54)),AI$193*IF(AND(AND(30&gt;Corte,30&lt;=Corte+n_Ventana),ISNUMBER(Detalle_24m!AI$58)),Detalle_24m!AI$58,INDEX(Precio_V,17)*INDEX(IdxPrecio_V,1,MIN(10,AI$173)))*(1+V_dPrecio))</f>
        <v>0</v>
      </c>
      <c r="AJ218" s="48" t="n">
        <f aca="false">IF(AJ$8=1,IF(Reales!$C$54="PYG",IF(AJ$10&gt;0,N(Reales!AJ54)/AJ$10,0),N(Reales!AJ54)),AJ$193*IF(AND(AND(31&gt;Corte,31&lt;=Corte+n_Ventana),ISNUMBER(Detalle_24m!AJ$58)),Detalle_24m!AJ$58,INDEX(Precio_V,17)*INDEX(IdxPrecio_V,1,MIN(10,AJ$173)))*(1+V_dPrecio))</f>
        <v>0</v>
      </c>
      <c r="AK218" s="48" t="n">
        <f aca="false">IF(AK$8=1,IF(Reales!$C$54="PYG",IF(AK$10&gt;0,N(Reales!AK54)/AK$10,0),N(Reales!AK54)),AK$193*IF(AND(AND(32&gt;Corte,32&lt;=Corte+n_Ventana),ISNUMBER(Detalle_24m!AK$58)),Detalle_24m!AK$58,INDEX(Precio_V,17)*INDEX(IdxPrecio_V,1,MIN(10,AK$173)))*(1+V_dPrecio))</f>
        <v>0</v>
      </c>
      <c r="AL218" s="48" t="n">
        <f aca="false">IF(AL$8=1,IF(Reales!$C$54="PYG",IF(AL$10&gt;0,N(Reales!AL54)/AL$10,0),N(Reales!AL54)),AL$193*IF(AND(AND(33&gt;Corte,33&lt;=Corte+n_Ventana),ISNUMBER(Detalle_24m!AL$58)),Detalle_24m!AL$58,INDEX(Precio_V,17)*INDEX(IdxPrecio_V,1,MIN(10,AL$173)))*(1+V_dPrecio))</f>
        <v>0</v>
      </c>
      <c r="AM218" s="48" t="n">
        <f aca="false">IF(AM$8=1,IF(Reales!$C$54="PYG",IF(AM$10&gt;0,N(Reales!AM54)/AM$10,0),N(Reales!AM54)),AM$193*IF(AND(AND(34&gt;Corte,34&lt;=Corte+n_Ventana),ISNUMBER(Detalle_24m!AM$58)),Detalle_24m!AM$58,INDEX(Precio_V,17)*INDEX(IdxPrecio_V,1,MIN(10,AM$173)))*(1+V_dPrecio))</f>
        <v>0</v>
      </c>
      <c r="AN218" s="48" t="n">
        <f aca="false">IF(AN$8=1,IF(Reales!$C$54="PYG",IF(AN$10&gt;0,N(Reales!AN54)/AN$10,0),N(Reales!AN54)),AN$193*IF(AND(AND(35&gt;Corte,35&lt;=Corte+n_Ventana),ISNUMBER(Detalle_24m!AN$58)),Detalle_24m!AN$58,INDEX(Precio_V,17)*INDEX(IdxPrecio_V,1,MIN(10,AN$173)))*(1+V_dPrecio))</f>
        <v>0</v>
      </c>
      <c r="AO218" s="48" t="n">
        <f aca="false">IF(AO$8=1,IF(Reales!$C$54="PYG",IF(AO$10&gt;0,N(Reales!AO54)/AO$10,0),N(Reales!AO54)),AO$193*IF(AND(AND(36&gt;Corte,36&lt;=Corte+n_Ventana),ISNUMBER(Detalle_24m!AO$58)),Detalle_24m!AO$58,INDEX(Precio_V,17)*INDEX(IdxPrecio_V,1,MIN(10,AO$173)))*(1+V_dPrecio))</f>
        <v>0</v>
      </c>
      <c r="AP218" s="48" t="n">
        <f aca="false">IF(AP$8=1,IF(Reales!$C$54="PYG",IF(AP$10&gt;0,N(Reales!AP54)/AP$10,0),N(Reales!AP54)),AP$193*IF(AND(AND(37&gt;Corte,37&lt;=Corte+n_Ventana),ISNUMBER(Detalle_24m!AP$58)),Detalle_24m!AP$58,INDEX(Precio_V,17)*INDEX(IdxPrecio_V,1,MIN(10,AP$173)))*(1+V_dPrecio))</f>
        <v>0</v>
      </c>
      <c r="AQ218" s="48" t="n">
        <f aca="false">IF(AQ$8=1,IF(Reales!$C$54="PYG",IF(AQ$10&gt;0,N(Reales!AQ54)/AQ$10,0),N(Reales!AQ54)),AQ$193*IF(AND(AND(38&gt;Corte,38&lt;=Corte+n_Ventana),ISNUMBER(Detalle_24m!AQ$58)),Detalle_24m!AQ$58,INDEX(Precio_V,17)*INDEX(IdxPrecio_V,1,MIN(10,AQ$173)))*(1+V_dPrecio))</f>
        <v>0</v>
      </c>
      <c r="AR218" s="48" t="n">
        <f aca="false">IF(AR$8=1,IF(Reales!$C$54="PYG",IF(AR$10&gt;0,N(Reales!AR54)/AR$10,0),N(Reales!AR54)),AR$193*IF(AND(AND(39&gt;Corte,39&lt;=Corte+n_Ventana),ISNUMBER(Detalle_24m!AR$58)),Detalle_24m!AR$58,INDEX(Precio_V,17)*INDEX(IdxPrecio_V,1,MIN(10,AR$173)))*(1+V_dPrecio))</f>
        <v>0</v>
      </c>
      <c r="AS218" s="48" t="n">
        <f aca="false">IF(AS$8=1,IF(Reales!$C$54="PYG",IF(AS$10&gt;0,N(Reales!AS54)/AS$10,0),N(Reales!AS54)),AS$193*IF(AND(AND(40&gt;Corte,40&lt;=Corte+n_Ventana),ISNUMBER(Detalle_24m!AS$58)),Detalle_24m!AS$58,INDEX(Precio_V,17)*INDEX(IdxPrecio_V,1,MIN(10,AS$173)))*(1+V_dPrecio))</f>
        <v>0</v>
      </c>
      <c r="AT218" s="48" t="n">
        <f aca="false">IF(AT$8=1,IF(Reales!$C$54="PYG",IF(AT$10&gt;0,N(Reales!AT54)/AT$10,0),N(Reales!AT54)),AT$193*IF(AND(AND(41&gt;Corte,41&lt;=Corte+n_Ventana),ISNUMBER(Detalle_24m!AT$58)),Detalle_24m!AT$58,INDEX(Precio_V,17)*INDEX(IdxPrecio_V,1,MIN(10,AT$173)))*(1+V_dPrecio))</f>
        <v>0</v>
      </c>
      <c r="AU218" s="48" t="n">
        <f aca="false">IF(AU$8=1,IF(Reales!$C$54="PYG",IF(AU$10&gt;0,N(Reales!AU54)/AU$10,0),N(Reales!AU54)),AU$193*IF(AND(AND(42&gt;Corte,42&lt;=Corte+n_Ventana),ISNUMBER(Detalle_24m!AU$58)),Detalle_24m!AU$58,INDEX(Precio_V,17)*INDEX(IdxPrecio_V,1,MIN(10,AU$173)))*(1+V_dPrecio))</f>
        <v>0</v>
      </c>
      <c r="AV218" s="48" t="n">
        <f aca="false">IF(AV$8=1,IF(Reales!$C$54="PYG",IF(AV$10&gt;0,N(Reales!AV54)/AV$10,0),N(Reales!AV54)),AV$193*IF(AND(AND(43&gt;Corte,43&lt;=Corte+n_Ventana),ISNUMBER(Detalle_24m!AV$58)),Detalle_24m!AV$58,INDEX(Precio_V,17)*INDEX(IdxPrecio_V,1,MIN(10,AV$173)))*(1+V_dPrecio))</f>
        <v>0</v>
      </c>
      <c r="AW218" s="48" t="n">
        <f aca="false">IF(AW$8=1,IF(Reales!$C$54="PYG",IF(AW$10&gt;0,N(Reales!AW54)/AW$10,0),N(Reales!AW54)),AW$193*IF(AND(AND(44&gt;Corte,44&lt;=Corte+n_Ventana),ISNUMBER(Detalle_24m!AW$58)),Detalle_24m!AW$58,INDEX(Precio_V,17)*INDEX(IdxPrecio_V,1,MIN(10,AW$173)))*(1+V_dPrecio))</f>
        <v>0</v>
      </c>
      <c r="AX218" s="48" t="n">
        <f aca="false">IF(AX$8=1,IF(Reales!$C$54="PYG",IF(AX$10&gt;0,N(Reales!AX54)/AX$10,0),N(Reales!AX54)),AX$193*IF(AND(AND(45&gt;Corte,45&lt;=Corte+n_Ventana),ISNUMBER(Detalle_24m!AX$58)),Detalle_24m!AX$58,INDEX(Precio_V,17)*INDEX(IdxPrecio_V,1,MIN(10,AX$173)))*(1+V_dPrecio))</f>
        <v>0</v>
      </c>
      <c r="AY218" s="48" t="n">
        <f aca="false">IF(AY$8=1,IF(Reales!$C$54="PYG",IF(AY$10&gt;0,N(Reales!AY54)/AY$10,0),N(Reales!AY54)),AY$193*IF(AND(AND(46&gt;Corte,46&lt;=Corte+n_Ventana),ISNUMBER(Detalle_24m!AY$58)),Detalle_24m!AY$58,INDEX(Precio_V,17)*INDEX(IdxPrecio_V,1,MIN(10,AY$173)))*(1+V_dPrecio))</f>
        <v>0</v>
      </c>
      <c r="AZ218" s="48" t="n">
        <f aca="false">IF(AZ$8=1,IF(Reales!$C$54="PYG",IF(AZ$10&gt;0,N(Reales!AZ54)/AZ$10,0),N(Reales!AZ54)),AZ$193*IF(AND(AND(47&gt;Corte,47&lt;=Corte+n_Ventana),ISNUMBER(Detalle_24m!AZ$58)),Detalle_24m!AZ$58,INDEX(Precio_V,17)*INDEX(IdxPrecio_V,1,MIN(10,AZ$173)))*(1+V_dPrecio))</f>
        <v>0</v>
      </c>
      <c r="BA218" s="48" t="n">
        <f aca="false">IF(BA$8=1,IF(Reales!$C$54="PYG",IF(BA$10&gt;0,N(Reales!BA54)/BA$10,0),N(Reales!BA54)),BA$193*IF(AND(AND(48&gt;Corte,48&lt;=Corte+n_Ventana),ISNUMBER(Detalle_24m!BA$58)),Detalle_24m!BA$58,INDEX(Precio_V,17)*INDEX(IdxPrecio_V,1,MIN(10,BA$173)))*(1+V_dPrecio))</f>
        <v>0</v>
      </c>
      <c r="BB218" s="48" t="n">
        <f aca="false">IF(BB$8=1,IF(Reales!$C$54="PYG",IF(BB$10&gt;0,N(Reales!BB54)/BB$10,0),N(Reales!BB54)),BB$193*IF(AND(AND(49&gt;Corte,49&lt;=Corte+n_Ventana),ISNUMBER(Detalle_24m!BB$58)),Detalle_24m!BB$58,INDEX(Precio_V,17)*INDEX(IdxPrecio_V,1,MIN(10,BB$173)))*(1+V_dPrecio))</f>
        <v>0</v>
      </c>
      <c r="BC218" s="48" t="n">
        <f aca="false">IF(BC$8=1,IF(Reales!$C$54="PYG",IF(BC$10&gt;0,N(Reales!BC54)/BC$10,0),N(Reales!BC54)),BC$193*IF(AND(AND(50&gt;Corte,50&lt;=Corte+n_Ventana),ISNUMBER(Detalle_24m!BC$58)),Detalle_24m!BC$58,INDEX(Precio_V,17)*INDEX(IdxPrecio_V,1,MIN(10,BC$173)))*(1+V_dPrecio))</f>
        <v>0</v>
      </c>
      <c r="BD218" s="48" t="n">
        <f aca="false">IF(BD$8=1,IF(Reales!$C$54="PYG",IF(BD$10&gt;0,N(Reales!BD54)/BD$10,0),N(Reales!BD54)),BD$193*IF(AND(AND(51&gt;Corte,51&lt;=Corte+n_Ventana),ISNUMBER(Detalle_24m!BD$58)),Detalle_24m!BD$58,INDEX(Precio_V,17)*INDEX(IdxPrecio_V,1,MIN(10,BD$173)))*(1+V_dPrecio))</f>
        <v>0</v>
      </c>
      <c r="BE218" s="48" t="n">
        <f aca="false">IF(BE$8=1,IF(Reales!$C$54="PYG",IF(BE$10&gt;0,N(Reales!BE54)/BE$10,0),N(Reales!BE54)),BE$193*IF(AND(AND(52&gt;Corte,52&lt;=Corte+n_Ventana),ISNUMBER(Detalle_24m!BE$58)),Detalle_24m!BE$58,INDEX(Precio_V,17)*INDEX(IdxPrecio_V,1,MIN(10,BE$173)))*(1+V_dPrecio))</f>
        <v>0</v>
      </c>
      <c r="BF218" s="48" t="n">
        <f aca="false">IF(BF$8=1,IF(Reales!$C$54="PYG",IF(BF$10&gt;0,N(Reales!BF54)/BF$10,0),N(Reales!BF54)),BF$193*IF(AND(AND(53&gt;Corte,53&lt;=Corte+n_Ventana),ISNUMBER(Detalle_24m!BF$58)),Detalle_24m!BF$58,INDEX(Precio_V,17)*INDEX(IdxPrecio_V,1,MIN(10,BF$173)))*(1+V_dPrecio))</f>
        <v>0</v>
      </c>
      <c r="BG218" s="48" t="n">
        <f aca="false">IF(BG$8=1,IF(Reales!$C$54="PYG",IF(BG$10&gt;0,N(Reales!BG54)/BG$10,0),N(Reales!BG54)),BG$193*IF(AND(AND(54&gt;Corte,54&lt;=Corte+n_Ventana),ISNUMBER(Detalle_24m!BG$58)),Detalle_24m!BG$58,INDEX(Precio_V,17)*INDEX(IdxPrecio_V,1,MIN(10,BG$173)))*(1+V_dPrecio))</f>
        <v>0</v>
      </c>
      <c r="BH218" s="48" t="n">
        <f aca="false">IF(BH$8=1,IF(Reales!$C$54="PYG",IF(BH$10&gt;0,N(Reales!BH54)/BH$10,0),N(Reales!BH54)),BH$193*IF(AND(AND(55&gt;Corte,55&lt;=Corte+n_Ventana),ISNUMBER(Detalle_24m!BH$58)),Detalle_24m!BH$58,INDEX(Precio_V,17)*INDEX(IdxPrecio_V,1,MIN(10,BH$173)))*(1+V_dPrecio))</f>
        <v>0</v>
      </c>
      <c r="BI218" s="48" t="n">
        <f aca="false">IF(BI$8=1,IF(Reales!$C$54="PYG",IF(BI$10&gt;0,N(Reales!BI54)/BI$10,0),N(Reales!BI54)),BI$193*IF(AND(AND(56&gt;Corte,56&lt;=Corte+n_Ventana),ISNUMBER(Detalle_24m!BI$58)),Detalle_24m!BI$58,INDEX(Precio_V,17)*INDEX(IdxPrecio_V,1,MIN(10,BI$173)))*(1+V_dPrecio))</f>
        <v>0</v>
      </c>
      <c r="BJ218" s="48" t="n">
        <f aca="false">IF(BJ$8=1,IF(Reales!$C$54="PYG",IF(BJ$10&gt;0,N(Reales!BJ54)/BJ$10,0),N(Reales!BJ54)),BJ$193*IF(AND(AND(57&gt;Corte,57&lt;=Corte+n_Ventana),ISNUMBER(Detalle_24m!BJ$58)),Detalle_24m!BJ$58,INDEX(Precio_V,17)*INDEX(IdxPrecio_V,1,MIN(10,BJ$173)))*(1+V_dPrecio))</f>
        <v>0</v>
      </c>
      <c r="BK218" s="48" t="n">
        <f aca="false">IF(BK$8=1,IF(Reales!$C$54="PYG",IF(BK$10&gt;0,N(Reales!BK54)/BK$10,0),N(Reales!BK54)),BK$193*IF(AND(AND(58&gt;Corte,58&lt;=Corte+n_Ventana),ISNUMBER(Detalle_24m!BK$58)),Detalle_24m!BK$58,INDEX(Precio_V,17)*INDEX(IdxPrecio_V,1,MIN(10,BK$173)))*(1+V_dPrecio))</f>
        <v>0</v>
      </c>
      <c r="BL218" s="48" t="n">
        <f aca="false">IF(BL$8=1,IF(Reales!$C$54="PYG",IF(BL$10&gt;0,N(Reales!BL54)/BL$10,0),N(Reales!BL54)),BL$193*IF(AND(AND(59&gt;Corte,59&lt;=Corte+n_Ventana),ISNUMBER(Detalle_24m!BL$58)),Detalle_24m!BL$58,INDEX(Precio_V,17)*INDEX(IdxPrecio_V,1,MIN(10,BL$173)))*(1+V_dPrecio))</f>
        <v>0</v>
      </c>
      <c r="BM218" s="48" t="n">
        <f aca="false">IF(BM$8=1,IF(Reales!$C$54="PYG",IF(BM$10&gt;0,N(Reales!BM54)/BM$10,0),N(Reales!BM54)),BM$193*IF(AND(AND(60&gt;Corte,60&lt;=Corte+n_Ventana),ISNUMBER(Detalle_24m!BM$58)),Detalle_24m!BM$58,INDEX(Precio_V,17)*INDEX(IdxPrecio_V,1,MIN(10,BM$173)))*(1+V_dPrecio))</f>
        <v>0</v>
      </c>
      <c r="BN218" s="48" t="n">
        <f aca="false">IF(BN$8=1,IF(Reales!$C$54="PYG",IF(BN$10&gt;0,N(Reales!BN54)/BN$10,0),N(Reales!BN54)),BN$193*IF(AND(AND(61&gt;Corte,61&lt;=Corte+n_Ventana),ISNUMBER(Detalle_24m!BN$58)),Detalle_24m!BN$58,INDEX(Precio_V,17)*INDEX(IdxPrecio_V,1,MIN(10,BN$173)))*(1+V_dPrecio))</f>
        <v>0</v>
      </c>
      <c r="BO218" s="48" t="n">
        <f aca="false">IF(BO$8=1,IF(Reales!$C$54="PYG",IF(BO$10&gt;0,N(Reales!BO54)/BO$10,0),N(Reales!BO54)),BO$193*IF(AND(AND(62&gt;Corte,62&lt;=Corte+n_Ventana),ISNUMBER(Detalle_24m!BO$58)),Detalle_24m!BO$58,INDEX(Precio_V,17)*INDEX(IdxPrecio_V,1,MIN(10,BO$173)))*(1+V_dPrecio))</f>
        <v>0</v>
      </c>
      <c r="BP218" s="48" t="n">
        <f aca="false">IF(BP$8=1,IF(Reales!$C$54="PYG",IF(BP$10&gt;0,N(Reales!BP54)/BP$10,0),N(Reales!BP54)),BP$193*IF(AND(AND(63&gt;Corte,63&lt;=Corte+n_Ventana),ISNUMBER(Detalle_24m!BP$58)),Detalle_24m!BP$58,INDEX(Precio_V,17)*INDEX(IdxPrecio_V,1,MIN(10,BP$173)))*(1+V_dPrecio))</f>
        <v>0</v>
      </c>
      <c r="BQ218" s="48" t="n">
        <f aca="false">IF(BQ$8=1,IF(Reales!$C$54="PYG",IF(BQ$10&gt;0,N(Reales!BQ54)/BQ$10,0),N(Reales!BQ54)),BQ$193*IF(AND(AND(64&gt;Corte,64&lt;=Corte+n_Ventana),ISNUMBER(Detalle_24m!BQ$58)),Detalle_24m!BQ$58,INDEX(Precio_V,17)*INDEX(IdxPrecio_V,1,MIN(10,BQ$173)))*(1+V_dPrecio))</f>
        <v>0</v>
      </c>
      <c r="BR218" s="48" t="n">
        <f aca="false">IF(BR$8=1,IF(Reales!$C$54="PYG",IF(BR$10&gt;0,N(Reales!BR54)/BR$10,0),N(Reales!BR54)),BR$193*IF(AND(AND(65&gt;Corte,65&lt;=Corte+n_Ventana),ISNUMBER(Detalle_24m!BR$58)),Detalle_24m!BR$58,INDEX(Precio_V,17)*INDEX(IdxPrecio_V,1,MIN(10,BR$173)))*(1+V_dPrecio))</f>
        <v>0</v>
      </c>
      <c r="BS218" s="48" t="n">
        <f aca="false">IF(BS$8=1,IF(Reales!$C$54="PYG",IF(BS$10&gt;0,N(Reales!BS54)/BS$10,0),N(Reales!BS54)),BS$193*IF(AND(AND(66&gt;Corte,66&lt;=Corte+n_Ventana),ISNUMBER(Detalle_24m!BS$58)),Detalle_24m!BS$58,INDEX(Precio_V,17)*INDEX(IdxPrecio_V,1,MIN(10,BS$173)))*(1+V_dPrecio))</f>
        <v>0</v>
      </c>
      <c r="BT218" s="48" t="n">
        <f aca="false">IF(BT$8=1,IF(Reales!$C$54="PYG",IF(BT$10&gt;0,N(Reales!BT54)/BT$10,0),N(Reales!BT54)),BT$193*IF(AND(AND(67&gt;Corte,67&lt;=Corte+n_Ventana),ISNUMBER(Detalle_24m!BT$58)),Detalle_24m!BT$58,INDEX(Precio_V,17)*INDEX(IdxPrecio_V,1,MIN(10,BT$173)))*(1+V_dPrecio))</f>
        <v>0</v>
      </c>
      <c r="BU218" s="48" t="n">
        <f aca="false">IF(BU$8=1,IF(Reales!$C$54="PYG",IF(BU$10&gt;0,N(Reales!BU54)/BU$10,0),N(Reales!BU54)),BU$193*IF(AND(AND(68&gt;Corte,68&lt;=Corte+n_Ventana),ISNUMBER(Detalle_24m!BU$58)),Detalle_24m!BU$58,INDEX(Precio_V,17)*INDEX(IdxPrecio_V,1,MIN(10,BU$173)))*(1+V_dPrecio))</f>
        <v>0</v>
      </c>
      <c r="BV218" s="48" t="n">
        <f aca="false">IF(BV$8=1,IF(Reales!$C$54="PYG",IF(BV$10&gt;0,N(Reales!BV54)/BV$10,0),N(Reales!BV54)),BV$193*IF(AND(AND(69&gt;Corte,69&lt;=Corte+n_Ventana),ISNUMBER(Detalle_24m!BV$58)),Detalle_24m!BV$58,INDEX(Precio_V,17)*INDEX(IdxPrecio_V,1,MIN(10,BV$173)))*(1+V_dPrecio))</f>
        <v>0</v>
      </c>
      <c r="BW218" s="48" t="n">
        <f aca="false">IF(BW$8=1,IF(Reales!$C$54="PYG",IF(BW$10&gt;0,N(Reales!BW54)/BW$10,0),N(Reales!BW54)),BW$193*IF(AND(AND(70&gt;Corte,70&lt;=Corte+n_Ventana),ISNUMBER(Detalle_24m!BW$58)),Detalle_24m!BW$58,INDEX(Precio_V,17)*INDEX(IdxPrecio_V,1,MIN(10,BW$173)))*(1+V_dPrecio))</f>
        <v>0</v>
      </c>
      <c r="BX218" s="48" t="n">
        <f aca="false">IF(BX$8=1,IF(Reales!$C$54="PYG",IF(BX$10&gt;0,N(Reales!BX54)/BX$10,0),N(Reales!BX54)),BX$193*IF(AND(AND(71&gt;Corte,71&lt;=Corte+n_Ventana),ISNUMBER(Detalle_24m!BX$58)),Detalle_24m!BX$58,INDEX(Precio_V,17)*INDEX(IdxPrecio_V,1,MIN(10,BX$173)))*(1+V_dPrecio))</f>
        <v>0</v>
      </c>
      <c r="BY218" s="48" t="n">
        <f aca="false">IF(BY$8=1,IF(Reales!$C$54="PYG",IF(BY$10&gt;0,N(Reales!BY54)/BY$10,0),N(Reales!BY54)),BY$193*IF(AND(AND(72&gt;Corte,72&lt;=Corte+n_Ventana),ISNUMBER(Detalle_24m!BY$58)),Detalle_24m!BY$58,INDEX(Precio_V,17)*INDEX(IdxPrecio_V,1,MIN(10,BY$173)))*(1+V_dPrecio))</f>
        <v>0</v>
      </c>
      <c r="BZ218" s="48" t="n">
        <f aca="false">IF(BZ$8=1,IF(Reales!$C$54="PYG",IF(BZ$10&gt;0,N(Reales!BZ54)/BZ$10,0),N(Reales!BZ54)),BZ$193*IF(AND(AND(73&gt;Corte,73&lt;=Corte+n_Ventana),ISNUMBER(Detalle_24m!BZ$58)),Detalle_24m!BZ$58,INDEX(Precio_V,17)*INDEX(IdxPrecio_V,1,MIN(10,BZ$173)))*(1+V_dPrecio))</f>
        <v>0</v>
      </c>
      <c r="CA218" s="48" t="n">
        <f aca="false">IF(CA$8=1,IF(Reales!$C$54="PYG",IF(CA$10&gt;0,N(Reales!CA54)/CA$10,0),N(Reales!CA54)),CA$193*IF(AND(AND(74&gt;Corte,74&lt;=Corte+n_Ventana),ISNUMBER(Detalle_24m!CA$58)),Detalle_24m!CA$58,INDEX(Precio_V,17)*INDEX(IdxPrecio_V,1,MIN(10,CA$173)))*(1+V_dPrecio))</f>
        <v>0</v>
      </c>
      <c r="CB218" s="48" t="n">
        <f aca="false">IF(CB$8=1,IF(Reales!$C$54="PYG",IF(CB$10&gt;0,N(Reales!CB54)/CB$10,0),N(Reales!CB54)),CB$193*IF(AND(AND(75&gt;Corte,75&lt;=Corte+n_Ventana),ISNUMBER(Detalle_24m!CB$58)),Detalle_24m!CB$58,INDEX(Precio_V,17)*INDEX(IdxPrecio_V,1,MIN(10,CB$173)))*(1+V_dPrecio))</f>
        <v>0</v>
      </c>
      <c r="CC218" s="48" t="n">
        <f aca="false">IF(CC$8=1,IF(Reales!$C$54="PYG",IF(CC$10&gt;0,N(Reales!CC54)/CC$10,0),N(Reales!CC54)),CC$193*IF(AND(AND(76&gt;Corte,76&lt;=Corte+n_Ventana),ISNUMBER(Detalle_24m!CC$58)),Detalle_24m!CC$58,INDEX(Precio_V,17)*INDEX(IdxPrecio_V,1,MIN(10,CC$173)))*(1+V_dPrecio))</f>
        <v>0</v>
      </c>
      <c r="CD218" s="48" t="n">
        <f aca="false">IF(CD$8=1,IF(Reales!$C$54="PYG",IF(CD$10&gt;0,N(Reales!CD54)/CD$10,0),N(Reales!CD54)),CD$193*IF(AND(AND(77&gt;Corte,77&lt;=Corte+n_Ventana),ISNUMBER(Detalle_24m!CD$58)),Detalle_24m!CD$58,INDEX(Precio_V,17)*INDEX(IdxPrecio_V,1,MIN(10,CD$173)))*(1+V_dPrecio))</f>
        <v>0</v>
      </c>
      <c r="CE218" s="48" t="n">
        <f aca="false">IF(CE$8=1,IF(Reales!$C$54="PYG",IF(CE$10&gt;0,N(Reales!CE54)/CE$10,0),N(Reales!CE54)),CE$193*IF(AND(AND(78&gt;Corte,78&lt;=Corte+n_Ventana),ISNUMBER(Detalle_24m!CE$58)),Detalle_24m!CE$58,INDEX(Precio_V,17)*INDEX(IdxPrecio_V,1,MIN(10,CE$173)))*(1+V_dPrecio))</f>
        <v>0</v>
      </c>
      <c r="CF218" s="48" t="n">
        <f aca="false">IF(CF$8=1,IF(Reales!$C$54="PYG",IF(CF$10&gt;0,N(Reales!CF54)/CF$10,0),N(Reales!CF54)),CF$193*IF(AND(AND(79&gt;Corte,79&lt;=Corte+n_Ventana),ISNUMBER(Detalle_24m!CF$58)),Detalle_24m!CF$58,INDEX(Precio_V,17)*INDEX(IdxPrecio_V,1,MIN(10,CF$173)))*(1+V_dPrecio))</f>
        <v>0</v>
      </c>
      <c r="CG218" s="48" t="n">
        <f aca="false">IF(CG$8=1,IF(Reales!$C$54="PYG",IF(CG$10&gt;0,N(Reales!CG54)/CG$10,0),N(Reales!CG54)),CG$193*IF(AND(AND(80&gt;Corte,80&lt;=Corte+n_Ventana),ISNUMBER(Detalle_24m!CG$58)),Detalle_24m!CG$58,INDEX(Precio_V,17)*INDEX(IdxPrecio_V,1,MIN(10,CG$173)))*(1+V_dPrecio))</f>
        <v>0</v>
      </c>
      <c r="CH218" s="48" t="n">
        <f aca="false">IF(CH$8=1,IF(Reales!$C$54="PYG",IF(CH$10&gt;0,N(Reales!CH54)/CH$10,0),N(Reales!CH54)),CH$193*IF(AND(AND(81&gt;Corte,81&lt;=Corte+n_Ventana),ISNUMBER(Detalle_24m!CH$58)),Detalle_24m!CH$58,INDEX(Precio_V,17)*INDEX(IdxPrecio_V,1,MIN(10,CH$173)))*(1+V_dPrecio))</f>
        <v>0</v>
      </c>
      <c r="CI218" s="48" t="n">
        <f aca="false">IF(CI$8=1,IF(Reales!$C$54="PYG",IF(CI$10&gt;0,N(Reales!CI54)/CI$10,0),N(Reales!CI54)),CI$193*IF(AND(AND(82&gt;Corte,82&lt;=Corte+n_Ventana),ISNUMBER(Detalle_24m!CI$58)),Detalle_24m!CI$58,INDEX(Precio_V,17)*INDEX(IdxPrecio_V,1,MIN(10,CI$173)))*(1+V_dPrecio))</f>
        <v>0</v>
      </c>
      <c r="CJ218" s="48" t="n">
        <f aca="false">IF(CJ$8=1,IF(Reales!$C$54="PYG",IF(CJ$10&gt;0,N(Reales!CJ54)/CJ$10,0),N(Reales!CJ54)),CJ$193*IF(AND(AND(83&gt;Corte,83&lt;=Corte+n_Ventana),ISNUMBER(Detalle_24m!CJ$58)),Detalle_24m!CJ$58,INDEX(Precio_V,17)*INDEX(IdxPrecio_V,1,MIN(10,CJ$173)))*(1+V_dPrecio))</f>
        <v>0</v>
      </c>
      <c r="CK218" s="48" t="n">
        <f aca="false">IF(CK$8=1,IF(Reales!$C$54="PYG",IF(CK$10&gt;0,N(Reales!CK54)/CK$10,0),N(Reales!CK54)),CK$193*IF(AND(AND(84&gt;Corte,84&lt;=Corte+n_Ventana),ISNUMBER(Detalle_24m!CK$58)),Detalle_24m!CK$58,INDEX(Precio_V,17)*INDEX(IdxPrecio_V,1,MIN(10,CK$173)))*(1+V_dPrecio))</f>
        <v>0</v>
      </c>
      <c r="CL218" s="48" t="n">
        <f aca="false">IF(CL$8=1,IF(Reales!$C$54="PYG",IF(CL$10&gt;0,N(Reales!CL54)/CL$10,0),N(Reales!CL54)),CL$193*IF(AND(AND(85&gt;Corte,85&lt;=Corte+n_Ventana),ISNUMBER(Detalle_24m!CL$58)),Detalle_24m!CL$58,INDEX(Precio_V,17)*INDEX(IdxPrecio_V,1,MIN(10,CL$173)))*(1+V_dPrecio))</f>
        <v>0</v>
      </c>
      <c r="CM218" s="48" t="n">
        <f aca="false">IF(CM$8=1,IF(Reales!$C$54="PYG",IF(CM$10&gt;0,N(Reales!CM54)/CM$10,0),N(Reales!CM54)),CM$193*IF(AND(AND(86&gt;Corte,86&lt;=Corte+n_Ventana),ISNUMBER(Detalle_24m!CM$58)),Detalle_24m!CM$58,INDEX(Precio_V,17)*INDEX(IdxPrecio_V,1,MIN(10,CM$173)))*(1+V_dPrecio))</f>
        <v>0</v>
      </c>
      <c r="CN218" s="48" t="n">
        <f aca="false">IF(CN$8=1,IF(Reales!$C$54="PYG",IF(CN$10&gt;0,N(Reales!CN54)/CN$10,0),N(Reales!CN54)),CN$193*IF(AND(AND(87&gt;Corte,87&lt;=Corte+n_Ventana),ISNUMBER(Detalle_24m!CN$58)),Detalle_24m!CN$58,INDEX(Precio_V,17)*INDEX(IdxPrecio_V,1,MIN(10,CN$173)))*(1+V_dPrecio))</f>
        <v>0</v>
      </c>
      <c r="CO218" s="48" t="n">
        <f aca="false">IF(CO$8=1,IF(Reales!$C$54="PYG",IF(CO$10&gt;0,N(Reales!CO54)/CO$10,0),N(Reales!CO54)),CO$193*IF(AND(AND(88&gt;Corte,88&lt;=Corte+n_Ventana),ISNUMBER(Detalle_24m!CO$58)),Detalle_24m!CO$58,INDEX(Precio_V,17)*INDEX(IdxPrecio_V,1,MIN(10,CO$173)))*(1+V_dPrecio))</f>
        <v>0</v>
      </c>
      <c r="CP218" s="48" t="n">
        <f aca="false">IF(CP$8=1,IF(Reales!$C$54="PYG",IF(CP$10&gt;0,N(Reales!CP54)/CP$10,0),N(Reales!CP54)),CP$193*IF(AND(AND(89&gt;Corte,89&lt;=Corte+n_Ventana),ISNUMBER(Detalle_24m!CP$58)),Detalle_24m!CP$58,INDEX(Precio_V,17)*INDEX(IdxPrecio_V,1,MIN(10,CP$173)))*(1+V_dPrecio))</f>
        <v>0</v>
      </c>
      <c r="CQ218" s="48" t="n">
        <f aca="false">IF(CQ$8=1,IF(Reales!$C$54="PYG",IF(CQ$10&gt;0,N(Reales!CQ54)/CQ$10,0),N(Reales!CQ54)),CQ$193*IF(AND(AND(90&gt;Corte,90&lt;=Corte+n_Ventana),ISNUMBER(Detalle_24m!CQ$58)),Detalle_24m!CQ$58,INDEX(Precio_V,17)*INDEX(IdxPrecio_V,1,MIN(10,CQ$173)))*(1+V_dPrecio))</f>
        <v>0</v>
      </c>
      <c r="CR218" s="48" t="n">
        <f aca="false">IF(CR$8=1,IF(Reales!$C$54="PYG",IF(CR$10&gt;0,N(Reales!CR54)/CR$10,0),N(Reales!CR54)),CR$193*IF(AND(AND(91&gt;Corte,91&lt;=Corte+n_Ventana),ISNUMBER(Detalle_24m!CR$58)),Detalle_24m!CR$58,INDEX(Precio_V,17)*INDEX(IdxPrecio_V,1,MIN(10,CR$173)))*(1+V_dPrecio))</f>
        <v>0</v>
      </c>
      <c r="CS218" s="48" t="n">
        <f aca="false">IF(CS$8=1,IF(Reales!$C$54="PYG",IF(CS$10&gt;0,N(Reales!CS54)/CS$10,0),N(Reales!CS54)),CS$193*IF(AND(AND(92&gt;Corte,92&lt;=Corte+n_Ventana),ISNUMBER(Detalle_24m!CS$58)),Detalle_24m!CS$58,INDEX(Precio_V,17)*INDEX(IdxPrecio_V,1,MIN(10,CS$173)))*(1+V_dPrecio))</f>
        <v>0</v>
      </c>
      <c r="CT218" s="48" t="n">
        <f aca="false">IF(CT$8=1,IF(Reales!$C$54="PYG",IF(CT$10&gt;0,N(Reales!CT54)/CT$10,0),N(Reales!CT54)),CT$193*IF(AND(AND(93&gt;Corte,93&lt;=Corte+n_Ventana),ISNUMBER(Detalle_24m!CT$58)),Detalle_24m!CT$58,INDEX(Precio_V,17)*INDEX(IdxPrecio_V,1,MIN(10,CT$173)))*(1+V_dPrecio))</f>
        <v>0</v>
      </c>
      <c r="CU218" s="48" t="n">
        <f aca="false">IF(CU$8=1,IF(Reales!$C$54="PYG",IF(CU$10&gt;0,N(Reales!CU54)/CU$10,0),N(Reales!CU54)),CU$193*IF(AND(AND(94&gt;Corte,94&lt;=Corte+n_Ventana),ISNUMBER(Detalle_24m!CU$58)),Detalle_24m!CU$58,INDEX(Precio_V,17)*INDEX(IdxPrecio_V,1,MIN(10,CU$173)))*(1+V_dPrecio))</f>
        <v>0</v>
      </c>
      <c r="CV218" s="48" t="n">
        <f aca="false">IF(CV$8=1,IF(Reales!$C$54="PYG",IF(CV$10&gt;0,N(Reales!CV54)/CV$10,0),N(Reales!CV54)),CV$193*IF(AND(AND(95&gt;Corte,95&lt;=Corte+n_Ventana),ISNUMBER(Detalle_24m!CV$58)),Detalle_24m!CV$58,INDEX(Precio_V,17)*INDEX(IdxPrecio_V,1,MIN(10,CV$173)))*(1+V_dPrecio))</f>
        <v>0</v>
      </c>
      <c r="CW218" s="48" t="n">
        <f aca="false">IF(CW$8=1,IF(Reales!$C$54="PYG",IF(CW$10&gt;0,N(Reales!CW54)/CW$10,0),N(Reales!CW54)),CW$193*IF(AND(AND(96&gt;Corte,96&lt;=Corte+n_Ventana),ISNUMBER(Detalle_24m!CW$58)),Detalle_24m!CW$58,INDEX(Precio_V,17)*INDEX(IdxPrecio_V,1,MIN(10,CW$173)))*(1+V_dPrecio))</f>
        <v>0</v>
      </c>
      <c r="CX218" s="48" t="n">
        <f aca="false">IF(CX$8=1,IF(Reales!$C$54="PYG",IF(CX$10&gt;0,N(Reales!CX54)/CX$10,0),N(Reales!CX54)),CX$193*IF(AND(AND(97&gt;Corte,97&lt;=Corte+n_Ventana),ISNUMBER(Detalle_24m!CX$58)),Detalle_24m!CX$58,INDEX(Precio_V,17)*INDEX(IdxPrecio_V,1,MIN(10,CX$173)))*(1+V_dPrecio))</f>
        <v>0</v>
      </c>
      <c r="CY218" s="48" t="n">
        <f aca="false">IF(CY$8=1,IF(Reales!$C$54="PYG",IF(CY$10&gt;0,N(Reales!CY54)/CY$10,0),N(Reales!CY54)),CY$193*IF(AND(AND(98&gt;Corte,98&lt;=Corte+n_Ventana),ISNUMBER(Detalle_24m!CY$58)),Detalle_24m!CY$58,INDEX(Precio_V,17)*INDEX(IdxPrecio_V,1,MIN(10,CY$173)))*(1+V_dPrecio))</f>
        <v>0</v>
      </c>
      <c r="CZ218" s="48" t="n">
        <f aca="false">IF(CZ$8=1,IF(Reales!$C$54="PYG",IF(CZ$10&gt;0,N(Reales!CZ54)/CZ$10,0),N(Reales!CZ54)),CZ$193*IF(AND(AND(99&gt;Corte,99&lt;=Corte+n_Ventana),ISNUMBER(Detalle_24m!CZ$58)),Detalle_24m!CZ$58,INDEX(Precio_V,17)*INDEX(IdxPrecio_V,1,MIN(10,CZ$173)))*(1+V_dPrecio))</f>
        <v>0</v>
      </c>
      <c r="DA218" s="48" t="n">
        <f aca="false">IF(DA$8=1,IF(Reales!$C$54="PYG",IF(DA$10&gt;0,N(Reales!DA54)/DA$10,0),N(Reales!DA54)),DA$193*IF(AND(AND(100&gt;Corte,100&lt;=Corte+n_Ventana),ISNUMBER(Detalle_24m!DA$58)),Detalle_24m!DA$58,INDEX(Precio_V,17)*INDEX(IdxPrecio_V,1,MIN(10,DA$173)))*(1+V_dPrecio))</f>
        <v>0</v>
      </c>
      <c r="DB218" s="48" t="n">
        <f aca="false">IF(DB$8=1,IF(Reales!$C$54="PYG",IF(DB$10&gt;0,N(Reales!DB54)/DB$10,0),N(Reales!DB54)),DB$193*IF(AND(AND(101&gt;Corte,101&lt;=Corte+n_Ventana),ISNUMBER(Detalle_24m!DB$58)),Detalle_24m!DB$58,INDEX(Precio_V,17)*INDEX(IdxPrecio_V,1,MIN(10,DB$173)))*(1+V_dPrecio))</f>
        <v>0</v>
      </c>
      <c r="DC218" s="48" t="n">
        <f aca="false">IF(DC$8=1,IF(Reales!$C$54="PYG",IF(DC$10&gt;0,N(Reales!DC54)/DC$10,0),N(Reales!DC54)),DC$193*IF(AND(AND(102&gt;Corte,102&lt;=Corte+n_Ventana),ISNUMBER(Detalle_24m!DC$58)),Detalle_24m!DC$58,INDEX(Precio_V,17)*INDEX(IdxPrecio_V,1,MIN(10,DC$173)))*(1+V_dPrecio))</f>
        <v>0</v>
      </c>
      <c r="DD218" s="48" t="n">
        <f aca="false">IF(DD$8=1,IF(Reales!$C$54="PYG",IF(DD$10&gt;0,N(Reales!DD54)/DD$10,0),N(Reales!DD54)),DD$193*IF(AND(AND(103&gt;Corte,103&lt;=Corte+n_Ventana),ISNUMBER(Detalle_24m!DD$58)),Detalle_24m!DD$58,INDEX(Precio_V,17)*INDEX(IdxPrecio_V,1,MIN(10,DD$173)))*(1+V_dPrecio))</f>
        <v>0</v>
      </c>
      <c r="DE218" s="48" t="n">
        <f aca="false">IF(DE$8=1,IF(Reales!$C$54="PYG",IF(DE$10&gt;0,N(Reales!DE54)/DE$10,0),N(Reales!DE54)),DE$193*IF(AND(AND(104&gt;Corte,104&lt;=Corte+n_Ventana),ISNUMBER(Detalle_24m!DE$58)),Detalle_24m!DE$58,INDEX(Precio_V,17)*INDEX(IdxPrecio_V,1,MIN(10,DE$173)))*(1+V_dPrecio))</f>
        <v>0</v>
      </c>
      <c r="DF218" s="48" t="n">
        <f aca="false">IF(DF$8=1,IF(Reales!$C$54="PYG",IF(DF$10&gt;0,N(Reales!DF54)/DF$10,0),N(Reales!DF54)),DF$193*IF(AND(AND(105&gt;Corte,105&lt;=Corte+n_Ventana),ISNUMBER(Detalle_24m!DF$58)),Detalle_24m!DF$58,INDEX(Precio_V,17)*INDEX(IdxPrecio_V,1,MIN(10,DF$173)))*(1+V_dPrecio))</f>
        <v>0</v>
      </c>
      <c r="DG218" s="48" t="n">
        <f aca="false">IF(DG$8=1,IF(Reales!$C$54="PYG",IF(DG$10&gt;0,N(Reales!DG54)/DG$10,0),N(Reales!DG54)),DG$193*IF(AND(AND(106&gt;Corte,106&lt;=Corte+n_Ventana),ISNUMBER(Detalle_24m!DG$58)),Detalle_24m!DG$58,INDEX(Precio_V,17)*INDEX(IdxPrecio_V,1,MIN(10,DG$173)))*(1+V_dPrecio))</f>
        <v>0</v>
      </c>
      <c r="DH218" s="48" t="n">
        <f aca="false">IF(DH$8=1,IF(Reales!$C$54="PYG",IF(DH$10&gt;0,N(Reales!DH54)/DH$10,0),N(Reales!DH54)),DH$193*IF(AND(AND(107&gt;Corte,107&lt;=Corte+n_Ventana),ISNUMBER(Detalle_24m!DH$58)),Detalle_24m!DH$58,INDEX(Precio_V,17)*INDEX(IdxPrecio_V,1,MIN(10,DH$173)))*(1+V_dPrecio))</f>
        <v>0</v>
      </c>
      <c r="DI218" s="48" t="n">
        <f aca="false">IF(DI$8=1,IF(Reales!$C$54="PYG",IF(DI$10&gt;0,N(Reales!DI54)/DI$10,0),N(Reales!DI54)),DI$193*IF(AND(AND(108&gt;Corte,108&lt;=Corte+n_Ventana),ISNUMBER(Detalle_24m!DI$58)),Detalle_24m!DI$58,INDEX(Precio_V,17)*INDEX(IdxPrecio_V,1,MIN(10,DI$173)))*(1+V_dPrecio))</f>
        <v>0</v>
      </c>
      <c r="DJ218" s="48" t="n">
        <f aca="false">IF(DJ$8=1,IF(Reales!$C$54="PYG",IF(DJ$10&gt;0,N(Reales!DJ54)/DJ$10,0),N(Reales!DJ54)),DJ$193*IF(AND(AND(109&gt;Corte,109&lt;=Corte+n_Ventana),ISNUMBER(Detalle_24m!DJ$58)),Detalle_24m!DJ$58,INDEX(Precio_V,17)*INDEX(IdxPrecio_V,1,MIN(10,DJ$173)))*(1+V_dPrecio))</f>
        <v>0</v>
      </c>
      <c r="DK218" s="48" t="n">
        <f aca="false">IF(DK$8=1,IF(Reales!$C$54="PYG",IF(DK$10&gt;0,N(Reales!DK54)/DK$10,0),N(Reales!DK54)),DK$193*IF(AND(AND(110&gt;Corte,110&lt;=Corte+n_Ventana),ISNUMBER(Detalle_24m!DK$58)),Detalle_24m!DK$58,INDEX(Precio_V,17)*INDEX(IdxPrecio_V,1,MIN(10,DK$173)))*(1+V_dPrecio))</f>
        <v>0</v>
      </c>
      <c r="DL218" s="48" t="n">
        <f aca="false">IF(DL$8=1,IF(Reales!$C$54="PYG",IF(DL$10&gt;0,N(Reales!DL54)/DL$10,0),N(Reales!DL54)),DL$193*IF(AND(AND(111&gt;Corte,111&lt;=Corte+n_Ventana),ISNUMBER(Detalle_24m!DL$58)),Detalle_24m!DL$58,INDEX(Precio_V,17)*INDEX(IdxPrecio_V,1,MIN(10,DL$173)))*(1+V_dPrecio))</f>
        <v>0</v>
      </c>
      <c r="DM218" s="48" t="n">
        <f aca="false">IF(DM$8=1,IF(Reales!$C$54="PYG",IF(DM$10&gt;0,N(Reales!DM54)/DM$10,0),N(Reales!DM54)),DM$193*IF(AND(AND(112&gt;Corte,112&lt;=Corte+n_Ventana),ISNUMBER(Detalle_24m!DM$58)),Detalle_24m!DM$58,INDEX(Precio_V,17)*INDEX(IdxPrecio_V,1,MIN(10,DM$173)))*(1+V_dPrecio))</f>
        <v>0</v>
      </c>
      <c r="DN218" s="48" t="n">
        <f aca="false">IF(DN$8=1,IF(Reales!$C$54="PYG",IF(DN$10&gt;0,N(Reales!DN54)/DN$10,0),N(Reales!DN54)),DN$193*IF(AND(AND(113&gt;Corte,113&lt;=Corte+n_Ventana),ISNUMBER(Detalle_24m!DN$58)),Detalle_24m!DN$58,INDEX(Precio_V,17)*INDEX(IdxPrecio_V,1,MIN(10,DN$173)))*(1+V_dPrecio))</f>
        <v>0</v>
      </c>
      <c r="DO218" s="48" t="n">
        <f aca="false">IF(DO$8=1,IF(Reales!$C$54="PYG",IF(DO$10&gt;0,N(Reales!DO54)/DO$10,0),N(Reales!DO54)),DO$193*IF(AND(AND(114&gt;Corte,114&lt;=Corte+n_Ventana),ISNUMBER(Detalle_24m!DO$58)),Detalle_24m!DO$58,INDEX(Precio_V,17)*INDEX(IdxPrecio_V,1,MIN(10,DO$173)))*(1+V_dPrecio))</f>
        <v>0</v>
      </c>
      <c r="DP218" s="48" t="n">
        <f aca="false">IF(DP$8=1,IF(Reales!$C$54="PYG",IF(DP$10&gt;0,N(Reales!DP54)/DP$10,0),N(Reales!DP54)),DP$193*IF(AND(AND(115&gt;Corte,115&lt;=Corte+n_Ventana),ISNUMBER(Detalle_24m!DP$58)),Detalle_24m!DP$58,INDEX(Precio_V,17)*INDEX(IdxPrecio_V,1,MIN(10,DP$173)))*(1+V_dPrecio))</f>
        <v>0</v>
      </c>
      <c r="DQ218" s="48" t="n">
        <f aca="false">IF(DQ$8=1,IF(Reales!$C$54="PYG",IF(DQ$10&gt;0,N(Reales!DQ54)/DQ$10,0),N(Reales!DQ54)),DQ$193*IF(AND(AND(116&gt;Corte,116&lt;=Corte+n_Ventana),ISNUMBER(Detalle_24m!DQ$58)),Detalle_24m!DQ$58,INDEX(Precio_V,17)*INDEX(IdxPrecio_V,1,MIN(10,DQ$173)))*(1+V_dPrecio))</f>
        <v>0</v>
      </c>
      <c r="DR218" s="48" t="n">
        <f aca="false">IF(DR$8=1,IF(Reales!$C$54="PYG",IF(DR$10&gt;0,N(Reales!DR54)/DR$10,0),N(Reales!DR54)),DR$193*IF(AND(AND(117&gt;Corte,117&lt;=Corte+n_Ventana),ISNUMBER(Detalle_24m!DR$58)),Detalle_24m!DR$58,INDEX(Precio_V,17)*INDEX(IdxPrecio_V,1,MIN(10,DR$173)))*(1+V_dPrecio))</f>
        <v>0</v>
      </c>
      <c r="DS218" s="48" t="n">
        <f aca="false">IF(DS$8=1,IF(Reales!$C$54="PYG",IF(DS$10&gt;0,N(Reales!DS54)/DS$10,0),N(Reales!DS54)),DS$193*IF(AND(AND(118&gt;Corte,118&lt;=Corte+n_Ventana),ISNUMBER(Detalle_24m!DS$58)),Detalle_24m!DS$58,INDEX(Precio_V,17)*INDEX(IdxPrecio_V,1,MIN(10,DS$173)))*(1+V_dPrecio))</f>
        <v>0</v>
      </c>
      <c r="DT218" s="48" t="n">
        <f aca="false">IF(DT$8=1,IF(Reales!$C$54="PYG",IF(DT$10&gt;0,N(Reales!DT54)/DT$10,0),N(Reales!DT54)),DT$193*IF(AND(AND(119&gt;Corte,119&lt;=Corte+n_Ventana),ISNUMBER(Detalle_24m!DT$58)),Detalle_24m!DT$58,INDEX(Precio_V,17)*INDEX(IdxPrecio_V,1,MIN(10,DT$173)))*(1+V_dPrecio))</f>
        <v>0</v>
      </c>
      <c r="DU218" s="48" t="n">
        <f aca="false">IF(DU$8=1,IF(Reales!$C$54="PYG",IF(DU$10&gt;0,N(Reales!DU54)/DU$10,0),N(Reales!DU54)),DU$193*IF(AND(AND(120&gt;Corte,120&lt;=Corte+n_Ventana),ISNUMBER(Detalle_24m!DU$58)),Detalle_24m!DU$58,INDEX(Precio_V,17)*INDEX(IdxPrecio_V,1,MIN(10,DU$173)))*(1+V_dPrecio))</f>
        <v>0</v>
      </c>
      <c r="DV218" s="48" t="n">
        <f aca="false">IF(DV$8=1,IF(Reales!$C$54="PYG",IF(DV$10&gt;0,N(Reales!DV54)/DV$10,0),N(Reales!DV54)),DV$193*IF(AND(AND(121&gt;Corte,121&lt;=Corte+n_Ventana),ISNUMBER(Detalle_24m!DV$58)),Detalle_24m!DV$58,INDEX(Precio_V,17)*INDEX(IdxPrecio_V,1,MIN(10,DV$173)))*(1+V_dPrecio))</f>
        <v>0</v>
      </c>
      <c r="DW218" s="48" t="n">
        <f aca="false">IF(DW$8=1,IF(Reales!$C$54="PYG",IF(DW$10&gt;0,N(Reales!DW54)/DW$10,0),N(Reales!DW54)),DW$193*IF(AND(AND(122&gt;Corte,122&lt;=Corte+n_Ventana),ISNUMBER(Detalle_24m!DW$58)),Detalle_24m!DW$58,INDEX(Precio_V,17)*INDEX(IdxPrecio_V,1,MIN(10,DW$173)))*(1+V_dPrecio))</f>
        <v>0</v>
      </c>
      <c r="DX218" s="48" t="n">
        <f aca="false">IF(DX$8=1,IF(Reales!$C$54="PYG",IF(DX$10&gt;0,N(Reales!DX54)/DX$10,0),N(Reales!DX54)),DX$193*IF(AND(AND(123&gt;Corte,123&lt;=Corte+n_Ventana),ISNUMBER(Detalle_24m!DX$58)),Detalle_24m!DX$58,INDEX(Precio_V,17)*INDEX(IdxPrecio_V,1,MIN(10,DX$173)))*(1+V_dPrecio))</f>
        <v>0</v>
      </c>
      <c r="DY218" s="48" t="n">
        <f aca="false">IF(DY$8=1,IF(Reales!$C$54="PYG",IF(DY$10&gt;0,N(Reales!DY54)/DY$10,0),N(Reales!DY54)),DY$193*IF(AND(AND(124&gt;Corte,124&lt;=Corte+n_Ventana),ISNUMBER(Detalle_24m!DY$58)),Detalle_24m!DY$58,INDEX(Precio_V,17)*INDEX(IdxPrecio_V,1,MIN(10,DY$173)))*(1+V_dPrecio))</f>
        <v>0</v>
      </c>
      <c r="DZ218" s="48" t="n">
        <f aca="false">IF(DZ$8=1,IF(Reales!$C$54="PYG",IF(DZ$10&gt;0,N(Reales!DZ54)/DZ$10,0),N(Reales!DZ54)),DZ$193*IF(AND(AND(125&gt;Corte,125&lt;=Corte+n_Ventana),ISNUMBER(Detalle_24m!DZ$58)),Detalle_24m!DZ$58,INDEX(Precio_V,17)*INDEX(IdxPrecio_V,1,MIN(10,DZ$173)))*(1+V_dPrecio))</f>
        <v>0</v>
      </c>
      <c r="EA218" s="48" t="n">
        <f aca="false">IF(EA$8=1,IF(Reales!$C$54="PYG",IF(EA$10&gt;0,N(Reales!EA54)/EA$10,0),N(Reales!EA54)),EA$193*IF(AND(AND(126&gt;Corte,126&lt;=Corte+n_Ventana),ISNUMBER(Detalle_24m!EA$58)),Detalle_24m!EA$58,INDEX(Precio_V,17)*INDEX(IdxPrecio_V,1,MIN(10,EA$173)))*(1+V_dPrecio))</f>
        <v>0</v>
      </c>
      <c r="EB218" s="48" t="n">
        <f aca="false">IF(EB$8=1,IF(Reales!$C$54="PYG",IF(EB$10&gt;0,N(Reales!EB54)/EB$10,0),N(Reales!EB54)),EB$193*IF(AND(AND(127&gt;Corte,127&lt;=Corte+n_Ventana),ISNUMBER(Detalle_24m!EB$58)),Detalle_24m!EB$58,INDEX(Precio_V,17)*INDEX(IdxPrecio_V,1,MIN(10,EB$173)))*(1+V_dPrecio))</f>
        <v>0</v>
      </c>
      <c r="EC218" s="48" t="n">
        <f aca="false">IF(EC$8=1,IF(Reales!$C$54="PYG",IF(EC$10&gt;0,N(Reales!EC54)/EC$10,0),N(Reales!EC54)),EC$193*IF(AND(AND(128&gt;Corte,128&lt;=Corte+n_Ventana),ISNUMBER(Detalle_24m!EC$58)),Detalle_24m!EC$58,INDEX(Precio_V,17)*INDEX(IdxPrecio_V,1,MIN(10,EC$173)))*(1+V_dPrecio))</f>
        <v>0</v>
      </c>
      <c r="ED218" s="48" t="n">
        <f aca="false">IF(ED$8=1,IF(Reales!$C$54="PYG",IF(ED$10&gt;0,N(Reales!ED54)/ED$10,0),N(Reales!ED54)),ED$193*IF(AND(AND(129&gt;Corte,129&lt;=Corte+n_Ventana),ISNUMBER(Detalle_24m!ED$58)),Detalle_24m!ED$58,INDEX(Precio_V,17)*INDEX(IdxPrecio_V,1,MIN(10,ED$173)))*(1+V_dPrecio))</f>
        <v>0</v>
      </c>
      <c r="EE218" s="48" t="n">
        <f aca="false">IF(EE$8=1,IF(Reales!$C$54="PYG",IF(EE$10&gt;0,N(Reales!EE54)/EE$10,0),N(Reales!EE54)),EE$193*IF(AND(AND(130&gt;Corte,130&lt;=Corte+n_Ventana),ISNUMBER(Detalle_24m!EE$58)),Detalle_24m!EE$58,INDEX(Precio_V,17)*INDEX(IdxPrecio_V,1,MIN(10,EE$173)))*(1+V_dPrecio))</f>
        <v>0</v>
      </c>
      <c r="EF218" s="48" t="n">
        <f aca="false">IF(EF$8=1,IF(Reales!$C$54="PYG",IF(EF$10&gt;0,N(Reales!EF54)/EF$10,0),N(Reales!EF54)),EF$193*IF(AND(AND(131&gt;Corte,131&lt;=Corte+n_Ventana),ISNUMBER(Detalle_24m!EF$58)),Detalle_24m!EF$58,INDEX(Precio_V,17)*INDEX(IdxPrecio_V,1,MIN(10,EF$173)))*(1+V_dPrecio))</f>
        <v>0</v>
      </c>
      <c r="EG218" s="48" t="n">
        <f aca="false">IF(EG$8=1,IF(Reales!$C$54="PYG",IF(EG$10&gt;0,N(Reales!EG54)/EG$10,0),N(Reales!EG54)),EG$193*IF(AND(AND(132&gt;Corte,132&lt;=Corte+n_Ventana),ISNUMBER(Detalle_24m!EG$58)),Detalle_24m!EG$58,INDEX(Precio_V,17)*INDEX(IdxPrecio_V,1,MIN(10,EG$173)))*(1+V_dPrecio))</f>
        <v>0</v>
      </c>
      <c r="EH218" s="48" t="n">
        <f aca="false">IF(EH$8=1,IF(Reales!$C$54="PYG",IF(EH$10&gt;0,N(Reales!EH54)/EH$10,0),N(Reales!EH54)),EH$193*IF(AND(AND(133&gt;Corte,133&lt;=Corte+n_Ventana),ISNUMBER(Detalle_24m!EH$58)),Detalle_24m!EH$58,INDEX(Precio_V,17)*INDEX(IdxPrecio_V,1,MIN(10,EH$173)))*(1+V_dPrecio))</f>
        <v>0</v>
      </c>
      <c r="EI218" s="48" t="n">
        <f aca="false">IF(EI$8=1,IF(Reales!$C$54="PYG",IF(EI$10&gt;0,N(Reales!EI54)/EI$10,0),N(Reales!EI54)),EI$193*IF(AND(AND(134&gt;Corte,134&lt;=Corte+n_Ventana),ISNUMBER(Detalle_24m!EI$58)),Detalle_24m!EI$58,INDEX(Precio_V,17)*INDEX(IdxPrecio_V,1,MIN(10,EI$173)))*(1+V_dPrecio))</f>
        <v>0</v>
      </c>
      <c r="EJ218" s="48" t="n">
        <f aca="false">IF(EJ$8=1,IF(Reales!$C$54="PYG",IF(EJ$10&gt;0,N(Reales!EJ54)/EJ$10,0),N(Reales!EJ54)),EJ$193*IF(AND(AND(135&gt;Corte,135&lt;=Corte+n_Ventana),ISNUMBER(Detalle_24m!EJ$58)),Detalle_24m!EJ$58,INDEX(Precio_V,17)*INDEX(IdxPrecio_V,1,MIN(10,EJ$173)))*(1+V_dPrecio))</f>
        <v>0</v>
      </c>
      <c r="EK218" s="48" t="n">
        <f aca="false">IF(EK$8=1,IF(Reales!$C$54="PYG",IF(EK$10&gt;0,N(Reales!EK54)/EK$10,0),N(Reales!EK54)),EK$193*IF(AND(AND(136&gt;Corte,136&lt;=Corte+n_Ventana),ISNUMBER(Detalle_24m!EK$58)),Detalle_24m!EK$58,INDEX(Precio_V,17)*INDEX(IdxPrecio_V,1,MIN(10,EK$173)))*(1+V_dPrecio))</f>
        <v>0</v>
      </c>
      <c r="EL218" s="48" t="n">
        <f aca="false">IF(EL$8=1,IF(Reales!$C$54="PYG",IF(EL$10&gt;0,N(Reales!EL54)/EL$10,0),N(Reales!EL54)),EL$193*IF(AND(AND(137&gt;Corte,137&lt;=Corte+n_Ventana),ISNUMBER(Detalle_24m!EL$58)),Detalle_24m!EL$58,INDEX(Precio_V,17)*INDEX(IdxPrecio_V,1,MIN(10,EL$173)))*(1+V_dPrecio))</f>
        <v>0</v>
      </c>
      <c r="EM218" s="48" t="n">
        <f aca="false">IF(EM$8=1,IF(Reales!$C$54="PYG",IF(EM$10&gt;0,N(Reales!EM54)/EM$10,0),N(Reales!EM54)),EM$193*IF(AND(AND(138&gt;Corte,138&lt;=Corte+n_Ventana),ISNUMBER(Detalle_24m!EM$58)),Detalle_24m!EM$58,INDEX(Precio_V,17)*INDEX(IdxPrecio_V,1,MIN(10,EM$173)))*(1+V_dPrecio))</f>
        <v>0</v>
      </c>
      <c r="EN218" s="48" t="n">
        <f aca="false">IF(EN$8=1,IF(Reales!$C$54="PYG",IF(EN$10&gt;0,N(Reales!EN54)/EN$10,0),N(Reales!EN54)),EN$193*IF(AND(AND(139&gt;Corte,139&lt;=Corte+n_Ventana),ISNUMBER(Detalle_24m!EN$58)),Detalle_24m!EN$58,INDEX(Precio_V,17)*INDEX(IdxPrecio_V,1,MIN(10,EN$173)))*(1+V_dPrecio))</f>
        <v>0</v>
      </c>
      <c r="EO218" s="48" t="n">
        <f aca="false">IF(EO$8=1,IF(Reales!$C$54="PYG",IF(EO$10&gt;0,N(Reales!EO54)/EO$10,0),N(Reales!EO54)),EO$193*IF(AND(AND(140&gt;Corte,140&lt;=Corte+n_Ventana),ISNUMBER(Detalle_24m!EO$58)),Detalle_24m!EO$58,INDEX(Precio_V,17)*INDEX(IdxPrecio_V,1,MIN(10,EO$173)))*(1+V_dPrecio))</f>
        <v>0</v>
      </c>
      <c r="EP218" s="48" t="n">
        <f aca="false">IF(EP$8=1,IF(Reales!$C$54="PYG",IF(EP$10&gt;0,N(Reales!EP54)/EP$10,0),N(Reales!EP54)),EP$193*IF(AND(AND(141&gt;Corte,141&lt;=Corte+n_Ventana),ISNUMBER(Detalle_24m!EP$58)),Detalle_24m!EP$58,INDEX(Precio_V,17)*INDEX(IdxPrecio_V,1,MIN(10,EP$173)))*(1+V_dPrecio))</f>
        <v>0</v>
      </c>
      <c r="EQ218" s="48" t="n">
        <f aca="false">IF(EQ$8=1,IF(Reales!$C$54="PYG",IF(EQ$10&gt;0,N(Reales!EQ54)/EQ$10,0),N(Reales!EQ54)),EQ$193*IF(AND(AND(142&gt;Corte,142&lt;=Corte+n_Ventana),ISNUMBER(Detalle_24m!EQ$58)),Detalle_24m!EQ$58,INDEX(Precio_V,17)*INDEX(IdxPrecio_V,1,MIN(10,EQ$173)))*(1+V_dPrecio))</f>
        <v>0</v>
      </c>
      <c r="ER218" s="48" t="n">
        <f aca="false">IF(ER$8=1,IF(Reales!$C$54="PYG",IF(ER$10&gt;0,N(Reales!ER54)/ER$10,0),N(Reales!ER54)),ER$193*IF(AND(AND(143&gt;Corte,143&lt;=Corte+n_Ventana),ISNUMBER(Detalle_24m!ER$58)),Detalle_24m!ER$58,INDEX(Precio_V,17)*INDEX(IdxPrecio_V,1,MIN(10,ER$173)))*(1+V_dPrecio))</f>
        <v>0</v>
      </c>
      <c r="ES218" s="48" t="n">
        <f aca="false">IF(ES$8=1,IF(Reales!$C$54="PYG",IF(ES$10&gt;0,N(Reales!ES54)/ES$10,0),N(Reales!ES54)),ES$193*IF(AND(AND(144&gt;Corte,144&lt;=Corte+n_Ventana),ISNUMBER(Detalle_24m!ES$58)),Detalle_24m!ES$58,INDEX(Precio_V,17)*INDEX(IdxPrecio_V,1,MIN(10,ES$173)))*(1+V_dPrecio))</f>
        <v>0</v>
      </c>
    </row>
    <row r="219" customFormat="false" ht="15" hidden="false" customHeight="false" outlineLevel="0" collapsed="false">
      <c r="A219" s="11" t="s">
        <v>1342</v>
      </c>
      <c r="B219" s="53" t="str">
        <f aca="false">IF(INDEX(Prod_Nombre,18)="","Producto 18",INDEX(Prod_Nombre,18))&amp;" — ventas USD"</f>
        <v>Producto 18 — ventas USD</v>
      </c>
      <c r="C219" s="15" t="s">
        <v>508</v>
      </c>
      <c r="E219" s="54" t="n">
        <f aca="false">SUM(F219:ES219)</f>
        <v>0</v>
      </c>
      <c r="F219" s="48" t="n">
        <f aca="false">IF(F$8=1,IF(Reales!$C$55="PYG",IF(F$10&gt;0,N(Reales!F55)/F$10,0),N(Reales!F55)),F$194*IF(AND(AND(1&gt;Corte,1&lt;=Corte+n_Ventana),ISNUMBER(Detalle_24m!F$59)),Detalle_24m!F$59,INDEX(Precio_V,18)*INDEX(IdxPrecio_V,1,MIN(10,F$173)))*(1+V_dPrecio))</f>
        <v>0</v>
      </c>
      <c r="G219" s="48" t="n">
        <f aca="false">IF(G$8=1,IF(Reales!$C$55="PYG",IF(G$10&gt;0,N(Reales!G55)/G$10,0),N(Reales!G55)),G$194*IF(AND(AND(2&gt;Corte,2&lt;=Corte+n_Ventana),ISNUMBER(Detalle_24m!G$59)),Detalle_24m!G$59,INDEX(Precio_V,18)*INDEX(IdxPrecio_V,1,MIN(10,G$173)))*(1+V_dPrecio))</f>
        <v>0</v>
      </c>
      <c r="H219" s="48" t="n">
        <f aca="false">IF(H$8=1,IF(Reales!$C$55="PYG",IF(H$10&gt;0,N(Reales!H55)/H$10,0),N(Reales!H55)),H$194*IF(AND(AND(3&gt;Corte,3&lt;=Corte+n_Ventana),ISNUMBER(Detalle_24m!H$59)),Detalle_24m!H$59,INDEX(Precio_V,18)*INDEX(IdxPrecio_V,1,MIN(10,H$173)))*(1+V_dPrecio))</f>
        <v>0</v>
      </c>
      <c r="I219" s="48" t="n">
        <f aca="false">IF(I$8=1,IF(Reales!$C$55="PYG",IF(I$10&gt;0,N(Reales!I55)/I$10,0),N(Reales!I55)),I$194*IF(AND(AND(4&gt;Corte,4&lt;=Corte+n_Ventana),ISNUMBER(Detalle_24m!I$59)),Detalle_24m!I$59,INDEX(Precio_V,18)*INDEX(IdxPrecio_V,1,MIN(10,I$173)))*(1+V_dPrecio))</f>
        <v>0</v>
      </c>
      <c r="J219" s="48" t="n">
        <f aca="false">IF(J$8=1,IF(Reales!$C$55="PYG",IF(J$10&gt;0,N(Reales!J55)/J$10,0),N(Reales!J55)),J$194*IF(AND(AND(5&gt;Corte,5&lt;=Corte+n_Ventana),ISNUMBER(Detalle_24m!J$59)),Detalle_24m!J$59,INDEX(Precio_V,18)*INDEX(IdxPrecio_V,1,MIN(10,J$173)))*(1+V_dPrecio))</f>
        <v>0</v>
      </c>
      <c r="K219" s="48" t="n">
        <f aca="false">IF(K$8=1,IF(Reales!$C$55="PYG",IF(K$10&gt;0,N(Reales!K55)/K$10,0),N(Reales!K55)),K$194*IF(AND(AND(6&gt;Corte,6&lt;=Corte+n_Ventana),ISNUMBER(Detalle_24m!K$59)),Detalle_24m!K$59,INDEX(Precio_V,18)*INDEX(IdxPrecio_V,1,MIN(10,K$173)))*(1+V_dPrecio))</f>
        <v>0</v>
      </c>
      <c r="L219" s="48" t="n">
        <f aca="false">IF(L$8=1,IF(Reales!$C$55="PYG",IF(L$10&gt;0,N(Reales!L55)/L$10,0),N(Reales!L55)),L$194*IF(AND(AND(7&gt;Corte,7&lt;=Corte+n_Ventana),ISNUMBER(Detalle_24m!L$59)),Detalle_24m!L$59,INDEX(Precio_V,18)*INDEX(IdxPrecio_V,1,MIN(10,L$173)))*(1+V_dPrecio))</f>
        <v>0</v>
      </c>
      <c r="M219" s="48" t="n">
        <f aca="false">IF(M$8=1,IF(Reales!$C$55="PYG",IF(M$10&gt;0,N(Reales!M55)/M$10,0),N(Reales!M55)),M$194*IF(AND(AND(8&gt;Corte,8&lt;=Corte+n_Ventana),ISNUMBER(Detalle_24m!M$59)),Detalle_24m!M$59,INDEX(Precio_V,18)*INDEX(IdxPrecio_V,1,MIN(10,M$173)))*(1+V_dPrecio))</f>
        <v>0</v>
      </c>
      <c r="N219" s="48" t="n">
        <f aca="false">IF(N$8=1,IF(Reales!$C$55="PYG",IF(N$10&gt;0,N(Reales!N55)/N$10,0),N(Reales!N55)),N$194*IF(AND(AND(9&gt;Corte,9&lt;=Corte+n_Ventana),ISNUMBER(Detalle_24m!N$59)),Detalle_24m!N$59,INDEX(Precio_V,18)*INDEX(IdxPrecio_V,1,MIN(10,N$173)))*(1+V_dPrecio))</f>
        <v>0</v>
      </c>
      <c r="O219" s="48" t="n">
        <f aca="false">IF(O$8=1,IF(Reales!$C$55="PYG",IF(O$10&gt;0,N(Reales!O55)/O$10,0),N(Reales!O55)),O$194*IF(AND(AND(10&gt;Corte,10&lt;=Corte+n_Ventana),ISNUMBER(Detalle_24m!O$59)),Detalle_24m!O$59,INDEX(Precio_V,18)*INDEX(IdxPrecio_V,1,MIN(10,O$173)))*(1+V_dPrecio))</f>
        <v>0</v>
      </c>
      <c r="P219" s="48" t="n">
        <f aca="false">IF(P$8=1,IF(Reales!$C$55="PYG",IF(P$10&gt;0,N(Reales!P55)/P$10,0),N(Reales!P55)),P$194*IF(AND(AND(11&gt;Corte,11&lt;=Corte+n_Ventana),ISNUMBER(Detalle_24m!P$59)),Detalle_24m!P$59,INDEX(Precio_V,18)*INDEX(IdxPrecio_V,1,MIN(10,P$173)))*(1+V_dPrecio))</f>
        <v>0</v>
      </c>
      <c r="Q219" s="48" t="n">
        <f aca="false">IF(Q$8=1,IF(Reales!$C$55="PYG",IF(Q$10&gt;0,N(Reales!Q55)/Q$10,0),N(Reales!Q55)),Q$194*IF(AND(AND(12&gt;Corte,12&lt;=Corte+n_Ventana),ISNUMBER(Detalle_24m!Q$59)),Detalle_24m!Q$59,INDEX(Precio_V,18)*INDEX(IdxPrecio_V,1,MIN(10,Q$173)))*(1+V_dPrecio))</f>
        <v>0</v>
      </c>
      <c r="R219" s="48" t="n">
        <f aca="false">IF(R$8=1,IF(Reales!$C$55="PYG",IF(R$10&gt;0,N(Reales!R55)/R$10,0),N(Reales!R55)),R$194*IF(AND(AND(13&gt;Corte,13&lt;=Corte+n_Ventana),ISNUMBER(Detalle_24m!R$59)),Detalle_24m!R$59,INDEX(Precio_V,18)*INDEX(IdxPrecio_V,1,MIN(10,R$173)))*(1+V_dPrecio))</f>
        <v>0</v>
      </c>
      <c r="S219" s="48" t="n">
        <f aca="false">IF(S$8=1,IF(Reales!$C$55="PYG",IF(S$10&gt;0,N(Reales!S55)/S$10,0),N(Reales!S55)),S$194*IF(AND(AND(14&gt;Corte,14&lt;=Corte+n_Ventana),ISNUMBER(Detalle_24m!S$59)),Detalle_24m!S$59,INDEX(Precio_V,18)*INDEX(IdxPrecio_V,1,MIN(10,S$173)))*(1+V_dPrecio))</f>
        <v>0</v>
      </c>
      <c r="T219" s="48" t="n">
        <f aca="false">IF(T$8=1,IF(Reales!$C$55="PYG",IF(T$10&gt;0,N(Reales!T55)/T$10,0),N(Reales!T55)),T$194*IF(AND(AND(15&gt;Corte,15&lt;=Corte+n_Ventana),ISNUMBER(Detalle_24m!T$59)),Detalle_24m!T$59,INDEX(Precio_V,18)*INDEX(IdxPrecio_V,1,MIN(10,T$173)))*(1+V_dPrecio))</f>
        <v>0</v>
      </c>
      <c r="U219" s="48" t="n">
        <f aca="false">IF(U$8=1,IF(Reales!$C$55="PYG",IF(U$10&gt;0,N(Reales!U55)/U$10,0),N(Reales!U55)),U$194*IF(AND(AND(16&gt;Corte,16&lt;=Corte+n_Ventana),ISNUMBER(Detalle_24m!U$59)),Detalle_24m!U$59,INDEX(Precio_V,18)*INDEX(IdxPrecio_V,1,MIN(10,U$173)))*(1+V_dPrecio))</f>
        <v>0</v>
      </c>
      <c r="V219" s="48" t="n">
        <f aca="false">IF(V$8=1,IF(Reales!$C$55="PYG",IF(V$10&gt;0,N(Reales!V55)/V$10,0),N(Reales!V55)),V$194*IF(AND(AND(17&gt;Corte,17&lt;=Corte+n_Ventana),ISNUMBER(Detalle_24m!V$59)),Detalle_24m!V$59,INDEX(Precio_V,18)*INDEX(IdxPrecio_V,1,MIN(10,V$173)))*(1+V_dPrecio))</f>
        <v>0</v>
      </c>
      <c r="W219" s="48" t="n">
        <f aca="false">IF(W$8=1,IF(Reales!$C$55="PYG",IF(W$10&gt;0,N(Reales!W55)/W$10,0),N(Reales!W55)),W$194*IF(AND(AND(18&gt;Corte,18&lt;=Corte+n_Ventana),ISNUMBER(Detalle_24m!W$59)),Detalle_24m!W$59,INDEX(Precio_V,18)*INDEX(IdxPrecio_V,1,MIN(10,W$173)))*(1+V_dPrecio))</f>
        <v>0</v>
      </c>
      <c r="X219" s="48" t="n">
        <f aca="false">IF(X$8=1,IF(Reales!$C$55="PYG",IF(X$10&gt;0,N(Reales!X55)/X$10,0),N(Reales!X55)),X$194*IF(AND(AND(19&gt;Corte,19&lt;=Corte+n_Ventana),ISNUMBER(Detalle_24m!X$59)),Detalle_24m!X$59,INDEX(Precio_V,18)*INDEX(IdxPrecio_V,1,MIN(10,X$173)))*(1+V_dPrecio))</f>
        <v>0</v>
      </c>
      <c r="Y219" s="48" t="n">
        <f aca="false">IF(Y$8=1,IF(Reales!$C$55="PYG",IF(Y$10&gt;0,N(Reales!Y55)/Y$10,0),N(Reales!Y55)),Y$194*IF(AND(AND(20&gt;Corte,20&lt;=Corte+n_Ventana),ISNUMBER(Detalle_24m!Y$59)),Detalle_24m!Y$59,INDEX(Precio_V,18)*INDEX(IdxPrecio_V,1,MIN(10,Y$173)))*(1+V_dPrecio))</f>
        <v>0</v>
      </c>
      <c r="Z219" s="48" t="n">
        <f aca="false">IF(Z$8=1,IF(Reales!$C$55="PYG",IF(Z$10&gt;0,N(Reales!Z55)/Z$10,0),N(Reales!Z55)),Z$194*IF(AND(AND(21&gt;Corte,21&lt;=Corte+n_Ventana),ISNUMBER(Detalle_24m!Z$59)),Detalle_24m!Z$59,INDEX(Precio_V,18)*INDEX(IdxPrecio_V,1,MIN(10,Z$173)))*(1+V_dPrecio))</f>
        <v>0</v>
      </c>
      <c r="AA219" s="48" t="n">
        <f aca="false">IF(AA$8=1,IF(Reales!$C$55="PYG",IF(AA$10&gt;0,N(Reales!AA55)/AA$10,0),N(Reales!AA55)),AA$194*IF(AND(AND(22&gt;Corte,22&lt;=Corte+n_Ventana),ISNUMBER(Detalle_24m!AA$59)),Detalle_24m!AA$59,INDEX(Precio_V,18)*INDEX(IdxPrecio_V,1,MIN(10,AA$173)))*(1+V_dPrecio))</f>
        <v>0</v>
      </c>
      <c r="AB219" s="48" t="n">
        <f aca="false">IF(AB$8=1,IF(Reales!$C$55="PYG",IF(AB$10&gt;0,N(Reales!AB55)/AB$10,0),N(Reales!AB55)),AB$194*IF(AND(AND(23&gt;Corte,23&lt;=Corte+n_Ventana),ISNUMBER(Detalle_24m!AB$59)),Detalle_24m!AB$59,INDEX(Precio_V,18)*INDEX(IdxPrecio_V,1,MIN(10,AB$173)))*(1+V_dPrecio))</f>
        <v>0</v>
      </c>
      <c r="AC219" s="48" t="n">
        <f aca="false">IF(AC$8=1,IF(Reales!$C$55="PYG",IF(AC$10&gt;0,N(Reales!AC55)/AC$10,0),N(Reales!AC55)),AC$194*IF(AND(AND(24&gt;Corte,24&lt;=Corte+n_Ventana),ISNUMBER(Detalle_24m!AC$59)),Detalle_24m!AC$59,INDEX(Precio_V,18)*INDEX(IdxPrecio_V,1,MIN(10,AC$173)))*(1+V_dPrecio))</f>
        <v>0</v>
      </c>
      <c r="AD219" s="48" t="n">
        <f aca="false">IF(AD$8=1,IF(Reales!$C$55="PYG",IF(AD$10&gt;0,N(Reales!AD55)/AD$10,0),N(Reales!AD55)),AD$194*IF(AND(AND(25&gt;Corte,25&lt;=Corte+n_Ventana),ISNUMBER(Detalle_24m!AD$59)),Detalle_24m!AD$59,INDEX(Precio_V,18)*INDEX(IdxPrecio_V,1,MIN(10,AD$173)))*(1+V_dPrecio))</f>
        <v>0</v>
      </c>
      <c r="AE219" s="48" t="n">
        <f aca="false">IF(AE$8=1,IF(Reales!$C$55="PYG",IF(AE$10&gt;0,N(Reales!AE55)/AE$10,0),N(Reales!AE55)),AE$194*IF(AND(AND(26&gt;Corte,26&lt;=Corte+n_Ventana),ISNUMBER(Detalle_24m!AE$59)),Detalle_24m!AE$59,INDEX(Precio_V,18)*INDEX(IdxPrecio_V,1,MIN(10,AE$173)))*(1+V_dPrecio))</f>
        <v>0</v>
      </c>
      <c r="AF219" s="48" t="n">
        <f aca="false">IF(AF$8=1,IF(Reales!$C$55="PYG",IF(AF$10&gt;0,N(Reales!AF55)/AF$10,0),N(Reales!AF55)),AF$194*IF(AND(AND(27&gt;Corte,27&lt;=Corte+n_Ventana),ISNUMBER(Detalle_24m!AF$59)),Detalle_24m!AF$59,INDEX(Precio_V,18)*INDEX(IdxPrecio_V,1,MIN(10,AF$173)))*(1+V_dPrecio))</f>
        <v>0</v>
      </c>
      <c r="AG219" s="48" t="n">
        <f aca="false">IF(AG$8=1,IF(Reales!$C$55="PYG",IF(AG$10&gt;0,N(Reales!AG55)/AG$10,0),N(Reales!AG55)),AG$194*IF(AND(AND(28&gt;Corte,28&lt;=Corte+n_Ventana),ISNUMBER(Detalle_24m!AG$59)),Detalle_24m!AG$59,INDEX(Precio_V,18)*INDEX(IdxPrecio_V,1,MIN(10,AG$173)))*(1+V_dPrecio))</f>
        <v>0</v>
      </c>
      <c r="AH219" s="48" t="n">
        <f aca="false">IF(AH$8=1,IF(Reales!$C$55="PYG",IF(AH$10&gt;0,N(Reales!AH55)/AH$10,0),N(Reales!AH55)),AH$194*IF(AND(AND(29&gt;Corte,29&lt;=Corte+n_Ventana),ISNUMBER(Detalle_24m!AH$59)),Detalle_24m!AH$59,INDEX(Precio_V,18)*INDEX(IdxPrecio_V,1,MIN(10,AH$173)))*(1+V_dPrecio))</f>
        <v>0</v>
      </c>
      <c r="AI219" s="48" t="n">
        <f aca="false">IF(AI$8=1,IF(Reales!$C$55="PYG",IF(AI$10&gt;0,N(Reales!AI55)/AI$10,0),N(Reales!AI55)),AI$194*IF(AND(AND(30&gt;Corte,30&lt;=Corte+n_Ventana),ISNUMBER(Detalle_24m!AI$59)),Detalle_24m!AI$59,INDEX(Precio_V,18)*INDEX(IdxPrecio_V,1,MIN(10,AI$173)))*(1+V_dPrecio))</f>
        <v>0</v>
      </c>
      <c r="AJ219" s="48" t="n">
        <f aca="false">IF(AJ$8=1,IF(Reales!$C$55="PYG",IF(AJ$10&gt;0,N(Reales!AJ55)/AJ$10,0),N(Reales!AJ55)),AJ$194*IF(AND(AND(31&gt;Corte,31&lt;=Corte+n_Ventana),ISNUMBER(Detalle_24m!AJ$59)),Detalle_24m!AJ$59,INDEX(Precio_V,18)*INDEX(IdxPrecio_V,1,MIN(10,AJ$173)))*(1+V_dPrecio))</f>
        <v>0</v>
      </c>
      <c r="AK219" s="48" t="n">
        <f aca="false">IF(AK$8=1,IF(Reales!$C$55="PYG",IF(AK$10&gt;0,N(Reales!AK55)/AK$10,0),N(Reales!AK55)),AK$194*IF(AND(AND(32&gt;Corte,32&lt;=Corte+n_Ventana),ISNUMBER(Detalle_24m!AK$59)),Detalle_24m!AK$59,INDEX(Precio_V,18)*INDEX(IdxPrecio_V,1,MIN(10,AK$173)))*(1+V_dPrecio))</f>
        <v>0</v>
      </c>
      <c r="AL219" s="48" t="n">
        <f aca="false">IF(AL$8=1,IF(Reales!$C$55="PYG",IF(AL$10&gt;0,N(Reales!AL55)/AL$10,0),N(Reales!AL55)),AL$194*IF(AND(AND(33&gt;Corte,33&lt;=Corte+n_Ventana),ISNUMBER(Detalle_24m!AL$59)),Detalle_24m!AL$59,INDEX(Precio_V,18)*INDEX(IdxPrecio_V,1,MIN(10,AL$173)))*(1+V_dPrecio))</f>
        <v>0</v>
      </c>
      <c r="AM219" s="48" t="n">
        <f aca="false">IF(AM$8=1,IF(Reales!$C$55="PYG",IF(AM$10&gt;0,N(Reales!AM55)/AM$10,0),N(Reales!AM55)),AM$194*IF(AND(AND(34&gt;Corte,34&lt;=Corte+n_Ventana),ISNUMBER(Detalle_24m!AM$59)),Detalle_24m!AM$59,INDEX(Precio_V,18)*INDEX(IdxPrecio_V,1,MIN(10,AM$173)))*(1+V_dPrecio))</f>
        <v>0</v>
      </c>
      <c r="AN219" s="48" t="n">
        <f aca="false">IF(AN$8=1,IF(Reales!$C$55="PYG",IF(AN$10&gt;0,N(Reales!AN55)/AN$10,0),N(Reales!AN55)),AN$194*IF(AND(AND(35&gt;Corte,35&lt;=Corte+n_Ventana),ISNUMBER(Detalle_24m!AN$59)),Detalle_24m!AN$59,INDEX(Precio_V,18)*INDEX(IdxPrecio_V,1,MIN(10,AN$173)))*(1+V_dPrecio))</f>
        <v>0</v>
      </c>
      <c r="AO219" s="48" t="n">
        <f aca="false">IF(AO$8=1,IF(Reales!$C$55="PYG",IF(AO$10&gt;0,N(Reales!AO55)/AO$10,0),N(Reales!AO55)),AO$194*IF(AND(AND(36&gt;Corte,36&lt;=Corte+n_Ventana),ISNUMBER(Detalle_24m!AO$59)),Detalle_24m!AO$59,INDEX(Precio_V,18)*INDEX(IdxPrecio_V,1,MIN(10,AO$173)))*(1+V_dPrecio))</f>
        <v>0</v>
      </c>
      <c r="AP219" s="48" t="n">
        <f aca="false">IF(AP$8=1,IF(Reales!$C$55="PYG",IF(AP$10&gt;0,N(Reales!AP55)/AP$10,0),N(Reales!AP55)),AP$194*IF(AND(AND(37&gt;Corte,37&lt;=Corte+n_Ventana),ISNUMBER(Detalle_24m!AP$59)),Detalle_24m!AP$59,INDEX(Precio_V,18)*INDEX(IdxPrecio_V,1,MIN(10,AP$173)))*(1+V_dPrecio))</f>
        <v>0</v>
      </c>
      <c r="AQ219" s="48" t="n">
        <f aca="false">IF(AQ$8=1,IF(Reales!$C$55="PYG",IF(AQ$10&gt;0,N(Reales!AQ55)/AQ$10,0),N(Reales!AQ55)),AQ$194*IF(AND(AND(38&gt;Corte,38&lt;=Corte+n_Ventana),ISNUMBER(Detalle_24m!AQ$59)),Detalle_24m!AQ$59,INDEX(Precio_V,18)*INDEX(IdxPrecio_V,1,MIN(10,AQ$173)))*(1+V_dPrecio))</f>
        <v>0</v>
      </c>
      <c r="AR219" s="48" t="n">
        <f aca="false">IF(AR$8=1,IF(Reales!$C$55="PYG",IF(AR$10&gt;0,N(Reales!AR55)/AR$10,0),N(Reales!AR55)),AR$194*IF(AND(AND(39&gt;Corte,39&lt;=Corte+n_Ventana),ISNUMBER(Detalle_24m!AR$59)),Detalle_24m!AR$59,INDEX(Precio_V,18)*INDEX(IdxPrecio_V,1,MIN(10,AR$173)))*(1+V_dPrecio))</f>
        <v>0</v>
      </c>
      <c r="AS219" s="48" t="n">
        <f aca="false">IF(AS$8=1,IF(Reales!$C$55="PYG",IF(AS$10&gt;0,N(Reales!AS55)/AS$10,0),N(Reales!AS55)),AS$194*IF(AND(AND(40&gt;Corte,40&lt;=Corte+n_Ventana),ISNUMBER(Detalle_24m!AS$59)),Detalle_24m!AS$59,INDEX(Precio_V,18)*INDEX(IdxPrecio_V,1,MIN(10,AS$173)))*(1+V_dPrecio))</f>
        <v>0</v>
      </c>
      <c r="AT219" s="48" t="n">
        <f aca="false">IF(AT$8=1,IF(Reales!$C$55="PYG",IF(AT$10&gt;0,N(Reales!AT55)/AT$10,0),N(Reales!AT55)),AT$194*IF(AND(AND(41&gt;Corte,41&lt;=Corte+n_Ventana),ISNUMBER(Detalle_24m!AT$59)),Detalle_24m!AT$59,INDEX(Precio_V,18)*INDEX(IdxPrecio_V,1,MIN(10,AT$173)))*(1+V_dPrecio))</f>
        <v>0</v>
      </c>
      <c r="AU219" s="48" t="n">
        <f aca="false">IF(AU$8=1,IF(Reales!$C$55="PYG",IF(AU$10&gt;0,N(Reales!AU55)/AU$10,0),N(Reales!AU55)),AU$194*IF(AND(AND(42&gt;Corte,42&lt;=Corte+n_Ventana),ISNUMBER(Detalle_24m!AU$59)),Detalle_24m!AU$59,INDEX(Precio_V,18)*INDEX(IdxPrecio_V,1,MIN(10,AU$173)))*(1+V_dPrecio))</f>
        <v>0</v>
      </c>
      <c r="AV219" s="48" t="n">
        <f aca="false">IF(AV$8=1,IF(Reales!$C$55="PYG",IF(AV$10&gt;0,N(Reales!AV55)/AV$10,0),N(Reales!AV55)),AV$194*IF(AND(AND(43&gt;Corte,43&lt;=Corte+n_Ventana),ISNUMBER(Detalle_24m!AV$59)),Detalle_24m!AV$59,INDEX(Precio_V,18)*INDEX(IdxPrecio_V,1,MIN(10,AV$173)))*(1+V_dPrecio))</f>
        <v>0</v>
      </c>
      <c r="AW219" s="48" t="n">
        <f aca="false">IF(AW$8=1,IF(Reales!$C$55="PYG",IF(AW$10&gt;0,N(Reales!AW55)/AW$10,0),N(Reales!AW55)),AW$194*IF(AND(AND(44&gt;Corte,44&lt;=Corte+n_Ventana),ISNUMBER(Detalle_24m!AW$59)),Detalle_24m!AW$59,INDEX(Precio_V,18)*INDEX(IdxPrecio_V,1,MIN(10,AW$173)))*(1+V_dPrecio))</f>
        <v>0</v>
      </c>
      <c r="AX219" s="48" t="n">
        <f aca="false">IF(AX$8=1,IF(Reales!$C$55="PYG",IF(AX$10&gt;0,N(Reales!AX55)/AX$10,0),N(Reales!AX55)),AX$194*IF(AND(AND(45&gt;Corte,45&lt;=Corte+n_Ventana),ISNUMBER(Detalle_24m!AX$59)),Detalle_24m!AX$59,INDEX(Precio_V,18)*INDEX(IdxPrecio_V,1,MIN(10,AX$173)))*(1+V_dPrecio))</f>
        <v>0</v>
      </c>
      <c r="AY219" s="48" t="n">
        <f aca="false">IF(AY$8=1,IF(Reales!$C$55="PYG",IF(AY$10&gt;0,N(Reales!AY55)/AY$10,0),N(Reales!AY55)),AY$194*IF(AND(AND(46&gt;Corte,46&lt;=Corte+n_Ventana),ISNUMBER(Detalle_24m!AY$59)),Detalle_24m!AY$59,INDEX(Precio_V,18)*INDEX(IdxPrecio_V,1,MIN(10,AY$173)))*(1+V_dPrecio))</f>
        <v>0</v>
      </c>
      <c r="AZ219" s="48" t="n">
        <f aca="false">IF(AZ$8=1,IF(Reales!$C$55="PYG",IF(AZ$10&gt;0,N(Reales!AZ55)/AZ$10,0),N(Reales!AZ55)),AZ$194*IF(AND(AND(47&gt;Corte,47&lt;=Corte+n_Ventana),ISNUMBER(Detalle_24m!AZ$59)),Detalle_24m!AZ$59,INDEX(Precio_V,18)*INDEX(IdxPrecio_V,1,MIN(10,AZ$173)))*(1+V_dPrecio))</f>
        <v>0</v>
      </c>
      <c r="BA219" s="48" t="n">
        <f aca="false">IF(BA$8=1,IF(Reales!$C$55="PYG",IF(BA$10&gt;0,N(Reales!BA55)/BA$10,0),N(Reales!BA55)),BA$194*IF(AND(AND(48&gt;Corte,48&lt;=Corte+n_Ventana),ISNUMBER(Detalle_24m!BA$59)),Detalle_24m!BA$59,INDEX(Precio_V,18)*INDEX(IdxPrecio_V,1,MIN(10,BA$173)))*(1+V_dPrecio))</f>
        <v>0</v>
      </c>
      <c r="BB219" s="48" t="n">
        <f aca="false">IF(BB$8=1,IF(Reales!$C$55="PYG",IF(BB$10&gt;0,N(Reales!BB55)/BB$10,0),N(Reales!BB55)),BB$194*IF(AND(AND(49&gt;Corte,49&lt;=Corte+n_Ventana),ISNUMBER(Detalle_24m!BB$59)),Detalle_24m!BB$59,INDEX(Precio_V,18)*INDEX(IdxPrecio_V,1,MIN(10,BB$173)))*(1+V_dPrecio))</f>
        <v>0</v>
      </c>
      <c r="BC219" s="48" t="n">
        <f aca="false">IF(BC$8=1,IF(Reales!$C$55="PYG",IF(BC$10&gt;0,N(Reales!BC55)/BC$10,0),N(Reales!BC55)),BC$194*IF(AND(AND(50&gt;Corte,50&lt;=Corte+n_Ventana),ISNUMBER(Detalle_24m!BC$59)),Detalle_24m!BC$59,INDEX(Precio_V,18)*INDEX(IdxPrecio_V,1,MIN(10,BC$173)))*(1+V_dPrecio))</f>
        <v>0</v>
      </c>
      <c r="BD219" s="48" t="n">
        <f aca="false">IF(BD$8=1,IF(Reales!$C$55="PYG",IF(BD$10&gt;0,N(Reales!BD55)/BD$10,0),N(Reales!BD55)),BD$194*IF(AND(AND(51&gt;Corte,51&lt;=Corte+n_Ventana),ISNUMBER(Detalle_24m!BD$59)),Detalle_24m!BD$59,INDEX(Precio_V,18)*INDEX(IdxPrecio_V,1,MIN(10,BD$173)))*(1+V_dPrecio))</f>
        <v>0</v>
      </c>
      <c r="BE219" s="48" t="n">
        <f aca="false">IF(BE$8=1,IF(Reales!$C$55="PYG",IF(BE$10&gt;0,N(Reales!BE55)/BE$10,0),N(Reales!BE55)),BE$194*IF(AND(AND(52&gt;Corte,52&lt;=Corte+n_Ventana),ISNUMBER(Detalle_24m!BE$59)),Detalle_24m!BE$59,INDEX(Precio_V,18)*INDEX(IdxPrecio_V,1,MIN(10,BE$173)))*(1+V_dPrecio))</f>
        <v>0</v>
      </c>
      <c r="BF219" s="48" t="n">
        <f aca="false">IF(BF$8=1,IF(Reales!$C$55="PYG",IF(BF$10&gt;0,N(Reales!BF55)/BF$10,0),N(Reales!BF55)),BF$194*IF(AND(AND(53&gt;Corte,53&lt;=Corte+n_Ventana),ISNUMBER(Detalle_24m!BF$59)),Detalle_24m!BF$59,INDEX(Precio_V,18)*INDEX(IdxPrecio_V,1,MIN(10,BF$173)))*(1+V_dPrecio))</f>
        <v>0</v>
      </c>
      <c r="BG219" s="48" t="n">
        <f aca="false">IF(BG$8=1,IF(Reales!$C$55="PYG",IF(BG$10&gt;0,N(Reales!BG55)/BG$10,0),N(Reales!BG55)),BG$194*IF(AND(AND(54&gt;Corte,54&lt;=Corte+n_Ventana),ISNUMBER(Detalle_24m!BG$59)),Detalle_24m!BG$59,INDEX(Precio_V,18)*INDEX(IdxPrecio_V,1,MIN(10,BG$173)))*(1+V_dPrecio))</f>
        <v>0</v>
      </c>
      <c r="BH219" s="48" t="n">
        <f aca="false">IF(BH$8=1,IF(Reales!$C$55="PYG",IF(BH$10&gt;0,N(Reales!BH55)/BH$10,0),N(Reales!BH55)),BH$194*IF(AND(AND(55&gt;Corte,55&lt;=Corte+n_Ventana),ISNUMBER(Detalle_24m!BH$59)),Detalle_24m!BH$59,INDEX(Precio_V,18)*INDEX(IdxPrecio_V,1,MIN(10,BH$173)))*(1+V_dPrecio))</f>
        <v>0</v>
      </c>
      <c r="BI219" s="48" t="n">
        <f aca="false">IF(BI$8=1,IF(Reales!$C$55="PYG",IF(BI$10&gt;0,N(Reales!BI55)/BI$10,0),N(Reales!BI55)),BI$194*IF(AND(AND(56&gt;Corte,56&lt;=Corte+n_Ventana),ISNUMBER(Detalle_24m!BI$59)),Detalle_24m!BI$59,INDEX(Precio_V,18)*INDEX(IdxPrecio_V,1,MIN(10,BI$173)))*(1+V_dPrecio))</f>
        <v>0</v>
      </c>
      <c r="BJ219" s="48" t="n">
        <f aca="false">IF(BJ$8=1,IF(Reales!$C$55="PYG",IF(BJ$10&gt;0,N(Reales!BJ55)/BJ$10,0),N(Reales!BJ55)),BJ$194*IF(AND(AND(57&gt;Corte,57&lt;=Corte+n_Ventana),ISNUMBER(Detalle_24m!BJ$59)),Detalle_24m!BJ$59,INDEX(Precio_V,18)*INDEX(IdxPrecio_V,1,MIN(10,BJ$173)))*(1+V_dPrecio))</f>
        <v>0</v>
      </c>
      <c r="BK219" s="48" t="n">
        <f aca="false">IF(BK$8=1,IF(Reales!$C$55="PYG",IF(BK$10&gt;0,N(Reales!BK55)/BK$10,0),N(Reales!BK55)),BK$194*IF(AND(AND(58&gt;Corte,58&lt;=Corte+n_Ventana),ISNUMBER(Detalle_24m!BK$59)),Detalle_24m!BK$59,INDEX(Precio_V,18)*INDEX(IdxPrecio_V,1,MIN(10,BK$173)))*(1+V_dPrecio))</f>
        <v>0</v>
      </c>
      <c r="BL219" s="48" t="n">
        <f aca="false">IF(BL$8=1,IF(Reales!$C$55="PYG",IF(BL$10&gt;0,N(Reales!BL55)/BL$10,0),N(Reales!BL55)),BL$194*IF(AND(AND(59&gt;Corte,59&lt;=Corte+n_Ventana),ISNUMBER(Detalle_24m!BL$59)),Detalle_24m!BL$59,INDEX(Precio_V,18)*INDEX(IdxPrecio_V,1,MIN(10,BL$173)))*(1+V_dPrecio))</f>
        <v>0</v>
      </c>
      <c r="BM219" s="48" t="n">
        <f aca="false">IF(BM$8=1,IF(Reales!$C$55="PYG",IF(BM$10&gt;0,N(Reales!BM55)/BM$10,0),N(Reales!BM55)),BM$194*IF(AND(AND(60&gt;Corte,60&lt;=Corte+n_Ventana),ISNUMBER(Detalle_24m!BM$59)),Detalle_24m!BM$59,INDEX(Precio_V,18)*INDEX(IdxPrecio_V,1,MIN(10,BM$173)))*(1+V_dPrecio))</f>
        <v>0</v>
      </c>
      <c r="BN219" s="48" t="n">
        <f aca="false">IF(BN$8=1,IF(Reales!$C$55="PYG",IF(BN$10&gt;0,N(Reales!BN55)/BN$10,0),N(Reales!BN55)),BN$194*IF(AND(AND(61&gt;Corte,61&lt;=Corte+n_Ventana),ISNUMBER(Detalle_24m!BN$59)),Detalle_24m!BN$59,INDEX(Precio_V,18)*INDEX(IdxPrecio_V,1,MIN(10,BN$173)))*(1+V_dPrecio))</f>
        <v>0</v>
      </c>
      <c r="BO219" s="48" t="n">
        <f aca="false">IF(BO$8=1,IF(Reales!$C$55="PYG",IF(BO$10&gt;0,N(Reales!BO55)/BO$10,0),N(Reales!BO55)),BO$194*IF(AND(AND(62&gt;Corte,62&lt;=Corte+n_Ventana),ISNUMBER(Detalle_24m!BO$59)),Detalle_24m!BO$59,INDEX(Precio_V,18)*INDEX(IdxPrecio_V,1,MIN(10,BO$173)))*(1+V_dPrecio))</f>
        <v>0</v>
      </c>
      <c r="BP219" s="48" t="n">
        <f aca="false">IF(BP$8=1,IF(Reales!$C$55="PYG",IF(BP$10&gt;0,N(Reales!BP55)/BP$10,0),N(Reales!BP55)),BP$194*IF(AND(AND(63&gt;Corte,63&lt;=Corte+n_Ventana),ISNUMBER(Detalle_24m!BP$59)),Detalle_24m!BP$59,INDEX(Precio_V,18)*INDEX(IdxPrecio_V,1,MIN(10,BP$173)))*(1+V_dPrecio))</f>
        <v>0</v>
      </c>
      <c r="BQ219" s="48" t="n">
        <f aca="false">IF(BQ$8=1,IF(Reales!$C$55="PYG",IF(BQ$10&gt;0,N(Reales!BQ55)/BQ$10,0),N(Reales!BQ55)),BQ$194*IF(AND(AND(64&gt;Corte,64&lt;=Corte+n_Ventana),ISNUMBER(Detalle_24m!BQ$59)),Detalle_24m!BQ$59,INDEX(Precio_V,18)*INDEX(IdxPrecio_V,1,MIN(10,BQ$173)))*(1+V_dPrecio))</f>
        <v>0</v>
      </c>
      <c r="BR219" s="48" t="n">
        <f aca="false">IF(BR$8=1,IF(Reales!$C$55="PYG",IF(BR$10&gt;0,N(Reales!BR55)/BR$10,0),N(Reales!BR55)),BR$194*IF(AND(AND(65&gt;Corte,65&lt;=Corte+n_Ventana),ISNUMBER(Detalle_24m!BR$59)),Detalle_24m!BR$59,INDEX(Precio_V,18)*INDEX(IdxPrecio_V,1,MIN(10,BR$173)))*(1+V_dPrecio))</f>
        <v>0</v>
      </c>
      <c r="BS219" s="48" t="n">
        <f aca="false">IF(BS$8=1,IF(Reales!$C$55="PYG",IF(BS$10&gt;0,N(Reales!BS55)/BS$10,0),N(Reales!BS55)),BS$194*IF(AND(AND(66&gt;Corte,66&lt;=Corte+n_Ventana),ISNUMBER(Detalle_24m!BS$59)),Detalle_24m!BS$59,INDEX(Precio_V,18)*INDEX(IdxPrecio_V,1,MIN(10,BS$173)))*(1+V_dPrecio))</f>
        <v>0</v>
      </c>
      <c r="BT219" s="48" t="n">
        <f aca="false">IF(BT$8=1,IF(Reales!$C$55="PYG",IF(BT$10&gt;0,N(Reales!BT55)/BT$10,0),N(Reales!BT55)),BT$194*IF(AND(AND(67&gt;Corte,67&lt;=Corte+n_Ventana),ISNUMBER(Detalle_24m!BT$59)),Detalle_24m!BT$59,INDEX(Precio_V,18)*INDEX(IdxPrecio_V,1,MIN(10,BT$173)))*(1+V_dPrecio))</f>
        <v>0</v>
      </c>
      <c r="BU219" s="48" t="n">
        <f aca="false">IF(BU$8=1,IF(Reales!$C$55="PYG",IF(BU$10&gt;0,N(Reales!BU55)/BU$10,0),N(Reales!BU55)),BU$194*IF(AND(AND(68&gt;Corte,68&lt;=Corte+n_Ventana),ISNUMBER(Detalle_24m!BU$59)),Detalle_24m!BU$59,INDEX(Precio_V,18)*INDEX(IdxPrecio_V,1,MIN(10,BU$173)))*(1+V_dPrecio))</f>
        <v>0</v>
      </c>
      <c r="BV219" s="48" t="n">
        <f aca="false">IF(BV$8=1,IF(Reales!$C$55="PYG",IF(BV$10&gt;0,N(Reales!BV55)/BV$10,0),N(Reales!BV55)),BV$194*IF(AND(AND(69&gt;Corte,69&lt;=Corte+n_Ventana),ISNUMBER(Detalle_24m!BV$59)),Detalle_24m!BV$59,INDEX(Precio_V,18)*INDEX(IdxPrecio_V,1,MIN(10,BV$173)))*(1+V_dPrecio))</f>
        <v>0</v>
      </c>
      <c r="BW219" s="48" t="n">
        <f aca="false">IF(BW$8=1,IF(Reales!$C$55="PYG",IF(BW$10&gt;0,N(Reales!BW55)/BW$10,0),N(Reales!BW55)),BW$194*IF(AND(AND(70&gt;Corte,70&lt;=Corte+n_Ventana),ISNUMBER(Detalle_24m!BW$59)),Detalle_24m!BW$59,INDEX(Precio_V,18)*INDEX(IdxPrecio_V,1,MIN(10,BW$173)))*(1+V_dPrecio))</f>
        <v>0</v>
      </c>
      <c r="BX219" s="48" t="n">
        <f aca="false">IF(BX$8=1,IF(Reales!$C$55="PYG",IF(BX$10&gt;0,N(Reales!BX55)/BX$10,0),N(Reales!BX55)),BX$194*IF(AND(AND(71&gt;Corte,71&lt;=Corte+n_Ventana),ISNUMBER(Detalle_24m!BX$59)),Detalle_24m!BX$59,INDEX(Precio_V,18)*INDEX(IdxPrecio_V,1,MIN(10,BX$173)))*(1+V_dPrecio))</f>
        <v>0</v>
      </c>
      <c r="BY219" s="48" t="n">
        <f aca="false">IF(BY$8=1,IF(Reales!$C$55="PYG",IF(BY$10&gt;0,N(Reales!BY55)/BY$10,0),N(Reales!BY55)),BY$194*IF(AND(AND(72&gt;Corte,72&lt;=Corte+n_Ventana),ISNUMBER(Detalle_24m!BY$59)),Detalle_24m!BY$59,INDEX(Precio_V,18)*INDEX(IdxPrecio_V,1,MIN(10,BY$173)))*(1+V_dPrecio))</f>
        <v>0</v>
      </c>
      <c r="BZ219" s="48" t="n">
        <f aca="false">IF(BZ$8=1,IF(Reales!$C$55="PYG",IF(BZ$10&gt;0,N(Reales!BZ55)/BZ$10,0),N(Reales!BZ55)),BZ$194*IF(AND(AND(73&gt;Corte,73&lt;=Corte+n_Ventana),ISNUMBER(Detalle_24m!BZ$59)),Detalle_24m!BZ$59,INDEX(Precio_V,18)*INDEX(IdxPrecio_V,1,MIN(10,BZ$173)))*(1+V_dPrecio))</f>
        <v>0</v>
      </c>
      <c r="CA219" s="48" t="n">
        <f aca="false">IF(CA$8=1,IF(Reales!$C$55="PYG",IF(CA$10&gt;0,N(Reales!CA55)/CA$10,0),N(Reales!CA55)),CA$194*IF(AND(AND(74&gt;Corte,74&lt;=Corte+n_Ventana),ISNUMBER(Detalle_24m!CA$59)),Detalle_24m!CA$59,INDEX(Precio_V,18)*INDEX(IdxPrecio_V,1,MIN(10,CA$173)))*(1+V_dPrecio))</f>
        <v>0</v>
      </c>
      <c r="CB219" s="48" t="n">
        <f aca="false">IF(CB$8=1,IF(Reales!$C$55="PYG",IF(CB$10&gt;0,N(Reales!CB55)/CB$10,0),N(Reales!CB55)),CB$194*IF(AND(AND(75&gt;Corte,75&lt;=Corte+n_Ventana),ISNUMBER(Detalle_24m!CB$59)),Detalle_24m!CB$59,INDEX(Precio_V,18)*INDEX(IdxPrecio_V,1,MIN(10,CB$173)))*(1+V_dPrecio))</f>
        <v>0</v>
      </c>
      <c r="CC219" s="48" t="n">
        <f aca="false">IF(CC$8=1,IF(Reales!$C$55="PYG",IF(CC$10&gt;0,N(Reales!CC55)/CC$10,0),N(Reales!CC55)),CC$194*IF(AND(AND(76&gt;Corte,76&lt;=Corte+n_Ventana),ISNUMBER(Detalle_24m!CC$59)),Detalle_24m!CC$59,INDEX(Precio_V,18)*INDEX(IdxPrecio_V,1,MIN(10,CC$173)))*(1+V_dPrecio))</f>
        <v>0</v>
      </c>
      <c r="CD219" s="48" t="n">
        <f aca="false">IF(CD$8=1,IF(Reales!$C$55="PYG",IF(CD$10&gt;0,N(Reales!CD55)/CD$10,0),N(Reales!CD55)),CD$194*IF(AND(AND(77&gt;Corte,77&lt;=Corte+n_Ventana),ISNUMBER(Detalle_24m!CD$59)),Detalle_24m!CD$59,INDEX(Precio_V,18)*INDEX(IdxPrecio_V,1,MIN(10,CD$173)))*(1+V_dPrecio))</f>
        <v>0</v>
      </c>
      <c r="CE219" s="48" t="n">
        <f aca="false">IF(CE$8=1,IF(Reales!$C$55="PYG",IF(CE$10&gt;0,N(Reales!CE55)/CE$10,0),N(Reales!CE55)),CE$194*IF(AND(AND(78&gt;Corte,78&lt;=Corte+n_Ventana),ISNUMBER(Detalle_24m!CE$59)),Detalle_24m!CE$59,INDEX(Precio_V,18)*INDEX(IdxPrecio_V,1,MIN(10,CE$173)))*(1+V_dPrecio))</f>
        <v>0</v>
      </c>
      <c r="CF219" s="48" t="n">
        <f aca="false">IF(CF$8=1,IF(Reales!$C$55="PYG",IF(CF$10&gt;0,N(Reales!CF55)/CF$10,0),N(Reales!CF55)),CF$194*IF(AND(AND(79&gt;Corte,79&lt;=Corte+n_Ventana),ISNUMBER(Detalle_24m!CF$59)),Detalle_24m!CF$59,INDEX(Precio_V,18)*INDEX(IdxPrecio_V,1,MIN(10,CF$173)))*(1+V_dPrecio))</f>
        <v>0</v>
      </c>
      <c r="CG219" s="48" t="n">
        <f aca="false">IF(CG$8=1,IF(Reales!$C$55="PYG",IF(CG$10&gt;0,N(Reales!CG55)/CG$10,0),N(Reales!CG55)),CG$194*IF(AND(AND(80&gt;Corte,80&lt;=Corte+n_Ventana),ISNUMBER(Detalle_24m!CG$59)),Detalle_24m!CG$59,INDEX(Precio_V,18)*INDEX(IdxPrecio_V,1,MIN(10,CG$173)))*(1+V_dPrecio))</f>
        <v>0</v>
      </c>
      <c r="CH219" s="48" t="n">
        <f aca="false">IF(CH$8=1,IF(Reales!$C$55="PYG",IF(CH$10&gt;0,N(Reales!CH55)/CH$10,0),N(Reales!CH55)),CH$194*IF(AND(AND(81&gt;Corte,81&lt;=Corte+n_Ventana),ISNUMBER(Detalle_24m!CH$59)),Detalle_24m!CH$59,INDEX(Precio_V,18)*INDEX(IdxPrecio_V,1,MIN(10,CH$173)))*(1+V_dPrecio))</f>
        <v>0</v>
      </c>
      <c r="CI219" s="48" t="n">
        <f aca="false">IF(CI$8=1,IF(Reales!$C$55="PYG",IF(CI$10&gt;0,N(Reales!CI55)/CI$10,0),N(Reales!CI55)),CI$194*IF(AND(AND(82&gt;Corte,82&lt;=Corte+n_Ventana),ISNUMBER(Detalle_24m!CI$59)),Detalle_24m!CI$59,INDEX(Precio_V,18)*INDEX(IdxPrecio_V,1,MIN(10,CI$173)))*(1+V_dPrecio))</f>
        <v>0</v>
      </c>
      <c r="CJ219" s="48" t="n">
        <f aca="false">IF(CJ$8=1,IF(Reales!$C$55="PYG",IF(CJ$10&gt;0,N(Reales!CJ55)/CJ$10,0),N(Reales!CJ55)),CJ$194*IF(AND(AND(83&gt;Corte,83&lt;=Corte+n_Ventana),ISNUMBER(Detalle_24m!CJ$59)),Detalle_24m!CJ$59,INDEX(Precio_V,18)*INDEX(IdxPrecio_V,1,MIN(10,CJ$173)))*(1+V_dPrecio))</f>
        <v>0</v>
      </c>
      <c r="CK219" s="48" t="n">
        <f aca="false">IF(CK$8=1,IF(Reales!$C$55="PYG",IF(CK$10&gt;0,N(Reales!CK55)/CK$10,0),N(Reales!CK55)),CK$194*IF(AND(AND(84&gt;Corte,84&lt;=Corte+n_Ventana),ISNUMBER(Detalle_24m!CK$59)),Detalle_24m!CK$59,INDEX(Precio_V,18)*INDEX(IdxPrecio_V,1,MIN(10,CK$173)))*(1+V_dPrecio))</f>
        <v>0</v>
      </c>
      <c r="CL219" s="48" t="n">
        <f aca="false">IF(CL$8=1,IF(Reales!$C$55="PYG",IF(CL$10&gt;0,N(Reales!CL55)/CL$10,0),N(Reales!CL55)),CL$194*IF(AND(AND(85&gt;Corte,85&lt;=Corte+n_Ventana),ISNUMBER(Detalle_24m!CL$59)),Detalle_24m!CL$59,INDEX(Precio_V,18)*INDEX(IdxPrecio_V,1,MIN(10,CL$173)))*(1+V_dPrecio))</f>
        <v>0</v>
      </c>
      <c r="CM219" s="48" t="n">
        <f aca="false">IF(CM$8=1,IF(Reales!$C$55="PYG",IF(CM$10&gt;0,N(Reales!CM55)/CM$10,0),N(Reales!CM55)),CM$194*IF(AND(AND(86&gt;Corte,86&lt;=Corte+n_Ventana),ISNUMBER(Detalle_24m!CM$59)),Detalle_24m!CM$59,INDEX(Precio_V,18)*INDEX(IdxPrecio_V,1,MIN(10,CM$173)))*(1+V_dPrecio))</f>
        <v>0</v>
      </c>
      <c r="CN219" s="48" t="n">
        <f aca="false">IF(CN$8=1,IF(Reales!$C$55="PYG",IF(CN$10&gt;0,N(Reales!CN55)/CN$10,0),N(Reales!CN55)),CN$194*IF(AND(AND(87&gt;Corte,87&lt;=Corte+n_Ventana),ISNUMBER(Detalle_24m!CN$59)),Detalle_24m!CN$59,INDEX(Precio_V,18)*INDEX(IdxPrecio_V,1,MIN(10,CN$173)))*(1+V_dPrecio))</f>
        <v>0</v>
      </c>
      <c r="CO219" s="48" t="n">
        <f aca="false">IF(CO$8=1,IF(Reales!$C$55="PYG",IF(CO$10&gt;0,N(Reales!CO55)/CO$10,0),N(Reales!CO55)),CO$194*IF(AND(AND(88&gt;Corte,88&lt;=Corte+n_Ventana),ISNUMBER(Detalle_24m!CO$59)),Detalle_24m!CO$59,INDEX(Precio_V,18)*INDEX(IdxPrecio_V,1,MIN(10,CO$173)))*(1+V_dPrecio))</f>
        <v>0</v>
      </c>
      <c r="CP219" s="48" t="n">
        <f aca="false">IF(CP$8=1,IF(Reales!$C$55="PYG",IF(CP$10&gt;0,N(Reales!CP55)/CP$10,0),N(Reales!CP55)),CP$194*IF(AND(AND(89&gt;Corte,89&lt;=Corte+n_Ventana),ISNUMBER(Detalle_24m!CP$59)),Detalle_24m!CP$59,INDEX(Precio_V,18)*INDEX(IdxPrecio_V,1,MIN(10,CP$173)))*(1+V_dPrecio))</f>
        <v>0</v>
      </c>
      <c r="CQ219" s="48" t="n">
        <f aca="false">IF(CQ$8=1,IF(Reales!$C$55="PYG",IF(CQ$10&gt;0,N(Reales!CQ55)/CQ$10,0),N(Reales!CQ55)),CQ$194*IF(AND(AND(90&gt;Corte,90&lt;=Corte+n_Ventana),ISNUMBER(Detalle_24m!CQ$59)),Detalle_24m!CQ$59,INDEX(Precio_V,18)*INDEX(IdxPrecio_V,1,MIN(10,CQ$173)))*(1+V_dPrecio))</f>
        <v>0</v>
      </c>
      <c r="CR219" s="48" t="n">
        <f aca="false">IF(CR$8=1,IF(Reales!$C$55="PYG",IF(CR$10&gt;0,N(Reales!CR55)/CR$10,0),N(Reales!CR55)),CR$194*IF(AND(AND(91&gt;Corte,91&lt;=Corte+n_Ventana),ISNUMBER(Detalle_24m!CR$59)),Detalle_24m!CR$59,INDEX(Precio_V,18)*INDEX(IdxPrecio_V,1,MIN(10,CR$173)))*(1+V_dPrecio))</f>
        <v>0</v>
      </c>
      <c r="CS219" s="48" t="n">
        <f aca="false">IF(CS$8=1,IF(Reales!$C$55="PYG",IF(CS$10&gt;0,N(Reales!CS55)/CS$10,0),N(Reales!CS55)),CS$194*IF(AND(AND(92&gt;Corte,92&lt;=Corte+n_Ventana),ISNUMBER(Detalle_24m!CS$59)),Detalle_24m!CS$59,INDEX(Precio_V,18)*INDEX(IdxPrecio_V,1,MIN(10,CS$173)))*(1+V_dPrecio))</f>
        <v>0</v>
      </c>
      <c r="CT219" s="48" t="n">
        <f aca="false">IF(CT$8=1,IF(Reales!$C$55="PYG",IF(CT$10&gt;0,N(Reales!CT55)/CT$10,0),N(Reales!CT55)),CT$194*IF(AND(AND(93&gt;Corte,93&lt;=Corte+n_Ventana),ISNUMBER(Detalle_24m!CT$59)),Detalle_24m!CT$59,INDEX(Precio_V,18)*INDEX(IdxPrecio_V,1,MIN(10,CT$173)))*(1+V_dPrecio))</f>
        <v>0</v>
      </c>
      <c r="CU219" s="48" t="n">
        <f aca="false">IF(CU$8=1,IF(Reales!$C$55="PYG",IF(CU$10&gt;0,N(Reales!CU55)/CU$10,0),N(Reales!CU55)),CU$194*IF(AND(AND(94&gt;Corte,94&lt;=Corte+n_Ventana),ISNUMBER(Detalle_24m!CU$59)),Detalle_24m!CU$59,INDEX(Precio_V,18)*INDEX(IdxPrecio_V,1,MIN(10,CU$173)))*(1+V_dPrecio))</f>
        <v>0</v>
      </c>
      <c r="CV219" s="48" t="n">
        <f aca="false">IF(CV$8=1,IF(Reales!$C$55="PYG",IF(CV$10&gt;0,N(Reales!CV55)/CV$10,0),N(Reales!CV55)),CV$194*IF(AND(AND(95&gt;Corte,95&lt;=Corte+n_Ventana),ISNUMBER(Detalle_24m!CV$59)),Detalle_24m!CV$59,INDEX(Precio_V,18)*INDEX(IdxPrecio_V,1,MIN(10,CV$173)))*(1+V_dPrecio))</f>
        <v>0</v>
      </c>
      <c r="CW219" s="48" t="n">
        <f aca="false">IF(CW$8=1,IF(Reales!$C$55="PYG",IF(CW$10&gt;0,N(Reales!CW55)/CW$10,0),N(Reales!CW55)),CW$194*IF(AND(AND(96&gt;Corte,96&lt;=Corte+n_Ventana),ISNUMBER(Detalle_24m!CW$59)),Detalle_24m!CW$59,INDEX(Precio_V,18)*INDEX(IdxPrecio_V,1,MIN(10,CW$173)))*(1+V_dPrecio))</f>
        <v>0</v>
      </c>
      <c r="CX219" s="48" t="n">
        <f aca="false">IF(CX$8=1,IF(Reales!$C$55="PYG",IF(CX$10&gt;0,N(Reales!CX55)/CX$10,0),N(Reales!CX55)),CX$194*IF(AND(AND(97&gt;Corte,97&lt;=Corte+n_Ventana),ISNUMBER(Detalle_24m!CX$59)),Detalle_24m!CX$59,INDEX(Precio_V,18)*INDEX(IdxPrecio_V,1,MIN(10,CX$173)))*(1+V_dPrecio))</f>
        <v>0</v>
      </c>
      <c r="CY219" s="48" t="n">
        <f aca="false">IF(CY$8=1,IF(Reales!$C$55="PYG",IF(CY$10&gt;0,N(Reales!CY55)/CY$10,0),N(Reales!CY55)),CY$194*IF(AND(AND(98&gt;Corte,98&lt;=Corte+n_Ventana),ISNUMBER(Detalle_24m!CY$59)),Detalle_24m!CY$59,INDEX(Precio_V,18)*INDEX(IdxPrecio_V,1,MIN(10,CY$173)))*(1+V_dPrecio))</f>
        <v>0</v>
      </c>
      <c r="CZ219" s="48" t="n">
        <f aca="false">IF(CZ$8=1,IF(Reales!$C$55="PYG",IF(CZ$10&gt;0,N(Reales!CZ55)/CZ$10,0),N(Reales!CZ55)),CZ$194*IF(AND(AND(99&gt;Corte,99&lt;=Corte+n_Ventana),ISNUMBER(Detalle_24m!CZ$59)),Detalle_24m!CZ$59,INDEX(Precio_V,18)*INDEX(IdxPrecio_V,1,MIN(10,CZ$173)))*(1+V_dPrecio))</f>
        <v>0</v>
      </c>
      <c r="DA219" s="48" t="n">
        <f aca="false">IF(DA$8=1,IF(Reales!$C$55="PYG",IF(DA$10&gt;0,N(Reales!DA55)/DA$10,0),N(Reales!DA55)),DA$194*IF(AND(AND(100&gt;Corte,100&lt;=Corte+n_Ventana),ISNUMBER(Detalle_24m!DA$59)),Detalle_24m!DA$59,INDEX(Precio_V,18)*INDEX(IdxPrecio_V,1,MIN(10,DA$173)))*(1+V_dPrecio))</f>
        <v>0</v>
      </c>
      <c r="DB219" s="48" t="n">
        <f aca="false">IF(DB$8=1,IF(Reales!$C$55="PYG",IF(DB$10&gt;0,N(Reales!DB55)/DB$10,0),N(Reales!DB55)),DB$194*IF(AND(AND(101&gt;Corte,101&lt;=Corte+n_Ventana),ISNUMBER(Detalle_24m!DB$59)),Detalle_24m!DB$59,INDEX(Precio_V,18)*INDEX(IdxPrecio_V,1,MIN(10,DB$173)))*(1+V_dPrecio))</f>
        <v>0</v>
      </c>
      <c r="DC219" s="48" t="n">
        <f aca="false">IF(DC$8=1,IF(Reales!$C$55="PYG",IF(DC$10&gt;0,N(Reales!DC55)/DC$10,0),N(Reales!DC55)),DC$194*IF(AND(AND(102&gt;Corte,102&lt;=Corte+n_Ventana),ISNUMBER(Detalle_24m!DC$59)),Detalle_24m!DC$59,INDEX(Precio_V,18)*INDEX(IdxPrecio_V,1,MIN(10,DC$173)))*(1+V_dPrecio))</f>
        <v>0</v>
      </c>
      <c r="DD219" s="48" t="n">
        <f aca="false">IF(DD$8=1,IF(Reales!$C$55="PYG",IF(DD$10&gt;0,N(Reales!DD55)/DD$10,0),N(Reales!DD55)),DD$194*IF(AND(AND(103&gt;Corte,103&lt;=Corte+n_Ventana),ISNUMBER(Detalle_24m!DD$59)),Detalle_24m!DD$59,INDEX(Precio_V,18)*INDEX(IdxPrecio_V,1,MIN(10,DD$173)))*(1+V_dPrecio))</f>
        <v>0</v>
      </c>
      <c r="DE219" s="48" t="n">
        <f aca="false">IF(DE$8=1,IF(Reales!$C$55="PYG",IF(DE$10&gt;0,N(Reales!DE55)/DE$10,0),N(Reales!DE55)),DE$194*IF(AND(AND(104&gt;Corte,104&lt;=Corte+n_Ventana),ISNUMBER(Detalle_24m!DE$59)),Detalle_24m!DE$59,INDEX(Precio_V,18)*INDEX(IdxPrecio_V,1,MIN(10,DE$173)))*(1+V_dPrecio))</f>
        <v>0</v>
      </c>
      <c r="DF219" s="48" t="n">
        <f aca="false">IF(DF$8=1,IF(Reales!$C$55="PYG",IF(DF$10&gt;0,N(Reales!DF55)/DF$10,0),N(Reales!DF55)),DF$194*IF(AND(AND(105&gt;Corte,105&lt;=Corte+n_Ventana),ISNUMBER(Detalle_24m!DF$59)),Detalle_24m!DF$59,INDEX(Precio_V,18)*INDEX(IdxPrecio_V,1,MIN(10,DF$173)))*(1+V_dPrecio))</f>
        <v>0</v>
      </c>
      <c r="DG219" s="48" t="n">
        <f aca="false">IF(DG$8=1,IF(Reales!$C$55="PYG",IF(DG$10&gt;0,N(Reales!DG55)/DG$10,0),N(Reales!DG55)),DG$194*IF(AND(AND(106&gt;Corte,106&lt;=Corte+n_Ventana),ISNUMBER(Detalle_24m!DG$59)),Detalle_24m!DG$59,INDEX(Precio_V,18)*INDEX(IdxPrecio_V,1,MIN(10,DG$173)))*(1+V_dPrecio))</f>
        <v>0</v>
      </c>
      <c r="DH219" s="48" t="n">
        <f aca="false">IF(DH$8=1,IF(Reales!$C$55="PYG",IF(DH$10&gt;0,N(Reales!DH55)/DH$10,0),N(Reales!DH55)),DH$194*IF(AND(AND(107&gt;Corte,107&lt;=Corte+n_Ventana),ISNUMBER(Detalle_24m!DH$59)),Detalle_24m!DH$59,INDEX(Precio_V,18)*INDEX(IdxPrecio_V,1,MIN(10,DH$173)))*(1+V_dPrecio))</f>
        <v>0</v>
      </c>
      <c r="DI219" s="48" t="n">
        <f aca="false">IF(DI$8=1,IF(Reales!$C$55="PYG",IF(DI$10&gt;0,N(Reales!DI55)/DI$10,0),N(Reales!DI55)),DI$194*IF(AND(AND(108&gt;Corte,108&lt;=Corte+n_Ventana),ISNUMBER(Detalle_24m!DI$59)),Detalle_24m!DI$59,INDEX(Precio_V,18)*INDEX(IdxPrecio_V,1,MIN(10,DI$173)))*(1+V_dPrecio))</f>
        <v>0</v>
      </c>
      <c r="DJ219" s="48" t="n">
        <f aca="false">IF(DJ$8=1,IF(Reales!$C$55="PYG",IF(DJ$10&gt;0,N(Reales!DJ55)/DJ$10,0),N(Reales!DJ55)),DJ$194*IF(AND(AND(109&gt;Corte,109&lt;=Corte+n_Ventana),ISNUMBER(Detalle_24m!DJ$59)),Detalle_24m!DJ$59,INDEX(Precio_V,18)*INDEX(IdxPrecio_V,1,MIN(10,DJ$173)))*(1+V_dPrecio))</f>
        <v>0</v>
      </c>
      <c r="DK219" s="48" t="n">
        <f aca="false">IF(DK$8=1,IF(Reales!$C$55="PYG",IF(DK$10&gt;0,N(Reales!DK55)/DK$10,0),N(Reales!DK55)),DK$194*IF(AND(AND(110&gt;Corte,110&lt;=Corte+n_Ventana),ISNUMBER(Detalle_24m!DK$59)),Detalle_24m!DK$59,INDEX(Precio_V,18)*INDEX(IdxPrecio_V,1,MIN(10,DK$173)))*(1+V_dPrecio))</f>
        <v>0</v>
      </c>
      <c r="DL219" s="48" t="n">
        <f aca="false">IF(DL$8=1,IF(Reales!$C$55="PYG",IF(DL$10&gt;0,N(Reales!DL55)/DL$10,0),N(Reales!DL55)),DL$194*IF(AND(AND(111&gt;Corte,111&lt;=Corte+n_Ventana),ISNUMBER(Detalle_24m!DL$59)),Detalle_24m!DL$59,INDEX(Precio_V,18)*INDEX(IdxPrecio_V,1,MIN(10,DL$173)))*(1+V_dPrecio))</f>
        <v>0</v>
      </c>
      <c r="DM219" s="48" t="n">
        <f aca="false">IF(DM$8=1,IF(Reales!$C$55="PYG",IF(DM$10&gt;0,N(Reales!DM55)/DM$10,0),N(Reales!DM55)),DM$194*IF(AND(AND(112&gt;Corte,112&lt;=Corte+n_Ventana),ISNUMBER(Detalle_24m!DM$59)),Detalle_24m!DM$59,INDEX(Precio_V,18)*INDEX(IdxPrecio_V,1,MIN(10,DM$173)))*(1+V_dPrecio))</f>
        <v>0</v>
      </c>
      <c r="DN219" s="48" t="n">
        <f aca="false">IF(DN$8=1,IF(Reales!$C$55="PYG",IF(DN$10&gt;0,N(Reales!DN55)/DN$10,0),N(Reales!DN55)),DN$194*IF(AND(AND(113&gt;Corte,113&lt;=Corte+n_Ventana),ISNUMBER(Detalle_24m!DN$59)),Detalle_24m!DN$59,INDEX(Precio_V,18)*INDEX(IdxPrecio_V,1,MIN(10,DN$173)))*(1+V_dPrecio))</f>
        <v>0</v>
      </c>
      <c r="DO219" s="48" t="n">
        <f aca="false">IF(DO$8=1,IF(Reales!$C$55="PYG",IF(DO$10&gt;0,N(Reales!DO55)/DO$10,0),N(Reales!DO55)),DO$194*IF(AND(AND(114&gt;Corte,114&lt;=Corte+n_Ventana),ISNUMBER(Detalle_24m!DO$59)),Detalle_24m!DO$59,INDEX(Precio_V,18)*INDEX(IdxPrecio_V,1,MIN(10,DO$173)))*(1+V_dPrecio))</f>
        <v>0</v>
      </c>
      <c r="DP219" s="48" t="n">
        <f aca="false">IF(DP$8=1,IF(Reales!$C$55="PYG",IF(DP$10&gt;0,N(Reales!DP55)/DP$10,0),N(Reales!DP55)),DP$194*IF(AND(AND(115&gt;Corte,115&lt;=Corte+n_Ventana),ISNUMBER(Detalle_24m!DP$59)),Detalle_24m!DP$59,INDEX(Precio_V,18)*INDEX(IdxPrecio_V,1,MIN(10,DP$173)))*(1+V_dPrecio))</f>
        <v>0</v>
      </c>
      <c r="DQ219" s="48" t="n">
        <f aca="false">IF(DQ$8=1,IF(Reales!$C$55="PYG",IF(DQ$10&gt;0,N(Reales!DQ55)/DQ$10,0),N(Reales!DQ55)),DQ$194*IF(AND(AND(116&gt;Corte,116&lt;=Corte+n_Ventana),ISNUMBER(Detalle_24m!DQ$59)),Detalle_24m!DQ$59,INDEX(Precio_V,18)*INDEX(IdxPrecio_V,1,MIN(10,DQ$173)))*(1+V_dPrecio))</f>
        <v>0</v>
      </c>
      <c r="DR219" s="48" t="n">
        <f aca="false">IF(DR$8=1,IF(Reales!$C$55="PYG",IF(DR$10&gt;0,N(Reales!DR55)/DR$10,0),N(Reales!DR55)),DR$194*IF(AND(AND(117&gt;Corte,117&lt;=Corte+n_Ventana),ISNUMBER(Detalle_24m!DR$59)),Detalle_24m!DR$59,INDEX(Precio_V,18)*INDEX(IdxPrecio_V,1,MIN(10,DR$173)))*(1+V_dPrecio))</f>
        <v>0</v>
      </c>
      <c r="DS219" s="48" t="n">
        <f aca="false">IF(DS$8=1,IF(Reales!$C$55="PYG",IF(DS$10&gt;0,N(Reales!DS55)/DS$10,0),N(Reales!DS55)),DS$194*IF(AND(AND(118&gt;Corte,118&lt;=Corte+n_Ventana),ISNUMBER(Detalle_24m!DS$59)),Detalle_24m!DS$59,INDEX(Precio_V,18)*INDEX(IdxPrecio_V,1,MIN(10,DS$173)))*(1+V_dPrecio))</f>
        <v>0</v>
      </c>
      <c r="DT219" s="48" t="n">
        <f aca="false">IF(DT$8=1,IF(Reales!$C$55="PYG",IF(DT$10&gt;0,N(Reales!DT55)/DT$10,0),N(Reales!DT55)),DT$194*IF(AND(AND(119&gt;Corte,119&lt;=Corte+n_Ventana),ISNUMBER(Detalle_24m!DT$59)),Detalle_24m!DT$59,INDEX(Precio_V,18)*INDEX(IdxPrecio_V,1,MIN(10,DT$173)))*(1+V_dPrecio))</f>
        <v>0</v>
      </c>
      <c r="DU219" s="48" t="n">
        <f aca="false">IF(DU$8=1,IF(Reales!$C$55="PYG",IF(DU$10&gt;0,N(Reales!DU55)/DU$10,0),N(Reales!DU55)),DU$194*IF(AND(AND(120&gt;Corte,120&lt;=Corte+n_Ventana),ISNUMBER(Detalle_24m!DU$59)),Detalle_24m!DU$59,INDEX(Precio_V,18)*INDEX(IdxPrecio_V,1,MIN(10,DU$173)))*(1+V_dPrecio))</f>
        <v>0</v>
      </c>
      <c r="DV219" s="48" t="n">
        <f aca="false">IF(DV$8=1,IF(Reales!$C$55="PYG",IF(DV$10&gt;0,N(Reales!DV55)/DV$10,0),N(Reales!DV55)),DV$194*IF(AND(AND(121&gt;Corte,121&lt;=Corte+n_Ventana),ISNUMBER(Detalle_24m!DV$59)),Detalle_24m!DV$59,INDEX(Precio_V,18)*INDEX(IdxPrecio_V,1,MIN(10,DV$173)))*(1+V_dPrecio))</f>
        <v>0</v>
      </c>
      <c r="DW219" s="48" t="n">
        <f aca="false">IF(DW$8=1,IF(Reales!$C$55="PYG",IF(DW$10&gt;0,N(Reales!DW55)/DW$10,0),N(Reales!DW55)),DW$194*IF(AND(AND(122&gt;Corte,122&lt;=Corte+n_Ventana),ISNUMBER(Detalle_24m!DW$59)),Detalle_24m!DW$59,INDEX(Precio_V,18)*INDEX(IdxPrecio_V,1,MIN(10,DW$173)))*(1+V_dPrecio))</f>
        <v>0</v>
      </c>
      <c r="DX219" s="48" t="n">
        <f aca="false">IF(DX$8=1,IF(Reales!$C$55="PYG",IF(DX$10&gt;0,N(Reales!DX55)/DX$10,0),N(Reales!DX55)),DX$194*IF(AND(AND(123&gt;Corte,123&lt;=Corte+n_Ventana),ISNUMBER(Detalle_24m!DX$59)),Detalle_24m!DX$59,INDEX(Precio_V,18)*INDEX(IdxPrecio_V,1,MIN(10,DX$173)))*(1+V_dPrecio))</f>
        <v>0</v>
      </c>
      <c r="DY219" s="48" t="n">
        <f aca="false">IF(DY$8=1,IF(Reales!$C$55="PYG",IF(DY$10&gt;0,N(Reales!DY55)/DY$10,0),N(Reales!DY55)),DY$194*IF(AND(AND(124&gt;Corte,124&lt;=Corte+n_Ventana),ISNUMBER(Detalle_24m!DY$59)),Detalle_24m!DY$59,INDEX(Precio_V,18)*INDEX(IdxPrecio_V,1,MIN(10,DY$173)))*(1+V_dPrecio))</f>
        <v>0</v>
      </c>
      <c r="DZ219" s="48" t="n">
        <f aca="false">IF(DZ$8=1,IF(Reales!$C$55="PYG",IF(DZ$10&gt;0,N(Reales!DZ55)/DZ$10,0),N(Reales!DZ55)),DZ$194*IF(AND(AND(125&gt;Corte,125&lt;=Corte+n_Ventana),ISNUMBER(Detalle_24m!DZ$59)),Detalle_24m!DZ$59,INDEX(Precio_V,18)*INDEX(IdxPrecio_V,1,MIN(10,DZ$173)))*(1+V_dPrecio))</f>
        <v>0</v>
      </c>
      <c r="EA219" s="48" t="n">
        <f aca="false">IF(EA$8=1,IF(Reales!$C$55="PYG",IF(EA$10&gt;0,N(Reales!EA55)/EA$10,0),N(Reales!EA55)),EA$194*IF(AND(AND(126&gt;Corte,126&lt;=Corte+n_Ventana),ISNUMBER(Detalle_24m!EA$59)),Detalle_24m!EA$59,INDEX(Precio_V,18)*INDEX(IdxPrecio_V,1,MIN(10,EA$173)))*(1+V_dPrecio))</f>
        <v>0</v>
      </c>
      <c r="EB219" s="48" t="n">
        <f aca="false">IF(EB$8=1,IF(Reales!$C$55="PYG",IF(EB$10&gt;0,N(Reales!EB55)/EB$10,0),N(Reales!EB55)),EB$194*IF(AND(AND(127&gt;Corte,127&lt;=Corte+n_Ventana),ISNUMBER(Detalle_24m!EB$59)),Detalle_24m!EB$59,INDEX(Precio_V,18)*INDEX(IdxPrecio_V,1,MIN(10,EB$173)))*(1+V_dPrecio))</f>
        <v>0</v>
      </c>
      <c r="EC219" s="48" t="n">
        <f aca="false">IF(EC$8=1,IF(Reales!$C$55="PYG",IF(EC$10&gt;0,N(Reales!EC55)/EC$10,0),N(Reales!EC55)),EC$194*IF(AND(AND(128&gt;Corte,128&lt;=Corte+n_Ventana),ISNUMBER(Detalle_24m!EC$59)),Detalle_24m!EC$59,INDEX(Precio_V,18)*INDEX(IdxPrecio_V,1,MIN(10,EC$173)))*(1+V_dPrecio))</f>
        <v>0</v>
      </c>
      <c r="ED219" s="48" t="n">
        <f aca="false">IF(ED$8=1,IF(Reales!$C$55="PYG",IF(ED$10&gt;0,N(Reales!ED55)/ED$10,0),N(Reales!ED55)),ED$194*IF(AND(AND(129&gt;Corte,129&lt;=Corte+n_Ventana),ISNUMBER(Detalle_24m!ED$59)),Detalle_24m!ED$59,INDEX(Precio_V,18)*INDEX(IdxPrecio_V,1,MIN(10,ED$173)))*(1+V_dPrecio))</f>
        <v>0</v>
      </c>
      <c r="EE219" s="48" t="n">
        <f aca="false">IF(EE$8=1,IF(Reales!$C$55="PYG",IF(EE$10&gt;0,N(Reales!EE55)/EE$10,0),N(Reales!EE55)),EE$194*IF(AND(AND(130&gt;Corte,130&lt;=Corte+n_Ventana),ISNUMBER(Detalle_24m!EE$59)),Detalle_24m!EE$59,INDEX(Precio_V,18)*INDEX(IdxPrecio_V,1,MIN(10,EE$173)))*(1+V_dPrecio))</f>
        <v>0</v>
      </c>
      <c r="EF219" s="48" t="n">
        <f aca="false">IF(EF$8=1,IF(Reales!$C$55="PYG",IF(EF$10&gt;0,N(Reales!EF55)/EF$10,0),N(Reales!EF55)),EF$194*IF(AND(AND(131&gt;Corte,131&lt;=Corte+n_Ventana),ISNUMBER(Detalle_24m!EF$59)),Detalle_24m!EF$59,INDEX(Precio_V,18)*INDEX(IdxPrecio_V,1,MIN(10,EF$173)))*(1+V_dPrecio))</f>
        <v>0</v>
      </c>
      <c r="EG219" s="48" t="n">
        <f aca="false">IF(EG$8=1,IF(Reales!$C$55="PYG",IF(EG$10&gt;0,N(Reales!EG55)/EG$10,0),N(Reales!EG55)),EG$194*IF(AND(AND(132&gt;Corte,132&lt;=Corte+n_Ventana),ISNUMBER(Detalle_24m!EG$59)),Detalle_24m!EG$59,INDEX(Precio_V,18)*INDEX(IdxPrecio_V,1,MIN(10,EG$173)))*(1+V_dPrecio))</f>
        <v>0</v>
      </c>
      <c r="EH219" s="48" t="n">
        <f aca="false">IF(EH$8=1,IF(Reales!$C$55="PYG",IF(EH$10&gt;0,N(Reales!EH55)/EH$10,0),N(Reales!EH55)),EH$194*IF(AND(AND(133&gt;Corte,133&lt;=Corte+n_Ventana),ISNUMBER(Detalle_24m!EH$59)),Detalle_24m!EH$59,INDEX(Precio_V,18)*INDEX(IdxPrecio_V,1,MIN(10,EH$173)))*(1+V_dPrecio))</f>
        <v>0</v>
      </c>
      <c r="EI219" s="48" t="n">
        <f aca="false">IF(EI$8=1,IF(Reales!$C$55="PYG",IF(EI$10&gt;0,N(Reales!EI55)/EI$10,0),N(Reales!EI55)),EI$194*IF(AND(AND(134&gt;Corte,134&lt;=Corte+n_Ventana),ISNUMBER(Detalle_24m!EI$59)),Detalle_24m!EI$59,INDEX(Precio_V,18)*INDEX(IdxPrecio_V,1,MIN(10,EI$173)))*(1+V_dPrecio))</f>
        <v>0</v>
      </c>
      <c r="EJ219" s="48" t="n">
        <f aca="false">IF(EJ$8=1,IF(Reales!$C$55="PYG",IF(EJ$10&gt;0,N(Reales!EJ55)/EJ$10,0),N(Reales!EJ55)),EJ$194*IF(AND(AND(135&gt;Corte,135&lt;=Corte+n_Ventana),ISNUMBER(Detalle_24m!EJ$59)),Detalle_24m!EJ$59,INDEX(Precio_V,18)*INDEX(IdxPrecio_V,1,MIN(10,EJ$173)))*(1+V_dPrecio))</f>
        <v>0</v>
      </c>
      <c r="EK219" s="48" t="n">
        <f aca="false">IF(EK$8=1,IF(Reales!$C$55="PYG",IF(EK$10&gt;0,N(Reales!EK55)/EK$10,0),N(Reales!EK55)),EK$194*IF(AND(AND(136&gt;Corte,136&lt;=Corte+n_Ventana),ISNUMBER(Detalle_24m!EK$59)),Detalle_24m!EK$59,INDEX(Precio_V,18)*INDEX(IdxPrecio_V,1,MIN(10,EK$173)))*(1+V_dPrecio))</f>
        <v>0</v>
      </c>
      <c r="EL219" s="48" t="n">
        <f aca="false">IF(EL$8=1,IF(Reales!$C$55="PYG",IF(EL$10&gt;0,N(Reales!EL55)/EL$10,0),N(Reales!EL55)),EL$194*IF(AND(AND(137&gt;Corte,137&lt;=Corte+n_Ventana),ISNUMBER(Detalle_24m!EL$59)),Detalle_24m!EL$59,INDEX(Precio_V,18)*INDEX(IdxPrecio_V,1,MIN(10,EL$173)))*(1+V_dPrecio))</f>
        <v>0</v>
      </c>
      <c r="EM219" s="48" t="n">
        <f aca="false">IF(EM$8=1,IF(Reales!$C$55="PYG",IF(EM$10&gt;0,N(Reales!EM55)/EM$10,0),N(Reales!EM55)),EM$194*IF(AND(AND(138&gt;Corte,138&lt;=Corte+n_Ventana),ISNUMBER(Detalle_24m!EM$59)),Detalle_24m!EM$59,INDEX(Precio_V,18)*INDEX(IdxPrecio_V,1,MIN(10,EM$173)))*(1+V_dPrecio))</f>
        <v>0</v>
      </c>
      <c r="EN219" s="48" t="n">
        <f aca="false">IF(EN$8=1,IF(Reales!$C$55="PYG",IF(EN$10&gt;0,N(Reales!EN55)/EN$10,0),N(Reales!EN55)),EN$194*IF(AND(AND(139&gt;Corte,139&lt;=Corte+n_Ventana),ISNUMBER(Detalle_24m!EN$59)),Detalle_24m!EN$59,INDEX(Precio_V,18)*INDEX(IdxPrecio_V,1,MIN(10,EN$173)))*(1+V_dPrecio))</f>
        <v>0</v>
      </c>
      <c r="EO219" s="48" t="n">
        <f aca="false">IF(EO$8=1,IF(Reales!$C$55="PYG",IF(EO$10&gt;0,N(Reales!EO55)/EO$10,0),N(Reales!EO55)),EO$194*IF(AND(AND(140&gt;Corte,140&lt;=Corte+n_Ventana),ISNUMBER(Detalle_24m!EO$59)),Detalle_24m!EO$59,INDEX(Precio_V,18)*INDEX(IdxPrecio_V,1,MIN(10,EO$173)))*(1+V_dPrecio))</f>
        <v>0</v>
      </c>
      <c r="EP219" s="48" t="n">
        <f aca="false">IF(EP$8=1,IF(Reales!$C$55="PYG",IF(EP$10&gt;0,N(Reales!EP55)/EP$10,0),N(Reales!EP55)),EP$194*IF(AND(AND(141&gt;Corte,141&lt;=Corte+n_Ventana),ISNUMBER(Detalle_24m!EP$59)),Detalle_24m!EP$59,INDEX(Precio_V,18)*INDEX(IdxPrecio_V,1,MIN(10,EP$173)))*(1+V_dPrecio))</f>
        <v>0</v>
      </c>
      <c r="EQ219" s="48" t="n">
        <f aca="false">IF(EQ$8=1,IF(Reales!$C$55="PYG",IF(EQ$10&gt;0,N(Reales!EQ55)/EQ$10,0),N(Reales!EQ55)),EQ$194*IF(AND(AND(142&gt;Corte,142&lt;=Corte+n_Ventana),ISNUMBER(Detalle_24m!EQ$59)),Detalle_24m!EQ$59,INDEX(Precio_V,18)*INDEX(IdxPrecio_V,1,MIN(10,EQ$173)))*(1+V_dPrecio))</f>
        <v>0</v>
      </c>
      <c r="ER219" s="48" t="n">
        <f aca="false">IF(ER$8=1,IF(Reales!$C$55="PYG",IF(ER$10&gt;0,N(Reales!ER55)/ER$10,0),N(Reales!ER55)),ER$194*IF(AND(AND(143&gt;Corte,143&lt;=Corte+n_Ventana),ISNUMBER(Detalle_24m!ER$59)),Detalle_24m!ER$59,INDEX(Precio_V,18)*INDEX(IdxPrecio_V,1,MIN(10,ER$173)))*(1+V_dPrecio))</f>
        <v>0</v>
      </c>
      <c r="ES219" s="48" t="n">
        <f aca="false">IF(ES$8=1,IF(Reales!$C$55="PYG",IF(ES$10&gt;0,N(Reales!ES55)/ES$10,0),N(Reales!ES55)),ES$194*IF(AND(AND(144&gt;Corte,144&lt;=Corte+n_Ventana),ISNUMBER(Detalle_24m!ES$59)),Detalle_24m!ES$59,INDEX(Precio_V,18)*INDEX(IdxPrecio_V,1,MIN(10,ES$173)))*(1+V_dPrecio))</f>
        <v>0</v>
      </c>
    </row>
    <row r="220" customFormat="false" ht="15" hidden="false" customHeight="false" outlineLevel="0" collapsed="false">
      <c r="A220" s="11" t="s">
        <v>1343</v>
      </c>
      <c r="B220" s="53" t="str">
        <f aca="false">IF(INDEX(Prod_Nombre,19)="","Producto 19",INDEX(Prod_Nombre,19))&amp;" — ventas USD"</f>
        <v>Producto 19 — ventas USD</v>
      </c>
      <c r="C220" s="15" t="s">
        <v>508</v>
      </c>
      <c r="E220" s="54" t="n">
        <f aca="false">SUM(F220:ES220)</f>
        <v>0</v>
      </c>
      <c r="F220" s="48" t="n">
        <f aca="false">IF(F$8=1,IF(Reales!$C$56="PYG",IF(F$10&gt;0,N(Reales!F56)/F$10,0),N(Reales!F56)),F$195*IF(AND(AND(1&gt;Corte,1&lt;=Corte+n_Ventana),ISNUMBER(Detalle_24m!F$60)),Detalle_24m!F$60,INDEX(Precio_V,19)*INDEX(IdxPrecio_V,1,MIN(10,F$173)))*(1+V_dPrecio))</f>
        <v>0</v>
      </c>
      <c r="G220" s="48" t="n">
        <f aca="false">IF(G$8=1,IF(Reales!$C$56="PYG",IF(G$10&gt;0,N(Reales!G56)/G$10,0),N(Reales!G56)),G$195*IF(AND(AND(2&gt;Corte,2&lt;=Corte+n_Ventana),ISNUMBER(Detalle_24m!G$60)),Detalle_24m!G$60,INDEX(Precio_V,19)*INDEX(IdxPrecio_V,1,MIN(10,G$173)))*(1+V_dPrecio))</f>
        <v>0</v>
      </c>
      <c r="H220" s="48" t="n">
        <f aca="false">IF(H$8=1,IF(Reales!$C$56="PYG",IF(H$10&gt;0,N(Reales!H56)/H$10,0),N(Reales!H56)),H$195*IF(AND(AND(3&gt;Corte,3&lt;=Corte+n_Ventana),ISNUMBER(Detalle_24m!H$60)),Detalle_24m!H$60,INDEX(Precio_V,19)*INDEX(IdxPrecio_V,1,MIN(10,H$173)))*(1+V_dPrecio))</f>
        <v>0</v>
      </c>
      <c r="I220" s="48" t="n">
        <f aca="false">IF(I$8=1,IF(Reales!$C$56="PYG",IF(I$10&gt;0,N(Reales!I56)/I$10,0),N(Reales!I56)),I$195*IF(AND(AND(4&gt;Corte,4&lt;=Corte+n_Ventana),ISNUMBER(Detalle_24m!I$60)),Detalle_24m!I$60,INDEX(Precio_V,19)*INDEX(IdxPrecio_V,1,MIN(10,I$173)))*(1+V_dPrecio))</f>
        <v>0</v>
      </c>
      <c r="J220" s="48" t="n">
        <f aca="false">IF(J$8=1,IF(Reales!$C$56="PYG",IF(J$10&gt;0,N(Reales!J56)/J$10,0),N(Reales!J56)),J$195*IF(AND(AND(5&gt;Corte,5&lt;=Corte+n_Ventana),ISNUMBER(Detalle_24m!J$60)),Detalle_24m!J$60,INDEX(Precio_V,19)*INDEX(IdxPrecio_V,1,MIN(10,J$173)))*(1+V_dPrecio))</f>
        <v>0</v>
      </c>
      <c r="K220" s="48" t="n">
        <f aca="false">IF(K$8=1,IF(Reales!$C$56="PYG",IF(K$10&gt;0,N(Reales!K56)/K$10,0),N(Reales!K56)),K$195*IF(AND(AND(6&gt;Corte,6&lt;=Corte+n_Ventana),ISNUMBER(Detalle_24m!K$60)),Detalle_24m!K$60,INDEX(Precio_V,19)*INDEX(IdxPrecio_V,1,MIN(10,K$173)))*(1+V_dPrecio))</f>
        <v>0</v>
      </c>
      <c r="L220" s="48" t="n">
        <f aca="false">IF(L$8=1,IF(Reales!$C$56="PYG",IF(L$10&gt;0,N(Reales!L56)/L$10,0),N(Reales!L56)),L$195*IF(AND(AND(7&gt;Corte,7&lt;=Corte+n_Ventana),ISNUMBER(Detalle_24m!L$60)),Detalle_24m!L$60,INDEX(Precio_V,19)*INDEX(IdxPrecio_V,1,MIN(10,L$173)))*(1+V_dPrecio))</f>
        <v>0</v>
      </c>
      <c r="M220" s="48" t="n">
        <f aca="false">IF(M$8=1,IF(Reales!$C$56="PYG",IF(M$10&gt;0,N(Reales!M56)/M$10,0),N(Reales!M56)),M$195*IF(AND(AND(8&gt;Corte,8&lt;=Corte+n_Ventana),ISNUMBER(Detalle_24m!M$60)),Detalle_24m!M$60,INDEX(Precio_V,19)*INDEX(IdxPrecio_V,1,MIN(10,M$173)))*(1+V_dPrecio))</f>
        <v>0</v>
      </c>
      <c r="N220" s="48" t="n">
        <f aca="false">IF(N$8=1,IF(Reales!$C$56="PYG",IF(N$10&gt;0,N(Reales!N56)/N$10,0),N(Reales!N56)),N$195*IF(AND(AND(9&gt;Corte,9&lt;=Corte+n_Ventana),ISNUMBER(Detalle_24m!N$60)),Detalle_24m!N$60,INDEX(Precio_V,19)*INDEX(IdxPrecio_V,1,MIN(10,N$173)))*(1+V_dPrecio))</f>
        <v>0</v>
      </c>
      <c r="O220" s="48" t="n">
        <f aca="false">IF(O$8=1,IF(Reales!$C$56="PYG",IF(O$10&gt;0,N(Reales!O56)/O$10,0),N(Reales!O56)),O$195*IF(AND(AND(10&gt;Corte,10&lt;=Corte+n_Ventana),ISNUMBER(Detalle_24m!O$60)),Detalle_24m!O$60,INDEX(Precio_V,19)*INDEX(IdxPrecio_V,1,MIN(10,O$173)))*(1+V_dPrecio))</f>
        <v>0</v>
      </c>
      <c r="P220" s="48" t="n">
        <f aca="false">IF(P$8=1,IF(Reales!$C$56="PYG",IF(P$10&gt;0,N(Reales!P56)/P$10,0),N(Reales!P56)),P$195*IF(AND(AND(11&gt;Corte,11&lt;=Corte+n_Ventana),ISNUMBER(Detalle_24m!P$60)),Detalle_24m!P$60,INDEX(Precio_V,19)*INDEX(IdxPrecio_V,1,MIN(10,P$173)))*(1+V_dPrecio))</f>
        <v>0</v>
      </c>
      <c r="Q220" s="48" t="n">
        <f aca="false">IF(Q$8=1,IF(Reales!$C$56="PYG",IF(Q$10&gt;0,N(Reales!Q56)/Q$10,0),N(Reales!Q56)),Q$195*IF(AND(AND(12&gt;Corte,12&lt;=Corte+n_Ventana),ISNUMBER(Detalle_24m!Q$60)),Detalle_24m!Q$60,INDEX(Precio_V,19)*INDEX(IdxPrecio_V,1,MIN(10,Q$173)))*(1+V_dPrecio))</f>
        <v>0</v>
      </c>
      <c r="R220" s="48" t="n">
        <f aca="false">IF(R$8=1,IF(Reales!$C$56="PYG",IF(R$10&gt;0,N(Reales!R56)/R$10,0),N(Reales!R56)),R$195*IF(AND(AND(13&gt;Corte,13&lt;=Corte+n_Ventana),ISNUMBER(Detalle_24m!R$60)),Detalle_24m!R$60,INDEX(Precio_V,19)*INDEX(IdxPrecio_V,1,MIN(10,R$173)))*(1+V_dPrecio))</f>
        <v>0</v>
      </c>
      <c r="S220" s="48" t="n">
        <f aca="false">IF(S$8=1,IF(Reales!$C$56="PYG",IF(S$10&gt;0,N(Reales!S56)/S$10,0),N(Reales!S56)),S$195*IF(AND(AND(14&gt;Corte,14&lt;=Corte+n_Ventana),ISNUMBER(Detalle_24m!S$60)),Detalle_24m!S$60,INDEX(Precio_V,19)*INDEX(IdxPrecio_V,1,MIN(10,S$173)))*(1+V_dPrecio))</f>
        <v>0</v>
      </c>
      <c r="T220" s="48" t="n">
        <f aca="false">IF(T$8=1,IF(Reales!$C$56="PYG",IF(T$10&gt;0,N(Reales!T56)/T$10,0),N(Reales!T56)),T$195*IF(AND(AND(15&gt;Corte,15&lt;=Corte+n_Ventana),ISNUMBER(Detalle_24m!T$60)),Detalle_24m!T$60,INDEX(Precio_V,19)*INDEX(IdxPrecio_V,1,MIN(10,T$173)))*(1+V_dPrecio))</f>
        <v>0</v>
      </c>
      <c r="U220" s="48" t="n">
        <f aca="false">IF(U$8=1,IF(Reales!$C$56="PYG",IF(U$10&gt;0,N(Reales!U56)/U$10,0),N(Reales!U56)),U$195*IF(AND(AND(16&gt;Corte,16&lt;=Corte+n_Ventana),ISNUMBER(Detalle_24m!U$60)),Detalle_24m!U$60,INDEX(Precio_V,19)*INDEX(IdxPrecio_V,1,MIN(10,U$173)))*(1+V_dPrecio))</f>
        <v>0</v>
      </c>
      <c r="V220" s="48" t="n">
        <f aca="false">IF(V$8=1,IF(Reales!$C$56="PYG",IF(V$10&gt;0,N(Reales!V56)/V$10,0),N(Reales!V56)),V$195*IF(AND(AND(17&gt;Corte,17&lt;=Corte+n_Ventana),ISNUMBER(Detalle_24m!V$60)),Detalle_24m!V$60,INDEX(Precio_V,19)*INDEX(IdxPrecio_V,1,MIN(10,V$173)))*(1+V_dPrecio))</f>
        <v>0</v>
      </c>
      <c r="W220" s="48" t="n">
        <f aca="false">IF(W$8=1,IF(Reales!$C$56="PYG",IF(W$10&gt;0,N(Reales!W56)/W$10,0),N(Reales!W56)),W$195*IF(AND(AND(18&gt;Corte,18&lt;=Corte+n_Ventana),ISNUMBER(Detalle_24m!W$60)),Detalle_24m!W$60,INDEX(Precio_V,19)*INDEX(IdxPrecio_V,1,MIN(10,W$173)))*(1+V_dPrecio))</f>
        <v>0</v>
      </c>
      <c r="X220" s="48" t="n">
        <f aca="false">IF(X$8=1,IF(Reales!$C$56="PYG",IF(X$10&gt;0,N(Reales!X56)/X$10,0),N(Reales!X56)),X$195*IF(AND(AND(19&gt;Corte,19&lt;=Corte+n_Ventana),ISNUMBER(Detalle_24m!X$60)),Detalle_24m!X$60,INDEX(Precio_V,19)*INDEX(IdxPrecio_V,1,MIN(10,X$173)))*(1+V_dPrecio))</f>
        <v>0</v>
      </c>
      <c r="Y220" s="48" t="n">
        <f aca="false">IF(Y$8=1,IF(Reales!$C$56="PYG",IF(Y$10&gt;0,N(Reales!Y56)/Y$10,0),N(Reales!Y56)),Y$195*IF(AND(AND(20&gt;Corte,20&lt;=Corte+n_Ventana),ISNUMBER(Detalle_24m!Y$60)),Detalle_24m!Y$60,INDEX(Precio_V,19)*INDEX(IdxPrecio_V,1,MIN(10,Y$173)))*(1+V_dPrecio))</f>
        <v>0</v>
      </c>
      <c r="Z220" s="48" t="n">
        <f aca="false">IF(Z$8=1,IF(Reales!$C$56="PYG",IF(Z$10&gt;0,N(Reales!Z56)/Z$10,0),N(Reales!Z56)),Z$195*IF(AND(AND(21&gt;Corte,21&lt;=Corte+n_Ventana),ISNUMBER(Detalle_24m!Z$60)),Detalle_24m!Z$60,INDEX(Precio_V,19)*INDEX(IdxPrecio_V,1,MIN(10,Z$173)))*(1+V_dPrecio))</f>
        <v>0</v>
      </c>
      <c r="AA220" s="48" t="n">
        <f aca="false">IF(AA$8=1,IF(Reales!$C$56="PYG",IF(AA$10&gt;0,N(Reales!AA56)/AA$10,0),N(Reales!AA56)),AA$195*IF(AND(AND(22&gt;Corte,22&lt;=Corte+n_Ventana),ISNUMBER(Detalle_24m!AA$60)),Detalle_24m!AA$60,INDEX(Precio_V,19)*INDEX(IdxPrecio_V,1,MIN(10,AA$173)))*(1+V_dPrecio))</f>
        <v>0</v>
      </c>
      <c r="AB220" s="48" t="n">
        <f aca="false">IF(AB$8=1,IF(Reales!$C$56="PYG",IF(AB$10&gt;0,N(Reales!AB56)/AB$10,0),N(Reales!AB56)),AB$195*IF(AND(AND(23&gt;Corte,23&lt;=Corte+n_Ventana),ISNUMBER(Detalle_24m!AB$60)),Detalle_24m!AB$60,INDEX(Precio_V,19)*INDEX(IdxPrecio_V,1,MIN(10,AB$173)))*(1+V_dPrecio))</f>
        <v>0</v>
      </c>
      <c r="AC220" s="48" t="n">
        <f aca="false">IF(AC$8=1,IF(Reales!$C$56="PYG",IF(AC$10&gt;0,N(Reales!AC56)/AC$10,0),N(Reales!AC56)),AC$195*IF(AND(AND(24&gt;Corte,24&lt;=Corte+n_Ventana),ISNUMBER(Detalle_24m!AC$60)),Detalle_24m!AC$60,INDEX(Precio_V,19)*INDEX(IdxPrecio_V,1,MIN(10,AC$173)))*(1+V_dPrecio))</f>
        <v>0</v>
      </c>
      <c r="AD220" s="48" t="n">
        <f aca="false">IF(AD$8=1,IF(Reales!$C$56="PYG",IF(AD$10&gt;0,N(Reales!AD56)/AD$10,0),N(Reales!AD56)),AD$195*IF(AND(AND(25&gt;Corte,25&lt;=Corte+n_Ventana),ISNUMBER(Detalle_24m!AD$60)),Detalle_24m!AD$60,INDEX(Precio_V,19)*INDEX(IdxPrecio_V,1,MIN(10,AD$173)))*(1+V_dPrecio))</f>
        <v>0</v>
      </c>
      <c r="AE220" s="48" t="n">
        <f aca="false">IF(AE$8=1,IF(Reales!$C$56="PYG",IF(AE$10&gt;0,N(Reales!AE56)/AE$10,0),N(Reales!AE56)),AE$195*IF(AND(AND(26&gt;Corte,26&lt;=Corte+n_Ventana),ISNUMBER(Detalle_24m!AE$60)),Detalle_24m!AE$60,INDEX(Precio_V,19)*INDEX(IdxPrecio_V,1,MIN(10,AE$173)))*(1+V_dPrecio))</f>
        <v>0</v>
      </c>
      <c r="AF220" s="48" t="n">
        <f aca="false">IF(AF$8=1,IF(Reales!$C$56="PYG",IF(AF$10&gt;0,N(Reales!AF56)/AF$10,0),N(Reales!AF56)),AF$195*IF(AND(AND(27&gt;Corte,27&lt;=Corte+n_Ventana),ISNUMBER(Detalle_24m!AF$60)),Detalle_24m!AF$60,INDEX(Precio_V,19)*INDEX(IdxPrecio_V,1,MIN(10,AF$173)))*(1+V_dPrecio))</f>
        <v>0</v>
      </c>
      <c r="AG220" s="48" t="n">
        <f aca="false">IF(AG$8=1,IF(Reales!$C$56="PYG",IF(AG$10&gt;0,N(Reales!AG56)/AG$10,0),N(Reales!AG56)),AG$195*IF(AND(AND(28&gt;Corte,28&lt;=Corte+n_Ventana),ISNUMBER(Detalle_24m!AG$60)),Detalle_24m!AG$60,INDEX(Precio_V,19)*INDEX(IdxPrecio_V,1,MIN(10,AG$173)))*(1+V_dPrecio))</f>
        <v>0</v>
      </c>
      <c r="AH220" s="48" t="n">
        <f aca="false">IF(AH$8=1,IF(Reales!$C$56="PYG",IF(AH$10&gt;0,N(Reales!AH56)/AH$10,0),N(Reales!AH56)),AH$195*IF(AND(AND(29&gt;Corte,29&lt;=Corte+n_Ventana),ISNUMBER(Detalle_24m!AH$60)),Detalle_24m!AH$60,INDEX(Precio_V,19)*INDEX(IdxPrecio_V,1,MIN(10,AH$173)))*(1+V_dPrecio))</f>
        <v>0</v>
      </c>
      <c r="AI220" s="48" t="n">
        <f aca="false">IF(AI$8=1,IF(Reales!$C$56="PYG",IF(AI$10&gt;0,N(Reales!AI56)/AI$10,0),N(Reales!AI56)),AI$195*IF(AND(AND(30&gt;Corte,30&lt;=Corte+n_Ventana),ISNUMBER(Detalle_24m!AI$60)),Detalle_24m!AI$60,INDEX(Precio_V,19)*INDEX(IdxPrecio_V,1,MIN(10,AI$173)))*(1+V_dPrecio))</f>
        <v>0</v>
      </c>
      <c r="AJ220" s="48" t="n">
        <f aca="false">IF(AJ$8=1,IF(Reales!$C$56="PYG",IF(AJ$10&gt;0,N(Reales!AJ56)/AJ$10,0),N(Reales!AJ56)),AJ$195*IF(AND(AND(31&gt;Corte,31&lt;=Corte+n_Ventana),ISNUMBER(Detalle_24m!AJ$60)),Detalle_24m!AJ$60,INDEX(Precio_V,19)*INDEX(IdxPrecio_V,1,MIN(10,AJ$173)))*(1+V_dPrecio))</f>
        <v>0</v>
      </c>
      <c r="AK220" s="48" t="n">
        <f aca="false">IF(AK$8=1,IF(Reales!$C$56="PYG",IF(AK$10&gt;0,N(Reales!AK56)/AK$10,0),N(Reales!AK56)),AK$195*IF(AND(AND(32&gt;Corte,32&lt;=Corte+n_Ventana),ISNUMBER(Detalle_24m!AK$60)),Detalle_24m!AK$60,INDEX(Precio_V,19)*INDEX(IdxPrecio_V,1,MIN(10,AK$173)))*(1+V_dPrecio))</f>
        <v>0</v>
      </c>
      <c r="AL220" s="48" t="n">
        <f aca="false">IF(AL$8=1,IF(Reales!$C$56="PYG",IF(AL$10&gt;0,N(Reales!AL56)/AL$10,0),N(Reales!AL56)),AL$195*IF(AND(AND(33&gt;Corte,33&lt;=Corte+n_Ventana),ISNUMBER(Detalle_24m!AL$60)),Detalle_24m!AL$60,INDEX(Precio_V,19)*INDEX(IdxPrecio_V,1,MIN(10,AL$173)))*(1+V_dPrecio))</f>
        <v>0</v>
      </c>
      <c r="AM220" s="48" t="n">
        <f aca="false">IF(AM$8=1,IF(Reales!$C$56="PYG",IF(AM$10&gt;0,N(Reales!AM56)/AM$10,0),N(Reales!AM56)),AM$195*IF(AND(AND(34&gt;Corte,34&lt;=Corte+n_Ventana),ISNUMBER(Detalle_24m!AM$60)),Detalle_24m!AM$60,INDEX(Precio_V,19)*INDEX(IdxPrecio_V,1,MIN(10,AM$173)))*(1+V_dPrecio))</f>
        <v>0</v>
      </c>
      <c r="AN220" s="48" t="n">
        <f aca="false">IF(AN$8=1,IF(Reales!$C$56="PYG",IF(AN$10&gt;0,N(Reales!AN56)/AN$10,0),N(Reales!AN56)),AN$195*IF(AND(AND(35&gt;Corte,35&lt;=Corte+n_Ventana),ISNUMBER(Detalle_24m!AN$60)),Detalle_24m!AN$60,INDEX(Precio_V,19)*INDEX(IdxPrecio_V,1,MIN(10,AN$173)))*(1+V_dPrecio))</f>
        <v>0</v>
      </c>
      <c r="AO220" s="48" t="n">
        <f aca="false">IF(AO$8=1,IF(Reales!$C$56="PYG",IF(AO$10&gt;0,N(Reales!AO56)/AO$10,0),N(Reales!AO56)),AO$195*IF(AND(AND(36&gt;Corte,36&lt;=Corte+n_Ventana),ISNUMBER(Detalle_24m!AO$60)),Detalle_24m!AO$60,INDEX(Precio_V,19)*INDEX(IdxPrecio_V,1,MIN(10,AO$173)))*(1+V_dPrecio))</f>
        <v>0</v>
      </c>
      <c r="AP220" s="48" t="n">
        <f aca="false">IF(AP$8=1,IF(Reales!$C$56="PYG",IF(AP$10&gt;0,N(Reales!AP56)/AP$10,0),N(Reales!AP56)),AP$195*IF(AND(AND(37&gt;Corte,37&lt;=Corte+n_Ventana),ISNUMBER(Detalle_24m!AP$60)),Detalle_24m!AP$60,INDEX(Precio_V,19)*INDEX(IdxPrecio_V,1,MIN(10,AP$173)))*(1+V_dPrecio))</f>
        <v>0</v>
      </c>
      <c r="AQ220" s="48" t="n">
        <f aca="false">IF(AQ$8=1,IF(Reales!$C$56="PYG",IF(AQ$10&gt;0,N(Reales!AQ56)/AQ$10,0),N(Reales!AQ56)),AQ$195*IF(AND(AND(38&gt;Corte,38&lt;=Corte+n_Ventana),ISNUMBER(Detalle_24m!AQ$60)),Detalle_24m!AQ$60,INDEX(Precio_V,19)*INDEX(IdxPrecio_V,1,MIN(10,AQ$173)))*(1+V_dPrecio))</f>
        <v>0</v>
      </c>
      <c r="AR220" s="48" t="n">
        <f aca="false">IF(AR$8=1,IF(Reales!$C$56="PYG",IF(AR$10&gt;0,N(Reales!AR56)/AR$10,0),N(Reales!AR56)),AR$195*IF(AND(AND(39&gt;Corte,39&lt;=Corte+n_Ventana),ISNUMBER(Detalle_24m!AR$60)),Detalle_24m!AR$60,INDEX(Precio_V,19)*INDEX(IdxPrecio_V,1,MIN(10,AR$173)))*(1+V_dPrecio))</f>
        <v>0</v>
      </c>
      <c r="AS220" s="48" t="n">
        <f aca="false">IF(AS$8=1,IF(Reales!$C$56="PYG",IF(AS$10&gt;0,N(Reales!AS56)/AS$10,0),N(Reales!AS56)),AS$195*IF(AND(AND(40&gt;Corte,40&lt;=Corte+n_Ventana),ISNUMBER(Detalle_24m!AS$60)),Detalle_24m!AS$60,INDEX(Precio_V,19)*INDEX(IdxPrecio_V,1,MIN(10,AS$173)))*(1+V_dPrecio))</f>
        <v>0</v>
      </c>
      <c r="AT220" s="48" t="n">
        <f aca="false">IF(AT$8=1,IF(Reales!$C$56="PYG",IF(AT$10&gt;0,N(Reales!AT56)/AT$10,0),N(Reales!AT56)),AT$195*IF(AND(AND(41&gt;Corte,41&lt;=Corte+n_Ventana),ISNUMBER(Detalle_24m!AT$60)),Detalle_24m!AT$60,INDEX(Precio_V,19)*INDEX(IdxPrecio_V,1,MIN(10,AT$173)))*(1+V_dPrecio))</f>
        <v>0</v>
      </c>
      <c r="AU220" s="48" t="n">
        <f aca="false">IF(AU$8=1,IF(Reales!$C$56="PYG",IF(AU$10&gt;0,N(Reales!AU56)/AU$10,0),N(Reales!AU56)),AU$195*IF(AND(AND(42&gt;Corte,42&lt;=Corte+n_Ventana),ISNUMBER(Detalle_24m!AU$60)),Detalle_24m!AU$60,INDEX(Precio_V,19)*INDEX(IdxPrecio_V,1,MIN(10,AU$173)))*(1+V_dPrecio))</f>
        <v>0</v>
      </c>
      <c r="AV220" s="48" t="n">
        <f aca="false">IF(AV$8=1,IF(Reales!$C$56="PYG",IF(AV$10&gt;0,N(Reales!AV56)/AV$10,0),N(Reales!AV56)),AV$195*IF(AND(AND(43&gt;Corte,43&lt;=Corte+n_Ventana),ISNUMBER(Detalle_24m!AV$60)),Detalle_24m!AV$60,INDEX(Precio_V,19)*INDEX(IdxPrecio_V,1,MIN(10,AV$173)))*(1+V_dPrecio))</f>
        <v>0</v>
      </c>
      <c r="AW220" s="48" t="n">
        <f aca="false">IF(AW$8=1,IF(Reales!$C$56="PYG",IF(AW$10&gt;0,N(Reales!AW56)/AW$10,0),N(Reales!AW56)),AW$195*IF(AND(AND(44&gt;Corte,44&lt;=Corte+n_Ventana),ISNUMBER(Detalle_24m!AW$60)),Detalle_24m!AW$60,INDEX(Precio_V,19)*INDEX(IdxPrecio_V,1,MIN(10,AW$173)))*(1+V_dPrecio))</f>
        <v>0</v>
      </c>
      <c r="AX220" s="48" t="n">
        <f aca="false">IF(AX$8=1,IF(Reales!$C$56="PYG",IF(AX$10&gt;0,N(Reales!AX56)/AX$10,0),N(Reales!AX56)),AX$195*IF(AND(AND(45&gt;Corte,45&lt;=Corte+n_Ventana),ISNUMBER(Detalle_24m!AX$60)),Detalle_24m!AX$60,INDEX(Precio_V,19)*INDEX(IdxPrecio_V,1,MIN(10,AX$173)))*(1+V_dPrecio))</f>
        <v>0</v>
      </c>
      <c r="AY220" s="48" t="n">
        <f aca="false">IF(AY$8=1,IF(Reales!$C$56="PYG",IF(AY$10&gt;0,N(Reales!AY56)/AY$10,0),N(Reales!AY56)),AY$195*IF(AND(AND(46&gt;Corte,46&lt;=Corte+n_Ventana),ISNUMBER(Detalle_24m!AY$60)),Detalle_24m!AY$60,INDEX(Precio_V,19)*INDEX(IdxPrecio_V,1,MIN(10,AY$173)))*(1+V_dPrecio))</f>
        <v>0</v>
      </c>
      <c r="AZ220" s="48" t="n">
        <f aca="false">IF(AZ$8=1,IF(Reales!$C$56="PYG",IF(AZ$10&gt;0,N(Reales!AZ56)/AZ$10,0),N(Reales!AZ56)),AZ$195*IF(AND(AND(47&gt;Corte,47&lt;=Corte+n_Ventana),ISNUMBER(Detalle_24m!AZ$60)),Detalle_24m!AZ$60,INDEX(Precio_V,19)*INDEX(IdxPrecio_V,1,MIN(10,AZ$173)))*(1+V_dPrecio))</f>
        <v>0</v>
      </c>
      <c r="BA220" s="48" t="n">
        <f aca="false">IF(BA$8=1,IF(Reales!$C$56="PYG",IF(BA$10&gt;0,N(Reales!BA56)/BA$10,0),N(Reales!BA56)),BA$195*IF(AND(AND(48&gt;Corte,48&lt;=Corte+n_Ventana),ISNUMBER(Detalle_24m!BA$60)),Detalle_24m!BA$60,INDEX(Precio_V,19)*INDEX(IdxPrecio_V,1,MIN(10,BA$173)))*(1+V_dPrecio))</f>
        <v>0</v>
      </c>
      <c r="BB220" s="48" t="n">
        <f aca="false">IF(BB$8=1,IF(Reales!$C$56="PYG",IF(BB$10&gt;0,N(Reales!BB56)/BB$10,0),N(Reales!BB56)),BB$195*IF(AND(AND(49&gt;Corte,49&lt;=Corte+n_Ventana),ISNUMBER(Detalle_24m!BB$60)),Detalle_24m!BB$60,INDEX(Precio_V,19)*INDEX(IdxPrecio_V,1,MIN(10,BB$173)))*(1+V_dPrecio))</f>
        <v>0</v>
      </c>
      <c r="BC220" s="48" t="n">
        <f aca="false">IF(BC$8=1,IF(Reales!$C$56="PYG",IF(BC$10&gt;0,N(Reales!BC56)/BC$10,0),N(Reales!BC56)),BC$195*IF(AND(AND(50&gt;Corte,50&lt;=Corte+n_Ventana),ISNUMBER(Detalle_24m!BC$60)),Detalle_24m!BC$60,INDEX(Precio_V,19)*INDEX(IdxPrecio_V,1,MIN(10,BC$173)))*(1+V_dPrecio))</f>
        <v>0</v>
      </c>
      <c r="BD220" s="48" t="n">
        <f aca="false">IF(BD$8=1,IF(Reales!$C$56="PYG",IF(BD$10&gt;0,N(Reales!BD56)/BD$10,0),N(Reales!BD56)),BD$195*IF(AND(AND(51&gt;Corte,51&lt;=Corte+n_Ventana),ISNUMBER(Detalle_24m!BD$60)),Detalle_24m!BD$60,INDEX(Precio_V,19)*INDEX(IdxPrecio_V,1,MIN(10,BD$173)))*(1+V_dPrecio))</f>
        <v>0</v>
      </c>
      <c r="BE220" s="48" t="n">
        <f aca="false">IF(BE$8=1,IF(Reales!$C$56="PYG",IF(BE$10&gt;0,N(Reales!BE56)/BE$10,0),N(Reales!BE56)),BE$195*IF(AND(AND(52&gt;Corte,52&lt;=Corte+n_Ventana),ISNUMBER(Detalle_24m!BE$60)),Detalle_24m!BE$60,INDEX(Precio_V,19)*INDEX(IdxPrecio_V,1,MIN(10,BE$173)))*(1+V_dPrecio))</f>
        <v>0</v>
      </c>
      <c r="BF220" s="48" t="n">
        <f aca="false">IF(BF$8=1,IF(Reales!$C$56="PYG",IF(BF$10&gt;0,N(Reales!BF56)/BF$10,0),N(Reales!BF56)),BF$195*IF(AND(AND(53&gt;Corte,53&lt;=Corte+n_Ventana),ISNUMBER(Detalle_24m!BF$60)),Detalle_24m!BF$60,INDEX(Precio_V,19)*INDEX(IdxPrecio_V,1,MIN(10,BF$173)))*(1+V_dPrecio))</f>
        <v>0</v>
      </c>
      <c r="BG220" s="48" t="n">
        <f aca="false">IF(BG$8=1,IF(Reales!$C$56="PYG",IF(BG$10&gt;0,N(Reales!BG56)/BG$10,0),N(Reales!BG56)),BG$195*IF(AND(AND(54&gt;Corte,54&lt;=Corte+n_Ventana),ISNUMBER(Detalle_24m!BG$60)),Detalle_24m!BG$60,INDEX(Precio_V,19)*INDEX(IdxPrecio_V,1,MIN(10,BG$173)))*(1+V_dPrecio))</f>
        <v>0</v>
      </c>
      <c r="BH220" s="48" t="n">
        <f aca="false">IF(BH$8=1,IF(Reales!$C$56="PYG",IF(BH$10&gt;0,N(Reales!BH56)/BH$10,0),N(Reales!BH56)),BH$195*IF(AND(AND(55&gt;Corte,55&lt;=Corte+n_Ventana),ISNUMBER(Detalle_24m!BH$60)),Detalle_24m!BH$60,INDEX(Precio_V,19)*INDEX(IdxPrecio_V,1,MIN(10,BH$173)))*(1+V_dPrecio))</f>
        <v>0</v>
      </c>
      <c r="BI220" s="48" t="n">
        <f aca="false">IF(BI$8=1,IF(Reales!$C$56="PYG",IF(BI$10&gt;0,N(Reales!BI56)/BI$10,0),N(Reales!BI56)),BI$195*IF(AND(AND(56&gt;Corte,56&lt;=Corte+n_Ventana),ISNUMBER(Detalle_24m!BI$60)),Detalle_24m!BI$60,INDEX(Precio_V,19)*INDEX(IdxPrecio_V,1,MIN(10,BI$173)))*(1+V_dPrecio))</f>
        <v>0</v>
      </c>
      <c r="BJ220" s="48" t="n">
        <f aca="false">IF(BJ$8=1,IF(Reales!$C$56="PYG",IF(BJ$10&gt;0,N(Reales!BJ56)/BJ$10,0),N(Reales!BJ56)),BJ$195*IF(AND(AND(57&gt;Corte,57&lt;=Corte+n_Ventana),ISNUMBER(Detalle_24m!BJ$60)),Detalle_24m!BJ$60,INDEX(Precio_V,19)*INDEX(IdxPrecio_V,1,MIN(10,BJ$173)))*(1+V_dPrecio))</f>
        <v>0</v>
      </c>
      <c r="BK220" s="48" t="n">
        <f aca="false">IF(BK$8=1,IF(Reales!$C$56="PYG",IF(BK$10&gt;0,N(Reales!BK56)/BK$10,0),N(Reales!BK56)),BK$195*IF(AND(AND(58&gt;Corte,58&lt;=Corte+n_Ventana),ISNUMBER(Detalle_24m!BK$60)),Detalle_24m!BK$60,INDEX(Precio_V,19)*INDEX(IdxPrecio_V,1,MIN(10,BK$173)))*(1+V_dPrecio))</f>
        <v>0</v>
      </c>
      <c r="BL220" s="48" t="n">
        <f aca="false">IF(BL$8=1,IF(Reales!$C$56="PYG",IF(BL$10&gt;0,N(Reales!BL56)/BL$10,0),N(Reales!BL56)),BL$195*IF(AND(AND(59&gt;Corte,59&lt;=Corte+n_Ventana),ISNUMBER(Detalle_24m!BL$60)),Detalle_24m!BL$60,INDEX(Precio_V,19)*INDEX(IdxPrecio_V,1,MIN(10,BL$173)))*(1+V_dPrecio))</f>
        <v>0</v>
      </c>
      <c r="BM220" s="48" t="n">
        <f aca="false">IF(BM$8=1,IF(Reales!$C$56="PYG",IF(BM$10&gt;0,N(Reales!BM56)/BM$10,0),N(Reales!BM56)),BM$195*IF(AND(AND(60&gt;Corte,60&lt;=Corte+n_Ventana),ISNUMBER(Detalle_24m!BM$60)),Detalle_24m!BM$60,INDEX(Precio_V,19)*INDEX(IdxPrecio_V,1,MIN(10,BM$173)))*(1+V_dPrecio))</f>
        <v>0</v>
      </c>
      <c r="BN220" s="48" t="n">
        <f aca="false">IF(BN$8=1,IF(Reales!$C$56="PYG",IF(BN$10&gt;0,N(Reales!BN56)/BN$10,0),N(Reales!BN56)),BN$195*IF(AND(AND(61&gt;Corte,61&lt;=Corte+n_Ventana),ISNUMBER(Detalle_24m!BN$60)),Detalle_24m!BN$60,INDEX(Precio_V,19)*INDEX(IdxPrecio_V,1,MIN(10,BN$173)))*(1+V_dPrecio))</f>
        <v>0</v>
      </c>
      <c r="BO220" s="48" t="n">
        <f aca="false">IF(BO$8=1,IF(Reales!$C$56="PYG",IF(BO$10&gt;0,N(Reales!BO56)/BO$10,0),N(Reales!BO56)),BO$195*IF(AND(AND(62&gt;Corte,62&lt;=Corte+n_Ventana),ISNUMBER(Detalle_24m!BO$60)),Detalle_24m!BO$60,INDEX(Precio_V,19)*INDEX(IdxPrecio_V,1,MIN(10,BO$173)))*(1+V_dPrecio))</f>
        <v>0</v>
      </c>
      <c r="BP220" s="48" t="n">
        <f aca="false">IF(BP$8=1,IF(Reales!$C$56="PYG",IF(BP$10&gt;0,N(Reales!BP56)/BP$10,0),N(Reales!BP56)),BP$195*IF(AND(AND(63&gt;Corte,63&lt;=Corte+n_Ventana),ISNUMBER(Detalle_24m!BP$60)),Detalle_24m!BP$60,INDEX(Precio_V,19)*INDEX(IdxPrecio_V,1,MIN(10,BP$173)))*(1+V_dPrecio))</f>
        <v>0</v>
      </c>
      <c r="BQ220" s="48" t="n">
        <f aca="false">IF(BQ$8=1,IF(Reales!$C$56="PYG",IF(BQ$10&gt;0,N(Reales!BQ56)/BQ$10,0),N(Reales!BQ56)),BQ$195*IF(AND(AND(64&gt;Corte,64&lt;=Corte+n_Ventana),ISNUMBER(Detalle_24m!BQ$60)),Detalle_24m!BQ$60,INDEX(Precio_V,19)*INDEX(IdxPrecio_V,1,MIN(10,BQ$173)))*(1+V_dPrecio))</f>
        <v>0</v>
      </c>
      <c r="BR220" s="48" t="n">
        <f aca="false">IF(BR$8=1,IF(Reales!$C$56="PYG",IF(BR$10&gt;0,N(Reales!BR56)/BR$10,0),N(Reales!BR56)),BR$195*IF(AND(AND(65&gt;Corte,65&lt;=Corte+n_Ventana),ISNUMBER(Detalle_24m!BR$60)),Detalle_24m!BR$60,INDEX(Precio_V,19)*INDEX(IdxPrecio_V,1,MIN(10,BR$173)))*(1+V_dPrecio))</f>
        <v>0</v>
      </c>
      <c r="BS220" s="48" t="n">
        <f aca="false">IF(BS$8=1,IF(Reales!$C$56="PYG",IF(BS$10&gt;0,N(Reales!BS56)/BS$10,0),N(Reales!BS56)),BS$195*IF(AND(AND(66&gt;Corte,66&lt;=Corte+n_Ventana),ISNUMBER(Detalle_24m!BS$60)),Detalle_24m!BS$60,INDEX(Precio_V,19)*INDEX(IdxPrecio_V,1,MIN(10,BS$173)))*(1+V_dPrecio))</f>
        <v>0</v>
      </c>
      <c r="BT220" s="48" t="n">
        <f aca="false">IF(BT$8=1,IF(Reales!$C$56="PYG",IF(BT$10&gt;0,N(Reales!BT56)/BT$10,0),N(Reales!BT56)),BT$195*IF(AND(AND(67&gt;Corte,67&lt;=Corte+n_Ventana),ISNUMBER(Detalle_24m!BT$60)),Detalle_24m!BT$60,INDEX(Precio_V,19)*INDEX(IdxPrecio_V,1,MIN(10,BT$173)))*(1+V_dPrecio))</f>
        <v>0</v>
      </c>
      <c r="BU220" s="48" t="n">
        <f aca="false">IF(BU$8=1,IF(Reales!$C$56="PYG",IF(BU$10&gt;0,N(Reales!BU56)/BU$10,0),N(Reales!BU56)),BU$195*IF(AND(AND(68&gt;Corte,68&lt;=Corte+n_Ventana),ISNUMBER(Detalle_24m!BU$60)),Detalle_24m!BU$60,INDEX(Precio_V,19)*INDEX(IdxPrecio_V,1,MIN(10,BU$173)))*(1+V_dPrecio))</f>
        <v>0</v>
      </c>
      <c r="BV220" s="48" t="n">
        <f aca="false">IF(BV$8=1,IF(Reales!$C$56="PYG",IF(BV$10&gt;0,N(Reales!BV56)/BV$10,0),N(Reales!BV56)),BV$195*IF(AND(AND(69&gt;Corte,69&lt;=Corte+n_Ventana),ISNUMBER(Detalle_24m!BV$60)),Detalle_24m!BV$60,INDEX(Precio_V,19)*INDEX(IdxPrecio_V,1,MIN(10,BV$173)))*(1+V_dPrecio))</f>
        <v>0</v>
      </c>
      <c r="BW220" s="48" t="n">
        <f aca="false">IF(BW$8=1,IF(Reales!$C$56="PYG",IF(BW$10&gt;0,N(Reales!BW56)/BW$10,0),N(Reales!BW56)),BW$195*IF(AND(AND(70&gt;Corte,70&lt;=Corte+n_Ventana),ISNUMBER(Detalle_24m!BW$60)),Detalle_24m!BW$60,INDEX(Precio_V,19)*INDEX(IdxPrecio_V,1,MIN(10,BW$173)))*(1+V_dPrecio))</f>
        <v>0</v>
      </c>
      <c r="BX220" s="48" t="n">
        <f aca="false">IF(BX$8=1,IF(Reales!$C$56="PYG",IF(BX$10&gt;0,N(Reales!BX56)/BX$10,0),N(Reales!BX56)),BX$195*IF(AND(AND(71&gt;Corte,71&lt;=Corte+n_Ventana),ISNUMBER(Detalle_24m!BX$60)),Detalle_24m!BX$60,INDEX(Precio_V,19)*INDEX(IdxPrecio_V,1,MIN(10,BX$173)))*(1+V_dPrecio))</f>
        <v>0</v>
      </c>
      <c r="BY220" s="48" t="n">
        <f aca="false">IF(BY$8=1,IF(Reales!$C$56="PYG",IF(BY$10&gt;0,N(Reales!BY56)/BY$10,0),N(Reales!BY56)),BY$195*IF(AND(AND(72&gt;Corte,72&lt;=Corte+n_Ventana),ISNUMBER(Detalle_24m!BY$60)),Detalle_24m!BY$60,INDEX(Precio_V,19)*INDEX(IdxPrecio_V,1,MIN(10,BY$173)))*(1+V_dPrecio))</f>
        <v>0</v>
      </c>
      <c r="BZ220" s="48" t="n">
        <f aca="false">IF(BZ$8=1,IF(Reales!$C$56="PYG",IF(BZ$10&gt;0,N(Reales!BZ56)/BZ$10,0),N(Reales!BZ56)),BZ$195*IF(AND(AND(73&gt;Corte,73&lt;=Corte+n_Ventana),ISNUMBER(Detalle_24m!BZ$60)),Detalle_24m!BZ$60,INDEX(Precio_V,19)*INDEX(IdxPrecio_V,1,MIN(10,BZ$173)))*(1+V_dPrecio))</f>
        <v>0</v>
      </c>
      <c r="CA220" s="48" t="n">
        <f aca="false">IF(CA$8=1,IF(Reales!$C$56="PYG",IF(CA$10&gt;0,N(Reales!CA56)/CA$10,0),N(Reales!CA56)),CA$195*IF(AND(AND(74&gt;Corte,74&lt;=Corte+n_Ventana),ISNUMBER(Detalle_24m!CA$60)),Detalle_24m!CA$60,INDEX(Precio_V,19)*INDEX(IdxPrecio_V,1,MIN(10,CA$173)))*(1+V_dPrecio))</f>
        <v>0</v>
      </c>
      <c r="CB220" s="48" t="n">
        <f aca="false">IF(CB$8=1,IF(Reales!$C$56="PYG",IF(CB$10&gt;0,N(Reales!CB56)/CB$10,0),N(Reales!CB56)),CB$195*IF(AND(AND(75&gt;Corte,75&lt;=Corte+n_Ventana),ISNUMBER(Detalle_24m!CB$60)),Detalle_24m!CB$60,INDEX(Precio_V,19)*INDEX(IdxPrecio_V,1,MIN(10,CB$173)))*(1+V_dPrecio))</f>
        <v>0</v>
      </c>
      <c r="CC220" s="48" t="n">
        <f aca="false">IF(CC$8=1,IF(Reales!$C$56="PYG",IF(CC$10&gt;0,N(Reales!CC56)/CC$10,0),N(Reales!CC56)),CC$195*IF(AND(AND(76&gt;Corte,76&lt;=Corte+n_Ventana),ISNUMBER(Detalle_24m!CC$60)),Detalle_24m!CC$60,INDEX(Precio_V,19)*INDEX(IdxPrecio_V,1,MIN(10,CC$173)))*(1+V_dPrecio))</f>
        <v>0</v>
      </c>
      <c r="CD220" s="48" t="n">
        <f aca="false">IF(CD$8=1,IF(Reales!$C$56="PYG",IF(CD$10&gt;0,N(Reales!CD56)/CD$10,0),N(Reales!CD56)),CD$195*IF(AND(AND(77&gt;Corte,77&lt;=Corte+n_Ventana),ISNUMBER(Detalle_24m!CD$60)),Detalle_24m!CD$60,INDEX(Precio_V,19)*INDEX(IdxPrecio_V,1,MIN(10,CD$173)))*(1+V_dPrecio))</f>
        <v>0</v>
      </c>
      <c r="CE220" s="48" t="n">
        <f aca="false">IF(CE$8=1,IF(Reales!$C$56="PYG",IF(CE$10&gt;0,N(Reales!CE56)/CE$10,0),N(Reales!CE56)),CE$195*IF(AND(AND(78&gt;Corte,78&lt;=Corte+n_Ventana),ISNUMBER(Detalle_24m!CE$60)),Detalle_24m!CE$60,INDEX(Precio_V,19)*INDEX(IdxPrecio_V,1,MIN(10,CE$173)))*(1+V_dPrecio))</f>
        <v>0</v>
      </c>
      <c r="CF220" s="48" t="n">
        <f aca="false">IF(CF$8=1,IF(Reales!$C$56="PYG",IF(CF$10&gt;0,N(Reales!CF56)/CF$10,0),N(Reales!CF56)),CF$195*IF(AND(AND(79&gt;Corte,79&lt;=Corte+n_Ventana),ISNUMBER(Detalle_24m!CF$60)),Detalle_24m!CF$60,INDEX(Precio_V,19)*INDEX(IdxPrecio_V,1,MIN(10,CF$173)))*(1+V_dPrecio))</f>
        <v>0</v>
      </c>
      <c r="CG220" s="48" t="n">
        <f aca="false">IF(CG$8=1,IF(Reales!$C$56="PYG",IF(CG$10&gt;0,N(Reales!CG56)/CG$10,0),N(Reales!CG56)),CG$195*IF(AND(AND(80&gt;Corte,80&lt;=Corte+n_Ventana),ISNUMBER(Detalle_24m!CG$60)),Detalle_24m!CG$60,INDEX(Precio_V,19)*INDEX(IdxPrecio_V,1,MIN(10,CG$173)))*(1+V_dPrecio))</f>
        <v>0</v>
      </c>
      <c r="CH220" s="48" t="n">
        <f aca="false">IF(CH$8=1,IF(Reales!$C$56="PYG",IF(CH$10&gt;0,N(Reales!CH56)/CH$10,0),N(Reales!CH56)),CH$195*IF(AND(AND(81&gt;Corte,81&lt;=Corte+n_Ventana),ISNUMBER(Detalle_24m!CH$60)),Detalle_24m!CH$60,INDEX(Precio_V,19)*INDEX(IdxPrecio_V,1,MIN(10,CH$173)))*(1+V_dPrecio))</f>
        <v>0</v>
      </c>
      <c r="CI220" s="48" t="n">
        <f aca="false">IF(CI$8=1,IF(Reales!$C$56="PYG",IF(CI$10&gt;0,N(Reales!CI56)/CI$10,0),N(Reales!CI56)),CI$195*IF(AND(AND(82&gt;Corte,82&lt;=Corte+n_Ventana),ISNUMBER(Detalle_24m!CI$60)),Detalle_24m!CI$60,INDEX(Precio_V,19)*INDEX(IdxPrecio_V,1,MIN(10,CI$173)))*(1+V_dPrecio))</f>
        <v>0</v>
      </c>
      <c r="CJ220" s="48" t="n">
        <f aca="false">IF(CJ$8=1,IF(Reales!$C$56="PYG",IF(CJ$10&gt;0,N(Reales!CJ56)/CJ$10,0),N(Reales!CJ56)),CJ$195*IF(AND(AND(83&gt;Corte,83&lt;=Corte+n_Ventana),ISNUMBER(Detalle_24m!CJ$60)),Detalle_24m!CJ$60,INDEX(Precio_V,19)*INDEX(IdxPrecio_V,1,MIN(10,CJ$173)))*(1+V_dPrecio))</f>
        <v>0</v>
      </c>
      <c r="CK220" s="48" t="n">
        <f aca="false">IF(CK$8=1,IF(Reales!$C$56="PYG",IF(CK$10&gt;0,N(Reales!CK56)/CK$10,0),N(Reales!CK56)),CK$195*IF(AND(AND(84&gt;Corte,84&lt;=Corte+n_Ventana),ISNUMBER(Detalle_24m!CK$60)),Detalle_24m!CK$60,INDEX(Precio_V,19)*INDEX(IdxPrecio_V,1,MIN(10,CK$173)))*(1+V_dPrecio))</f>
        <v>0</v>
      </c>
      <c r="CL220" s="48" t="n">
        <f aca="false">IF(CL$8=1,IF(Reales!$C$56="PYG",IF(CL$10&gt;0,N(Reales!CL56)/CL$10,0),N(Reales!CL56)),CL$195*IF(AND(AND(85&gt;Corte,85&lt;=Corte+n_Ventana),ISNUMBER(Detalle_24m!CL$60)),Detalle_24m!CL$60,INDEX(Precio_V,19)*INDEX(IdxPrecio_V,1,MIN(10,CL$173)))*(1+V_dPrecio))</f>
        <v>0</v>
      </c>
      <c r="CM220" s="48" t="n">
        <f aca="false">IF(CM$8=1,IF(Reales!$C$56="PYG",IF(CM$10&gt;0,N(Reales!CM56)/CM$10,0),N(Reales!CM56)),CM$195*IF(AND(AND(86&gt;Corte,86&lt;=Corte+n_Ventana),ISNUMBER(Detalle_24m!CM$60)),Detalle_24m!CM$60,INDEX(Precio_V,19)*INDEX(IdxPrecio_V,1,MIN(10,CM$173)))*(1+V_dPrecio))</f>
        <v>0</v>
      </c>
      <c r="CN220" s="48" t="n">
        <f aca="false">IF(CN$8=1,IF(Reales!$C$56="PYG",IF(CN$10&gt;0,N(Reales!CN56)/CN$10,0),N(Reales!CN56)),CN$195*IF(AND(AND(87&gt;Corte,87&lt;=Corte+n_Ventana),ISNUMBER(Detalle_24m!CN$60)),Detalle_24m!CN$60,INDEX(Precio_V,19)*INDEX(IdxPrecio_V,1,MIN(10,CN$173)))*(1+V_dPrecio))</f>
        <v>0</v>
      </c>
      <c r="CO220" s="48" t="n">
        <f aca="false">IF(CO$8=1,IF(Reales!$C$56="PYG",IF(CO$10&gt;0,N(Reales!CO56)/CO$10,0),N(Reales!CO56)),CO$195*IF(AND(AND(88&gt;Corte,88&lt;=Corte+n_Ventana),ISNUMBER(Detalle_24m!CO$60)),Detalle_24m!CO$60,INDEX(Precio_V,19)*INDEX(IdxPrecio_V,1,MIN(10,CO$173)))*(1+V_dPrecio))</f>
        <v>0</v>
      </c>
      <c r="CP220" s="48" t="n">
        <f aca="false">IF(CP$8=1,IF(Reales!$C$56="PYG",IF(CP$10&gt;0,N(Reales!CP56)/CP$10,0),N(Reales!CP56)),CP$195*IF(AND(AND(89&gt;Corte,89&lt;=Corte+n_Ventana),ISNUMBER(Detalle_24m!CP$60)),Detalle_24m!CP$60,INDEX(Precio_V,19)*INDEX(IdxPrecio_V,1,MIN(10,CP$173)))*(1+V_dPrecio))</f>
        <v>0</v>
      </c>
      <c r="CQ220" s="48" t="n">
        <f aca="false">IF(CQ$8=1,IF(Reales!$C$56="PYG",IF(CQ$10&gt;0,N(Reales!CQ56)/CQ$10,0),N(Reales!CQ56)),CQ$195*IF(AND(AND(90&gt;Corte,90&lt;=Corte+n_Ventana),ISNUMBER(Detalle_24m!CQ$60)),Detalle_24m!CQ$60,INDEX(Precio_V,19)*INDEX(IdxPrecio_V,1,MIN(10,CQ$173)))*(1+V_dPrecio))</f>
        <v>0</v>
      </c>
      <c r="CR220" s="48" t="n">
        <f aca="false">IF(CR$8=1,IF(Reales!$C$56="PYG",IF(CR$10&gt;0,N(Reales!CR56)/CR$10,0),N(Reales!CR56)),CR$195*IF(AND(AND(91&gt;Corte,91&lt;=Corte+n_Ventana),ISNUMBER(Detalle_24m!CR$60)),Detalle_24m!CR$60,INDEX(Precio_V,19)*INDEX(IdxPrecio_V,1,MIN(10,CR$173)))*(1+V_dPrecio))</f>
        <v>0</v>
      </c>
      <c r="CS220" s="48" t="n">
        <f aca="false">IF(CS$8=1,IF(Reales!$C$56="PYG",IF(CS$10&gt;0,N(Reales!CS56)/CS$10,0),N(Reales!CS56)),CS$195*IF(AND(AND(92&gt;Corte,92&lt;=Corte+n_Ventana),ISNUMBER(Detalle_24m!CS$60)),Detalle_24m!CS$60,INDEX(Precio_V,19)*INDEX(IdxPrecio_V,1,MIN(10,CS$173)))*(1+V_dPrecio))</f>
        <v>0</v>
      </c>
      <c r="CT220" s="48" t="n">
        <f aca="false">IF(CT$8=1,IF(Reales!$C$56="PYG",IF(CT$10&gt;0,N(Reales!CT56)/CT$10,0),N(Reales!CT56)),CT$195*IF(AND(AND(93&gt;Corte,93&lt;=Corte+n_Ventana),ISNUMBER(Detalle_24m!CT$60)),Detalle_24m!CT$60,INDEX(Precio_V,19)*INDEX(IdxPrecio_V,1,MIN(10,CT$173)))*(1+V_dPrecio))</f>
        <v>0</v>
      </c>
      <c r="CU220" s="48" t="n">
        <f aca="false">IF(CU$8=1,IF(Reales!$C$56="PYG",IF(CU$10&gt;0,N(Reales!CU56)/CU$10,0),N(Reales!CU56)),CU$195*IF(AND(AND(94&gt;Corte,94&lt;=Corte+n_Ventana),ISNUMBER(Detalle_24m!CU$60)),Detalle_24m!CU$60,INDEX(Precio_V,19)*INDEX(IdxPrecio_V,1,MIN(10,CU$173)))*(1+V_dPrecio))</f>
        <v>0</v>
      </c>
      <c r="CV220" s="48" t="n">
        <f aca="false">IF(CV$8=1,IF(Reales!$C$56="PYG",IF(CV$10&gt;0,N(Reales!CV56)/CV$10,0),N(Reales!CV56)),CV$195*IF(AND(AND(95&gt;Corte,95&lt;=Corte+n_Ventana),ISNUMBER(Detalle_24m!CV$60)),Detalle_24m!CV$60,INDEX(Precio_V,19)*INDEX(IdxPrecio_V,1,MIN(10,CV$173)))*(1+V_dPrecio))</f>
        <v>0</v>
      </c>
      <c r="CW220" s="48" t="n">
        <f aca="false">IF(CW$8=1,IF(Reales!$C$56="PYG",IF(CW$10&gt;0,N(Reales!CW56)/CW$10,0),N(Reales!CW56)),CW$195*IF(AND(AND(96&gt;Corte,96&lt;=Corte+n_Ventana),ISNUMBER(Detalle_24m!CW$60)),Detalle_24m!CW$60,INDEX(Precio_V,19)*INDEX(IdxPrecio_V,1,MIN(10,CW$173)))*(1+V_dPrecio))</f>
        <v>0</v>
      </c>
      <c r="CX220" s="48" t="n">
        <f aca="false">IF(CX$8=1,IF(Reales!$C$56="PYG",IF(CX$10&gt;0,N(Reales!CX56)/CX$10,0),N(Reales!CX56)),CX$195*IF(AND(AND(97&gt;Corte,97&lt;=Corte+n_Ventana),ISNUMBER(Detalle_24m!CX$60)),Detalle_24m!CX$60,INDEX(Precio_V,19)*INDEX(IdxPrecio_V,1,MIN(10,CX$173)))*(1+V_dPrecio))</f>
        <v>0</v>
      </c>
      <c r="CY220" s="48" t="n">
        <f aca="false">IF(CY$8=1,IF(Reales!$C$56="PYG",IF(CY$10&gt;0,N(Reales!CY56)/CY$10,0),N(Reales!CY56)),CY$195*IF(AND(AND(98&gt;Corte,98&lt;=Corte+n_Ventana),ISNUMBER(Detalle_24m!CY$60)),Detalle_24m!CY$60,INDEX(Precio_V,19)*INDEX(IdxPrecio_V,1,MIN(10,CY$173)))*(1+V_dPrecio))</f>
        <v>0</v>
      </c>
      <c r="CZ220" s="48" t="n">
        <f aca="false">IF(CZ$8=1,IF(Reales!$C$56="PYG",IF(CZ$10&gt;0,N(Reales!CZ56)/CZ$10,0),N(Reales!CZ56)),CZ$195*IF(AND(AND(99&gt;Corte,99&lt;=Corte+n_Ventana),ISNUMBER(Detalle_24m!CZ$60)),Detalle_24m!CZ$60,INDEX(Precio_V,19)*INDEX(IdxPrecio_V,1,MIN(10,CZ$173)))*(1+V_dPrecio))</f>
        <v>0</v>
      </c>
      <c r="DA220" s="48" t="n">
        <f aca="false">IF(DA$8=1,IF(Reales!$C$56="PYG",IF(DA$10&gt;0,N(Reales!DA56)/DA$10,0),N(Reales!DA56)),DA$195*IF(AND(AND(100&gt;Corte,100&lt;=Corte+n_Ventana),ISNUMBER(Detalle_24m!DA$60)),Detalle_24m!DA$60,INDEX(Precio_V,19)*INDEX(IdxPrecio_V,1,MIN(10,DA$173)))*(1+V_dPrecio))</f>
        <v>0</v>
      </c>
      <c r="DB220" s="48" t="n">
        <f aca="false">IF(DB$8=1,IF(Reales!$C$56="PYG",IF(DB$10&gt;0,N(Reales!DB56)/DB$10,0),N(Reales!DB56)),DB$195*IF(AND(AND(101&gt;Corte,101&lt;=Corte+n_Ventana),ISNUMBER(Detalle_24m!DB$60)),Detalle_24m!DB$60,INDEX(Precio_V,19)*INDEX(IdxPrecio_V,1,MIN(10,DB$173)))*(1+V_dPrecio))</f>
        <v>0</v>
      </c>
      <c r="DC220" s="48" t="n">
        <f aca="false">IF(DC$8=1,IF(Reales!$C$56="PYG",IF(DC$10&gt;0,N(Reales!DC56)/DC$10,0),N(Reales!DC56)),DC$195*IF(AND(AND(102&gt;Corte,102&lt;=Corte+n_Ventana),ISNUMBER(Detalle_24m!DC$60)),Detalle_24m!DC$60,INDEX(Precio_V,19)*INDEX(IdxPrecio_V,1,MIN(10,DC$173)))*(1+V_dPrecio))</f>
        <v>0</v>
      </c>
      <c r="DD220" s="48" t="n">
        <f aca="false">IF(DD$8=1,IF(Reales!$C$56="PYG",IF(DD$10&gt;0,N(Reales!DD56)/DD$10,0),N(Reales!DD56)),DD$195*IF(AND(AND(103&gt;Corte,103&lt;=Corte+n_Ventana),ISNUMBER(Detalle_24m!DD$60)),Detalle_24m!DD$60,INDEX(Precio_V,19)*INDEX(IdxPrecio_V,1,MIN(10,DD$173)))*(1+V_dPrecio))</f>
        <v>0</v>
      </c>
      <c r="DE220" s="48" t="n">
        <f aca="false">IF(DE$8=1,IF(Reales!$C$56="PYG",IF(DE$10&gt;0,N(Reales!DE56)/DE$10,0),N(Reales!DE56)),DE$195*IF(AND(AND(104&gt;Corte,104&lt;=Corte+n_Ventana),ISNUMBER(Detalle_24m!DE$60)),Detalle_24m!DE$60,INDEX(Precio_V,19)*INDEX(IdxPrecio_V,1,MIN(10,DE$173)))*(1+V_dPrecio))</f>
        <v>0</v>
      </c>
      <c r="DF220" s="48" t="n">
        <f aca="false">IF(DF$8=1,IF(Reales!$C$56="PYG",IF(DF$10&gt;0,N(Reales!DF56)/DF$10,0),N(Reales!DF56)),DF$195*IF(AND(AND(105&gt;Corte,105&lt;=Corte+n_Ventana),ISNUMBER(Detalle_24m!DF$60)),Detalle_24m!DF$60,INDEX(Precio_V,19)*INDEX(IdxPrecio_V,1,MIN(10,DF$173)))*(1+V_dPrecio))</f>
        <v>0</v>
      </c>
      <c r="DG220" s="48" t="n">
        <f aca="false">IF(DG$8=1,IF(Reales!$C$56="PYG",IF(DG$10&gt;0,N(Reales!DG56)/DG$10,0),N(Reales!DG56)),DG$195*IF(AND(AND(106&gt;Corte,106&lt;=Corte+n_Ventana),ISNUMBER(Detalle_24m!DG$60)),Detalle_24m!DG$60,INDEX(Precio_V,19)*INDEX(IdxPrecio_V,1,MIN(10,DG$173)))*(1+V_dPrecio))</f>
        <v>0</v>
      </c>
      <c r="DH220" s="48" t="n">
        <f aca="false">IF(DH$8=1,IF(Reales!$C$56="PYG",IF(DH$10&gt;0,N(Reales!DH56)/DH$10,0),N(Reales!DH56)),DH$195*IF(AND(AND(107&gt;Corte,107&lt;=Corte+n_Ventana),ISNUMBER(Detalle_24m!DH$60)),Detalle_24m!DH$60,INDEX(Precio_V,19)*INDEX(IdxPrecio_V,1,MIN(10,DH$173)))*(1+V_dPrecio))</f>
        <v>0</v>
      </c>
      <c r="DI220" s="48" t="n">
        <f aca="false">IF(DI$8=1,IF(Reales!$C$56="PYG",IF(DI$10&gt;0,N(Reales!DI56)/DI$10,0),N(Reales!DI56)),DI$195*IF(AND(AND(108&gt;Corte,108&lt;=Corte+n_Ventana),ISNUMBER(Detalle_24m!DI$60)),Detalle_24m!DI$60,INDEX(Precio_V,19)*INDEX(IdxPrecio_V,1,MIN(10,DI$173)))*(1+V_dPrecio))</f>
        <v>0</v>
      </c>
      <c r="DJ220" s="48" t="n">
        <f aca="false">IF(DJ$8=1,IF(Reales!$C$56="PYG",IF(DJ$10&gt;0,N(Reales!DJ56)/DJ$10,0),N(Reales!DJ56)),DJ$195*IF(AND(AND(109&gt;Corte,109&lt;=Corte+n_Ventana),ISNUMBER(Detalle_24m!DJ$60)),Detalle_24m!DJ$60,INDEX(Precio_V,19)*INDEX(IdxPrecio_V,1,MIN(10,DJ$173)))*(1+V_dPrecio))</f>
        <v>0</v>
      </c>
      <c r="DK220" s="48" t="n">
        <f aca="false">IF(DK$8=1,IF(Reales!$C$56="PYG",IF(DK$10&gt;0,N(Reales!DK56)/DK$10,0),N(Reales!DK56)),DK$195*IF(AND(AND(110&gt;Corte,110&lt;=Corte+n_Ventana),ISNUMBER(Detalle_24m!DK$60)),Detalle_24m!DK$60,INDEX(Precio_V,19)*INDEX(IdxPrecio_V,1,MIN(10,DK$173)))*(1+V_dPrecio))</f>
        <v>0</v>
      </c>
      <c r="DL220" s="48" t="n">
        <f aca="false">IF(DL$8=1,IF(Reales!$C$56="PYG",IF(DL$10&gt;0,N(Reales!DL56)/DL$10,0),N(Reales!DL56)),DL$195*IF(AND(AND(111&gt;Corte,111&lt;=Corte+n_Ventana),ISNUMBER(Detalle_24m!DL$60)),Detalle_24m!DL$60,INDEX(Precio_V,19)*INDEX(IdxPrecio_V,1,MIN(10,DL$173)))*(1+V_dPrecio))</f>
        <v>0</v>
      </c>
      <c r="DM220" s="48" t="n">
        <f aca="false">IF(DM$8=1,IF(Reales!$C$56="PYG",IF(DM$10&gt;0,N(Reales!DM56)/DM$10,0),N(Reales!DM56)),DM$195*IF(AND(AND(112&gt;Corte,112&lt;=Corte+n_Ventana),ISNUMBER(Detalle_24m!DM$60)),Detalle_24m!DM$60,INDEX(Precio_V,19)*INDEX(IdxPrecio_V,1,MIN(10,DM$173)))*(1+V_dPrecio))</f>
        <v>0</v>
      </c>
      <c r="DN220" s="48" t="n">
        <f aca="false">IF(DN$8=1,IF(Reales!$C$56="PYG",IF(DN$10&gt;0,N(Reales!DN56)/DN$10,0),N(Reales!DN56)),DN$195*IF(AND(AND(113&gt;Corte,113&lt;=Corte+n_Ventana),ISNUMBER(Detalle_24m!DN$60)),Detalle_24m!DN$60,INDEX(Precio_V,19)*INDEX(IdxPrecio_V,1,MIN(10,DN$173)))*(1+V_dPrecio))</f>
        <v>0</v>
      </c>
      <c r="DO220" s="48" t="n">
        <f aca="false">IF(DO$8=1,IF(Reales!$C$56="PYG",IF(DO$10&gt;0,N(Reales!DO56)/DO$10,0),N(Reales!DO56)),DO$195*IF(AND(AND(114&gt;Corte,114&lt;=Corte+n_Ventana),ISNUMBER(Detalle_24m!DO$60)),Detalle_24m!DO$60,INDEX(Precio_V,19)*INDEX(IdxPrecio_V,1,MIN(10,DO$173)))*(1+V_dPrecio))</f>
        <v>0</v>
      </c>
      <c r="DP220" s="48" t="n">
        <f aca="false">IF(DP$8=1,IF(Reales!$C$56="PYG",IF(DP$10&gt;0,N(Reales!DP56)/DP$10,0),N(Reales!DP56)),DP$195*IF(AND(AND(115&gt;Corte,115&lt;=Corte+n_Ventana),ISNUMBER(Detalle_24m!DP$60)),Detalle_24m!DP$60,INDEX(Precio_V,19)*INDEX(IdxPrecio_V,1,MIN(10,DP$173)))*(1+V_dPrecio))</f>
        <v>0</v>
      </c>
      <c r="DQ220" s="48" t="n">
        <f aca="false">IF(DQ$8=1,IF(Reales!$C$56="PYG",IF(DQ$10&gt;0,N(Reales!DQ56)/DQ$10,0),N(Reales!DQ56)),DQ$195*IF(AND(AND(116&gt;Corte,116&lt;=Corte+n_Ventana),ISNUMBER(Detalle_24m!DQ$60)),Detalle_24m!DQ$60,INDEX(Precio_V,19)*INDEX(IdxPrecio_V,1,MIN(10,DQ$173)))*(1+V_dPrecio))</f>
        <v>0</v>
      </c>
      <c r="DR220" s="48" t="n">
        <f aca="false">IF(DR$8=1,IF(Reales!$C$56="PYG",IF(DR$10&gt;0,N(Reales!DR56)/DR$10,0),N(Reales!DR56)),DR$195*IF(AND(AND(117&gt;Corte,117&lt;=Corte+n_Ventana),ISNUMBER(Detalle_24m!DR$60)),Detalle_24m!DR$60,INDEX(Precio_V,19)*INDEX(IdxPrecio_V,1,MIN(10,DR$173)))*(1+V_dPrecio))</f>
        <v>0</v>
      </c>
      <c r="DS220" s="48" t="n">
        <f aca="false">IF(DS$8=1,IF(Reales!$C$56="PYG",IF(DS$10&gt;0,N(Reales!DS56)/DS$10,0),N(Reales!DS56)),DS$195*IF(AND(AND(118&gt;Corte,118&lt;=Corte+n_Ventana),ISNUMBER(Detalle_24m!DS$60)),Detalle_24m!DS$60,INDEX(Precio_V,19)*INDEX(IdxPrecio_V,1,MIN(10,DS$173)))*(1+V_dPrecio))</f>
        <v>0</v>
      </c>
      <c r="DT220" s="48" t="n">
        <f aca="false">IF(DT$8=1,IF(Reales!$C$56="PYG",IF(DT$10&gt;0,N(Reales!DT56)/DT$10,0),N(Reales!DT56)),DT$195*IF(AND(AND(119&gt;Corte,119&lt;=Corte+n_Ventana),ISNUMBER(Detalle_24m!DT$60)),Detalle_24m!DT$60,INDEX(Precio_V,19)*INDEX(IdxPrecio_V,1,MIN(10,DT$173)))*(1+V_dPrecio))</f>
        <v>0</v>
      </c>
      <c r="DU220" s="48" t="n">
        <f aca="false">IF(DU$8=1,IF(Reales!$C$56="PYG",IF(DU$10&gt;0,N(Reales!DU56)/DU$10,0),N(Reales!DU56)),DU$195*IF(AND(AND(120&gt;Corte,120&lt;=Corte+n_Ventana),ISNUMBER(Detalle_24m!DU$60)),Detalle_24m!DU$60,INDEX(Precio_V,19)*INDEX(IdxPrecio_V,1,MIN(10,DU$173)))*(1+V_dPrecio))</f>
        <v>0</v>
      </c>
      <c r="DV220" s="48" t="n">
        <f aca="false">IF(DV$8=1,IF(Reales!$C$56="PYG",IF(DV$10&gt;0,N(Reales!DV56)/DV$10,0),N(Reales!DV56)),DV$195*IF(AND(AND(121&gt;Corte,121&lt;=Corte+n_Ventana),ISNUMBER(Detalle_24m!DV$60)),Detalle_24m!DV$60,INDEX(Precio_V,19)*INDEX(IdxPrecio_V,1,MIN(10,DV$173)))*(1+V_dPrecio))</f>
        <v>0</v>
      </c>
      <c r="DW220" s="48" t="n">
        <f aca="false">IF(DW$8=1,IF(Reales!$C$56="PYG",IF(DW$10&gt;0,N(Reales!DW56)/DW$10,0),N(Reales!DW56)),DW$195*IF(AND(AND(122&gt;Corte,122&lt;=Corte+n_Ventana),ISNUMBER(Detalle_24m!DW$60)),Detalle_24m!DW$60,INDEX(Precio_V,19)*INDEX(IdxPrecio_V,1,MIN(10,DW$173)))*(1+V_dPrecio))</f>
        <v>0</v>
      </c>
      <c r="DX220" s="48" t="n">
        <f aca="false">IF(DX$8=1,IF(Reales!$C$56="PYG",IF(DX$10&gt;0,N(Reales!DX56)/DX$10,0),N(Reales!DX56)),DX$195*IF(AND(AND(123&gt;Corte,123&lt;=Corte+n_Ventana),ISNUMBER(Detalle_24m!DX$60)),Detalle_24m!DX$60,INDEX(Precio_V,19)*INDEX(IdxPrecio_V,1,MIN(10,DX$173)))*(1+V_dPrecio))</f>
        <v>0</v>
      </c>
      <c r="DY220" s="48" t="n">
        <f aca="false">IF(DY$8=1,IF(Reales!$C$56="PYG",IF(DY$10&gt;0,N(Reales!DY56)/DY$10,0),N(Reales!DY56)),DY$195*IF(AND(AND(124&gt;Corte,124&lt;=Corte+n_Ventana),ISNUMBER(Detalle_24m!DY$60)),Detalle_24m!DY$60,INDEX(Precio_V,19)*INDEX(IdxPrecio_V,1,MIN(10,DY$173)))*(1+V_dPrecio))</f>
        <v>0</v>
      </c>
      <c r="DZ220" s="48" t="n">
        <f aca="false">IF(DZ$8=1,IF(Reales!$C$56="PYG",IF(DZ$10&gt;0,N(Reales!DZ56)/DZ$10,0),N(Reales!DZ56)),DZ$195*IF(AND(AND(125&gt;Corte,125&lt;=Corte+n_Ventana),ISNUMBER(Detalle_24m!DZ$60)),Detalle_24m!DZ$60,INDEX(Precio_V,19)*INDEX(IdxPrecio_V,1,MIN(10,DZ$173)))*(1+V_dPrecio))</f>
        <v>0</v>
      </c>
      <c r="EA220" s="48" t="n">
        <f aca="false">IF(EA$8=1,IF(Reales!$C$56="PYG",IF(EA$10&gt;0,N(Reales!EA56)/EA$10,0),N(Reales!EA56)),EA$195*IF(AND(AND(126&gt;Corte,126&lt;=Corte+n_Ventana),ISNUMBER(Detalle_24m!EA$60)),Detalle_24m!EA$60,INDEX(Precio_V,19)*INDEX(IdxPrecio_V,1,MIN(10,EA$173)))*(1+V_dPrecio))</f>
        <v>0</v>
      </c>
      <c r="EB220" s="48" t="n">
        <f aca="false">IF(EB$8=1,IF(Reales!$C$56="PYG",IF(EB$10&gt;0,N(Reales!EB56)/EB$10,0),N(Reales!EB56)),EB$195*IF(AND(AND(127&gt;Corte,127&lt;=Corte+n_Ventana),ISNUMBER(Detalle_24m!EB$60)),Detalle_24m!EB$60,INDEX(Precio_V,19)*INDEX(IdxPrecio_V,1,MIN(10,EB$173)))*(1+V_dPrecio))</f>
        <v>0</v>
      </c>
      <c r="EC220" s="48" t="n">
        <f aca="false">IF(EC$8=1,IF(Reales!$C$56="PYG",IF(EC$10&gt;0,N(Reales!EC56)/EC$10,0),N(Reales!EC56)),EC$195*IF(AND(AND(128&gt;Corte,128&lt;=Corte+n_Ventana),ISNUMBER(Detalle_24m!EC$60)),Detalle_24m!EC$60,INDEX(Precio_V,19)*INDEX(IdxPrecio_V,1,MIN(10,EC$173)))*(1+V_dPrecio))</f>
        <v>0</v>
      </c>
      <c r="ED220" s="48" t="n">
        <f aca="false">IF(ED$8=1,IF(Reales!$C$56="PYG",IF(ED$10&gt;0,N(Reales!ED56)/ED$10,0),N(Reales!ED56)),ED$195*IF(AND(AND(129&gt;Corte,129&lt;=Corte+n_Ventana),ISNUMBER(Detalle_24m!ED$60)),Detalle_24m!ED$60,INDEX(Precio_V,19)*INDEX(IdxPrecio_V,1,MIN(10,ED$173)))*(1+V_dPrecio))</f>
        <v>0</v>
      </c>
      <c r="EE220" s="48" t="n">
        <f aca="false">IF(EE$8=1,IF(Reales!$C$56="PYG",IF(EE$10&gt;0,N(Reales!EE56)/EE$10,0),N(Reales!EE56)),EE$195*IF(AND(AND(130&gt;Corte,130&lt;=Corte+n_Ventana),ISNUMBER(Detalle_24m!EE$60)),Detalle_24m!EE$60,INDEX(Precio_V,19)*INDEX(IdxPrecio_V,1,MIN(10,EE$173)))*(1+V_dPrecio))</f>
        <v>0</v>
      </c>
      <c r="EF220" s="48" t="n">
        <f aca="false">IF(EF$8=1,IF(Reales!$C$56="PYG",IF(EF$10&gt;0,N(Reales!EF56)/EF$10,0),N(Reales!EF56)),EF$195*IF(AND(AND(131&gt;Corte,131&lt;=Corte+n_Ventana),ISNUMBER(Detalle_24m!EF$60)),Detalle_24m!EF$60,INDEX(Precio_V,19)*INDEX(IdxPrecio_V,1,MIN(10,EF$173)))*(1+V_dPrecio))</f>
        <v>0</v>
      </c>
      <c r="EG220" s="48" t="n">
        <f aca="false">IF(EG$8=1,IF(Reales!$C$56="PYG",IF(EG$10&gt;0,N(Reales!EG56)/EG$10,0),N(Reales!EG56)),EG$195*IF(AND(AND(132&gt;Corte,132&lt;=Corte+n_Ventana),ISNUMBER(Detalle_24m!EG$60)),Detalle_24m!EG$60,INDEX(Precio_V,19)*INDEX(IdxPrecio_V,1,MIN(10,EG$173)))*(1+V_dPrecio))</f>
        <v>0</v>
      </c>
      <c r="EH220" s="48" t="n">
        <f aca="false">IF(EH$8=1,IF(Reales!$C$56="PYG",IF(EH$10&gt;0,N(Reales!EH56)/EH$10,0),N(Reales!EH56)),EH$195*IF(AND(AND(133&gt;Corte,133&lt;=Corte+n_Ventana),ISNUMBER(Detalle_24m!EH$60)),Detalle_24m!EH$60,INDEX(Precio_V,19)*INDEX(IdxPrecio_V,1,MIN(10,EH$173)))*(1+V_dPrecio))</f>
        <v>0</v>
      </c>
      <c r="EI220" s="48" t="n">
        <f aca="false">IF(EI$8=1,IF(Reales!$C$56="PYG",IF(EI$10&gt;0,N(Reales!EI56)/EI$10,0),N(Reales!EI56)),EI$195*IF(AND(AND(134&gt;Corte,134&lt;=Corte+n_Ventana),ISNUMBER(Detalle_24m!EI$60)),Detalle_24m!EI$60,INDEX(Precio_V,19)*INDEX(IdxPrecio_V,1,MIN(10,EI$173)))*(1+V_dPrecio))</f>
        <v>0</v>
      </c>
      <c r="EJ220" s="48" t="n">
        <f aca="false">IF(EJ$8=1,IF(Reales!$C$56="PYG",IF(EJ$10&gt;0,N(Reales!EJ56)/EJ$10,0),N(Reales!EJ56)),EJ$195*IF(AND(AND(135&gt;Corte,135&lt;=Corte+n_Ventana),ISNUMBER(Detalle_24m!EJ$60)),Detalle_24m!EJ$60,INDEX(Precio_V,19)*INDEX(IdxPrecio_V,1,MIN(10,EJ$173)))*(1+V_dPrecio))</f>
        <v>0</v>
      </c>
      <c r="EK220" s="48" t="n">
        <f aca="false">IF(EK$8=1,IF(Reales!$C$56="PYG",IF(EK$10&gt;0,N(Reales!EK56)/EK$10,0),N(Reales!EK56)),EK$195*IF(AND(AND(136&gt;Corte,136&lt;=Corte+n_Ventana),ISNUMBER(Detalle_24m!EK$60)),Detalle_24m!EK$60,INDEX(Precio_V,19)*INDEX(IdxPrecio_V,1,MIN(10,EK$173)))*(1+V_dPrecio))</f>
        <v>0</v>
      </c>
      <c r="EL220" s="48" t="n">
        <f aca="false">IF(EL$8=1,IF(Reales!$C$56="PYG",IF(EL$10&gt;0,N(Reales!EL56)/EL$10,0),N(Reales!EL56)),EL$195*IF(AND(AND(137&gt;Corte,137&lt;=Corte+n_Ventana),ISNUMBER(Detalle_24m!EL$60)),Detalle_24m!EL$60,INDEX(Precio_V,19)*INDEX(IdxPrecio_V,1,MIN(10,EL$173)))*(1+V_dPrecio))</f>
        <v>0</v>
      </c>
      <c r="EM220" s="48" t="n">
        <f aca="false">IF(EM$8=1,IF(Reales!$C$56="PYG",IF(EM$10&gt;0,N(Reales!EM56)/EM$10,0),N(Reales!EM56)),EM$195*IF(AND(AND(138&gt;Corte,138&lt;=Corte+n_Ventana),ISNUMBER(Detalle_24m!EM$60)),Detalle_24m!EM$60,INDEX(Precio_V,19)*INDEX(IdxPrecio_V,1,MIN(10,EM$173)))*(1+V_dPrecio))</f>
        <v>0</v>
      </c>
      <c r="EN220" s="48" t="n">
        <f aca="false">IF(EN$8=1,IF(Reales!$C$56="PYG",IF(EN$10&gt;0,N(Reales!EN56)/EN$10,0),N(Reales!EN56)),EN$195*IF(AND(AND(139&gt;Corte,139&lt;=Corte+n_Ventana),ISNUMBER(Detalle_24m!EN$60)),Detalle_24m!EN$60,INDEX(Precio_V,19)*INDEX(IdxPrecio_V,1,MIN(10,EN$173)))*(1+V_dPrecio))</f>
        <v>0</v>
      </c>
      <c r="EO220" s="48" t="n">
        <f aca="false">IF(EO$8=1,IF(Reales!$C$56="PYG",IF(EO$10&gt;0,N(Reales!EO56)/EO$10,0),N(Reales!EO56)),EO$195*IF(AND(AND(140&gt;Corte,140&lt;=Corte+n_Ventana),ISNUMBER(Detalle_24m!EO$60)),Detalle_24m!EO$60,INDEX(Precio_V,19)*INDEX(IdxPrecio_V,1,MIN(10,EO$173)))*(1+V_dPrecio))</f>
        <v>0</v>
      </c>
      <c r="EP220" s="48" t="n">
        <f aca="false">IF(EP$8=1,IF(Reales!$C$56="PYG",IF(EP$10&gt;0,N(Reales!EP56)/EP$10,0),N(Reales!EP56)),EP$195*IF(AND(AND(141&gt;Corte,141&lt;=Corte+n_Ventana),ISNUMBER(Detalle_24m!EP$60)),Detalle_24m!EP$60,INDEX(Precio_V,19)*INDEX(IdxPrecio_V,1,MIN(10,EP$173)))*(1+V_dPrecio))</f>
        <v>0</v>
      </c>
      <c r="EQ220" s="48" t="n">
        <f aca="false">IF(EQ$8=1,IF(Reales!$C$56="PYG",IF(EQ$10&gt;0,N(Reales!EQ56)/EQ$10,0),N(Reales!EQ56)),EQ$195*IF(AND(AND(142&gt;Corte,142&lt;=Corte+n_Ventana),ISNUMBER(Detalle_24m!EQ$60)),Detalle_24m!EQ$60,INDEX(Precio_V,19)*INDEX(IdxPrecio_V,1,MIN(10,EQ$173)))*(1+V_dPrecio))</f>
        <v>0</v>
      </c>
      <c r="ER220" s="48" t="n">
        <f aca="false">IF(ER$8=1,IF(Reales!$C$56="PYG",IF(ER$10&gt;0,N(Reales!ER56)/ER$10,0),N(Reales!ER56)),ER$195*IF(AND(AND(143&gt;Corte,143&lt;=Corte+n_Ventana),ISNUMBER(Detalle_24m!ER$60)),Detalle_24m!ER$60,INDEX(Precio_V,19)*INDEX(IdxPrecio_V,1,MIN(10,ER$173)))*(1+V_dPrecio))</f>
        <v>0</v>
      </c>
      <c r="ES220" s="48" t="n">
        <f aca="false">IF(ES$8=1,IF(Reales!$C$56="PYG",IF(ES$10&gt;0,N(Reales!ES56)/ES$10,0),N(Reales!ES56)),ES$195*IF(AND(AND(144&gt;Corte,144&lt;=Corte+n_Ventana),ISNUMBER(Detalle_24m!ES$60)),Detalle_24m!ES$60,INDEX(Precio_V,19)*INDEX(IdxPrecio_V,1,MIN(10,ES$173)))*(1+V_dPrecio))</f>
        <v>0</v>
      </c>
    </row>
    <row r="221" customFormat="false" ht="15" hidden="false" customHeight="false" outlineLevel="0" collapsed="false">
      <c r="A221" s="11" t="s">
        <v>1344</v>
      </c>
      <c r="B221" s="53" t="str">
        <f aca="false">IF(INDEX(Prod_Nombre,20)="","Producto 20",INDEX(Prod_Nombre,20))&amp;" — ventas USD"</f>
        <v>Producto 20 — ventas USD</v>
      </c>
      <c r="C221" s="15" t="s">
        <v>508</v>
      </c>
      <c r="E221" s="54" t="n">
        <f aca="false">SUM(F221:ES221)</f>
        <v>0</v>
      </c>
      <c r="F221" s="48" t="n">
        <f aca="false">IF(F$8=1,IF(Reales!$C$57="PYG",IF(F$10&gt;0,N(Reales!F57)/F$10,0),N(Reales!F57)),F$196*IF(AND(AND(1&gt;Corte,1&lt;=Corte+n_Ventana),ISNUMBER(Detalle_24m!F$61)),Detalle_24m!F$61,INDEX(Precio_V,20)*INDEX(IdxPrecio_V,1,MIN(10,F$173)))*(1+V_dPrecio))</f>
        <v>0</v>
      </c>
      <c r="G221" s="48" t="n">
        <f aca="false">IF(G$8=1,IF(Reales!$C$57="PYG",IF(G$10&gt;0,N(Reales!G57)/G$10,0),N(Reales!G57)),G$196*IF(AND(AND(2&gt;Corte,2&lt;=Corte+n_Ventana),ISNUMBER(Detalle_24m!G$61)),Detalle_24m!G$61,INDEX(Precio_V,20)*INDEX(IdxPrecio_V,1,MIN(10,G$173)))*(1+V_dPrecio))</f>
        <v>0</v>
      </c>
      <c r="H221" s="48" t="n">
        <f aca="false">IF(H$8=1,IF(Reales!$C$57="PYG",IF(H$10&gt;0,N(Reales!H57)/H$10,0),N(Reales!H57)),H$196*IF(AND(AND(3&gt;Corte,3&lt;=Corte+n_Ventana),ISNUMBER(Detalle_24m!H$61)),Detalle_24m!H$61,INDEX(Precio_V,20)*INDEX(IdxPrecio_V,1,MIN(10,H$173)))*(1+V_dPrecio))</f>
        <v>0</v>
      </c>
      <c r="I221" s="48" t="n">
        <f aca="false">IF(I$8=1,IF(Reales!$C$57="PYG",IF(I$10&gt;0,N(Reales!I57)/I$10,0),N(Reales!I57)),I$196*IF(AND(AND(4&gt;Corte,4&lt;=Corte+n_Ventana),ISNUMBER(Detalle_24m!I$61)),Detalle_24m!I$61,INDEX(Precio_V,20)*INDEX(IdxPrecio_V,1,MIN(10,I$173)))*(1+V_dPrecio))</f>
        <v>0</v>
      </c>
      <c r="J221" s="48" t="n">
        <f aca="false">IF(J$8=1,IF(Reales!$C$57="PYG",IF(J$10&gt;0,N(Reales!J57)/J$10,0),N(Reales!J57)),J$196*IF(AND(AND(5&gt;Corte,5&lt;=Corte+n_Ventana),ISNUMBER(Detalle_24m!J$61)),Detalle_24m!J$61,INDEX(Precio_V,20)*INDEX(IdxPrecio_V,1,MIN(10,J$173)))*(1+V_dPrecio))</f>
        <v>0</v>
      </c>
      <c r="K221" s="48" t="n">
        <f aca="false">IF(K$8=1,IF(Reales!$C$57="PYG",IF(K$10&gt;0,N(Reales!K57)/K$10,0),N(Reales!K57)),K$196*IF(AND(AND(6&gt;Corte,6&lt;=Corte+n_Ventana),ISNUMBER(Detalle_24m!K$61)),Detalle_24m!K$61,INDEX(Precio_V,20)*INDEX(IdxPrecio_V,1,MIN(10,K$173)))*(1+V_dPrecio))</f>
        <v>0</v>
      </c>
      <c r="L221" s="48" t="n">
        <f aca="false">IF(L$8=1,IF(Reales!$C$57="PYG",IF(L$10&gt;0,N(Reales!L57)/L$10,0),N(Reales!L57)),L$196*IF(AND(AND(7&gt;Corte,7&lt;=Corte+n_Ventana),ISNUMBER(Detalle_24m!L$61)),Detalle_24m!L$61,INDEX(Precio_V,20)*INDEX(IdxPrecio_V,1,MIN(10,L$173)))*(1+V_dPrecio))</f>
        <v>0</v>
      </c>
      <c r="M221" s="48" t="n">
        <f aca="false">IF(M$8=1,IF(Reales!$C$57="PYG",IF(M$10&gt;0,N(Reales!M57)/M$10,0),N(Reales!M57)),M$196*IF(AND(AND(8&gt;Corte,8&lt;=Corte+n_Ventana),ISNUMBER(Detalle_24m!M$61)),Detalle_24m!M$61,INDEX(Precio_V,20)*INDEX(IdxPrecio_V,1,MIN(10,M$173)))*(1+V_dPrecio))</f>
        <v>0</v>
      </c>
      <c r="N221" s="48" t="n">
        <f aca="false">IF(N$8=1,IF(Reales!$C$57="PYG",IF(N$10&gt;0,N(Reales!N57)/N$10,0),N(Reales!N57)),N$196*IF(AND(AND(9&gt;Corte,9&lt;=Corte+n_Ventana),ISNUMBER(Detalle_24m!N$61)),Detalle_24m!N$61,INDEX(Precio_V,20)*INDEX(IdxPrecio_V,1,MIN(10,N$173)))*(1+V_dPrecio))</f>
        <v>0</v>
      </c>
      <c r="O221" s="48" t="n">
        <f aca="false">IF(O$8=1,IF(Reales!$C$57="PYG",IF(O$10&gt;0,N(Reales!O57)/O$10,0),N(Reales!O57)),O$196*IF(AND(AND(10&gt;Corte,10&lt;=Corte+n_Ventana),ISNUMBER(Detalle_24m!O$61)),Detalle_24m!O$61,INDEX(Precio_V,20)*INDEX(IdxPrecio_V,1,MIN(10,O$173)))*(1+V_dPrecio))</f>
        <v>0</v>
      </c>
      <c r="P221" s="48" t="n">
        <f aca="false">IF(P$8=1,IF(Reales!$C$57="PYG",IF(P$10&gt;0,N(Reales!P57)/P$10,0),N(Reales!P57)),P$196*IF(AND(AND(11&gt;Corte,11&lt;=Corte+n_Ventana),ISNUMBER(Detalle_24m!P$61)),Detalle_24m!P$61,INDEX(Precio_V,20)*INDEX(IdxPrecio_V,1,MIN(10,P$173)))*(1+V_dPrecio))</f>
        <v>0</v>
      </c>
      <c r="Q221" s="48" t="n">
        <f aca="false">IF(Q$8=1,IF(Reales!$C$57="PYG",IF(Q$10&gt;0,N(Reales!Q57)/Q$10,0),N(Reales!Q57)),Q$196*IF(AND(AND(12&gt;Corte,12&lt;=Corte+n_Ventana),ISNUMBER(Detalle_24m!Q$61)),Detalle_24m!Q$61,INDEX(Precio_V,20)*INDEX(IdxPrecio_V,1,MIN(10,Q$173)))*(1+V_dPrecio))</f>
        <v>0</v>
      </c>
      <c r="R221" s="48" t="n">
        <f aca="false">IF(R$8=1,IF(Reales!$C$57="PYG",IF(R$10&gt;0,N(Reales!R57)/R$10,0),N(Reales!R57)),R$196*IF(AND(AND(13&gt;Corte,13&lt;=Corte+n_Ventana),ISNUMBER(Detalle_24m!R$61)),Detalle_24m!R$61,INDEX(Precio_V,20)*INDEX(IdxPrecio_V,1,MIN(10,R$173)))*(1+V_dPrecio))</f>
        <v>0</v>
      </c>
      <c r="S221" s="48" t="n">
        <f aca="false">IF(S$8=1,IF(Reales!$C$57="PYG",IF(S$10&gt;0,N(Reales!S57)/S$10,0),N(Reales!S57)),S$196*IF(AND(AND(14&gt;Corte,14&lt;=Corte+n_Ventana),ISNUMBER(Detalle_24m!S$61)),Detalle_24m!S$61,INDEX(Precio_V,20)*INDEX(IdxPrecio_V,1,MIN(10,S$173)))*(1+V_dPrecio))</f>
        <v>0</v>
      </c>
      <c r="T221" s="48" t="n">
        <f aca="false">IF(T$8=1,IF(Reales!$C$57="PYG",IF(T$10&gt;0,N(Reales!T57)/T$10,0),N(Reales!T57)),T$196*IF(AND(AND(15&gt;Corte,15&lt;=Corte+n_Ventana),ISNUMBER(Detalle_24m!T$61)),Detalle_24m!T$61,INDEX(Precio_V,20)*INDEX(IdxPrecio_V,1,MIN(10,T$173)))*(1+V_dPrecio))</f>
        <v>0</v>
      </c>
      <c r="U221" s="48" t="n">
        <f aca="false">IF(U$8=1,IF(Reales!$C$57="PYG",IF(U$10&gt;0,N(Reales!U57)/U$10,0),N(Reales!U57)),U$196*IF(AND(AND(16&gt;Corte,16&lt;=Corte+n_Ventana),ISNUMBER(Detalle_24m!U$61)),Detalle_24m!U$61,INDEX(Precio_V,20)*INDEX(IdxPrecio_V,1,MIN(10,U$173)))*(1+V_dPrecio))</f>
        <v>0</v>
      </c>
      <c r="V221" s="48" t="n">
        <f aca="false">IF(V$8=1,IF(Reales!$C$57="PYG",IF(V$10&gt;0,N(Reales!V57)/V$10,0),N(Reales!V57)),V$196*IF(AND(AND(17&gt;Corte,17&lt;=Corte+n_Ventana),ISNUMBER(Detalle_24m!V$61)),Detalle_24m!V$61,INDEX(Precio_V,20)*INDEX(IdxPrecio_V,1,MIN(10,V$173)))*(1+V_dPrecio))</f>
        <v>0</v>
      </c>
      <c r="W221" s="48" t="n">
        <f aca="false">IF(W$8=1,IF(Reales!$C$57="PYG",IF(W$10&gt;0,N(Reales!W57)/W$10,0),N(Reales!W57)),W$196*IF(AND(AND(18&gt;Corte,18&lt;=Corte+n_Ventana),ISNUMBER(Detalle_24m!W$61)),Detalle_24m!W$61,INDEX(Precio_V,20)*INDEX(IdxPrecio_V,1,MIN(10,W$173)))*(1+V_dPrecio))</f>
        <v>0</v>
      </c>
      <c r="X221" s="48" t="n">
        <f aca="false">IF(X$8=1,IF(Reales!$C$57="PYG",IF(X$10&gt;0,N(Reales!X57)/X$10,0),N(Reales!X57)),X$196*IF(AND(AND(19&gt;Corte,19&lt;=Corte+n_Ventana),ISNUMBER(Detalle_24m!X$61)),Detalle_24m!X$61,INDEX(Precio_V,20)*INDEX(IdxPrecio_V,1,MIN(10,X$173)))*(1+V_dPrecio))</f>
        <v>0</v>
      </c>
      <c r="Y221" s="48" t="n">
        <f aca="false">IF(Y$8=1,IF(Reales!$C$57="PYG",IF(Y$10&gt;0,N(Reales!Y57)/Y$10,0),N(Reales!Y57)),Y$196*IF(AND(AND(20&gt;Corte,20&lt;=Corte+n_Ventana),ISNUMBER(Detalle_24m!Y$61)),Detalle_24m!Y$61,INDEX(Precio_V,20)*INDEX(IdxPrecio_V,1,MIN(10,Y$173)))*(1+V_dPrecio))</f>
        <v>0</v>
      </c>
      <c r="Z221" s="48" t="n">
        <f aca="false">IF(Z$8=1,IF(Reales!$C$57="PYG",IF(Z$10&gt;0,N(Reales!Z57)/Z$10,0),N(Reales!Z57)),Z$196*IF(AND(AND(21&gt;Corte,21&lt;=Corte+n_Ventana),ISNUMBER(Detalle_24m!Z$61)),Detalle_24m!Z$61,INDEX(Precio_V,20)*INDEX(IdxPrecio_V,1,MIN(10,Z$173)))*(1+V_dPrecio))</f>
        <v>0</v>
      </c>
      <c r="AA221" s="48" t="n">
        <f aca="false">IF(AA$8=1,IF(Reales!$C$57="PYG",IF(AA$10&gt;0,N(Reales!AA57)/AA$10,0),N(Reales!AA57)),AA$196*IF(AND(AND(22&gt;Corte,22&lt;=Corte+n_Ventana),ISNUMBER(Detalle_24m!AA$61)),Detalle_24m!AA$61,INDEX(Precio_V,20)*INDEX(IdxPrecio_V,1,MIN(10,AA$173)))*(1+V_dPrecio))</f>
        <v>0</v>
      </c>
      <c r="AB221" s="48" t="n">
        <f aca="false">IF(AB$8=1,IF(Reales!$C$57="PYG",IF(AB$10&gt;0,N(Reales!AB57)/AB$10,0),N(Reales!AB57)),AB$196*IF(AND(AND(23&gt;Corte,23&lt;=Corte+n_Ventana),ISNUMBER(Detalle_24m!AB$61)),Detalle_24m!AB$61,INDEX(Precio_V,20)*INDEX(IdxPrecio_V,1,MIN(10,AB$173)))*(1+V_dPrecio))</f>
        <v>0</v>
      </c>
      <c r="AC221" s="48" t="n">
        <f aca="false">IF(AC$8=1,IF(Reales!$C$57="PYG",IF(AC$10&gt;0,N(Reales!AC57)/AC$10,0),N(Reales!AC57)),AC$196*IF(AND(AND(24&gt;Corte,24&lt;=Corte+n_Ventana),ISNUMBER(Detalle_24m!AC$61)),Detalle_24m!AC$61,INDEX(Precio_V,20)*INDEX(IdxPrecio_V,1,MIN(10,AC$173)))*(1+V_dPrecio))</f>
        <v>0</v>
      </c>
      <c r="AD221" s="48" t="n">
        <f aca="false">IF(AD$8=1,IF(Reales!$C$57="PYG",IF(AD$10&gt;0,N(Reales!AD57)/AD$10,0),N(Reales!AD57)),AD$196*IF(AND(AND(25&gt;Corte,25&lt;=Corte+n_Ventana),ISNUMBER(Detalle_24m!AD$61)),Detalle_24m!AD$61,INDEX(Precio_V,20)*INDEX(IdxPrecio_V,1,MIN(10,AD$173)))*(1+V_dPrecio))</f>
        <v>0</v>
      </c>
      <c r="AE221" s="48" t="n">
        <f aca="false">IF(AE$8=1,IF(Reales!$C$57="PYG",IF(AE$10&gt;0,N(Reales!AE57)/AE$10,0),N(Reales!AE57)),AE$196*IF(AND(AND(26&gt;Corte,26&lt;=Corte+n_Ventana),ISNUMBER(Detalle_24m!AE$61)),Detalle_24m!AE$61,INDEX(Precio_V,20)*INDEX(IdxPrecio_V,1,MIN(10,AE$173)))*(1+V_dPrecio))</f>
        <v>0</v>
      </c>
      <c r="AF221" s="48" t="n">
        <f aca="false">IF(AF$8=1,IF(Reales!$C$57="PYG",IF(AF$10&gt;0,N(Reales!AF57)/AF$10,0),N(Reales!AF57)),AF$196*IF(AND(AND(27&gt;Corte,27&lt;=Corte+n_Ventana),ISNUMBER(Detalle_24m!AF$61)),Detalle_24m!AF$61,INDEX(Precio_V,20)*INDEX(IdxPrecio_V,1,MIN(10,AF$173)))*(1+V_dPrecio))</f>
        <v>0</v>
      </c>
      <c r="AG221" s="48" t="n">
        <f aca="false">IF(AG$8=1,IF(Reales!$C$57="PYG",IF(AG$10&gt;0,N(Reales!AG57)/AG$10,0),N(Reales!AG57)),AG$196*IF(AND(AND(28&gt;Corte,28&lt;=Corte+n_Ventana),ISNUMBER(Detalle_24m!AG$61)),Detalle_24m!AG$61,INDEX(Precio_V,20)*INDEX(IdxPrecio_V,1,MIN(10,AG$173)))*(1+V_dPrecio))</f>
        <v>0</v>
      </c>
      <c r="AH221" s="48" t="n">
        <f aca="false">IF(AH$8=1,IF(Reales!$C$57="PYG",IF(AH$10&gt;0,N(Reales!AH57)/AH$10,0),N(Reales!AH57)),AH$196*IF(AND(AND(29&gt;Corte,29&lt;=Corte+n_Ventana),ISNUMBER(Detalle_24m!AH$61)),Detalle_24m!AH$61,INDEX(Precio_V,20)*INDEX(IdxPrecio_V,1,MIN(10,AH$173)))*(1+V_dPrecio))</f>
        <v>0</v>
      </c>
      <c r="AI221" s="48" t="n">
        <f aca="false">IF(AI$8=1,IF(Reales!$C$57="PYG",IF(AI$10&gt;0,N(Reales!AI57)/AI$10,0),N(Reales!AI57)),AI$196*IF(AND(AND(30&gt;Corte,30&lt;=Corte+n_Ventana),ISNUMBER(Detalle_24m!AI$61)),Detalle_24m!AI$61,INDEX(Precio_V,20)*INDEX(IdxPrecio_V,1,MIN(10,AI$173)))*(1+V_dPrecio))</f>
        <v>0</v>
      </c>
      <c r="AJ221" s="48" t="n">
        <f aca="false">IF(AJ$8=1,IF(Reales!$C$57="PYG",IF(AJ$10&gt;0,N(Reales!AJ57)/AJ$10,0),N(Reales!AJ57)),AJ$196*IF(AND(AND(31&gt;Corte,31&lt;=Corte+n_Ventana),ISNUMBER(Detalle_24m!AJ$61)),Detalle_24m!AJ$61,INDEX(Precio_V,20)*INDEX(IdxPrecio_V,1,MIN(10,AJ$173)))*(1+V_dPrecio))</f>
        <v>0</v>
      </c>
      <c r="AK221" s="48" t="n">
        <f aca="false">IF(AK$8=1,IF(Reales!$C$57="PYG",IF(AK$10&gt;0,N(Reales!AK57)/AK$10,0),N(Reales!AK57)),AK$196*IF(AND(AND(32&gt;Corte,32&lt;=Corte+n_Ventana),ISNUMBER(Detalle_24m!AK$61)),Detalle_24m!AK$61,INDEX(Precio_V,20)*INDEX(IdxPrecio_V,1,MIN(10,AK$173)))*(1+V_dPrecio))</f>
        <v>0</v>
      </c>
      <c r="AL221" s="48" t="n">
        <f aca="false">IF(AL$8=1,IF(Reales!$C$57="PYG",IF(AL$10&gt;0,N(Reales!AL57)/AL$10,0),N(Reales!AL57)),AL$196*IF(AND(AND(33&gt;Corte,33&lt;=Corte+n_Ventana),ISNUMBER(Detalle_24m!AL$61)),Detalle_24m!AL$61,INDEX(Precio_V,20)*INDEX(IdxPrecio_V,1,MIN(10,AL$173)))*(1+V_dPrecio))</f>
        <v>0</v>
      </c>
      <c r="AM221" s="48" t="n">
        <f aca="false">IF(AM$8=1,IF(Reales!$C$57="PYG",IF(AM$10&gt;0,N(Reales!AM57)/AM$10,0),N(Reales!AM57)),AM$196*IF(AND(AND(34&gt;Corte,34&lt;=Corte+n_Ventana),ISNUMBER(Detalle_24m!AM$61)),Detalle_24m!AM$61,INDEX(Precio_V,20)*INDEX(IdxPrecio_V,1,MIN(10,AM$173)))*(1+V_dPrecio))</f>
        <v>0</v>
      </c>
      <c r="AN221" s="48" t="n">
        <f aca="false">IF(AN$8=1,IF(Reales!$C$57="PYG",IF(AN$10&gt;0,N(Reales!AN57)/AN$10,0),N(Reales!AN57)),AN$196*IF(AND(AND(35&gt;Corte,35&lt;=Corte+n_Ventana),ISNUMBER(Detalle_24m!AN$61)),Detalle_24m!AN$61,INDEX(Precio_V,20)*INDEX(IdxPrecio_V,1,MIN(10,AN$173)))*(1+V_dPrecio))</f>
        <v>0</v>
      </c>
      <c r="AO221" s="48" t="n">
        <f aca="false">IF(AO$8=1,IF(Reales!$C$57="PYG",IF(AO$10&gt;0,N(Reales!AO57)/AO$10,0),N(Reales!AO57)),AO$196*IF(AND(AND(36&gt;Corte,36&lt;=Corte+n_Ventana),ISNUMBER(Detalle_24m!AO$61)),Detalle_24m!AO$61,INDEX(Precio_V,20)*INDEX(IdxPrecio_V,1,MIN(10,AO$173)))*(1+V_dPrecio))</f>
        <v>0</v>
      </c>
      <c r="AP221" s="48" t="n">
        <f aca="false">IF(AP$8=1,IF(Reales!$C$57="PYG",IF(AP$10&gt;0,N(Reales!AP57)/AP$10,0),N(Reales!AP57)),AP$196*IF(AND(AND(37&gt;Corte,37&lt;=Corte+n_Ventana),ISNUMBER(Detalle_24m!AP$61)),Detalle_24m!AP$61,INDEX(Precio_V,20)*INDEX(IdxPrecio_V,1,MIN(10,AP$173)))*(1+V_dPrecio))</f>
        <v>0</v>
      </c>
      <c r="AQ221" s="48" t="n">
        <f aca="false">IF(AQ$8=1,IF(Reales!$C$57="PYG",IF(AQ$10&gt;0,N(Reales!AQ57)/AQ$10,0),N(Reales!AQ57)),AQ$196*IF(AND(AND(38&gt;Corte,38&lt;=Corte+n_Ventana),ISNUMBER(Detalle_24m!AQ$61)),Detalle_24m!AQ$61,INDEX(Precio_V,20)*INDEX(IdxPrecio_V,1,MIN(10,AQ$173)))*(1+V_dPrecio))</f>
        <v>0</v>
      </c>
      <c r="AR221" s="48" t="n">
        <f aca="false">IF(AR$8=1,IF(Reales!$C$57="PYG",IF(AR$10&gt;0,N(Reales!AR57)/AR$10,0),N(Reales!AR57)),AR$196*IF(AND(AND(39&gt;Corte,39&lt;=Corte+n_Ventana),ISNUMBER(Detalle_24m!AR$61)),Detalle_24m!AR$61,INDEX(Precio_V,20)*INDEX(IdxPrecio_V,1,MIN(10,AR$173)))*(1+V_dPrecio))</f>
        <v>0</v>
      </c>
      <c r="AS221" s="48" t="n">
        <f aca="false">IF(AS$8=1,IF(Reales!$C$57="PYG",IF(AS$10&gt;0,N(Reales!AS57)/AS$10,0),N(Reales!AS57)),AS$196*IF(AND(AND(40&gt;Corte,40&lt;=Corte+n_Ventana),ISNUMBER(Detalle_24m!AS$61)),Detalle_24m!AS$61,INDEX(Precio_V,20)*INDEX(IdxPrecio_V,1,MIN(10,AS$173)))*(1+V_dPrecio))</f>
        <v>0</v>
      </c>
      <c r="AT221" s="48" t="n">
        <f aca="false">IF(AT$8=1,IF(Reales!$C$57="PYG",IF(AT$10&gt;0,N(Reales!AT57)/AT$10,0),N(Reales!AT57)),AT$196*IF(AND(AND(41&gt;Corte,41&lt;=Corte+n_Ventana),ISNUMBER(Detalle_24m!AT$61)),Detalle_24m!AT$61,INDEX(Precio_V,20)*INDEX(IdxPrecio_V,1,MIN(10,AT$173)))*(1+V_dPrecio))</f>
        <v>0</v>
      </c>
      <c r="AU221" s="48" t="n">
        <f aca="false">IF(AU$8=1,IF(Reales!$C$57="PYG",IF(AU$10&gt;0,N(Reales!AU57)/AU$10,0),N(Reales!AU57)),AU$196*IF(AND(AND(42&gt;Corte,42&lt;=Corte+n_Ventana),ISNUMBER(Detalle_24m!AU$61)),Detalle_24m!AU$61,INDEX(Precio_V,20)*INDEX(IdxPrecio_V,1,MIN(10,AU$173)))*(1+V_dPrecio))</f>
        <v>0</v>
      </c>
      <c r="AV221" s="48" t="n">
        <f aca="false">IF(AV$8=1,IF(Reales!$C$57="PYG",IF(AV$10&gt;0,N(Reales!AV57)/AV$10,0),N(Reales!AV57)),AV$196*IF(AND(AND(43&gt;Corte,43&lt;=Corte+n_Ventana),ISNUMBER(Detalle_24m!AV$61)),Detalle_24m!AV$61,INDEX(Precio_V,20)*INDEX(IdxPrecio_V,1,MIN(10,AV$173)))*(1+V_dPrecio))</f>
        <v>0</v>
      </c>
      <c r="AW221" s="48" t="n">
        <f aca="false">IF(AW$8=1,IF(Reales!$C$57="PYG",IF(AW$10&gt;0,N(Reales!AW57)/AW$10,0),N(Reales!AW57)),AW$196*IF(AND(AND(44&gt;Corte,44&lt;=Corte+n_Ventana),ISNUMBER(Detalle_24m!AW$61)),Detalle_24m!AW$61,INDEX(Precio_V,20)*INDEX(IdxPrecio_V,1,MIN(10,AW$173)))*(1+V_dPrecio))</f>
        <v>0</v>
      </c>
      <c r="AX221" s="48" t="n">
        <f aca="false">IF(AX$8=1,IF(Reales!$C$57="PYG",IF(AX$10&gt;0,N(Reales!AX57)/AX$10,0),N(Reales!AX57)),AX$196*IF(AND(AND(45&gt;Corte,45&lt;=Corte+n_Ventana),ISNUMBER(Detalle_24m!AX$61)),Detalle_24m!AX$61,INDEX(Precio_V,20)*INDEX(IdxPrecio_V,1,MIN(10,AX$173)))*(1+V_dPrecio))</f>
        <v>0</v>
      </c>
      <c r="AY221" s="48" t="n">
        <f aca="false">IF(AY$8=1,IF(Reales!$C$57="PYG",IF(AY$10&gt;0,N(Reales!AY57)/AY$10,0),N(Reales!AY57)),AY$196*IF(AND(AND(46&gt;Corte,46&lt;=Corte+n_Ventana),ISNUMBER(Detalle_24m!AY$61)),Detalle_24m!AY$61,INDEX(Precio_V,20)*INDEX(IdxPrecio_V,1,MIN(10,AY$173)))*(1+V_dPrecio))</f>
        <v>0</v>
      </c>
      <c r="AZ221" s="48" t="n">
        <f aca="false">IF(AZ$8=1,IF(Reales!$C$57="PYG",IF(AZ$10&gt;0,N(Reales!AZ57)/AZ$10,0),N(Reales!AZ57)),AZ$196*IF(AND(AND(47&gt;Corte,47&lt;=Corte+n_Ventana),ISNUMBER(Detalle_24m!AZ$61)),Detalle_24m!AZ$61,INDEX(Precio_V,20)*INDEX(IdxPrecio_V,1,MIN(10,AZ$173)))*(1+V_dPrecio))</f>
        <v>0</v>
      </c>
      <c r="BA221" s="48" t="n">
        <f aca="false">IF(BA$8=1,IF(Reales!$C$57="PYG",IF(BA$10&gt;0,N(Reales!BA57)/BA$10,0),N(Reales!BA57)),BA$196*IF(AND(AND(48&gt;Corte,48&lt;=Corte+n_Ventana),ISNUMBER(Detalle_24m!BA$61)),Detalle_24m!BA$61,INDEX(Precio_V,20)*INDEX(IdxPrecio_V,1,MIN(10,BA$173)))*(1+V_dPrecio))</f>
        <v>0</v>
      </c>
      <c r="BB221" s="48" t="n">
        <f aca="false">IF(BB$8=1,IF(Reales!$C$57="PYG",IF(BB$10&gt;0,N(Reales!BB57)/BB$10,0),N(Reales!BB57)),BB$196*IF(AND(AND(49&gt;Corte,49&lt;=Corte+n_Ventana),ISNUMBER(Detalle_24m!BB$61)),Detalle_24m!BB$61,INDEX(Precio_V,20)*INDEX(IdxPrecio_V,1,MIN(10,BB$173)))*(1+V_dPrecio))</f>
        <v>0</v>
      </c>
      <c r="BC221" s="48" t="n">
        <f aca="false">IF(BC$8=1,IF(Reales!$C$57="PYG",IF(BC$10&gt;0,N(Reales!BC57)/BC$10,0),N(Reales!BC57)),BC$196*IF(AND(AND(50&gt;Corte,50&lt;=Corte+n_Ventana),ISNUMBER(Detalle_24m!BC$61)),Detalle_24m!BC$61,INDEX(Precio_V,20)*INDEX(IdxPrecio_V,1,MIN(10,BC$173)))*(1+V_dPrecio))</f>
        <v>0</v>
      </c>
      <c r="BD221" s="48" t="n">
        <f aca="false">IF(BD$8=1,IF(Reales!$C$57="PYG",IF(BD$10&gt;0,N(Reales!BD57)/BD$10,0),N(Reales!BD57)),BD$196*IF(AND(AND(51&gt;Corte,51&lt;=Corte+n_Ventana),ISNUMBER(Detalle_24m!BD$61)),Detalle_24m!BD$61,INDEX(Precio_V,20)*INDEX(IdxPrecio_V,1,MIN(10,BD$173)))*(1+V_dPrecio))</f>
        <v>0</v>
      </c>
      <c r="BE221" s="48" t="n">
        <f aca="false">IF(BE$8=1,IF(Reales!$C$57="PYG",IF(BE$10&gt;0,N(Reales!BE57)/BE$10,0),N(Reales!BE57)),BE$196*IF(AND(AND(52&gt;Corte,52&lt;=Corte+n_Ventana),ISNUMBER(Detalle_24m!BE$61)),Detalle_24m!BE$61,INDEX(Precio_V,20)*INDEX(IdxPrecio_V,1,MIN(10,BE$173)))*(1+V_dPrecio))</f>
        <v>0</v>
      </c>
      <c r="BF221" s="48" t="n">
        <f aca="false">IF(BF$8=1,IF(Reales!$C$57="PYG",IF(BF$10&gt;0,N(Reales!BF57)/BF$10,0),N(Reales!BF57)),BF$196*IF(AND(AND(53&gt;Corte,53&lt;=Corte+n_Ventana),ISNUMBER(Detalle_24m!BF$61)),Detalle_24m!BF$61,INDEX(Precio_V,20)*INDEX(IdxPrecio_V,1,MIN(10,BF$173)))*(1+V_dPrecio))</f>
        <v>0</v>
      </c>
      <c r="BG221" s="48" t="n">
        <f aca="false">IF(BG$8=1,IF(Reales!$C$57="PYG",IF(BG$10&gt;0,N(Reales!BG57)/BG$10,0),N(Reales!BG57)),BG$196*IF(AND(AND(54&gt;Corte,54&lt;=Corte+n_Ventana),ISNUMBER(Detalle_24m!BG$61)),Detalle_24m!BG$61,INDEX(Precio_V,20)*INDEX(IdxPrecio_V,1,MIN(10,BG$173)))*(1+V_dPrecio))</f>
        <v>0</v>
      </c>
      <c r="BH221" s="48" t="n">
        <f aca="false">IF(BH$8=1,IF(Reales!$C$57="PYG",IF(BH$10&gt;0,N(Reales!BH57)/BH$10,0),N(Reales!BH57)),BH$196*IF(AND(AND(55&gt;Corte,55&lt;=Corte+n_Ventana),ISNUMBER(Detalle_24m!BH$61)),Detalle_24m!BH$61,INDEX(Precio_V,20)*INDEX(IdxPrecio_V,1,MIN(10,BH$173)))*(1+V_dPrecio))</f>
        <v>0</v>
      </c>
      <c r="BI221" s="48" t="n">
        <f aca="false">IF(BI$8=1,IF(Reales!$C$57="PYG",IF(BI$10&gt;0,N(Reales!BI57)/BI$10,0),N(Reales!BI57)),BI$196*IF(AND(AND(56&gt;Corte,56&lt;=Corte+n_Ventana),ISNUMBER(Detalle_24m!BI$61)),Detalle_24m!BI$61,INDEX(Precio_V,20)*INDEX(IdxPrecio_V,1,MIN(10,BI$173)))*(1+V_dPrecio))</f>
        <v>0</v>
      </c>
      <c r="BJ221" s="48" t="n">
        <f aca="false">IF(BJ$8=1,IF(Reales!$C$57="PYG",IF(BJ$10&gt;0,N(Reales!BJ57)/BJ$10,0),N(Reales!BJ57)),BJ$196*IF(AND(AND(57&gt;Corte,57&lt;=Corte+n_Ventana),ISNUMBER(Detalle_24m!BJ$61)),Detalle_24m!BJ$61,INDEX(Precio_V,20)*INDEX(IdxPrecio_V,1,MIN(10,BJ$173)))*(1+V_dPrecio))</f>
        <v>0</v>
      </c>
      <c r="BK221" s="48" t="n">
        <f aca="false">IF(BK$8=1,IF(Reales!$C$57="PYG",IF(BK$10&gt;0,N(Reales!BK57)/BK$10,0),N(Reales!BK57)),BK$196*IF(AND(AND(58&gt;Corte,58&lt;=Corte+n_Ventana),ISNUMBER(Detalle_24m!BK$61)),Detalle_24m!BK$61,INDEX(Precio_V,20)*INDEX(IdxPrecio_V,1,MIN(10,BK$173)))*(1+V_dPrecio))</f>
        <v>0</v>
      </c>
      <c r="BL221" s="48" t="n">
        <f aca="false">IF(BL$8=1,IF(Reales!$C$57="PYG",IF(BL$10&gt;0,N(Reales!BL57)/BL$10,0),N(Reales!BL57)),BL$196*IF(AND(AND(59&gt;Corte,59&lt;=Corte+n_Ventana),ISNUMBER(Detalle_24m!BL$61)),Detalle_24m!BL$61,INDEX(Precio_V,20)*INDEX(IdxPrecio_V,1,MIN(10,BL$173)))*(1+V_dPrecio))</f>
        <v>0</v>
      </c>
      <c r="BM221" s="48" t="n">
        <f aca="false">IF(BM$8=1,IF(Reales!$C$57="PYG",IF(BM$10&gt;0,N(Reales!BM57)/BM$10,0),N(Reales!BM57)),BM$196*IF(AND(AND(60&gt;Corte,60&lt;=Corte+n_Ventana),ISNUMBER(Detalle_24m!BM$61)),Detalle_24m!BM$61,INDEX(Precio_V,20)*INDEX(IdxPrecio_V,1,MIN(10,BM$173)))*(1+V_dPrecio))</f>
        <v>0</v>
      </c>
      <c r="BN221" s="48" t="n">
        <f aca="false">IF(BN$8=1,IF(Reales!$C$57="PYG",IF(BN$10&gt;0,N(Reales!BN57)/BN$10,0),N(Reales!BN57)),BN$196*IF(AND(AND(61&gt;Corte,61&lt;=Corte+n_Ventana),ISNUMBER(Detalle_24m!BN$61)),Detalle_24m!BN$61,INDEX(Precio_V,20)*INDEX(IdxPrecio_V,1,MIN(10,BN$173)))*(1+V_dPrecio))</f>
        <v>0</v>
      </c>
      <c r="BO221" s="48" t="n">
        <f aca="false">IF(BO$8=1,IF(Reales!$C$57="PYG",IF(BO$10&gt;0,N(Reales!BO57)/BO$10,0),N(Reales!BO57)),BO$196*IF(AND(AND(62&gt;Corte,62&lt;=Corte+n_Ventana),ISNUMBER(Detalle_24m!BO$61)),Detalle_24m!BO$61,INDEX(Precio_V,20)*INDEX(IdxPrecio_V,1,MIN(10,BO$173)))*(1+V_dPrecio))</f>
        <v>0</v>
      </c>
      <c r="BP221" s="48" t="n">
        <f aca="false">IF(BP$8=1,IF(Reales!$C$57="PYG",IF(BP$10&gt;0,N(Reales!BP57)/BP$10,0),N(Reales!BP57)),BP$196*IF(AND(AND(63&gt;Corte,63&lt;=Corte+n_Ventana),ISNUMBER(Detalle_24m!BP$61)),Detalle_24m!BP$61,INDEX(Precio_V,20)*INDEX(IdxPrecio_V,1,MIN(10,BP$173)))*(1+V_dPrecio))</f>
        <v>0</v>
      </c>
      <c r="BQ221" s="48" t="n">
        <f aca="false">IF(BQ$8=1,IF(Reales!$C$57="PYG",IF(BQ$10&gt;0,N(Reales!BQ57)/BQ$10,0),N(Reales!BQ57)),BQ$196*IF(AND(AND(64&gt;Corte,64&lt;=Corte+n_Ventana),ISNUMBER(Detalle_24m!BQ$61)),Detalle_24m!BQ$61,INDEX(Precio_V,20)*INDEX(IdxPrecio_V,1,MIN(10,BQ$173)))*(1+V_dPrecio))</f>
        <v>0</v>
      </c>
      <c r="BR221" s="48" t="n">
        <f aca="false">IF(BR$8=1,IF(Reales!$C$57="PYG",IF(BR$10&gt;0,N(Reales!BR57)/BR$10,0),N(Reales!BR57)),BR$196*IF(AND(AND(65&gt;Corte,65&lt;=Corte+n_Ventana),ISNUMBER(Detalle_24m!BR$61)),Detalle_24m!BR$61,INDEX(Precio_V,20)*INDEX(IdxPrecio_V,1,MIN(10,BR$173)))*(1+V_dPrecio))</f>
        <v>0</v>
      </c>
      <c r="BS221" s="48" t="n">
        <f aca="false">IF(BS$8=1,IF(Reales!$C$57="PYG",IF(BS$10&gt;0,N(Reales!BS57)/BS$10,0),N(Reales!BS57)),BS$196*IF(AND(AND(66&gt;Corte,66&lt;=Corte+n_Ventana),ISNUMBER(Detalle_24m!BS$61)),Detalle_24m!BS$61,INDEX(Precio_V,20)*INDEX(IdxPrecio_V,1,MIN(10,BS$173)))*(1+V_dPrecio))</f>
        <v>0</v>
      </c>
      <c r="BT221" s="48" t="n">
        <f aca="false">IF(BT$8=1,IF(Reales!$C$57="PYG",IF(BT$10&gt;0,N(Reales!BT57)/BT$10,0),N(Reales!BT57)),BT$196*IF(AND(AND(67&gt;Corte,67&lt;=Corte+n_Ventana),ISNUMBER(Detalle_24m!BT$61)),Detalle_24m!BT$61,INDEX(Precio_V,20)*INDEX(IdxPrecio_V,1,MIN(10,BT$173)))*(1+V_dPrecio))</f>
        <v>0</v>
      </c>
      <c r="BU221" s="48" t="n">
        <f aca="false">IF(BU$8=1,IF(Reales!$C$57="PYG",IF(BU$10&gt;0,N(Reales!BU57)/BU$10,0),N(Reales!BU57)),BU$196*IF(AND(AND(68&gt;Corte,68&lt;=Corte+n_Ventana),ISNUMBER(Detalle_24m!BU$61)),Detalle_24m!BU$61,INDEX(Precio_V,20)*INDEX(IdxPrecio_V,1,MIN(10,BU$173)))*(1+V_dPrecio))</f>
        <v>0</v>
      </c>
      <c r="BV221" s="48" t="n">
        <f aca="false">IF(BV$8=1,IF(Reales!$C$57="PYG",IF(BV$10&gt;0,N(Reales!BV57)/BV$10,0),N(Reales!BV57)),BV$196*IF(AND(AND(69&gt;Corte,69&lt;=Corte+n_Ventana),ISNUMBER(Detalle_24m!BV$61)),Detalle_24m!BV$61,INDEX(Precio_V,20)*INDEX(IdxPrecio_V,1,MIN(10,BV$173)))*(1+V_dPrecio))</f>
        <v>0</v>
      </c>
      <c r="BW221" s="48" t="n">
        <f aca="false">IF(BW$8=1,IF(Reales!$C$57="PYG",IF(BW$10&gt;0,N(Reales!BW57)/BW$10,0),N(Reales!BW57)),BW$196*IF(AND(AND(70&gt;Corte,70&lt;=Corte+n_Ventana),ISNUMBER(Detalle_24m!BW$61)),Detalle_24m!BW$61,INDEX(Precio_V,20)*INDEX(IdxPrecio_V,1,MIN(10,BW$173)))*(1+V_dPrecio))</f>
        <v>0</v>
      </c>
      <c r="BX221" s="48" t="n">
        <f aca="false">IF(BX$8=1,IF(Reales!$C$57="PYG",IF(BX$10&gt;0,N(Reales!BX57)/BX$10,0),N(Reales!BX57)),BX$196*IF(AND(AND(71&gt;Corte,71&lt;=Corte+n_Ventana),ISNUMBER(Detalle_24m!BX$61)),Detalle_24m!BX$61,INDEX(Precio_V,20)*INDEX(IdxPrecio_V,1,MIN(10,BX$173)))*(1+V_dPrecio))</f>
        <v>0</v>
      </c>
      <c r="BY221" s="48" t="n">
        <f aca="false">IF(BY$8=1,IF(Reales!$C$57="PYG",IF(BY$10&gt;0,N(Reales!BY57)/BY$10,0),N(Reales!BY57)),BY$196*IF(AND(AND(72&gt;Corte,72&lt;=Corte+n_Ventana),ISNUMBER(Detalle_24m!BY$61)),Detalle_24m!BY$61,INDEX(Precio_V,20)*INDEX(IdxPrecio_V,1,MIN(10,BY$173)))*(1+V_dPrecio))</f>
        <v>0</v>
      </c>
      <c r="BZ221" s="48" t="n">
        <f aca="false">IF(BZ$8=1,IF(Reales!$C$57="PYG",IF(BZ$10&gt;0,N(Reales!BZ57)/BZ$10,0),N(Reales!BZ57)),BZ$196*IF(AND(AND(73&gt;Corte,73&lt;=Corte+n_Ventana),ISNUMBER(Detalle_24m!BZ$61)),Detalle_24m!BZ$61,INDEX(Precio_V,20)*INDEX(IdxPrecio_V,1,MIN(10,BZ$173)))*(1+V_dPrecio))</f>
        <v>0</v>
      </c>
      <c r="CA221" s="48" t="n">
        <f aca="false">IF(CA$8=1,IF(Reales!$C$57="PYG",IF(CA$10&gt;0,N(Reales!CA57)/CA$10,0),N(Reales!CA57)),CA$196*IF(AND(AND(74&gt;Corte,74&lt;=Corte+n_Ventana),ISNUMBER(Detalle_24m!CA$61)),Detalle_24m!CA$61,INDEX(Precio_V,20)*INDEX(IdxPrecio_V,1,MIN(10,CA$173)))*(1+V_dPrecio))</f>
        <v>0</v>
      </c>
      <c r="CB221" s="48" t="n">
        <f aca="false">IF(CB$8=1,IF(Reales!$C$57="PYG",IF(CB$10&gt;0,N(Reales!CB57)/CB$10,0),N(Reales!CB57)),CB$196*IF(AND(AND(75&gt;Corte,75&lt;=Corte+n_Ventana),ISNUMBER(Detalle_24m!CB$61)),Detalle_24m!CB$61,INDEX(Precio_V,20)*INDEX(IdxPrecio_V,1,MIN(10,CB$173)))*(1+V_dPrecio))</f>
        <v>0</v>
      </c>
      <c r="CC221" s="48" t="n">
        <f aca="false">IF(CC$8=1,IF(Reales!$C$57="PYG",IF(CC$10&gt;0,N(Reales!CC57)/CC$10,0),N(Reales!CC57)),CC$196*IF(AND(AND(76&gt;Corte,76&lt;=Corte+n_Ventana),ISNUMBER(Detalle_24m!CC$61)),Detalle_24m!CC$61,INDEX(Precio_V,20)*INDEX(IdxPrecio_V,1,MIN(10,CC$173)))*(1+V_dPrecio))</f>
        <v>0</v>
      </c>
      <c r="CD221" s="48" t="n">
        <f aca="false">IF(CD$8=1,IF(Reales!$C$57="PYG",IF(CD$10&gt;0,N(Reales!CD57)/CD$10,0),N(Reales!CD57)),CD$196*IF(AND(AND(77&gt;Corte,77&lt;=Corte+n_Ventana),ISNUMBER(Detalle_24m!CD$61)),Detalle_24m!CD$61,INDEX(Precio_V,20)*INDEX(IdxPrecio_V,1,MIN(10,CD$173)))*(1+V_dPrecio))</f>
        <v>0</v>
      </c>
      <c r="CE221" s="48" t="n">
        <f aca="false">IF(CE$8=1,IF(Reales!$C$57="PYG",IF(CE$10&gt;0,N(Reales!CE57)/CE$10,0),N(Reales!CE57)),CE$196*IF(AND(AND(78&gt;Corte,78&lt;=Corte+n_Ventana),ISNUMBER(Detalle_24m!CE$61)),Detalle_24m!CE$61,INDEX(Precio_V,20)*INDEX(IdxPrecio_V,1,MIN(10,CE$173)))*(1+V_dPrecio))</f>
        <v>0</v>
      </c>
      <c r="CF221" s="48" t="n">
        <f aca="false">IF(CF$8=1,IF(Reales!$C$57="PYG",IF(CF$10&gt;0,N(Reales!CF57)/CF$10,0),N(Reales!CF57)),CF$196*IF(AND(AND(79&gt;Corte,79&lt;=Corte+n_Ventana),ISNUMBER(Detalle_24m!CF$61)),Detalle_24m!CF$61,INDEX(Precio_V,20)*INDEX(IdxPrecio_V,1,MIN(10,CF$173)))*(1+V_dPrecio))</f>
        <v>0</v>
      </c>
      <c r="CG221" s="48" t="n">
        <f aca="false">IF(CG$8=1,IF(Reales!$C$57="PYG",IF(CG$10&gt;0,N(Reales!CG57)/CG$10,0),N(Reales!CG57)),CG$196*IF(AND(AND(80&gt;Corte,80&lt;=Corte+n_Ventana),ISNUMBER(Detalle_24m!CG$61)),Detalle_24m!CG$61,INDEX(Precio_V,20)*INDEX(IdxPrecio_V,1,MIN(10,CG$173)))*(1+V_dPrecio))</f>
        <v>0</v>
      </c>
      <c r="CH221" s="48" t="n">
        <f aca="false">IF(CH$8=1,IF(Reales!$C$57="PYG",IF(CH$10&gt;0,N(Reales!CH57)/CH$10,0),N(Reales!CH57)),CH$196*IF(AND(AND(81&gt;Corte,81&lt;=Corte+n_Ventana),ISNUMBER(Detalle_24m!CH$61)),Detalle_24m!CH$61,INDEX(Precio_V,20)*INDEX(IdxPrecio_V,1,MIN(10,CH$173)))*(1+V_dPrecio))</f>
        <v>0</v>
      </c>
      <c r="CI221" s="48" t="n">
        <f aca="false">IF(CI$8=1,IF(Reales!$C$57="PYG",IF(CI$10&gt;0,N(Reales!CI57)/CI$10,0),N(Reales!CI57)),CI$196*IF(AND(AND(82&gt;Corte,82&lt;=Corte+n_Ventana),ISNUMBER(Detalle_24m!CI$61)),Detalle_24m!CI$61,INDEX(Precio_V,20)*INDEX(IdxPrecio_V,1,MIN(10,CI$173)))*(1+V_dPrecio))</f>
        <v>0</v>
      </c>
      <c r="CJ221" s="48" t="n">
        <f aca="false">IF(CJ$8=1,IF(Reales!$C$57="PYG",IF(CJ$10&gt;0,N(Reales!CJ57)/CJ$10,0),N(Reales!CJ57)),CJ$196*IF(AND(AND(83&gt;Corte,83&lt;=Corte+n_Ventana),ISNUMBER(Detalle_24m!CJ$61)),Detalle_24m!CJ$61,INDEX(Precio_V,20)*INDEX(IdxPrecio_V,1,MIN(10,CJ$173)))*(1+V_dPrecio))</f>
        <v>0</v>
      </c>
      <c r="CK221" s="48" t="n">
        <f aca="false">IF(CK$8=1,IF(Reales!$C$57="PYG",IF(CK$10&gt;0,N(Reales!CK57)/CK$10,0),N(Reales!CK57)),CK$196*IF(AND(AND(84&gt;Corte,84&lt;=Corte+n_Ventana),ISNUMBER(Detalle_24m!CK$61)),Detalle_24m!CK$61,INDEX(Precio_V,20)*INDEX(IdxPrecio_V,1,MIN(10,CK$173)))*(1+V_dPrecio))</f>
        <v>0</v>
      </c>
      <c r="CL221" s="48" t="n">
        <f aca="false">IF(CL$8=1,IF(Reales!$C$57="PYG",IF(CL$10&gt;0,N(Reales!CL57)/CL$10,0),N(Reales!CL57)),CL$196*IF(AND(AND(85&gt;Corte,85&lt;=Corte+n_Ventana),ISNUMBER(Detalle_24m!CL$61)),Detalle_24m!CL$61,INDEX(Precio_V,20)*INDEX(IdxPrecio_V,1,MIN(10,CL$173)))*(1+V_dPrecio))</f>
        <v>0</v>
      </c>
      <c r="CM221" s="48" t="n">
        <f aca="false">IF(CM$8=1,IF(Reales!$C$57="PYG",IF(CM$10&gt;0,N(Reales!CM57)/CM$10,0),N(Reales!CM57)),CM$196*IF(AND(AND(86&gt;Corte,86&lt;=Corte+n_Ventana),ISNUMBER(Detalle_24m!CM$61)),Detalle_24m!CM$61,INDEX(Precio_V,20)*INDEX(IdxPrecio_V,1,MIN(10,CM$173)))*(1+V_dPrecio))</f>
        <v>0</v>
      </c>
      <c r="CN221" s="48" t="n">
        <f aca="false">IF(CN$8=1,IF(Reales!$C$57="PYG",IF(CN$10&gt;0,N(Reales!CN57)/CN$10,0),N(Reales!CN57)),CN$196*IF(AND(AND(87&gt;Corte,87&lt;=Corte+n_Ventana),ISNUMBER(Detalle_24m!CN$61)),Detalle_24m!CN$61,INDEX(Precio_V,20)*INDEX(IdxPrecio_V,1,MIN(10,CN$173)))*(1+V_dPrecio))</f>
        <v>0</v>
      </c>
      <c r="CO221" s="48" t="n">
        <f aca="false">IF(CO$8=1,IF(Reales!$C$57="PYG",IF(CO$10&gt;0,N(Reales!CO57)/CO$10,0),N(Reales!CO57)),CO$196*IF(AND(AND(88&gt;Corte,88&lt;=Corte+n_Ventana),ISNUMBER(Detalle_24m!CO$61)),Detalle_24m!CO$61,INDEX(Precio_V,20)*INDEX(IdxPrecio_V,1,MIN(10,CO$173)))*(1+V_dPrecio))</f>
        <v>0</v>
      </c>
      <c r="CP221" s="48" t="n">
        <f aca="false">IF(CP$8=1,IF(Reales!$C$57="PYG",IF(CP$10&gt;0,N(Reales!CP57)/CP$10,0),N(Reales!CP57)),CP$196*IF(AND(AND(89&gt;Corte,89&lt;=Corte+n_Ventana),ISNUMBER(Detalle_24m!CP$61)),Detalle_24m!CP$61,INDEX(Precio_V,20)*INDEX(IdxPrecio_V,1,MIN(10,CP$173)))*(1+V_dPrecio))</f>
        <v>0</v>
      </c>
      <c r="CQ221" s="48" t="n">
        <f aca="false">IF(CQ$8=1,IF(Reales!$C$57="PYG",IF(CQ$10&gt;0,N(Reales!CQ57)/CQ$10,0),N(Reales!CQ57)),CQ$196*IF(AND(AND(90&gt;Corte,90&lt;=Corte+n_Ventana),ISNUMBER(Detalle_24m!CQ$61)),Detalle_24m!CQ$61,INDEX(Precio_V,20)*INDEX(IdxPrecio_V,1,MIN(10,CQ$173)))*(1+V_dPrecio))</f>
        <v>0</v>
      </c>
      <c r="CR221" s="48" t="n">
        <f aca="false">IF(CR$8=1,IF(Reales!$C$57="PYG",IF(CR$10&gt;0,N(Reales!CR57)/CR$10,0),N(Reales!CR57)),CR$196*IF(AND(AND(91&gt;Corte,91&lt;=Corte+n_Ventana),ISNUMBER(Detalle_24m!CR$61)),Detalle_24m!CR$61,INDEX(Precio_V,20)*INDEX(IdxPrecio_V,1,MIN(10,CR$173)))*(1+V_dPrecio))</f>
        <v>0</v>
      </c>
      <c r="CS221" s="48" t="n">
        <f aca="false">IF(CS$8=1,IF(Reales!$C$57="PYG",IF(CS$10&gt;0,N(Reales!CS57)/CS$10,0),N(Reales!CS57)),CS$196*IF(AND(AND(92&gt;Corte,92&lt;=Corte+n_Ventana),ISNUMBER(Detalle_24m!CS$61)),Detalle_24m!CS$61,INDEX(Precio_V,20)*INDEX(IdxPrecio_V,1,MIN(10,CS$173)))*(1+V_dPrecio))</f>
        <v>0</v>
      </c>
      <c r="CT221" s="48" t="n">
        <f aca="false">IF(CT$8=1,IF(Reales!$C$57="PYG",IF(CT$10&gt;0,N(Reales!CT57)/CT$10,0),N(Reales!CT57)),CT$196*IF(AND(AND(93&gt;Corte,93&lt;=Corte+n_Ventana),ISNUMBER(Detalle_24m!CT$61)),Detalle_24m!CT$61,INDEX(Precio_V,20)*INDEX(IdxPrecio_V,1,MIN(10,CT$173)))*(1+V_dPrecio))</f>
        <v>0</v>
      </c>
      <c r="CU221" s="48" t="n">
        <f aca="false">IF(CU$8=1,IF(Reales!$C$57="PYG",IF(CU$10&gt;0,N(Reales!CU57)/CU$10,0),N(Reales!CU57)),CU$196*IF(AND(AND(94&gt;Corte,94&lt;=Corte+n_Ventana),ISNUMBER(Detalle_24m!CU$61)),Detalle_24m!CU$61,INDEX(Precio_V,20)*INDEX(IdxPrecio_V,1,MIN(10,CU$173)))*(1+V_dPrecio))</f>
        <v>0</v>
      </c>
      <c r="CV221" s="48" t="n">
        <f aca="false">IF(CV$8=1,IF(Reales!$C$57="PYG",IF(CV$10&gt;0,N(Reales!CV57)/CV$10,0),N(Reales!CV57)),CV$196*IF(AND(AND(95&gt;Corte,95&lt;=Corte+n_Ventana),ISNUMBER(Detalle_24m!CV$61)),Detalle_24m!CV$61,INDEX(Precio_V,20)*INDEX(IdxPrecio_V,1,MIN(10,CV$173)))*(1+V_dPrecio))</f>
        <v>0</v>
      </c>
      <c r="CW221" s="48" t="n">
        <f aca="false">IF(CW$8=1,IF(Reales!$C$57="PYG",IF(CW$10&gt;0,N(Reales!CW57)/CW$10,0),N(Reales!CW57)),CW$196*IF(AND(AND(96&gt;Corte,96&lt;=Corte+n_Ventana),ISNUMBER(Detalle_24m!CW$61)),Detalle_24m!CW$61,INDEX(Precio_V,20)*INDEX(IdxPrecio_V,1,MIN(10,CW$173)))*(1+V_dPrecio))</f>
        <v>0</v>
      </c>
      <c r="CX221" s="48" t="n">
        <f aca="false">IF(CX$8=1,IF(Reales!$C$57="PYG",IF(CX$10&gt;0,N(Reales!CX57)/CX$10,0),N(Reales!CX57)),CX$196*IF(AND(AND(97&gt;Corte,97&lt;=Corte+n_Ventana),ISNUMBER(Detalle_24m!CX$61)),Detalle_24m!CX$61,INDEX(Precio_V,20)*INDEX(IdxPrecio_V,1,MIN(10,CX$173)))*(1+V_dPrecio))</f>
        <v>0</v>
      </c>
      <c r="CY221" s="48" t="n">
        <f aca="false">IF(CY$8=1,IF(Reales!$C$57="PYG",IF(CY$10&gt;0,N(Reales!CY57)/CY$10,0),N(Reales!CY57)),CY$196*IF(AND(AND(98&gt;Corte,98&lt;=Corte+n_Ventana),ISNUMBER(Detalle_24m!CY$61)),Detalle_24m!CY$61,INDEX(Precio_V,20)*INDEX(IdxPrecio_V,1,MIN(10,CY$173)))*(1+V_dPrecio))</f>
        <v>0</v>
      </c>
      <c r="CZ221" s="48" t="n">
        <f aca="false">IF(CZ$8=1,IF(Reales!$C$57="PYG",IF(CZ$10&gt;0,N(Reales!CZ57)/CZ$10,0),N(Reales!CZ57)),CZ$196*IF(AND(AND(99&gt;Corte,99&lt;=Corte+n_Ventana),ISNUMBER(Detalle_24m!CZ$61)),Detalle_24m!CZ$61,INDEX(Precio_V,20)*INDEX(IdxPrecio_V,1,MIN(10,CZ$173)))*(1+V_dPrecio))</f>
        <v>0</v>
      </c>
      <c r="DA221" s="48" t="n">
        <f aca="false">IF(DA$8=1,IF(Reales!$C$57="PYG",IF(DA$10&gt;0,N(Reales!DA57)/DA$10,0),N(Reales!DA57)),DA$196*IF(AND(AND(100&gt;Corte,100&lt;=Corte+n_Ventana),ISNUMBER(Detalle_24m!DA$61)),Detalle_24m!DA$61,INDEX(Precio_V,20)*INDEX(IdxPrecio_V,1,MIN(10,DA$173)))*(1+V_dPrecio))</f>
        <v>0</v>
      </c>
      <c r="DB221" s="48" t="n">
        <f aca="false">IF(DB$8=1,IF(Reales!$C$57="PYG",IF(DB$10&gt;0,N(Reales!DB57)/DB$10,0),N(Reales!DB57)),DB$196*IF(AND(AND(101&gt;Corte,101&lt;=Corte+n_Ventana),ISNUMBER(Detalle_24m!DB$61)),Detalle_24m!DB$61,INDEX(Precio_V,20)*INDEX(IdxPrecio_V,1,MIN(10,DB$173)))*(1+V_dPrecio))</f>
        <v>0</v>
      </c>
      <c r="DC221" s="48" t="n">
        <f aca="false">IF(DC$8=1,IF(Reales!$C$57="PYG",IF(DC$10&gt;0,N(Reales!DC57)/DC$10,0),N(Reales!DC57)),DC$196*IF(AND(AND(102&gt;Corte,102&lt;=Corte+n_Ventana),ISNUMBER(Detalle_24m!DC$61)),Detalle_24m!DC$61,INDEX(Precio_V,20)*INDEX(IdxPrecio_V,1,MIN(10,DC$173)))*(1+V_dPrecio))</f>
        <v>0</v>
      </c>
      <c r="DD221" s="48" t="n">
        <f aca="false">IF(DD$8=1,IF(Reales!$C$57="PYG",IF(DD$10&gt;0,N(Reales!DD57)/DD$10,0),N(Reales!DD57)),DD$196*IF(AND(AND(103&gt;Corte,103&lt;=Corte+n_Ventana),ISNUMBER(Detalle_24m!DD$61)),Detalle_24m!DD$61,INDEX(Precio_V,20)*INDEX(IdxPrecio_V,1,MIN(10,DD$173)))*(1+V_dPrecio))</f>
        <v>0</v>
      </c>
      <c r="DE221" s="48" t="n">
        <f aca="false">IF(DE$8=1,IF(Reales!$C$57="PYG",IF(DE$10&gt;0,N(Reales!DE57)/DE$10,0),N(Reales!DE57)),DE$196*IF(AND(AND(104&gt;Corte,104&lt;=Corte+n_Ventana),ISNUMBER(Detalle_24m!DE$61)),Detalle_24m!DE$61,INDEX(Precio_V,20)*INDEX(IdxPrecio_V,1,MIN(10,DE$173)))*(1+V_dPrecio))</f>
        <v>0</v>
      </c>
      <c r="DF221" s="48" t="n">
        <f aca="false">IF(DF$8=1,IF(Reales!$C$57="PYG",IF(DF$10&gt;0,N(Reales!DF57)/DF$10,0),N(Reales!DF57)),DF$196*IF(AND(AND(105&gt;Corte,105&lt;=Corte+n_Ventana),ISNUMBER(Detalle_24m!DF$61)),Detalle_24m!DF$61,INDEX(Precio_V,20)*INDEX(IdxPrecio_V,1,MIN(10,DF$173)))*(1+V_dPrecio))</f>
        <v>0</v>
      </c>
      <c r="DG221" s="48" t="n">
        <f aca="false">IF(DG$8=1,IF(Reales!$C$57="PYG",IF(DG$10&gt;0,N(Reales!DG57)/DG$10,0),N(Reales!DG57)),DG$196*IF(AND(AND(106&gt;Corte,106&lt;=Corte+n_Ventana),ISNUMBER(Detalle_24m!DG$61)),Detalle_24m!DG$61,INDEX(Precio_V,20)*INDEX(IdxPrecio_V,1,MIN(10,DG$173)))*(1+V_dPrecio))</f>
        <v>0</v>
      </c>
      <c r="DH221" s="48" t="n">
        <f aca="false">IF(DH$8=1,IF(Reales!$C$57="PYG",IF(DH$10&gt;0,N(Reales!DH57)/DH$10,0),N(Reales!DH57)),DH$196*IF(AND(AND(107&gt;Corte,107&lt;=Corte+n_Ventana),ISNUMBER(Detalle_24m!DH$61)),Detalle_24m!DH$61,INDEX(Precio_V,20)*INDEX(IdxPrecio_V,1,MIN(10,DH$173)))*(1+V_dPrecio))</f>
        <v>0</v>
      </c>
      <c r="DI221" s="48" t="n">
        <f aca="false">IF(DI$8=1,IF(Reales!$C$57="PYG",IF(DI$10&gt;0,N(Reales!DI57)/DI$10,0),N(Reales!DI57)),DI$196*IF(AND(AND(108&gt;Corte,108&lt;=Corte+n_Ventana),ISNUMBER(Detalle_24m!DI$61)),Detalle_24m!DI$61,INDEX(Precio_V,20)*INDEX(IdxPrecio_V,1,MIN(10,DI$173)))*(1+V_dPrecio))</f>
        <v>0</v>
      </c>
      <c r="DJ221" s="48" t="n">
        <f aca="false">IF(DJ$8=1,IF(Reales!$C$57="PYG",IF(DJ$10&gt;0,N(Reales!DJ57)/DJ$10,0),N(Reales!DJ57)),DJ$196*IF(AND(AND(109&gt;Corte,109&lt;=Corte+n_Ventana),ISNUMBER(Detalle_24m!DJ$61)),Detalle_24m!DJ$61,INDEX(Precio_V,20)*INDEX(IdxPrecio_V,1,MIN(10,DJ$173)))*(1+V_dPrecio))</f>
        <v>0</v>
      </c>
      <c r="DK221" s="48" t="n">
        <f aca="false">IF(DK$8=1,IF(Reales!$C$57="PYG",IF(DK$10&gt;0,N(Reales!DK57)/DK$10,0),N(Reales!DK57)),DK$196*IF(AND(AND(110&gt;Corte,110&lt;=Corte+n_Ventana),ISNUMBER(Detalle_24m!DK$61)),Detalle_24m!DK$61,INDEX(Precio_V,20)*INDEX(IdxPrecio_V,1,MIN(10,DK$173)))*(1+V_dPrecio))</f>
        <v>0</v>
      </c>
      <c r="DL221" s="48" t="n">
        <f aca="false">IF(DL$8=1,IF(Reales!$C$57="PYG",IF(DL$10&gt;0,N(Reales!DL57)/DL$10,0),N(Reales!DL57)),DL$196*IF(AND(AND(111&gt;Corte,111&lt;=Corte+n_Ventana),ISNUMBER(Detalle_24m!DL$61)),Detalle_24m!DL$61,INDEX(Precio_V,20)*INDEX(IdxPrecio_V,1,MIN(10,DL$173)))*(1+V_dPrecio))</f>
        <v>0</v>
      </c>
      <c r="DM221" s="48" t="n">
        <f aca="false">IF(DM$8=1,IF(Reales!$C$57="PYG",IF(DM$10&gt;0,N(Reales!DM57)/DM$10,0),N(Reales!DM57)),DM$196*IF(AND(AND(112&gt;Corte,112&lt;=Corte+n_Ventana),ISNUMBER(Detalle_24m!DM$61)),Detalle_24m!DM$61,INDEX(Precio_V,20)*INDEX(IdxPrecio_V,1,MIN(10,DM$173)))*(1+V_dPrecio))</f>
        <v>0</v>
      </c>
      <c r="DN221" s="48" t="n">
        <f aca="false">IF(DN$8=1,IF(Reales!$C$57="PYG",IF(DN$10&gt;0,N(Reales!DN57)/DN$10,0),N(Reales!DN57)),DN$196*IF(AND(AND(113&gt;Corte,113&lt;=Corte+n_Ventana),ISNUMBER(Detalle_24m!DN$61)),Detalle_24m!DN$61,INDEX(Precio_V,20)*INDEX(IdxPrecio_V,1,MIN(10,DN$173)))*(1+V_dPrecio))</f>
        <v>0</v>
      </c>
      <c r="DO221" s="48" t="n">
        <f aca="false">IF(DO$8=1,IF(Reales!$C$57="PYG",IF(DO$10&gt;0,N(Reales!DO57)/DO$10,0),N(Reales!DO57)),DO$196*IF(AND(AND(114&gt;Corte,114&lt;=Corte+n_Ventana),ISNUMBER(Detalle_24m!DO$61)),Detalle_24m!DO$61,INDEX(Precio_V,20)*INDEX(IdxPrecio_V,1,MIN(10,DO$173)))*(1+V_dPrecio))</f>
        <v>0</v>
      </c>
      <c r="DP221" s="48" t="n">
        <f aca="false">IF(DP$8=1,IF(Reales!$C$57="PYG",IF(DP$10&gt;0,N(Reales!DP57)/DP$10,0),N(Reales!DP57)),DP$196*IF(AND(AND(115&gt;Corte,115&lt;=Corte+n_Ventana),ISNUMBER(Detalle_24m!DP$61)),Detalle_24m!DP$61,INDEX(Precio_V,20)*INDEX(IdxPrecio_V,1,MIN(10,DP$173)))*(1+V_dPrecio))</f>
        <v>0</v>
      </c>
      <c r="DQ221" s="48" t="n">
        <f aca="false">IF(DQ$8=1,IF(Reales!$C$57="PYG",IF(DQ$10&gt;0,N(Reales!DQ57)/DQ$10,0),N(Reales!DQ57)),DQ$196*IF(AND(AND(116&gt;Corte,116&lt;=Corte+n_Ventana),ISNUMBER(Detalle_24m!DQ$61)),Detalle_24m!DQ$61,INDEX(Precio_V,20)*INDEX(IdxPrecio_V,1,MIN(10,DQ$173)))*(1+V_dPrecio))</f>
        <v>0</v>
      </c>
      <c r="DR221" s="48" t="n">
        <f aca="false">IF(DR$8=1,IF(Reales!$C$57="PYG",IF(DR$10&gt;0,N(Reales!DR57)/DR$10,0),N(Reales!DR57)),DR$196*IF(AND(AND(117&gt;Corte,117&lt;=Corte+n_Ventana),ISNUMBER(Detalle_24m!DR$61)),Detalle_24m!DR$61,INDEX(Precio_V,20)*INDEX(IdxPrecio_V,1,MIN(10,DR$173)))*(1+V_dPrecio))</f>
        <v>0</v>
      </c>
      <c r="DS221" s="48" t="n">
        <f aca="false">IF(DS$8=1,IF(Reales!$C$57="PYG",IF(DS$10&gt;0,N(Reales!DS57)/DS$10,0),N(Reales!DS57)),DS$196*IF(AND(AND(118&gt;Corte,118&lt;=Corte+n_Ventana),ISNUMBER(Detalle_24m!DS$61)),Detalle_24m!DS$61,INDEX(Precio_V,20)*INDEX(IdxPrecio_V,1,MIN(10,DS$173)))*(1+V_dPrecio))</f>
        <v>0</v>
      </c>
      <c r="DT221" s="48" t="n">
        <f aca="false">IF(DT$8=1,IF(Reales!$C$57="PYG",IF(DT$10&gt;0,N(Reales!DT57)/DT$10,0),N(Reales!DT57)),DT$196*IF(AND(AND(119&gt;Corte,119&lt;=Corte+n_Ventana),ISNUMBER(Detalle_24m!DT$61)),Detalle_24m!DT$61,INDEX(Precio_V,20)*INDEX(IdxPrecio_V,1,MIN(10,DT$173)))*(1+V_dPrecio))</f>
        <v>0</v>
      </c>
      <c r="DU221" s="48" t="n">
        <f aca="false">IF(DU$8=1,IF(Reales!$C$57="PYG",IF(DU$10&gt;0,N(Reales!DU57)/DU$10,0),N(Reales!DU57)),DU$196*IF(AND(AND(120&gt;Corte,120&lt;=Corte+n_Ventana),ISNUMBER(Detalle_24m!DU$61)),Detalle_24m!DU$61,INDEX(Precio_V,20)*INDEX(IdxPrecio_V,1,MIN(10,DU$173)))*(1+V_dPrecio))</f>
        <v>0</v>
      </c>
      <c r="DV221" s="48" t="n">
        <f aca="false">IF(DV$8=1,IF(Reales!$C$57="PYG",IF(DV$10&gt;0,N(Reales!DV57)/DV$10,0),N(Reales!DV57)),DV$196*IF(AND(AND(121&gt;Corte,121&lt;=Corte+n_Ventana),ISNUMBER(Detalle_24m!DV$61)),Detalle_24m!DV$61,INDEX(Precio_V,20)*INDEX(IdxPrecio_V,1,MIN(10,DV$173)))*(1+V_dPrecio))</f>
        <v>0</v>
      </c>
      <c r="DW221" s="48" t="n">
        <f aca="false">IF(DW$8=1,IF(Reales!$C$57="PYG",IF(DW$10&gt;0,N(Reales!DW57)/DW$10,0),N(Reales!DW57)),DW$196*IF(AND(AND(122&gt;Corte,122&lt;=Corte+n_Ventana),ISNUMBER(Detalle_24m!DW$61)),Detalle_24m!DW$61,INDEX(Precio_V,20)*INDEX(IdxPrecio_V,1,MIN(10,DW$173)))*(1+V_dPrecio))</f>
        <v>0</v>
      </c>
      <c r="DX221" s="48" t="n">
        <f aca="false">IF(DX$8=1,IF(Reales!$C$57="PYG",IF(DX$10&gt;0,N(Reales!DX57)/DX$10,0),N(Reales!DX57)),DX$196*IF(AND(AND(123&gt;Corte,123&lt;=Corte+n_Ventana),ISNUMBER(Detalle_24m!DX$61)),Detalle_24m!DX$61,INDEX(Precio_V,20)*INDEX(IdxPrecio_V,1,MIN(10,DX$173)))*(1+V_dPrecio))</f>
        <v>0</v>
      </c>
      <c r="DY221" s="48" t="n">
        <f aca="false">IF(DY$8=1,IF(Reales!$C$57="PYG",IF(DY$10&gt;0,N(Reales!DY57)/DY$10,0),N(Reales!DY57)),DY$196*IF(AND(AND(124&gt;Corte,124&lt;=Corte+n_Ventana),ISNUMBER(Detalle_24m!DY$61)),Detalle_24m!DY$61,INDEX(Precio_V,20)*INDEX(IdxPrecio_V,1,MIN(10,DY$173)))*(1+V_dPrecio))</f>
        <v>0</v>
      </c>
      <c r="DZ221" s="48" t="n">
        <f aca="false">IF(DZ$8=1,IF(Reales!$C$57="PYG",IF(DZ$10&gt;0,N(Reales!DZ57)/DZ$10,0),N(Reales!DZ57)),DZ$196*IF(AND(AND(125&gt;Corte,125&lt;=Corte+n_Ventana),ISNUMBER(Detalle_24m!DZ$61)),Detalle_24m!DZ$61,INDEX(Precio_V,20)*INDEX(IdxPrecio_V,1,MIN(10,DZ$173)))*(1+V_dPrecio))</f>
        <v>0</v>
      </c>
      <c r="EA221" s="48" t="n">
        <f aca="false">IF(EA$8=1,IF(Reales!$C$57="PYG",IF(EA$10&gt;0,N(Reales!EA57)/EA$10,0),N(Reales!EA57)),EA$196*IF(AND(AND(126&gt;Corte,126&lt;=Corte+n_Ventana),ISNUMBER(Detalle_24m!EA$61)),Detalle_24m!EA$61,INDEX(Precio_V,20)*INDEX(IdxPrecio_V,1,MIN(10,EA$173)))*(1+V_dPrecio))</f>
        <v>0</v>
      </c>
      <c r="EB221" s="48" t="n">
        <f aca="false">IF(EB$8=1,IF(Reales!$C$57="PYG",IF(EB$10&gt;0,N(Reales!EB57)/EB$10,0),N(Reales!EB57)),EB$196*IF(AND(AND(127&gt;Corte,127&lt;=Corte+n_Ventana),ISNUMBER(Detalle_24m!EB$61)),Detalle_24m!EB$61,INDEX(Precio_V,20)*INDEX(IdxPrecio_V,1,MIN(10,EB$173)))*(1+V_dPrecio))</f>
        <v>0</v>
      </c>
      <c r="EC221" s="48" t="n">
        <f aca="false">IF(EC$8=1,IF(Reales!$C$57="PYG",IF(EC$10&gt;0,N(Reales!EC57)/EC$10,0),N(Reales!EC57)),EC$196*IF(AND(AND(128&gt;Corte,128&lt;=Corte+n_Ventana),ISNUMBER(Detalle_24m!EC$61)),Detalle_24m!EC$61,INDEX(Precio_V,20)*INDEX(IdxPrecio_V,1,MIN(10,EC$173)))*(1+V_dPrecio))</f>
        <v>0</v>
      </c>
      <c r="ED221" s="48" t="n">
        <f aca="false">IF(ED$8=1,IF(Reales!$C$57="PYG",IF(ED$10&gt;0,N(Reales!ED57)/ED$10,0),N(Reales!ED57)),ED$196*IF(AND(AND(129&gt;Corte,129&lt;=Corte+n_Ventana),ISNUMBER(Detalle_24m!ED$61)),Detalle_24m!ED$61,INDEX(Precio_V,20)*INDEX(IdxPrecio_V,1,MIN(10,ED$173)))*(1+V_dPrecio))</f>
        <v>0</v>
      </c>
      <c r="EE221" s="48" t="n">
        <f aca="false">IF(EE$8=1,IF(Reales!$C$57="PYG",IF(EE$10&gt;0,N(Reales!EE57)/EE$10,0),N(Reales!EE57)),EE$196*IF(AND(AND(130&gt;Corte,130&lt;=Corte+n_Ventana),ISNUMBER(Detalle_24m!EE$61)),Detalle_24m!EE$61,INDEX(Precio_V,20)*INDEX(IdxPrecio_V,1,MIN(10,EE$173)))*(1+V_dPrecio))</f>
        <v>0</v>
      </c>
      <c r="EF221" s="48" t="n">
        <f aca="false">IF(EF$8=1,IF(Reales!$C$57="PYG",IF(EF$10&gt;0,N(Reales!EF57)/EF$10,0),N(Reales!EF57)),EF$196*IF(AND(AND(131&gt;Corte,131&lt;=Corte+n_Ventana),ISNUMBER(Detalle_24m!EF$61)),Detalle_24m!EF$61,INDEX(Precio_V,20)*INDEX(IdxPrecio_V,1,MIN(10,EF$173)))*(1+V_dPrecio))</f>
        <v>0</v>
      </c>
      <c r="EG221" s="48" t="n">
        <f aca="false">IF(EG$8=1,IF(Reales!$C$57="PYG",IF(EG$10&gt;0,N(Reales!EG57)/EG$10,0),N(Reales!EG57)),EG$196*IF(AND(AND(132&gt;Corte,132&lt;=Corte+n_Ventana),ISNUMBER(Detalle_24m!EG$61)),Detalle_24m!EG$61,INDEX(Precio_V,20)*INDEX(IdxPrecio_V,1,MIN(10,EG$173)))*(1+V_dPrecio))</f>
        <v>0</v>
      </c>
      <c r="EH221" s="48" t="n">
        <f aca="false">IF(EH$8=1,IF(Reales!$C$57="PYG",IF(EH$10&gt;0,N(Reales!EH57)/EH$10,0),N(Reales!EH57)),EH$196*IF(AND(AND(133&gt;Corte,133&lt;=Corte+n_Ventana),ISNUMBER(Detalle_24m!EH$61)),Detalle_24m!EH$61,INDEX(Precio_V,20)*INDEX(IdxPrecio_V,1,MIN(10,EH$173)))*(1+V_dPrecio))</f>
        <v>0</v>
      </c>
      <c r="EI221" s="48" t="n">
        <f aca="false">IF(EI$8=1,IF(Reales!$C$57="PYG",IF(EI$10&gt;0,N(Reales!EI57)/EI$10,0),N(Reales!EI57)),EI$196*IF(AND(AND(134&gt;Corte,134&lt;=Corte+n_Ventana),ISNUMBER(Detalle_24m!EI$61)),Detalle_24m!EI$61,INDEX(Precio_V,20)*INDEX(IdxPrecio_V,1,MIN(10,EI$173)))*(1+V_dPrecio))</f>
        <v>0</v>
      </c>
      <c r="EJ221" s="48" t="n">
        <f aca="false">IF(EJ$8=1,IF(Reales!$C$57="PYG",IF(EJ$10&gt;0,N(Reales!EJ57)/EJ$10,0),N(Reales!EJ57)),EJ$196*IF(AND(AND(135&gt;Corte,135&lt;=Corte+n_Ventana),ISNUMBER(Detalle_24m!EJ$61)),Detalle_24m!EJ$61,INDEX(Precio_V,20)*INDEX(IdxPrecio_V,1,MIN(10,EJ$173)))*(1+V_dPrecio))</f>
        <v>0</v>
      </c>
      <c r="EK221" s="48" t="n">
        <f aca="false">IF(EK$8=1,IF(Reales!$C$57="PYG",IF(EK$10&gt;0,N(Reales!EK57)/EK$10,0),N(Reales!EK57)),EK$196*IF(AND(AND(136&gt;Corte,136&lt;=Corte+n_Ventana),ISNUMBER(Detalle_24m!EK$61)),Detalle_24m!EK$61,INDEX(Precio_V,20)*INDEX(IdxPrecio_V,1,MIN(10,EK$173)))*(1+V_dPrecio))</f>
        <v>0</v>
      </c>
      <c r="EL221" s="48" t="n">
        <f aca="false">IF(EL$8=1,IF(Reales!$C$57="PYG",IF(EL$10&gt;0,N(Reales!EL57)/EL$10,0),N(Reales!EL57)),EL$196*IF(AND(AND(137&gt;Corte,137&lt;=Corte+n_Ventana),ISNUMBER(Detalle_24m!EL$61)),Detalle_24m!EL$61,INDEX(Precio_V,20)*INDEX(IdxPrecio_V,1,MIN(10,EL$173)))*(1+V_dPrecio))</f>
        <v>0</v>
      </c>
      <c r="EM221" s="48" t="n">
        <f aca="false">IF(EM$8=1,IF(Reales!$C$57="PYG",IF(EM$10&gt;0,N(Reales!EM57)/EM$10,0),N(Reales!EM57)),EM$196*IF(AND(AND(138&gt;Corte,138&lt;=Corte+n_Ventana),ISNUMBER(Detalle_24m!EM$61)),Detalle_24m!EM$61,INDEX(Precio_V,20)*INDEX(IdxPrecio_V,1,MIN(10,EM$173)))*(1+V_dPrecio))</f>
        <v>0</v>
      </c>
      <c r="EN221" s="48" t="n">
        <f aca="false">IF(EN$8=1,IF(Reales!$C$57="PYG",IF(EN$10&gt;0,N(Reales!EN57)/EN$10,0),N(Reales!EN57)),EN$196*IF(AND(AND(139&gt;Corte,139&lt;=Corte+n_Ventana),ISNUMBER(Detalle_24m!EN$61)),Detalle_24m!EN$61,INDEX(Precio_V,20)*INDEX(IdxPrecio_V,1,MIN(10,EN$173)))*(1+V_dPrecio))</f>
        <v>0</v>
      </c>
      <c r="EO221" s="48" t="n">
        <f aca="false">IF(EO$8=1,IF(Reales!$C$57="PYG",IF(EO$10&gt;0,N(Reales!EO57)/EO$10,0),N(Reales!EO57)),EO$196*IF(AND(AND(140&gt;Corte,140&lt;=Corte+n_Ventana),ISNUMBER(Detalle_24m!EO$61)),Detalle_24m!EO$61,INDEX(Precio_V,20)*INDEX(IdxPrecio_V,1,MIN(10,EO$173)))*(1+V_dPrecio))</f>
        <v>0</v>
      </c>
      <c r="EP221" s="48" t="n">
        <f aca="false">IF(EP$8=1,IF(Reales!$C$57="PYG",IF(EP$10&gt;0,N(Reales!EP57)/EP$10,0),N(Reales!EP57)),EP$196*IF(AND(AND(141&gt;Corte,141&lt;=Corte+n_Ventana),ISNUMBER(Detalle_24m!EP$61)),Detalle_24m!EP$61,INDEX(Precio_V,20)*INDEX(IdxPrecio_V,1,MIN(10,EP$173)))*(1+V_dPrecio))</f>
        <v>0</v>
      </c>
      <c r="EQ221" s="48" t="n">
        <f aca="false">IF(EQ$8=1,IF(Reales!$C$57="PYG",IF(EQ$10&gt;0,N(Reales!EQ57)/EQ$10,0),N(Reales!EQ57)),EQ$196*IF(AND(AND(142&gt;Corte,142&lt;=Corte+n_Ventana),ISNUMBER(Detalle_24m!EQ$61)),Detalle_24m!EQ$61,INDEX(Precio_V,20)*INDEX(IdxPrecio_V,1,MIN(10,EQ$173)))*(1+V_dPrecio))</f>
        <v>0</v>
      </c>
      <c r="ER221" s="48" t="n">
        <f aca="false">IF(ER$8=1,IF(Reales!$C$57="PYG",IF(ER$10&gt;0,N(Reales!ER57)/ER$10,0),N(Reales!ER57)),ER$196*IF(AND(AND(143&gt;Corte,143&lt;=Corte+n_Ventana),ISNUMBER(Detalle_24m!ER$61)),Detalle_24m!ER$61,INDEX(Precio_V,20)*INDEX(IdxPrecio_V,1,MIN(10,ER$173)))*(1+V_dPrecio))</f>
        <v>0</v>
      </c>
      <c r="ES221" s="48" t="n">
        <f aca="false">IF(ES$8=1,IF(Reales!$C$57="PYG",IF(ES$10&gt;0,N(Reales!ES57)/ES$10,0),N(Reales!ES57)),ES$196*IF(AND(AND(144&gt;Corte,144&lt;=Corte+n_Ventana),ISNUMBER(Detalle_24m!ES$61)),Detalle_24m!ES$61,INDEX(Precio_V,20)*INDEX(IdxPrecio_V,1,MIN(10,ES$173)))*(1+V_dPrecio))</f>
        <v>0</v>
      </c>
    </row>
    <row r="222" customFormat="false" ht="15" hidden="false" customHeight="false" outlineLevel="0" collapsed="false">
      <c r="A222" s="11" t="s">
        <v>1345</v>
      </c>
      <c r="B222" s="53" t="str">
        <f aca="false">IF(INDEX(Prod_Nombre,21)="","Producto 21",INDEX(Prod_Nombre,21))&amp;" — ventas USD"</f>
        <v>Producto 21 — ventas USD</v>
      </c>
      <c r="C222" s="15" t="s">
        <v>508</v>
      </c>
      <c r="E222" s="54" t="n">
        <f aca="false">SUM(F222:ES222)</f>
        <v>0</v>
      </c>
      <c r="F222" s="48" t="n">
        <f aca="false">IF(F$8=1,IF(Reales!$C$58="PYG",IF(F$10&gt;0,N(Reales!F58)/F$10,0),N(Reales!F58)),F$197*IF(AND(AND(1&gt;Corte,1&lt;=Corte+n_Ventana),ISNUMBER(Detalle_24m!F$62)),Detalle_24m!F$62,INDEX(Precio_V,21)*INDEX(IdxPrecio_V,1,MIN(10,F$173)))*(1+V_dPrecio))</f>
        <v>0</v>
      </c>
      <c r="G222" s="48" t="n">
        <f aca="false">IF(G$8=1,IF(Reales!$C$58="PYG",IF(G$10&gt;0,N(Reales!G58)/G$10,0),N(Reales!G58)),G$197*IF(AND(AND(2&gt;Corte,2&lt;=Corte+n_Ventana),ISNUMBER(Detalle_24m!G$62)),Detalle_24m!G$62,INDEX(Precio_V,21)*INDEX(IdxPrecio_V,1,MIN(10,G$173)))*(1+V_dPrecio))</f>
        <v>0</v>
      </c>
      <c r="H222" s="48" t="n">
        <f aca="false">IF(H$8=1,IF(Reales!$C$58="PYG",IF(H$10&gt;0,N(Reales!H58)/H$10,0),N(Reales!H58)),H$197*IF(AND(AND(3&gt;Corte,3&lt;=Corte+n_Ventana),ISNUMBER(Detalle_24m!H$62)),Detalle_24m!H$62,INDEX(Precio_V,21)*INDEX(IdxPrecio_V,1,MIN(10,H$173)))*(1+V_dPrecio))</f>
        <v>0</v>
      </c>
      <c r="I222" s="48" t="n">
        <f aca="false">IF(I$8=1,IF(Reales!$C$58="PYG",IF(I$10&gt;0,N(Reales!I58)/I$10,0),N(Reales!I58)),I$197*IF(AND(AND(4&gt;Corte,4&lt;=Corte+n_Ventana),ISNUMBER(Detalle_24m!I$62)),Detalle_24m!I$62,INDEX(Precio_V,21)*INDEX(IdxPrecio_V,1,MIN(10,I$173)))*(1+V_dPrecio))</f>
        <v>0</v>
      </c>
      <c r="J222" s="48" t="n">
        <f aca="false">IF(J$8=1,IF(Reales!$C$58="PYG",IF(J$10&gt;0,N(Reales!J58)/J$10,0),N(Reales!J58)),J$197*IF(AND(AND(5&gt;Corte,5&lt;=Corte+n_Ventana),ISNUMBER(Detalle_24m!J$62)),Detalle_24m!J$62,INDEX(Precio_V,21)*INDEX(IdxPrecio_V,1,MIN(10,J$173)))*(1+V_dPrecio))</f>
        <v>0</v>
      </c>
      <c r="K222" s="48" t="n">
        <f aca="false">IF(K$8=1,IF(Reales!$C$58="PYG",IF(K$10&gt;0,N(Reales!K58)/K$10,0),N(Reales!K58)),K$197*IF(AND(AND(6&gt;Corte,6&lt;=Corte+n_Ventana),ISNUMBER(Detalle_24m!K$62)),Detalle_24m!K$62,INDEX(Precio_V,21)*INDEX(IdxPrecio_V,1,MIN(10,K$173)))*(1+V_dPrecio))</f>
        <v>0</v>
      </c>
      <c r="L222" s="48" t="n">
        <f aca="false">IF(L$8=1,IF(Reales!$C$58="PYG",IF(L$10&gt;0,N(Reales!L58)/L$10,0),N(Reales!L58)),L$197*IF(AND(AND(7&gt;Corte,7&lt;=Corte+n_Ventana),ISNUMBER(Detalle_24m!L$62)),Detalle_24m!L$62,INDEX(Precio_V,21)*INDEX(IdxPrecio_V,1,MIN(10,L$173)))*(1+V_dPrecio))</f>
        <v>0</v>
      </c>
      <c r="M222" s="48" t="n">
        <f aca="false">IF(M$8=1,IF(Reales!$C$58="PYG",IF(M$10&gt;0,N(Reales!M58)/M$10,0),N(Reales!M58)),M$197*IF(AND(AND(8&gt;Corte,8&lt;=Corte+n_Ventana),ISNUMBER(Detalle_24m!M$62)),Detalle_24m!M$62,INDEX(Precio_V,21)*INDEX(IdxPrecio_V,1,MIN(10,M$173)))*(1+V_dPrecio))</f>
        <v>0</v>
      </c>
      <c r="N222" s="48" t="n">
        <f aca="false">IF(N$8=1,IF(Reales!$C$58="PYG",IF(N$10&gt;0,N(Reales!N58)/N$10,0),N(Reales!N58)),N$197*IF(AND(AND(9&gt;Corte,9&lt;=Corte+n_Ventana),ISNUMBER(Detalle_24m!N$62)),Detalle_24m!N$62,INDEX(Precio_V,21)*INDEX(IdxPrecio_V,1,MIN(10,N$173)))*(1+V_dPrecio))</f>
        <v>0</v>
      </c>
      <c r="O222" s="48" t="n">
        <f aca="false">IF(O$8=1,IF(Reales!$C$58="PYG",IF(O$10&gt;0,N(Reales!O58)/O$10,0),N(Reales!O58)),O$197*IF(AND(AND(10&gt;Corte,10&lt;=Corte+n_Ventana),ISNUMBER(Detalle_24m!O$62)),Detalle_24m!O$62,INDEX(Precio_V,21)*INDEX(IdxPrecio_V,1,MIN(10,O$173)))*(1+V_dPrecio))</f>
        <v>0</v>
      </c>
      <c r="P222" s="48" t="n">
        <f aca="false">IF(P$8=1,IF(Reales!$C$58="PYG",IF(P$10&gt;0,N(Reales!P58)/P$10,0),N(Reales!P58)),P$197*IF(AND(AND(11&gt;Corte,11&lt;=Corte+n_Ventana),ISNUMBER(Detalle_24m!P$62)),Detalle_24m!P$62,INDEX(Precio_V,21)*INDEX(IdxPrecio_V,1,MIN(10,P$173)))*(1+V_dPrecio))</f>
        <v>0</v>
      </c>
      <c r="Q222" s="48" t="n">
        <f aca="false">IF(Q$8=1,IF(Reales!$C$58="PYG",IF(Q$10&gt;0,N(Reales!Q58)/Q$10,0),N(Reales!Q58)),Q$197*IF(AND(AND(12&gt;Corte,12&lt;=Corte+n_Ventana),ISNUMBER(Detalle_24m!Q$62)),Detalle_24m!Q$62,INDEX(Precio_V,21)*INDEX(IdxPrecio_V,1,MIN(10,Q$173)))*(1+V_dPrecio))</f>
        <v>0</v>
      </c>
      <c r="R222" s="48" t="n">
        <f aca="false">IF(R$8=1,IF(Reales!$C$58="PYG",IF(R$10&gt;0,N(Reales!R58)/R$10,0),N(Reales!R58)),R$197*IF(AND(AND(13&gt;Corte,13&lt;=Corte+n_Ventana),ISNUMBER(Detalle_24m!R$62)),Detalle_24m!R$62,INDEX(Precio_V,21)*INDEX(IdxPrecio_V,1,MIN(10,R$173)))*(1+V_dPrecio))</f>
        <v>0</v>
      </c>
      <c r="S222" s="48" t="n">
        <f aca="false">IF(S$8=1,IF(Reales!$C$58="PYG",IF(S$10&gt;0,N(Reales!S58)/S$10,0),N(Reales!S58)),S$197*IF(AND(AND(14&gt;Corte,14&lt;=Corte+n_Ventana),ISNUMBER(Detalle_24m!S$62)),Detalle_24m!S$62,INDEX(Precio_V,21)*INDEX(IdxPrecio_V,1,MIN(10,S$173)))*(1+V_dPrecio))</f>
        <v>0</v>
      </c>
      <c r="T222" s="48" t="n">
        <f aca="false">IF(T$8=1,IF(Reales!$C$58="PYG",IF(T$10&gt;0,N(Reales!T58)/T$10,0),N(Reales!T58)),T$197*IF(AND(AND(15&gt;Corte,15&lt;=Corte+n_Ventana),ISNUMBER(Detalle_24m!T$62)),Detalle_24m!T$62,INDEX(Precio_V,21)*INDEX(IdxPrecio_V,1,MIN(10,T$173)))*(1+V_dPrecio))</f>
        <v>0</v>
      </c>
      <c r="U222" s="48" t="n">
        <f aca="false">IF(U$8=1,IF(Reales!$C$58="PYG",IF(U$10&gt;0,N(Reales!U58)/U$10,0),N(Reales!U58)),U$197*IF(AND(AND(16&gt;Corte,16&lt;=Corte+n_Ventana),ISNUMBER(Detalle_24m!U$62)),Detalle_24m!U$62,INDEX(Precio_V,21)*INDEX(IdxPrecio_V,1,MIN(10,U$173)))*(1+V_dPrecio))</f>
        <v>0</v>
      </c>
      <c r="V222" s="48" t="n">
        <f aca="false">IF(V$8=1,IF(Reales!$C$58="PYG",IF(V$10&gt;0,N(Reales!V58)/V$10,0),N(Reales!V58)),V$197*IF(AND(AND(17&gt;Corte,17&lt;=Corte+n_Ventana),ISNUMBER(Detalle_24m!V$62)),Detalle_24m!V$62,INDEX(Precio_V,21)*INDEX(IdxPrecio_V,1,MIN(10,V$173)))*(1+V_dPrecio))</f>
        <v>0</v>
      </c>
      <c r="W222" s="48" t="n">
        <f aca="false">IF(W$8=1,IF(Reales!$C$58="PYG",IF(W$10&gt;0,N(Reales!W58)/W$10,0),N(Reales!W58)),W$197*IF(AND(AND(18&gt;Corte,18&lt;=Corte+n_Ventana),ISNUMBER(Detalle_24m!W$62)),Detalle_24m!W$62,INDEX(Precio_V,21)*INDEX(IdxPrecio_V,1,MIN(10,W$173)))*(1+V_dPrecio))</f>
        <v>0</v>
      </c>
      <c r="X222" s="48" t="n">
        <f aca="false">IF(X$8=1,IF(Reales!$C$58="PYG",IF(X$10&gt;0,N(Reales!X58)/X$10,0),N(Reales!X58)),X$197*IF(AND(AND(19&gt;Corte,19&lt;=Corte+n_Ventana),ISNUMBER(Detalle_24m!X$62)),Detalle_24m!X$62,INDEX(Precio_V,21)*INDEX(IdxPrecio_V,1,MIN(10,X$173)))*(1+V_dPrecio))</f>
        <v>0</v>
      </c>
      <c r="Y222" s="48" t="n">
        <f aca="false">IF(Y$8=1,IF(Reales!$C$58="PYG",IF(Y$10&gt;0,N(Reales!Y58)/Y$10,0),N(Reales!Y58)),Y$197*IF(AND(AND(20&gt;Corte,20&lt;=Corte+n_Ventana),ISNUMBER(Detalle_24m!Y$62)),Detalle_24m!Y$62,INDEX(Precio_V,21)*INDEX(IdxPrecio_V,1,MIN(10,Y$173)))*(1+V_dPrecio))</f>
        <v>0</v>
      </c>
      <c r="Z222" s="48" t="n">
        <f aca="false">IF(Z$8=1,IF(Reales!$C$58="PYG",IF(Z$10&gt;0,N(Reales!Z58)/Z$10,0),N(Reales!Z58)),Z$197*IF(AND(AND(21&gt;Corte,21&lt;=Corte+n_Ventana),ISNUMBER(Detalle_24m!Z$62)),Detalle_24m!Z$62,INDEX(Precio_V,21)*INDEX(IdxPrecio_V,1,MIN(10,Z$173)))*(1+V_dPrecio))</f>
        <v>0</v>
      </c>
      <c r="AA222" s="48" t="n">
        <f aca="false">IF(AA$8=1,IF(Reales!$C$58="PYG",IF(AA$10&gt;0,N(Reales!AA58)/AA$10,0),N(Reales!AA58)),AA$197*IF(AND(AND(22&gt;Corte,22&lt;=Corte+n_Ventana),ISNUMBER(Detalle_24m!AA$62)),Detalle_24m!AA$62,INDEX(Precio_V,21)*INDEX(IdxPrecio_V,1,MIN(10,AA$173)))*(1+V_dPrecio))</f>
        <v>0</v>
      </c>
      <c r="AB222" s="48" t="n">
        <f aca="false">IF(AB$8=1,IF(Reales!$C$58="PYG",IF(AB$10&gt;0,N(Reales!AB58)/AB$10,0),N(Reales!AB58)),AB$197*IF(AND(AND(23&gt;Corte,23&lt;=Corte+n_Ventana),ISNUMBER(Detalle_24m!AB$62)),Detalle_24m!AB$62,INDEX(Precio_V,21)*INDEX(IdxPrecio_V,1,MIN(10,AB$173)))*(1+V_dPrecio))</f>
        <v>0</v>
      </c>
      <c r="AC222" s="48" t="n">
        <f aca="false">IF(AC$8=1,IF(Reales!$C$58="PYG",IF(AC$10&gt;0,N(Reales!AC58)/AC$10,0),N(Reales!AC58)),AC$197*IF(AND(AND(24&gt;Corte,24&lt;=Corte+n_Ventana),ISNUMBER(Detalle_24m!AC$62)),Detalle_24m!AC$62,INDEX(Precio_V,21)*INDEX(IdxPrecio_V,1,MIN(10,AC$173)))*(1+V_dPrecio))</f>
        <v>0</v>
      </c>
      <c r="AD222" s="48" t="n">
        <f aca="false">IF(AD$8=1,IF(Reales!$C$58="PYG",IF(AD$10&gt;0,N(Reales!AD58)/AD$10,0),N(Reales!AD58)),AD$197*IF(AND(AND(25&gt;Corte,25&lt;=Corte+n_Ventana),ISNUMBER(Detalle_24m!AD$62)),Detalle_24m!AD$62,INDEX(Precio_V,21)*INDEX(IdxPrecio_V,1,MIN(10,AD$173)))*(1+V_dPrecio))</f>
        <v>0</v>
      </c>
      <c r="AE222" s="48" t="n">
        <f aca="false">IF(AE$8=1,IF(Reales!$C$58="PYG",IF(AE$10&gt;0,N(Reales!AE58)/AE$10,0),N(Reales!AE58)),AE$197*IF(AND(AND(26&gt;Corte,26&lt;=Corte+n_Ventana),ISNUMBER(Detalle_24m!AE$62)),Detalle_24m!AE$62,INDEX(Precio_V,21)*INDEX(IdxPrecio_V,1,MIN(10,AE$173)))*(1+V_dPrecio))</f>
        <v>0</v>
      </c>
      <c r="AF222" s="48" t="n">
        <f aca="false">IF(AF$8=1,IF(Reales!$C$58="PYG",IF(AF$10&gt;0,N(Reales!AF58)/AF$10,0),N(Reales!AF58)),AF$197*IF(AND(AND(27&gt;Corte,27&lt;=Corte+n_Ventana),ISNUMBER(Detalle_24m!AF$62)),Detalle_24m!AF$62,INDEX(Precio_V,21)*INDEX(IdxPrecio_V,1,MIN(10,AF$173)))*(1+V_dPrecio))</f>
        <v>0</v>
      </c>
      <c r="AG222" s="48" t="n">
        <f aca="false">IF(AG$8=1,IF(Reales!$C$58="PYG",IF(AG$10&gt;0,N(Reales!AG58)/AG$10,0),N(Reales!AG58)),AG$197*IF(AND(AND(28&gt;Corte,28&lt;=Corte+n_Ventana),ISNUMBER(Detalle_24m!AG$62)),Detalle_24m!AG$62,INDEX(Precio_V,21)*INDEX(IdxPrecio_V,1,MIN(10,AG$173)))*(1+V_dPrecio))</f>
        <v>0</v>
      </c>
      <c r="AH222" s="48" t="n">
        <f aca="false">IF(AH$8=1,IF(Reales!$C$58="PYG",IF(AH$10&gt;0,N(Reales!AH58)/AH$10,0),N(Reales!AH58)),AH$197*IF(AND(AND(29&gt;Corte,29&lt;=Corte+n_Ventana),ISNUMBER(Detalle_24m!AH$62)),Detalle_24m!AH$62,INDEX(Precio_V,21)*INDEX(IdxPrecio_V,1,MIN(10,AH$173)))*(1+V_dPrecio))</f>
        <v>0</v>
      </c>
      <c r="AI222" s="48" t="n">
        <f aca="false">IF(AI$8=1,IF(Reales!$C$58="PYG",IF(AI$10&gt;0,N(Reales!AI58)/AI$10,0),N(Reales!AI58)),AI$197*IF(AND(AND(30&gt;Corte,30&lt;=Corte+n_Ventana),ISNUMBER(Detalle_24m!AI$62)),Detalle_24m!AI$62,INDEX(Precio_V,21)*INDEX(IdxPrecio_V,1,MIN(10,AI$173)))*(1+V_dPrecio))</f>
        <v>0</v>
      </c>
      <c r="AJ222" s="48" t="n">
        <f aca="false">IF(AJ$8=1,IF(Reales!$C$58="PYG",IF(AJ$10&gt;0,N(Reales!AJ58)/AJ$10,0),N(Reales!AJ58)),AJ$197*IF(AND(AND(31&gt;Corte,31&lt;=Corte+n_Ventana),ISNUMBER(Detalle_24m!AJ$62)),Detalle_24m!AJ$62,INDEX(Precio_V,21)*INDEX(IdxPrecio_V,1,MIN(10,AJ$173)))*(1+V_dPrecio))</f>
        <v>0</v>
      </c>
      <c r="AK222" s="48" t="n">
        <f aca="false">IF(AK$8=1,IF(Reales!$C$58="PYG",IF(AK$10&gt;0,N(Reales!AK58)/AK$10,0),N(Reales!AK58)),AK$197*IF(AND(AND(32&gt;Corte,32&lt;=Corte+n_Ventana),ISNUMBER(Detalle_24m!AK$62)),Detalle_24m!AK$62,INDEX(Precio_V,21)*INDEX(IdxPrecio_V,1,MIN(10,AK$173)))*(1+V_dPrecio))</f>
        <v>0</v>
      </c>
      <c r="AL222" s="48" t="n">
        <f aca="false">IF(AL$8=1,IF(Reales!$C$58="PYG",IF(AL$10&gt;0,N(Reales!AL58)/AL$10,0),N(Reales!AL58)),AL$197*IF(AND(AND(33&gt;Corte,33&lt;=Corte+n_Ventana),ISNUMBER(Detalle_24m!AL$62)),Detalle_24m!AL$62,INDEX(Precio_V,21)*INDEX(IdxPrecio_V,1,MIN(10,AL$173)))*(1+V_dPrecio))</f>
        <v>0</v>
      </c>
      <c r="AM222" s="48" t="n">
        <f aca="false">IF(AM$8=1,IF(Reales!$C$58="PYG",IF(AM$10&gt;0,N(Reales!AM58)/AM$10,0),N(Reales!AM58)),AM$197*IF(AND(AND(34&gt;Corte,34&lt;=Corte+n_Ventana),ISNUMBER(Detalle_24m!AM$62)),Detalle_24m!AM$62,INDEX(Precio_V,21)*INDEX(IdxPrecio_V,1,MIN(10,AM$173)))*(1+V_dPrecio))</f>
        <v>0</v>
      </c>
      <c r="AN222" s="48" t="n">
        <f aca="false">IF(AN$8=1,IF(Reales!$C$58="PYG",IF(AN$10&gt;0,N(Reales!AN58)/AN$10,0),N(Reales!AN58)),AN$197*IF(AND(AND(35&gt;Corte,35&lt;=Corte+n_Ventana),ISNUMBER(Detalle_24m!AN$62)),Detalle_24m!AN$62,INDEX(Precio_V,21)*INDEX(IdxPrecio_V,1,MIN(10,AN$173)))*(1+V_dPrecio))</f>
        <v>0</v>
      </c>
      <c r="AO222" s="48" t="n">
        <f aca="false">IF(AO$8=1,IF(Reales!$C$58="PYG",IF(AO$10&gt;0,N(Reales!AO58)/AO$10,0),N(Reales!AO58)),AO$197*IF(AND(AND(36&gt;Corte,36&lt;=Corte+n_Ventana),ISNUMBER(Detalle_24m!AO$62)),Detalle_24m!AO$62,INDEX(Precio_V,21)*INDEX(IdxPrecio_V,1,MIN(10,AO$173)))*(1+V_dPrecio))</f>
        <v>0</v>
      </c>
      <c r="AP222" s="48" t="n">
        <f aca="false">IF(AP$8=1,IF(Reales!$C$58="PYG",IF(AP$10&gt;0,N(Reales!AP58)/AP$10,0),N(Reales!AP58)),AP$197*IF(AND(AND(37&gt;Corte,37&lt;=Corte+n_Ventana),ISNUMBER(Detalle_24m!AP$62)),Detalle_24m!AP$62,INDEX(Precio_V,21)*INDEX(IdxPrecio_V,1,MIN(10,AP$173)))*(1+V_dPrecio))</f>
        <v>0</v>
      </c>
      <c r="AQ222" s="48" t="n">
        <f aca="false">IF(AQ$8=1,IF(Reales!$C$58="PYG",IF(AQ$10&gt;0,N(Reales!AQ58)/AQ$10,0),N(Reales!AQ58)),AQ$197*IF(AND(AND(38&gt;Corte,38&lt;=Corte+n_Ventana),ISNUMBER(Detalle_24m!AQ$62)),Detalle_24m!AQ$62,INDEX(Precio_V,21)*INDEX(IdxPrecio_V,1,MIN(10,AQ$173)))*(1+V_dPrecio))</f>
        <v>0</v>
      </c>
      <c r="AR222" s="48" t="n">
        <f aca="false">IF(AR$8=1,IF(Reales!$C$58="PYG",IF(AR$10&gt;0,N(Reales!AR58)/AR$10,0),N(Reales!AR58)),AR$197*IF(AND(AND(39&gt;Corte,39&lt;=Corte+n_Ventana),ISNUMBER(Detalle_24m!AR$62)),Detalle_24m!AR$62,INDEX(Precio_V,21)*INDEX(IdxPrecio_V,1,MIN(10,AR$173)))*(1+V_dPrecio))</f>
        <v>0</v>
      </c>
      <c r="AS222" s="48" t="n">
        <f aca="false">IF(AS$8=1,IF(Reales!$C$58="PYG",IF(AS$10&gt;0,N(Reales!AS58)/AS$10,0),N(Reales!AS58)),AS$197*IF(AND(AND(40&gt;Corte,40&lt;=Corte+n_Ventana),ISNUMBER(Detalle_24m!AS$62)),Detalle_24m!AS$62,INDEX(Precio_V,21)*INDEX(IdxPrecio_V,1,MIN(10,AS$173)))*(1+V_dPrecio))</f>
        <v>0</v>
      </c>
      <c r="AT222" s="48" t="n">
        <f aca="false">IF(AT$8=1,IF(Reales!$C$58="PYG",IF(AT$10&gt;0,N(Reales!AT58)/AT$10,0),N(Reales!AT58)),AT$197*IF(AND(AND(41&gt;Corte,41&lt;=Corte+n_Ventana),ISNUMBER(Detalle_24m!AT$62)),Detalle_24m!AT$62,INDEX(Precio_V,21)*INDEX(IdxPrecio_V,1,MIN(10,AT$173)))*(1+V_dPrecio))</f>
        <v>0</v>
      </c>
      <c r="AU222" s="48" t="n">
        <f aca="false">IF(AU$8=1,IF(Reales!$C$58="PYG",IF(AU$10&gt;0,N(Reales!AU58)/AU$10,0),N(Reales!AU58)),AU$197*IF(AND(AND(42&gt;Corte,42&lt;=Corte+n_Ventana),ISNUMBER(Detalle_24m!AU$62)),Detalle_24m!AU$62,INDEX(Precio_V,21)*INDEX(IdxPrecio_V,1,MIN(10,AU$173)))*(1+V_dPrecio))</f>
        <v>0</v>
      </c>
      <c r="AV222" s="48" t="n">
        <f aca="false">IF(AV$8=1,IF(Reales!$C$58="PYG",IF(AV$10&gt;0,N(Reales!AV58)/AV$10,0),N(Reales!AV58)),AV$197*IF(AND(AND(43&gt;Corte,43&lt;=Corte+n_Ventana),ISNUMBER(Detalle_24m!AV$62)),Detalle_24m!AV$62,INDEX(Precio_V,21)*INDEX(IdxPrecio_V,1,MIN(10,AV$173)))*(1+V_dPrecio))</f>
        <v>0</v>
      </c>
      <c r="AW222" s="48" t="n">
        <f aca="false">IF(AW$8=1,IF(Reales!$C$58="PYG",IF(AW$10&gt;0,N(Reales!AW58)/AW$10,0),N(Reales!AW58)),AW$197*IF(AND(AND(44&gt;Corte,44&lt;=Corte+n_Ventana),ISNUMBER(Detalle_24m!AW$62)),Detalle_24m!AW$62,INDEX(Precio_V,21)*INDEX(IdxPrecio_V,1,MIN(10,AW$173)))*(1+V_dPrecio))</f>
        <v>0</v>
      </c>
      <c r="AX222" s="48" t="n">
        <f aca="false">IF(AX$8=1,IF(Reales!$C$58="PYG",IF(AX$10&gt;0,N(Reales!AX58)/AX$10,0),N(Reales!AX58)),AX$197*IF(AND(AND(45&gt;Corte,45&lt;=Corte+n_Ventana),ISNUMBER(Detalle_24m!AX$62)),Detalle_24m!AX$62,INDEX(Precio_V,21)*INDEX(IdxPrecio_V,1,MIN(10,AX$173)))*(1+V_dPrecio))</f>
        <v>0</v>
      </c>
      <c r="AY222" s="48" t="n">
        <f aca="false">IF(AY$8=1,IF(Reales!$C$58="PYG",IF(AY$10&gt;0,N(Reales!AY58)/AY$10,0),N(Reales!AY58)),AY$197*IF(AND(AND(46&gt;Corte,46&lt;=Corte+n_Ventana),ISNUMBER(Detalle_24m!AY$62)),Detalle_24m!AY$62,INDEX(Precio_V,21)*INDEX(IdxPrecio_V,1,MIN(10,AY$173)))*(1+V_dPrecio))</f>
        <v>0</v>
      </c>
      <c r="AZ222" s="48" t="n">
        <f aca="false">IF(AZ$8=1,IF(Reales!$C$58="PYG",IF(AZ$10&gt;0,N(Reales!AZ58)/AZ$10,0),N(Reales!AZ58)),AZ$197*IF(AND(AND(47&gt;Corte,47&lt;=Corte+n_Ventana),ISNUMBER(Detalle_24m!AZ$62)),Detalle_24m!AZ$62,INDEX(Precio_V,21)*INDEX(IdxPrecio_V,1,MIN(10,AZ$173)))*(1+V_dPrecio))</f>
        <v>0</v>
      </c>
      <c r="BA222" s="48" t="n">
        <f aca="false">IF(BA$8=1,IF(Reales!$C$58="PYG",IF(BA$10&gt;0,N(Reales!BA58)/BA$10,0),N(Reales!BA58)),BA$197*IF(AND(AND(48&gt;Corte,48&lt;=Corte+n_Ventana),ISNUMBER(Detalle_24m!BA$62)),Detalle_24m!BA$62,INDEX(Precio_V,21)*INDEX(IdxPrecio_V,1,MIN(10,BA$173)))*(1+V_dPrecio))</f>
        <v>0</v>
      </c>
      <c r="BB222" s="48" t="n">
        <f aca="false">IF(BB$8=1,IF(Reales!$C$58="PYG",IF(BB$10&gt;0,N(Reales!BB58)/BB$10,0),N(Reales!BB58)),BB$197*IF(AND(AND(49&gt;Corte,49&lt;=Corte+n_Ventana),ISNUMBER(Detalle_24m!BB$62)),Detalle_24m!BB$62,INDEX(Precio_V,21)*INDEX(IdxPrecio_V,1,MIN(10,BB$173)))*(1+V_dPrecio))</f>
        <v>0</v>
      </c>
      <c r="BC222" s="48" t="n">
        <f aca="false">IF(BC$8=1,IF(Reales!$C$58="PYG",IF(BC$10&gt;0,N(Reales!BC58)/BC$10,0),N(Reales!BC58)),BC$197*IF(AND(AND(50&gt;Corte,50&lt;=Corte+n_Ventana),ISNUMBER(Detalle_24m!BC$62)),Detalle_24m!BC$62,INDEX(Precio_V,21)*INDEX(IdxPrecio_V,1,MIN(10,BC$173)))*(1+V_dPrecio))</f>
        <v>0</v>
      </c>
      <c r="BD222" s="48" t="n">
        <f aca="false">IF(BD$8=1,IF(Reales!$C$58="PYG",IF(BD$10&gt;0,N(Reales!BD58)/BD$10,0),N(Reales!BD58)),BD$197*IF(AND(AND(51&gt;Corte,51&lt;=Corte+n_Ventana),ISNUMBER(Detalle_24m!BD$62)),Detalle_24m!BD$62,INDEX(Precio_V,21)*INDEX(IdxPrecio_V,1,MIN(10,BD$173)))*(1+V_dPrecio))</f>
        <v>0</v>
      </c>
      <c r="BE222" s="48" t="n">
        <f aca="false">IF(BE$8=1,IF(Reales!$C$58="PYG",IF(BE$10&gt;0,N(Reales!BE58)/BE$10,0),N(Reales!BE58)),BE$197*IF(AND(AND(52&gt;Corte,52&lt;=Corte+n_Ventana),ISNUMBER(Detalle_24m!BE$62)),Detalle_24m!BE$62,INDEX(Precio_V,21)*INDEX(IdxPrecio_V,1,MIN(10,BE$173)))*(1+V_dPrecio))</f>
        <v>0</v>
      </c>
      <c r="BF222" s="48" t="n">
        <f aca="false">IF(BF$8=1,IF(Reales!$C$58="PYG",IF(BF$10&gt;0,N(Reales!BF58)/BF$10,0),N(Reales!BF58)),BF$197*IF(AND(AND(53&gt;Corte,53&lt;=Corte+n_Ventana),ISNUMBER(Detalle_24m!BF$62)),Detalle_24m!BF$62,INDEX(Precio_V,21)*INDEX(IdxPrecio_V,1,MIN(10,BF$173)))*(1+V_dPrecio))</f>
        <v>0</v>
      </c>
      <c r="BG222" s="48" t="n">
        <f aca="false">IF(BG$8=1,IF(Reales!$C$58="PYG",IF(BG$10&gt;0,N(Reales!BG58)/BG$10,0),N(Reales!BG58)),BG$197*IF(AND(AND(54&gt;Corte,54&lt;=Corte+n_Ventana),ISNUMBER(Detalle_24m!BG$62)),Detalle_24m!BG$62,INDEX(Precio_V,21)*INDEX(IdxPrecio_V,1,MIN(10,BG$173)))*(1+V_dPrecio))</f>
        <v>0</v>
      </c>
      <c r="BH222" s="48" t="n">
        <f aca="false">IF(BH$8=1,IF(Reales!$C$58="PYG",IF(BH$10&gt;0,N(Reales!BH58)/BH$10,0),N(Reales!BH58)),BH$197*IF(AND(AND(55&gt;Corte,55&lt;=Corte+n_Ventana),ISNUMBER(Detalle_24m!BH$62)),Detalle_24m!BH$62,INDEX(Precio_V,21)*INDEX(IdxPrecio_V,1,MIN(10,BH$173)))*(1+V_dPrecio))</f>
        <v>0</v>
      </c>
      <c r="BI222" s="48" t="n">
        <f aca="false">IF(BI$8=1,IF(Reales!$C$58="PYG",IF(BI$10&gt;0,N(Reales!BI58)/BI$10,0),N(Reales!BI58)),BI$197*IF(AND(AND(56&gt;Corte,56&lt;=Corte+n_Ventana),ISNUMBER(Detalle_24m!BI$62)),Detalle_24m!BI$62,INDEX(Precio_V,21)*INDEX(IdxPrecio_V,1,MIN(10,BI$173)))*(1+V_dPrecio))</f>
        <v>0</v>
      </c>
      <c r="BJ222" s="48" t="n">
        <f aca="false">IF(BJ$8=1,IF(Reales!$C$58="PYG",IF(BJ$10&gt;0,N(Reales!BJ58)/BJ$10,0),N(Reales!BJ58)),BJ$197*IF(AND(AND(57&gt;Corte,57&lt;=Corte+n_Ventana),ISNUMBER(Detalle_24m!BJ$62)),Detalle_24m!BJ$62,INDEX(Precio_V,21)*INDEX(IdxPrecio_V,1,MIN(10,BJ$173)))*(1+V_dPrecio))</f>
        <v>0</v>
      </c>
      <c r="BK222" s="48" t="n">
        <f aca="false">IF(BK$8=1,IF(Reales!$C$58="PYG",IF(BK$10&gt;0,N(Reales!BK58)/BK$10,0),N(Reales!BK58)),BK$197*IF(AND(AND(58&gt;Corte,58&lt;=Corte+n_Ventana),ISNUMBER(Detalle_24m!BK$62)),Detalle_24m!BK$62,INDEX(Precio_V,21)*INDEX(IdxPrecio_V,1,MIN(10,BK$173)))*(1+V_dPrecio))</f>
        <v>0</v>
      </c>
      <c r="BL222" s="48" t="n">
        <f aca="false">IF(BL$8=1,IF(Reales!$C$58="PYG",IF(BL$10&gt;0,N(Reales!BL58)/BL$10,0),N(Reales!BL58)),BL$197*IF(AND(AND(59&gt;Corte,59&lt;=Corte+n_Ventana),ISNUMBER(Detalle_24m!BL$62)),Detalle_24m!BL$62,INDEX(Precio_V,21)*INDEX(IdxPrecio_V,1,MIN(10,BL$173)))*(1+V_dPrecio))</f>
        <v>0</v>
      </c>
      <c r="BM222" s="48" t="n">
        <f aca="false">IF(BM$8=1,IF(Reales!$C$58="PYG",IF(BM$10&gt;0,N(Reales!BM58)/BM$10,0),N(Reales!BM58)),BM$197*IF(AND(AND(60&gt;Corte,60&lt;=Corte+n_Ventana),ISNUMBER(Detalle_24m!BM$62)),Detalle_24m!BM$62,INDEX(Precio_V,21)*INDEX(IdxPrecio_V,1,MIN(10,BM$173)))*(1+V_dPrecio))</f>
        <v>0</v>
      </c>
      <c r="BN222" s="48" t="n">
        <f aca="false">IF(BN$8=1,IF(Reales!$C$58="PYG",IF(BN$10&gt;0,N(Reales!BN58)/BN$10,0),N(Reales!BN58)),BN$197*IF(AND(AND(61&gt;Corte,61&lt;=Corte+n_Ventana),ISNUMBER(Detalle_24m!BN$62)),Detalle_24m!BN$62,INDEX(Precio_V,21)*INDEX(IdxPrecio_V,1,MIN(10,BN$173)))*(1+V_dPrecio))</f>
        <v>0</v>
      </c>
      <c r="BO222" s="48" t="n">
        <f aca="false">IF(BO$8=1,IF(Reales!$C$58="PYG",IF(BO$10&gt;0,N(Reales!BO58)/BO$10,0),N(Reales!BO58)),BO$197*IF(AND(AND(62&gt;Corte,62&lt;=Corte+n_Ventana),ISNUMBER(Detalle_24m!BO$62)),Detalle_24m!BO$62,INDEX(Precio_V,21)*INDEX(IdxPrecio_V,1,MIN(10,BO$173)))*(1+V_dPrecio))</f>
        <v>0</v>
      </c>
      <c r="BP222" s="48" t="n">
        <f aca="false">IF(BP$8=1,IF(Reales!$C$58="PYG",IF(BP$10&gt;0,N(Reales!BP58)/BP$10,0),N(Reales!BP58)),BP$197*IF(AND(AND(63&gt;Corte,63&lt;=Corte+n_Ventana),ISNUMBER(Detalle_24m!BP$62)),Detalle_24m!BP$62,INDEX(Precio_V,21)*INDEX(IdxPrecio_V,1,MIN(10,BP$173)))*(1+V_dPrecio))</f>
        <v>0</v>
      </c>
      <c r="BQ222" s="48" t="n">
        <f aca="false">IF(BQ$8=1,IF(Reales!$C$58="PYG",IF(BQ$10&gt;0,N(Reales!BQ58)/BQ$10,0),N(Reales!BQ58)),BQ$197*IF(AND(AND(64&gt;Corte,64&lt;=Corte+n_Ventana),ISNUMBER(Detalle_24m!BQ$62)),Detalle_24m!BQ$62,INDEX(Precio_V,21)*INDEX(IdxPrecio_V,1,MIN(10,BQ$173)))*(1+V_dPrecio))</f>
        <v>0</v>
      </c>
      <c r="BR222" s="48" t="n">
        <f aca="false">IF(BR$8=1,IF(Reales!$C$58="PYG",IF(BR$10&gt;0,N(Reales!BR58)/BR$10,0),N(Reales!BR58)),BR$197*IF(AND(AND(65&gt;Corte,65&lt;=Corte+n_Ventana),ISNUMBER(Detalle_24m!BR$62)),Detalle_24m!BR$62,INDEX(Precio_V,21)*INDEX(IdxPrecio_V,1,MIN(10,BR$173)))*(1+V_dPrecio))</f>
        <v>0</v>
      </c>
      <c r="BS222" s="48" t="n">
        <f aca="false">IF(BS$8=1,IF(Reales!$C$58="PYG",IF(BS$10&gt;0,N(Reales!BS58)/BS$10,0),N(Reales!BS58)),BS$197*IF(AND(AND(66&gt;Corte,66&lt;=Corte+n_Ventana),ISNUMBER(Detalle_24m!BS$62)),Detalle_24m!BS$62,INDEX(Precio_V,21)*INDEX(IdxPrecio_V,1,MIN(10,BS$173)))*(1+V_dPrecio))</f>
        <v>0</v>
      </c>
      <c r="BT222" s="48" t="n">
        <f aca="false">IF(BT$8=1,IF(Reales!$C$58="PYG",IF(BT$10&gt;0,N(Reales!BT58)/BT$10,0),N(Reales!BT58)),BT$197*IF(AND(AND(67&gt;Corte,67&lt;=Corte+n_Ventana),ISNUMBER(Detalle_24m!BT$62)),Detalle_24m!BT$62,INDEX(Precio_V,21)*INDEX(IdxPrecio_V,1,MIN(10,BT$173)))*(1+V_dPrecio))</f>
        <v>0</v>
      </c>
      <c r="BU222" s="48" t="n">
        <f aca="false">IF(BU$8=1,IF(Reales!$C$58="PYG",IF(BU$10&gt;0,N(Reales!BU58)/BU$10,0),N(Reales!BU58)),BU$197*IF(AND(AND(68&gt;Corte,68&lt;=Corte+n_Ventana),ISNUMBER(Detalle_24m!BU$62)),Detalle_24m!BU$62,INDEX(Precio_V,21)*INDEX(IdxPrecio_V,1,MIN(10,BU$173)))*(1+V_dPrecio))</f>
        <v>0</v>
      </c>
      <c r="BV222" s="48" t="n">
        <f aca="false">IF(BV$8=1,IF(Reales!$C$58="PYG",IF(BV$10&gt;0,N(Reales!BV58)/BV$10,0),N(Reales!BV58)),BV$197*IF(AND(AND(69&gt;Corte,69&lt;=Corte+n_Ventana),ISNUMBER(Detalle_24m!BV$62)),Detalle_24m!BV$62,INDEX(Precio_V,21)*INDEX(IdxPrecio_V,1,MIN(10,BV$173)))*(1+V_dPrecio))</f>
        <v>0</v>
      </c>
      <c r="BW222" s="48" t="n">
        <f aca="false">IF(BW$8=1,IF(Reales!$C$58="PYG",IF(BW$10&gt;0,N(Reales!BW58)/BW$10,0),N(Reales!BW58)),BW$197*IF(AND(AND(70&gt;Corte,70&lt;=Corte+n_Ventana),ISNUMBER(Detalle_24m!BW$62)),Detalle_24m!BW$62,INDEX(Precio_V,21)*INDEX(IdxPrecio_V,1,MIN(10,BW$173)))*(1+V_dPrecio))</f>
        <v>0</v>
      </c>
      <c r="BX222" s="48" t="n">
        <f aca="false">IF(BX$8=1,IF(Reales!$C$58="PYG",IF(BX$10&gt;0,N(Reales!BX58)/BX$10,0),N(Reales!BX58)),BX$197*IF(AND(AND(71&gt;Corte,71&lt;=Corte+n_Ventana),ISNUMBER(Detalle_24m!BX$62)),Detalle_24m!BX$62,INDEX(Precio_V,21)*INDEX(IdxPrecio_V,1,MIN(10,BX$173)))*(1+V_dPrecio))</f>
        <v>0</v>
      </c>
      <c r="BY222" s="48" t="n">
        <f aca="false">IF(BY$8=1,IF(Reales!$C$58="PYG",IF(BY$10&gt;0,N(Reales!BY58)/BY$10,0),N(Reales!BY58)),BY$197*IF(AND(AND(72&gt;Corte,72&lt;=Corte+n_Ventana),ISNUMBER(Detalle_24m!BY$62)),Detalle_24m!BY$62,INDEX(Precio_V,21)*INDEX(IdxPrecio_V,1,MIN(10,BY$173)))*(1+V_dPrecio))</f>
        <v>0</v>
      </c>
      <c r="BZ222" s="48" t="n">
        <f aca="false">IF(BZ$8=1,IF(Reales!$C$58="PYG",IF(BZ$10&gt;0,N(Reales!BZ58)/BZ$10,0),N(Reales!BZ58)),BZ$197*IF(AND(AND(73&gt;Corte,73&lt;=Corte+n_Ventana),ISNUMBER(Detalle_24m!BZ$62)),Detalle_24m!BZ$62,INDEX(Precio_V,21)*INDEX(IdxPrecio_V,1,MIN(10,BZ$173)))*(1+V_dPrecio))</f>
        <v>0</v>
      </c>
      <c r="CA222" s="48" t="n">
        <f aca="false">IF(CA$8=1,IF(Reales!$C$58="PYG",IF(CA$10&gt;0,N(Reales!CA58)/CA$10,0),N(Reales!CA58)),CA$197*IF(AND(AND(74&gt;Corte,74&lt;=Corte+n_Ventana),ISNUMBER(Detalle_24m!CA$62)),Detalle_24m!CA$62,INDEX(Precio_V,21)*INDEX(IdxPrecio_V,1,MIN(10,CA$173)))*(1+V_dPrecio))</f>
        <v>0</v>
      </c>
      <c r="CB222" s="48" t="n">
        <f aca="false">IF(CB$8=1,IF(Reales!$C$58="PYG",IF(CB$10&gt;0,N(Reales!CB58)/CB$10,0),N(Reales!CB58)),CB$197*IF(AND(AND(75&gt;Corte,75&lt;=Corte+n_Ventana),ISNUMBER(Detalle_24m!CB$62)),Detalle_24m!CB$62,INDEX(Precio_V,21)*INDEX(IdxPrecio_V,1,MIN(10,CB$173)))*(1+V_dPrecio))</f>
        <v>0</v>
      </c>
      <c r="CC222" s="48" t="n">
        <f aca="false">IF(CC$8=1,IF(Reales!$C$58="PYG",IF(CC$10&gt;0,N(Reales!CC58)/CC$10,0),N(Reales!CC58)),CC$197*IF(AND(AND(76&gt;Corte,76&lt;=Corte+n_Ventana),ISNUMBER(Detalle_24m!CC$62)),Detalle_24m!CC$62,INDEX(Precio_V,21)*INDEX(IdxPrecio_V,1,MIN(10,CC$173)))*(1+V_dPrecio))</f>
        <v>0</v>
      </c>
      <c r="CD222" s="48" t="n">
        <f aca="false">IF(CD$8=1,IF(Reales!$C$58="PYG",IF(CD$10&gt;0,N(Reales!CD58)/CD$10,0),N(Reales!CD58)),CD$197*IF(AND(AND(77&gt;Corte,77&lt;=Corte+n_Ventana),ISNUMBER(Detalle_24m!CD$62)),Detalle_24m!CD$62,INDEX(Precio_V,21)*INDEX(IdxPrecio_V,1,MIN(10,CD$173)))*(1+V_dPrecio))</f>
        <v>0</v>
      </c>
      <c r="CE222" s="48" t="n">
        <f aca="false">IF(CE$8=1,IF(Reales!$C$58="PYG",IF(CE$10&gt;0,N(Reales!CE58)/CE$10,0),N(Reales!CE58)),CE$197*IF(AND(AND(78&gt;Corte,78&lt;=Corte+n_Ventana),ISNUMBER(Detalle_24m!CE$62)),Detalle_24m!CE$62,INDEX(Precio_V,21)*INDEX(IdxPrecio_V,1,MIN(10,CE$173)))*(1+V_dPrecio))</f>
        <v>0</v>
      </c>
      <c r="CF222" s="48" t="n">
        <f aca="false">IF(CF$8=1,IF(Reales!$C$58="PYG",IF(CF$10&gt;0,N(Reales!CF58)/CF$10,0),N(Reales!CF58)),CF$197*IF(AND(AND(79&gt;Corte,79&lt;=Corte+n_Ventana),ISNUMBER(Detalle_24m!CF$62)),Detalle_24m!CF$62,INDEX(Precio_V,21)*INDEX(IdxPrecio_V,1,MIN(10,CF$173)))*(1+V_dPrecio))</f>
        <v>0</v>
      </c>
      <c r="CG222" s="48" t="n">
        <f aca="false">IF(CG$8=1,IF(Reales!$C$58="PYG",IF(CG$10&gt;0,N(Reales!CG58)/CG$10,0),N(Reales!CG58)),CG$197*IF(AND(AND(80&gt;Corte,80&lt;=Corte+n_Ventana),ISNUMBER(Detalle_24m!CG$62)),Detalle_24m!CG$62,INDEX(Precio_V,21)*INDEX(IdxPrecio_V,1,MIN(10,CG$173)))*(1+V_dPrecio))</f>
        <v>0</v>
      </c>
      <c r="CH222" s="48" t="n">
        <f aca="false">IF(CH$8=1,IF(Reales!$C$58="PYG",IF(CH$10&gt;0,N(Reales!CH58)/CH$10,0),N(Reales!CH58)),CH$197*IF(AND(AND(81&gt;Corte,81&lt;=Corte+n_Ventana),ISNUMBER(Detalle_24m!CH$62)),Detalle_24m!CH$62,INDEX(Precio_V,21)*INDEX(IdxPrecio_V,1,MIN(10,CH$173)))*(1+V_dPrecio))</f>
        <v>0</v>
      </c>
      <c r="CI222" s="48" t="n">
        <f aca="false">IF(CI$8=1,IF(Reales!$C$58="PYG",IF(CI$10&gt;0,N(Reales!CI58)/CI$10,0),N(Reales!CI58)),CI$197*IF(AND(AND(82&gt;Corte,82&lt;=Corte+n_Ventana),ISNUMBER(Detalle_24m!CI$62)),Detalle_24m!CI$62,INDEX(Precio_V,21)*INDEX(IdxPrecio_V,1,MIN(10,CI$173)))*(1+V_dPrecio))</f>
        <v>0</v>
      </c>
      <c r="CJ222" s="48" t="n">
        <f aca="false">IF(CJ$8=1,IF(Reales!$C$58="PYG",IF(CJ$10&gt;0,N(Reales!CJ58)/CJ$10,0),N(Reales!CJ58)),CJ$197*IF(AND(AND(83&gt;Corte,83&lt;=Corte+n_Ventana),ISNUMBER(Detalle_24m!CJ$62)),Detalle_24m!CJ$62,INDEX(Precio_V,21)*INDEX(IdxPrecio_V,1,MIN(10,CJ$173)))*(1+V_dPrecio))</f>
        <v>0</v>
      </c>
      <c r="CK222" s="48" t="n">
        <f aca="false">IF(CK$8=1,IF(Reales!$C$58="PYG",IF(CK$10&gt;0,N(Reales!CK58)/CK$10,0),N(Reales!CK58)),CK$197*IF(AND(AND(84&gt;Corte,84&lt;=Corte+n_Ventana),ISNUMBER(Detalle_24m!CK$62)),Detalle_24m!CK$62,INDEX(Precio_V,21)*INDEX(IdxPrecio_V,1,MIN(10,CK$173)))*(1+V_dPrecio))</f>
        <v>0</v>
      </c>
      <c r="CL222" s="48" t="n">
        <f aca="false">IF(CL$8=1,IF(Reales!$C$58="PYG",IF(CL$10&gt;0,N(Reales!CL58)/CL$10,0),N(Reales!CL58)),CL$197*IF(AND(AND(85&gt;Corte,85&lt;=Corte+n_Ventana),ISNUMBER(Detalle_24m!CL$62)),Detalle_24m!CL$62,INDEX(Precio_V,21)*INDEX(IdxPrecio_V,1,MIN(10,CL$173)))*(1+V_dPrecio))</f>
        <v>0</v>
      </c>
      <c r="CM222" s="48" t="n">
        <f aca="false">IF(CM$8=1,IF(Reales!$C$58="PYG",IF(CM$10&gt;0,N(Reales!CM58)/CM$10,0),N(Reales!CM58)),CM$197*IF(AND(AND(86&gt;Corte,86&lt;=Corte+n_Ventana),ISNUMBER(Detalle_24m!CM$62)),Detalle_24m!CM$62,INDEX(Precio_V,21)*INDEX(IdxPrecio_V,1,MIN(10,CM$173)))*(1+V_dPrecio))</f>
        <v>0</v>
      </c>
      <c r="CN222" s="48" t="n">
        <f aca="false">IF(CN$8=1,IF(Reales!$C$58="PYG",IF(CN$10&gt;0,N(Reales!CN58)/CN$10,0),N(Reales!CN58)),CN$197*IF(AND(AND(87&gt;Corte,87&lt;=Corte+n_Ventana),ISNUMBER(Detalle_24m!CN$62)),Detalle_24m!CN$62,INDEX(Precio_V,21)*INDEX(IdxPrecio_V,1,MIN(10,CN$173)))*(1+V_dPrecio))</f>
        <v>0</v>
      </c>
      <c r="CO222" s="48" t="n">
        <f aca="false">IF(CO$8=1,IF(Reales!$C$58="PYG",IF(CO$10&gt;0,N(Reales!CO58)/CO$10,0),N(Reales!CO58)),CO$197*IF(AND(AND(88&gt;Corte,88&lt;=Corte+n_Ventana),ISNUMBER(Detalle_24m!CO$62)),Detalle_24m!CO$62,INDEX(Precio_V,21)*INDEX(IdxPrecio_V,1,MIN(10,CO$173)))*(1+V_dPrecio))</f>
        <v>0</v>
      </c>
      <c r="CP222" s="48" t="n">
        <f aca="false">IF(CP$8=1,IF(Reales!$C$58="PYG",IF(CP$10&gt;0,N(Reales!CP58)/CP$10,0),N(Reales!CP58)),CP$197*IF(AND(AND(89&gt;Corte,89&lt;=Corte+n_Ventana),ISNUMBER(Detalle_24m!CP$62)),Detalle_24m!CP$62,INDEX(Precio_V,21)*INDEX(IdxPrecio_V,1,MIN(10,CP$173)))*(1+V_dPrecio))</f>
        <v>0</v>
      </c>
      <c r="CQ222" s="48" t="n">
        <f aca="false">IF(CQ$8=1,IF(Reales!$C$58="PYG",IF(CQ$10&gt;0,N(Reales!CQ58)/CQ$10,0),N(Reales!CQ58)),CQ$197*IF(AND(AND(90&gt;Corte,90&lt;=Corte+n_Ventana),ISNUMBER(Detalle_24m!CQ$62)),Detalle_24m!CQ$62,INDEX(Precio_V,21)*INDEX(IdxPrecio_V,1,MIN(10,CQ$173)))*(1+V_dPrecio))</f>
        <v>0</v>
      </c>
      <c r="CR222" s="48" t="n">
        <f aca="false">IF(CR$8=1,IF(Reales!$C$58="PYG",IF(CR$10&gt;0,N(Reales!CR58)/CR$10,0),N(Reales!CR58)),CR$197*IF(AND(AND(91&gt;Corte,91&lt;=Corte+n_Ventana),ISNUMBER(Detalle_24m!CR$62)),Detalle_24m!CR$62,INDEX(Precio_V,21)*INDEX(IdxPrecio_V,1,MIN(10,CR$173)))*(1+V_dPrecio))</f>
        <v>0</v>
      </c>
      <c r="CS222" s="48" t="n">
        <f aca="false">IF(CS$8=1,IF(Reales!$C$58="PYG",IF(CS$10&gt;0,N(Reales!CS58)/CS$10,0),N(Reales!CS58)),CS$197*IF(AND(AND(92&gt;Corte,92&lt;=Corte+n_Ventana),ISNUMBER(Detalle_24m!CS$62)),Detalle_24m!CS$62,INDEX(Precio_V,21)*INDEX(IdxPrecio_V,1,MIN(10,CS$173)))*(1+V_dPrecio))</f>
        <v>0</v>
      </c>
      <c r="CT222" s="48" t="n">
        <f aca="false">IF(CT$8=1,IF(Reales!$C$58="PYG",IF(CT$10&gt;0,N(Reales!CT58)/CT$10,0),N(Reales!CT58)),CT$197*IF(AND(AND(93&gt;Corte,93&lt;=Corte+n_Ventana),ISNUMBER(Detalle_24m!CT$62)),Detalle_24m!CT$62,INDEX(Precio_V,21)*INDEX(IdxPrecio_V,1,MIN(10,CT$173)))*(1+V_dPrecio))</f>
        <v>0</v>
      </c>
      <c r="CU222" s="48" t="n">
        <f aca="false">IF(CU$8=1,IF(Reales!$C$58="PYG",IF(CU$10&gt;0,N(Reales!CU58)/CU$10,0),N(Reales!CU58)),CU$197*IF(AND(AND(94&gt;Corte,94&lt;=Corte+n_Ventana),ISNUMBER(Detalle_24m!CU$62)),Detalle_24m!CU$62,INDEX(Precio_V,21)*INDEX(IdxPrecio_V,1,MIN(10,CU$173)))*(1+V_dPrecio))</f>
        <v>0</v>
      </c>
      <c r="CV222" s="48" t="n">
        <f aca="false">IF(CV$8=1,IF(Reales!$C$58="PYG",IF(CV$10&gt;0,N(Reales!CV58)/CV$10,0),N(Reales!CV58)),CV$197*IF(AND(AND(95&gt;Corte,95&lt;=Corte+n_Ventana),ISNUMBER(Detalle_24m!CV$62)),Detalle_24m!CV$62,INDEX(Precio_V,21)*INDEX(IdxPrecio_V,1,MIN(10,CV$173)))*(1+V_dPrecio))</f>
        <v>0</v>
      </c>
      <c r="CW222" s="48" t="n">
        <f aca="false">IF(CW$8=1,IF(Reales!$C$58="PYG",IF(CW$10&gt;0,N(Reales!CW58)/CW$10,0),N(Reales!CW58)),CW$197*IF(AND(AND(96&gt;Corte,96&lt;=Corte+n_Ventana),ISNUMBER(Detalle_24m!CW$62)),Detalle_24m!CW$62,INDEX(Precio_V,21)*INDEX(IdxPrecio_V,1,MIN(10,CW$173)))*(1+V_dPrecio))</f>
        <v>0</v>
      </c>
      <c r="CX222" s="48" t="n">
        <f aca="false">IF(CX$8=1,IF(Reales!$C$58="PYG",IF(CX$10&gt;0,N(Reales!CX58)/CX$10,0),N(Reales!CX58)),CX$197*IF(AND(AND(97&gt;Corte,97&lt;=Corte+n_Ventana),ISNUMBER(Detalle_24m!CX$62)),Detalle_24m!CX$62,INDEX(Precio_V,21)*INDEX(IdxPrecio_V,1,MIN(10,CX$173)))*(1+V_dPrecio))</f>
        <v>0</v>
      </c>
      <c r="CY222" s="48" t="n">
        <f aca="false">IF(CY$8=1,IF(Reales!$C$58="PYG",IF(CY$10&gt;0,N(Reales!CY58)/CY$10,0),N(Reales!CY58)),CY$197*IF(AND(AND(98&gt;Corte,98&lt;=Corte+n_Ventana),ISNUMBER(Detalle_24m!CY$62)),Detalle_24m!CY$62,INDEX(Precio_V,21)*INDEX(IdxPrecio_V,1,MIN(10,CY$173)))*(1+V_dPrecio))</f>
        <v>0</v>
      </c>
      <c r="CZ222" s="48" t="n">
        <f aca="false">IF(CZ$8=1,IF(Reales!$C$58="PYG",IF(CZ$10&gt;0,N(Reales!CZ58)/CZ$10,0),N(Reales!CZ58)),CZ$197*IF(AND(AND(99&gt;Corte,99&lt;=Corte+n_Ventana),ISNUMBER(Detalle_24m!CZ$62)),Detalle_24m!CZ$62,INDEX(Precio_V,21)*INDEX(IdxPrecio_V,1,MIN(10,CZ$173)))*(1+V_dPrecio))</f>
        <v>0</v>
      </c>
      <c r="DA222" s="48" t="n">
        <f aca="false">IF(DA$8=1,IF(Reales!$C$58="PYG",IF(DA$10&gt;0,N(Reales!DA58)/DA$10,0),N(Reales!DA58)),DA$197*IF(AND(AND(100&gt;Corte,100&lt;=Corte+n_Ventana),ISNUMBER(Detalle_24m!DA$62)),Detalle_24m!DA$62,INDEX(Precio_V,21)*INDEX(IdxPrecio_V,1,MIN(10,DA$173)))*(1+V_dPrecio))</f>
        <v>0</v>
      </c>
      <c r="DB222" s="48" t="n">
        <f aca="false">IF(DB$8=1,IF(Reales!$C$58="PYG",IF(DB$10&gt;0,N(Reales!DB58)/DB$10,0),N(Reales!DB58)),DB$197*IF(AND(AND(101&gt;Corte,101&lt;=Corte+n_Ventana),ISNUMBER(Detalle_24m!DB$62)),Detalle_24m!DB$62,INDEX(Precio_V,21)*INDEX(IdxPrecio_V,1,MIN(10,DB$173)))*(1+V_dPrecio))</f>
        <v>0</v>
      </c>
      <c r="DC222" s="48" t="n">
        <f aca="false">IF(DC$8=1,IF(Reales!$C$58="PYG",IF(DC$10&gt;0,N(Reales!DC58)/DC$10,0),N(Reales!DC58)),DC$197*IF(AND(AND(102&gt;Corte,102&lt;=Corte+n_Ventana),ISNUMBER(Detalle_24m!DC$62)),Detalle_24m!DC$62,INDEX(Precio_V,21)*INDEX(IdxPrecio_V,1,MIN(10,DC$173)))*(1+V_dPrecio))</f>
        <v>0</v>
      </c>
      <c r="DD222" s="48" t="n">
        <f aca="false">IF(DD$8=1,IF(Reales!$C$58="PYG",IF(DD$10&gt;0,N(Reales!DD58)/DD$10,0),N(Reales!DD58)),DD$197*IF(AND(AND(103&gt;Corte,103&lt;=Corte+n_Ventana),ISNUMBER(Detalle_24m!DD$62)),Detalle_24m!DD$62,INDEX(Precio_V,21)*INDEX(IdxPrecio_V,1,MIN(10,DD$173)))*(1+V_dPrecio))</f>
        <v>0</v>
      </c>
      <c r="DE222" s="48" t="n">
        <f aca="false">IF(DE$8=1,IF(Reales!$C$58="PYG",IF(DE$10&gt;0,N(Reales!DE58)/DE$10,0),N(Reales!DE58)),DE$197*IF(AND(AND(104&gt;Corte,104&lt;=Corte+n_Ventana),ISNUMBER(Detalle_24m!DE$62)),Detalle_24m!DE$62,INDEX(Precio_V,21)*INDEX(IdxPrecio_V,1,MIN(10,DE$173)))*(1+V_dPrecio))</f>
        <v>0</v>
      </c>
      <c r="DF222" s="48" t="n">
        <f aca="false">IF(DF$8=1,IF(Reales!$C$58="PYG",IF(DF$10&gt;0,N(Reales!DF58)/DF$10,0),N(Reales!DF58)),DF$197*IF(AND(AND(105&gt;Corte,105&lt;=Corte+n_Ventana),ISNUMBER(Detalle_24m!DF$62)),Detalle_24m!DF$62,INDEX(Precio_V,21)*INDEX(IdxPrecio_V,1,MIN(10,DF$173)))*(1+V_dPrecio))</f>
        <v>0</v>
      </c>
      <c r="DG222" s="48" t="n">
        <f aca="false">IF(DG$8=1,IF(Reales!$C$58="PYG",IF(DG$10&gt;0,N(Reales!DG58)/DG$10,0),N(Reales!DG58)),DG$197*IF(AND(AND(106&gt;Corte,106&lt;=Corte+n_Ventana),ISNUMBER(Detalle_24m!DG$62)),Detalle_24m!DG$62,INDEX(Precio_V,21)*INDEX(IdxPrecio_V,1,MIN(10,DG$173)))*(1+V_dPrecio))</f>
        <v>0</v>
      </c>
      <c r="DH222" s="48" t="n">
        <f aca="false">IF(DH$8=1,IF(Reales!$C$58="PYG",IF(DH$10&gt;0,N(Reales!DH58)/DH$10,0),N(Reales!DH58)),DH$197*IF(AND(AND(107&gt;Corte,107&lt;=Corte+n_Ventana),ISNUMBER(Detalle_24m!DH$62)),Detalle_24m!DH$62,INDEX(Precio_V,21)*INDEX(IdxPrecio_V,1,MIN(10,DH$173)))*(1+V_dPrecio))</f>
        <v>0</v>
      </c>
      <c r="DI222" s="48" t="n">
        <f aca="false">IF(DI$8=1,IF(Reales!$C$58="PYG",IF(DI$10&gt;0,N(Reales!DI58)/DI$10,0),N(Reales!DI58)),DI$197*IF(AND(AND(108&gt;Corte,108&lt;=Corte+n_Ventana),ISNUMBER(Detalle_24m!DI$62)),Detalle_24m!DI$62,INDEX(Precio_V,21)*INDEX(IdxPrecio_V,1,MIN(10,DI$173)))*(1+V_dPrecio))</f>
        <v>0</v>
      </c>
      <c r="DJ222" s="48" t="n">
        <f aca="false">IF(DJ$8=1,IF(Reales!$C$58="PYG",IF(DJ$10&gt;0,N(Reales!DJ58)/DJ$10,0),N(Reales!DJ58)),DJ$197*IF(AND(AND(109&gt;Corte,109&lt;=Corte+n_Ventana),ISNUMBER(Detalle_24m!DJ$62)),Detalle_24m!DJ$62,INDEX(Precio_V,21)*INDEX(IdxPrecio_V,1,MIN(10,DJ$173)))*(1+V_dPrecio))</f>
        <v>0</v>
      </c>
      <c r="DK222" s="48" t="n">
        <f aca="false">IF(DK$8=1,IF(Reales!$C$58="PYG",IF(DK$10&gt;0,N(Reales!DK58)/DK$10,0),N(Reales!DK58)),DK$197*IF(AND(AND(110&gt;Corte,110&lt;=Corte+n_Ventana),ISNUMBER(Detalle_24m!DK$62)),Detalle_24m!DK$62,INDEX(Precio_V,21)*INDEX(IdxPrecio_V,1,MIN(10,DK$173)))*(1+V_dPrecio))</f>
        <v>0</v>
      </c>
      <c r="DL222" s="48" t="n">
        <f aca="false">IF(DL$8=1,IF(Reales!$C$58="PYG",IF(DL$10&gt;0,N(Reales!DL58)/DL$10,0),N(Reales!DL58)),DL$197*IF(AND(AND(111&gt;Corte,111&lt;=Corte+n_Ventana),ISNUMBER(Detalle_24m!DL$62)),Detalle_24m!DL$62,INDEX(Precio_V,21)*INDEX(IdxPrecio_V,1,MIN(10,DL$173)))*(1+V_dPrecio))</f>
        <v>0</v>
      </c>
      <c r="DM222" s="48" t="n">
        <f aca="false">IF(DM$8=1,IF(Reales!$C$58="PYG",IF(DM$10&gt;0,N(Reales!DM58)/DM$10,0),N(Reales!DM58)),DM$197*IF(AND(AND(112&gt;Corte,112&lt;=Corte+n_Ventana),ISNUMBER(Detalle_24m!DM$62)),Detalle_24m!DM$62,INDEX(Precio_V,21)*INDEX(IdxPrecio_V,1,MIN(10,DM$173)))*(1+V_dPrecio))</f>
        <v>0</v>
      </c>
      <c r="DN222" s="48" t="n">
        <f aca="false">IF(DN$8=1,IF(Reales!$C$58="PYG",IF(DN$10&gt;0,N(Reales!DN58)/DN$10,0),N(Reales!DN58)),DN$197*IF(AND(AND(113&gt;Corte,113&lt;=Corte+n_Ventana),ISNUMBER(Detalle_24m!DN$62)),Detalle_24m!DN$62,INDEX(Precio_V,21)*INDEX(IdxPrecio_V,1,MIN(10,DN$173)))*(1+V_dPrecio))</f>
        <v>0</v>
      </c>
      <c r="DO222" s="48" t="n">
        <f aca="false">IF(DO$8=1,IF(Reales!$C$58="PYG",IF(DO$10&gt;0,N(Reales!DO58)/DO$10,0),N(Reales!DO58)),DO$197*IF(AND(AND(114&gt;Corte,114&lt;=Corte+n_Ventana),ISNUMBER(Detalle_24m!DO$62)),Detalle_24m!DO$62,INDEX(Precio_V,21)*INDEX(IdxPrecio_V,1,MIN(10,DO$173)))*(1+V_dPrecio))</f>
        <v>0</v>
      </c>
      <c r="DP222" s="48" t="n">
        <f aca="false">IF(DP$8=1,IF(Reales!$C$58="PYG",IF(DP$10&gt;0,N(Reales!DP58)/DP$10,0),N(Reales!DP58)),DP$197*IF(AND(AND(115&gt;Corte,115&lt;=Corte+n_Ventana),ISNUMBER(Detalle_24m!DP$62)),Detalle_24m!DP$62,INDEX(Precio_V,21)*INDEX(IdxPrecio_V,1,MIN(10,DP$173)))*(1+V_dPrecio))</f>
        <v>0</v>
      </c>
      <c r="DQ222" s="48" t="n">
        <f aca="false">IF(DQ$8=1,IF(Reales!$C$58="PYG",IF(DQ$10&gt;0,N(Reales!DQ58)/DQ$10,0),N(Reales!DQ58)),DQ$197*IF(AND(AND(116&gt;Corte,116&lt;=Corte+n_Ventana),ISNUMBER(Detalle_24m!DQ$62)),Detalle_24m!DQ$62,INDEX(Precio_V,21)*INDEX(IdxPrecio_V,1,MIN(10,DQ$173)))*(1+V_dPrecio))</f>
        <v>0</v>
      </c>
      <c r="DR222" s="48" t="n">
        <f aca="false">IF(DR$8=1,IF(Reales!$C$58="PYG",IF(DR$10&gt;0,N(Reales!DR58)/DR$10,0),N(Reales!DR58)),DR$197*IF(AND(AND(117&gt;Corte,117&lt;=Corte+n_Ventana),ISNUMBER(Detalle_24m!DR$62)),Detalle_24m!DR$62,INDEX(Precio_V,21)*INDEX(IdxPrecio_V,1,MIN(10,DR$173)))*(1+V_dPrecio))</f>
        <v>0</v>
      </c>
      <c r="DS222" s="48" t="n">
        <f aca="false">IF(DS$8=1,IF(Reales!$C$58="PYG",IF(DS$10&gt;0,N(Reales!DS58)/DS$10,0),N(Reales!DS58)),DS$197*IF(AND(AND(118&gt;Corte,118&lt;=Corte+n_Ventana),ISNUMBER(Detalle_24m!DS$62)),Detalle_24m!DS$62,INDEX(Precio_V,21)*INDEX(IdxPrecio_V,1,MIN(10,DS$173)))*(1+V_dPrecio))</f>
        <v>0</v>
      </c>
      <c r="DT222" s="48" t="n">
        <f aca="false">IF(DT$8=1,IF(Reales!$C$58="PYG",IF(DT$10&gt;0,N(Reales!DT58)/DT$10,0),N(Reales!DT58)),DT$197*IF(AND(AND(119&gt;Corte,119&lt;=Corte+n_Ventana),ISNUMBER(Detalle_24m!DT$62)),Detalle_24m!DT$62,INDEX(Precio_V,21)*INDEX(IdxPrecio_V,1,MIN(10,DT$173)))*(1+V_dPrecio))</f>
        <v>0</v>
      </c>
      <c r="DU222" s="48" t="n">
        <f aca="false">IF(DU$8=1,IF(Reales!$C$58="PYG",IF(DU$10&gt;0,N(Reales!DU58)/DU$10,0),N(Reales!DU58)),DU$197*IF(AND(AND(120&gt;Corte,120&lt;=Corte+n_Ventana),ISNUMBER(Detalle_24m!DU$62)),Detalle_24m!DU$62,INDEX(Precio_V,21)*INDEX(IdxPrecio_V,1,MIN(10,DU$173)))*(1+V_dPrecio))</f>
        <v>0</v>
      </c>
      <c r="DV222" s="48" t="n">
        <f aca="false">IF(DV$8=1,IF(Reales!$C$58="PYG",IF(DV$10&gt;0,N(Reales!DV58)/DV$10,0),N(Reales!DV58)),DV$197*IF(AND(AND(121&gt;Corte,121&lt;=Corte+n_Ventana),ISNUMBER(Detalle_24m!DV$62)),Detalle_24m!DV$62,INDEX(Precio_V,21)*INDEX(IdxPrecio_V,1,MIN(10,DV$173)))*(1+V_dPrecio))</f>
        <v>0</v>
      </c>
      <c r="DW222" s="48" t="n">
        <f aca="false">IF(DW$8=1,IF(Reales!$C$58="PYG",IF(DW$10&gt;0,N(Reales!DW58)/DW$10,0),N(Reales!DW58)),DW$197*IF(AND(AND(122&gt;Corte,122&lt;=Corte+n_Ventana),ISNUMBER(Detalle_24m!DW$62)),Detalle_24m!DW$62,INDEX(Precio_V,21)*INDEX(IdxPrecio_V,1,MIN(10,DW$173)))*(1+V_dPrecio))</f>
        <v>0</v>
      </c>
      <c r="DX222" s="48" t="n">
        <f aca="false">IF(DX$8=1,IF(Reales!$C$58="PYG",IF(DX$10&gt;0,N(Reales!DX58)/DX$10,0),N(Reales!DX58)),DX$197*IF(AND(AND(123&gt;Corte,123&lt;=Corte+n_Ventana),ISNUMBER(Detalle_24m!DX$62)),Detalle_24m!DX$62,INDEX(Precio_V,21)*INDEX(IdxPrecio_V,1,MIN(10,DX$173)))*(1+V_dPrecio))</f>
        <v>0</v>
      </c>
      <c r="DY222" s="48" t="n">
        <f aca="false">IF(DY$8=1,IF(Reales!$C$58="PYG",IF(DY$10&gt;0,N(Reales!DY58)/DY$10,0),N(Reales!DY58)),DY$197*IF(AND(AND(124&gt;Corte,124&lt;=Corte+n_Ventana),ISNUMBER(Detalle_24m!DY$62)),Detalle_24m!DY$62,INDEX(Precio_V,21)*INDEX(IdxPrecio_V,1,MIN(10,DY$173)))*(1+V_dPrecio))</f>
        <v>0</v>
      </c>
      <c r="DZ222" s="48" t="n">
        <f aca="false">IF(DZ$8=1,IF(Reales!$C$58="PYG",IF(DZ$10&gt;0,N(Reales!DZ58)/DZ$10,0),N(Reales!DZ58)),DZ$197*IF(AND(AND(125&gt;Corte,125&lt;=Corte+n_Ventana),ISNUMBER(Detalle_24m!DZ$62)),Detalle_24m!DZ$62,INDEX(Precio_V,21)*INDEX(IdxPrecio_V,1,MIN(10,DZ$173)))*(1+V_dPrecio))</f>
        <v>0</v>
      </c>
      <c r="EA222" s="48" t="n">
        <f aca="false">IF(EA$8=1,IF(Reales!$C$58="PYG",IF(EA$10&gt;0,N(Reales!EA58)/EA$10,0),N(Reales!EA58)),EA$197*IF(AND(AND(126&gt;Corte,126&lt;=Corte+n_Ventana),ISNUMBER(Detalle_24m!EA$62)),Detalle_24m!EA$62,INDEX(Precio_V,21)*INDEX(IdxPrecio_V,1,MIN(10,EA$173)))*(1+V_dPrecio))</f>
        <v>0</v>
      </c>
      <c r="EB222" s="48" t="n">
        <f aca="false">IF(EB$8=1,IF(Reales!$C$58="PYG",IF(EB$10&gt;0,N(Reales!EB58)/EB$10,0),N(Reales!EB58)),EB$197*IF(AND(AND(127&gt;Corte,127&lt;=Corte+n_Ventana),ISNUMBER(Detalle_24m!EB$62)),Detalle_24m!EB$62,INDEX(Precio_V,21)*INDEX(IdxPrecio_V,1,MIN(10,EB$173)))*(1+V_dPrecio))</f>
        <v>0</v>
      </c>
      <c r="EC222" s="48" t="n">
        <f aca="false">IF(EC$8=1,IF(Reales!$C$58="PYG",IF(EC$10&gt;0,N(Reales!EC58)/EC$10,0),N(Reales!EC58)),EC$197*IF(AND(AND(128&gt;Corte,128&lt;=Corte+n_Ventana),ISNUMBER(Detalle_24m!EC$62)),Detalle_24m!EC$62,INDEX(Precio_V,21)*INDEX(IdxPrecio_V,1,MIN(10,EC$173)))*(1+V_dPrecio))</f>
        <v>0</v>
      </c>
      <c r="ED222" s="48" t="n">
        <f aca="false">IF(ED$8=1,IF(Reales!$C$58="PYG",IF(ED$10&gt;0,N(Reales!ED58)/ED$10,0),N(Reales!ED58)),ED$197*IF(AND(AND(129&gt;Corte,129&lt;=Corte+n_Ventana),ISNUMBER(Detalle_24m!ED$62)),Detalle_24m!ED$62,INDEX(Precio_V,21)*INDEX(IdxPrecio_V,1,MIN(10,ED$173)))*(1+V_dPrecio))</f>
        <v>0</v>
      </c>
      <c r="EE222" s="48" t="n">
        <f aca="false">IF(EE$8=1,IF(Reales!$C$58="PYG",IF(EE$10&gt;0,N(Reales!EE58)/EE$10,0),N(Reales!EE58)),EE$197*IF(AND(AND(130&gt;Corte,130&lt;=Corte+n_Ventana),ISNUMBER(Detalle_24m!EE$62)),Detalle_24m!EE$62,INDEX(Precio_V,21)*INDEX(IdxPrecio_V,1,MIN(10,EE$173)))*(1+V_dPrecio))</f>
        <v>0</v>
      </c>
      <c r="EF222" s="48" t="n">
        <f aca="false">IF(EF$8=1,IF(Reales!$C$58="PYG",IF(EF$10&gt;0,N(Reales!EF58)/EF$10,0),N(Reales!EF58)),EF$197*IF(AND(AND(131&gt;Corte,131&lt;=Corte+n_Ventana),ISNUMBER(Detalle_24m!EF$62)),Detalle_24m!EF$62,INDEX(Precio_V,21)*INDEX(IdxPrecio_V,1,MIN(10,EF$173)))*(1+V_dPrecio))</f>
        <v>0</v>
      </c>
      <c r="EG222" s="48" t="n">
        <f aca="false">IF(EG$8=1,IF(Reales!$C$58="PYG",IF(EG$10&gt;0,N(Reales!EG58)/EG$10,0),N(Reales!EG58)),EG$197*IF(AND(AND(132&gt;Corte,132&lt;=Corte+n_Ventana),ISNUMBER(Detalle_24m!EG$62)),Detalle_24m!EG$62,INDEX(Precio_V,21)*INDEX(IdxPrecio_V,1,MIN(10,EG$173)))*(1+V_dPrecio))</f>
        <v>0</v>
      </c>
      <c r="EH222" s="48" t="n">
        <f aca="false">IF(EH$8=1,IF(Reales!$C$58="PYG",IF(EH$10&gt;0,N(Reales!EH58)/EH$10,0),N(Reales!EH58)),EH$197*IF(AND(AND(133&gt;Corte,133&lt;=Corte+n_Ventana),ISNUMBER(Detalle_24m!EH$62)),Detalle_24m!EH$62,INDEX(Precio_V,21)*INDEX(IdxPrecio_V,1,MIN(10,EH$173)))*(1+V_dPrecio))</f>
        <v>0</v>
      </c>
      <c r="EI222" s="48" t="n">
        <f aca="false">IF(EI$8=1,IF(Reales!$C$58="PYG",IF(EI$10&gt;0,N(Reales!EI58)/EI$10,0),N(Reales!EI58)),EI$197*IF(AND(AND(134&gt;Corte,134&lt;=Corte+n_Ventana),ISNUMBER(Detalle_24m!EI$62)),Detalle_24m!EI$62,INDEX(Precio_V,21)*INDEX(IdxPrecio_V,1,MIN(10,EI$173)))*(1+V_dPrecio))</f>
        <v>0</v>
      </c>
      <c r="EJ222" s="48" t="n">
        <f aca="false">IF(EJ$8=1,IF(Reales!$C$58="PYG",IF(EJ$10&gt;0,N(Reales!EJ58)/EJ$10,0),N(Reales!EJ58)),EJ$197*IF(AND(AND(135&gt;Corte,135&lt;=Corte+n_Ventana),ISNUMBER(Detalle_24m!EJ$62)),Detalle_24m!EJ$62,INDEX(Precio_V,21)*INDEX(IdxPrecio_V,1,MIN(10,EJ$173)))*(1+V_dPrecio))</f>
        <v>0</v>
      </c>
      <c r="EK222" s="48" t="n">
        <f aca="false">IF(EK$8=1,IF(Reales!$C$58="PYG",IF(EK$10&gt;0,N(Reales!EK58)/EK$10,0),N(Reales!EK58)),EK$197*IF(AND(AND(136&gt;Corte,136&lt;=Corte+n_Ventana),ISNUMBER(Detalle_24m!EK$62)),Detalle_24m!EK$62,INDEX(Precio_V,21)*INDEX(IdxPrecio_V,1,MIN(10,EK$173)))*(1+V_dPrecio))</f>
        <v>0</v>
      </c>
      <c r="EL222" s="48" t="n">
        <f aca="false">IF(EL$8=1,IF(Reales!$C$58="PYG",IF(EL$10&gt;0,N(Reales!EL58)/EL$10,0),N(Reales!EL58)),EL$197*IF(AND(AND(137&gt;Corte,137&lt;=Corte+n_Ventana),ISNUMBER(Detalle_24m!EL$62)),Detalle_24m!EL$62,INDEX(Precio_V,21)*INDEX(IdxPrecio_V,1,MIN(10,EL$173)))*(1+V_dPrecio))</f>
        <v>0</v>
      </c>
      <c r="EM222" s="48" t="n">
        <f aca="false">IF(EM$8=1,IF(Reales!$C$58="PYG",IF(EM$10&gt;0,N(Reales!EM58)/EM$10,0),N(Reales!EM58)),EM$197*IF(AND(AND(138&gt;Corte,138&lt;=Corte+n_Ventana),ISNUMBER(Detalle_24m!EM$62)),Detalle_24m!EM$62,INDEX(Precio_V,21)*INDEX(IdxPrecio_V,1,MIN(10,EM$173)))*(1+V_dPrecio))</f>
        <v>0</v>
      </c>
      <c r="EN222" s="48" t="n">
        <f aca="false">IF(EN$8=1,IF(Reales!$C$58="PYG",IF(EN$10&gt;0,N(Reales!EN58)/EN$10,0),N(Reales!EN58)),EN$197*IF(AND(AND(139&gt;Corte,139&lt;=Corte+n_Ventana),ISNUMBER(Detalle_24m!EN$62)),Detalle_24m!EN$62,INDEX(Precio_V,21)*INDEX(IdxPrecio_V,1,MIN(10,EN$173)))*(1+V_dPrecio))</f>
        <v>0</v>
      </c>
      <c r="EO222" s="48" t="n">
        <f aca="false">IF(EO$8=1,IF(Reales!$C$58="PYG",IF(EO$10&gt;0,N(Reales!EO58)/EO$10,0),N(Reales!EO58)),EO$197*IF(AND(AND(140&gt;Corte,140&lt;=Corte+n_Ventana),ISNUMBER(Detalle_24m!EO$62)),Detalle_24m!EO$62,INDEX(Precio_V,21)*INDEX(IdxPrecio_V,1,MIN(10,EO$173)))*(1+V_dPrecio))</f>
        <v>0</v>
      </c>
      <c r="EP222" s="48" t="n">
        <f aca="false">IF(EP$8=1,IF(Reales!$C$58="PYG",IF(EP$10&gt;0,N(Reales!EP58)/EP$10,0),N(Reales!EP58)),EP$197*IF(AND(AND(141&gt;Corte,141&lt;=Corte+n_Ventana),ISNUMBER(Detalle_24m!EP$62)),Detalle_24m!EP$62,INDEX(Precio_V,21)*INDEX(IdxPrecio_V,1,MIN(10,EP$173)))*(1+V_dPrecio))</f>
        <v>0</v>
      </c>
      <c r="EQ222" s="48" t="n">
        <f aca="false">IF(EQ$8=1,IF(Reales!$C$58="PYG",IF(EQ$10&gt;0,N(Reales!EQ58)/EQ$10,0),N(Reales!EQ58)),EQ$197*IF(AND(AND(142&gt;Corte,142&lt;=Corte+n_Ventana),ISNUMBER(Detalle_24m!EQ$62)),Detalle_24m!EQ$62,INDEX(Precio_V,21)*INDEX(IdxPrecio_V,1,MIN(10,EQ$173)))*(1+V_dPrecio))</f>
        <v>0</v>
      </c>
      <c r="ER222" s="48" t="n">
        <f aca="false">IF(ER$8=1,IF(Reales!$C$58="PYG",IF(ER$10&gt;0,N(Reales!ER58)/ER$10,0),N(Reales!ER58)),ER$197*IF(AND(AND(143&gt;Corte,143&lt;=Corte+n_Ventana),ISNUMBER(Detalle_24m!ER$62)),Detalle_24m!ER$62,INDEX(Precio_V,21)*INDEX(IdxPrecio_V,1,MIN(10,ER$173)))*(1+V_dPrecio))</f>
        <v>0</v>
      </c>
      <c r="ES222" s="48" t="n">
        <f aca="false">IF(ES$8=1,IF(Reales!$C$58="PYG",IF(ES$10&gt;0,N(Reales!ES58)/ES$10,0),N(Reales!ES58)),ES$197*IF(AND(AND(144&gt;Corte,144&lt;=Corte+n_Ventana),ISNUMBER(Detalle_24m!ES$62)),Detalle_24m!ES$62,INDEX(Precio_V,21)*INDEX(IdxPrecio_V,1,MIN(10,ES$173)))*(1+V_dPrecio))</f>
        <v>0</v>
      </c>
    </row>
    <row r="223" customFormat="false" ht="15" hidden="false" customHeight="false" outlineLevel="0" collapsed="false">
      <c r="A223" s="11" t="s">
        <v>1346</v>
      </c>
      <c r="B223" s="53" t="str">
        <f aca="false">IF(INDEX(Prod_Nombre,22)="","Producto 22",INDEX(Prod_Nombre,22))&amp;" — ventas USD"</f>
        <v>Producto 22 — ventas USD</v>
      </c>
      <c r="C223" s="15" t="s">
        <v>508</v>
      </c>
      <c r="E223" s="54" t="n">
        <f aca="false">SUM(F223:ES223)</f>
        <v>0</v>
      </c>
      <c r="F223" s="48" t="n">
        <f aca="false">IF(F$8=1,IF(Reales!$C$59="PYG",IF(F$10&gt;0,N(Reales!F59)/F$10,0),N(Reales!F59)),F$198*IF(AND(AND(1&gt;Corte,1&lt;=Corte+n_Ventana),ISNUMBER(Detalle_24m!F$63)),Detalle_24m!F$63,INDEX(Precio_V,22)*INDEX(IdxPrecio_V,1,MIN(10,F$173)))*(1+V_dPrecio))</f>
        <v>0</v>
      </c>
      <c r="G223" s="48" t="n">
        <f aca="false">IF(G$8=1,IF(Reales!$C$59="PYG",IF(G$10&gt;0,N(Reales!G59)/G$10,0),N(Reales!G59)),G$198*IF(AND(AND(2&gt;Corte,2&lt;=Corte+n_Ventana),ISNUMBER(Detalle_24m!G$63)),Detalle_24m!G$63,INDEX(Precio_V,22)*INDEX(IdxPrecio_V,1,MIN(10,G$173)))*(1+V_dPrecio))</f>
        <v>0</v>
      </c>
      <c r="H223" s="48" t="n">
        <f aca="false">IF(H$8=1,IF(Reales!$C$59="PYG",IF(H$10&gt;0,N(Reales!H59)/H$10,0),N(Reales!H59)),H$198*IF(AND(AND(3&gt;Corte,3&lt;=Corte+n_Ventana),ISNUMBER(Detalle_24m!H$63)),Detalle_24m!H$63,INDEX(Precio_V,22)*INDEX(IdxPrecio_V,1,MIN(10,H$173)))*(1+V_dPrecio))</f>
        <v>0</v>
      </c>
      <c r="I223" s="48" t="n">
        <f aca="false">IF(I$8=1,IF(Reales!$C$59="PYG",IF(I$10&gt;0,N(Reales!I59)/I$10,0),N(Reales!I59)),I$198*IF(AND(AND(4&gt;Corte,4&lt;=Corte+n_Ventana),ISNUMBER(Detalle_24m!I$63)),Detalle_24m!I$63,INDEX(Precio_V,22)*INDEX(IdxPrecio_V,1,MIN(10,I$173)))*(1+V_dPrecio))</f>
        <v>0</v>
      </c>
      <c r="J223" s="48" t="n">
        <f aca="false">IF(J$8=1,IF(Reales!$C$59="PYG",IF(J$10&gt;0,N(Reales!J59)/J$10,0),N(Reales!J59)),J$198*IF(AND(AND(5&gt;Corte,5&lt;=Corte+n_Ventana),ISNUMBER(Detalle_24m!J$63)),Detalle_24m!J$63,INDEX(Precio_V,22)*INDEX(IdxPrecio_V,1,MIN(10,J$173)))*(1+V_dPrecio))</f>
        <v>0</v>
      </c>
      <c r="K223" s="48" t="n">
        <f aca="false">IF(K$8=1,IF(Reales!$C$59="PYG",IF(K$10&gt;0,N(Reales!K59)/K$10,0),N(Reales!K59)),K$198*IF(AND(AND(6&gt;Corte,6&lt;=Corte+n_Ventana),ISNUMBER(Detalle_24m!K$63)),Detalle_24m!K$63,INDEX(Precio_V,22)*INDEX(IdxPrecio_V,1,MIN(10,K$173)))*(1+V_dPrecio))</f>
        <v>0</v>
      </c>
      <c r="L223" s="48" t="n">
        <f aca="false">IF(L$8=1,IF(Reales!$C$59="PYG",IF(L$10&gt;0,N(Reales!L59)/L$10,0),N(Reales!L59)),L$198*IF(AND(AND(7&gt;Corte,7&lt;=Corte+n_Ventana),ISNUMBER(Detalle_24m!L$63)),Detalle_24m!L$63,INDEX(Precio_V,22)*INDEX(IdxPrecio_V,1,MIN(10,L$173)))*(1+V_dPrecio))</f>
        <v>0</v>
      </c>
      <c r="M223" s="48" t="n">
        <f aca="false">IF(M$8=1,IF(Reales!$C$59="PYG",IF(M$10&gt;0,N(Reales!M59)/M$10,0),N(Reales!M59)),M$198*IF(AND(AND(8&gt;Corte,8&lt;=Corte+n_Ventana),ISNUMBER(Detalle_24m!M$63)),Detalle_24m!M$63,INDEX(Precio_V,22)*INDEX(IdxPrecio_V,1,MIN(10,M$173)))*(1+V_dPrecio))</f>
        <v>0</v>
      </c>
      <c r="N223" s="48" t="n">
        <f aca="false">IF(N$8=1,IF(Reales!$C$59="PYG",IF(N$10&gt;0,N(Reales!N59)/N$10,0),N(Reales!N59)),N$198*IF(AND(AND(9&gt;Corte,9&lt;=Corte+n_Ventana),ISNUMBER(Detalle_24m!N$63)),Detalle_24m!N$63,INDEX(Precio_V,22)*INDEX(IdxPrecio_V,1,MIN(10,N$173)))*(1+V_dPrecio))</f>
        <v>0</v>
      </c>
      <c r="O223" s="48" t="n">
        <f aca="false">IF(O$8=1,IF(Reales!$C$59="PYG",IF(O$10&gt;0,N(Reales!O59)/O$10,0),N(Reales!O59)),O$198*IF(AND(AND(10&gt;Corte,10&lt;=Corte+n_Ventana),ISNUMBER(Detalle_24m!O$63)),Detalle_24m!O$63,INDEX(Precio_V,22)*INDEX(IdxPrecio_V,1,MIN(10,O$173)))*(1+V_dPrecio))</f>
        <v>0</v>
      </c>
      <c r="P223" s="48" t="n">
        <f aca="false">IF(P$8=1,IF(Reales!$C$59="PYG",IF(P$10&gt;0,N(Reales!P59)/P$10,0),N(Reales!P59)),P$198*IF(AND(AND(11&gt;Corte,11&lt;=Corte+n_Ventana),ISNUMBER(Detalle_24m!P$63)),Detalle_24m!P$63,INDEX(Precio_V,22)*INDEX(IdxPrecio_V,1,MIN(10,P$173)))*(1+V_dPrecio))</f>
        <v>0</v>
      </c>
      <c r="Q223" s="48" t="n">
        <f aca="false">IF(Q$8=1,IF(Reales!$C$59="PYG",IF(Q$10&gt;0,N(Reales!Q59)/Q$10,0),N(Reales!Q59)),Q$198*IF(AND(AND(12&gt;Corte,12&lt;=Corte+n_Ventana),ISNUMBER(Detalle_24m!Q$63)),Detalle_24m!Q$63,INDEX(Precio_V,22)*INDEX(IdxPrecio_V,1,MIN(10,Q$173)))*(1+V_dPrecio))</f>
        <v>0</v>
      </c>
      <c r="R223" s="48" t="n">
        <f aca="false">IF(R$8=1,IF(Reales!$C$59="PYG",IF(R$10&gt;0,N(Reales!R59)/R$10,0),N(Reales!R59)),R$198*IF(AND(AND(13&gt;Corte,13&lt;=Corte+n_Ventana),ISNUMBER(Detalle_24m!R$63)),Detalle_24m!R$63,INDEX(Precio_V,22)*INDEX(IdxPrecio_V,1,MIN(10,R$173)))*(1+V_dPrecio))</f>
        <v>0</v>
      </c>
      <c r="S223" s="48" t="n">
        <f aca="false">IF(S$8=1,IF(Reales!$C$59="PYG",IF(S$10&gt;0,N(Reales!S59)/S$10,0),N(Reales!S59)),S$198*IF(AND(AND(14&gt;Corte,14&lt;=Corte+n_Ventana),ISNUMBER(Detalle_24m!S$63)),Detalle_24m!S$63,INDEX(Precio_V,22)*INDEX(IdxPrecio_V,1,MIN(10,S$173)))*(1+V_dPrecio))</f>
        <v>0</v>
      </c>
      <c r="T223" s="48" t="n">
        <f aca="false">IF(T$8=1,IF(Reales!$C$59="PYG",IF(T$10&gt;0,N(Reales!T59)/T$10,0),N(Reales!T59)),T$198*IF(AND(AND(15&gt;Corte,15&lt;=Corte+n_Ventana),ISNUMBER(Detalle_24m!T$63)),Detalle_24m!T$63,INDEX(Precio_V,22)*INDEX(IdxPrecio_V,1,MIN(10,T$173)))*(1+V_dPrecio))</f>
        <v>0</v>
      </c>
      <c r="U223" s="48" t="n">
        <f aca="false">IF(U$8=1,IF(Reales!$C$59="PYG",IF(U$10&gt;0,N(Reales!U59)/U$10,0),N(Reales!U59)),U$198*IF(AND(AND(16&gt;Corte,16&lt;=Corte+n_Ventana),ISNUMBER(Detalle_24m!U$63)),Detalle_24m!U$63,INDEX(Precio_V,22)*INDEX(IdxPrecio_V,1,MIN(10,U$173)))*(1+V_dPrecio))</f>
        <v>0</v>
      </c>
      <c r="V223" s="48" t="n">
        <f aca="false">IF(V$8=1,IF(Reales!$C$59="PYG",IF(V$10&gt;0,N(Reales!V59)/V$10,0),N(Reales!V59)),V$198*IF(AND(AND(17&gt;Corte,17&lt;=Corte+n_Ventana),ISNUMBER(Detalle_24m!V$63)),Detalle_24m!V$63,INDEX(Precio_V,22)*INDEX(IdxPrecio_V,1,MIN(10,V$173)))*(1+V_dPrecio))</f>
        <v>0</v>
      </c>
      <c r="W223" s="48" t="n">
        <f aca="false">IF(W$8=1,IF(Reales!$C$59="PYG",IF(W$10&gt;0,N(Reales!W59)/W$10,0),N(Reales!W59)),W$198*IF(AND(AND(18&gt;Corte,18&lt;=Corte+n_Ventana),ISNUMBER(Detalle_24m!W$63)),Detalle_24m!W$63,INDEX(Precio_V,22)*INDEX(IdxPrecio_V,1,MIN(10,W$173)))*(1+V_dPrecio))</f>
        <v>0</v>
      </c>
      <c r="X223" s="48" t="n">
        <f aca="false">IF(X$8=1,IF(Reales!$C$59="PYG",IF(X$10&gt;0,N(Reales!X59)/X$10,0),N(Reales!X59)),X$198*IF(AND(AND(19&gt;Corte,19&lt;=Corte+n_Ventana),ISNUMBER(Detalle_24m!X$63)),Detalle_24m!X$63,INDEX(Precio_V,22)*INDEX(IdxPrecio_V,1,MIN(10,X$173)))*(1+V_dPrecio))</f>
        <v>0</v>
      </c>
      <c r="Y223" s="48" t="n">
        <f aca="false">IF(Y$8=1,IF(Reales!$C$59="PYG",IF(Y$10&gt;0,N(Reales!Y59)/Y$10,0),N(Reales!Y59)),Y$198*IF(AND(AND(20&gt;Corte,20&lt;=Corte+n_Ventana),ISNUMBER(Detalle_24m!Y$63)),Detalle_24m!Y$63,INDEX(Precio_V,22)*INDEX(IdxPrecio_V,1,MIN(10,Y$173)))*(1+V_dPrecio))</f>
        <v>0</v>
      </c>
      <c r="Z223" s="48" t="n">
        <f aca="false">IF(Z$8=1,IF(Reales!$C$59="PYG",IF(Z$10&gt;0,N(Reales!Z59)/Z$10,0),N(Reales!Z59)),Z$198*IF(AND(AND(21&gt;Corte,21&lt;=Corte+n_Ventana),ISNUMBER(Detalle_24m!Z$63)),Detalle_24m!Z$63,INDEX(Precio_V,22)*INDEX(IdxPrecio_V,1,MIN(10,Z$173)))*(1+V_dPrecio))</f>
        <v>0</v>
      </c>
      <c r="AA223" s="48" t="n">
        <f aca="false">IF(AA$8=1,IF(Reales!$C$59="PYG",IF(AA$10&gt;0,N(Reales!AA59)/AA$10,0),N(Reales!AA59)),AA$198*IF(AND(AND(22&gt;Corte,22&lt;=Corte+n_Ventana),ISNUMBER(Detalle_24m!AA$63)),Detalle_24m!AA$63,INDEX(Precio_V,22)*INDEX(IdxPrecio_V,1,MIN(10,AA$173)))*(1+V_dPrecio))</f>
        <v>0</v>
      </c>
      <c r="AB223" s="48" t="n">
        <f aca="false">IF(AB$8=1,IF(Reales!$C$59="PYG",IF(AB$10&gt;0,N(Reales!AB59)/AB$10,0),N(Reales!AB59)),AB$198*IF(AND(AND(23&gt;Corte,23&lt;=Corte+n_Ventana),ISNUMBER(Detalle_24m!AB$63)),Detalle_24m!AB$63,INDEX(Precio_V,22)*INDEX(IdxPrecio_V,1,MIN(10,AB$173)))*(1+V_dPrecio))</f>
        <v>0</v>
      </c>
      <c r="AC223" s="48" t="n">
        <f aca="false">IF(AC$8=1,IF(Reales!$C$59="PYG",IF(AC$10&gt;0,N(Reales!AC59)/AC$10,0),N(Reales!AC59)),AC$198*IF(AND(AND(24&gt;Corte,24&lt;=Corte+n_Ventana),ISNUMBER(Detalle_24m!AC$63)),Detalle_24m!AC$63,INDEX(Precio_V,22)*INDEX(IdxPrecio_V,1,MIN(10,AC$173)))*(1+V_dPrecio))</f>
        <v>0</v>
      </c>
      <c r="AD223" s="48" t="n">
        <f aca="false">IF(AD$8=1,IF(Reales!$C$59="PYG",IF(AD$10&gt;0,N(Reales!AD59)/AD$10,0),N(Reales!AD59)),AD$198*IF(AND(AND(25&gt;Corte,25&lt;=Corte+n_Ventana),ISNUMBER(Detalle_24m!AD$63)),Detalle_24m!AD$63,INDEX(Precio_V,22)*INDEX(IdxPrecio_V,1,MIN(10,AD$173)))*(1+V_dPrecio))</f>
        <v>0</v>
      </c>
      <c r="AE223" s="48" t="n">
        <f aca="false">IF(AE$8=1,IF(Reales!$C$59="PYG",IF(AE$10&gt;0,N(Reales!AE59)/AE$10,0),N(Reales!AE59)),AE$198*IF(AND(AND(26&gt;Corte,26&lt;=Corte+n_Ventana),ISNUMBER(Detalle_24m!AE$63)),Detalle_24m!AE$63,INDEX(Precio_V,22)*INDEX(IdxPrecio_V,1,MIN(10,AE$173)))*(1+V_dPrecio))</f>
        <v>0</v>
      </c>
      <c r="AF223" s="48" t="n">
        <f aca="false">IF(AF$8=1,IF(Reales!$C$59="PYG",IF(AF$10&gt;0,N(Reales!AF59)/AF$10,0),N(Reales!AF59)),AF$198*IF(AND(AND(27&gt;Corte,27&lt;=Corte+n_Ventana),ISNUMBER(Detalle_24m!AF$63)),Detalle_24m!AF$63,INDEX(Precio_V,22)*INDEX(IdxPrecio_V,1,MIN(10,AF$173)))*(1+V_dPrecio))</f>
        <v>0</v>
      </c>
      <c r="AG223" s="48" t="n">
        <f aca="false">IF(AG$8=1,IF(Reales!$C$59="PYG",IF(AG$10&gt;0,N(Reales!AG59)/AG$10,0),N(Reales!AG59)),AG$198*IF(AND(AND(28&gt;Corte,28&lt;=Corte+n_Ventana),ISNUMBER(Detalle_24m!AG$63)),Detalle_24m!AG$63,INDEX(Precio_V,22)*INDEX(IdxPrecio_V,1,MIN(10,AG$173)))*(1+V_dPrecio))</f>
        <v>0</v>
      </c>
      <c r="AH223" s="48" t="n">
        <f aca="false">IF(AH$8=1,IF(Reales!$C$59="PYG",IF(AH$10&gt;0,N(Reales!AH59)/AH$10,0),N(Reales!AH59)),AH$198*IF(AND(AND(29&gt;Corte,29&lt;=Corte+n_Ventana),ISNUMBER(Detalle_24m!AH$63)),Detalle_24m!AH$63,INDEX(Precio_V,22)*INDEX(IdxPrecio_V,1,MIN(10,AH$173)))*(1+V_dPrecio))</f>
        <v>0</v>
      </c>
      <c r="AI223" s="48" t="n">
        <f aca="false">IF(AI$8=1,IF(Reales!$C$59="PYG",IF(AI$10&gt;0,N(Reales!AI59)/AI$10,0),N(Reales!AI59)),AI$198*IF(AND(AND(30&gt;Corte,30&lt;=Corte+n_Ventana),ISNUMBER(Detalle_24m!AI$63)),Detalle_24m!AI$63,INDEX(Precio_V,22)*INDEX(IdxPrecio_V,1,MIN(10,AI$173)))*(1+V_dPrecio))</f>
        <v>0</v>
      </c>
      <c r="AJ223" s="48" t="n">
        <f aca="false">IF(AJ$8=1,IF(Reales!$C$59="PYG",IF(AJ$10&gt;0,N(Reales!AJ59)/AJ$10,0),N(Reales!AJ59)),AJ$198*IF(AND(AND(31&gt;Corte,31&lt;=Corte+n_Ventana),ISNUMBER(Detalle_24m!AJ$63)),Detalle_24m!AJ$63,INDEX(Precio_V,22)*INDEX(IdxPrecio_V,1,MIN(10,AJ$173)))*(1+V_dPrecio))</f>
        <v>0</v>
      </c>
      <c r="AK223" s="48" t="n">
        <f aca="false">IF(AK$8=1,IF(Reales!$C$59="PYG",IF(AK$10&gt;0,N(Reales!AK59)/AK$10,0),N(Reales!AK59)),AK$198*IF(AND(AND(32&gt;Corte,32&lt;=Corte+n_Ventana),ISNUMBER(Detalle_24m!AK$63)),Detalle_24m!AK$63,INDEX(Precio_V,22)*INDEX(IdxPrecio_V,1,MIN(10,AK$173)))*(1+V_dPrecio))</f>
        <v>0</v>
      </c>
      <c r="AL223" s="48" t="n">
        <f aca="false">IF(AL$8=1,IF(Reales!$C$59="PYG",IF(AL$10&gt;0,N(Reales!AL59)/AL$10,0),N(Reales!AL59)),AL$198*IF(AND(AND(33&gt;Corte,33&lt;=Corte+n_Ventana),ISNUMBER(Detalle_24m!AL$63)),Detalle_24m!AL$63,INDEX(Precio_V,22)*INDEX(IdxPrecio_V,1,MIN(10,AL$173)))*(1+V_dPrecio))</f>
        <v>0</v>
      </c>
      <c r="AM223" s="48" t="n">
        <f aca="false">IF(AM$8=1,IF(Reales!$C$59="PYG",IF(AM$10&gt;0,N(Reales!AM59)/AM$10,0),N(Reales!AM59)),AM$198*IF(AND(AND(34&gt;Corte,34&lt;=Corte+n_Ventana),ISNUMBER(Detalle_24m!AM$63)),Detalle_24m!AM$63,INDEX(Precio_V,22)*INDEX(IdxPrecio_V,1,MIN(10,AM$173)))*(1+V_dPrecio))</f>
        <v>0</v>
      </c>
      <c r="AN223" s="48" t="n">
        <f aca="false">IF(AN$8=1,IF(Reales!$C$59="PYG",IF(AN$10&gt;0,N(Reales!AN59)/AN$10,0),N(Reales!AN59)),AN$198*IF(AND(AND(35&gt;Corte,35&lt;=Corte+n_Ventana),ISNUMBER(Detalle_24m!AN$63)),Detalle_24m!AN$63,INDEX(Precio_V,22)*INDEX(IdxPrecio_V,1,MIN(10,AN$173)))*(1+V_dPrecio))</f>
        <v>0</v>
      </c>
      <c r="AO223" s="48" t="n">
        <f aca="false">IF(AO$8=1,IF(Reales!$C$59="PYG",IF(AO$10&gt;0,N(Reales!AO59)/AO$10,0),N(Reales!AO59)),AO$198*IF(AND(AND(36&gt;Corte,36&lt;=Corte+n_Ventana),ISNUMBER(Detalle_24m!AO$63)),Detalle_24m!AO$63,INDEX(Precio_V,22)*INDEX(IdxPrecio_V,1,MIN(10,AO$173)))*(1+V_dPrecio))</f>
        <v>0</v>
      </c>
      <c r="AP223" s="48" t="n">
        <f aca="false">IF(AP$8=1,IF(Reales!$C$59="PYG",IF(AP$10&gt;0,N(Reales!AP59)/AP$10,0),N(Reales!AP59)),AP$198*IF(AND(AND(37&gt;Corte,37&lt;=Corte+n_Ventana),ISNUMBER(Detalle_24m!AP$63)),Detalle_24m!AP$63,INDEX(Precio_V,22)*INDEX(IdxPrecio_V,1,MIN(10,AP$173)))*(1+V_dPrecio))</f>
        <v>0</v>
      </c>
      <c r="AQ223" s="48" t="n">
        <f aca="false">IF(AQ$8=1,IF(Reales!$C$59="PYG",IF(AQ$10&gt;0,N(Reales!AQ59)/AQ$10,0),N(Reales!AQ59)),AQ$198*IF(AND(AND(38&gt;Corte,38&lt;=Corte+n_Ventana),ISNUMBER(Detalle_24m!AQ$63)),Detalle_24m!AQ$63,INDEX(Precio_V,22)*INDEX(IdxPrecio_V,1,MIN(10,AQ$173)))*(1+V_dPrecio))</f>
        <v>0</v>
      </c>
      <c r="AR223" s="48" t="n">
        <f aca="false">IF(AR$8=1,IF(Reales!$C$59="PYG",IF(AR$10&gt;0,N(Reales!AR59)/AR$10,0),N(Reales!AR59)),AR$198*IF(AND(AND(39&gt;Corte,39&lt;=Corte+n_Ventana),ISNUMBER(Detalle_24m!AR$63)),Detalle_24m!AR$63,INDEX(Precio_V,22)*INDEX(IdxPrecio_V,1,MIN(10,AR$173)))*(1+V_dPrecio))</f>
        <v>0</v>
      </c>
      <c r="AS223" s="48" t="n">
        <f aca="false">IF(AS$8=1,IF(Reales!$C$59="PYG",IF(AS$10&gt;0,N(Reales!AS59)/AS$10,0),N(Reales!AS59)),AS$198*IF(AND(AND(40&gt;Corte,40&lt;=Corte+n_Ventana),ISNUMBER(Detalle_24m!AS$63)),Detalle_24m!AS$63,INDEX(Precio_V,22)*INDEX(IdxPrecio_V,1,MIN(10,AS$173)))*(1+V_dPrecio))</f>
        <v>0</v>
      </c>
      <c r="AT223" s="48" t="n">
        <f aca="false">IF(AT$8=1,IF(Reales!$C$59="PYG",IF(AT$10&gt;0,N(Reales!AT59)/AT$10,0),N(Reales!AT59)),AT$198*IF(AND(AND(41&gt;Corte,41&lt;=Corte+n_Ventana),ISNUMBER(Detalle_24m!AT$63)),Detalle_24m!AT$63,INDEX(Precio_V,22)*INDEX(IdxPrecio_V,1,MIN(10,AT$173)))*(1+V_dPrecio))</f>
        <v>0</v>
      </c>
      <c r="AU223" s="48" t="n">
        <f aca="false">IF(AU$8=1,IF(Reales!$C$59="PYG",IF(AU$10&gt;0,N(Reales!AU59)/AU$10,0),N(Reales!AU59)),AU$198*IF(AND(AND(42&gt;Corte,42&lt;=Corte+n_Ventana),ISNUMBER(Detalle_24m!AU$63)),Detalle_24m!AU$63,INDEX(Precio_V,22)*INDEX(IdxPrecio_V,1,MIN(10,AU$173)))*(1+V_dPrecio))</f>
        <v>0</v>
      </c>
      <c r="AV223" s="48" t="n">
        <f aca="false">IF(AV$8=1,IF(Reales!$C$59="PYG",IF(AV$10&gt;0,N(Reales!AV59)/AV$10,0),N(Reales!AV59)),AV$198*IF(AND(AND(43&gt;Corte,43&lt;=Corte+n_Ventana),ISNUMBER(Detalle_24m!AV$63)),Detalle_24m!AV$63,INDEX(Precio_V,22)*INDEX(IdxPrecio_V,1,MIN(10,AV$173)))*(1+V_dPrecio))</f>
        <v>0</v>
      </c>
      <c r="AW223" s="48" t="n">
        <f aca="false">IF(AW$8=1,IF(Reales!$C$59="PYG",IF(AW$10&gt;0,N(Reales!AW59)/AW$10,0),N(Reales!AW59)),AW$198*IF(AND(AND(44&gt;Corte,44&lt;=Corte+n_Ventana),ISNUMBER(Detalle_24m!AW$63)),Detalle_24m!AW$63,INDEX(Precio_V,22)*INDEX(IdxPrecio_V,1,MIN(10,AW$173)))*(1+V_dPrecio))</f>
        <v>0</v>
      </c>
      <c r="AX223" s="48" t="n">
        <f aca="false">IF(AX$8=1,IF(Reales!$C$59="PYG",IF(AX$10&gt;0,N(Reales!AX59)/AX$10,0),N(Reales!AX59)),AX$198*IF(AND(AND(45&gt;Corte,45&lt;=Corte+n_Ventana),ISNUMBER(Detalle_24m!AX$63)),Detalle_24m!AX$63,INDEX(Precio_V,22)*INDEX(IdxPrecio_V,1,MIN(10,AX$173)))*(1+V_dPrecio))</f>
        <v>0</v>
      </c>
      <c r="AY223" s="48" t="n">
        <f aca="false">IF(AY$8=1,IF(Reales!$C$59="PYG",IF(AY$10&gt;0,N(Reales!AY59)/AY$10,0),N(Reales!AY59)),AY$198*IF(AND(AND(46&gt;Corte,46&lt;=Corte+n_Ventana),ISNUMBER(Detalle_24m!AY$63)),Detalle_24m!AY$63,INDEX(Precio_V,22)*INDEX(IdxPrecio_V,1,MIN(10,AY$173)))*(1+V_dPrecio))</f>
        <v>0</v>
      </c>
      <c r="AZ223" s="48" t="n">
        <f aca="false">IF(AZ$8=1,IF(Reales!$C$59="PYG",IF(AZ$10&gt;0,N(Reales!AZ59)/AZ$10,0),N(Reales!AZ59)),AZ$198*IF(AND(AND(47&gt;Corte,47&lt;=Corte+n_Ventana),ISNUMBER(Detalle_24m!AZ$63)),Detalle_24m!AZ$63,INDEX(Precio_V,22)*INDEX(IdxPrecio_V,1,MIN(10,AZ$173)))*(1+V_dPrecio))</f>
        <v>0</v>
      </c>
      <c r="BA223" s="48" t="n">
        <f aca="false">IF(BA$8=1,IF(Reales!$C$59="PYG",IF(BA$10&gt;0,N(Reales!BA59)/BA$10,0),N(Reales!BA59)),BA$198*IF(AND(AND(48&gt;Corte,48&lt;=Corte+n_Ventana),ISNUMBER(Detalle_24m!BA$63)),Detalle_24m!BA$63,INDEX(Precio_V,22)*INDEX(IdxPrecio_V,1,MIN(10,BA$173)))*(1+V_dPrecio))</f>
        <v>0</v>
      </c>
      <c r="BB223" s="48" t="n">
        <f aca="false">IF(BB$8=1,IF(Reales!$C$59="PYG",IF(BB$10&gt;0,N(Reales!BB59)/BB$10,0),N(Reales!BB59)),BB$198*IF(AND(AND(49&gt;Corte,49&lt;=Corte+n_Ventana),ISNUMBER(Detalle_24m!BB$63)),Detalle_24m!BB$63,INDEX(Precio_V,22)*INDEX(IdxPrecio_V,1,MIN(10,BB$173)))*(1+V_dPrecio))</f>
        <v>0</v>
      </c>
      <c r="BC223" s="48" t="n">
        <f aca="false">IF(BC$8=1,IF(Reales!$C$59="PYG",IF(BC$10&gt;0,N(Reales!BC59)/BC$10,0),N(Reales!BC59)),BC$198*IF(AND(AND(50&gt;Corte,50&lt;=Corte+n_Ventana),ISNUMBER(Detalle_24m!BC$63)),Detalle_24m!BC$63,INDEX(Precio_V,22)*INDEX(IdxPrecio_V,1,MIN(10,BC$173)))*(1+V_dPrecio))</f>
        <v>0</v>
      </c>
      <c r="BD223" s="48" t="n">
        <f aca="false">IF(BD$8=1,IF(Reales!$C$59="PYG",IF(BD$10&gt;0,N(Reales!BD59)/BD$10,0),N(Reales!BD59)),BD$198*IF(AND(AND(51&gt;Corte,51&lt;=Corte+n_Ventana),ISNUMBER(Detalle_24m!BD$63)),Detalle_24m!BD$63,INDEX(Precio_V,22)*INDEX(IdxPrecio_V,1,MIN(10,BD$173)))*(1+V_dPrecio))</f>
        <v>0</v>
      </c>
      <c r="BE223" s="48" t="n">
        <f aca="false">IF(BE$8=1,IF(Reales!$C$59="PYG",IF(BE$10&gt;0,N(Reales!BE59)/BE$10,0),N(Reales!BE59)),BE$198*IF(AND(AND(52&gt;Corte,52&lt;=Corte+n_Ventana),ISNUMBER(Detalle_24m!BE$63)),Detalle_24m!BE$63,INDEX(Precio_V,22)*INDEX(IdxPrecio_V,1,MIN(10,BE$173)))*(1+V_dPrecio))</f>
        <v>0</v>
      </c>
      <c r="BF223" s="48" t="n">
        <f aca="false">IF(BF$8=1,IF(Reales!$C$59="PYG",IF(BF$10&gt;0,N(Reales!BF59)/BF$10,0),N(Reales!BF59)),BF$198*IF(AND(AND(53&gt;Corte,53&lt;=Corte+n_Ventana),ISNUMBER(Detalle_24m!BF$63)),Detalle_24m!BF$63,INDEX(Precio_V,22)*INDEX(IdxPrecio_V,1,MIN(10,BF$173)))*(1+V_dPrecio))</f>
        <v>0</v>
      </c>
      <c r="BG223" s="48" t="n">
        <f aca="false">IF(BG$8=1,IF(Reales!$C$59="PYG",IF(BG$10&gt;0,N(Reales!BG59)/BG$10,0),N(Reales!BG59)),BG$198*IF(AND(AND(54&gt;Corte,54&lt;=Corte+n_Ventana),ISNUMBER(Detalle_24m!BG$63)),Detalle_24m!BG$63,INDEX(Precio_V,22)*INDEX(IdxPrecio_V,1,MIN(10,BG$173)))*(1+V_dPrecio))</f>
        <v>0</v>
      </c>
      <c r="BH223" s="48" t="n">
        <f aca="false">IF(BH$8=1,IF(Reales!$C$59="PYG",IF(BH$10&gt;0,N(Reales!BH59)/BH$10,0),N(Reales!BH59)),BH$198*IF(AND(AND(55&gt;Corte,55&lt;=Corte+n_Ventana),ISNUMBER(Detalle_24m!BH$63)),Detalle_24m!BH$63,INDEX(Precio_V,22)*INDEX(IdxPrecio_V,1,MIN(10,BH$173)))*(1+V_dPrecio))</f>
        <v>0</v>
      </c>
      <c r="BI223" s="48" t="n">
        <f aca="false">IF(BI$8=1,IF(Reales!$C$59="PYG",IF(BI$10&gt;0,N(Reales!BI59)/BI$10,0),N(Reales!BI59)),BI$198*IF(AND(AND(56&gt;Corte,56&lt;=Corte+n_Ventana),ISNUMBER(Detalle_24m!BI$63)),Detalle_24m!BI$63,INDEX(Precio_V,22)*INDEX(IdxPrecio_V,1,MIN(10,BI$173)))*(1+V_dPrecio))</f>
        <v>0</v>
      </c>
      <c r="BJ223" s="48" t="n">
        <f aca="false">IF(BJ$8=1,IF(Reales!$C$59="PYG",IF(BJ$10&gt;0,N(Reales!BJ59)/BJ$10,0),N(Reales!BJ59)),BJ$198*IF(AND(AND(57&gt;Corte,57&lt;=Corte+n_Ventana),ISNUMBER(Detalle_24m!BJ$63)),Detalle_24m!BJ$63,INDEX(Precio_V,22)*INDEX(IdxPrecio_V,1,MIN(10,BJ$173)))*(1+V_dPrecio))</f>
        <v>0</v>
      </c>
      <c r="BK223" s="48" t="n">
        <f aca="false">IF(BK$8=1,IF(Reales!$C$59="PYG",IF(BK$10&gt;0,N(Reales!BK59)/BK$10,0),N(Reales!BK59)),BK$198*IF(AND(AND(58&gt;Corte,58&lt;=Corte+n_Ventana),ISNUMBER(Detalle_24m!BK$63)),Detalle_24m!BK$63,INDEX(Precio_V,22)*INDEX(IdxPrecio_V,1,MIN(10,BK$173)))*(1+V_dPrecio))</f>
        <v>0</v>
      </c>
      <c r="BL223" s="48" t="n">
        <f aca="false">IF(BL$8=1,IF(Reales!$C$59="PYG",IF(BL$10&gt;0,N(Reales!BL59)/BL$10,0),N(Reales!BL59)),BL$198*IF(AND(AND(59&gt;Corte,59&lt;=Corte+n_Ventana),ISNUMBER(Detalle_24m!BL$63)),Detalle_24m!BL$63,INDEX(Precio_V,22)*INDEX(IdxPrecio_V,1,MIN(10,BL$173)))*(1+V_dPrecio))</f>
        <v>0</v>
      </c>
      <c r="BM223" s="48" t="n">
        <f aca="false">IF(BM$8=1,IF(Reales!$C$59="PYG",IF(BM$10&gt;0,N(Reales!BM59)/BM$10,0),N(Reales!BM59)),BM$198*IF(AND(AND(60&gt;Corte,60&lt;=Corte+n_Ventana),ISNUMBER(Detalle_24m!BM$63)),Detalle_24m!BM$63,INDEX(Precio_V,22)*INDEX(IdxPrecio_V,1,MIN(10,BM$173)))*(1+V_dPrecio))</f>
        <v>0</v>
      </c>
      <c r="BN223" s="48" t="n">
        <f aca="false">IF(BN$8=1,IF(Reales!$C$59="PYG",IF(BN$10&gt;0,N(Reales!BN59)/BN$10,0),N(Reales!BN59)),BN$198*IF(AND(AND(61&gt;Corte,61&lt;=Corte+n_Ventana),ISNUMBER(Detalle_24m!BN$63)),Detalle_24m!BN$63,INDEX(Precio_V,22)*INDEX(IdxPrecio_V,1,MIN(10,BN$173)))*(1+V_dPrecio))</f>
        <v>0</v>
      </c>
      <c r="BO223" s="48" t="n">
        <f aca="false">IF(BO$8=1,IF(Reales!$C$59="PYG",IF(BO$10&gt;0,N(Reales!BO59)/BO$10,0),N(Reales!BO59)),BO$198*IF(AND(AND(62&gt;Corte,62&lt;=Corte+n_Ventana),ISNUMBER(Detalle_24m!BO$63)),Detalle_24m!BO$63,INDEX(Precio_V,22)*INDEX(IdxPrecio_V,1,MIN(10,BO$173)))*(1+V_dPrecio))</f>
        <v>0</v>
      </c>
      <c r="BP223" s="48" t="n">
        <f aca="false">IF(BP$8=1,IF(Reales!$C$59="PYG",IF(BP$10&gt;0,N(Reales!BP59)/BP$10,0),N(Reales!BP59)),BP$198*IF(AND(AND(63&gt;Corte,63&lt;=Corte+n_Ventana),ISNUMBER(Detalle_24m!BP$63)),Detalle_24m!BP$63,INDEX(Precio_V,22)*INDEX(IdxPrecio_V,1,MIN(10,BP$173)))*(1+V_dPrecio))</f>
        <v>0</v>
      </c>
      <c r="BQ223" s="48" t="n">
        <f aca="false">IF(BQ$8=1,IF(Reales!$C$59="PYG",IF(BQ$10&gt;0,N(Reales!BQ59)/BQ$10,0),N(Reales!BQ59)),BQ$198*IF(AND(AND(64&gt;Corte,64&lt;=Corte+n_Ventana),ISNUMBER(Detalle_24m!BQ$63)),Detalle_24m!BQ$63,INDEX(Precio_V,22)*INDEX(IdxPrecio_V,1,MIN(10,BQ$173)))*(1+V_dPrecio))</f>
        <v>0</v>
      </c>
      <c r="BR223" s="48" t="n">
        <f aca="false">IF(BR$8=1,IF(Reales!$C$59="PYG",IF(BR$10&gt;0,N(Reales!BR59)/BR$10,0),N(Reales!BR59)),BR$198*IF(AND(AND(65&gt;Corte,65&lt;=Corte+n_Ventana),ISNUMBER(Detalle_24m!BR$63)),Detalle_24m!BR$63,INDEX(Precio_V,22)*INDEX(IdxPrecio_V,1,MIN(10,BR$173)))*(1+V_dPrecio))</f>
        <v>0</v>
      </c>
      <c r="BS223" s="48" t="n">
        <f aca="false">IF(BS$8=1,IF(Reales!$C$59="PYG",IF(BS$10&gt;0,N(Reales!BS59)/BS$10,0),N(Reales!BS59)),BS$198*IF(AND(AND(66&gt;Corte,66&lt;=Corte+n_Ventana),ISNUMBER(Detalle_24m!BS$63)),Detalle_24m!BS$63,INDEX(Precio_V,22)*INDEX(IdxPrecio_V,1,MIN(10,BS$173)))*(1+V_dPrecio))</f>
        <v>0</v>
      </c>
      <c r="BT223" s="48" t="n">
        <f aca="false">IF(BT$8=1,IF(Reales!$C$59="PYG",IF(BT$10&gt;0,N(Reales!BT59)/BT$10,0),N(Reales!BT59)),BT$198*IF(AND(AND(67&gt;Corte,67&lt;=Corte+n_Ventana),ISNUMBER(Detalle_24m!BT$63)),Detalle_24m!BT$63,INDEX(Precio_V,22)*INDEX(IdxPrecio_V,1,MIN(10,BT$173)))*(1+V_dPrecio))</f>
        <v>0</v>
      </c>
      <c r="BU223" s="48" t="n">
        <f aca="false">IF(BU$8=1,IF(Reales!$C$59="PYG",IF(BU$10&gt;0,N(Reales!BU59)/BU$10,0),N(Reales!BU59)),BU$198*IF(AND(AND(68&gt;Corte,68&lt;=Corte+n_Ventana),ISNUMBER(Detalle_24m!BU$63)),Detalle_24m!BU$63,INDEX(Precio_V,22)*INDEX(IdxPrecio_V,1,MIN(10,BU$173)))*(1+V_dPrecio))</f>
        <v>0</v>
      </c>
      <c r="BV223" s="48" t="n">
        <f aca="false">IF(BV$8=1,IF(Reales!$C$59="PYG",IF(BV$10&gt;0,N(Reales!BV59)/BV$10,0),N(Reales!BV59)),BV$198*IF(AND(AND(69&gt;Corte,69&lt;=Corte+n_Ventana),ISNUMBER(Detalle_24m!BV$63)),Detalle_24m!BV$63,INDEX(Precio_V,22)*INDEX(IdxPrecio_V,1,MIN(10,BV$173)))*(1+V_dPrecio))</f>
        <v>0</v>
      </c>
      <c r="BW223" s="48" t="n">
        <f aca="false">IF(BW$8=1,IF(Reales!$C$59="PYG",IF(BW$10&gt;0,N(Reales!BW59)/BW$10,0),N(Reales!BW59)),BW$198*IF(AND(AND(70&gt;Corte,70&lt;=Corte+n_Ventana),ISNUMBER(Detalle_24m!BW$63)),Detalle_24m!BW$63,INDEX(Precio_V,22)*INDEX(IdxPrecio_V,1,MIN(10,BW$173)))*(1+V_dPrecio))</f>
        <v>0</v>
      </c>
      <c r="BX223" s="48" t="n">
        <f aca="false">IF(BX$8=1,IF(Reales!$C$59="PYG",IF(BX$10&gt;0,N(Reales!BX59)/BX$10,0),N(Reales!BX59)),BX$198*IF(AND(AND(71&gt;Corte,71&lt;=Corte+n_Ventana),ISNUMBER(Detalle_24m!BX$63)),Detalle_24m!BX$63,INDEX(Precio_V,22)*INDEX(IdxPrecio_V,1,MIN(10,BX$173)))*(1+V_dPrecio))</f>
        <v>0</v>
      </c>
      <c r="BY223" s="48" t="n">
        <f aca="false">IF(BY$8=1,IF(Reales!$C$59="PYG",IF(BY$10&gt;0,N(Reales!BY59)/BY$10,0),N(Reales!BY59)),BY$198*IF(AND(AND(72&gt;Corte,72&lt;=Corte+n_Ventana),ISNUMBER(Detalle_24m!BY$63)),Detalle_24m!BY$63,INDEX(Precio_V,22)*INDEX(IdxPrecio_V,1,MIN(10,BY$173)))*(1+V_dPrecio))</f>
        <v>0</v>
      </c>
      <c r="BZ223" s="48" t="n">
        <f aca="false">IF(BZ$8=1,IF(Reales!$C$59="PYG",IF(BZ$10&gt;0,N(Reales!BZ59)/BZ$10,0),N(Reales!BZ59)),BZ$198*IF(AND(AND(73&gt;Corte,73&lt;=Corte+n_Ventana),ISNUMBER(Detalle_24m!BZ$63)),Detalle_24m!BZ$63,INDEX(Precio_V,22)*INDEX(IdxPrecio_V,1,MIN(10,BZ$173)))*(1+V_dPrecio))</f>
        <v>0</v>
      </c>
      <c r="CA223" s="48" t="n">
        <f aca="false">IF(CA$8=1,IF(Reales!$C$59="PYG",IF(CA$10&gt;0,N(Reales!CA59)/CA$10,0),N(Reales!CA59)),CA$198*IF(AND(AND(74&gt;Corte,74&lt;=Corte+n_Ventana),ISNUMBER(Detalle_24m!CA$63)),Detalle_24m!CA$63,INDEX(Precio_V,22)*INDEX(IdxPrecio_V,1,MIN(10,CA$173)))*(1+V_dPrecio))</f>
        <v>0</v>
      </c>
      <c r="CB223" s="48" t="n">
        <f aca="false">IF(CB$8=1,IF(Reales!$C$59="PYG",IF(CB$10&gt;0,N(Reales!CB59)/CB$10,0),N(Reales!CB59)),CB$198*IF(AND(AND(75&gt;Corte,75&lt;=Corte+n_Ventana),ISNUMBER(Detalle_24m!CB$63)),Detalle_24m!CB$63,INDEX(Precio_V,22)*INDEX(IdxPrecio_V,1,MIN(10,CB$173)))*(1+V_dPrecio))</f>
        <v>0</v>
      </c>
      <c r="CC223" s="48" t="n">
        <f aca="false">IF(CC$8=1,IF(Reales!$C$59="PYG",IF(CC$10&gt;0,N(Reales!CC59)/CC$10,0),N(Reales!CC59)),CC$198*IF(AND(AND(76&gt;Corte,76&lt;=Corte+n_Ventana),ISNUMBER(Detalle_24m!CC$63)),Detalle_24m!CC$63,INDEX(Precio_V,22)*INDEX(IdxPrecio_V,1,MIN(10,CC$173)))*(1+V_dPrecio))</f>
        <v>0</v>
      </c>
      <c r="CD223" s="48" t="n">
        <f aca="false">IF(CD$8=1,IF(Reales!$C$59="PYG",IF(CD$10&gt;0,N(Reales!CD59)/CD$10,0),N(Reales!CD59)),CD$198*IF(AND(AND(77&gt;Corte,77&lt;=Corte+n_Ventana),ISNUMBER(Detalle_24m!CD$63)),Detalle_24m!CD$63,INDEX(Precio_V,22)*INDEX(IdxPrecio_V,1,MIN(10,CD$173)))*(1+V_dPrecio))</f>
        <v>0</v>
      </c>
      <c r="CE223" s="48" t="n">
        <f aca="false">IF(CE$8=1,IF(Reales!$C$59="PYG",IF(CE$10&gt;0,N(Reales!CE59)/CE$10,0),N(Reales!CE59)),CE$198*IF(AND(AND(78&gt;Corte,78&lt;=Corte+n_Ventana),ISNUMBER(Detalle_24m!CE$63)),Detalle_24m!CE$63,INDEX(Precio_V,22)*INDEX(IdxPrecio_V,1,MIN(10,CE$173)))*(1+V_dPrecio))</f>
        <v>0</v>
      </c>
      <c r="CF223" s="48" t="n">
        <f aca="false">IF(CF$8=1,IF(Reales!$C$59="PYG",IF(CF$10&gt;0,N(Reales!CF59)/CF$10,0),N(Reales!CF59)),CF$198*IF(AND(AND(79&gt;Corte,79&lt;=Corte+n_Ventana),ISNUMBER(Detalle_24m!CF$63)),Detalle_24m!CF$63,INDEX(Precio_V,22)*INDEX(IdxPrecio_V,1,MIN(10,CF$173)))*(1+V_dPrecio))</f>
        <v>0</v>
      </c>
      <c r="CG223" s="48" t="n">
        <f aca="false">IF(CG$8=1,IF(Reales!$C$59="PYG",IF(CG$10&gt;0,N(Reales!CG59)/CG$10,0),N(Reales!CG59)),CG$198*IF(AND(AND(80&gt;Corte,80&lt;=Corte+n_Ventana),ISNUMBER(Detalle_24m!CG$63)),Detalle_24m!CG$63,INDEX(Precio_V,22)*INDEX(IdxPrecio_V,1,MIN(10,CG$173)))*(1+V_dPrecio))</f>
        <v>0</v>
      </c>
      <c r="CH223" s="48" t="n">
        <f aca="false">IF(CH$8=1,IF(Reales!$C$59="PYG",IF(CH$10&gt;0,N(Reales!CH59)/CH$10,0),N(Reales!CH59)),CH$198*IF(AND(AND(81&gt;Corte,81&lt;=Corte+n_Ventana),ISNUMBER(Detalle_24m!CH$63)),Detalle_24m!CH$63,INDEX(Precio_V,22)*INDEX(IdxPrecio_V,1,MIN(10,CH$173)))*(1+V_dPrecio))</f>
        <v>0</v>
      </c>
      <c r="CI223" s="48" t="n">
        <f aca="false">IF(CI$8=1,IF(Reales!$C$59="PYG",IF(CI$10&gt;0,N(Reales!CI59)/CI$10,0),N(Reales!CI59)),CI$198*IF(AND(AND(82&gt;Corte,82&lt;=Corte+n_Ventana),ISNUMBER(Detalle_24m!CI$63)),Detalle_24m!CI$63,INDEX(Precio_V,22)*INDEX(IdxPrecio_V,1,MIN(10,CI$173)))*(1+V_dPrecio))</f>
        <v>0</v>
      </c>
      <c r="CJ223" s="48" t="n">
        <f aca="false">IF(CJ$8=1,IF(Reales!$C$59="PYG",IF(CJ$10&gt;0,N(Reales!CJ59)/CJ$10,0),N(Reales!CJ59)),CJ$198*IF(AND(AND(83&gt;Corte,83&lt;=Corte+n_Ventana),ISNUMBER(Detalle_24m!CJ$63)),Detalle_24m!CJ$63,INDEX(Precio_V,22)*INDEX(IdxPrecio_V,1,MIN(10,CJ$173)))*(1+V_dPrecio))</f>
        <v>0</v>
      </c>
      <c r="CK223" s="48" t="n">
        <f aca="false">IF(CK$8=1,IF(Reales!$C$59="PYG",IF(CK$10&gt;0,N(Reales!CK59)/CK$10,0),N(Reales!CK59)),CK$198*IF(AND(AND(84&gt;Corte,84&lt;=Corte+n_Ventana),ISNUMBER(Detalle_24m!CK$63)),Detalle_24m!CK$63,INDEX(Precio_V,22)*INDEX(IdxPrecio_V,1,MIN(10,CK$173)))*(1+V_dPrecio))</f>
        <v>0</v>
      </c>
      <c r="CL223" s="48" t="n">
        <f aca="false">IF(CL$8=1,IF(Reales!$C$59="PYG",IF(CL$10&gt;0,N(Reales!CL59)/CL$10,0),N(Reales!CL59)),CL$198*IF(AND(AND(85&gt;Corte,85&lt;=Corte+n_Ventana),ISNUMBER(Detalle_24m!CL$63)),Detalle_24m!CL$63,INDEX(Precio_V,22)*INDEX(IdxPrecio_V,1,MIN(10,CL$173)))*(1+V_dPrecio))</f>
        <v>0</v>
      </c>
      <c r="CM223" s="48" t="n">
        <f aca="false">IF(CM$8=1,IF(Reales!$C$59="PYG",IF(CM$10&gt;0,N(Reales!CM59)/CM$10,0),N(Reales!CM59)),CM$198*IF(AND(AND(86&gt;Corte,86&lt;=Corte+n_Ventana),ISNUMBER(Detalle_24m!CM$63)),Detalle_24m!CM$63,INDEX(Precio_V,22)*INDEX(IdxPrecio_V,1,MIN(10,CM$173)))*(1+V_dPrecio))</f>
        <v>0</v>
      </c>
      <c r="CN223" s="48" t="n">
        <f aca="false">IF(CN$8=1,IF(Reales!$C$59="PYG",IF(CN$10&gt;0,N(Reales!CN59)/CN$10,0),N(Reales!CN59)),CN$198*IF(AND(AND(87&gt;Corte,87&lt;=Corte+n_Ventana),ISNUMBER(Detalle_24m!CN$63)),Detalle_24m!CN$63,INDEX(Precio_V,22)*INDEX(IdxPrecio_V,1,MIN(10,CN$173)))*(1+V_dPrecio))</f>
        <v>0</v>
      </c>
      <c r="CO223" s="48" t="n">
        <f aca="false">IF(CO$8=1,IF(Reales!$C$59="PYG",IF(CO$10&gt;0,N(Reales!CO59)/CO$10,0),N(Reales!CO59)),CO$198*IF(AND(AND(88&gt;Corte,88&lt;=Corte+n_Ventana),ISNUMBER(Detalle_24m!CO$63)),Detalle_24m!CO$63,INDEX(Precio_V,22)*INDEX(IdxPrecio_V,1,MIN(10,CO$173)))*(1+V_dPrecio))</f>
        <v>0</v>
      </c>
      <c r="CP223" s="48" t="n">
        <f aca="false">IF(CP$8=1,IF(Reales!$C$59="PYG",IF(CP$10&gt;0,N(Reales!CP59)/CP$10,0),N(Reales!CP59)),CP$198*IF(AND(AND(89&gt;Corte,89&lt;=Corte+n_Ventana),ISNUMBER(Detalle_24m!CP$63)),Detalle_24m!CP$63,INDEX(Precio_V,22)*INDEX(IdxPrecio_V,1,MIN(10,CP$173)))*(1+V_dPrecio))</f>
        <v>0</v>
      </c>
      <c r="CQ223" s="48" t="n">
        <f aca="false">IF(CQ$8=1,IF(Reales!$C$59="PYG",IF(CQ$10&gt;0,N(Reales!CQ59)/CQ$10,0),N(Reales!CQ59)),CQ$198*IF(AND(AND(90&gt;Corte,90&lt;=Corte+n_Ventana),ISNUMBER(Detalle_24m!CQ$63)),Detalle_24m!CQ$63,INDEX(Precio_V,22)*INDEX(IdxPrecio_V,1,MIN(10,CQ$173)))*(1+V_dPrecio))</f>
        <v>0</v>
      </c>
      <c r="CR223" s="48" t="n">
        <f aca="false">IF(CR$8=1,IF(Reales!$C$59="PYG",IF(CR$10&gt;0,N(Reales!CR59)/CR$10,0),N(Reales!CR59)),CR$198*IF(AND(AND(91&gt;Corte,91&lt;=Corte+n_Ventana),ISNUMBER(Detalle_24m!CR$63)),Detalle_24m!CR$63,INDEX(Precio_V,22)*INDEX(IdxPrecio_V,1,MIN(10,CR$173)))*(1+V_dPrecio))</f>
        <v>0</v>
      </c>
      <c r="CS223" s="48" t="n">
        <f aca="false">IF(CS$8=1,IF(Reales!$C$59="PYG",IF(CS$10&gt;0,N(Reales!CS59)/CS$10,0),N(Reales!CS59)),CS$198*IF(AND(AND(92&gt;Corte,92&lt;=Corte+n_Ventana),ISNUMBER(Detalle_24m!CS$63)),Detalle_24m!CS$63,INDEX(Precio_V,22)*INDEX(IdxPrecio_V,1,MIN(10,CS$173)))*(1+V_dPrecio))</f>
        <v>0</v>
      </c>
      <c r="CT223" s="48" t="n">
        <f aca="false">IF(CT$8=1,IF(Reales!$C$59="PYG",IF(CT$10&gt;0,N(Reales!CT59)/CT$10,0),N(Reales!CT59)),CT$198*IF(AND(AND(93&gt;Corte,93&lt;=Corte+n_Ventana),ISNUMBER(Detalle_24m!CT$63)),Detalle_24m!CT$63,INDEX(Precio_V,22)*INDEX(IdxPrecio_V,1,MIN(10,CT$173)))*(1+V_dPrecio))</f>
        <v>0</v>
      </c>
      <c r="CU223" s="48" t="n">
        <f aca="false">IF(CU$8=1,IF(Reales!$C$59="PYG",IF(CU$10&gt;0,N(Reales!CU59)/CU$10,0),N(Reales!CU59)),CU$198*IF(AND(AND(94&gt;Corte,94&lt;=Corte+n_Ventana),ISNUMBER(Detalle_24m!CU$63)),Detalle_24m!CU$63,INDEX(Precio_V,22)*INDEX(IdxPrecio_V,1,MIN(10,CU$173)))*(1+V_dPrecio))</f>
        <v>0</v>
      </c>
      <c r="CV223" s="48" t="n">
        <f aca="false">IF(CV$8=1,IF(Reales!$C$59="PYG",IF(CV$10&gt;0,N(Reales!CV59)/CV$10,0),N(Reales!CV59)),CV$198*IF(AND(AND(95&gt;Corte,95&lt;=Corte+n_Ventana),ISNUMBER(Detalle_24m!CV$63)),Detalle_24m!CV$63,INDEX(Precio_V,22)*INDEX(IdxPrecio_V,1,MIN(10,CV$173)))*(1+V_dPrecio))</f>
        <v>0</v>
      </c>
      <c r="CW223" s="48" t="n">
        <f aca="false">IF(CW$8=1,IF(Reales!$C$59="PYG",IF(CW$10&gt;0,N(Reales!CW59)/CW$10,0),N(Reales!CW59)),CW$198*IF(AND(AND(96&gt;Corte,96&lt;=Corte+n_Ventana),ISNUMBER(Detalle_24m!CW$63)),Detalle_24m!CW$63,INDEX(Precio_V,22)*INDEX(IdxPrecio_V,1,MIN(10,CW$173)))*(1+V_dPrecio))</f>
        <v>0</v>
      </c>
      <c r="CX223" s="48" t="n">
        <f aca="false">IF(CX$8=1,IF(Reales!$C$59="PYG",IF(CX$10&gt;0,N(Reales!CX59)/CX$10,0),N(Reales!CX59)),CX$198*IF(AND(AND(97&gt;Corte,97&lt;=Corte+n_Ventana),ISNUMBER(Detalle_24m!CX$63)),Detalle_24m!CX$63,INDEX(Precio_V,22)*INDEX(IdxPrecio_V,1,MIN(10,CX$173)))*(1+V_dPrecio))</f>
        <v>0</v>
      </c>
      <c r="CY223" s="48" t="n">
        <f aca="false">IF(CY$8=1,IF(Reales!$C$59="PYG",IF(CY$10&gt;0,N(Reales!CY59)/CY$10,0),N(Reales!CY59)),CY$198*IF(AND(AND(98&gt;Corte,98&lt;=Corte+n_Ventana),ISNUMBER(Detalle_24m!CY$63)),Detalle_24m!CY$63,INDEX(Precio_V,22)*INDEX(IdxPrecio_V,1,MIN(10,CY$173)))*(1+V_dPrecio))</f>
        <v>0</v>
      </c>
      <c r="CZ223" s="48" t="n">
        <f aca="false">IF(CZ$8=1,IF(Reales!$C$59="PYG",IF(CZ$10&gt;0,N(Reales!CZ59)/CZ$10,0),N(Reales!CZ59)),CZ$198*IF(AND(AND(99&gt;Corte,99&lt;=Corte+n_Ventana),ISNUMBER(Detalle_24m!CZ$63)),Detalle_24m!CZ$63,INDEX(Precio_V,22)*INDEX(IdxPrecio_V,1,MIN(10,CZ$173)))*(1+V_dPrecio))</f>
        <v>0</v>
      </c>
      <c r="DA223" s="48" t="n">
        <f aca="false">IF(DA$8=1,IF(Reales!$C$59="PYG",IF(DA$10&gt;0,N(Reales!DA59)/DA$10,0),N(Reales!DA59)),DA$198*IF(AND(AND(100&gt;Corte,100&lt;=Corte+n_Ventana),ISNUMBER(Detalle_24m!DA$63)),Detalle_24m!DA$63,INDEX(Precio_V,22)*INDEX(IdxPrecio_V,1,MIN(10,DA$173)))*(1+V_dPrecio))</f>
        <v>0</v>
      </c>
      <c r="DB223" s="48" t="n">
        <f aca="false">IF(DB$8=1,IF(Reales!$C$59="PYG",IF(DB$10&gt;0,N(Reales!DB59)/DB$10,0),N(Reales!DB59)),DB$198*IF(AND(AND(101&gt;Corte,101&lt;=Corte+n_Ventana),ISNUMBER(Detalle_24m!DB$63)),Detalle_24m!DB$63,INDEX(Precio_V,22)*INDEX(IdxPrecio_V,1,MIN(10,DB$173)))*(1+V_dPrecio))</f>
        <v>0</v>
      </c>
      <c r="DC223" s="48" t="n">
        <f aca="false">IF(DC$8=1,IF(Reales!$C$59="PYG",IF(DC$10&gt;0,N(Reales!DC59)/DC$10,0),N(Reales!DC59)),DC$198*IF(AND(AND(102&gt;Corte,102&lt;=Corte+n_Ventana),ISNUMBER(Detalle_24m!DC$63)),Detalle_24m!DC$63,INDEX(Precio_V,22)*INDEX(IdxPrecio_V,1,MIN(10,DC$173)))*(1+V_dPrecio))</f>
        <v>0</v>
      </c>
      <c r="DD223" s="48" t="n">
        <f aca="false">IF(DD$8=1,IF(Reales!$C$59="PYG",IF(DD$10&gt;0,N(Reales!DD59)/DD$10,0),N(Reales!DD59)),DD$198*IF(AND(AND(103&gt;Corte,103&lt;=Corte+n_Ventana),ISNUMBER(Detalle_24m!DD$63)),Detalle_24m!DD$63,INDEX(Precio_V,22)*INDEX(IdxPrecio_V,1,MIN(10,DD$173)))*(1+V_dPrecio))</f>
        <v>0</v>
      </c>
      <c r="DE223" s="48" t="n">
        <f aca="false">IF(DE$8=1,IF(Reales!$C$59="PYG",IF(DE$10&gt;0,N(Reales!DE59)/DE$10,0),N(Reales!DE59)),DE$198*IF(AND(AND(104&gt;Corte,104&lt;=Corte+n_Ventana),ISNUMBER(Detalle_24m!DE$63)),Detalle_24m!DE$63,INDEX(Precio_V,22)*INDEX(IdxPrecio_V,1,MIN(10,DE$173)))*(1+V_dPrecio))</f>
        <v>0</v>
      </c>
      <c r="DF223" s="48" t="n">
        <f aca="false">IF(DF$8=1,IF(Reales!$C$59="PYG",IF(DF$10&gt;0,N(Reales!DF59)/DF$10,0),N(Reales!DF59)),DF$198*IF(AND(AND(105&gt;Corte,105&lt;=Corte+n_Ventana),ISNUMBER(Detalle_24m!DF$63)),Detalle_24m!DF$63,INDEX(Precio_V,22)*INDEX(IdxPrecio_V,1,MIN(10,DF$173)))*(1+V_dPrecio))</f>
        <v>0</v>
      </c>
      <c r="DG223" s="48" t="n">
        <f aca="false">IF(DG$8=1,IF(Reales!$C$59="PYG",IF(DG$10&gt;0,N(Reales!DG59)/DG$10,0),N(Reales!DG59)),DG$198*IF(AND(AND(106&gt;Corte,106&lt;=Corte+n_Ventana),ISNUMBER(Detalle_24m!DG$63)),Detalle_24m!DG$63,INDEX(Precio_V,22)*INDEX(IdxPrecio_V,1,MIN(10,DG$173)))*(1+V_dPrecio))</f>
        <v>0</v>
      </c>
      <c r="DH223" s="48" t="n">
        <f aca="false">IF(DH$8=1,IF(Reales!$C$59="PYG",IF(DH$10&gt;0,N(Reales!DH59)/DH$10,0),N(Reales!DH59)),DH$198*IF(AND(AND(107&gt;Corte,107&lt;=Corte+n_Ventana),ISNUMBER(Detalle_24m!DH$63)),Detalle_24m!DH$63,INDEX(Precio_V,22)*INDEX(IdxPrecio_V,1,MIN(10,DH$173)))*(1+V_dPrecio))</f>
        <v>0</v>
      </c>
      <c r="DI223" s="48" t="n">
        <f aca="false">IF(DI$8=1,IF(Reales!$C$59="PYG",IF(DI$10&gt;0,N(Reales!DI59)/DI$10,0),N(Reales!DI59)),DI$198*IF(AND(AND(108&gt;Corte,108&lt;=Corte+n_Ventana),ISNUMBER(Detalle_24m!DI$63)),Detalle_24m!DI$63,INDEX(Precio_V,22)*INDEX(IdxPrecio_V,1,MIN(10,DI$173)))*(1+V_dPrecio))</f>
        <v>0</v>
      </c>
      <c r="DJ223" s="48" t="n">
        <f aca="false">IF(DJ$8=1,IF(Reales!$C$59="PYG",IF(DJ$10&gt;0,N(Reales!DJ59)/DJ$10,0),N(Reales!DJ59)),DJ$198*IF(AND(AND(109&gt;Corte,109&lt;=Corte+n_Ventana),ISNUMBER(Detalle_24m!DJ$63)),Detalle_24m!DJ$63,INDEX(Precio_V,22)*INDEX(IdxPrecio_V,1,MIN(10,DJ$173)))*(1+V_dPrecio))</f>
        <v>0</v>
      </c>
      <c r="DK223" s="48" t="n">
        <f aca="false">IF(DK$8=1,IF(Reales!$C$59="PYG",IF(DK$10&gt;0,N(Reales!DK59)/DK$10,0),N(Reales!DK59)),DK$198*IF(AND(AND(110&gt;Corte,110&lt;=Corte+n_Ventana),ISNUMBER(Detalle_24m!DK$63)),Detalle_24m!DK$63,INDEX(Precio_V,22)*INDEX(IdxPrecio_V,1,MIN(10,DK$173)))*(1+V_dPrecio))</f>
        <v>0</v>
      </c>
      <c r="DL223" s="48" t="n">
        <f aca="false">IF(DL$8=1,IF(Reales!$C$59="PYG",IF(DL$10&gt;0,N(Reales!DL59)/DL$10,0),N(Reales!DL59)),DL$198*IF(AND(AND(111&gt;Corte,111&lt;=Corte+n_Ventana),ISNUMBER(Detalle_24m!DL$63)),Detalle_24m!DL$63,INDEX(Precio_V,22)*INDEX(IdxPrecio_V,1,MIN(10,DL$173)))*(1+V_dPrecio))</f>
        <v>0</v>
      </c>
      <c r="DM223" s="48" t="n">
        <f aca="false">IF(DM$8=1,IF(Reales!$C$59="PYG",IF(DM$10&gt;0,N(Reales!DM59)/DM$10,0),N(Reales!DM59)),DM$198*IF(AND(AND(112&gt;Corte,112&lt;=Corte+n_Ventana),ISNUMBER(Detalle_24m!DM$63)),Detalle_24m!DM$63,INDEX(Precio_V,22)*INDEX(IdxPrecio_V,1,MIN(10,DM$173)))*(1+V_dPrecio))</f>
        <v>0</v>
      </c>
      <c r="DN223" s="48" t="n">
        <f aca="false">IF(DN$8=1,IF(Reales!$C$59="PYG",IF(DN$10&gt;0,N(Reales!DN59)/DN$10,0),N(Reales!DN59)),DN$198*IF(AND(AND(113&gt;Corte,113&lt;=Corte+n_Ventana),ISNUMBER(Detalle_24m!DN$63)),Detalle_24m!DN$63,INDEX(Precio_V,22)*INDEX(IdxPrecio_V,1,MIN(10,DN$173)))*(1+V_dPrecio))</f>
        <v>0</v>
      </c>
      <c r="DO223" s="48" t="n">
        <f aca="false">IF(DO$8=1,IF(Reales!$C$59="PYG",IF(DO$10&gt;0,N(Reales!DO59)/DO$10,0),N(Reales!DO59)),DO$198*IF(AND(AND(114&gt;Corte,114&lt;=Corte+n_Ventana),ISNUMBER(Detalle_24m!DO$63)),Detalle_24m!DO$63,INDEX(Precio_V,22)*INDEX(IdxPrecio_V,1,MIN(10,DO$173)))*(1+V_dPrecio))</f>
        <v>0</v>
      </c>
      <c r="DP223" s="48" t="n">
        <f aca="false">IF(DP$8=1,IF(Reales!$C$59="PYG",IF(DP$10&gt;0,N(Reales!DP59)/DP$10,0),N(Reales!DP59)),DP$198*IF(AND(AND(115&gt;Corte,115&lt;=Corte+n_Ventana),ISNUMBER(Detalle_24m!DP$63)),Detalle_24m!DP$63,INDEX(Precio_V,22)*INDEX(IdxPrecio_V,1,MIN(10,DP$173)))*(1+V_dPrecio))</f>
        <v>0</v>
      </c>
      <c r="DQ223" s="48" t="n">
        <f aca="false">IF(DQ$8=1,IF(Reales!$C$59="PYG",IF(DQ$10&gt;0,N(Reales!DQ59)/DQ$10,0),N(Reales!DQ59)),DQ$198*IF(AND(AND(116&gt;Corte,116&lt;=Corte+n_Ventana),ISNUMBER(Detalle_24m!DQ$63)),Detalle_24m!DQ$63,INDEX(Precio_V,22)*INDEX(IdxPrecio_V,1,MIN(10,DQ$173)))*(1+V_dPrecio))</f>
        <v>0</v>
      </c>
      <c r="DR223" s="48" t="n">
        <f aca="false">IF(DR$8=1,IF(Reales!$C$59="PYG",IF(DR$10&gt;0,N(Reales!DR59)/DR$10,0),N(Reales!DR59)),DR$198*IF(AND(AND(117&gt;Corte,117&lt;=Corte+n_Ventana),ISNUMBER(Detalle_24m!DR$63)),Detalle_24m!DR$63,INDEX(Precio_V,22)*INDEX(IdxPrecio_V,1,MIN(10,DR$173)))*(1+V_dPrecio))</f>
        <v>0</v>
      </c>
      <c r="DS223" s="48" t="n">
        <f aca="false">IF(DS$8=1,IF(Reales!$C$59="PYG",IF(DS$10&gt;0,N(Reales!DS59)/DS$10,0),N(Reales!DS59)),DS$198*IF(AND(AND(118&gt;Corte,118&lt;=Corte+n_Ventana),ISNUMBER(Detalle_24m!DS$63)),Detalle_24m!DS$63,INDEX(Precio_V,22)*INDEX(IdxPrecio_V,1,MIN(10,DS$173)))*(1+V_dPrecio))</f>
        <v>0</v>
      </c>
      <c r="DT223" s="48" t="n">
        <f aca="false">IF(DT$8=1,IF(Reales!$C$59="PYG",IF(DT$10&gt;0,N(Reales!DT59)/DT$10,0),N(Reales!DT59)),DT$198*IF(AND(AND(119&gt;Corte,119&lt;=Corte+n_Ventana),ISNUMBER(Detalle_24m!DT$63)),Detalle_24m!DT$63,INDEX(Precio_V,22)*INDEX(IdxPrecio_V,1,MIN(10,DT$173)))*(1+V_dPrecio))</f>
        <v>0</v>
      </c>
      <c r="DU223" s="48" t="n">
        <f aca="false">IF(DU$8=1,IF(Reales!$C$59="PYG",IF(DU$10&gt;0,N(Reales!DU59)/DU$10,0),N(Reales!DU59)),DU$198*IF(AND(AND(120&gt;Corte,120&lt;=Corte+n_Ventana),ISNUMBER(Detalle_24m!DU$63)),Detalle_24m!DU$63,INDEX(Precio_V,22)*INDEX(IdxPrecio_V,1,MIN(10,DU$173)))*(1+V_dPrecio))</f>
        <v>0</v>
      </c>
      <c r="DV223" s="48" t="n">
        <f aca="false">IF(DV$8=1,IF(Reales!$C$59="PYG",IF(DV$10&gt;0,N(Reales!DV59)/DV$10,0),N(Reales!DV59)),DV$198*IF(AND(AND(121&gt;Corte,121&lt;=Corte+n_Ventana),ISNUMBER(Detalle_24m!DV$63)),Detalle_24m!DV$63,INDEX(Precio_V,22)*INDEX(IdxPrecio_V,1,MIN(10,DV$173)))*(1+V_dPrecio))</f>
        <v>0</v>
      </c>
      <c r="DW223" s="48" t="n">
        <f aca="false">IF(DW$8=1,IF(Reales!$C$59="PYG",IF(DW$10&gt;0,N(Reales!DW59)/DW$10,0),N(Reales!DW59)),DW$198*IF(AND(AND(122&gt;Corte,122&lt;=Corte+n_Ventana),ISNUMBER(Detalle_24m!DW$63)),Detalle_24m!DW$63,INDEX(Precio_V,22)*INDEX(IdxPrecio_V,1,MIN(10,DW$173)))*(1+V_dPrecio))</f>
        <v>0</v>
      </c>
      <c r="DX223" s="48" t="n">
        <f aca="false">IF(DX$8=1,IF(Reales!$C$59="PYG",IF(DX$10&gt;0,N(Reales!DX59)/DX$10,0),N(Reales!DX59)),DX$198*IF(AND(AND(123&gt;Corte,123&lt;=Corte+n_Ventana),ISNUMBER(Detalle_24m!DX$63)),Detalle_24m!DX$63,INDEX(Precio_V,22)*INDEX(IdxPrecio_V,1,MIN(10,DX$173)))*(1+V_dPrecio))</f>
        <v>0</v>
      </c>
      <c r="DY223" s="48" t="n">
        <f aca="false">IF(DY$8=1,IF(Reales!$C$59="PYG",IF(DY$10&gt;0,N(Reales!DY59)/DY$10,0),N(Reales!DY59)),DY$198*IF(AND(AND(124&gt;Corte,124&lt;=Corte+n_Ventana),ISNUMBER(Detalle_24m!DY$63)),Detalle_24m!DY$63,INDEX(Precio_V,22)*INDEX(IdxPrecio_V,1,MIN(10,DY$173)))*(1+V_dPrecio))</f>
        <v>0</v>
      </c>
      <c r="DZ223" s="48" t="n">
        <f aca="false">IF(DZ$8=1,IF(Reales!$C$59="PYG",IF(DZ$10&gt;0,N(Reales!DZ59)/DZ$10,0),N(Reales!DZ59)),DZ$198*IF(AND(AND(125&gt;Corte,125&lt;=Corte+n_Ventana),ISNUMBER(Detalle_24m!DZ$63)),Detalle_24m!DZ$63,INDEX(Precio_V,22)*INDEX(IdxPrecio_V,1,MIN(10,DZ$173)))*(1+V_dPrecio))</f>
        <v>0</v>
      </c>
      <c r="EA223" s="48" t="n">
        <f aca="false">IF(EA$8=1,IF(Reales!$C$59="PYG",IF(EA$10&gt;0,N(Reales!EA59)/EA$10,0),N(Reales!EA59)),EA$198*IF(AND(AND(126&gt;Corte,126&lt;=Corte+n_Ventana),ISNUMBER(Detalle_24m!EA$63)),Detalle_24m!EA$63,INDEX(Precio_V,22)*INDEX(IdxPrecio_V,1,MIN(10,EA$173)))*(1+V_dPrecio))</f>
        <v>0</v>
      </c>
      <c r="EB223" s="48" t="n">
        <f aca="false">IF(EB$8=1,IF(Reales!$C$59="PYG",IF(EB$10&gt;0,N(Reales!EB59)/EB$10,0),N(Reales!EB59)),EB$198*IF(AND(AND(127&gt;Corte,127&lt;=Corte+n_Ventana),ISNUMBER(Detalle_24m!EB$63)),Detalle_24m!EB$63,INDEX(Precio_V,22)*INDEX(IdxPrecio_V,1,MIN(10,EB$173)))*(1+V_dPrecio))</f>
        <v>0</v>
      </c>
      <c r="EC223" s="48" t="n">
        <f aca="false">IF(EC$8=1,IF(Reales!$C$59="PYG",IF(EC$10&gt;0,N(Reales!EC59)/EC$10,0),N(Reales!EC59)),EC$198*IF(AND(AND(128&gt;Corte,128&lt;=Corte+n_Ventana),ISNUMBER(Detalle_24m!EC$63)),Detalle_24m!EC$63,INDEX(Precio_V,22)*INDEX(IdxPrecio_V,1,MIN(10,EC$173)))*(1+V_dPrecio))</f>
        <v>0</v>
      </c>
      <c r="ED223" s="48" t="n">
        <f aca="false">IF(ED$8=1,IF(Reales!$C$59="PYG",IF(ED$10&gt;0,N(Reales!ED59)/ED$10,0),N(Reales!ED59)),ED$198*IF(AND(AND(129&gt;Corte,129&lt;=Corte+n_Ventana),ISNUMBER(Detalle_24m!ED$63)),Detalle_24m!ED$63,INDEX(Precio_V,22)*INDEX(IdxPrecio_V,1,MIN(10,ED$173)))*(1+V_dPrecio))</f>
        <v>0</v>
      </c>
      <c r="EE223" s="48" t="n">
        <f aca="false">IF(EE$8=1,IF(Reales!$C$59="PYG",IF(EE$10&gt;0,N(Reales!EE59)/EE$10,0),N(Reales!EE59)),EE$198*IF(AND(AND(130&gt;Corte,130&lt;=Corte+n_Ventana),ISNUMBER(Detalle_24m!EE$63)),Detalle_24m!EE$63,INDEX(Precio_V,22)*INDEX(IdxPrecio_V,1,MIN(10,EE$173)))*(1+V_dPrecio))</f>
        <v>0</v>
      </c>
      <c r="EF223" s="48" t="n">
        <f aca="false">IF(EF$8=1,IF(Reales!$C$59="PYG",IF(EF$10&gt;0,N(Reales!EF59)/EF$10,0),N(Reales!EF59)),EF$198*IF(AND(AND(131&gt;Corte,131&lt;=Corte+n_Ventana),ISNUMBER(Detalle_24m!EF$63)),Detalle_24m!EF$63,INDEX(Precio_V,22)*INDEX(IdxPrecio_V,1,MIN(10,EF$173)))*(1+V_dPrecio))</f>
        <v>0</v>
      </c>
      <c r="EG223" s="48" t="n">
        <f aca="false">IF(EG$8=1,IF(Reales!$C$59="PYG",IF(EG$10&gt;0,N(Reales!EG59)/EG$10,0),N(Reales!EG59)),EG$198*IF(AND(AND(132&gt;Corte,132&lt;=Corte+n_Ventana),ISNUMBER(Detalle_24m!EG$63)),Detalle_24m!EG$63,INDEX(Precio_V,22)*INDEX(IdxPrecio_V,1,MIN(10,EG$173)))*(1+V_dPrecio))</f>
        <v>0</v>
      </c>
      <c r="EH223" s="48" t="n">
        <f aca="false">IF(EH$8=1,IF(Reales!$C$59="PYG",IF(EH$10&gt;0,N(Reales!EH59)/EH$10,0),N(Reales!EH59)),EH$198*IF(AND(AND(133&gt;Corte,133&lt;=Corte+n_Ventana),ISNUMBER(Detalle_24m!EH$63)),Detalle_24m!EH$63,INDEX(Precio_V,22)*INDEX(IdxPrecio_V,1,MIN(10,EH$173)))*(1+V_dPrecio))</f>
        <v>0</v>
      </c>
      <c r="EI223" s="48" t="n">
        <f aca="false">IF(EI$8=1,IF(Reales!$C$59="PYG",IF(EI$10&gt;0,N(Reales!EI59)/EI$10,0),N(Reales!EI59)),EI$198*IF(AND(AND(134&gt;Corte,134&lt;=Corte+n_Ventana),ISNUMBER(Detalle_24m!EI$63)),Detalle_24m!EI$63,INDEX(Precio_V,22)*INDEX(IdxPrecio_V,1,MIN(10,EI$173)))*(1+V_dPrecio))</f>
        <v>0</v>
      </c>
      <c r="EJ223" s="48" t="n">
        <f aca="false">IF(EJ$8=1,IF(Reales!$C$59="PYG",IF(EJ$10&gt;0,N(Reales!EJ59)/EJ$10,0),N(Reales!EJ59)),EJ$198*IF(AND(AND(135&gt;Corte,135&lt;=Corte+n_Ventana),ISNUMBER(Detalle_24m!EJ$63)),Detalle_24m!EJ$63,INDEX(Precio_V,22)*INDEX(IdxPrecio_V,1,MIN(10,EJ$173)))*(1+V_dPrecio))</f>
        <v>0</v>
      </c>
      <c r="EK223" s="48" t="n">
        <f aca="false">IF(EK$8=1,IF(Reales!$C$59="PYG",IF(EK$10&gt;0,N(Reales!EK59)/EK$10,0),N(Reales!EK59)),EK$198*IF(AND(AND(136&gt;Corte,136&lt;=Corte+n_Ventana),ISNUMBER(Detalle_24m!EK$63)),Detalle_24m!EK$63,INDEX(Precio_V,22)*INDEX(IdxPrecio_V,1,MIN(10,EK$173)))*(1+V_dPrecio))</f>
        <v>0</v>
      </c>
      <c r="EL223" s="48" t="n">
        <f aca="false">IF(EL$8=1,IF(Reales!$C$59="PYG",IF(EL$10&gt;0,N(Reales!EL59)/EL$10,0),N(Reales!EL59)),EL$198*IF(AND(AND(137&gt;Corte,137&lt;=Corte+n_Ventana),ISNUMBER(Detalle_24m!EL$63)),Detalle_24m!EL$63,INDEX(Precio_V,22)*INDEX(IdxPrecio_V,1,MIN(10,EL$173)))*(1+V_dPrecio))</f>
        <v>0</v>
      </c>
      <c r="EM223" s="48" t="n">
        <f aca="false">IF(EM$8=1,IF(Reales!$C$59="PYG",IF(EM$10&gt;0,N(Reales!EM59)/EM$10,0),N(Reales!EM59)),EM$198*IF(AND(AND(138&gt;Corte,138&lt;=Corte+n_Ventana),ISNUMBER(Detalle_24m!EM$63)),Detalle_24m!EM$63,INDEX(Precio_V,22)*INDEX(IdxPrecio_V,1,MIN(10,EM$173)))*(1+V_dPrecio))</f>
        <v>0</v>
      </c>
      <c r="EN223" s="48" t="n">
        <f aca="false">IF(EN$8=1,IF(Reales!$C$59="PYG",IF(EN$10&gt;0,N(Reales!EN59)/EN$10,0),N(Reales!EN59)),EN$198*IF(AND(AND(139&gt;Corte,139&lt;=Corte+n_Ventana),ISNUMBER(Detalle_24m!EN$63)),Detalle_24m!EN$63,INDEX(Precio_V,22)*INDEX(IdxPrecio_V,1,MIN(10,EN$173)))*(1+V_dPrecio))</f>
        <v>0</v>
      </c>
      <c r="EO223" s="48" t="n">
        <f aca="false">IF(EO$8=1,IF(Reales!$C$59="PYG",IF(EO$10&gt;0,N(Reales!EO59)/EO$10,0),N(Reales!EO59)),EO$198*IF(AND(AND(140&gt;Corte,140&lt;=Corte+n_Ventana),ISNUMBER(Detalle_24m!EO$63)),Detalle_24m!EO$63,INDEX(Precio_V,22)*INDEX(IdxPrecio_V,1,MIN(10,EO$173)))*(1+V_dPrecio))</f>
        <v>0</v>
      </c>
      <c r="EP223" s="48" t="n">
        <f aca="false">IF(EP$8=1,IF(Reales!$C$59="PYG",IF(EP$10&gt;0,N(Reales!EP59)/EP$10,0),N(Reales!EP59)),EP$198*IF(AND(AND(141&gt;Corte,141&lt;=Corte+n_Ventana),ISNUMBER(Detalle_24m!EP$63)),Detalle_24m!EP$63,INDEX(Precio_V,22)*INDEX(IdxPrecio_V,1,MIN(10,EP$173)))*(1+V_dPrecio))</f>
        <v>0</v>
      </c>
      <c r="EQ223" s="48" t="n">
        <f aca="false">IF(EQ$8=1,IF(Reales!$C$59="PYG",IF(EQ$10&gt;0,N(Reales!EQ59)/EQ$10,0),N(Reales!EQ59)),EQ$198*IF(AND(AND(142&gt;Corte,142&lt;=Corte+n_Ventana),ISNUMBER(Detalle_24m!EQ$63)),Detalle_24m!EQ$63,INDEX(Precio_V,22)*INDEX(IdxPrecio_V,1,MIN(10,EQ$173)))*(1+V_dPrecio))</f>
        <v>0</v>
      </c>
      <c r="ER223" s="48" t="n">
        <f aca="false">IF(ER$8=1,IF(Reales!$C$59="PYG",IF(ER$10&gt;0,N(Reales!ER59)/ER$10,0),N(Reales!ER59)),ER$198*IF(AND(AND(143&gt;Corte,143&lt;=Corte+n_Ventana),ISNUMBER(Detalle_24m!ER$63)),Detalle_24m!ER$63,INDEX(Precio_V,22)*INDEX(IdxPrecio_V,1,MIN(10,ER$173)))*(1+V_dPrecio))</f>
        <v>0</v>
      </c>
      <c r="ES223" s="48" t="n">
        <f aca="false">IF(ES$8=1,IF(Reales!$C$59="PYG",IF(ES$10&gt;0,N(Reales!ES59)/ES$10,0),N(Reales!ES59)),ES$198*IF(AND(AND(144&gt;Corte,144&lt;=Corte+n_Ventana),ISNUMBER(Detalle_24m!ES$63)),Detalle_24m!ES$63,INDEX(Precio_V,22)*INDEX(IdxPrecio_V,1,MIN(10,ES$173)))*(1+V_dPrecio))</f>
        <v>0</v>
      </c>
    </row>
    <row r="224" customFormat="false" ht="15" hidden="false" customHeight="false" outlineLevel="0" collapsed="false">
      <c r="A224" s="11" t="s">
        <v>1347</v>
      </c>
      <c r="B224" s="53" t="str">
        <f aca="false">IF(INDEX(Prod_Nombre,23)="","Producto 23",INDEX(Prod_Nombre,23))&amp;" — ventas USD"</f>
        <v>Producto 23 — ventas USD</v>
      </c>
      <c r="C224" s="15" t="s">
        <v>508</v>
      </c>
      <c r="E224" s="54" t="n">
        <f aca="false">SUM(F224:ES224)</f>
        <v>0</v>
      </c>
      <c r="F224" s="48" t="n">
        <f aca="false">IF(F$8=1,IF(Reales!$C$60="PYG",IF(F$10&gt;0,N(Reales!F60)/F$10,0),N(Reales!F60)),F$199*IF(AND(AND(1&gt;Corte,1&lt;=Corte+n_Ventana),ISNUMBER(Detalle_24m!F$64)),Detalle_24m!F$64,INDEX(Precio_V,23)*INDEX(IdxPrecio_V,1,MIN(10,F$173)))*(1+V_dPrecio))</f>
        <v>0</v>
      </c>
      <c r="G224" s="48" t="n">
        <f aca="false">IF(G$8=1,IF(Reales!$C$60="PYG",IF(G$10&gt;0,N(Reales!G60)/G$10,0),N(Reales!G60)),G$199*IF(AND(AND(2&gt;Corte,2&lt;=Corte+n_Ventana),ISNUMBER(Detalle_24m!G$64)),Detalle_24m!G$64,INDEX(Precio_V,23)*INDEX(IdxPrecio_V,1,MIN(10,G$173)))*(1+V_dPrecio))</f>
        <v>0</v>
      </c>
      <c r="H224" s="48" t="n">
        <f aca="false">IF(H$8=1,IF(Reales!$C$60="PYG",IF(H$10&gt;0,N(Reales!H60)/H$10,0),N(Reales!H60)),H$199*IF(AND(AND(3&gt;Corte,3&lt;=Corte+n_Ventana),ISNUMBER(Detalle_24m!H$64)),Detalle_24m!H$64,INDEX(Precio_V,23)*INDEX(IdxPrecio_V,1,MIN(10,H$173)))*(1+V_dPrecio))</f>
        <v>0</v>
      </c>
      <c r="I224" s="48" t="n">
        <f aca="false">IF(I$8=1,IF(Reales!$C$60="PYG",IF(I$10&gt;0,N(Reales!I60)/I$10,0),N(Reales!I60)),I$199*IF(AND(AND(4&gt;Corte,4&lt;=Corte+n_Ventana),ISNUMBER(Detalle_24m!I$64)),Detalle_24m!I$64,INDEX(Precio_V,23)*INDEX(IdxPrecio_V,1,MIN(10,I$173)))*(1+V_dPrecio))</f>
        <v>0</v>
      </c>
      <c r="J224" s="48" t="n">
        <f aca="false">IF(J$8=1,IF(Reales!$C$60="PYG",IF(J$10&gt;0,N(Reales!J60)/J$10,0),N(Reales!J60)),J$199*IF(AND(AND(5&gt;Corte,5&lt;=Corte+n_Ventana),ISNUMBER(Detalle_24m!J$64)),Detalle_24m!J$64,INDEX(Precio_V,23)*INDEX(IdxPrecio_V,1,MIN(10,J$173)))*(1+V_dPrecio))</f>
        <v>0</v>
      </c>
      <c r="K224" s="48" t="n">
        <f aca="false">IF(K$8=1,IF(Reales!$C$60="PYG",IF(K$10&gt;0,N(Reales!K60)/K$10,0),N(Reales!K60)),K$199*IF(AND(AND(6&gt;Corte,6&lt;=Corte+n_Ventana),ISNUMBER(Detalle_24m!K$64)),Detalle_24m!K$64,INDEX(Precio_V,23)*INDEX(IdxPrecio_V,1,MIN(10,K$173)))*(1+V_dPrecio))</f>
        <v>0</v>
      </c>
      <c r="L224" s="48" t="n">
        <f aca="false">IF(L$8=1,IF(Reales!$C$60="PYG",IF(L$10&gt;0,N(Reales!L60)/L$10,0),N(Reales!L60)),L$199*IF(AND(AND(7&gt;Corte,7&lt;=Corte+n_Ventana),ISNUMBER(Detalle_24m!L$64)),Detalle_24m!L$64,INDEX(Precio_V,23)*INDEX(IdxPrecio_V,1,MIN(10,L$173)))*(1+V_dPrecio))</f>
        <v>0</v>
      </c>
      <c r="M224" s="48" t="n">
        <f aca="false">IF(M$8=1,IF(Reales!$C$60="PYG",IF(M$10&gt;0,N(Reales!M60)/M$10,0),N(Reales!M60)),M$199*IF(AND(AND(8&gt;Corte,8&lt;=Corte+n_Ventana),ISNUMBER(Detalle_24m!M$64)),Detalle_24m!M$64,INDEX(Precio_V,23)*INDEX(IdxPrecio_V,1,MIN(10,M$173)))*(1+V_dPrecio))</f>
        <v>0</v>
      </c>
      <c r="N224" s="48" t="n">
        <f aca="false">IF(N$8=1,IF(Reales!$C$60="PYG",IF(N$10&gt;0,N(Reales!N60)/N$10,0),N(Reales!N60)),N$199*IF(AND(AND(9&gt;Corte,9&lt;=Corte+n_Ventana),ISNUMBER(Detalle_24m!N$64)),Detalle_24m!N$64,INDEX(Precio_V,23)*INDEX(IdxPrecio_V,1,MIN(10,N$173)))*(1+V_dPrecio))</f>
        <v>0</v>
      </c>
      <c r="O224" s="48" t="n">
        <f aca="false">IF(O$8=1,IF(Reales!$C$60="PYG",IF(O$10&gt;0,N(Reales!O60)/O$10,0),N(Reales!O60)),O$199*IF(AND(AND(10&gt;Corte,10&lt;=Corte+n_Ventana),ISNUMBER(Detalle_24m!O$64)),Detalle_24m!O$64,INDEX(Precio_V,23)*INDEX(IdxPrecio_V,1,MIN(10,O$173)))*(1+V_dPrecio))</f>
        <v>0</v>
      </c>
      <c r="P224" s="48" t="n">
        <f aca="false">IF(P$8=1,IF(Reales!$C$60="PYG",IF(P$10&gt;0,N(Reales!P60)/P$10,0),N(Reales!P60)),P$199*IF(AND(AND(11&gt;Corte,11&lt;=Corte+n_Ventana),ISNUMBER(Detalle_24m!P$64)),Detalle_24m!P$64,INDEX(Precio_V,23)*INDEX(IdxPrecio_V,1,MIN(10,P$173)))*(1+V_dPrecio))</f>
        <v>0</v>
      </c>
      <c r="Q224" s="48" t="n">
        <f aca="false">IF(Q$8=1,IF(Reales!$C$60="PYG",IF(Q$10&gt;0,N(Reales!Q60)/Q$10,0),N(Reales!Q60)),Q$199*IF(AND(AND(12&gt;Corte,12&lt;=Corte+n_Ventana),ISNUMBER(Detalle_24m!Q$64)),Detalle_24m!Q$64,INDEX(Precio_V,23)*INDEX(IdxPrecio_V,1,MIN(10,Q$173)))*(1+V_dPrecio))</f>
        <v>0</v>
      </c>
      <c r="R224" s="48" t="n">
        <f aca="false">IF(R$8=1,IF(Reales!$C$60="PYG",IF(R$10&gt;0,N(Reales!R60)/R$10,0),N(Reales!R60)),R$199*IF(AND(AND(13&gt;Corte,13&lt;=Corte+n_Ventana),ISNUMBER(Detalle_24m!R$64)),Detalle_24m!R$64,INDEX(Precio_V,23)*INDEX(IdxPrecio_V,1,MIN(10,R$173)))*(1+V_dPrecio))</f>
        <v>0</v>
      </c>
      <c r="S224" s="48" t="n">
        <f aca="false">IF(S$8=1,IF(Reales!$C$60="PYG",IF(S$10&gt;0,N(Reales!S60)/S$10,0),N(Reales!S60)),S$199*IF(AND(AND(14&gt;Corte,14&lt;=Corte+n_Ventana),ISNUMBER(Detalle_24m!S$64)),Detalle_24m!S$64,INDEX(Precio_V,23)*INDEX(IdxPrecio_V,1,MIN(10,S$173)))*(1+V_dPrecio))</f>
        <v>0</v>
      </c>
      <c r="T224" s="48" t="n">
        <f aca="false">IF(T$8=1,IF(Reales!$C$60="PYG",IF(T$10&gt;0,N(Reales!T60)/T$10,0),N(Reales!T60)),T$199*IF(AND(AND(15&gt;Corte,15&lt;=Corte+n_Ventana),ISNUMBER(Detalle_24m!T$64)),Detalle_24m!T$64,INDEX(Precio_V,23)*INDEX(IdxPrecio_V,1,MIN(10,T$173)))*(1+V_dPrecio))</f>
        <v>0</v>
      </c>
      <c r="U224" s="48" t="n">
        <f aca="false">IF(U$8=1,IF(Reales!$C$60="PYG",IF(U$10&gt;0,N(Reales!U60)/U$10,0),N(Reales!U60)),U$199*IF(AND(AND(16&gt;Corte,16&lt;=Corte+n_Ventana),ISNUMBER(Detalle_24m!U$64)),Detalle_24m!U$64,INDEX(Precio_V,23)*INDEX(IdxPrecio_V,1,MIN(10,U$173)))*(1+V_dPrecio))</f>
        <v>0</v>
      </c>
      <c r="V224" s="48" t="n">
        <f aca="false">IF(V$8=1,IF(Reales!$C$60="PYG",IF(V$10&gt;0,N(Reales!V60)/V$10,0),N(Reales!V60)),V$199*IF(AND(AND(17&gt;Corte,17&lt;=Corte+n_Ventana),ISNUMBER(Detalle_24m!V$64)),Detalle_24m!V$64,INDEX(Precio_V,23)*INDEX(IdxPrecio_V,1,MIN(10,V$173)))*(1+V_dPrecio))</f>
        <v>0</v>
      </c>
      <c r="W224" s="48" t="n">
        <f aca="false">IF(W$8=1,IF(Reales!$C$60="PYG",IF(W$10&gt;0,N(Reales!W60)/W$10,0),N(Reales!W60)),W$199*IF(AND(AND(18&gt;Corte,18&lt;=Corte+n_Ventana),ISNUMBER(Detalle_24m!W$64)),Detalle_24m!W$64,INDEX(Precio_V,23)*INDEX(IdxPrecio_V,1,MIN(10,W$173)))*(1+V_dPrecio))</f>
        <v>0</v>
      </c>
      <c r="X224" s="48" t="n">
        <f aca="false">IF(X$8=1,IF(Reales!$C$60="PYG",IF(X$10&gt;0,N(Reales!X60)/X$10,0),N(Reales!X60)),X$199*IF(AND(AND(19&gt;Corte,19&lt;=Corte+n_Ventana),ISNUMBER(Detalle_24m!X$64)),Detalle_24m!X$64,INDEX(Precio_V,23)*INDEX(IdxPrecio_V,1,MIN(10,X$173)))*(1+V_dPrecio))</f>
        <v>0</v>
      </c>
      <c r="Y224" s="48" t="n">
        <f aca="false">IF(Y$8=1,IF(Reales!$C$60="PYG",IF(Y$10&gt;0,N(Reales!Y60)/Y$10,0),N(Reales!Y60)),Y$199*IF(AND(AND(20&gt;Corte,20&lt;=Corte+n_Ventana),ISNUMBER(Detalle_24m!Y$64)),Detalle_24m!Y$64,INDEX(Precio_V,23)*INDEX(IdxPrecio_V,1,MIN(10,Y$173)))*(1+V_dPrecio))</f>
        <v>0</v>
      </c>
      <c r="Z224" s="48" t="n">
        <f aca="false">IF(Z$8=1,IF(Reales!$C$60="PYG",IF(Z$10&gt;0,N(Reales!Z60)/Z$10,0),N(Reales!Z60)),Z$199*IF(AND(AND(21&gt;Corte,21&lt;=Corte+n_Ventana),ISNUMBER(Detalle_24m!Z$64)),Detalle_24m!Z$64,INDEX(Precio_V,23)*INDEX(IdxPrecio_V,1,MIN(10,Z$173)))*(1+V_dPrecio))</f>
        <v>0</v>
      </c>
      <c r="AA224" s="48" t="n">
        <f aca="false">IF(AA$8=1,IF(Reales!$C$60="PYG",IF(AA$10&gt;0,N(Reales!AA60)/AA$10,0),N(Reales!AA60)),AA$199*IF(AND(AND(22&gt;Corte,22&lt;=Corte+n_Ventana),ISNUMBER(Detalle_24m!AA$64)),Detalle_24m!AA$64,INDEX(Precio_V,23)*INDEX(IdxPrecio_V,1,MIN(10,AA$173)))*(1+V_dPrecio))</f>
        <v>0</v>
      </c>
      <c r="AB224" s="48" t="n">
        <f aca="false">IF(AB$8=1,IF(Reales!$C$60="PYG",IF(AB$10&gt;0,N(Reales!AB60)/AB$10,0),N(Reales!AB60)),AB$199*IF(AND(AND(23&gt;Corte,23&lt;=Corte+n_Ventana),ISNUMBER(Detalle_24m!AB$64)),Detalle_24m!AB$64,INDEX(Precio_V,23)*INDEX(IdxPrecio_V,1,MIN(10,AB$173)))*(1+V_dPrecio))</f>
        <v>0</v>
      </c>
      <c r="AC224" s="48" t="n">
        <f aca="false">IF(AC$8=1,IF(Reales!$C$60="PYG",IF(AC$10&gt;0,N(Reales!AC60)/AC$10,0),N(Reales!AC60)),AC$199*IF(AND(AND(24&gt;Corte,24&lt;=Corte+n_Ventana),ISNUMBER(Detalle_24m!AC$64)),Detalle_24m!AC$64,INDEX(Precio_V,23)*INDEX(IdxPrecio_V,1,MIN(10,AC$173)))*(1+V_dPrecio))</f>
        <v>0</v>
      </c>
      <c r="AD224" s="48" t="n">
        <f aca="false">IF(AD$8=1,IF(Reales!$C$60="PYG",IF(AD$10&gt;0,N(Reales!AD60)/AD$10,0),N(Reales!AD60)),AD$199*IF(AND(AND(25&gt;Corte,25&lt;=Corte+n_Ventana),ISNUMBER(Detalle_24m!AD$64)),Detalle_24m!AD$64,INDEX(Precio_V,23)*INDEX(IdxPrecio_V,1,MIN(10,AD$173)))*(1+V_dPrecio))</f>
        <v>0</v>
      </c>
      <c r="AE224" s="48" t="n">
        <f aca="false">IF(AE$8=1,IF(Reales!$C$60="PYG",IF(AE$10&gt;0,N(Reales!AE60)/AE$10,0),N(Reales!AE60)),AE$199*IF(AND(AND(26&gt;Corte,26&lt;=Corte+n_Ventana),ISNUMBER(Detalle_24m!AE$64)),Detalle_24m!AE$64,INDEX(Precio_V,23)*INDEX(IdxPrecio_V,1,MIN(10,AE$173)))*(1+V_dPrecio))</f>
        <v>0</v>
      </c>
      <c r="AF224" s="48" t="n">
        <f aca="false">IF(AF$8=1,IF(Reales!$C$60="PYG",IF(AF$10&gt;0,N(Reales!AF60)/AF$10,0),N(Reales!AF60)),AF$199*IF(AND(AND(27&gt;Corte,27&lt;=Corte+n_Ventana),ISNUMBER(Detalle_24m!AF$64)),Detalle_24m!AF$64,INDEX(Precio_V,23)*INDEX(IdxPrecio_V,1,MIN(10,AF$173)))*(1+V_dPrecio))</f>
        <v>0</v>
      </c>
      <c r="AG224" s="48" t="n">
        <f aca="false">IF(AG$8=1,IF(Reales!$C$60="PYG",IF(AG$10&gt;0,N(Reales!AG60)/AG$10,0),N(Reales!AG60)),AG$199*IF(AND(AND(28&gt;Corte,28&lt;=Corte+n_Ventana),ISNUMBER(Detalle_24m!AG$64)),Detalle_24m!AG$64,INDEX(Precio_V,23)*INDEX(IdxPrecio_V,1,MIN(10,AG$173)))*(1+V_dPrecio))</f>
        <v>0</v>
      </c>
      <c r="AH224" s="48" t="n">
        <f aca="false">IF(AH$8=1,IF(Reales!$C$60="PYG",IF(AH$10&gt;0,N(Reales!AH60)/AH$10,0),N(Reales!AH60)),AH$199*IF(AND(AND(29&gt;Corte,29&lt;=Corte+n_Ventana),ISNUMBER(Detalle_24m!AH$64)),Detalle_24m!AH$64,INDEX(Precio_V,23)*INDEX(IdxPrecio_V,1,MIN(10,AH$173)))*(1+V_dPrecio))</f>
        <v>0</v>
      </c>
      <c r="AI224" s="48" t="n">
        <f aca="false">IF(AI$8=1,IF(Reales!$C$60="PYG",IF(AI$10&gt;0,N(Reales!AI60)/AI$10,0),N(Reales!AI60)),AI$199*IF(AND(AND(30&gt;Corte,30&lt;=Corte+n_Ventana),ISNUMBER(Detalle_24m!AI$64)),Detalle_24m!AI$64,INDEX(Precio_V,23)*INDEX(IdxPrecio_V,1,MIN(10,AI$173)))*(1+V_dPrecio))</f>
        <v>0</v>
      </c>
      <c r="AJ224" s="48" t="n">
        <f aca="false">IF(AJ$8=1,IF(Reales!$C$60="PYG",IF(AJ$10&gt;0,N(Reales!AJ60)/AJ$10,0),N(Reales!AJ60)),AJ$199*IF(AND(AND(31&gt;Corte,31&lt;=Corte+n_Ventana),ISNUMBER(Detalle_24m!AJ$64)),Detalle_24m!AJ$64,INDEX(Precio_V,23)*INDEX(IdxPrecio_V,1,MIN(10,AJ$173)))*(1+V_dPrecio))</f>
        <v>0</v>
      </c>
      <c r="AK224" s="48" t="n">
        <f aca="false">IF(AK$8=1,IF(Reales!$C$60="PYG",IF(AK$10&gt;0,N(Reales!AK60)/AK$10,0),N(Reales!AK60)),AK$199*IF(AND(AND(32&gt;Corte,32&lt;=Corte+n_Ventana),ISNUMBER(Detalle_24m!AK$64)),Detalle_24m!AK$64,INDEX(Precio_V,23)*INDEX(IdxPrecio_V,1,MIN(10,AK$173)))*(1+V_dPrecio))</f>
        <v>0</v>
      </c>
      <c r="AL224" s="48" t="n">
        <f aca="false">IF(AL$8=1,IF(Reales!$C$60="PYG",IF(AL$10&gt;0,N(Reales!AL60)/AL$10,0),N(Reales!AL60)),AL$199*IF(AND(AND(33&gt;Corte,33&lt;=Corte+n_Ventana),ISNUMBER(Detalle_24m!AL$64)),Detalle_24m!AL$64,INDEX(Precio_V,23)*INDEX(IdxPrecio_V,1,MIN(10,AL$173)))*(1+V_dPrecio))</f>
        <v>0</v>
      </c>
      <c r="AM224" s="48" t="n">
        <f aca="false">IF(AM$8=1,IF(Reales!$C$60="PYG",IF(AM$10&gt;0,N(Reales!AM60)/AM$10,0),N(Reales!AM60)),AM$199*IF(AND(AND(34&gt;Corte,34&lt;=Corte+n_Ventana),ISNUMBER(Detalle_24m!AM$64)),Detalle_24m!AM$64,INDEX(Precio_V,23)*INDEX(IdxPrecio_V,1,MIN(10,AM$173)))*(1+V_dPrecio))</f>
        <v>0</v>
      </c>
      <c r="AN224" s="48" t="n">
        <f aca="false">IF(AN$8=1,IF(Reales!$C$60="PYG",IF(AN$10&gt;0,N(Reales!AN60)/AN$10,0),N(Reales!AN60)),AN$199*IF(AND(AND(35&gt;Corte,35&lt;=Corte+n_Ventana),ISNUMBER(Detalle_24m!AN$64)),Detalle_24m!AN$64,INDEX(Precio_V,23)*INDEX(IdxPrecio_V,1,MIN(10,AN$173)))*(1+V_dPrecio))</f>
        <v>0</v>
      </c>
      <c r="AO224" s="48" t="n">
        <f aca="false">IF(AO$8=1,IF(Reales!$C$60="PYG",IF(AO$10&gt;0,N(Reales!AO60)/AO$10,0),N(Reales!AO60)),AO$199*IF(AND(AND(36&gt;Corte,36&lt;=Corte+n_Ventana),ISNUMBER(Detalle_24m!AO$64)),Detalle_24m!AO$64,INDEX(Precio_V,23)*INDEX(IdxPrecio_V,1,MIN(10,AO$173)))*(1+V_dPrecio))</f>
        <v>0</v>
      </c>
      <c r="AP224" s="48" t="n">
        <f aca="false">IF(AP$8=1,IF(Reales!$C$60="PYG",IF(AP$10&gt;0,N(Reales!AP60)/AP$10,0),N(Reales!AP60)),AP$199*IF(AND(AND(37&gt;Corte,37&lt;=Corte+n_Ventana),ISNUMBER(Detalle_24m!AP$64)),Detalle_24m!AP$64,INDEX(Precio_V,23)*INDEX(IdxPrecio_V,1,MIN(10,AP$173)))*(1+V_dPrecio))</f>
        <v>0</v>
      </c>
      <c r="AQ224" s="48" t="n">
        <f aca="false">IF(AQ$8=1,IF(Reales!$C$60="PYG",IF(AQ$10&gt;0,N(Reales!AQ60)/AQ$10,0),N(Reales!AQ60)),AQ$199*IF(AND(AND(38&gt;Corte,38&lt;=Corte+n_Ventana),ISNUMBER(Detalle_24m!AQ$64)),Detalle_24m!AQ$64,INDEX(Precio_V,23)*INDEX(IdxPrecio_V,1,MIN(10,AQ$173)))*(1+V_dPrecio))</f>
        <v>0</v>
      </c>
      <c r="AR224" s="48" t="n">
        <f aca="false">IF(AR$8=1,IF(Reales!$C$60="PYG",IF(AR$10&gt;0,N(Reales!AR60)/AR$10,0),N(Reales!AR60)),AR$199*IF(AND(AND(39&gt;Corte,39&lt;=Corte+n_Ventana),ISNUMBER(Detalle_24m!AR$64)),Detalle_24m!AR$64,INDEX(Precio_V,23)*INDEX(IdxPrecio_V,1,MIN(10,AR$173)))*(1+V_dPrecio))</f>
        <v>0</v>
      </c>
      <c r="AS224" s="48" t="n">
        <f aca="false">IF(AS$8=1,IF(Reales!$C$60="PYG",IF(AS$10&gt;0,N(Reales!AS60)/AS$10,0),N(Reales!AS60)),AS$199*IF(AND(AND(40&gt;Corte,40&lt;=Corte+n_Ventana),ISNUMBER(Detalle_24m!AS$64)),Detalle_24m!AS$64,INDEX(Precio_V,23)*INDEX(IdxPrecio_V,1,MIN(10,AS$173)))*(1+V_dPrecio))</f>
        <v>0</v>
      </c>
      <c r="AT224" s="48" t="n">
        <f aca="false">IF(AT$8=1,IF(Reales!$C$60="PYG",IF(AT$10&gt;0,N(Reales!AT60)/AT$10,0),N(Reales!AT60)),AT$199*IF(AND(AND(41&gt;Corte,41&lt;=Corte+n_Ventana),ISNUMBER(Detalle_24m!AT$64)),Detalle_24m!AT$64,INDEX(Precio_V,23)*INDEX(IdxPrecio_V,1,MIN(10,AT$173)))*(1+V_dPrecio))</f>
        <v>0</v>
      </c>
      <c r="AU224" s="48" t="n">
        <f aca="false">IF(AU$8=1,IF(Reales!$C$60="PYG",IF(AU$10&gt;0,N(Reales!AU60)/AU$10,0),N(Reales!AU60)),AU$199*IF(AND(AND(42&gt;Corte,42&lt;=Corte+n_Ventana),ISNUMBER(Detalle_24m!AU$64)),Detalle_24m!AU$64,INDEX(Precio_V,23)*INDEX(IdxPrecio_V,1,MIN(10,AU$173)))*(1+V_dPrecio))</f>
        <v>0</v>
      </c>
      <c r="AV224" s="48" t="n">
        <f aca="false">IF(AV$8=1,IF(Reales!$C$60="PYG",IF(AV$10&gt;0,N(Reales!AV60)/AV$10,0),N(Reales!AV60)),AV$199*IF(AND(AND(43&gt;Corte,43&lt;=Corte+n_Ventana),ISNUMBER(Detalle_24m!AV$64)),Detalle_24m!AV$64,INDEX(Precio_V,23)*INDEX(IdxPrecio_V,1,MIN(10,AV$173)))*(1+V_dPrecio))</f>
        <v>0</v>
      </c>
      <c r="AW224" s="48" t="n">
        <f aca="false">IF(AW$8=1,IF(Reales!$C$60="PYG",IF(AW$10&gt;0,N(Reales!AW60)/AW$10,0),N(Reales!AW60)),AW$199*IF(AND(AND(44&gt;Corte,44&lt;=Corte+n_Ventana),ISNUMBER(Detalle_24m!AW$64)),Detalle_24m!AW$64,INDEX(Precio_V,23)*INDEX(IdxPrecio_V,1,MIN(10,AW$173)))*(1+V_dPrecio))</f>
        <v>0</v>
      </c>
      <c r="AX224" s="48" t="n">
        <f aca="false">IF(AX$8=1,IF(Reales!$C$60="PYG",IF(AX$10&gt;0,N(Reales!AX60)/AX$10,0),N(Reales!AX60)),AX$199*IF(AND(AND(45&gt;Corte,45&lt;=Corte+n_Ventana),ISNUMBER(Detalle_24m!AX$64)),Detalle_24m!AX$64,INDEX(Precio_V,23)*INDEX(IdxPrecio_V,1,MIN(10,AX$173)))*(1+V_dPrecio))</f>
        <v>0</v>
      </c>
      <c r="AY224" s="48" t="n">
        <f aca="false">IF(AY$8=1,IF(Reales!$C$60="PYG",IF(AY$10&gt;0,N(Reales!AY60)/AY$10,0),N(Reales!AY60)),AY$199*IF(AND(AND(46&gt;Corte,46&lt;=Corte+n_Ventana),ISNUMBER(Detalle_24m!AY$64)),Detalle_24m!AY$64,INDEX(Precio_V,23)*INDEX(IdxPrecio_V,1,MIN(10,AY$173)))*(1+V_dPrecio))</f>
        <v>0</v>
      </c>
      <c r="AZ224" s="48" t="n">
        <f aca="false">IF(AZ$8=1,IF(Reales!$C$60="PYG",IF(AZ$10&gt;0,N(Reales!AZ60)/AZ$10,0),N(Reales!AZ60)),AZ$199*IF(AND(AND(47&gt;Corte,47&lt;=Corte+n_Ventana),ISNUMBER(Detalle_24m!AZ$64)),Detalle_24m!AZ$64,INDEX(Precio_V,23)*INDEX(IdxPrecio_V,1,MIN(10,AZ$173)))*(1+V_dPrecio))</f>
        <v>0</v>
      </c>
      <c r="BA224" s="48" t="n">
        <f aca="false">IF(BA$8=1,IF(Reales!$C$60="PYG",IF(BA$10&gt;0,N(Reales!BA60)/BA$10,0),N(Reales!BA60)),BA$199*IF(AND(AND(48&gt;Corte,48&lt;=Corte+n_Ventana),ISNUMBER(Detalle_24m!BA$64)),Detalle_24m!BA$64,INDEX(Precio_V,23)*INDEX(IdxPrecio_V,1,MIN(10,BA$173)))*(1+V_dPrecio))</f>
        <v>0</v>
      </c>
      <c r="BB224" s="48" t="n">
        <f aca="false">IF(BB$8=1,IF(Reales!$C$60="PYG",IF(BB$10&gt;0,N(Reales!BB60)/BB$10,0),N(Reales!BB60)),BB$199*IF(AND(AND(49&gt;Corte,49&lt;=Corte+n_Ventana),ISNUMBER(Detalle_24m!BB$64)),Detalle_24m!BB$64,INDEX(Precio_V,23)*INDEX(IdxPrecio_V,1,MIN(10,BB$173)))*(1+V_dPrecio))</f>
        <v>0</v>
      </c>
      <c r="BC224" s="48" t="n">
        <f aca="false">IF(BC$8=1,IF(Reales!$C$60="PYG",IF(BC$10&gt;0,N(Reales!BC60)/BC$10,0),N(Reales!BC60)),BC$199*IF(AND(AND(50&gt;Corte,50&lt;=Corte+n_Ventana),ISNUMBER(Detalle_24m!BC$64)),Detalle_24m!BC$64,INDEX(Precio_V,23)*INDEX(IdxPrecio_V,1,MIN(10,BC$173)))*(1+V_dPrecio))</f>
        <v>0</v>
      </c>
      <c r="BD224" s="48" t="n">
        <f aca="false">IF(BD$8=1,IF(Reales!$C$60="PYG",IF(BD$10&gt;0,N(Reales!BD60)/BD$10,0),N(Reales!BD60)),BD$199*IF(AND(AND(51&gt;Corte,51&lt;=Corte+n_Ventana),ISNUMBER(Detalle_24m!BD$64)),Detalle_24m!BD$64,INDEX(Precio_V,23)*INDEX(IdxPrecio_V,1,MIN(10,BD$173)))*(1+V_dPrecio))</f>
        <v>0</v>
      </c>
      <c r="BE224" s="48" t="n">
        <f aca="false">IF(BE$8=1,IF(Reales!$C$60="PYG",IF(BE$10&gt;0,N(Reales!BE60)/BE$10,0),N(Reales!BE60)),BE$199*IF(AND(AND(52&gt;Corte,52&lt;=Corte+n_Ventana),ISNUMBER(Detalle_24m!BE$64)),Detalle_24m!BE$64,INDEX(Precio_V,23)*INDEX(IdxPrecio_V,1,MIN(10,BE$173)))*(1+V_dPrecio))</f>
        <v>0</v>
      </c>
      <c r="BF224" s="48" t="n">
        <f aca="false">IF(BF$8=1,IF(Reales!$C$60="PYG",IF(BF$10&gt;0,N(Reales!BF60)/BF$10,0),N(Reales!BF60)),BF$199*IF(AND(AND(53&gt;Corte,53&lt;=Corte+n_Ventana),ISNUMBER(Detalle_24m!BF$64)),Detalle_24m!BF$64,INDEX(Precio_V,23)*INDEX(IdxPrecio_V,1,MIN(10,BF$173)))*(1+V_dPrecio))</f>
        <v>0</v>
      </c>
      <c r="BG224" s="48" t="n">
        <f aca="false">IF(BG$8=1,IF(Reales!$C$60="PYG",IF(BG$10&gt;0,N(Reales!BG60)/BG$10,0),N(Reales!BG60)),BG$199*IF(AND(AND(54&gt;Corte,54&lt;=Corte+n_Ventana),ISNUMBER(Detalle_24m!BG$64)),Detalle_24m!BG$64,INDEX(Precio_V,23)*INDEX(IdxPrecio_V,1,MIN(10,BG$173)))*(1+V_dPrecio))</f>
        <v>0</v>
      </c>
      <c r="BH224" s="48" t="n">
        <f aca="false">IF(BH$8=1,IF(Reales!$C$60="PYG",IF(BH$10&gt;0,N(Reales!BH60)/BH$10,0),N(Reales!BH60)),BH$199*IF(AND(AND(55&gt;Corte,55&lt;=Corte+n_Ventana),ISNUMBER(Detalle_24m!BH$64)),Detalle_24m!BH$64,INDEX(Precio_V,23)*INDEX(IdxPrecio_V,1,MIN(10,BH$173)))*(1+V_dPrecio))</f>
        <v>0</v>
      </c>
      <c r="BI224" s="48" t="n">
        <f aca="false">IF(BI$8=1,IF(Reales!$C$60="PYG",IF(BI$10&gt;0,N(Reales!BI60)/BI$10,0),N(Reales!BI60)),BI$199*IF(AND(AND(56&gt;Corte,56&lt;=Corte+n_Ventana),ISNUMBER(Detalle_24m!BI$64)),Detalle_24m!BI$64,INDEX(Precio_V,23)*INDEX(IdxPrecio_V,1,MIN(10,BI$173)))*(1+V_dPrecio))</f>
        <v>0</v>
      </c>
      <c r="BJ224" s="48" t="n">
        <f aca="false">IF(BJ$8=1,IF(Reales!$C$60="PYG",IF(BJ$10&gt;0,N(Reales!BJ60)/BJ$10,0),N(Reales!BJ60)),BJ$199*IF(AND(AND(57&gt;Corte,57&lt;=Corte+n_Ventana),ISNUMBER(Detalle_24m!BJ$64)),Detalle_24m!BJ$64,INDEX(Precio_V,23)*INDEX(IdxPrecio_V,1,MIN(10,BJ$173)))*(1+V_dPrecio))</f>
        <v>0</v>
      </c>
      <c r="BK224" s="48" t="n">
        <f aca="false">IF(BK$8=1,IF(Reales!$C$60="PYG",IF(BK$10&gt;0,N(Reales!BK60)/BK$10,0),N(Reales!BK60)),BK$199*IF(AND(AND(58&gt;Corte,58&lt;=Corte+n_Ventana),ISNUMBER(Detalle_24m!BK$64)),Detalle_24m!BK$64,INDEX(Precio_V,23)*INDEX(IdxPrecio_V,1,MIN(10,BK$173)))*(1+V_dPrecio))</f>
        <v>0</v>
      </c>
      <c r="BL224" s="48" t="n">
        <f aca="false">IF(BL$8=1,IF(Reales!$C$60="PYG",IF(BL$10&gt;0,N(Reales!BL60)/BL$10,0),N(Reales!BL60)),BL$199*IF(AND(AND(59&gt;Corte,59&lt;=Corte+n_Ventana),ISNUMBER(Detalle_24m!BL$64)),Detalle_24m!BL$64,INDEX(Precio_V,23)*INDEX(IdxPrecio_V,1,MIN(10,BL$173)))*(1+V_dPrecio))</f>
        <v>0</v>
      </c>
      <c r="BM224" s="48" t="n">
        <f aca="false">IF(BM$8=1,IF(Reales!$C$60="PYG",IF(BM$10&gt;0,N(Reales!BM60)/BM$10,0),N(Reales!BM60)),BM$199*IF(AND(AND(60&gt;Corte,60&lt;=Corte+n_Ventana),ISNUMBER(Detalle_24m!BM$64)),Detalle_24m!BM$64,INDEX(Precio_V,23)*INDEX(IdxPrecio_V,1,MIN(10,BM$173)))*(1+V_dPrecio))</f>
        <v>0</v>
      </c>
      <c r="BN224" s="48" t="n">
        <f aca="false">IF(BN$8=1,IF(Reales!$C$60="PYG",IF(BN$10&gt;0,N(Reales!BN60)/BN$10,0),N(Reales!BN60)),BN$199*IF(AND(AND(61&gt;Corte,61&lt;=Corte+n_Ventana),ISNUMBER(Detalle_24m!BN$64)),Detalle_24m!BN$64,INDEX(Precio_V,23)*INDEX(IdxPrecio_V,1,MIN(10,BN$173)))*(1+V_dPrecio))</f>
        <v>0</v>
      </c>
      <c r="BO224" s="48" t="n">
        <f aca="false">IF(BO$8=1,IF(Reales!$C$60="PYG",IF(BO$10&gt;0,N(Reales!BO60)/BO$10,0),N(Reales!BO60)),BO$199*IF(AND(AND(62&gt;Corte,62&lt;=Corte+n_Ventana),ISNUMBER(Detalle_24m!BO$64)),Detalle_24m!BO$64,INDEX(Precio_V,23)*INDEX(IdxPrecio_V,1,MIN(10,BO$173)))*(1+V_dPrecio))</f>
        <v>0</v>
      </c>
      <c r="BP224" s="48" t="n">
        <f aca="false">IF(BP$8=1,IF(Reales!$C$60="PYG",IF(BP$10&gt;0,N(Reales!BP60)/BP$10,0),N(Reales!BP60)),BP$199*IF(AND(AND(63&gt;Corte,63&lt;=Corte+n_Ventana),ISNUMBER(Detalle_24m!BP$64)),Detalle_24m!BP$64,INDEX(Precio_V,23)*INDEX(IdxPrecio_V,1,MIN(10,BP$173)))*(1+V_dPrecio))</f>
        <v>0</v>
      </c>
      <c r="BQ224" s="48" t="n">
        <f aca="false">IF(BQ$8=1,IF(Reales!$C$60="PYG",IF(BQ$10&gt;0,N(Reales!BQ60)/BQ$10,0),N(Reales!BQ60)),BQ$199*IF(AND(AND(64&gt;Corte,64&lt;=Corte+n_Ventana),ISNUMBER(Detalle_24m!BQ$64)),Detalle_24m!BQ$64,INDEX(Precio_V,23)*INDEX(IdxPrecio_V,1,MIN(10,BQ$173)))*(1+V_dPrecio))</f>
        <v>0</v>
      </c>
      <c r="BR224" s="48" t="n">
        <f aca="false">IF(BR$8=1,IF(Reales!$C$60="PYG",IF(BR$10&gt;0,N(Reales!BR60)/BR$10,0),N(Reales!BR60)),BR$199*IF(AND(AND(65&gt;Corte,65&lt;=Corte+n_Ventana),ISNUMBER(Detalle_24m!BR$64)),Detalle_24m!BR$64,INDEX(Precio_V,23)*INDEX(IdxPrecio_V,1,MIN(10,BR$173)))*(1+V_dPrecio))</f>
        <v>0</v>
      </c>
      <c r="BS224" s="48" t="n">
        <f aca="false">IF(BS$8=1,IF(Reales!$C$60="PYG",IF(BS$10&gt;0,N(Reales!BS60)/BS$10,0),N(Reales!BS60)),BS$199*IF(AND(AND(66&gt;Corte,66&lt;=Corte+n_Ventana),ISNUMBER(Detalle_24m!BS$64)),Detalle_24m!BS$64,INDEX(Precio_V,23)*INDEX(IdxPrecio_V,1,MIN(10,BS$173)))*(1+V_dPrecio))</f>
        <v>0</v>
      </c>
      <c r="BT224" s="48" t="n">
        <f aca="false">IF(BT$8=1,IF(Reales!$C$60="PYG",IF(BT$10&gt;0,N(Reales!BT60)/BT$10,0),N(Reales!BT60)),BT$199*IF(AND(AND(67&gt;Corte,67&lt;=Corte+n_Ventana),ISNUMBER(Detalle_24m!BT$64)),Detalle_24m!BT$64,INDEX(Precio_V,23)*INDEX(IdxPrecio_V,1,MIN(10,BT$173)))*(1+V_dPrecio))</f>
        <v>0</v>
      </c>
      <c r="BU224" s="48" t="n">
        <f aca="false">IF(BU$8=1,IF(Reales!$C$60="PYG",IF(BU$10&gt;0,N(Reales!BU60)/BU$10,0),N(Reales!BU60)),BU$199*IF(AND(AND(68&gt;Corte,68&lt;=Corte+n_Ventana),ISNUMBER(Detalle_24m!BU$64)),Detalle_24m!BU$64,INDEX(Precio_V,23)*INDEX(IdxPrecio_V,1,MIN(10,BU$173)))*(1+V_dPrecio))</f>
        <v>0</v>
      </c>
      <c r="BV224" s="48" t="n">
        <f aca="false">IF(BV$8=1,IF(Reales!$C$60="PYG",IF(BV$10&gt;0,N(Reales!BV60)/BV$10,0),N(Reales!BV60)),BV$199*IF(AND(AND(69&gt;Corte,69&lt;=Corte+n_Ventana),ISNUMBER(Detalle_24m!BV$64)),Detalle_24m!BV$64,INDEX(Precio_V,23)*INDEX(IdxPrecio_V,1,MIN(10,BV$173)))*(1+V_dPrecio))</f>
        <v>0</v>
      </c>
      <c r="BW224" s="48" t="n">
        <f aca="false">IF(BW$8=1,IF(Reales!$C$60="PYG",IF(BW$10&gt;0,N(Reales!BW60)/BW$10,0),N(Reales!BW60)),BW$199*IF(AND(AND(70&gt;Corte,70&lt;=Corte+n_Ventana),ISNUMBER(Detalle_24m!BW$64)),Detalle_24m!BW$64,INDEX(Precio_V,23)*INDEX(IdxPrecio_V,1,MIN(10,BW$173)))*(1+V_dPrecio))</f>
        <v>0</v>
      </c>
      <c r="BX224" s="48" t="n">
        <f aca="false">IF(BX$8=1,IF(Reales!$C$60="PYG",IF(BX$10&gt;0,N(Reales!BX60)/BX$10,0),N(Reales!BX60)),BX$199*IF(AND(AND(71&gt;Corte,71&lt;=Corte+n_Ventana),ISNUMBER(Detalle_24m!BX$64)),Detalle_24m!BX$64,INDEX(Precio_V,23)*INDEX(IdxPrecio_V,1,MIN(10,BX$173)))*(1+V_dPrecio))</f>
        <v>0</v>
      </c>
      <c r="BY224" s="48" t="n">
        <f aca="false">IF(BY$8=1,IF(Reales!$C$60="PYG",IF(BY$10&gt;0,N(Reales!BY60)/BY$10,0),N(Reales!BY60)),BY$199*IF(AND(AND(72&gt;Corte,72&lt;=Corte+n_Ventana),ISNUMBER(Detalle_24m!BY$64)),Detalle_24m!BY$64,INDEX(Precio_V,23)*INDEX(IdxPrecio_V,1,MIN(10,BY$173)))*(1+V_dPrecio))</f>
        <v>0</v>
      </c>
      <c r="BZ224" s="48" t="n">
        <f aca="false">IF(BZ$8=1,IF(Reales!$C$60="PYG",IF(BZ$10&gt;0,N(Reales!BZ60)/BZ$10,0),N(Reales!BZ60)),BZ$199*IF(AND(AND(73&gt;Corte,73&lt;=Corte+n_Ventana),ISNUMBER(Detalle_24m!BZ$64)),Detalle_24m!BZ$64,INDEX(Precio_V,23)*INDEX(IdxPrecio_V,1,MIN(10,BZ$173)))*(1+V_dPrecio))</f>
        <v>0</v>
      </c>
      <c r="CA224" s="48" t="n">
        <f aca="false">IF(CA$8=1,IF(Reales!$C$60="PYG",IF(CA$10&gt;0,N(Reales!CA60)/CA$10,0),N(Reales!CA60)),CA$199*IF(AND(AND(74&gt;Corte,74&lt;=Corte+n_Ventana),ISNUMBER(Detalle_24m!CA$64)),Detalle_24m!CA$64,INDEX(Precio_V,23)*INDEX(IdxPrecio_V,1,MIN(10,CA$173)))*(1+V_dPrecio))</f>
        <v>0</v>
      </c>
      <c r="CB224" s="48" t="n">
        <f aca="false">IF(CB$8=1,IF(Reales!$C$60="PYG",IF(CB$10&gt;0,N(Reales!CB60)/CB$10,0),N(Reales!CB60)),CB$199*IF(AND(AND(75&gt;Corte,75&lt;=Corte+n_Ventana),ISNUMBER(Detalle_24m!CB$64)),Detalle_24m!CB$64,INDEX(Precio_V,23)*INDEX(IdxPrecio_V,1,MIN(10,CB$173)))*(1+V_dPrecio))</f>
        <v>0</v>
      </c>
      <c r="CC224" s="48" t="n">
        <f aca="false">IF(CC$8=1,IF(Reales!$C$60="PYG",IF(CC$10&gt;0,N(Reales!CC60)/CC$10,0),N(Reales!CC60)),CC$199*IF(AND(AND(76&gt;Corte,76&lt;=Corte+n_Ventana),ISNUMBER(Detalle_24m!CC$64)),Detalle_24m!CC$64,INDEX(Precio_V,23)*INDEX(IdxPrecio_V,1,MIN(10,CC$173)))*(1+V_dPrecio))</f>
        <v>0</v>
      </c>
      <c r="CD224" s="48" t="n">
        <f aca="false">IF(CD$8=1,IF(Reales!$C$60="PYG",IF(CD$10&gt;0,N(Reales!CD60)/CD$10,0),N(Reales!CD60)),CD$199*IF(AND(AND(77&gt;Corte,77&lt;=Corte+n_Ventana),ISNUMBER(Detalle_24m!CD$64)),Detalle_24m!CD$64,INDEX(Precio_V,23)*INDEX(IdxPrecio_V,1,MIN(10,CD$173)))*(1+V_dPrecio))</f>
        <v>0</v>
      </c>
      <c r="CE224" s="48" t="n">
        <f aca="false">IF(CE$8=1,IF(Reales!$C$60="PYG",IF(CE$10&gt;0,N(Reales!CE60)/CE$10,0),N(Reales!CE60)),CE$199*IF(AND(AND(78&gt;Corte,78&lt;=Corte+n_Ventana),ISNUMBER(Detalle_24m!CE$64)),Detalle_24m!CE$64,INDEX(Precio_V,23)*INDEX(IdxPrecio_V,1,MIN(10,CE$173)))*(1+V_dPrecio))</f>
        <v>0</v>
      </c>
      <c r="CF224" s="48" t="n">
        <f aca="false">IF(CF$8=1,IF(Reales!$C$60="PYG",IF(CF$10&gt;0,N(Reales!CF60)/CF$10,0),N(Reales!CF60)),CF$199*IF(AND(AND(79&gt;Corte,79&lt;=Corte+n_Ventana),ISNUMBER(Detalle_24m!CF$64)),Detalle_24m!CF$64,INDEX(Precio_V,23)*INDEX(IdxPrecio_V,1,MIN(10,CF$173)))*(1+V_dPrecio))</f>
        <v>0</v>
      </c>
      <c r="CG224" s="48" t="n">
        <f aca="false">IF(CG$8=1,IF(Reales!$C$60="PYG",IF(CG$10&gt;0,N(Reales!CG60)/CG$10,0),N(Reales!CG60)),CG$199*IF(AND(AND(80&gt;Corte,80&lt;=Corte+n_Ventana),ISNUMBER(Detalle_24m!CG$64)),Detalle_24m!CG$64,INDEX(Precio_V,23)*INDEX(IdxPrecio_V,1,MIN(10,CG$173)))*(1+V_dPrecio))</f>
        <v>0</v>
      </c>
      <c r="CH224" s="48" t="n">
        <f aca="false">IF(CH$8=1,IF(Reales!$C$60="PYG",IF(CH$10&gt;0,N(Reales!CH60)/CH$10,0),N(Reales!CH60)),CH$199*IF(AND(AND(81&gt;Corte,81&lt;=Corte+n_Ventana),ISNUMBER(Detalle_24m!CH$64)),Detalle_24m!CH$64,INDEX(Precio_V,23)*INDEX(IdxPrecio_V,1,MIN(10,CH$173)))*(1+V_dPrecio))</f>
        <v>0</v>
      </c>
      <c r="CI224" s="48" t="n">
        <f aca="false">IF(CI$8=1,IF(Reales!$C$60="PYG",IF(CI$10&gt;0,N(Reales!CI60)/CI$10,0),N(Reales!CI60)),CI$199*IF(AND(AND(82&gt;Corte,82&lt;=Corte+n_Ventana),ISNUMBER(Detalle_24m!CI$64)),Detalle_24m!CI$64,INDEX(Precio_V,23)*INDEX(IdxPrecio_V,1,MIN(10,CI$173)))*(1+V_dPrecio))</f>
        <v>0</v>
      </c>
      <c r="CJ224" s="48" t="n">
        <f aca="false">IF(CJ$8=1,IF(Reales!$C$60="PYG",IF(CJ$10&gt;0,N(Reales!CJ60)/CJ$10,0),N(Reales!CJ60)),CJ$199*IF(AND(AND(83&gt;Corte,83&lt;=Corte+n_Ventana),ISNUMBER(Detalle_24m!CJ$64)),Detalle_24m!CJ$64,INDEX(Precio_V,23)*INDEX(IdxPrecio_V,1,MIN(10,CJ$173)))*(1+V_dPrecio))</f>
        <v>0</v>
      </c>
      <c r="CK224" s="48" t="n">
        <f aca="false">IF(CK$8=1,IF(Reales!$C$60="PYG",IF(CK$10&gt;0,N(Reales!CK60)/CK$10,0),N(Reales!CK60)),CK$199*IF(AND(AND(84&gt;Corte,84&lt;=Corte+n_Ventana),ISNUMBER(Detalle_24m!CK$64)),Detalle_24m!CK$64,INDEX(Precio_V,23)*INDEX(IdxPrecio_V,1,MIN(10,CK$173)))*(1+V_dPrecio))</f>
        <v>0</v>
      </c>
      <c r="CL224" s="48" t="n">
        <f aca="false">IF(CL$8=1,IF(Reales!$C$60="PYG",IF(CL$10&gt;0,N(Reales!CL60)/CL$10,0),N(Reales!CL60)),CL$199*IF(AND(AND(85&gt;Corte,85&lt;=Corte+n_Ventana),ISNUMBER(Detalle_24m!CL$64)),Detalle_24m!CL$64,INDEX(Precio_V,23)*INDEX(IdxPrecio_V,1,MIN(10,CL$173)))*(1+V_dPrecio))</f>
        <v>0</v>
      </c>
      <c r="CM224" s="48" t="n">
        <f aca="false">IF(CM$8=1,IF(Reales!$C$60="PYG",IF(CM$10&gt;0,N(Reales!CM60)/CM$10,0),N(Reales!CM60)),CM$199*IF(AND(AND(86&gt;Corte,86&lt;=Corte+n_Ventana),ISNUMBER(Detalle_24m!CM$64)),Detalle_24m!CM$64,INDEX(Precio_V,23)*INDEX(IdxPrecio_V,1,MIN(10,CM$173)))*(1+V_dPrecio))</f>
        <v>0</v>
      </c>
      <c r="CN224" s="48" t="n">
        <f aca="false">IF(CN$8=1,IF(Reales!$C$60="PYG",IF(CN$10&gt;0,N(Reales!CN60)/CN$10,0),N(Reales!CN60)),CN$199*IF(AND(AND(87&gt;Corte,87&lt;=Corte+n_Ventana),ISNUMBER(Detalle_24m!CN$64)),Detalle_24m!CN$64,INDEX(Precio_V,23)*INDEX(IdxPrecio_V,1,MIN(10,CN$173)))*(1+V_dPrecio))</f>
        <v>0</v>
      </c>
      <c r="CO224" s="48" t="n">
        <f aca="false">IF(CO$8=1,IF(Reales!$C$60="PYG",IF(CO$10&gt;0,N(Reales!CO60)/CO$10,0),N(Reales!CO60)),CO$199*IF(AND(AND(88&gt;Corte,88&lt;=Corte+n_Ventana),ISNUMBER(Detalle_24m!CO$64)),Detalle_24m!CO$64,INDEX(Precio_V,23)*INDEX(IdxPrecio_V,1,MIN(10,CO$173)))*(1+V_dPrecio))</f>
        <v>0</v>
      </c>
      <c r="CP224" s="48" t="n">
        <f aca="false">IF(CP$8=1,IF(Reales!$C$60="PYG",IF(CP$10&gt;0,N(Reales!CP60)/CP$10,0),N(Reales!CP60)),CP$199*IF(AND(AND(89&gt;Corte,89&lt;=Corte+n_Ventana),ISNUMBER(Detalle_24m!CP$64)),Detalle_24m!CP$64,INDEX(Precio_V,23)*INDEX(IdxPrecio_V,1,MIN(10,CP$173)))*(1+V_dPrecio))</f>
        <v>0</v>
      </c>
      <c r="CQ224" s="48" t="n">
        <f aca="false">IF(CQ$8=1,IF(Reales!$C$60="PYG",IF(CQ$10&gt;0,N(Reales!CQ60)/CQ$10,0),N(Reales!CQ60)),CQ$199*IF(AND(AND(90&gt;Corte,90&lt;=Corte+n_Ventana),ISNUMBER(Detalle_24m!CQ$64)),Detalle_24m!CQ$64,INDEX(Precio_V,23)*INDEX(IdxPrecio_V,1,MIN(10,CQ$173)))*(1+V_dPrecio))</f>
        <v>0</v>
      </c>
      <c r="CR224" s="48" t="n">
        <f aca="false">IF(CR$8=1,IF(Reales!$C$60="PYG",IF(CR$10&gt;0,N(Reales!CR60)/CR$10,0),N(Reales!CR60)),CR$199*IF(AND(AND(91&gt;Corte,91&lt;=Corte+n_Ventana),ISNUMBER(Detalle_24m!CR$64)),Detalle_24m!CR$64,INDEX(Precio_V,23)*INDEX(IdxPrecio_V,1,MIN(10,CR$173)))*(1+V_dPrecio))</f>
        <v>0</v>
      </c>
      <c r="CS224" s="48" t="n">
        <f aca="false">IF(CS$8=1,IF(Reales!$C$60="PYG",IF(CS$10&gt;0,N(Reales!CS60)/CS$10,0),N(Reales!CS60)),CS$199*IF(AND(AND(92&gt;Corte,92&lt;=Corte+n_Ventana),ISNUMBER(Detalle_24m!CS$64)),Detalle_24m!CS$64,INDEX(Precio_V,23)*INDEX(IdxPrecio_V,1,MIN(10,CS$173)))*(1+V_dPrecio))</f>
        <v>0</v>
      </c>
      <c r="CT224" s="48" t="n">
        <f aca="false">IF(CT$8=1,IF(Reales!$C$60="PYG",IF(CT$10&gt;0,N(Reales!CT60)/CT$10,0),N(Reales!CT60)),CT$199*IF(AND(AND(93&gt;Corte,93&lt;=Corte+n_Ventana),ISNUMBER(Detalle_24m!CT$64)),Detalle_24m!CT$64,INDEX(Precio_V,23)*INDEX(IdxPrecio_V,1,MIN(10,CT$173)))*(1+V_dPrecio))</f>
        <v>0</v>
      </c>
      <c r="CU224" s="48" t="n">
        <f aca="false">IF(CU$8=1,IF(Reales!$C$60="PYG",IF(CU$10&gt;0,N(Reales!CU60)/CU$10,0),N(Reales!CU60)),CU$199*IF(AND(AND(94&gt;Corte,94&lt;=Corte+n_Ventana),ISNUMBER(Detalle_24m!CU$64)),Detalle_24m!CU$64,INDEX(Precio_V,23)*INDEX(IdxPrecio_V,1,MIN(10,CU$173)))*(1+V_dPrecio))</f>
        <v>0</v>
      </c>
      <c r="CV224" s="48" t="n">
        <f aca="false">IF(CV$8=1,IF(Reales!$C$60="PYG",IF(CV$10&gt;0,N(Reales!CV60)/CV$10,0),N(Reales!CV60)),CV$199*IF(AND(AND(95&gt;Corte,95&lt;=Corte+n_Ventana),ISNUMBER(Detalle_24m!CV$64)),Detalle_24m!CV$64,INDEX(Precio_V,23)*INDEX(IdxPrecio_V,1,MIN(10,CV$173)))*(1+V_dPrecio))</f>
        <v>0</v>
      </c>
      <c r="CW224" s="48" t="n">
        <f aca="false">IF(CW$8=1,IF(Reales!$C$60="PYG",IF(CW$10&gt;0,N(Reales!CW60)/CW$10,0),N(Reales!CW60)),CW$199*IF(AND(AND(96&gt;Corte,96&lt;=Corte+n_Ventana),ISNUMBER(Detalle_24m!CW$64)),Detalle_24m!CW$64,INDEX(Precio_V,23)*INDEX(IdxPrecio_V,1,MIN(10,CW$173)))*(1+V_dPrecio))</f>
        <v>0</v>
      </c>
      <c r="CX224" s="48" t="n">
        <f aca="false">IF(CX$8=1,IF(Reales!$C$60="PYG",IF(CX$10&gt;0,N(Reales!CX60)/CX$10,0),N(Reales!CX60)),CX$199*IF(AND(AND(97&gt;Corte,97&lt;=Corte+n_Ventana),ISNUMBER(Detalle_24m!CX$64)),Detalle_24m!CX$64,INDEX(Precio_V,23)*INDEX(IdxPrecio_V,1,MIN(10,CX$173)))*(1+V_dPrecio))</f>
        <v>0</v>
      </c>
      <c r="CY224" s="48" t="n">
        <f aca="false">IF(CY$8=1,IF(Reales!$C$60="PYG",IF(CY$10&gt;0,N(Reales!CY60)/CY$10,0),N(Reales!CY60)),CY$199*IF(AND(AND(98&gt;Corte,98&lt;=Corte+n_Ventana),ISNUMBER(Detalle_24m!CY$64)),Detalle_24m!CY$64,INDEX(Precio_V,23)*INDEX(IdxPrecio_V,1,MIN(10,CY$173)))*(1+V_dPrecio))</f>
        <v>0</v>
      </c>
      <c r="CZ224" s="48" t="n">
        <f aca="false">IF(CZ$8=1,IF(Reales!$C$60="PYG",IF(CZ$10&gt;0,N(Reales!CZ60)/CZ$10,0),N(Reales!CZ60)),CZ$199*IF(AND(AND(99&gt;Corte,99&lt;=Corte+n_Ventana),ISNUMBER(Detalle_24m!CZ$64)),Detalle_24m!CZ$64,INDEX(Precio_V,23)*INDEX(IdxPrecio_V,1,MIN(10,CZ$173)))*(1+V_dPrecio))</f>
        <v>0</v>
      </c>
      <c r="DA224" s="48" t="n">
        <f aca="false">IF(DA$8=1,IF(Reales!$C$60="PYG",IF(DA$10&gt;0,N(Reales!DA60)/DA$10,0),N(Reales!DA60)),DA$199*IF(AND(AND(100&gt;Corte,100&lt;=Corte+n_Ventana),ISNUMBER(Detalle_24m!DA$64)),Detalle_24m!DA$64,INDEX(Precio_V,23)*INDEX(IdxPrecio_V,1,MIN(10,DA$173)))*(1+V_dPrecio))</f>
        <v>0</v>
      </c>
      <c r="DB224" s="48" t="n">
        <f aca="false">IF(DB$8=1,IF(Reales!$C$60="PYG",IF(DB$10&gt;0,N(Reales!DB60)/DB$10,0),N(Reales!DB60)),DB$199*IF(AND(AND(101&gt;Corte,101&lt;=Corte+n_Ventana),ISNUMBER(Detalle_24m!DB$64)),Detalle_24m!DB$64,INDEX(Precio_V,23)*INDEX(IdxPrecio_V,1,MIN(10,DB$173)))*(1+V_dPrecio))</f>
        <v>0</v>
      </c>
      <c r="DC224" s="48" t="n">
        <f aca="false">IF(DC$8=1,IF(Reales!$C$60="PYG",IF(DC$10&gt;0,N(Reales!DC60)/DC$10,0),N(Reales!DC60)),DC$199*IF(AND(AND(102&gt;Corte,102&lt;=Corte+n_Ventana),ISNUMBER(Detalle_24m!DC$64)),Detalle_24m!DC$64,INDEX(Precio_V,23)*INDEX(IdxPrecio_V,1,MIN(10,DC$173)))*(1+V_dPrecio))</f>
        <v>0</v>
      </c>
      <c r="DD224" s="48" t="n">
        <f aca="false">IF(DD$8=1,IF(Reales!$C$60="PYG",IF(DD$10&gt;0,N(Reales!DD60)/DD$10,0),N(Reales!DD60)),DD$199*IF(AND(AND(103&gt;Corte,103&lt;=Corte+n_Ventana),ISNUMBER(Detalle_24m!DD$64)),Detalle_24m!DD$64,INDEX(Precio_V,23)*INDEX(IdxPrecio_V,1,MIN(10,DD$173)))*(1+V_dPrecio))</f>
        <v>0</v>
      </c>
      <c r="DE224" s="48" t="n">
        <f aca="false">IF(DE$8=1,IF(Reales!$C$60="PYG",IF(DE$10&gt;0,N(Reales!DE60)/DE$10,0),N(Reales!DE60)),DE$199*IF(AND(AND(104&gt;Corte,104&lt;=Corte+n_Ventana),ISNUMBER(Detalle_24m!DE$64)),Detalle_24m!DE$64,INDEX(Precio_V,23)*INDEX(IdxPrecio_V,1,MIN(10,DE$173)))*(1+V_dPrecio))</f>
        <v>0</v>
      </c>
      <c r="DF224" s="48" t="n">
        <f aca="false">IF(DF$8=1,IF(Reales!$C$60="PYG",IF(DF$10&gt;0,N(Reales!DF60)/DF$10,0),N(Reales!DF60)),DF$199*IF(AND(AND(105&gt;Corte,105&lt;=Corte+n_Ventana),ISNUMBER(Detalle_24m!DF$64)),Detalle_24m!DF$64,INDEX(Precio_V,23)*INDEX(IdxPrecio_V,1,MIN(10,DF$173)))*(1+V_dPrecio))</f>
        <v>0</v>
      </c>
      <c r="DG224" s="48" t="n">
        <f aca="false">IF(DG$8=1,IF(Reales!$C$60="PYG",IF(DG$10&gt;0,N(Reales!DG60)/DG$10,0),N(Reales!DG60)),DG$199*IF(AND(AND(106&gt;Corte,106&lt;=Corte+n_Ventana),ISNUMBER(Detalle_24m!DG$64)),Detalle_24m!DG$64,INDEX(Precio_V,23)*INDEX(IdxPrecio_V,1,MIN(10,DG$173)))*(1+V_dPrecio))</f>
        <v>0</v>
      </c>
      <c r="DH224" s="48" t="n">
        <f aca="false">IF(DH$8=1,IF(Reales!$C$60="PYG",IF(DH$10&gt;0,N(Reales!DH60)/DH$10,0),N(Reales!DH60)),DH$199*IF(AND(AND(107&gt;Corte,107&lt;=Corte+n_Ventana),ISNUMBER(Detalle_24m!DH$64)),Detalle_24m!DH$64,INDEX(Precio_V,23)*INDEX(IdxPrecio_V,1,MIN(10,DH$173)))*(1+V_dPrecio))</f>
        <v>0</v>
      </c>
      <c r="DI224" s="48" t="n">
        <f aca="false">IF(DI$8=1,IF(Reales!$C$60="PYG",IF(DI$10&gt;0,N(Reales!DI60)/DI$10,0),N(Reales!DI60)),DI$199*IF(AND(AND(108&gt;Corte,108&lt;=Corte+n_Ventana),ISNUMBER(Detalle_24m!DI$64)),Detalle_24m!DI$64,INDEX(Precio_V,23)*INDEX(IdxPrecio_V,1,MIN(10,DI$173)))*(1+V_dPrecio))</f>
        <v>0</v>
      </c>
      <c r="DJ224" s="48" t="n">
        <f aca="false">IF(DJ$8=1,IF(Reales!$C$60="PYG",IF(DJ$10&gt;0,N(Reales!DJ60)/DJ$10,0),N(Reales!DJ60)),DJ$199*IF(AND(AND(109&gt;Corte,109&lt;=Corte+n_Ventana),ISNUMBER(Detalle_24m!DJ$64)),Detalle_24m!DJ$64,INDEX(Precio_V,23)*INDEX(IdxPrecio_V,1,MIN(10,DJ$173)))*(1+V_dPrecio))</f>
        <v>0</v>
      </c>
      <c r="DK224" s="48" t="n">
        <f aca="false">IF(DK$8=1,IF(Reales!$C$60="PYG",IF(DK$10&gt;0,N(Reales!DK60)/DK$10,0),N(Reales!DK60)),DK$199*IF(AND(AND(110&gt;Corte,110&lt;=Corte+n_Ventana),ISNUMBER(Detalle_24m!DK$64)),Detalle_24m!DK$64,INDEX(Precio_V,23)*INDEX(IdxPrecio_V,1,MIN(10,DK$173)))*(1+V_dPrecio))</f>
        <v>0</v>
      </c>
      <c r="DL224" s="48" t="n">
        <f aca="false">IF(DL$8=1,IF(Reales!$C$60="PYG",IF(DL$10&gt;0,N(Reales!DL60)/DL$10,0),N(Reales!DL60)),DL$199*IF(AND(AND(111&gt;Corte,111&lt;=Corte+n_Ventana),ISNUMBER(Detalle_24m!DL$64)),Detalle_24m!DL$64,INDEX(Precio_V,23)*INDEX(IdxPrecio_V,1,MIN(10,DL$173)))*(1+V_dPrecio))</f>
        <v>0</v>
      </c>
      <c r="DM224" s="48" t="n">
        <f aca="false">IF(DM$8=1,IF(Reales!$C$60="PYG",IF(DM$10&gt;0,N(Reales!DM60)/DM$10,0),N(Reales!DM60)),DM$199*IF(AND(AND(112&gt;Corte,112&lt;=Corte+n_Ventana),ISNUMBER(Detalle_24m!DM$64)),Detalle_24m!DM$64,INDEX(Precio_V,23)*INDEX(IdxPrecio_V,1,MIN(10,DM$173)))*(1+V_dPrecio))</f>
        <v>0</v>
      </c>
      <c r="DN224" s="48" t="n">
        <f aca="false">IF(DN$8=1,IF(Reales!$C$60="PYG",IF(DN$10&gt;0,N(Reales!DN60)/DN$10,0),N(Reales!DN60)),DN$199*IF(AND(AND(113&gt;Corte,113&lt;=Corte+n_Ventana),ISNUMBER(Detalle_24m!DN$64)),Detalle_24m!DN$64,INDEX(Precio_V,23)*INDEX(IdxPrecio_V,1,MIN(10,DN$173)))*(1+V_dPrecio))</f>
        <v>0</v>
      </c>
      <c r="DO224" s="48" t="n">
        <f aca="false">IF(DO$8=1,IF(Reales!$C$60="PYG",IF(DO$10&gt;0,N(Reales!DO60)/DO$10,0),N(Reales!DO60)),DO$199*IF(AND(AND(114&gt;Corte,114&lt;=Corte+n_Ventana),ISNUMBER(Detalle_24m!DO$64)),Detalle_24m!DO$64,INDEX(Precio_V,23)*INDEX(IdxPrecio_V,1,MIN(10,DO$173)))*(1+V_dPrecio))</f>
        <v>0</v>
      </c>
      <c r="DP224" s="48" t="n">
        <f aca="false">IF(DP$8=1,IF(Reales!$C$60="PYG",IF(DP$10&gt;0,N(Reales!DP60)/DP$10,0),N(Reales!DP60)),DP$199*IF(AND(AND(115&gt;Corte,115&lt;=Corte+n_Ventana),ISNUMBER(Detalle_24m!DP$64)),Detalle_24m!DP$64,INDEX(Precio_V,23)*INDEX(IdxPrecio_V,1,MIN(10,DP$173)))*(1+V_dPrecio))</f>
        <v>0</v>
      </c>
      <c r="DQ224" s="48" t="n">
        <f aca="false">IF(DQ$8=1,IF(Reales!$C$60="PYG",IF(DQ$10&gt;0,N(Reales!DQ60)/DQ$10,0),N(Reales!DQ60)),DQ$199*IF(AND(AND(116&gt;Corte,116&lt;=Corte+n_Ventana),ISNUMBER(Detalle_24m!DQ$64)),Detalle_24m!DQ$64,INDEX(Precio_V,23)*INDEX(IdxPrecio_V,1,MIN(10,DQ$173)))*(1+V_dPrecio))</f>
        <v>0</v>
      </c>
      <c r="DR224" s="48" t="n">
        <f aca="false">IF(DR$8=1,IF(Reales!$C$60="PYG",IF(DR$10&gt;0,N(Reales!DR60)/DR$10,0),N(Reales!DR60)),DR$199*IF(AND(AND(117&gt;Corte,117&lt;=Corte+n_Ventana),ISNUMBER(Detalle_24m!DR$64)),Detalle_24m!DR$64,INDEX(Precio_V,23)*INDEX(IdxPrecio_V,1,MIN(10,DR$173)))*(1+V_dPrecio))</f>
        <v>0</v>
      </c>
      <c r="DS224" s="48" t="n">
        <f aca="false">IF(DS$8=1,IF(Reales!$C$60="PYG",IF(DS$10&gt;0,N(Reales!DS60)/DS$10,0),N(Reales!DS60)),DS$199*IF(AND(AND(118&gt;Corte,118&lt;=Corte+n_Ventana),ISNUMBER(Detalle_24m!DS$64)),Detalle_24m!DS$64,INDEX(Precio_V,23)*INDEX(IdxPrecio_V,1,MIN(10,DS$173)))*(1+V_dPrecio))</f>
        <v>0</v>
      </c>
      <c r="DT224" s="48" t="n">
        <f aca="false">IF(DT$8=1,IF(Reales!$C$60="PYG",IF(DT$10&gt;0,N(Reales!DT60)/DT$10,0),N(Reales!DT60)),DT$199*IF(AND(AND(119&gt;Corte,119&lt;=Corte+n_Ventana),ISNUMBER(Detalle_24m!DT$64)),Detalle_24m!DT$64,INDEX(Precio_V,23)*INDEX(IdxPrecio_V,1,MIN(10,DT$173)))*(1+V_dPrecio))</f>
        <v>0</v>
      </c>
      <c r="DU224" s="48" t="n">
        <f aca="false">IF(DU$8=1,IF(Reales!$C$60="PYG",IF(DU$10&gt;0,N(Reales!DU60)/DU$10,0),N(Reales!DU60)),DU$199*IF(AND(AND(120&gt;Corte,120&lt;=Corte+n_Ventana),ISNUMBER(Detalle_24m!DU$64)),Detalle_24m!DU$64,INDEX(Precio_V,23)*INDEX(IdxPrecio_V,1,MIN(10,DU$173)))*(1+V_dPrecio))</f>
        <v>0</v>
      </c>
      <c r="DV224" s="48" t="n">
        <f aca="false">IF(DV$8=1,IF(Reales!$C$60="PYG",IF(DV$10&gt;0,N(Reales!DV60)/DV$10,0),N(Reales!DV60)),DV$199*IF(AND(AND(121&gt;Corte,121&lt;=Corte+n_Ventana),ISNUMBER(Detalle_24m!DV$64)),Detalle_24m!DV$64,INDEX(Precio_V,23)*INDEX(IdxPrecio_V,1,MIN(10,DV$173)))*(1+V_dPrecio))</f>
        <v>0</v>
      </c>
      <c r="DW224" s="48" t="n">
        <f aca="false">IF(DW$8=1,IF(Reales!$C$60="PYG",IF(DW$10&gt;0,N(Reales!DW60)/DW$10,0),N(Reales!DW60)),DW$199*IF(AND(AND(122&gt;Corte,122&lt;=Corte+n_Ventana),ISNUMBER(Detalle_24m!DW$64)),Detalle_24m!DW$64,INDEX(Precio_V,23)*INDEX(IdxPrecio_V,1,MIN(10,DW$173)))*(1+V_dPrecio))</f>
        <v>0</v>
      </c>
      <c r="DX224" s="48" t="n">
        <f aca="false">IF(DX$8=1,IF(Reales!$C$60="PYG",IF(DX$10&gt;0,N(Reales!DX60)/DX$10,0),N(Reales!DX60)),DX$199*IF(AND(AND(123&gt;Corte,123&lt;=Corte+n_Ventana),ISNUMBER(Detalle_24m!DX$64)),Detalle_24m!DX$64,INDEX(Precio_V,23)*INDEX(IdxPrecio_V,1,MIN(10,DX$173)))*(1+V_dPrecio))</f>
        <v>0</v>
      </c>
      <c r="DY224" s="48" t="n">
        <f aca="false">IF(DY$8=1,IF(Reales!$C$60="PYG",IF(DY$10&gt;0,N(Reales!DY60)/DY$10,0),N(Reales!DY60)),DY$199*IF(AND(AND(124&gt;Corte,124&lt;=Corte+n_Ventana),ISNUMBER(Detalle_24m!DY$64)),Detalle_24m!DY$64,INDEX(Precio_V,23)*INDEX(IdxPrecio_V,1,MIN(10,DY$173)))*(1+V_dPrecio))</f>
        <v>0</v>
      </c>
      <c r="DZ224" s="48" t="n">
        <f aca="false">IF(DZ$8=1,IF(Reales!$C$60="PYG",IF(DZ$10&gt;0,N(Reales!DZ60)/DZ$10,0),N(Reales!DZ60)),DZ$199*IF(AND(AND(125&gt;Corte,125&lt;=Corte+n_Ventana),ISNUMBER(Detalle_24m!DZ$64)),Detalle_24m!DZ$64,INDEX(Precio_V,23)*INDEX(IdxPrecio_V,1,MIN(10,DZ$173)))*(1+V_dPrecio))</f>
        <v>0</v>
      </c>
      <c r="EA224" s="48" t="n">
        <f aca="false">IF(EA$8=1,IF(Reales!$C$60="PYG",IF(EA$10&gt;0,N(Reales!EA60)/EA$10,0),N(Reales!EA60)),EA$199*IF(AND(AND(126&gt;Corte,126&lt;=Corte+n_Ventana),ISNUMBER(Detalle_24m!EA$64)),Detalle_24m!EA$64,INDEX(Precio_V,23)*INDEX(IdxPrecio_V,1,MIN(10,EA$173)))*(1+V_dPrecio))</f>
        <v>0</v>
      </c>
      <c r="EB224" s="48" t="n">
        <f aca="false">IF(EB$8=1,IF(Reales!$C$60="PYG",IF(EB$10&gt;0,N(Reales!EB60)/EB$10,0),N(Reales!EB60)),EB$199*IF(AND(AND(127&gt;Corte,127&lt;=Corte+n_Ventana),ISNUMBER(Detalle_24m!EB$64)),Detalle_24m!EB$64,INDEX(Precio_V,23)*INDEX(IdxPrecio_V,1,MIN(10,EB$173)))*(1+V_dPrecio))</f>
        <v>0</v>
      </c>
      <c r="EC224" s="48" t="n">
        <f aca="false">IF(EC$8=1,IF(Reales!$C$60="PYG",IF(EC$10&gt;0,N(Reales!EC60)/EC$10,0),N(Reales!EC60)),EC$199*IF(AND(AND(128&gt;Corte,128&lt;=Corte+n_Ventana),ISNUMBER(Detalle_24m!EC$64)),Detalle_24m!EC$64,INDEX(Precio_V,23)*INDEX(IdxPrecio_V,1,MIN(10,EC$173)))*(1+V_dPrecio))</f>
        <v>0</v>
      </c>
      <c r="ED224" s="48" t="n">
        <f aca="false">IF(ED$8=1,IF(Reales!$C$60="PYG",IF(ED$10&gt;0,N(Reales!ED60)/ED$10,0),N(Reales!ED60)),ED$199*IF(AND(AND(129&gt;Corte,129&lt;=Corte+n_Ventana),ISNUMBER(Detalle_24m!ED$64)),Detalle_24m!ED$64,INDEX(Precio_V,23)*INDEX(IdxPrecio_V,1,MIN(10,ED$173)))*(1+V_dPrecio))</f>
        <v>0</v>
      </c>
      <c r="EE224" s="48" t="n">
        <f aca="false">IF(EE$8=1,IF(Reales!$C$60="PYG",IF(EE$10&gt;0,N(Reales!EE60)/EE$10,0),N(Reales!EE60)),EE$199*IF(AND(AND(130&gt;Corte,130&lt;=Corte+n_Ventana),ISNUMBER(Detalle_24m!EE$64)),Detalle_24m!EE$64,INDEX(Precio_V,23)*INDEX(IdxPrecio_V,1,MIN(10,EE$173)))*(1+V_dPrecio))</f>
        <v>0</v>
      </c>
      <c r="EF224" s="48" t="n">
        <f aca="false">IF(EF$8=1,IF(Reales!$C$60="PYG",IF(EF$10&gt;0,N(Reales!EF60)/EF$10,0),N(Reales!EF60)),EF$199*IF(AND(AND(131&gt;Corte,131&lt;=Corte+n_Ventana),ISNUMBER(Detalle_24m!EF$64)),Detalle_24m!EF$64,INDEX(Precio_V,23)*INDEX(IdxPrecio_V,1,MIN(10,EF$173)))*(1+V_dPrecio))</f>
        <v>0</v>
      </c>
      <c r="EG224" s="48" t="n">
        <f aca="false">IF(EG$8=1,IF(Reales!$C$60="PYG",IF(EG$10&gt;0,N(Reales!EG60)/EG$10,0),N(Reales!EG60)),EG$199*IF(AND(AND(132&gt;Corte,132&lt;=Corte+n_Ventana),ISNUMBER(Detalle_24m!EG$64)),Detalle_24m!EG$64,INDEX(Precio_V,23)*INDEX(IdxPrecio_V,1,MIN(10,EG$173)))*(1+V_dPrecio))</f>
        <v>0</v>
      </c>
      <c r="EH224" s="48" t="n">
        <f aca="false">IF(EH$8=1,IF(Reales!$C$60="PYG",IF(EH$10&gt;0,N(Reales!EH60)/EH$10,0),N(Reales!EH60)),EH$199*IF(AND(AND(133&gt;Corte,133&lt;=Corte+n_Ventana),ISNUMBER(Detalle_24m!EH$64)),Detalle_24m!EH$64,INDEX(Precio_V,23)*INDEX(IdxPrecio_V,1,MIN(10,EH$173)))*(1+V_dPrecio))</f>
        <v>0</v>
      </c>
      <c r="EI224" s="48" t="n">
        <f aca="false">IF(EI$8=1,IF(Reales!$C$60="PYG",IF(EI$10&gt;0,N(Reales!EI60)/EI$10,0),N(Reales!EI60)),EI$199*IF(AND(AND(134&gt;Corte,134&lt;=Corte+n_Ventana),ISNUMBER(Detalle_24m!EI$64)),Detalle_24m!EI$64,INDEX(Precio_V,23)*INDEX(IdxPrecio_V,1,MIN(10,EI$173)))*(1+V_dPrecio))</f>
        <v>0</v>
      </c>
      <c r="EJ224" s="48" t="n">
        <f aca="false">IF(EJ$8=1,IF(Reales!$C$60="PYG",IF(EJ$10&gt;0,N(Reales!EJ60)/EJ$10,0),N(Reales!EJ60)),EJ$199*IF(AND(AND(135&gt;Corte,135&lt;=Corte+n_Ventana),ISNUMBER(Detalle_24m!EJ$64)),Detalle_24m!EJ$64,INDEX(Precio_V,23)*INDEX(IdxPrecio_V,1,MIN(10,EJ$173)))*(1+V_dPrecio))</f>
        <v>0</v>
      </c>
      <c r="EK224" s="48" t="n">
        <f aca="false">IF(EK$8=1,IF(Reales!$C$60="PYG",IF(EK$10&gt;0,N(Reales!EK60)/EK$10,0),N(Reales!EK60)),EK$199*IF(AND(AND(136&gt;Corte,136&lt;=Corte+n_Ventana),ISNUMBER(Detalle_24m!EK$64)),Detalle_24m!EK$64,INDEX(Precio_V,23)*INDEX(IdxPrecio_V,1,MIN(10,EK$173)))*(1+V_dPrecio))</f>
        <v>0</v>
      </c>
      <c r="EL224" s="48" t="n">
        <f aca="false">IF(EL$8=1,IF(Reales!$C$60="PYG",IF(EL$10&gt;0,N(Reales!EL60)/EL$10,0),N(Reales!EL60)),EL$199*IF(AND(AND(137&gt;Corte,137&lt;=Corte+n_Ventana),ISNUMBER(Detalle_24m!EL$64)),Detalle_24m!EL$64,INDEX(Precio_V,23)*INDEX(IdxPrecio_V,1,MIN(10,EL$173)))*(1+V_dPrecio))</f>
        <v>0</v>
      </c>
      <c r="EM224" s="48" t="n">
        <f aca="false">IF(EM$8=1,IF(Reales!$C$60="PYG",IF(EM$10&gt;0,N(Reales!EM60)/EM$10,0),N(Reales!EM60)),EM$199*IF(AND(AND(138&gt;Corte,138&lt;=Corte+n_Ventana),ISNUMBER(Detalle_24m!EM$64)),Detalle_24m!EM$64,INDEX(Precio_V,23)*INDEX(IdxPrecio_V,1,MIN(10,EM$173)))*(1+V_dPrecio))</f>
        <v>0</v>
      </c>
      <c r="EN224" s="48" t="n">
        <f aca="false">IF(EN$8=1,IF(Reales!$C$60="PYG",IF(EN$10&gt;0,N(Reales!EN60)/EN$10,0),N(Reales!EN60)),EN$199*IF(AND(AND(139&gt;Corte,139&lt;=Corte+n_Ventana),ISNUMBER(Detalle_24m!EN$64)),Detalle_24m!EN$64,INDEX(Precio_V,23)*INDEX(IdxPrecio_V,1,MIN(10,EN$173)))*(1+V_dPrecio))</f>
        <v>0</v>
      </c>
      <c r="EO224" s="48" t="n">
        <f aca="false">IF(EO$8=1,IF(Reales!$C$60="PYG",IF(EO$10&gt;0,N(Reales!EO60)/EO$10,0),N(Reales!EO60)),EO$199*IF(AND(AND(140&gt;Corte,140&lt;=Corte+n_Ventana),ISNUMBER(Detalle_24m!EO$64)),Detalle_24m!EO$64,INDEX(Precio_V,23)*INDEX(IdxPrecio_V,1,MIN(10,EO$173)))*(1+V_dPrecio))</f>
        <v>0</v>
      </c>
      <c r="EP224" s="48" t="n">
        <f aca="false">IF(EP$8=1,IF(Reales!$C$60="PYG",IF(EP$10&gt;0,N(Reales!EP60)/EP$10,0),N(Reales!EP60)),EP$199*IF(AND(AND(141&gt;Corte,141&lt;=Corte+n_Ventana),ISNUMBER(Detalle_24m!EP$64)),Detalle_24m!EP$64,INDEX(Precio_V,23)*INDEX(IdxPrecio_V,1,MIN(10,EP$173)))*(1+V_dPrecio))</f>
        <v>0</v>
      </c>
      <c r="EQ224" s="48" t="n">
        <f aca="false">IF(EQ$8=1,IF(Reales!$C$60="PYG",IF(EQ$10&gt;0,N(Reales!EQ60)/EQ$10,0),N(Reales!EQ60)),EQ$199*IF(AND(AND(142&gt;Corte,142&lt;=Corte+n_Ventana),ISNUMBER(Detalle_24m!EQ$64)),Detalle_24m!EQ$64,INDEX(Precio_V,23)*INDEX(IdxPrecio_V,1,MIN(10,EQ$173)))*(1+V_dPrecio))</f>
        <v>0</v>
      </c>
      <c r="ER224" s="48" t="n">
        <f aca="false">IF(ER$8=1,IF(Reales!$C$60="PYG",IF(ER$10&gt;0,N(Reales!ER60)/ER$10,0),N(Reales!ER60)),ER$199*IF(AND(AND(143&gt;Corte,143&lt;=Corte+n_Ventana),ISNUMBER(Detalle_24m!ER$64)),Detalle_24m!ER$64,INDEX(Precio_V,23)*INDEX(IdxPrecio_V,1,MIN(10,ER$173)))*(1+V_dPrecio))</f>
        <v>0</v>
      </c>
      <c r="ES224" s="48" t="n">
        <f aca="false">IF(ES$8=1,IF(Reales!$C$60="PYG",IF(ES$10&gt;0,N(Reales!ES60)/ES$10,0),N(Reales!ES60)),ES$199*IF(AND(AND(144&gt;Corte,144&lt;=Corte+n_Ventana),ISNUMBER(Detalle_24m!ES$64)),Detalle_24m!ES$64,INDEX(Precio_V,23)*INDEX(IdxPrecio_V,1,MIN(10,ES$173)))*(1+V_dPrecio))</f>
        <v>0</v>
      </c>
    </row>
    <row r="225" customFormat="false" ht="15" hidden="false" customHeight="false" outlineLevel="0" collapsed="false">
      <c r="A225" s="11" t="s">
        <v>1348</v>
      </c>
      <c r="B225" s="53" t="str">
        <f aca="false">IF(INDEX(Prod_Nombre,24)="","Producto 24",INDEX(Prod_Nombre,24))&amp;" — ventas USD"</f>
        <v>Producto 24 — ventas USD</v>
      </c>
      <c r="C225" s="15" t="s">
        <v>508</v>
      </c>
      <c r="E225" s="54" t="n">
        <f aca="false">SUM(F225:ES225)</f>
        <v>0</v>
      </c>
      <c r="F225" s="48" t="n">
        <f aca="false">IF(F$8=1,IF(Reales!$C$61="PYG",IF(F$10&gt;0,N(Reales!F61)/F$10,0),N(Reales!F61)),F$200*IF(AND(AND(1&gt;Corte,1&lt;=Corte+n_Ventana),ISNUMBER(Detalle_24m!F$65)),Detalle_24m!F$65,INDEX(Precio_V,24)*INDEX(IdxPrecio_V,1,MIN(10,F$173)))*(1+V_dPrecio))</f>
        <v>0</v>
      </c>
      <c r="G225" s="48" t="n">
        <f aca="false">IF(G$8=1,IF(Reales!$C$61="PYG",IF(G$10&gt;0,N(Reales!G61)/G$10,0),N(Reales!G61)),G$200*IF(AND(AND(2&gt;Corte,2&lt;=Corte+n_Ventana),ISNUMBER(Detalle_24m!G$65)),Detalle_24m!G$65,INDEX(Precio_V,24)*INDEX(IdxPrecio_V,1,MIN(10,G$173)))*(1+V_dPrecio))</f>
        <v>0</v>
      </c>
      <c r="H225" s="48" t="n">
        <f aca="false">IF(H$8=1,IF(Reales!$C$61="PYG",IF(H$10&gt;0,N(Reales!H61)/H$10,0),N(Reales!H61)),H$200*IF(AND(AND(3&gt;Corte,3&lt;=Corte+n_Ventana),ISNUMBER(Detalle_24m!H$65)),Detalle_24m!H$65,INDEX(Precio_V,24)*INDEX(IdxPrecio_V,1,MIN(10,H$173)))*(1+V_dPrecio))</f>
        <v>0</v>
      </c>
      <c r="I225" s="48" t="n">
        <f aca="false">IF(I$8=1,IF(Reales!$C$61="PYG",IF(I$10&gt;0,N(Reales!I61)/I$10,0),N(Reales!I61)),I$200*IF(AND(AND(4&gt;Corte,4&lt;=Corte+n_Ventana),ISNUMBER(Detalle_24m!I$65)),Detalle_24m!I$65,INDEX(Precio_V,24)*INDEX(IdxPrecio_V,1,MIN(10,I$173)))*(1+V_dPrecio))</f>
        <v>0</v>
      </c>
      <c r="J225" s="48" t="n">
        <f aca="false">IF(J$8=1,IF(Reales!$C$61="PYG",IF(J$10&gt;0,N(Reales!J61)/J$10,0),N(Reales!J61)),J$200*IF(AND(AND(5&gt;Corte,5&lt;=Corte+n_Ventana),ISNUMBER(Detalle_24m!J$65)),Detalle_24m!J$65,INDEX(Precio_V,24)*INDEX(IdxPrecio_V,1,MIN(10,J$173)))*(1+V_dPrecio))</f>
        <v>0</v>
      </c>
      <c r="K225" s="48" t="n">
        <f aca="false">IF(K$8=1,IF(Reales!$C$61="PYG",IF(K$10&gt;0,N(Reales!K61)/K$10,0),N(Reales!K61)),K$200*IF(AND(AND(6&gt;Corte,6&lt;=Corte+n_Ventana),ISNUMBER(Detalle_24m!K$65)),Detalle_24m!K$65,INDEX(Precio_V,24)*INDEX(IdxPrecio_V,1,MIN(10,K$173)))*(1+V_dPrecio))</f>
        <v>0</v>
      </c>
      <c r="L225" s="48" t="n">
        <f aca="false">IF(L$8=1,IF(Reales!$C$61="PYG",IF(L$10&gt;0,N(Reales!L61)/L$10,0),N(Reales!L61)),L$200*IF(AND(AND(7&gt;Corte,7&lt;=Corte+n_Ventana),ISNUMBER(Detalle_24m!L$65)),Detalle_24m!L$65,INDEX(Precio_V,24)*INDEX(IdxPrecio_V,1,MIN(10,L$173)))*(1+V_dPrecio))</f>
        <v>0</v>
      </c>
      <c r="M225" s="48" t="n">
        <f aca="false">IF(M$8=1,IF(Reales!$C$61="PYG",IF(M$10&gt;0,N(Reales!M61)/M$10,0),N(Reales!M61)),M$200*IF(AND(AND(8&gt;Corte,8&lt;=Corte+n_Ventana),ISNUMBER(Detalle_24m!M$65)),Detalle_24m!M$65,INDEX(Precio_V,24)*INDEX(IdxPrecio_V,1,MIN(10,M$173)))*(1+V_dPrecio))</f>
        <v>0</v>
      </c>
      <c r="N225" s="48" t="n">
        <f aca="false">IF(N$8=1,IF(Reales!$C$61="PYG",IF(N$10&gt;0,N(Reales!N61)/N$10,0),N(Reales!N61)),N$200*IF(AND(AND(9&gt;Corte,9&lt;=Corte+n_Ventana),ISNUMBER(Detalle_24m!N$65)),Detalle_24m!N$65,INDEX(Precio_V,24)*INDEX(IdxPrecio_V,1,MIN(10,N$173)))*(1+V_dPrecio))</f>
        <v>0</v>
      </c>
      <c r="O225" s="48" t="n">
        <f aca="false">IF(O$8=1,IF(Reales!$C$61="PYG",IF(O$10&gt;0,N(Reales!O61)/O$10,0),N(Reales!O61)),O$200*IF(AND(AND(10&gt;Corte,10&lt;=Corte+n_Ventana),ISNUMBER(Detalle_24m!O$65)),Detalle_24m!O$65,INDEX(Precio_V,24)*INDEX(IdxPrecio_V,1,MIN(10,O$173)))*(1+V_dPrecio))</f>
        <v>0</v>
      </c>
      <c r="P225" s="48" t="n">
        <f aca="false">IF(P$8=1,IF(Reales!$C$61="PYG",IF(P$10&gt;0,N(Reales!P61)/P$10,0),N(Reales!P61)),P$200*IF(AND(AND(11&gt;Corte,11&lt;=Corte+n_Ventana),ISNUMBER(Detalle_24m!P$65)),Detalle_24m!P$65,INDEX(Precio_V,24)*INDEX(IdxPrecio_V,1,MIN(10,P$173)))*(1+V_dPrecio))</f>
        <v>0</v>
      </c>
      <c r="Q225" s="48" t="n">
        <f aca="false">IF(Q$8=1,IF(Reales!$C$61="PYG",IF(Q$10&gt;0,N(Reales!Q61)/Q$10,0),N(Reales!Q61)),Q$200*IF(AND(AND(12&gt;Corte,12&lt;=Corte+n_Ventana),ISNUMBER(Detalle_24m!Q$65)),Detalle_24m!Q$65,INDEX(Precio_V,24)*INDEX(IdxPrecio_V,1,MIN(10,Q$173)))*(1+V_dPrecio))</f>
        <v>0</v>
      </c>
      <c r="R225" s="48" t="n">
        <f aca="false">IF(R$8=1,IF(Reales!$C$61="PYG",IF(R$10&gt;0,N(Reales!R61)/R$10,0),N(Reales!R61)),R$200*IF(AND(AND(13&gt;Corte,13&lt;=Corte+n_Ventana),ISNUMBER(Detalle_24m!R$65)),Detalle_24m!R$65,INDEX(Precio_V,24)*INDEX(IdxPrecio_V,1,MIN(10,R$173)))*(1+V_dPrecio))</f>
        <v>0</v>
      </c>
      <c r="S225" s="48" t="n">
        <f aca="false">IF(S$8=1,IF(Reales!$C$61="PYG",IF(S$10&gt;0,N(Reales!S61)/S$10,0),N(Reales!S61)),S$200*IF(AND(AND(14&gt;Corte,14&lt;=Corte+n_Ventana),ISNUMBER(Detalle_24m!S$65)),Detalle_24m!S$65,INDEX(Precio_V,24)*INDEX(IdxPrecio_V,1,MIN(10,S$173)))*(1+V_dPrecio))</f>
        <v>0</v>
      </c>
      <c r="T225" s="48" t="n">
        <f aca="false">IF(T$8=1,IF(Reales!$C$61="PYG",IF(T$10&gt;0,N(Reales!T61)/T$10,0),N(Reales!T61)),T$200*IF(AND(AND(15&gt;Corte,15&lt;=Corte+n_Ventana),ISNUMBER(Detalle_24m!T$65)),Detalle_24m!T$65,INDEX(Precio_V,24)*INDEX(IdxPrecio_V,1,MIN(10,T$173)))*(1+V_dPrecio))</f>
        <v>0</v>
      </c>
      <c r="U225" s="48" t="n">
        <f aca="false">IF(U$8=1,IF(Reales!$C$61="PYG",IF(U$10&gt;0,N(Reales!U61)/U$10,0),N(Reales!U61)),U$200*IF(AND(AND(16&gt;Corte,16&lt;=Corte+n_Ventana),ISNUMBER(Detalle_24m!U$65)),Detalle_24m!U$65,INDEX(Precio_V,24)*INDEX(IdxPrecio_V,1,MIN(10,U$173)))*(1+V_dPrecio))</f>
        <v>0</v>
      </c>
      <c r="V225" s="48" t="n">
        <f aca="false">IF(V$8=1,IF(Reales!$C$61="PYG",IF(V$10&gt;0,N(Reales!V61)/V$10,0),N(Reales!V61)),V$200*IF(AND(AND(17&gt;Corte,17&lt;=Corte+n_Ventana),ISNUMBER(Detalle_24m!V$65)),Detalle_24m!V$65,INDEX(Precio_V,24)*INDEX(IdxPrecio_V,1,MIN(10,V$173)))*(1+V_dPrecio))</f>
        <v>0</v>
      </c>
      <c r="W225" s="48" t="n">
        <f aca="false">IF(W$8=1,IF(Reales!$C$61="PYG",IF(W$10&gt;0,N(Reales!W61)/W$10,0),N(Reales!W61)),W$200*IF(AND(AND(18&gt;Corte,18&lt;=Corte+n_Ventana),ISNUMBER(Detalle_24m!W$65)),Detalle_24m!W$65,INDEX(Precio_V,24)*INDEX(IdxPrecio_V,1,MIN(10,W$173)))*(1+V_dPrecio))</f>
        <v>0</v>
      </c>
      <c r="X225" s="48" t="n">
        <f aca="false">IF(X$8=1,IF(Reales!$C$61="PYG",IF(X$10&gt;0,N(Reales!X61)/X$10,0),N(Reales!X61)),X$200*IF(AND(AND(19&gt;Corte,19&lt;=Corte+n_Ventana),ISNUMBER(Detalle_24m!X$65)),Detalle_24m!X$65,INDEX(Precio_V,24)*INDEX(IdxPrecio_V,1,MIN(10,X$173)))*(1+V_dPrecio))</f>
        <v>0</v>
      </c>
      <c r="Y225" s="48" t="n">
        <f aca="false">IF(Y$8=1,IF(Reales!$C$61="PYG",IF(Y$10&gt;0,N(Reales!Y61)/Y$10,0),N(Reales!Y61)),Y$200*IF(AND(AND(20&gt;Corte,20&lt;=Corte+n_Ventana),ISNUMBER(Detalle_24m!Y$65)),Detalle_24m!Y$65,INDEX(Precio_V,24)*INDEX(IdxPrecio_V,1,MIN(10,Y$173)))*(1+V_dPrecio))</f>
        <v>0</v>
      </c>
      <c r="Z225" s="48" t="n">
        <f aca="false">IF(Z$8=1,IF(Reales!$C$61="PYG",IF(Z$10&gt;0,N(Reales!Z61)/Z$10,0),N(Reales!Z61)),Z$200*IF(AND(AND(21&gt;Corte,21&lt;=Corte+n_Ventana),ISNUMBER(Detalle_24m!Z$65)),Detalle_24m!Z$65,INDEX(Precio_V,24)*INDEX(IdxPrecio_V,1,MIN(10,Z$173)))*(1+V_dPrecio))</f>
        <v>0</v>
      </c>
      <c r="AA225" s="48" t="n">
        <f aca="false">IF(AA$8=1,IF(Reales!$C$61="PYG",IF(AA$10&gt;0,N(Reales!AA61)/AA$10,0),N(Reales!AA61)),AA$200*IF(AND(AND(22&gt;Corte,22&lt;=Corte+n_Ventana),ISNUMBER(Detalle_24m!AA$65)),Detalle_24m!AA$65,INDEX(Precio_V,24)*INDEX(IdxPrecio_V,1,MIN(10,AA$173)))*(1+V_dPrecio))</f>
        <v>0</v>
      </c>
      <c r="AB225" s="48" t="n">
        <f aca="false">IF(AB$8=1,IF(Reales!$C$61="PYG",IF(AB$10&gt;0,N(Reales!AB61)/AB$10,0),N(Reales!AB61)),AB$200*IF(AND(AND(23&gt;Corte,23&lt;=Corte+n_Ventana),ISNUMBER(Detalle_24m!AB$65)),Detalle_24m!AB$65,INDEX(Precio_V,24)*INDEX(IdxPrecio_V,1,MIN(10,AB$173)))*(1+V_dPrecio))</f>
        <v>0</v>
      </c>
      <c r="AC225" s="48" t="n">
        <f aca="false">IF(AC$8=1,IF(Reales!$C$61="PYG",IF(AC$10&gt;0,N(Reales!AC61)/AC$10,0),N(Reales!AC61)),AC$200*IF(AND(AND(24&gt;Corte,24&lt;=Corte+n_Ventana),ISNUMBER(Detalle_24m!AC$65)),Detalle_24m!AC$65,INDEX(Precio_V,24)*INDEX(IdxPrecio_V,1,MIN(10,AC$173)))*(1+V_dPrecio))</f>
        <v>0</v>
      </c>
      <c r="AD225" s="48" t="n">
        <f aca="false">IF(AD$8=1,IF(Reales!$C$61="PYG",IF(AD$10&gt;0,N(Reales!AD61)/AD$10,0),N(Reales!AD61)),AD$200*IF(AND(AND(25&gt;Corte,25&lt;=Corte+n_Ventana),ISNUMBER(Detalle_24m!AD$65)),Detalle_24m!AD$65,INDEX(Precio_V,24)*INDEX(IdxPrecio_V,1,MIN(10,AD$173)))*(1+V_dPrecio))</f>
        <v>0</v>
      </c>
      <c r="AE225" s="48" t="n">
        <f aca="false">IF(AE$8=1,IF(Reales!$C$61="PYG",IF(AE$10&gt;0,N(Reales!AE61)/AE$10,0),N(Reales!AE61)),AE$200*IF(AND(AND(26&gt;Corte,26&lt;=Corte+n_Ventana),ISNUMBER(Detalle_24m!AE$65)),Detalle_24m!AE$65,INDEX(Precio_V,24)*INDEX(IdxPrecio_V,1,MIN(10,AE$173)))*(1+V_dPrecio))</f>
        <v>0</v>
      </c>
      <c r="AF225" s="48" t="n">
        <f aca="false">IF(AF$8=1,IF(Reales!$C$61="PYG",IF(AF$10&gt;0,N(Reales!AF61)/AF$10,0),N(Reales!AF61)),AF$200*IF(AND(AND(27&gt;Corte,27&lt;=Corte+n_Ventana),ISNUMBER(Detalle_24m!AF$65)),Detalle_24m!AF$65,INDEX(Precio_V,24)*INDEX(IdxPrecio_V,1,MIN(10,AF$173)))*(1+V_dPrecio))</f>
        <v>0</v>
      </c>
      <c r="AG225" s="48" t="n">
        <f aca="false">IF(AG$8=1,IF(Reales!$C$61="PYG",IF(AG$10&gt;0,N(Reales!AG61)/AG$10,0),N(Reales!AG61)),AG$200*IF(AND(AND(28&gt;Corte,28&lt;=Corte+n_Ventana),ISNUMBER(Detalle_24m!AG$65)),Detalle_24m!AG$65,INDEX(Precio_V,24)*INDEX(IdxPrecio_V,1,MIN(10,AG$173)))*(1+V_dPrecio))</f>
        <v>0</v>
      </c>
      <c r="AH225" s="48" t="n">
        <f aca="false">IF(AH$8=1,IF(Reales!$C$61="PYG",IF(AH$10&gt;0,N(Reales!AH61)/AH$10,0),N(Reales!AH61)),AH$200*IF(AND(AND(29&gt;Corte,29&lt;=Corte+n_Ventana),ISNUMBER(Detalle_24m!AH$65)),Detalle_24m!AH$65,INDEX(Precio_V,24)*INDEX(IdxPrecio_V,1,MIN(10,AH$173)))*(1+V_dPrecio))</f>
        <v>0</v>
      </c>
      <c r="AI225" s="48" t="n">
        <f aca="false">IF(AI$8=1,IF(Reales!$C$61="PYG",IF(AI$10&gt;0,N(Reales!AI61)/AI$10,0),N(Reales!AI61)),AI$200*IF(AND(AND(30&gt;Corte,30&lt;=Corte+n_Ventana),ISNUMBER(Detalle_24m!AI$65)),Detalle_24m!AI$65,INDEX(Precio_V,24)*INDEX(IdxPrecio_V,1,MIN(10,AI$173)))*(1+V_dPrecio))</f>
        <v>0</v>
      </c>
      <c r="AJ225" s="48" t="n">
        <f aca="false">IF(AJ$8=1,IF(Reales!$C$61="PYG",IF(AJ$10&gt;0,N(Reales!AJ61)/AJ$10,0),N(Reales!AJ61)),AJ$200*IF(AND(AND(31&gt;Corte,31&lt;=Corte+n_Ventana),ISNUMBER(Detalle_24m!AJ$65)),Detalle_24m!AJ$65,INDEX(Precio_V,24)*INDEX(IdxPrecio_V,1,MIN(10,AJ$173)))*(1+V_dPrecio))</f>
        <v>0</v>
      </c>
      <c r="AK225" s="48" t="n">
        <f aca="false">IF(AK$8=1,IF(Reales!$C$61="PYG",IF(AK$10&gt;0,N(Reales!AK61)/AK$10,0),N(Reales!AK61)),AK$200*IF(AND(AND(32&gt;Corte,32&lt;=Corte+n_Ventana),ISNUMBER(Detalle_24m!AK$65)),Detalle_24m!AK$65,INDEX(Precio_V,24)*INDEX(IdxPrecio_V,1,MIN(10,AK$173)))*(1+V_dPrecio))</f>
        <v>0</v>
      </c>
      <c r="AL225" s="48" t="n">
        <f aca="false">IF(AL$8=1,IF(Reales!$C$61="PYG",IF(AL$10&gt;0,N(Reales!AL61)/AL$10,0),N(Reales!AL61)),AL$200*IF(AND(AND(33&gt;Corte,33&lt;=Corte+n_Ventana),ISNUMBER(Detalle_24m!AL$65)),Detalle_24m!AL$65,INDEX(Precio_V,24)*INDEX(IdxPrecio_V,1,MIN(10,AL$173)))*(1+V_dPrecio))</f>
        <v>0</v>
      </c>
      <c r="AM225" s="48" t="n">
        <f aca="false">IF(AM$8=1,IF(Reales!$C$61="PYG",IF(AM$10&gt;0,N(Reales!AM61)/AM$10,0),N(Reales!AM61)),AM$200*IF(AND(AND(34&gt;Corte,34&lt;=Corte+n_Ventana),ISNUMBER(Detalle_24m!AM$65)),Detalle_24m!AM$65,INDEX(Precio_V,24)*INDEX(IdxPrecio_V,1,MIN(10,AM$173)))*(1+V_dPrecio))</f>
        <v>0</v>
      </c>
      <c r="AN225" s="48" t="n">
        <f aca="false">IF(AN$8=1,IF(Reales!$C$61="PYG",IF(AN$10&gt;0,N(Reales!AN61)/AN$10,0),N(Reales!AN61)),AN$200*IF(AND(AND(35&gt;Corte,35&lt;=Corte+n_Ventana),ISNUMBER(Detalle_24m!AN$65)),Detalle_24m!AN$65,INDEX(Precio_V,24)*INDEX(IdxPrecio_V,1,MIN(10,AN$173)))*(1+V_dPrecio))</f>
        <v>0</v>
      </c>
      <c r="AO225" s="48" t="n">
        <f aca="false">IF(AO$8=1,IF(Reales!$C$61="PYG",IF(AO$10&gt;0,N(Reales!AO61)/AO$10,0),N(Reales!AO61)),AO$200*IF(AND(AND(36&gt;Corte,36&lt;=Corte+n_Ventana),ISNUMBER(Detalle_24m!AO$65)),Detalle_24m!AO$65,INDEX(Precio_V,24)*INDEX(IdxPrecio_V,1,MIN(10,AO$173)))*(1+V_dPrecio))</f>
        <v>0</v>
      </c>
      <c r="AP225" s="48" t="n">
        <f aca="false">IF(AP$8=1,IF(Reales!$C$61="PYG",IF(AP$10&gt;0,N(Reales!AP61)/AP$10,0),N(Reales!AP61)),AP$200*IF(AND(AND(37&gt;Corte,37&lt;=Corte+n_Ventana),ISNUMBER(Detalle_24m!AP$65)),Detalle_24m!AP$65,INDEX(Precio_V,24)*INDEX(IdxPrecio_V,1,MIN(10,AP$173)))*(1+V_dPrecio))</f>
        <v>0</v>
      </c>
      <c r="AQ225" s="48" t="n">
        <f aca="false">IF(AQ$8=1,IF(Reales!$C$61="PYG",IF(AQ$10&gt;0,N(Reales!AQ61)/AQ$10,0),N(Reales!AQ61)),AQ$200*IF(AND(AND(38&gt;Corte,38&lt;=Corte+n_Ventana),ISNUMBER(Detalle_24m!AQ$65)),Detalle_24m!AQ$65,INDEX(Precio_V,24)*INDEX(IdxPrecio_V,1,MIN(10,AQ$173)))*(1+V_dPrecio))</f>
        <v>0</v>
      </c>
      <c r="AR225" s="48" t="n">
        <f aca="false">IF(AR$8=1,IF(Reales!$C$61="PYG",IF(AR$10&gt;0,N(Reales!AR61)/AR$10,0),N(Reales!AR61)),AR$200*IF(AND(AND(39&gt;Corte,39&lt;=Corte+n_Ventana),ISNUMBER(Detalle_24m!AR$65)),Detalle_24m!AR$65,INDEX(Precio_V,24)*INDEX(IdxPrecio_V,1,MIN(10,AR$173)))*(1+V_dPrecio))</f>
        <v>0</v>
      </c>
      <c r="AS225" s="48" t="n">
        <f aca="false">IF(AS$8=1,IF(Reales!$C$61="PYG",IF(AS$10&gt;0,N(Reales!AS61)/AS$10,0),N(Reales!AS61)),AS$200*IF(AND(AND(40&gt;Corte,40&lt;=Corte+n_Ventana),ISNUMBER(Detalle_24m!AS$65)),Detalle_24m!AS$65,INDEX(Precio_V,24)*INDEX(IdxPrecio_V,1,MIN(10,AS$173)))*(1+V_dPrecio))</f>
        <v>0</v>
      </c>
      <c r="AT225" s="48" t="n">
        <f aca="false">IF(AT$8=1,IF(Reales!$C$61="PYG",IF(AT$10&gt;0,N(Reales!AT61)/AT$10,0),N(Reales!AT61)),AT$200*IF(AND(AND(41&gt;Corte,41&lt;=Corte+n_Ventana),ISNUMBER(Detalle_24m!AT$65)),Detalle_24m!AT$65,INDEX(Precio_V,24)*INDEX(IdxPrecio_V,1,MIN(10,AT$173)))*(1+V_dPrecio))</f>
        <v>0</v>
      </c>
      <c r="AU225" s="48" t="n">
        <f aca="false">IF(AU$8=1,IF(Reales!$C$61="PYG",IF(AU$10&gt;0,N(Reales!AU61)/AU$10,0),N(Reales!AU61)),AU$200*IF(AND(AND(42&gt;Corte,42&lt;=Corte+n_Ventana),ISNUMBER(Detalle_24m!AU$65)),Detalle_24m!AU$65,INDEX(Precio_V,24)*INDEX(IdxPrecio_V,1,MIN(10,AU$173)))*(1+V_dPrecio))</f>
        <v>0</v>
      </c>
      <c r="AV225" s="48" t="n">
        <f aca="false">IF(AV$8=1,IF(Reales!$C$61="PYG",IF(AV$10&gt;0,N(Reales!AV61)/AV$10,0),N(Reales!AV61)),AV$200*IF(AND(AND(43&gt;Corte,43&lt;=Corte+n_Ventana),ISNUMBER(Detalle_24m!AV$65)),Detalle_24m!AV$65,INDEX(Precio_V,24)*INDEX(IdxPrecio_V,1,MIN(10,AV$173)))*(1+V_dPrecio))</f>
        <v>0</v>
      </c>
      <c r="AW225" s="48" t="n">
        <f aca="false">IF(AW$8=1,IF(Reales!$C$61="PYG",IF(AW$10&gt;0,N(Reales!AW61)/AW$10,0),N(Reales!AW61)),AW$200*IF(AND(AND(44&gt;Corte,44&lt;=Corte+n_Ventana),ISNUMBER(Detalle_24m!AW$65)),Detalle_24m!AW$65,INDEX(Precio_V,24)*INDEX(IdxPrecio_V,1,MIN(10,AW$173)))*(1+V_dPrecio))</f>
        <v>0</v>
      </c>
      <c r="AX225" s="48" t="n">
        <f aca="false">IF(AX$8=1,IF(Reales!$C$61="PYG",IF(AX$10&gt;0,N(Reales!AX61)/AX$10,0),N(Reales!AX61)),AX$200*IF(AND(AND(45&gt;Corte,45&lt;=Corte+n_Ventana),ISNUMBER(Detalle_24m!AX$65)),Detalle_24m!AX$65,INDEX(Precio_V,24)*INDEX(IdxPrecio_V,1,MIN(10,AX$173)))*(1+V_dPrecio))</f>
        <v>0</v>
      </c>
      <c r="AY225" s="48" t="n">
        <f aca="false">IF(AY$8=1,IF(Reales!$C$61="PYG",IF(AY$10&gt;0,N(Reales!AY61)/AY$10,0),N(Reales!AY61)),AY$200*IF(AND(AND(46&gt;Corte,46&lt;=Corte+n_Ventana),ISNUMBER(Detalle_24m!AY$65)),Detalle_24m!AY$65,INDEX(Precio_V,24)*INDEX(IdxPrecio_V,1,MIN(10,AY$173)))*(1+V_dPrecio))</f>
        <v>0</v>
      </c>
      <c r="AZ225" s="48" t="n">
        <f aca="false">IF(AZ$8=1,IF(Reales!$C$61="PYG",IF(AZ$10&gt;0,N(Reales!AZ61)/AZ$10,0),N(Reales!AZ61)),AZ$200*IF(AND(AND(47&gt;Corte,47&lt;=Corte+n_Ventana),ISNUMBER(Detalle_24m!AZ$65)),Detalle_24m!AZ$65,INDEX(Precio_V,24)*INDEX(IdxPrecio_V,1,MIN(10,AZ$173)))*(1+V_dPrecio))</f>
        <v>0</v>
      </c>
      <c r="BA225" s="48" t="n">
        <f aca="false">IF(BA$8=1,IF(Reales!$C$61="PYG",IF(BA$10&gt;0,N(Reales!BA61)/BA$10,0),N(Reales!BA61)),BA$200*IF(AND(AND(48&gt;Corte,48&lt;=Corte+n_Ventana),ISNUMBER(Detalle_24m!BA$65)),Detalle_24m!BA$65,INDEX(Precio_V,24)*INDEX(IdxPrecio_V,1,MIN(10,BA$173)))*(1+V_dPrecio))</f>
        <v>0</v>
      </c>
      <c r="BB225" s="48" t="n">
        <f aca="false">IF(BB$8=1,IF(Reales!$C$61="PYG",IF(BB$10&gt;0,N(Reales!BB61)/BB$10,0),N(Reales!BB61)),BB$200*IF(AND(AND(49&gt;Corte,49&lt;=Corte+n_Ventana),ISNUMBER(Detalle_24m!BB$65)),Detalle_24m!BB$65,INDEX(Precio_V,24)*INDEX(IdxPrecio_V,1,MIN(10,BB$173)))*(1+V_dPrecio))</f>
        <v>0</v>
      </c>
      <c r="BC225" s="48" t="n">
        <f aca="false">IF(BC$8=1,IF(Reales!$C$61="PYG",IF(BC$10&gt;0,N(Reales!BC61)/BC$10,0),N(Reales!BC61)),BC$200*IF(AND(AND(50&gt;Corte,50&lt;=Corte+n_Ventana),ISNUMBER(Detalle_24m!BC$65)),Detalle_24m!BC$65,INDEX(Precio_V,24)*INDEX(IdxPrecio_V,1,MIN(10,BC$173)))*(1+V_dPrecio))</f>
        <v>0</v>
      </c>
      <c r="BD225" s="48" t="n">
        <f aca="false">IF(BD$8=1,IF(Reales!$C$61="PYG",IF(BD$10&gt;0,N(Reales!BD61)/BD$10,0),N(Reales!BD61)),BD$200*IF(AND(AND(51&gt;Corte,51&lt;=Corte+n_Ventana),ISNUMBER(Detalle_24m!BD$65)),Detalle_24m!BD$65,INDEX(Precio_V,24)*INDEX(IdxPrecio_V,1,MIN(10,BD$173)))*(1+V_dPrecio))</f>
        <v>0</v>
      </c>
      <c r="BE225" s="48" t="n">
        <f aca="false">IF(BE$8=1,IF(Reales!$C$61="PYG",IF(BE$10&gt;0,N(Reales!BE61)/BE$10,0),N(Reales!BE61)),BE$200*IF(AND(AND(52&gt;Corte,52&lt;=Corte+n_Ventana),ISNUMBER(Detalle_24m!BE$65)),Detalle_24m!BE$65,INDEX(Precio_V,24)*INDEX(IdxPrecio_V,1,MIN(10,BE$173)))*(1+V_dPrecio))</f>
        <v>0</v>
      </c>
      <c r="BF225" s="48" t="n">
        <f aca="false">IF(BF$8=1,IF(Reales!$C$61="PYG",IF(BF$10&gt;0,N(Reales!BF61)/BF$10,0),N(Reales!BF61)),BF$200*IF(AND(AND(53&gt;Corte,53&lt;=Corte+n_Ventana),ISNUMBER(Detalle_24m!BF$65)),Detalle_24m!BF$65,INDEX(Precio_V,24)*INDEX(IdxPrecio_V,1,MIN(10,BF$173)))*(1+V_dPrecio))</f>
        <v>0</v>
      </c>
      <c r="BG225" s="48" t="n">
        <f aca="false">IF(BG$8=1,IF(Reales!$C$61="PYG",IF(BG$10&gt;0,N(Reales!BG61)/BG$10,0),N(Reales!BG61)),BG$200*IF(AND(AND(54&gt;Corte,54&lt;=Corte+n_Ventana),ISNUMBER(Detalle_24m!BG$65)),Detalle_24m!BG$65,INDEX(Precio_V,24)*INDEX(IdxPrecio_V,1,MIN(10,BG$173)))*(1+V_dPrecio))</f>
        <v>0</v>
      </c>
      <c r="BH225" s="48" t="n">
        <f aca="false">IF(BH$8=1,IF(Reales!$C$61="PYG",IF(BH$10&gt;0,N(Reales!BH61)/BH$10,0),N(Reales!BH61)),BH$200*IF(AND(AND(55&gt;Corte,55&lt;=Corte+n_Ventana),ISNUMBER(Detalle_24m!BH$65)),Detalle_24m!BH$65,INDEX(Precio_V,24)*INDEX(IdxPrecio_V,1,MIN(10,BH$173)))*(1+V_dPrecio))</f>
        <v>0</v>
      </c>
      <c r="BI225" s="48" t="n">
        <f aca="false">IF(BI$8=1,IF(Reales!$C$61="PYG",IF(BI$10&gt;0,N(Reales!BI61)/BI$10,0),N(Reales!BI61)),BI$200*IF(AND(AND(56&gt;Corte,56&lt;=Corte+n_Ventana),ISNUMBER(Detalle_24m!BI$65)),Detalle_24m!BI$65,INDEX(Precio_V,24)*INDEX(IdxPrecio_V,1,MIN(10,BI$173)))*(1+V_dPrecio))</f>
        <v>0</v>
      </c>
      <c r="BJ225" s="48" t="n">
        <f aca="false">IF(BJ$8=1,IF(Reales!$C$61="PYG",IF(BJ$10&gt;0,N(Reales!BJ61)/BJ$10,0),N(Reales!BJ61)),BJ$200*IF(AND(AND(57&gt;Corte,57&lt;=Corte+n_Ventana),ISNUMBER(Detalle_24m!BJ$65)),Detalle_24m!BJ$65,INDEX(Precio_V,24)*INDEX(IdxPrecio_V,1,MIN(10,BJ$173)))*(1+V_dPrecio))</f>
        <v>0</v>
      </c>
      <c r="BK225" s="48" t="n">
        <f aca="false">IF(BK$8=1,IF(Reales!$C$61="PYG",IF(BK$10&gt;0,N(Reales!BK61)/BK$10,0),N(Reales!BK61)),BK$200*IF(AND(AND(58&gt;Corte,58&lt;=Corte+n_Ventana),ISNUMBER(Detalle_24m!BK$65)),Detalle_24m!BK$65,INDEX(Precio_V,24)*INDEX(IdxPrecio_V,1,MIN(10,BK$173)))*(1+V_dPrecio))</f>
        <v>0</v>
      </c>
      <c r="BL225" s="48" t="n">
        <f aca="false">IF(BL$8=1,IF(Reales!$C$61="PYG",IF(BL$10&gt;0,N(Reales!BL61)/BL$10,0),N(Reales!BL61)),BL$200*IF(AND(AND(59&gt;Corte,59&lt;=Corte+n_Ventana),ISNUMBER(Detalle_24m!BL$65)),Detalle_24m!BL$65,INDEX(Precio_V,24)*INDEX(IdxPrecio_V,1,MIN(10,BL$173)))*(1+V_dPrecio))</f>
        <v>0</v>
      </c>
      <c r="BM225" s="48" t="n">
        <f aca="false">IF(BM$8=1,IF(Reales!$C$61="PYG",IF(BM$10&gt;0,N(Reales!BM61)/BM$10,0),N(Reales!BM61)),BM$200*IF(AND(AND(60&gt;Corte,60&lt;=Corte+n_Ventana),ISNUMBER(Detalle_24m!BM$65)),Detalle_24m!BM$65,INDEX(Precio_V,24)*INDEX(IdxPrecio_V,1,MIN(10,BM$173)))*(1+V_dPrecio))</f>
        <v>0</v>
      </c>
      <c r="BN225" s="48" t="n">
        <f aca="false">IF(BN$8=1,IF(Reales!$C$61="PYG",IF(BN$10&gt;0,N(Reales!BN61)/BN$10,0),N(Reales!BN61)),BN$200*IF(AND(AND(61&gt;Corte,61&lt;=Corte+n_Ventana),ISNUMBER(Detalle_24m!BN$65)),Detalle_24m!BN$65,INDEX(Precio_V,24)*INDEX(IdxPrecio_V,1,MIN(10,BN$173)))*(1+V_dPrecio))</f>
        <v>0</v>
      </c>
      <c r="BO225" s="48" t="n">
        <f aca="false">IF(BO$8=1,IF(Reales!$C$61="PYG",IF(BO$10&gt;0,N(Reales!BO61)/BO$10,0),N(Reales!BO61)),BO$200*IF(AND(AND(62&gt;Corte,62&lt;=Corte+n_Ventana),ISNUMBER(Detalle_24m!BO$65)),Detalle_24m!BO$65,INDEX(Precio_V,24)*INDEX(IdxPrecio_V,1,MIN(10,BO$173)))*(1+V_dPrecio))</f>
        <v>0</v>
      </c>
      <c r="BP225" s="48" t="n">
        <f aca="false">IF(BP$8=1,IF(Reales!$C$61="PYG",IF(BP$10&gt;0,N(Reales!BP61)/BP$10,0),N(Reales!BP61)),BP$200*IF(AND(AND(63&gt;Corte,63&lt;=Corte+n_Ventana),ISNUMBER(Detalle_24m!BP$65)),Detalle_24m!BP$65,INDEX(Precio_V,24)*INDEX(IdxPrecio_V,1,MIN(10,BP$173)))*(1+V_dPrecio))</f>
        <v>0</v>
      </c>
      <c r="BQ225" s="48" t="n">
        <f aca="false">IF(BQ$8=1,IF(Reales!$C$61="PYG",IF(BQ$10&gt;0,N(Reales!BQ61)/BQ$10,0),N(Reales!BQ61)),BQ$200*IF(AND(AND(64&gt;Corte,64&lt;=Corte+n_Ventana),ISNUMBER(Detalle_24m!BQ$65)),Detalle_24m!BQ$65,INDEX(Precio_V,24)*INDEX(IdxPrecio_V,1,MIN(10,BQ$173)))*(1+V_dPrecio))</f>
        <v>0</v>
      </c>
      <c r="BR225" s="48" t="n">
        <f aca="false">IF(BR$8=1,IF(Reales!$C$61="PYG",IF(BR$10&gt;0,N(Reales!BR61)/BR$10,0),N(Reales!BR61)),BR$200*IF(AND(AND(65&gt;Corte,65&lt;=Corte+n_Ventana),ISNUMBER(Detalle_24m!BR$65)),Detalle_24m!BR$65,INDEX(Precio_V,24)*INDEX(IdxPrecio_V,1,MIN(10,BR$173)))*(1+V_dPrecio))</f>
        <v>0</v>
      </c>
      <c r="BS225" s="48" t="n">
        <f aca="false">IF(BS$8=1,IF(Reales!$C$61="PYG",IF(BS$10&gt;0,N(Reales!BS61)/BS$10,0),N(Reales!BS61)),BS$200*IF(AND(AND(66&gt;Corte,66&lt;=Corte+n_Ventana),ISNUMBER(Detalle_24m!BS$65)),Detalle_24m!BS$65,INDEX(Precio_V,24)*INDEX(IdxPrecio_V,1,MIN(10,BS$173)))*(1+V_dPrecio))</f>
        <v>0</v>
      </c>
      <c r="BT225" s="48" t="n">
        <f aca="false">IF(BT$8=1,IF(Reales!$C$61="PYG",IF(BT$10&gt;0,N(Reales!BT61)/BT$10,0),N(Reales!BT61)),BT$200*IF(AND(AND(67&gt;Corte,67&lt;=Corte+n_Ventana),ISNUMBER(Detalle_24m!BT$65)),Detalle_24m!BT$65,INDEX(Precio_V,24)*INDEX(IdxPrecio_V,1,MIN(10,BT$173)))*(1+V_dPrecio))</f>
        <v>0</v>
      </c>
      <c r="BU225" s="48" t="n">
        <f aca="false">IF(BU$8=1,IF(Reales!$C$61="PYG",IF(BU$10&gt;0,N(Reales!BU61)/BU$10,0),N(Reales!BU61)),BU$200*IF(AND(AND(68&gt;Corte,68&lt;=Corte+n_Ventana),ISNUMBER(Detalle_24m!BU$65)),Detalle_24m!BU$65,INDEX(Precio_V,24)*INDEX(IdxPrecio_V,1,MIN(10,BU$173)))*(1+V_dPrecio))</f>
        <v>0</v>
      </c>
      <c r="BV225" s="48" t="n">
        <f aca="false">IF(BV$8=1,IF(Reales!$C$61="PYG",IF(BV$10&gt;0,N(Reales!BV61)/BV$10,0),N(Reales!BV61)),BV$200*IF(AND(AND(69&gt;Corte,69&lt;=Corte+n_Ventana),ISNUMBER(Detalle_24m!BV$65)),Detalle_24m!BV$65,INDEX(Precio_V,24)*INDEX(IdxPrecio_V,1,MIN(10,BV$173)))*(1+V_dPrecio))</f>
        <v>0</v>
      </c>
      <c r="BW225" s="48" t="n">
        <f aca="false">IF(BW$8=1,IF(Reales!$C$61="PYG",IF(BW$10&gt;0,N(Reales!BW61)/BW$10,0),N(Reales!BW61)),BW$200*IF(AND(AND(70&gt;Corte,70&lt;=Corte+n_Ventana),ISNUMBER(Detalle_24m!BW$65)),Detalle_24m!BW$65,INDEX(Precio_V,24)*INDEX(IdxPrecio_V,1,MIN(10,BW$173)))*(1+V_dPrecio))</f>
        <v>0</v>
      </c>
      <c r="BX225" s="48" t="n">
        <f aca="false">IF(BX$8=1,IF(Reales!$C$61="PYG",IF(BX$10&gt;0,N(Reales!BX61)/BX$10,0),N(Reales!BX61)),BX$200*IF(AND(AND(71&gt;Corte,71&lt;=Corte+n_Ventana),ISNUMBER(Detalle_24m!BX$65)),Detalle_24m!BX$65,INDEX(Precio_V,24)*INDEX(IdxPrecio_V,1,MIN(10,BX$173)))*(1+V_dPrecio))</f>
        <v>0</v>
      </c>
      <c r="BY225" s="48" t="n">
        <f aca="false">IF(BY$8=1,IF(Reales!$C$61="PYG",IF(BY$10&gt;0,N(Reales!BY61)/BY$10,0),N(Reales!BY61)),BY$200*IF(AND(AND(72&gt;Corte,72&lt;=Corte+n_Ventana),ISNUMBER(Detalle_24m!BY$65)),Detalle_24m!BY$65,INDEX(Precio_V,24)*INDEX(IdxPrecio_V,1,MIN(10,BY$173)))*(1+V_dPrecio))</f>
        <v>0</v>
      </c>
      <c r="BZ225" s="48" t="n">
        <f aca="false">IF(BZ$8=1,IF(Reales!$C$61="PYG",IF(BZ$10&gt;0,N(Reales!BZ61)/BZ$10,0),N(Reales!BZ61)),BZ$200*IF(AND(AND(73&gt;Corte,73&lt;=Corte+n_Ventana),ISNUMBER(Detalle_24m!BZ$65)),Detalle_24m!BZ$65,INDEX(Precio_V,24)*INDEX(IdxPrecio_V,1,MIN(10,BZ$173)))*(1+V_dPrecio))</f>
        <v>0</v>
      </c>
      <c r="CA225" s="48" t="n">
        <f aca="false">IF(CA$8=1,IF(Reales!$C$61="PYG",IF(CA$10&gt;0,N(Reales!CA61)/CA$10,0),N(Reales!CA61)),CA$200*IF(AND(AND(74&gt;Corte,74&lt;=Corte+n_Ventana),ISNUMBER(Detalle_24m!CA$65)),Detalle_24m!CA$65,INDEX(Precio_V,24)*INDEX(IdxPrecio_V,1,MIN(10,CA$173)))*(1+V_dPrecio))</f>
        <v>0</v>
      </c>
      <c r="CB225" s="48" t="n">
        <f aca="false">IF(CB$8=1,IF(Reales!$C$61="PYG",IF(CB$10&gt;0,N(Reales!CB61)/CB$10,0),N(Reales!CB61)),CB$200*IF(AND(AND(75&gt;Corte,75&lt;=Corte+n_Ventana),ISNUMBER(Detalle_24m!CB$65)),Detalle_24m!CB$65,INDEX(Precio_V,24)*INDEX(IdxPrecio_V,1,MIN(10,CB$173)))*(1+V_dPrecio))</f>
        <v>0</v>
      </c>
      <c r="CC225" s="48" t="n">
        <f aca="false">IF(CC$8=1,IF(Reales!$C$61="PYG",IF(CC$10&gt;0,N(Reales!CC61)/CC$10,0),N(Reales!CC61)),CC$200*IF(AND(AND(76&gt;Corte,76&lt;=Corte+n_Ventana),ISNUMBER(Detalle_24m!CC$65)),Detalle_24m!CC$65,INDEX(Precio_V,24)*INDEX(IdxPrecio_V,1,MIN(10,CC$173)))*(1+V_dPrecio))</f>
        <v>0</v>
      </c>
      <c r="CD225" s="48" t="n">
        <f aca="false">IF(CD$8=1,IF(Reales!$C$61="PYG",IF(CD$10&gt;0,N(Reales!CD61)/CD$10,0),N(Reales!CD61)),CD$200*IF(AND(AND(77&gt;Corte,77&lt;=Corte+n_Ventana),ISNUMBER(Detalle_24m!CD$65)),Detalle_24m!CD$65,INDEX(Precio_V,24)*INDEX(IdxPrecio_V,1,MIN(10,CD$173)))*(1+V_dPrecio))</f>
        <v>0</v>
      </c>
      <c r="CE225" s="48" t="n">
        <f aca="false">IF(CE$8=1,IF(Reales!$C$61="PYG",IF(CE$10&gt;0,N(Reales!CE61)/CE$10,0),N(Reales!CE61)),CE$200*IF(AND(AND(78&gt;Corte,78&lt;=Corte+n_Ventana),ISNUMBER(Detalle_24m!CE$65)),Detalle_24m!CE$65,INDEX(Precio_V,24)*INDEX(IdxPrecio_V,1,MIN(10,CE$173)))*(1+V_dPrecio))</f>
        <v>0</v>
      </c>
      <c r="CF225" s="48" t="n">
        <f aca="false">IF(CF$8=1,IF(Reales!$C$61="PYG",IF(CF$10&gt;0,N(Reales!CF61)/CF$10,0),N(Reales!CF61)),CF$200*IF(AND(AND(79&gt;Corte,79&lt;=Corte+n_Ventana),ISNUMBER(Detalle_24m!CF$65)),Detalle_24m!CF$65,INDEX(Precio_V,24)*INDEX(IdxPrecio_V,1,MIN(10,CF$173)))*(1+V_dPrecio))</f>
        <v>0</v>
      </c>
      <c r="CG225" s="48" t="n">
        <f aca="false">IF(CG$8=1,IF(Reales!$C$61="PYG",IF(CG$10&gt;0,N(Reales!CG61)/CG$10,0),N(Reales!CG61)),CG$200*IF(AND(AND(80&gt;Corte,80&lt;=Corte+n_Ventana),ISNUMBER(Detalle_24m!CG$65)),Detalle_24m!CG$65,INDEX(Precio_V,24)*INDEX(IdxPrecio_V,1,MIN(10,CG$173)))*(1+V_dPrecio))</f>
        <v>0</v>
      </c>
      <c r="CH225" s="48" t="n">
        <f aca="false">IF(CH$8=1,IF(Reales!$C$61="PYG",IF(CH$10&gt;0,N(Reales!CH61)/CH$10,0),N(Reales!CH61)),CH$200*IF(AND(AND(81&gt;Corte,81&lt;=Corte+n_Ventana),ISNUMBER(Detalle_24m!CH$65)),Detalle_24m!CH$65,INDEX(Precio_V,24)*INDEX(IdxPrecio_V,1,MIN(10,CH$173)))*(1+V_dPrecio))</f>
        <v>0</v>
      </c>
      <c r="CI225" s="48" t="n">
        <f aca="false">IF(CI$8=1,IF(Reales!$C$61="PYG",IF(CI$10&gt;0,N(Reales!CI61)/CI$10,0),N(Reales!CI61)),CI$200*IF(AND(AND(82&gt;Corte,82&lt;=Corte+n_Ventana),ISNUMBER(Detalle_24m!CI$65)),Detalle_24m!CI$65,INDEX(Precio_V,24)*INDEX(IdxPrecio_V,1,MIN(10,CI$173)))*(1+V_dPrecio))</f>
        <v>0</v>
      </c>
      <c r="CJ225" s="48" t="n">
        <f aca="false">IF(CJ$8=1,IF(Reales!$C$61="PYG",IF(CJ$10&gt;0,N(Reales!CJ61)/CJ$10,0),N(Reales!CJ61)),CJ$200*IF(AND(AND(83&gt;Corte,83&lt;=Corte+n_Ventana),ISNUMBER(Detalle_24m!CJ$65)),Detalle_24m!CJ$65,INDEX(Precio_V,24)*INDEX(IdxPrecio_V,1,MIN(10,CJ$173)))*(1+V_dPrecio))</f>
        <v>0</v>
      </c>
      <c r="CK225" s="48" t="n">
        <f aca="false">IF(CK$8=1,IF(Reales!$C$61="PYG",IF(CK$10&gt;0,N(Reales!CK61)/CK$10,0),N(Reales!CK61)),CK$200*IF(AND(AND(84&gt;Corte,84&lt;=Corte+n_Ventana),ISNUMBER(Detalle_24m!CK$65)),Detalle_24m!CK$65,INDEX(Precio_V,24)*INDEX(IdxPrecio_V,1,MIN(10,CK$173)))*(1+V_dPrecio))</f>
        <v>0</v>
      </c>
      <c r="CL225" s="48" t="n">
        <f aca="false">IF(CL$8=1,IF(Reales!$C$61="PYG",IF(CL$10&gt;0,N(Reales!CL61)/CL$10,0),N(Reales!CL61)),CL$200*IF(AND(AND(85&gt;Corte,85&lt;=Corte+n_Ventana),ISNUMBER(Detalle_24m!CL$65)),Detalle_24m!CL$65,INDEX(Precio_V,24)*INDEX(IdxPrecio_V,1,MIN(10,CL$173)))*(1+V_dPrecio))</f>
        <v>0</v>
      </c>
      <c r="CM225" s="48" t="n">
        <f aca="false">IF(CM$8=1,IF(Reales!$C$61="PYG",IF(CM$10&gt;0,N(Reales!CM61)/CM$10,0),N(Reales!CM61)),CM$200*IF(AND(AND(86&gt;Corte,86&lt;=Corte+n_Ventana),ISNUMBER(Detalle_24m!CM$65)),Detalle_24m!CM$65,INDEX(Precio_V,24)*INDEX(IdxPrecio_V,1,MIN(10,CM$173)))*(1+V_dPrecio))</f>
        <v>0</v>
      </c>
      <c r="CN225" s="48" t="n">
        <f aca="false">IF(CN$8=1,IF(Reales!$C$61="PYG",IF(CN$10&gt;0,N(Reales!CN61)/CN$10,0),N(Reales!CN61)),CN$200*IF(AND(AND(87&gt;Corte,87&lt;=Corte+n_Ventana),ISNUMBER(Detalle_24m!CN$65)),Detalle_24m!CN$65,INDEX(Precio_V,24)*INDEX(IdxPrecio_V,1,MIN(10,CN$173)))*(1+V_dPrecio))</f>
        <v>0</v>
      </c>
      <c r="CO225" s="48" t="n">
        <f aca="false">IF(CO$8=1,IF(Reales!$C$61="PYG",IF(CO$10&gt;0,N(Reales!CO61)/CO$10,0),N(Reales!CO61)),CO$200*IF(AND(AND(88&gt;Corte,88&lt;=Corte+n_Ventana),ISNUMBER(Detalle_24m!CO$65)),Detalle_24m!CO$65,INDEX(Precio_V,24)*INDEX(IdxPrecio_V,1,MIN(10,CO$173)))*(1+V_dPrecio))</f>
        <v>0</v>
      </c>
      <c r="CP225" s="48" t="n">
        <f aca="false">IF(CP$8=1,IF(Reales!$C$61="PYG",IF(CP$10&gt;0,N(Reales!CP61)/CP$10,0),N(Reales!CP61)),CP$200*IF(AND(AND(89&gt;Corte,89&lt;=Corte+n_Ventana),ISNUMBER(Detalle_24m!CP$65)),Detalle_24m!CP$65,INDEX(Precio_V,24)*INDEX(IdxPrecio_V,1,MIN(10,CP$173)))*(1+V_dPrecio))</f>
        <v>0</v>
      </c>
      <c r="CQ225" s="48" t="n">
        <f aca="false">IF(CQ$8=1,IF(Reales!$C$61="PYG",IF(CQ$10&gt;0,N(Reales!CQ61)/CQ$10,0),N(Reales!CQ61)),CQ$200*IF(AND(AND(90&gt;Corte,90&lt;=Corte+n_Ventana),ISNUMBER(Detalle_24m!CQ$65)),Detalle_24m!CQ$65,INDEX(Precio_V,24)*INDEX(IdxPrecio_V,1,MIN(10,CQ$173)))*(1+V_dPrecio))</f>
        <v>0</v>
      </c>
      <c r="CR225" s="48" t="n">
        <f aca="false">IF(CR$8=1,IF(Reales!$C$61="PYG",IF(CR$10&gt;0,N(Reales!CR61)/CR$10,0),N(Reales!CR61)),CR$200*IF(AND(AND(91&gt;Corte,91&lt;=Corte+n_Ventana),ISNUMBER(Detalle_24m!CR$65)),Detalle_24m!CR$65,INDEX(Precio_V,24)*INDEX(IdxPrecio_V,1,MIN(10,CR$173)))*(1+V_dPrecio))</f>
        <v>0</v>
      </c>
      <c r="CS225" s="48" t="n">
        <f aca="false">IF(CS$8=1,IF(Reales!$C$61="PYG",IF(CS$10&gt;0,N(Reales!CS61)/CS$10,0),N(Reales!CS61)),CS$200*IF(AND(AND(92&gt;Corte,92&lt;=Corte+n_Ventana),ISNUMBER(Detalle_24m!CS$65)),Detalle_24m!CS$65,INDEX(Precio_V,24)*INDEX(IdxPrecio_V,1,MIN(10,CS$173)))*(1+V_dPrecio))</f>
        <v>0</v>
      </c>
      <c r="CT225" s="48" t="n">
        <f aca="false">IF(CT$8=1,IF(Reales!$C$61="PYG",IF(CT$10&gt;0,N(Reales!CT61)/CT$10,0),N(Reales!CT61)),CT$200*IF(AND(AND(93&gt;Corte,93&lt;=Corte+n_Ventana),ISNUMBER(Detalle_24m!CT$65)),Detalle_24m!CT$65,INDEX(Precio_V,24)*INDEX(IdxPrecio_V,1,MIN(10,CT$173)))*(1+V_dPrecio))</f>
        <v>0</v>
      </c>
      <c r="CU225" s="48" t="n">
        <f aca="false">IF(CU$8=1,IF(Reales!$C$61="PYG",IF(CU$10&gt;0,N(Reales!CU61)/CU$10,0),N(Reales!CU61)),CU$200*IF(AND(AND(94&gt;Corte,94&lt;=Corte+n_Ventana),ISNUMBER(Detalle_24m!CU$65)),Detalle_24m!CU$65,INDEX(Precio_V,24)*INDEX(IdxPrecio_V,1,MIN(10,CU$173)))*(1+V_dPrecio))</f>
        <v>0</v>
      </c>
      <c r="CV225" s="48" t="n">
        <f aca="false">IF(CV$8=1,IF(Reales!$C$61="PYG",IF(CV$10&gt;0,N(Reales!CV61)/CV$10,0),N(Reales!CV61)),CV$200*IF(AND(AND(95&gt;Corte,95&lt;=Corte+n_Ventana),ISNUMBER(Detalle_24m!CV$65)),Detalle_24m!CV$65,INDEX(Precio_V,24)*INDEX(IdxPrecio_V,1,MIN(10,CV$173)))*(1+V_dPrecio))</f>
        <v>0</v>
      </c>
      <c r="CW225" s="48" t="n">
        <f aca="false">IF(CW$8=1,IF(Reales!$C$61="PYG",IF(CW$10&gt;0,N(Reales!CW61)/CW$10,0),N(Reales!CW61)),CW$200*IF(AND(AND(96&gt;Corte,96&lt;=Corte+n_Ventana),ISNUMBER(Detalle_24m!CW$65)),Detalle_24m!CW$65,INDEX(Precio_V,24)*INDEX(IdxPrecio_V,1,MIN(10,CW$173)))*(1+V_dPrecio))</f>
        <v>0</v>
      </c>
      <c r="CX225" s="48" t="n">
        <f aca="false">IF(CX$8=1,IF(Reales!$C$61="PYG",IF(CX$10&gt;0,N(Reales!CX61)/CX$10,0),N(Reales!CX61)),CX$200*IF(AND(AND(97&gt;Corte,97&lt;=Corte+n_Ventana),ISNUMBER(Detalle_24m!CX$65)),Detalle_24m!CX$65,INDEX(Precio_V,24)*INDEX(IdxPrecio_V,1,MIN(10,CX$173)))*(1+V_dPrecio))</f>
        <v>0</v>
      </c>
      <c r="CY225" s="48" t="n">
        <f aca="false">IF(CY$8=1,IF(Reales!$C$61="PYG",IF(CY$10&gt;0,N(Reales!CY61)/CY$10,0),N(Reales!CY61)),CY$200*IF(AND(AND(98&gt;Corte,98&lt;=Corte+n_Ventana),ISNUMBER(Detalle_24m!CY$65)),Detalle_24m!CY$65,INDEX(Precio_V,24)*INDEX(IdxPrecio_V,1,MIN(10,CY$173)))*(1+V_dPrecio))</f>
        <v>0</v>
      </c>
      <c r="CZ225" s="48" t="n">
        <f aca="false">IF(CZ$8=1,IF(Reales!$C$61="PYG",IF(CZ$10&gt;0,N(Reales!CZ61)/CZ$10,0),N(Reales!CZ61)),CZ$200*IF(AND(AND(99&gt;Corte,99&lt;=Corte+n_Ventana),ISNUMBER(Detalle_24m!CZ$65)),Detalle_24m!CZ$65,INDEX(Precio_V,24)*INDEX(IdxPrecio_V,1,MIN(10,CZ$173)))*(1+V_dPrecio))</f>
        <v>0</v>
      </c>
      <c r="DA225" s="48" t="n">
        <f aca="false">IF(DA$8=1,IF(Reales!$C$61="PYG",IF(DA$10&gt;0,N(Reales!DA61)/DA$10,0),N(Reales!DA61)),DA$200*IF(AND(AND(100&gt;Corte,100&lt;=Corte+n_Ventana),ISNUMBER(Detalle_24m!DA$65)),Detalle_24m!DA$65,INDEX(Precio_V,24)*INDEX(IdxPrecio_V,1,MIN(10,DA$173)))*(1+V_dPrecio))</f>
        <v>0</v>
      </c>
      <c r="DB225" s="48" t="n">
        <f aca="false">IF(DB$8=1,IF(Reales!$C$61="PYG",IF(DB$10&gt;0,N(Reales!DB61)/DB$10,0),N(Reales!DB61)),DB$200*IF(AND(AND(101&gt;Corte,101&lt;=Corte+n_Ventana),ISNUMBER(Detalle_24m!DB$65)),Detalle_24m!DB$65,INDEX(Precio_V,24)*INDEX(IdxPrecio_V,1,MIN(10,DB$173)))*(1+V_dPrecio))</f>
        <v>0</v>
      </c>
      <c r="DC225" s="48" t="n">
        <f aca="false">IF(DC$8=1,IF(Reales!$C$61="PYG",IF(DC$10&gt;0,N(Reales!DC61)/DC$10,0),N(Reales!DC61)),DC$200*IF(AND(AND(102&gt;Corte,102&lt;=Corte+n_Ventana),ISNUMBER(Detalle_24m!DC$65)),Detalle_24m!DC$65,INDEX(Precio_V,24)*INDEX(IdxPrecio_V,1,MIN(10,DC$173)))*(1+V_dPrecio))</f>
        <v>0</v>
      </c>
      <c r="DD225" s="48" t="n">
        <f aca="false">IF(DD$8=1,IF(Reales!$C$61="PYG",IF(DD$10&gt;0,N(Reales!DD61)/DD$10,0),N(Reales!DD61)),DD$200*IF(AND(AND(103&gt;Corte,103&lt;=Corte+n_Ventana),ISNUMBER(Detalle_24m!DD$65)),Detalle_24m!DD$65,INDEX(Precio_V,24)*INDEX(IdxPrecio_V,1,MIN(10,DD$173)))*(1+V_dPrecio))</f>
        <v>0</v>
      </c>
      <c r="DE225" s="48" t="n">
        <f aca="false">IF(DE$8=1,IF(Reales!$C$61="PYG",IF(DE$10&gt;0,N(Reales!DE61)/DE$10,0),N(Reales!DE61)),DE$200*IF(AND(AND(104&gt;Corte,104&lt;=Corte+n_Ventana),ISNUMBER(Detalle_24m!DE$65)),Detalle_24m!DE$65,INDEX(Precio_V,24)*INDEX(IdxPrecio_V,1,MIN(10,DE$173)))*(1+V_dPrecio))</f>
        <v>0</v>
      </c>
      <c r="DF225" s="48" t="n">
        <f aca="false">IF(DF$8=1,IF(Reales!$C$61="PYG",IF(DF$10&gt;0,N(Reales!DF61)/DF$10,0),N(Reales!DF61)),DF$200*IF(AND(AND(105&gt;Corte,105&lt;=Corte+n_Ventana),ISNUMBER(Detalle_24m!DF$65)),Detalle_24m!DF$65,INDEX(Precio_V,24)*INDEX(IdxPrecio_V,1,MIN(10,DF$173)))*(1+V_dPrecio))</f>
        <v>0</v>
      </c>
      <c r="DG225" s="48" t="n">
        <f aca="false">IF(DG$8=1,IF(Reales!$C$61="PYG",IF(DG$10&gt;0,N(Reales!DG61)/DG$10,0),N(Reales!DG61)),DG$200*IF(AND(AND(106&gt;Corte,106&lt;=Corte+n_Ventana),ISNUMBER(Detalle_24m!DG$65)),Detalle_24m!DG$65,INDEX(Precio_V,24)*INDEX(IdxPrecio_V,1,MIN(10,DG$173)))*(1+V_dPrecio))</f>
        <v>0</v>
      </c>
      <c r="DH225" s="48" t="n">
        <f aca="false">IF(DH$8=1,IF(Reales!$C$61="PYG",IF(DH$10&gt;0,N(Reales!DH61)/DH$10,0),N(Reales!DH61)),DH$200*IF(AND(AND(107&gt;Corte,107&lt;=Corte+n_Ventana),ISNUMBER(Detalle_24m!DH$65)),Detalle_24m!DH$65,INDEX(Precio_V,24)*INDEX(IdxPrecio_V,1,MIN(10,DH$173)))*(1+V_dPrecio))</f>
        <v>0</v>
      </c>
      <c r="DI225" s="48" t="n">
        <f aca="false">IF(DI$8=1,IF(Reales!$C$61="PYG",IF(DI$10&gt;0,N(Reales!DI61)/DI$10,0),N(Reales!DI61)),DI$200*IF(AND(AND(108&gt;Corte,108&lt;=Corte+n_Ventana),ISNUMBER(Detalle_24m!DI$65)),Detalle_24m!DI$65,INDEX(Precio_V,24)*INDEX(IdxPrecio_V,1,MIN(10,DI$173)))*(1+V_dPrecio))</f>
        <v>0</v>
      </c>
      <c r="DJ225" s="48" t="n">
        <f aca="false">IF(DJ$8=1,IF(Reales!$C$61="PYG",IF(DJ$10&gt;0,N(Reales!DJ61)/DJ$10,0),N(Reales!DJ61)),DJ$200*IF(AND(AND(109&gt;Corte,109&lt;=Corte+n_Ventana),ISNUMBER(Detalle_24m!DJ$65)),Detalle_24m!DJ$65,INDEX(Precio_V,24)*INDEX(IdxPrecio_V,1,MIN(10,DJ$173)))*(1+V_dPrecio))</f>
        <v>0</v>
      </c>
      <c r="DK225" s="48" t="n">
        <f aca="false">IF(DK$8=1,IF(Reales!$C$61="PYG",IF(DK$10&gt;0,N(Reales!DK61)/DK$10,0),N(Reales!DK61)),DK$200*IF(AND(AND(110&gt;Corte,110&lt;=Corte+n_Ventana),ISNUMBER(Detalle_24m!DK$65)),Detalle_24m!DK$65,INDEX(Precio_V,24)*INDEX(IdxPrecio_V,1,MIN(10,DK$173)))*(1+V_dPrecio))</f>
        <v>0</v>
      </c>
      <c r="DL225" s="48" t="n">
        <f aca="false">IF(DL$8=1,IF(Reales!$C$61="PYG",IF(DL$10&gt;0,N(Reales!DL61)/DL$10,0),N(Reales!DL61)),DL$200*IF(AND(AND(111&gt;Corte,111&lt;=Corte+n_Ventana),ISNUMBER(Detalle_24m!DL$65)),Detalle_24m!DL$65,INDEX(Precio_V,24)*INDEX(IdxPrecio_V,1,MIN(10,DL$173)))*(1+V_dPrecio))</f>
        <v>0</v>
      </c>
      <c r="DM225" s="48" t="n">
        <f aca="false">IF(DM$8=1,IF(Reales!$C$61="PYG",IF(DM$10&gt;0,N(Reales!DM61)/DM$10,0),N(Reales!DM61)),DM$200*IF(AND(AND(112&gt;Corte,112&lt;=Corte+n_Ventana),ISNUMBER(Detalle_24m!DM$65)),Detalle_24m!DM$65,INDEX(Precio_V,24)*INDEX(IdxPrecio_V,1,MIN(10,DM$173)))*(1+V_dPrecio))</f>
        <v>0</v>
      </c>
      <c r="DN225" s="48" t="n">
        <f aca="false">IF(DN$8=1,IF(Reales!$C$61="PYG",IF(DN$10&gt;0,N(Reales!DN61)/DN$10,0),N(Reales!DN61)),DN$200*IF(AND(AND(113&gt;Corte,113&lt;=Corte+n_Ventana),ISNUMBER(Detalle_24m!DN$65)),Detalle_24m!DN$65,INDEX(Precio_V,24)*INDEX(IdxPrecio_V,1,MIN(10,DN$173)))*(1+V_dPrecio))</f>
        <v>0</v>
      </c>
      <c r="DO225" s="48" t="n">
        <f aca="false">IF(DO$8=1,IF(Reales!$C$61="PYG",IF(DO$10&gt;0,N(Reales!DO61)/DO$10,0),N(Reales!DO61)),DO$200*IF(AND(AND(114&gt;Corte,114&lt;=Corte+n_Ventana),ISNUMBER(Detalle_24m!DO$65)),Detalle_24m!DO$65,INDEX(Precio_V,24)*INDEX(IdxPrecio_V,1,MIN(10,DO$173)))*(1+V_dPrecio))</f>
        <v>0</v>
      </c>
      <c r="DP225" s="48" t="n">
        <f aca="false">IF(DP$8=1,IF(Reales!$C$61="PYG",IF(DP$10&gt;0,N(Reales!DP61)/DP$10,0),N(Reales!DP61)),DP$200*IF(AND(AND(115&gt;Corte,115&lt;=Corte+n_Ventana),ISNUMBER(Detalle_24m!DP$65)),Detalle_24m!DP$65,INDEX(Precio_V,24)*INDEX(IdxPrecio_V,1,MIN(10,DP$173)))*(1+V_dPrecio))</f>
        <v>0</v>
      </c>
      <c r="DQ225" s="48" t="n">
        <f aca="false">IF(DQ$8=1,IF(Reales!$C$61="PYG",IF(DQ$10&gt;0,N(Reales!DQ61)/DQ$10,0),N(Reales!DQ61)),DQ$200*IF(AND(AND(116&gt;Corte,116&lt;=Corte+n_Ventana),ISNUMBER(Detalle_24m!DQ$65)),Detalle_24m!DQ$65,INDEX(Precio_V,24)*INDEX(IdxPrecio_V,1,MIN(10,DQ$173)))*(1+V_dPrecio))</f>
        <v>0</v>
      </c>
      <c r="DR225" s="48" t="n">
        <f aca="false">IF(DR$8=1,IF(Reales!$C$61="PYG",IF(DR$10&gt;0,N(Reales!DR61)/DR$10,0),N(Reales!DR61)),DR$200*IF(AND(AND(117&gt;Corte,117&lt;=Corte+n_Ventana),ISNUMBER(Detalle_24m!DR$65)),Detalle_24m!DR$65,INDEX(Precio_V,24)*INDEX(IdxPrecio_V,1,MIN(10,DR$173)))*(1+V_dPrecio))</f>
        <v>0</v>
      </c>
      <c r="DS225" s="48" t="n">
        <f aca="false">IF(DS$8=1,IF(Reales!$C$61="PYG",IF(DS$10&gt;0,N(Reales!DS61)/DS$10,0),N(Reales!DS61)),DS$200*IF(AND(AND(118&gt;Corte,118&lt;=Corte+n_Ventana),ISNUMBER(Detalle_24m!DS$65)),Detalle_24m!DS$65,INDEX(Precio_V,24)*INDEX(IdxPrecio_V,1,MIN(10,DS$173)))*(1+V_dPrecio))</f>
        <v>0</v>
      </c>
      <c r="DT225" s="48" t="n">
        <f aca="false">IF(DT$8=1,IF(Reales!$C$61="PYG",IF(DT$10&gt;0,N(Reales!DT61)/DT$10,0),N(Reales!DT61)),DT$200*IF(AND(AND(119&gt;Corte,119&lt;=Corte+n_Ventana),ISNUMBER(Detalle_24m!DT$65)),Detalle_24m!DT$65,INDEX(Precio_V,24)*INDEX(IdxPrecio_V,1,MIN(10,DT$173)))*(1+V_dPrecio))</f>
        <v>0</v>
      </c>
      <c r="DU225" s="48" t="n">
        <f aca="false">IF(DU$8=1,IF(Reales!$C$61="PYG",IF(DU$10&gt;0,N(Reales!DU61)/DU$10,0),N(Reales!DU61)),DU$200*IF(AND(AND(120&gt;Corte,120&lt;=Corte+n_Ventana),ISNUMBER(Detalle_24m!DU$65)),Detalle_24m!DU$65,INDEX(Precio_V,24)*INDEX(IdxPrecio_V,1,MIN(10,DU$173)))*(1+V_dPrecio))</f>
        <v>0</v>
      </c>
      <c r="DV225" s="48" t="n">
        <f aca="false">IF(DV$8=1,IF(Reales!$C$61="PYG",IF(DV$10&gt;0,N(Reales!DV61)/DV$10,0),N(Reales!DV61)),DV$200*IF(AND(AND(121&gt;Corte,121&lt;=Corte+n_Ventana),ISNUMBER(Detalle_24m!DV$65)),Detalle_24m!DV$65,INDEX(Precio_V,24)*INDEX(IdxPrecio_V,1,MIN(10,DV$173)))*(1+V_dPrecio))</f>
        <v>0</v>
      </c>
      <c r="DW225" s="48" t="n">
        <f aca="false">IF(DW$8=1,IF(Reales!$C$61="PYG",IF(DW$10&gt;0,N(Reales!DW61)/DW$10,0),N(Reales!DW61)),DW$200*IF(AND(AND(122&gt;Corte,122&lt;=Corte+n_Ventana),ISNUMBER(Detalle_24m!DW$65)),Detalle_24m!DW$65,INDEX(Precio_V,24)*INDEX(IdxPrecio_V,1,MIN(10,DW$173)))*(1+V_dPrecio))</f>
        <v>0</v>
      </c>
      <c r="DX225" s="48" t="n">
        <f aca="false">IF(DX$8=1,IF(Reales!$C$61="PYG",IF(DX$10&gt;0,N(Reales!DX61)/DX$10,0),N(Reales!DX61)),DX$200*IF(AND(AND(123&gt;Corte,123&lt;=Corte+n_Ventana),ISNUMBER(Detalle_24m!DX$65)),Detalle_24m!DX$65,INDEX(Precio_V,24)*INDEX(IdxPrecio_V,1,MIN(10,DX$173)))*(1+V_dPrecio))</f>
        <v>0</v>
      </c>
      <c r="DY225" s="48" t="n">
        <f aca="false">IF(DY$8=1,IF(Reales!$C$61="PYG",IF(DY$10&gt;0,N(Reales!DY61)/DY$10,0),N(Reales!DY61)),DY$200*IF(AND(AND(124&gt;Corte,124&lt;=Corte+n_Ventana),ISNUMBER(Detalle_24m!DY$65)),Detalle_24m!DY$65,INDEX(Precio_V,24)*INDEX(IdxPrecio_V,1,MIN(10,DY$173)))*(1+V_dPrecio))</f>
        <v>0</v>
      </c>
      <c r="DZ225" s="48" t="n">
        <f aca="false">IF(DZ$8=1,IF(Reales!$C$61="PYG",IF(DZ$10&gt;0,N(Reales!DZ61)/DZ$10,0),N(Reales!DZ61)),DZ$200*IF(AND(AND(125&gt;Corte,125&lt;=Corte+n_Ventana),ISNUMBER(Detalle_24m!DZ$65)),Detalle_24m!DZ$65,INDEX(Precio_V,24)*INDEX(IdxPrecio_V,1,MIN(10,DZ$173)))*(1+V_dPrecio))</f>
        <v>0</v>
      </c>
      <c r="EA225" s="48" t="n">
        <f aca="false">IF(EA$8=1,IF(Reales!$C$61="PYG",IF(EA$10&gt;0,N(Reales!EA61)/EA$10,0),N(Reales!EA61)),EA$200*IF(AND(AND(126&gt;Corte,126&lt;=Corte+n_Ventana),ISNUMBER(Detalle_24m!EA$65)),Detalle_24m!EA$65,INDEX(Precio_V,24)*INDEX(IdxPrecio_V,1,MIN(10,EA$173)))*(1+V_dPrecio))</f>
        <v>0</v>
      </c>
      <c r="EB225" s="48" t="n">
        <f aca="false">IF(EB$8=1,IF(Reales!$C$61="PYG",IF(EB$10&gt;0,N(Reales!EB61)/EB$10,0),N(Reales!EB61)),EB$200*IF(AND(AND(127&gt;Corte,127&lt;=Corte+n_Ventana),ISNUMBER(Detalle_24m!EB$65)),Detalle_24m!EB$65,INDEX(Precio_V,24)*INDEX(IdxPrecio_V,1,MIN(10,EB$173)))*(1+V_dPrecio))</f>
        <v>0</v>
      </c>
      <c r="EC225" s="48" t="n">
        <f aca="false">IF(EC$8=1,IF(Reales!$C$61="PYG",IF(EC$10&gt;0,N(Reales!EC61)/EC$10,0),N(Reales!EC61)),EC$200*IF(AND(AND(128&gt;Corte,128&lt;=Corte+n_Ventana),ISNUMBER(Detalle_24m!EC$65)),Detalle_24m!EC$65,INDEX(Precio_V,24)*INDEX(IdxPrecio_V,1,MIN(10,EC$173)))*(1+V_dPrecio))</f>
        <v>0</v>
      </c>
      <c r="ED225" s="48" t="n">
        <f aca="false">IF(ED$8=1,IF(Reales!$C$61="PYG",IF(ED$10&gt;0,N(Reales!ED61)/ED$10,0),N(Reales!ED61)),ED$200*IF(AND(AND(129&gt;Corte,129&lt;=Corte+n_Ventana),ISNUMBER(Detalle_24m!ED$65)),Detalle_24m!ED$65,INDEX(Precio_V,24)*INDEX(IdxPrecio_V,1,MIN(10,ED$173)))*(1+V_dPrecio))</f>
        <v>0</v>
      </c>
      <c r="EE225" s="48" t="n">
        <f aca="false">IF(EE$8=1,IF(Reales!$C$61="PYG",IF(EE$10&gt;0,N(Reales!EE61)/EE$10,0),N(Reales!EE61)),EE$200*IF(AND(AND(130&gt;Corte,130&lt;=Corte+n_Ventana),ISNUMBER(Detalle_24m!EE$65)),Detalle_24m!EE$65,INDEX(Precio_V,24)*INDEX(IdxPrecio_V,1,MIN(10,EE$173)))*(1+V_dPrecio))</f>
        <v>0</v>
      </c>
      <c r="EF225" s="48" t="n">
        <f aca="false">IF(EF$8=1,IF(Reales!$C$61="PYG",IF(EF$10&gt;0,N(Reales!EF61)/EF$10,0),N(Reales!EF61)),EF$200*IF(AND(AND(131&gt;Corte,131&lt;=Corte+n_Ventana),ISNUMBER(Detalle_24m!EF$65)),Detalle_24m!EF$65,INDEX(Precio_V,24)*INDEX(IdxPrecio_V,1,MIN(10,EF$173)))*(1+V_dPrecio))</f>
        <v>0</v>
      </c>
      <c r="EG225" s="48" t="n">
        <f aca="false">IF(EG$8=1,IF(Reales!$C$61="PYG",IF(EG$10&gt;0,N(Reales!EG61)/EG$10,0),N(Reales!EG61)),EG$200*IF(AND(AND(132&gt;Corte,132&lt;=Corte+n_Ventana),ISNUMBER(Detalle_24m!EG$65)),Detalle_24m!EG$65,INDEX(Precio_V,24)*INDEX(IdxPrecio_V,1,MIN(10,EG$173)))*(1+V_dPrecio))</f>
        <v>0</v>
      </c>
      <c r="EH225" s="48" t="n">
        <f aca="false">IF(EH$8=1,IF(Reales!$C$61="PYG",IF(EH$10&gt;0,N(Reales!EH61)/EH$10,0),N(Reales!EH61)),EH$200*IF(AND(AND(133&gt;Corte,133&lt;=Corte+n_Ventana),ISNUMBER(Detalle_24m!EH$65)),Detalle_24m!EH$65,INDEX(Precio_V,24)*INDEX(IdxPrecio_V,1,MIN(10,EH$173)))*(1+V_dPrecio))</f>
        <v>0</v>
      </c>
      <c r="EI225" s="48" t="n">
        <f aca="false">IF(EI$8=1,IF(Reales!$C$61="PYG",IF(EI$10&gt;0,N(Reales!EI61)/EI$10,0),N(Reales!EI61)),EI$200*IF(AND(AND(134&gt;Corte,134&lt;=Corte+n_Ventana),ISNUMBER(Detalle_24m!EI$65)),Detalle_24m!EI$65,INDEX(Precio_V,24)*INDEX(IdxPrecio_V,1,MIN(10,EI$173)))*(1+V_dPrecio))</f>
        <v>0</v>
      </c>
      <c r="EJ225" s="48" t="n">
        <f aca="false">IF(EJ$8=1,IF(Reales!$C$61="PYG",IF(EJ$10&gt;0,N(Reales!EJ61)/EJ$10,0),N(Reales!EJ61)),EJ$200*IF(AND(AND(135&gt;Corte,135&lt;=Corte+n_Ventana),ISNUMBER(Detalle_24m!EJ$65)),Detalle_24m!EJ$65,INDEX(Precio_V,24)*INDEX(IdxPrecio_V,1,MIN(10,EJ$173)))*(1+V_dPrecio))</f>
        <v>0</v>
      </c>
      <c r="EK225" s="48" t="n">
        <f aca="false">IF(EK$8=1,IF(Reales!$C$61="PYG",IF(EK$10&gt;0,N(Reales!EK61)/EK$10,0),N(Reales!EK61)),EK$200*IF(AND(AND(136&gt;Corte,136&lt;=Corte+n_Ventana),ISNUMBER(Detalle_24m!EK$65)),Detalle_24m!EK$65,INDEX(Precio_V,24)*INDEX(IdxPrecio_V,1,MIN(10,EK$173)))*(1+V_dPrecio))</f>
        <v>0</v>
      </c>
      <c r="EL225" s="48" t="n">
        <f aca="false">IF(EL$8=1,IF(Reales!$C$61="PYG",IF(EL$10&gt;0,N(Reales!EL61)/EL$10,0),N(Reales!EL61)),EL$200*IF(AND(AND(137&gt;Corte,137&lt;=Corte+n_Ventana),ISNUMBER(Detalle_24m!EL$65)),Detalle_24m!EL$65,INDEX(Precio_V,24)*INDEX(IdxPrecio_V,1,MIN(10,EL$173)))*(1+V_dPrecio))</f>
        <v>0</v>
      </c>
      <c r="EM225" s="48" t="n">
        <f aca="false">IF(EM$8=1,IF(Reales!$C$61="PYG",IF(EM$10&gt;0,N(Reales!EM61)/EM$10,0),N(Reales!EM61)),EM$200*IF(AND(AND(138&gt;Corte,138&lt;=Corte+n_Ventana),ISNUMBER(Detalle_24m!EM$65)),Detalle_24m!EM$65,INDEX(Precio_V,24)*INDEX(IdxPrecio_V,1,MIN(10,EM$173)))*(1+V_dPrecio))</f>
        <v>0</v>
      </c>
      <c r="EN225" s="48" t="n">
        <f aca="false">IF(EN$8=1,IF(Reales!$C$61="PYG",IF(EN$10&gt;0,N(Reales!EN61)/EN$10,0),N(Reales!EN61)),EN$200*IF(AND(AND(139&gt;Corte,139&lt;=Corte+n_Ventana),ISNUMBER(Detalle_24m!EN$65)),Detalle_24m!EN$65,INDEX(Precio_V,24)*INDEX(IdxPrecio_V,1,MIN(10,EN$173)))*(1+V_dPrecio))</f>
        <v>0</v>
      </c>
      <c r="EO225" s="48" t="n">
        <f aca="false">IF(EO$8=1,IF(Reales!$C$61="PYG",IF(EO$10&gt;0,N(Reales!EO61)/EO$10,0),N(Reales!EO61)),EO$200*IF(AND(AND(140&gt;Corte,140&lt;=Corte+n_Ventana),ISNUMBER(Detalle_24m!EO$65)),Detalle_24m!EO$65,INDEX(Precio_V,24)*INDEX(IdxPrecio_V,1,MIN(10,EO$173)))*(1+V_dPrecio))</f>
        <v>0</v>
      </c>
      <c r="EP225" s="48" t="n">
        <f aca="false">IF(EP$8=1,IF(Reales!$C$61="PYG",IF(EP$10&gt;0,N(Reales!EP61)/EP$10,0),N(Reales!EP61)),EP$200*IF(AND(AND(141&gt;Corte,141&lt;=Corte+n_Ventana),ISNUMBER(Detalle_24m!EP$65)),Detalle_24m!EP$65,INDEX(Precio_V,24)*INDEX(IdxPrecio_V,1,MIN(10,EP$173)))*(1+V_dPrecio))</f>
        <v>0</v>
      </c>
      <c r="EQ225" s="48" t="n">
        <f aca="false">IF(EQ$8=1,IF(Reales!$C$61="PYG",IF(EQ$10&gt;0,N(Reales!EQ61)/EQ$10,0),N(Reales!EQ61)),EQ$200*IF(AND(AND(142&gt;Corte,142&lt;=Corte+n_Ventana),ISNUMBER(Detalle_24m!EQ$65)),Detalle_24m!EQ$65,INDEX(Precio_V,24)*INDEX(IdxPrecio_V,1,MIN(10,EQ$173)))*(1+V_dPrecio))</f>
        <v>0</v>
      </c>
      <c r="ER225" s="48" t="n">
        <f aca="false">IF(ER$8=1,IF(Reales!$C$61="PYG",IF(ER$10&gt;0,N(Reales!ER61)/ER$10,0),N(Reales!ER61)),ER$200*IF(AND(AND(143&gt;Corte,143&lt;=Corte+n_Ventana),ISNUMBER(Detalle_24m!ER$65)),Detalle_24m!ER$65,INDEX(Precio_V,24)*INDEX(IdxPrecio_V,1,MIN(10,ER$173)))*(1+V_dPrecio))</f>
        <v>0</v>
      </c>
      <c r="ES225" s="48" t="n">
        <f aca="false">IF(ES$8=1,IF(Reales!$C$61="PYG",IF(ES$10&gt;0,N(Reales!ES61)/ES$10,0),N(Reales!ES61)),ES$200*IF(AND(AND(144&gt;Corte,144&lt;=Corte+n_Ventana),ISNUMBER(Detalle_24m!ES$65)),Detalle_24m!ES$65,INDEX(Precio_V,24)*INDEX(IdxPrecio_V,1,MIN(10,ES$173)))*(1+V_dPrecio))</f>
        <v>0</v>
      </c>
    </row>
    <row r="226" customFormat="false" ht="15" hidden="false" customHeight="false" outlineLevel="0" collapsed="false">
      <c r="A226" s="11" t="s">
        <v>1349</v>
      </c>
      <c r="B226" s="53" t="str">
        <f aca="false">IF(INDEX(Prod_Nombre,25)="","Producto 25",INDEX(Prod_Nombre,25))&amp;" — ventas USD"</f>
        <v>Producto 25 — ventas USD</v>
      </c>
      <c r="C226" s="15" t="s">
        <v>508</v>
      </c>
      <c r="E226" s="54" t="n">
        <f aca="false">SUM(F226:ES226)</f>
        <v>0</v>
      </c>
      <c r="F226" s="48" t="n">
        <f aca="false">IF(F$8=1,IF(Reales!$C$62="PYG",IF(F$10&gt;0,N(Reales!F62)/F$10,0),N(Reales!F62)),F$201*IF(AND(AND(1&gt;Corte,1&lt;=Corte+n_Ventana),ISNUMBER(Detalle_24m!F$66)),Detalle_24m!F$66,INDEX(Precio_V,25)*INDEX(IdxPrecio_V,1,MIN(10,F$173)))*(1+V_dPrecio))</f>
        <v>0</v>
      </c>
      <c r="G226" s="48" t="n">
        <f aca="false">IF(G$8=1,IF(Reales!$C$62="PYG",IF(G$10&gt;0,N(Reales!G62)/G$10,0),N(Reales!G62)),G$201*IF(AND(AND(2&gt;Corte,2&lt;=Corte+n_Ventana),ISNUMBER(Detalle_24m!G$66)),Detalle_24m!G$66,INDEX(Precio_V,25)*INDEX(IdxPrecio_V,1,MIN(10,G$173)))*(1+V_dPrecio))</f>
        <v>0</v>
      </c>
      <c r="H226" s="48" t="n">
        <f aca="false">IF(H$8=1,IF(Reales!$C$62="PYG",IF(H$10&gt;0,N(Reales!H62)/H$10,0),N(Reales!H62)),H$201*IF(AND(AND(3&gt;Corte,3&lt;=Corte+n_Ventana),ISNUMBER(Detalle_24m!H$66)),Detalle_24m!H$66,INDEX(Precio_V,25)*INDEX(IdxPrecio_V,1,MIN(10,H$173)))*(1+V_dPrecio))</f>
        <v>0</v>
      </c>
      <c r="I226" s="48" t="n">
        <f aca="false">IF(I$8=1,IF(Reales!$C$62="PYG",IF(I$10&gt;0,N(Reales!I62)/I$10,0),N(Reales!I62)),I$201*IF(AND(AND(4&gt;Corte,4&lt;=Corte+n_Ventana),ISNUMBER(Detalle_24m!I$66)),Detalle_24m!I$66,INDEX(Precio_V,25)*INDEX(IdxPrecio_V,1,MIN(10,I$173)))*(1+V_dPrecio))</f>
        <v>0</v>
      </c>
      <c r="J226" s="48" t="n">
        <f aca="false">IF(J$8=1,IF(Reales!$C$62="PYG",IF(J$10&gt;0,N(Reales!J62)/J$10,0),N(Reales!J62)),J$201*IF(AND(AND(5&gt;Corte,5&lt;=Corte+n_Ventana),ISNUMBER(Detalle_24m!J$66)),Detalle_24m!J$66,INDEX(Precio_V,25)*INDEX(IdxPrecio_V,1,MIN(10,J$173)))*(1+V_dPrecio))</f>
        <v>0</v>
      </c>
      <c r="K226" s="48" t="n">
        <f aca="false">IF(K$8=1,IF(Reales!$C$62="PYG",IF(K$10&gt;0,N(Reales!K62)/K$10,0),N(Reales!K62)),K$201*IF(AND(AND(6&gt;Corte,6&lt;=Corte+n_Ventana),ISNUMBER(Detalle_24m!K$66)),Detalle_24m!K$66,INDEX(Precio_V,25)*INDEX(IdxPrecio_V,1,MIN(10,K$173)))*(1+V_dPrecio))</f>
        <v>0</v>
      </c>
      <c r="L226" s="48" t="n">
        <f aca="false">IF(L$8=1,IF(Reales!$C$62="PYG",IF(L$10&gt;0,N(Reales!L62)/L$10,0),N(Reales!L62)),L$201*IF(AND(AND(7&gt;Corte,7&lt;=Corte+n_Ventana),ISNUMBER(Detalle_24m!L$66)),Detalle_24m!L$66,INDEX(Precio_V,25)*INDEX(IdxPrecio_V,1,MIN(10,L$173)))*(1+V_dPrecio))</f>
        <v>0</v>
      </c>
      <c r="M226" s="48" t="n">
        <f aca="false">IF(M$8=1,IF(Reales!$C$62="PYG",IF(M$10&gt;0,N(Reales!M62)/M$10,0),N(Reales!M62)),M$201*IF(AND(AND(8&gt;Corte,8&lt;=Corte+n_Ventana),ISNUMBER(Detalle_24m!M$66)),Detalle_24m!M$66,INDEX(Precio_V,25)*INDEX(IdxPrecio_V,1,MIN(10,M$173)))*(1+V_dPrecio))</f>
        <v>0</v>
      </c>
      <c r="N226" s="48" t="n">
        <f aca="false">IF(N$8=1,IF(Reales!$C$62="PYG",IF(N$10&gt;0,N(Reales!N62)/N$10,0),N(Reales!N62)),N$201*IF(AND(AND(9&gt;Corte,9&lt;=Corte+n_Ventana),ISNUMBER(Detalle_24m!N$66)),Detalle_24m!N$66,INDEX(Precio_V,25)*INDEX(IdxPrecio_V,1,MIN(10,N$173)))*(1+V_dPrecio))</f>
        <v>0</v>
      </c>
      <c r="O226" s="48" t="n">
        <f aca="false">IF(O$8=1,IF(Reales!$C$62="PYG",IF(O$10&gt;0,N(Reales!O62)/O$10,0),N(Reales!O62)),O$201*IF(AND(AND(10&gt;Corte,10&lt;=Corte+n_Ventana),ISNUMBER(Detalle_24m!O$66)),Detalle_24m!O$66,INDEX(Precio_V,25)*INDEX(IdxPrecio_V,1,MIN(10,O$173)))*(1+V_dPrecio))</f>
        <v>0</v>
      </c>
      <c r="P226" s="48" t="n">
        <f aca="false">IF(P$8=1,IF(Reales!$C$62="PYG",IF(P$10&gt;0,N(Reales!P62)/P$10,0),N(Reales!P62)),P$201*IF(AND(AND(11&gt;Corte,11&lt;=Corte+n_Ventana),ISNUMBER(Detalle_24m!P$66)),Detalle_24m!P$66,INDEX(Precio_V,25)*INDEX(IdxPrecio_V,1,MIN(10,P$173)))*(1+V_dPrecio))</f>
        <v>0</v>
      </c>
      <c r="Q226" s="48" t="n">
        <f aca="false">IF(Q$8=1,IF(Reales!$C$62="PYG",IF(Q$10&gt;0,N(Reales!Q62)/Q$10,0),N(Reales!Q62)),Q$201*IF(AND(AND(12&gt;Corte,12&lt;=Corte+n_Ventana),ISNUMBER(Detalle_24m!Q$66)),Detalle_24m!Q$66,INDEX(Precio_V,25)*INDEX(IdxPrecio_V,1,MIN(10,Q$173)))*(1+V_dPrecio))</f>
        <v>0</v>
      </c>
      <c r="R226" s="48" t="n">
        <f aca="false">IF(R$8=1,IF(Reales!$C$62="PYG",IF(R$10&gt;0,N(Reales!R62)/R$10,0),N(Reales!R62)),R$201*IF(AND(AND(13&gt;Corte,13&lt;=Corte+n_Ventana),ISNUMBER(Detalle_24m!R$66)),Detalle_24m!R$66,INDEX(Precio_V,25)*INDEX(IdxPrecio_V,1,MIN(10,R$173)))*(1+V_dPrecio))</f>
        <v>0</v>
      </c>
      <c r="S226" s="48" t="n">
        <f aca="false">IF(S$8=1,IF(Reales!$C$62="PYG",IF(S$10&gt;0,N(Reales!S62)/S$10,0),N(Reales!S62)),S$201*IF(AND(AND(14&gt;Corte,14&lt;=Corte+n_Ventana),ISNUMBER(Detalle_24m!S$66)),Detalle_24m!S$66,INDEX(Precio_V,25)*INDEX(IdxPrecio_V,1,MIN(10,S$173)))*(1+V_dPrecio))</f>
        <v>0</v>
      </c>
      <c r="T226" s="48" t="n">
        <f aca="false">IF(T$8=1,IF(Reales!$C$62="PYG",IF(T$10&gt;0,N(Reales!T62)/T$10,0),N(Reales!T62)),T$201*IF(AND(AND(15&gt;Corte,15&lt;=Corte+n_Ventana),ISNUMBER(Detalle_24m!T$66)),Detalle_24m!T$66,INDEX(Precio_V,25)*INDEX(IdxPrecio_V,1,MIN(10,T$173)))*(1+V_dPrecio))</f>
        <v>0</v>
      </c>
      <c r="U226" s="48" t="n">
        <f aca="false">IF(U$8=1,IF(Reales!$C$62="PYG",IF(U$10&gt;0,N(Reales!U62)/U$10,0),N(Reales!U62)),U$201*IF(AND(AND(16&gt;Corte,16&lt;=Corte+n_Ventana),ISNUMBER(Detalle_24m!U$66)),Detalle_24m!U$66,INDEX(Precio_V,25)*INDEX(IdxPrecio_V,1,MIN(10,U$173)))*(1+V_dPrecio))</f>
        <v>0</v>
      </c>
      <c r="V226" s="48" t="n">
        <f aca="false">IF(V$8=1,IF(Reales!$C$62="PYG",IF(V$10&gt;0,N(Reales!V62)/V$10,0),N(Reales!V62)),V$201*IF(AND(AND(17&gt;Corte,17&lt;=Corte+n_Ventana),ISNUMBER(Detalle_24m!V$66)),Detalle_24m!V$66,INDEX(Precio_V,25)*INDEX(IdxPrecio_V,1,MIN(10,V$173)))*(1+V_dPrecio))</f>
        <v>0</v>
      </c>
      <c r="W226" s="48" t="n">
        <f aca="false">IF(W$8=1,IF(Reales!$C$62="PYG",IF(W$10&gt;0,N(Reales!W62)/W$10,0),N(Reales!W62)),W$201*IF(AND(AND(18&gt;Corte,18&lt;=Corte+n_Ventana),ISNUMBER(Detalle_24m!W$66)),Detalle_24m!W$66,INDEX(Precio_V,25)*INDEX(IdxPrecio_V,1,MIN(10,W$173)))*(1+V_dPrecio))</f>
        <v>0</v>
      </c>
      <c r="X226" s="48" t="n">
        <f aca="false">IF(X$8=1,IF(Reales!$C$62="PYG",IF(X$10&gt;0,N(Reales!X62)/X$10,0),N(Reales!X62)),X$201*IF(AND(AND(19&gt;Corte,19&lt;=Corte+n_Ventana),ISNUMBER(Detalle_24m!X$66)),Detalle_24m!X$66,INDEX(Precio_V,25)*INDEX(IdxPrecio_V,1,MIN(10,X$173)))*(1+V_dPrecio))</f>
        <v>0</v>
      </c>
      <c r="Y226" s="48" t="n">
        <f aca="false">IF(Y$8=1,IF(Reales!$C$62="PYG",IF(Y$10&gt;0,N(Reales!Y62)/Y$10,0),N(Reales!Y62)),Y$201*IF(AND(AND(20&gt;Corte,20&lt;=Corte+n_Ventana),ISNUMBER(Detalle_24m!Y$66)),Detalle_24m!Y$66,INDEX(Precio_V,25)*INDEX(IdxPrecio_V,1,MIN(10,Y$173)))*(1+V_dPrecio))</f>
        <v>0</v>
      </c>
      <c r="Z226" s="48" t="n">
        <f aca="false">IF(Z$8=1,IF(Reales!$C$62="PYG",IF(Z$10&gt;0,N(Reales!Z62)/Z$10,0),N(Reales!Z62)),Z$201*IF(AND(AND(21&gt;Corte,21&lt;=Corte+n_Ventana),ISNUMBER(Detalle_24m!Z$66)),Detalle_24m!Z$66,INDEX(Precio_V,25)*INDEX(IdxPrecio_V,1,MIN(10,Z$173)))*(1+V_dPrecio))</f>
        <v>0</v>
      </c>
      <c r="AA226" s="48" t="n">
        <f aca="false">IF(AA$8=1,IF(Reales!$C$62="PYG",IF(AA$10&gt;0,N(Reales!AA62)/AA$10,0),N(Reales!AA62)),AA$201*IF(AND(AND(22&gt;Corte,22&lt;=Corte+n_Ventana),ISNUMBER(Detalle_24m!AA$66)),Detalle_24m!AA$66,INDEX(Precio_V,25)*INDEX(IdxPrecio_V,1,MIN(10,AA$173)))*(1+V_dPrecio))</f>
        <v>0</v>
      </c>
      <c r="AB226" s="48" t="n">
        <f aca="false">IF(AB$8=1,IF(Reales!$C$62="PYG",IF(AB$10&gt;0,N(Reales!AB62)/AB$10,0),N(Reales!AB62)),AB$201*IF(AND(AND(23&gt;Corte,23&lt;=Corte+n_Ventana),ISNUMBER(Detalle_24m!AB$66)),Detalle_24m!AB$66,INDEX(Precio_V,25)*INDEX(IdxPrecio_V,1,MIN(10,AB$173)))*(1+V_dPrecio))</f>
        <v>0</v>
      </c>
      <c r="AC226" s="48" t="n">
        <f aca="false">IF(AC$8=1,IF(Reales!$C$62="PYG",IF(AC$10&gt;0,N(Reales!AC62)/AC$10,0),N(Reales!AC62)),AC$201*IF(AND(AND(24&gt;Corte,24&lt;=Corte+n_Ventana),ISNUMBER(Detalle_24m!AC$66)),Detalle_24m!AC$66,INDEX(Precio_V,25)*INDEX(IdxPrecio_V,1,MIN(10,AC$173)))*(1+V_dPrecio))</f>
        <v>0</v>
      </c>
      <c r="AD226" s="48" t="n">
        <f aca="false">IF(AD$8=1,IF(Reales!$C$62="PYG",IF(AD$10&gt;0,N(Reales!AD62)/AD$10,0),N(Reales!AD62)),AD$201*IF(AND(AND(25&gt;Corte,25&lt;=Corte+n_Ventana),ISNUMBER(Detalle_24m!AD$66)),Detalle_24m!AD$66,INDEX(Precio_V,25)*INDEX(IdxPrecio_V,1,MIN(10,AD$173)))*(1+V_dPrecio))</f>
        <v>0</v>
      </c>
      <c r="AE226" s="48" t="n">
        <f aca="false">IF(AE$8=1,IF(Reales!$C$62="PYG",IF(AE$10&gt;0,N(Reales!AE62)/AE$10,0),N(Reales!AE62)),AE$201*IF(AND(AND(26&gt;Corte,26&lt;=Corte+n_Ventana),ISNUMBER(Detalle_24m!AE$66)),Detalle_24m!AE$66,INDEX(Precio_V,25)*INDEX(IdxPrecio_V,1,MIN(10,AE$173)))*(1+V_dPrecio))</f>
        <v>0</v>
      </c>
      <c r="AF226" s="48" t="n">
        <f aca="false">IF(AF$8=1,IF(Reales!$C$62="PYG",IF(AF$10&gt;0,N(Reales!AF62)/AF$10,0),N(Reales!AF62)),AF$201*IF(AND(AND(27&gt;Corte,27&lt;=Corte+n_Ventana),ISNUMBER(Detalle_24m!AF$66)),Detalle_24m!AF$66,INDEX(Precio_V,25)*INDEX(IdxPrecio_V,1,MIN(10,AF$173)))*(1+V_dPrecio))</f>
        <v>0</v>
      </c>
      <c r="AG226" s="48" t="n">
        <f aca="false">IF(AG$8=1,IF(Reales!$C$62="PYG",IF(AG$10&gt;0,N(Reales!AG62)/AG$10,0),N(Reales!AG62)),AG$201*IF(AND(AND(28&gt;Corte,28&lt;=Corte+n_Ventana),ISNUMBER(Detalle_24m!AG$66)),Detalle_24m!AG$66,INDEX(Precio_V,25)*INDEX(IdxPrecio_V,1,MIN(10,AG$173)))*(1+V_dPrecio))</f>
        <v>0</v>
      </c>
      <c r="AH226" s="48" t="n">
        <f aca="false">IF(AH$8=1,IF(Reales!$C$62="PYG",IF(AH$10&gt;0,N(Reales!AH62)/AH$10,0),N(Reales!AH62)),AH$201*IF(AND(AND(29&gt;Corte,29&lt;=Corte+n_Ventana),ISNUMBER(Detalle_24m!AH$66)),Detalle_24m!AH$66,INDEX(Precio_V,25)*INDEX(IdxPrecio_V,1,MIN(10,AH$173)))*(1+V_dPrecio))</f>
        <v>0</v>
      </c>
      <c r="AI226" s="48" t="n">
        <f aca="false">IF(AI$8=1,IF(Reales!$C$62="PYG",IF(AI$10&gt;0,N(Reales!AI62)/AI$10,0),N(Reales!AI62)),AI$201*IF(AND(AND(30&gt;Corte,30&lt;=Corte+n_Ventana),ISNUMBER(Detalle_24m!AI$66)),Detalle_24m!AI$66,INDEX(Precio_V,25)*INDEX(IdxPrecio_V,1,MIN(10,AI$173)))*(1+V_dPrecio))</f>
        <v>0</v>
      </c>
      <c r="AJ226" s="48" t="n">
        <f aca="false">IF(AJ$8=1,IF(Reales!$C$62="PYG",IF(AJ$10&gt;0,N(Reales!AJ62)/AJ$10,0),N(Reales!AJ62)),AJ$201*IF(AND(AND(31&gt;Corte,31&lt;=Corte+n_Ventana),ISNUMBER(Detalle_24m!AJ$66)),Detalle_24m!AJ$66,INDEX(Precio_V,25)*INDEX(IdxPrecio_V,1,MIN(10,AJ$173)))*(1+V_dPrecio))</f>
        <v>0</v>
      </c>
      <c r="AK226" s="48" t="n">
        <f aca="false">IF(AK$8=1,IF(Reales!$C$62="PYG",IF(AK$10&gt;0,N(Reales!AK62)/AK$10,0),N(Reales!AK62)),AK$201*IF(AND(AND(32&gt;Corte,32&lt;=Corte+n_Ventana),ISNUMBER(Detalle_24m!AK$66)),Detalle_24m!AK$66,INDEX(Precio_V,25)*INDEX(IdxPrecio_V,1,MIN(10,AK$173)))*(1+V_dPrecio))</f>
        <v>0</v>
      </c>
      <c r="AL226" s="48" t="n">
        <f aca="false">IF(AL$8=1,IF(Reales!$C$62="PYG",IF(AL$10&gt;0,N(Reales!AL62)/AL$10,0),N(Reales!AL62)),AL$201*IF(AND(AND(33&gt;Corte,33&lt;=Corte+n_Ventana),ISNUMBER(Detalle_24m!AL$66)),Detalle_24m!AL$66,INDEX(Precio_V,25)*INDEX(IdxPrecio_V,1,MIN(10,AL$173)))*(1+V_dPrecio))</f>
        <v>0</v>
      </c>
      <c r="AM226" s="48" t="n">
        <f aca="false">IF(AM$8=1,IF(Reales!$C$62="PYG",IF(AM$10&gt;0,N(Reales!AM62)/AM$10,0),N(Reales!AM62)),AM$201*IF(AND(AND(34&gt;Corte,34&lt;=Corte+n_Ventana),ISNUMBER(Detalle_24m!AM$66)),Detalle_24m!AM$66,INDEX(Precio_V,25)*INDEX(IdxPrecio_V,1,MIN(10,AM$173)))*(1+V_dPrecio))</f>
        <v>0</v>
      </c>
      <c r="AN226" s="48" t="n">
        <f aca="false">IF(AN$8=1,IF(Reales!$C$62="PYG",IF(AN$10&gt;0,N(Reales!AN62)/AN$10,0),N(Reales!AN62)),AN$201*IF(AND(AND(35&gt;Corte,35&lt;=Corte+n_Ventana),ISNUMBER(Detalle_24m!AN$66)),Detalle_24m!AN$66,INDEX(Precio_V,25)*INDEX(IdxPrecio_V,1,MIN(10,AN$173)))*(1+V_dPrecio))</f>
        <v>0</v>
      </c>
      <c r="AO226" s="48" t="n">
        <f aca="false">IF(AO$8=1,IF(Reales!$C$62="PYG",IF(AO$10&gt;0,N(Reales!AO62)/AO$10,0),N(Reales!AO62)),AO$201*IF(AND(AND(36&gt;Corte,36&lt;=Corte+n_Ventana),ISNUMBER(Detalle_24m!AO$66)),Detalle_24m!AO$66,INDEX(Precio_V,25)*INDEX(IdxPrecio_V,1,MIN(10,AO$173)))*(1+V_dPrecio))</f>
        <v>0</v>
      </c>
      <c r="AP226" s="48" t="n">
        <f aca="false">IF(AP$8=1,IF(Reales!$C$62="PYG",IF(AP$10&gt;0,N(Reales!AP62)/AP$10,0),N(Reales!AP62)),AP$201*IF(AND(AND(37&gt;Corte,37&lt;=Corte+n_Ventana),ISNUMBER(Detalle_24m!AP$66)),Detalle_24m!AP$66,INDEX(Precio_V,25)*INDEX(IdxPrecio_V,1,MIN(10,AP$173)))*(1+V_dPrecio))</f>
        <v>0</v>
      </c>
      <c r="AQ226" s="48" t="n">
        <f aca="false">IF(AQ$8=1,IF(Reales!$C$62="PYG",IF(AQ$10&gt;0,N(Reales!AQ62)/AQ$10,0),N(Reales!AQ62)),AQ$201*IF(AND(AND(38&gt;Corte,38&lt;=Corte+n_Ventana),ISNUMBER(Detalle_24m!AQ$66)),Detalle_24m!AQ$66,INDEX(Precio_V,25)*INDEX(IdxPrecio_V,1,MIN(10,AQ$173)))*(1+V_dPrecio))</f>
        <v>0</v>
      </c>
      <c r="AR226" s="48" t="n">
        <f aca="false">IF(AR$8=1,IF(Reales!$C$62="PYG",IF(AR$10&gt;0,N(Reales!AR62)/AR$10,0),N(Reales!AR62)),AR$201*IF(AND(AND(39&gt;Corte,39&lt;=Corte+n_Ventana),ISNUMBER(Detalle_24m!AR$66)),Detalle_24m!AR$66,INDEX(Precio_V,25)*INDEX(IdxPrecio_V,1,MIN(10,AR$173)))*(1+V_dPrecio))</f>
        <v>0</v>
      </c>
      <c r="AS226" s="48" t="n">
        <f aca="false">IF(AS$8=1,IF(Reales!$C$62="PYG",IF(AS$10&gt;0,N(Reales!AS62)/AS$10,0),N(Reales!AS62)),AS$201*IF(AND(AND(40&gt;Corte,40&lt;=Corte+n_Ventana),ISNUMBER(Detalle_24m!AS$66)),Detalle_24m!AS$66,INDEX(Precio_V,25)*INDEX(IdxPrecio_V,1,MIN(10,AS$173)))*(1+V_dPrecio))</f>
        <v>0</v>
      </c>
      <c r="AT226" s="48" t="n">
        <f aca="false">IF(AT$8=1,IF(Reales!$C$62="PYG",IF(AT$10&gt;0,N(Reales!AT62)/AT$10,0),N(Reales!AT62)),AT$201*IF(AND(AND(41&gt;Corte,41&lt;=Corte+n_Ventana),ISNUMBER(Detalle_24m!AT$66)),Detalle_24m!AT$66,INDEX(Precio_V,25)*INDEX(IdxPrecio_V,1,MIN(10,AT$173)))*(1+V_dPrecio))</f>
        <v>0</v>
      </c>
      <c r="AU226" s="48" t="n">
        <f aca="false">IF(AU$8=1,IF(Reales!$C$62="PYG",IF(AU$10&gt;0,N(Reales!AU62)/AU$10,0),N(Reales!AU62)),AU$201*IF(AND(AND(42&gt;Corte,42&lt;=Corte+n_Ventana),ISNUMBER(Detalle_24m!AU$66)),Detalle_24m!AU$66,INDEX(Precio_V,25)*INDEX(IdxPrecio_V,1,MIN(10,AU$173)))*(1+V_dPrecio))</f>
        <v>0</v>
      </c>
      <c r="AV226" s="48" t="n">
        <f aca="false">IF(AV$8=1,IF(Reales!$C$62="PYG",IF(AV$10&gt;0,N(Reales!AV62)/AV$10,0),N(Reales!AV62)),AV$201*IF(AND(AND(43&gt;Corte,43&lt;=Corte+n_Ventana),ISNUMBER(Detalle_24m!AV$66)),Detalle_24m!AV$66,INDEX(Precio_V,25)*INDEX(IdxPrecio_V,1,MIN(10,AV$173)))*(1+V_dPrecio))</f>
        <v>0</v>
      </c>
      <c r="AW226" s="48" t="n">
        <f aca="false">IF(AW$8=1,IF(Reales!$C$62="PYG",IF(AW$10&gt;0,N(Reales!AW62)/AW$10,0),N(Reales!AW62)),AW$201*IF(AND(AND(44&gt;Corte,44&lt;=Corte+n_Ventana),ISNUMBER(Detalle_24m!AW$66)),Detalle_24m!AW$66,INDEX(Precio_V,25)*INDEX(IdxPrecio_V,1,MIN(10,AW$173)))*(1+V_dPrecio))</f>
        <v>0</v>
      </c>
      <c r="AX226" s="48" t="n">
        <f aca="false">IF(AX$8=1,IF(Reales!$C$62="PYG",IF(AX$10&gt;0,N(Reales!AX62)/AX$10,0),N(Reales!AX62)),AX$201*IF(AND(AND(45&gt;Corte,45&lt;=Corte+n_Ventana),ISNUMBER(Detalle_24m!AX$66)),Detalle_24m!AX$66,INDEX(Precio_V,25)*INDEX(IdxPrecio_V,1,MIN(10,AX$173)))*(1+V_dPrecio))</f>
        <v>0</v>
      </c>
      <c r="AY226" s="48" t="n">
        <f aca="false">IF(AY$8=1,IF(Reales!$C$62="PYG",IF(AY$10&gt;0,N(Reales!AY62)/AY$10,0),N(Reales!AY62)),AY$201*IF(AND(AND(46&gt;Corte,46&lt;=Corte+n_Ventana),ISNUMBER(Detalle_24m!AY$66)),Detalle_24m!AY$66,INDEX(Precio_V,25)*INDEX(IdxPrecio_V,1,MIN(10,AY$173)))*(1+V_dPrecio))</f>
        <v>0</v>
      </c>
      <c r="AZ226" s="48" t="n">
        <f aca="false">IF(AZ$8=1,IF(Reales!$C$62="PYG",IF(AZ$10&gt;0,N(Reales!AZ62)/AZ$10,0),N(Reales!AZ62)),AZ$201*IF(AND(AND(47&gt;Corte,47&lt;=Corte+n_Ventana),ISNUMBER(Detalle_24m!AZ$66)),Detalle_24m!AZ$66,INDEX(Precio_V,25)*INDEX(IdxPrecio_V,1,MIN(10,AZ$173)))*(1+V_dPrecio))</f>
        <v>0</v>
      </c>
      <c r="BA226" s="48" t="n">
        <f aca="false">IF(BA$8=1,IF(Reales!$C$62="PYG",IF(BA$10&gt;0,N(Reales!BA62)/BA$10,0),N(Reales!BA62)),BA$201*IF(AND(AND(48&gt;Corte,48&lt;=Corte+n_Ventana),ISNUMBER(Detalle_24m!BA$66)),Detalle_24m!BA$66,INDEX(Precio_V,25)*INDEX(IdxPrecio_V,1,MIN(10,BA$173)))*(1+V_dPrecio))</f>
        <v>0</v>
      </c>
      <c r="BB226" s="48" t="n">
        <f aca="false">IF(BB$8=1,IF(Reales!$C$62="PYG",IF(BB$10&gt;0,N(Reales!BB62)/BB$10,0),N(Reales!BB62)),BB$201*IF(AND(AND(49&gt;Corte,49&lt;=Corte+n_Ventana),ISNUMBER(Detalle_24m!BB$66)),Detalle_24m!BB$66,INDEX(Precio_V,25)*INDEX(IdxPrecio_V,1,MIN(10,BB$173)))*(1+V_dPrecio))</f>
        <v>0</v>
      </c>
      <c r="BC226" s="48" t="n">
        <f aca="false">IF(BC$8=1,IF(Reales!$C$62="PYG",IF(BC$10&gt;0,N(Reales!BC62)/BC$10,0),N(Reales!BC62)),BC$201*IF(AND(AND(50&gt;Corte,50&lt;=Corte+n_Ventana),ISNUMBER(Detalle_24m!BC$66)),Detalle_24m!BC$66,INDEX(Precio_V,25)*INDEX(IdxPrecio_V,1,MIN(10,BC$173)))*(1+V_dPrecio))</f>
        <v>0</v>
      </c>
      <c r="BD226" s="48" t="n">
        <f aca="false">IF(BD$8=1,IF(Reales!$C$62="PYG",IF(BD$10&gt;0,N(Reales!BD62)/BD$10,0),N(Reales!BD62)),BD$201*IF(AND(AND(51&gt;Corte,51&lt;=Corte+n_Ventana),ISNUMBER(Detalle_24m!BD$66)),Detalle_24m!BD$66,INDEX(Precio_V,25)*INDEX(IdxPrecio_V,1,MIN(10,BD$173)))*(1+V_dPrecio))</f>
        <v>0</v>
      </c>
      <c r="BE226" s="48" t="n">
        <f aca="false">IF(BE$8=1,IF(Reales!$C$62="PYG",IF(BE$10&gt;0,N(Reales!BE62)/BE$10,0),N(Reales!BE62)),BE$201*IF(AND(AND(52&gt;Corte,52&lt;=Corte+n_Ventana),ISNUMBER(Detalle_24m!BE$66)),Detalle_24m!BE$66,INDEX(Precio_V,25)*INDEX(IdxPrecio_V,1,MIN(10,BE$173)))*(1+V_dPrecio))</f>
        <v>0</v>
      </c>
      <c r="BF226" s="48" t="n">
        <f aca="false">IF(BF$8=1,IF(Reales!$C$62="PYG",IF(BF$10&gt;0,N(Reales!BF62)/BF$10,0),N(Reales!BF62)),BF$201*IF(AND(AND(53&gt;Corte,53&lt;=Corte+n_Ventana),ISNUMBER(Detalle_24m!BF$66)),Detalle_24m!BF$66,INDEX(Precio_V,25)*INDEX(IdxPrecio_V,1,MIN(10,BF$173)))*(1+V_dPrecio))</f>
        <v>0</v>
      </c>
      <c r="BG226" s="48" t="n">
        <f aca="false">IF(BG$8=1,IF(Reales!$C$62="PYG",IF(BG$10&gt;0,N(Reales!BG62)/BG$10,0),N(Reales!BG62)),BG$201*IF(AND(AND(54&gt;Corte,54&lt;=Corte+n_Ventana),ISNUMBER(Detalle_24m!BG$66)),Detalle_24m!BG$66,INDEX(Precio_V,25)*INDEX(IdxPrecio_V,1,MIN(10,BG$173)))*(1+V_dPrecio))</f>
        <v>0</v>
      </c>
      <c r="BH226" s="48" t="n">
        <f aca="false">IF(BH$8=1,IF(Reales!$C$62="PYG",IF(BH$10&gt;0,N(Reales!BH62)/BH$10,0),N(Reales!BH62)),BH$201*IF(AND(AND(55&gt;Corte,55&lt;=Corte+n_Ventana),ISNUMBER(Detalle_24m!BH$66)),Detalle_24m!BH$66,INDEX(Precio_V,25)*INDEX(IdxPrecio_V,1,MIN(10,BH$173)))*(1+V_dPrecio))</f>
        <v>0</v>
      </c>
      <c r="BI226" s="48" t="n">
        <f aca="false">IF(BI$8=1,IF(Reales!$C$62="PYG",IF(BI$10&gt;0,N(Reales!BI62)/BI$10,0),N(Reales!BI62)),BI$201*IF(AND(AND(56&gt;Corte,56&lt;=Corte+n_Ventana),ISNUMBER(Detalle_24m!BI$66)),Detalle_24m!BI$66,INDEX(Precio_V,25)*INDEX(IdxPrecio_V,1,MIN(10,BI$173)))*(1+V_dPrecio))</f>
        <v>0</v>
      </c>
      <c r="BJ226" s="48" t="n">
        <f aca="false">IF(BJ$8=1,IF(Reales!$C$62="PYG",IF(BJ$10&gt;0,N(Reales!BJ62)/BJ$10,0),N(Reales!BJ62)),BJ$201*IF(AND(AND(57&gt;Corte,57&lt;=Corte+n_Ventana),ISNUMBER(Detalle_24m!BJ$66)),Detalle_24m!BJ$66,INDEX(Precio_V,25)*INDEX(IdxPrecio_V,1,MIN(10,BJ$173)))*(1+V_dPrecio))</f>
        <v>0</v>
      </c>
      <c r="BK226" s="48" t="n">
        <f aca="false">IF(BK$8=1,IF(Reales!$C$62="PYG",IF(BK$10&gt;0,N(Reales!BK62)/BK$10,0),N(Reales!BK62)),BK$201*IF(AND(AND(58&gt;Corte,58&lt;=Corte+n_Ventana),ISNUMBER(Detalle_24m!BK$66)),Detalle_24m!BK$66,INDEX(Precio_V,25)*INDEX(IdxPrecio_V,1,MIN(10,BK$173)))*(1+V_dPrecio))</f>
        <v>0</v>
      </c>
      <c r="BL226" s="48" t="n">
        <f aca="false">IF(BL$8=1,IF(Reales!$C$62="PYG",IF(BL$10&gt;0,N(Reales!BL62)/BL$10,0),N(Reales!BL62)),BL$201*IF(AND(AND(59&gt;Corte,59&lt;=Corte+n_Ventana),ISNUMBER(Detalle_24m!BL$66)),Detalle_24m!BL$66,INDEX(Precio_V,25)*INDEX(IdxPrecio_V,1,MIN(10,BL$173)))*(1+V_dPrecio))</f>
        <v>0</v>
      </c>
      <c r="BM226" s="48" t="n">
        <f aca="false">IF(BM$8=1,IF(Reales!$C$62="PYG",IF(BM$10&gt;0,N(Reales!BM62)/BM$10,0),N(Reales!BM62)),BM$201*IF(AND(AND(60&gt;Corte,60&lt;=Corte+n_Ventana),ISNUMBER(Detalle_24m!BM$66)),Detalle_24m!BM$66,INDEX(Precio_V,25)*INDEX(IdxPrecio_V,1,MIN(10,BM$173)))*(1+V_dPrecio))</f>
        <v>0</v>
      </c>
      <c r="BN226" s="48" t="n">
        <f aca="false">IF(BN$8=1,IF(Reales!$C$62="PYG",IF(BN$10&gt;0,N(Reales!BN62)/BN$10,0),N(Reales!BN62)),BN$201*IF(AND(AND(61&gt;Corte,61&lt;=Corte+n_Ventana),ISNUMBER(Detalle_24m!BN$66)),Detalle_24m!BN$66,INDEX(Precio_V,25)*INDEX(IdxPrecio_V,1,MIN(10,BN$173)))*(1+V_dPrecio))</f>
        <v>0</v>
      </c>
      <c r="BO226" s="48" t="n">
        <f aca="false">IF(BO$8=1,IF(Reales!$C$62="PYG",IF(BO$10&gt;0,N(Reales!BO62)/BO$10,0),N(Reales!BO62)),BO$201*IF(AND(AND(62&gt;Corte,62&lt;=Corte+n_Ventana),ISNUMBER(Detalle_24m!BO$66)),Detalle_24m!BO$66,INDEX(Precio_V,25)*INDEX(IdxPrecio_V,1,MIN(10,BO$173)))*(1+V_dPrecio))</f>
        <v>0</v>
      </c>
      <c r="BP226" s="48" t="n">
        <f aca="false">IF(BP$8=1,IF(Reales!$C$62="PYG",IF(BP$10&gt;0,N(Reales!BP62)/BP$10,0),N(Reales!BP62)),BP$201*IF(AND(AND(63&gt;Corte,63&lt;=Corte+n_Ventana),ISNUMBER(Detalle_24m!BP$66)),Detalle_24m!BP$66,INDEX(Precio_V,25)*INDEX(IdxPrecio_V,1,MIN(10,BP$173)))*(1+V_dPrecio))</f>
        <v>0</v>
      </c>
      <c r="BQ226" s="48" t="n">
        <f aca="false">IF(BQ$8=1,IF(Reales!$C$62="PYG",IF(BQ$10&gt;0,N(Reales!BQ62)/BQ$10,0),N(Reales!BQ62)),BQ$201*IF(AND(AND(64&gt;Corte,64&lt;=Corte+n_Ventana),ISNUMBER(Detalle_24m!BQ$66)),Detalle_24m!BQ$66,INDEX(Precio_V,25)*INDEX(IdxPrecio_V,1,MIN(10,BQ$173)))*(1+V_dPrecio))</f>
        <v>0</v>
      </c>
      <c r="BR226" s="48" t="n">
        <f aca="false">IF(BR$8=1,IF(Reales!$C$62="PYG",IF(BR$10&gt;0,N(Reales!BR62)/BR$10,0),N(Reales!BR62)),BR$201*IF(AND(AND(65&gt;Corte,65&lt;=Corte+n_Ventana),ISNUMBER(Detalle_24m!BR$66)),Detalle_24m!BR$66,INDEX(Precio_V,25)*INDEX(IdxPrecio_V,1,MIN(10,BR$173)))*(1+V_dPrecio))</f>
        <v>0</v>
      </c>
      <c r="BS226" s="48" t="n">
        <f aca="false">IF(BS$8=1,IF(Reales!$C$62="PYG",IF(BS$10&gt;0,N(Reales!BS62)/BS$10,0),N(Reales!BS62)),BS$201*IF(AND(AND(66&gt;Corte,66&lt;=Corte+n_Ventana),ISNUMBER(Detalle_24m!BS$66)),Detalle_24m!BS$66,INDEX(Precio_V,25)*INDEX(IdxPrecio_V,1,MIN(10,BS$173)))*(1+V_dPrecio))</f>
        <v>0</v>
      </c>
      <c r="BT226" s="48" t="n">
        <f aca="false">IF(BT$8=1,IF(Reales!$C$62="PYG",IF(BT$10&gt;0,N(Reales!BT62)/BT$10,0),N(Reales!BT62)),BT$201*IF(AND(AND(67&gt;Corte,67&lt;=Corte+n_Ventana),ISNUMBER(Detalle_24m!BT$66)),Detalle_24m!BT$66,INDEX(Precio_V,25)*INDEX(IdxPrecio_V,1,MIN(10,BT$173)))*(1+V_dPrecio))</f>
        <v>0</v>
      </c>
      <c r="BU226" s="48" t="n">
        <f aca="false">IF(BU$8=1,IF(Reales!$C$62="PYG",IF(BU$10&gt;0,N(Reales!BU62)/BU$10,0),N(Reales!BU62)),BU$201*IF(AND(AND(68&gt;Corte,68&lt;=Corte+n_Ventana),ISNUMBER(Detalle_24m!BU$66)),Detalle_24m!BU$66,INDEX(Precio_V,25)*INDEX(IdxPrecio_V,1,MIN(10,BU$173)))*(1+V_dPrecio))</f>
        <v>0</v>
      </c>
      <c r="BV226" s="48" t="n">
        <f aca="false">IF(BV$8=1,IF(Reales!$C$62="PYG",IF(BV$10&gt;0,N(Reales!BV62)/BV$10,0),N(Reales!BV62)),BV$201*IF(AND(AND(69&gt;Corte,69&lt;=Corte+n_Ventana),ISNUMBER(Detalle_24m!BV$66)),Detalle_24m!BV$66,INDEX(Precio_V,25)*INDEX(IdxPrecio_V,1,MIN(10,BV$173)))*(1+V_dPrecio))</f>
        <v>0</v>
      </c>
      <c r="BW226" s="48" t="n">
        <f aca="false">IF(BW$8=1,IF(Reales!$C$62="PYG",IF(BW$10&gt;0,N(Reales!BW62)/BW$10,0),N(Reales!BW62)),BW$201*IF(AND(AND(70&gt;Corte,70&lt;=Corte+n_Ventana),ISNUMBER(Detalle_24m!BW$66)),Detalle_24m!BW$66,INDEX(Precio_V,25)*INDEX(IdxPrecio_V,1,MIN(10,BW$173)))*(1+V_dPrecio))</f>
        <v>0</v>
      </c>
      <c r="BX226" s="48" t="n">
        <f aca="false">IF(BX$8=1,IF(Reales!$C$62="PYG",IF(BX$10&gt;0,N(Reales!BX62)/BX$10,0),N(Reales!BX62)),BX$201*IF(AND(AND(71&gt;Corte,71&lt;=Corte+n_Ventana),ISNUMBER(Detalle_24m!BX$66)),Detalle_24m!BX$66,INDEX(Precio_V,25)*INDEX(IdxPrecio_V,1,MIN(10,BX$173)))*(1+V_dPrecio))</f>
        <v>0</v>
      </c>
      <c r="BY226" s="48" t="n">
        <f aca="false">IF(BY$8=1,IF(Reales!$C$62="PYG",IF(BY$10&gt;0,N(Reales!BY62)/BY$10,0),N(Reales!BY62)),BY$201*IF(AND(AND(72&gt;Corte,72&lt;=Corte+n_Ventana),ISNUMBER(Detalle_24m!BY$66)),Detalle_24m!BY$66,INDEX(Precio_V,25)*INDEX(IdxPrecio_V,1,MIN(10,BY$173)))*(1+V_dPrecio))</f>
        <v>0</v>
      </c>
      <c r="BZ226" s="48" t="n">
        <f aca="false">IF(BZ$8=1,IF(Reales!$C$62="PYG",IF(BZ$10&gt;0,N(Reales!BZ62)/BZ$10,0),N(Reales!BZ62)),BZ$201*IF(AND(AND(73&gt;Corte,73&lt;=Corte+n_Ventana),ISNUMBER(Detalle_24m!BZ$66)),Detalle_24m!BZ$66,INDEX(Precio_V,25)*INDEX(IdxPrecio_V,1,MIN(10,BZ$173)))*(1+V_dPrecio))</f>
        <v>0</v>
      </c>
      <c r="CA226" s="48" t="n">
        <f aca="false">IF(CA$8=1,IF(Reales!$C$62="PYG",IF(CA$10&gt;0,N(Reales!CA62)/CA$10,0),N(Reales!CA62)),CA$201*IF(AND(AND(74&gt;Corte,74&lt;=Corte+n_Ventana),ISNUMBER(Detalle_24m!CA$66)),Detalle_24m!CA$66,INDEX(Precio_V,25)*INDEX(IdxPrecio_V,1,MIN(10,CA$173)))*(1+V_dPrecio))</f>
        <v>0</v>
      </c>
      <c r="CB226" s="48" t="n">
        <f aca="false">IF(CB$8=1,IF(Reales!$C$62="PYG",IF(CB$10&gt;0,N(Reales!CB62)/CB$10,0),N(Reales!CB62)),CB$201*IF(AND(AND(75&gt;Corte,75&lt;=Corte+n_Ventana),ISNUMBER(Detalle_24m!CB$66)),Detalle_24m!CB$66,INDEX(Precio_V,25)*INDEX(IdxPrecio_V,1,MIN(10,CB$173)))*(1+V_dPrecio))</f>
        <v>0</v>
      </c>
      <c r="CC226" s="48" t="n">
        <f aca="false">IF(CC$8=1,IF(Reales!$C$62="PYG",IF(CC$10&gt;0,N(Reales!CC62)/CC$10,0),N(Reales!CC62)),CC$201*IF(AND(AND(76&gt;Corte,76&lt;=Corte+n_Ventana),ISNUMBER(Detalle_24m!CC$66)),Detalle_24m!CC$66,INDEX(Precio_V,25)*INDEX(IdxPrecio_V,1,MIN(10,CC$173)))*(1+V_dPrecio))</f>
        <v>0</v>
      </c>
      <c r="CD226" s="48" t="n">
        <f aca="false">IF(CD$8=1,IF(Reales!$C$62="PYG",IF(CD$10&gt;0,N(Reales!CD62)/CD$10,0),N(Reales!CD62)),CD$201*IF(AND(AND(77&gt;Corte,77&lt;=Corte+n_Ventana),ISNUMBER(Detalle_24m!CD$66)),Detalle_24m!CD$66,INDEX(Precio_V,25)*INDEX(IdxPrecio_V,1,MIN(10,CD$173)))*(1+V_dPrecio))</f>
        <v>0</v>
      </c>
      <c r="CE226" s="48" t="n">
        <f aca="false">IF(CE$8=1,IF(Reales!$C$62="PYG",IF(CE$10&gt;0,N(Reales!CE62)/CE$10,0),N(Reales!CE62)),CE$201*IF(AND(AND(78&gt;Corte,78&lt;=Corte+n_Ventana),ISNUMBER(Detalle_24m!CE$66)),Detalle_24m!CE$66,INDEX(Precio_V,25)*INDEX(IdxPrecio_V,1,MIN(10,CE$173)))*(1+V_dPrecio))</f>
        <v>0</v>
      </c>
      <c r="CF226" s="48" t="n">
        <f aca="false">IF(CF$8=1,IF(Reales!$C$62="PYG",IF(CF$10&gt;0,N(Reales!CF62)/CF$10,0),N(Reales!CF62)),CF$201*IF(AND(AND(79&gt;Corte,79&lt;=Corte+n_Ventana),ISNUMBER(Detalle_24m!CF$66)),Detalle_24m!CF$66,INDEX(Precio_V,25)*INDEX(IdxPrecio_V,1,MIN(10,CF$173)))*(1+V_dPrecio))</f>
        <v>0</v>
      </c>
      <c r="CG226" s="48" t="n">
        <f aca="false">IF(CG$8=1,IF(Reales!$C$62="PYG",IF(CG$10&gt;0,N(Reales!CG62)/CG$10,0),N(Reales!CG62)),CG$201*IF(AND(AND(80&gt;Corte,80&lt;=Corte+n_Ventana),ISNUMBER(Detalle_24m!CG$66)),Detalle_24m!CG$66,INDEX(Precio_V,25)*INDEX(IdxPrecio_V,1,MIN(10,CG$173)))*(1+V_dPrecio))</f>
        <v>0</v>
      </c>
      <c r="CH226" s="48" t="n">
        <f aca="false">IF(CH$8=1,IF(Reales!$C$62="PYG",IF(CH$10&gt;0,N(Reales!CH62)/CH$10,0),N(Reales!CH62)),CH$201*IF(AND(AND(81&gt;Corte,81&lt;=Corte+n_Ventana),ISNUMBER(Detalle_24m!CH$66)),Detalle_24m!CH$66,INDEX(Precio_V,25)*INDEX(IdxPrecio_V,1,MIN(10,CH$173)))*(1+V_dPrecio))</f>
        <v>0</v>
      </c>
      <c r="CI226" s="48" t="n">
        <f aca="false">IF(CI$8=1,IF(Reales!$C$62="PYG",IF(CI$10&gt;0,N(Reales!CI62)/CI$10,0),N(Reales!CI62)),CI$201*IF(AND(AND(82&gt;Corte,82&lt;=Corte+n_Ventana),ISNUMBER(Detalle_24m!CI$66)),Detalle_24m!CI$66,INDEX(Precio_V,25)*INDEX(IdxPrecio_V,1,MIN(10,CI$173)))*(1+V_dPrecio))</f>
        <v>0</v>
      </c>
      <c r="CJ226" s="48" t="n">
        <f aca="false">IF(CJ$8=1,IF(Reales!$C$62="PYG",IF(CJ$10&gt;0,N(Reales!CJ62)/CJ$10,0),N(Reales!CJ62)),CJ$201*IF(AND(AND(83&gt;Corte,83&lt;=Corte+n_Ventana),ISNUMBER(Detalle_24m!CJ$66)),Detalle_24m!CJ$66,INDEX(Precio_V,25)*INDEX(IdxPrecio_V,1,MIN(10,CJ$173)))*(1+V_dPrecio))</f>
        <v>0</v>
      </c>
      <c r="CK226" s="48" t="n">
        <f aca="false">IF(CK$8=1,IF(Reales!$C$62="PYG",IF(CK$10&gt;0,N(Reales!CK62)/CK$10,0),N(Reales!CK62)),CK$201*IF(AND(AND(84&gt;Corte,84&lt;=Corte+n_Ventana),ISNUMBER(Detalle_24m!CK$66)),Detalle_24m!CK$66,INDEX(Precio_V,25)*INDEX(IdxPrecio_V,1,MIN(10,CK$173)))*(1+V_dPrecio))</f>
        <v>0</v>
      </c>
      <c r="CL226" s="48" t="n">
        <f aca="false">IF(CL$8=1,IF(Reales!$C$62="PYG",IF(CL$10&gt;0,N(Reales!CL62)/CL$10,0),N(Reales!CL62)),CL$201*IF(AND(AND(85&gt;Corte,85&lt;=Corte+n_Ventana),ISNUMBER(Detalle_24m!CL$66)),Detalle_24m!CL$66,INDEX(Precio_V,25)*INDEX(IdxPrecio_V,1,MIN(10,CL$173)))*(1+V_dPrecio))</f>
        <v>0</v>
      </c>
      <c r="CM226" s="48" t="n">
        <f aca="false">IF(CM$8=1,IF(Reales!$C$62="PYG",IF(CM$10&gt;0,N(Reales!CM62)/CM$10,0),N(Reales!CM62)),CM$201*IF(AND(AND(86&gt;Corte,86&lt;=Corte+n_Ventana),ISNUMBER(Detalle_24m!CM$66)),Detalle_24m!CM$66,INDEX(Precio_V,25)*INDEX(IdxPrecio_V,1,MIN(10,CM$173)))*(1+V_dPrecio))</f>
        <v>0</v>
      </c>
      <c r="CN226" s="48" t="n">
        <f aca="false">IF(CN$8=1,IF(Reales!$C$62="PYG",IF(CN$10&gt;0,N(Reales!CN62)/CN$10,0),N(Reales!CN62)),CN$201*IF(AND(AND(87&gt;Corte,87&lt;=Corte+n_Ventana),ISNUMBER(Detalle_24m!CN$66)),Detalle_24m!CN$66,INDEX(Precio_V,25)*INDEX(IdxPrecio_V,1,MIN(10,CN$173)))*(1+V_dPrecio))</f>
        <v>0</v>
      </c>
      <c r="CO226" s="48" t="n">
        <f aca="false">IF(CO$8=1,IF(Reales!$C$62="PYG",IF(CO$10&gt;0,N(Reales!CO62)/CO$10,0),N(Reales!CO62)),CO$201*IF(AND(AND(88&gt;Corte,88&lt;=Corte+n_Ventana),ISNUMBER(Detalle_24m!CO$66)),Detalle_24m!CO$66,INDEX(Precio_V,25)*INDEX(IdxPrecio_V,1,MIN(10,CO$173)))*(1+V_dPrecio))</f>
        <v>0</v>
      </c>
      <c r="CP226" s="48" t="n">
        <f aca="false">IF(CP$8=1,IF(Reales!$C$62="PYG",IF(CP$10&gt;0,N(Reales!CP62)/CP$10,0),N(Reales!CP62)),CP$201*IF(AND(AND(89&gt;Corte,89&lt;=Corte+n_Ventana),ISNUMBER(Detalle_24m!CP$66)),Detalle_24m!CP$66,INDEX(Precio_V,25)*INDEX(IdxPrecio_V,1,MIN(10,CP$173)))*(1+V_dPrecio))</f>
        <v>0</v>
      </c>
      <c r="CQ226" s="48" t="n">
        <f aca="false">IF(CQ$8=1,IF(Reales!$C$62="PYG",IF(CQ$10&gt;0,N(Reales!CQ62)/CQ$10,0),N(Reales!CQ62)),CQ$201*IF(AND(AND(90&gt;Corte,90&lt;=Corte+n_Ventana),ISNUMBER(Detalle_24m!CQ$66)),Detalle_24m!CQ$66,INDEX(Precio_V,25)*INDEX(IdxPrecio_V,1,MIN(10,CQ$173)))*(1+V_dPrecio))</f>
        <v>0</v>
      </c>
      <c r="CR226" s="48" t="n">
        <f aca="false">IF(CR$8=1,IF(Reales!$C$62="PYG",IF(CR$10&gt;0,N(Reales!CR62)/CR$10,0),N(Reales!CR62)),CR$201*IF(AND(AND(91&gt;Corte,91&lt;=Corte+n_Ventana),ISNUMBER(Detalle_24m!CR$66)),Detalle_24m!CR$66,INDEX(Precio_V,25)*INDEX(IdxPrecio_V,1,MIN(10,CR$173)))*(1+V_dPrecio))</f>
        <v>0</v>
      </c>
      <c r="CS226" s="48" t="n">
        <f aca="false">IF(CS$8=1,IF(Reales!$C$62="PYG",IF(CS$10&gt;0,N(Reales!CS62)/CS$10,0),N(Reales!CS62)),CS$201*IF(AND(AND(92&gt;Corte,92&lt;=Corte+n_Ventana),ISNUMBER(Detalle_24m!CS$66)),Detalle_24m!CS$66,INDEX(Precio_V,25)*INDEX(IdxPrecio_V,1,MIN(10,CS$173)))*(1+V_dPrecio))</f>
        <v>0</v>
      </c>
      <c r="CT226" s="48" t="n">
        <f aca="false">IF(CT$8=1,IF(Reales!$C$62="PYG",IF(CT$10&gt;0,N(Reales!CT62)/CT$10,0),N(Reales!CT62)),CT$201*IF(AND(AND(93&gt;Corte,93&lt;=Corte+n_Ventana),ISNUMBER(Detalle_24m!CT$66)),Detalle_24m!CT$66,INDEX(Precio_V,25)*INDEX(IdxPrecio_V,1,MIN(10,CT$173)))*(1+V_dPrecio))</f>
        <v>0</v>
      </c>
      <c r="CU226" s="48" t="n">
        <f aca="false">IF(CU$8=1,IF(Reales!$C$62="PYG",IF(CU$10&gt;0,N(Reales!CU62)/CU$10,0),N(Reales!CU62)),CU$201*IF(AND(AND(94&gt;Corte,94&lt;=Corte+n_Ventana),ISNUMBER(Detalle_24m!CU$66)),Detalle_24m!CU$66,INDEX(Precio_V,25)*INDEX(IdxPrecio_V,1,MIN(10,CU$173)))*(1+V_dPrecio))</f>
        <v>0</v>
      </c>
      <c r="CV226" s="48" t="n">
        <f aca="false">IF(CV$8=1,IF(Reales!$C$62="PYG",IF(CV$10&gt;0,N(Reales!CV62)/CV$10,0),N(Reales!CV62)),CV$201*IF(AND(AND(95&gt;Corte,95&lt;=Corte+n_Ventana),ISNUMBER(Detalle_24m!CV$66)),Detalle_24m!CV$66,INDEX(Precio_V,25)*INDEX(IdxPrecio_V,1,MIN(10,CV$173)))*(1+V_dPrecio))</f>
        <v>0</v>
      </c>
      <c r="CW226" s="48" t="n">
        <f aca="false">IF(CW$8=1,IF(Reales!$C$62="PYG",IF(CW$10&gt;0,N(Reales!CW62)/CW$10,0),N(Reales!CW62)),CW$201*IF(AND(AND(96&gt;Corte,96&lt;=Corte+n_Ventana),ISNUMBER(Detalle_24m!CW$66)),Detalle_24m!CW$66,INDEX(Precio_V,25)*INDEX(IdxPrecio_V,1,MIN(10,CW$173)))*(1+V_dPrecio))</f>
        <v>0</v>
      </c>
      <c r="CX226" s="48" t="n">
        <f aca="false">IF(CX$8=1,IF(Reales!$C$62="PYG",IF(CX$10&gt;0,N(Reales!CX62)/CX$10,0),N(Reales!CX62)),CX$201*IF(AND(AND(97&gt;Corte,97&lt;=Corte+n_Ventana),ISNUMBER(Detalle_24m!CX$66)),Detalle_24m!CX$66,INDEX(Precio_V,25)*INDEX(IdxPrecio_V,1,MIN(10,CX$173)))*(1+V_dPrecio))</f>
        <v>0</v>
      </c>
      <c r="CY226" s="48" t="n">
        <f aca="false">IF(CY$8=1,IF(Reales!$C$62="PYG",IF(CY$10&gt;0,N(Reales!CY62)/CY$10,0),N(Reales!CY62)),CY$201*IF(AND(AND(98&gt;Corte,98&lt;=Corte+n_Ventana),ISNUMBER(Detalle_24m!CY$66)),Detalle_24m!CY$66,INDEX(Precio_V,25)*INDEX(IdxPrecio_V,1,MIN(10,CY$173)))*(1+V_dPrecio))</f>
        <v>0</v>
      </c>
      <c r="CZ226" s="48" t="n">
        <f aca="false">IF(CZ$8=1,IF(Reales!$C$62="PYG",IF(CZ$10&gt;0,N(Reales!CZ62)/CZ$10,0),N(Reales!CZ62)),CZ$201*IF(AND(AND(99&gt;Corte,99&lt;=Corte+n_Ventana),ISNUMBER(Detalle_24m!CZ$66)),Detalle_24m!CZ$66,INDEX(Precio_V,25)*INDEX(IdxPrecio_V,1,MIN(10,CZ$173)))*(1+V_dPrecio))</f>
        <v>0</v>
      </c>
      <c r="DA226" s="48" t="n">
        <f aca="false">IF(DA$8=1,IF(Reales!$C$62="PYG",IF(DA$10&gt;0,N(Reales!DA62)/DA$10,0),N(Reales!DA62)),DA$201*IF(AND(AND(100&gt;Corte,100&lt;=Corte+n_Ventana),ISNUMBER(Detalle_24m!DA$66)),Detalle_24m!DA$66,INDEX(Precio_V,25)*INDEX(IdxPrecio_V,1,MIN(10,DA$173)))*(1+V_dPrecio))</f>
        <v>0</v>
      </c>
      <c r="DB226" s="48" t="n">
        <f aca="false">IF(DB$8=1,IF(Reales!$C$62="PYG",IF(DB$10&gt;0,N(Reales!DB62)/DB$10,0),N(Reales!DB62)),DB$201*IF(AND(AND(101&gt;Corte,101&lt;=Corte+n_Ventana),ISNUMBER(Detalle_24m!DB$66)),Detalle_24m!DB$66,INDEX(Precio_V,25)*INDEX(IdxPrecio_V,1,MIN(10,DB$173)))*(1+V_dPrecio))</f>
        <v>0</v>
      </c>
      <c r="DC226" s="48" t="n">
        <f aca="false">IF(DC$8=1,IF(Reales!$C$62="PYG",IF(DC$10&gt;0,N(Reales!DC62)/DC$10,0),N(Reales!DC62)),DC$201*IF(AND(AND(102&gt;Corte,102&lt;=Corte+n_Ventana),ISNUMBER(Detalle_24m!DC$66)),Detalle_24m!DC$66,INDEX(Precio_V,25)*INDEX(IdxPrecio_V,1,MIN(10,DC$173)))*(1+V_dPrecio))</f>
        <v>0</v>
      </c>
      <c r="DD226" s="48" t="n">
        <f aca="false">IF(DD$8=1,IF(Reales!$C$62="PYG",IF(DD$10&gt;0,N(Reales!DD62)/DD$10,0),N(Reales!DD62)),DD$201*IF(AND(AND(103&gt;Corte,103&lt;=Corte+n_Ventana),ISNUMBER(Detalle_24m!DD$66)),Detalle_24m!DD$66,INDEX(Precio_V,25)*INDEX(IdxPrecio_V,1,MIN(10,DD$173)))*(1+V_dPrecio))</f>
        <v>0</v>
      </c>
      <c r="DE226" s="48" t="n">
        <f aca="false">IF(DE$8=1,IF(Reales!$C$62="PYG",IF(DE$10&gt;0,N(Reales!DE62)/DE$10,0),N(Reales!DE62)),DE$201*IF(AND(AND(104&gt;Corte,104&lt;=Corte+n_Ventana),ISNUMBER(Detalle_24m!DE$66)),Detalle_24m!DE$66,INDEX(Precio_V,25)*INDEX(IdxPrecio_V,1,MIN(10,DE$173)))*(1+V_dPrecio))</f>
        <v>0</v>
      </c>
      <c r="DF226" s="48" t="n">
        <f aca="false">IF(DF$8=1,IF(Reales!$C$62="PYG",IF(DF$10&gt;0,N(Reales!DF62)/DF$10,0),N(Reales!DF62)),DF$201*IF(AND(AND(105&gt;Corte,105&lt;=Corte+n_Ventana),ISNUMBER(Detalle_24m!DF$66)),Detalle_24m!DF$66,INDEX(Precio_V,25)*INDEX(IdxPrecio_V,1,MIN(10,DF$173)))*(1+V_dPrecio))</f>
        <v>0</v>
      </c>
      <c r="DG226" s="48" t="n">
        <f aca="false">IF(DG$8=1,IF(Reales!$C$62="PYG",IF(DG$10&gt;0,N(Reales!DG62)/DG$10,0),N(Reales!DG62)),DG$201*IF(AND(AND(106&gt;Corte,106&lt;=Corte+n_Ventana),ISNUMBER(Detalle_24m!DG$66)),Detalle_24m!DG$66,INDEX(Precio_V,25)*INDEX(IdxPrecio_V,1,MIN(10,DG$173)))*(1+V_dPrecio))</f>
        <v>0</v>
      </c>
      <c r="DH226" s="48" t="n">
        <f aca="false">IF(DH$8=1,IF(Reales!$C$62="PYG",IF(DH$10&gt;0,N(Reales!DH62)/DH$10,0),N(Reales!DH62)),DH$201*IF(AND(AND(107&gt;Corte,107&lt;=Corte+n_Ventana),ISNUMBER(Detalle_24m!DH$66)),Detalle_24m!DH$66,INDEX(Precio_V,25)*INDEX(IdxPrecio_V,1,MIN(10,DH$173)))*(1+V_dPrecio))</f>
        <v>0</v>
      </c>
      <c r="DI226" s="48" t="n">
        <f aca="false">IF(DI$8=1,IF(Reales!$C$62="PYG",IF(DI$10&gt;0,N(Reales!DI62)/DI$10,0),N(Reales!DI62)),DI$201*IF(AND(AND(108&gt;Corte,108&lt;=Corte+n_Ventana),ISNUMBER(Detalle_24m!DI$66)),Detalle_24m!DI$66,INDEX(Precio_V,25)*INDEX(IdxPrecio_V,1,MIN(10,DI$173)))*(1+V_dPrecio))</f>
        <v>0</v>
      </c>
      <c r="DJ226" s="48" t="n">
        <f aca="false">IF(DJ$8=1,IF(Reales!$C$62="PYG",IF(DJ$10&gt;0,N(Reales!DJ62)/DJ$10,0),N(Reales!DJ62)),DJ$201*IF(AND(AND(109&gt;Corte,109&lt;=Corte+n_Ventana),ISNUMBER(Detalle_24m!DJ$66)),Detalle_24m!DJ$66,INDEX(Precio_V,25)*INDEX(IdxPrecio_V,1,MIN(10,DJ$173)))*(1+V_dPrecio))</f>
        <v>0</v>
      </c>
      <c r="DK226" s="48" t="n">
        <f aca="false">IF(DK$8=1,IF(Reales!$C$62="PYG",IF(DK$10&gt;0,N(Reales!DK62)/DK$10,0),N(Reales!DK62)),DK$201*IF(AND(AND(110&gt;Corte,110&lt;=Corte+n_Ventana),ISNUMBER(Detalle_24m!DK$66)),Detalle_24m!DK$66,INDEX(Precio_V,25)*INDEX(IdxPrecio_V,1,MIN(10,DK$173)))*(1+V_dPrecio))</f>
        <v>0</v>
      </c>
      <c r="DL226" s="48" t="n">
        <f aca="false">IF(DL$8=1,IF(Reales!$C$62="PYG",IF(DL$10&gt;0,N(Reales!DL62)/DL$10,0),N(Reales!DL62)),DL$201*IF(AND(AND(111&gt;Corte,111&lt;=Corte+n_Ventana),ISNUMBER(Detalle_24m!DL$66)),Detalle_24m!DL$66,INDEX(Precio_V,25)*INDEX(IdxPrecio_V,1,MIN(10,DL$173)))*(1+V_dPrecio))</f>
        <v>0</v>
      </c>
      <c r="DM226" s="48" t="n">
        <f aca="false">IF(DM$8=1,IF(Reales!$C$62="PYG",IF(DM$10&gt;0,N(Reales!DM62)/DM$10,0),N(Reales!DM62)),DM$201*IF(AND(AND(112&gt;Corte,112&lt;=Corte+n_Ventana),ISNUMBER(Detalle_24m!DM$66)),Detalle_24m!DM$66,INDEX(Precio_V,25)*INDEX(IdxPrecio_V,1,MIN(10,DM$173)))*(1+V_dPrecio))</f>
        <v>0</v>
      </c>
      <c r="DN226" s="48" t="n">
        <f aca="false">IF(DN$8=1,IF(Reales!$C$62="PYG",IF(DN$10&gt;0,N(Reales!DN62)/DN$10,0),N(Reales!DN62)),DN$201*IF(AND(AND(113&gt;Corte,113&lt;=Corte+n_Ventana),ISNUMBER(Detalle_24m!DN$66)),Detalle_24m!DN$66,INDEX(Precio_V,25)*INDEX(IdxPrecio_V,1,MIN(10,DN$173)))*(1+V_dPrecio))</f>
        <v>0</v>
      </c>
      <c r="DO226" s="48" t="n">
        <f aca="false">IF(DO$8=1,IF(Reales!$C$62="PYG",IF(DO$10&gt;0,N(Reales!DO62)/DO$10,0),N(Reales!DO62)),DO$201*IF(AND(AND(114&gt;Corte,114&lt;=Corte+n_Ventana),ISNUMBER(Detalle_24m!DO$66)),Detalle_24m!DO$66,INDEX(Precio_V,25)*INDEX(IdxPrecio_V,1,MIN(10,DO$173)))*(1+V_dPrecio))</f>
        <v>0</v>
      </c>
      <c r="DP226" s="48" t="n">
        <f aca="false">IF(DP$8=1,IF(Reales!$C$62="PYG",IF(DP$10&gt;0,N(Reales!DP62)/DP$10,0),N(Reales!DP62)),DP$201*IF(AND(AND(115&gt;Corte,115&lt;=Corte+n_Ventana),ISNUMBER(Detalle_24m!DP$66)),Detalle_24m!DP$66,INDEX(Precio_V,25)*INDEX(IdxPrecio_V,1,MIN(10,DP$173)))*(1+V_dPrecio))</f>
        <v>0</v>
      </c>
      <c r="DQ226" s="48" t="n">
        <f aca="false">IF(DQ$8=1,IF(Reales!$C$62="PYG",IF(DQ$10&gt;0,N(Reales!DQ62)/DQ$10,0),N(Reales!DQ62)),DQ$201*IF(AND(AND(116&gt;Corte,116&lt;=Corte+n_Ventana),ISNUMBER(Detalle_24m!DQ$66)),Detalle_24m!DQ$66,INDEX(Precio_V,25)*INDEX(IdxPrecio_V,1,MIN(10,DQ$173)))*(1+V_dPrecio))</f>
        <v>0</v>
      </c>
      <c r="DR226" s="48" t="n">
        <f aca="false">IF(DR$8=1,IF(Reales!$C$62="PYG",IF(DR$10&gt;0,N(Reales!DR62)/DR$10,0),N(Reales!DR62)),DR$201*IF(AND(AND(117&gt;Corte,117&lt;=Corte+n_Ventana),ISNUMBER(Detalle_24m!DR$66)),Detalle_24m!DR$66,INDEX(Precio_V,25)*INDEX(IdxPrecio_V,1,MIN(10,DR$173)))*(1+V_dPrecio))</f>
        <v>0</v>
      </c>
      <c r="DS226" s="48" t="n">
        <f aca="false">IF(DS$8=1,IF(Reales!$C$62="PYG",IF(DS$10&gt;0,N(Reales!DS62)/DS$10,0),N(Reales!DS62)),DS$201*IF(AND(AND(118&gt;Corte,118&lt;=Corte+n_Ventana),ISNUMBER(Detalle_24m!DS$66)),Detalle_24m!DS$66,INDEX(Precio_V,25)*INDEX(IdxPrecio_V,1,MIN(10,DS$173)))*(1+V_dPrecio))</f>
        <v>0</v>
      </c>
      <c r="DT226" s="48" t="n">
        <f aca="false">IF(DT$8=1,IF(Reales!$C$62="PYG",IF(DT$10&gt;0,N(Reales!DT62)/DT$10,0),N(Reales!DT62)),DT$201*IF(AND(AND(119&gt;Corte,119&lt;=Corte+n_Ventana),ISNUMBER(Detalle_24m!DT$66)),Detalle_24m!DT$66,INDEX(Precio_V,25)*INDEX(IdxPrecio_V,1,MIN(10,DT$173)))*(1+V_dPrecio))</f>
        <v>0</v>
      </c>
      <c r="DU226" s="48" t="n">
        <f aca="false">IF(DU$8=1,IF(Reales!$C$62="PYG",IF(DU$10&gt;0,N(Reales!DU62)/DU$10,0),N(Reales!DU62)),DU$201*IF(AND(AND(120&gt;Corte,120&lt;=Corte+n_Ventana),ISNUMBER(Detalle_24m!DU$66)),Detalle_24m!DU$66,INDEX(Precio_V,25)*INDEX(IdxPrecio_V,1,MIN(10,DU$173)))*(1+V_dPrecio))</f>
        <v>0</v>
      </c>
      <c r="DV226" s="48" t="n">
        <f aca="false">IF(DV$8=1,IF(Reales!$C$62="PYG",IF(DV$10&gt;0,N(Reales!DV62)/DV$10,0),N(Reales!DV62)),DV$201*IF(AND(AND(121&gt;Corte,121&lt;=Corte+n_Ventana),ISNUMBER(Detalle_24m!DV$66)),Detalle_24m!DV$66,INDEX(Precio_V,25)*INDEX(IdxPrecio_V,1,MIN(10,DV$173)))*(1+V_dPrecio))</f>
        <v>0</v>
      </c>
      <c r="DW226" s="48" t="n">
        <f aca="false">IF(DW$8=1,IF(Reales!$C$62="PYG",IF(DW$10&gt;0,N(Reales!DW62)/DW$10,0),N(Reales!DW62)),DW$201*IF(AND(AND(122&gt;Corte,122&lt;=Corte+n_Ventana),ISNUMBER(Detalle_24m!DW$66)),Detalle_24m!DW$66,INDEX(Precio_V,25)*INDEX(IdxPrecio_V,1,MIN(10,DW$173)))*(1+V_dPrecio))</f>
        <v>0</v>
      </c>
      <c r="DX226" s="48" t="n">
        <f aca="false">IF(DX$8=1,IF(Reales!$C$62="PYG",IF(DX$10&gt;0,N(Reales!DX62)/DX$10,0),N(Reales!DX62)),DX$201*IF(AND(AND(123&gt;Corte,123&lt;=Corte+n_Ventana),ISNUMBER(Detalle_24m!DX$66)),Detalle_24m!DX$66,INDEX(Precio_V,25)*INDEX(IdxPrecio_V,1,MIN(10,DX$173)))*(1+V_dPrecio))</f>
        <v>0</v>
      </c>
      <c r="DY226" s="48" t="n">
        <f aca="false">IF(DY$8=1,IF(Reales!$C$62="PYG",IF(DY$10&gt;0,N(Reales!DY62)/DY$10,0),N(Reales!DY62)),DY$201*IF(AND(AND(124&gt;Corte,124&lt;=Corte+n_Ventana),ISNUMBER(Detalle_24m!DY$66)),Detalle_24m!DY$66,INDEX(Precio_V,25)*INDEX(IdxPrecio_V,1,MIN(10,DY$173)))*(1+V_dPrecio))</f>
        <v>0</v>
      </c>
      <c r="DZ226" s="48" t="n">
        <f aca="false">IF(DZ$8=1,IF(Reales!$C$62="PYG",IF(DZ$10&gt;0,N(Reales!DZ62)/DZ$10,0),N(Reales!DZ62)),DZ$201*IF(AND(AND(125&gt;Corte,125&lt;=Corte+n_Ventana),ISNUMBER(Detalle_24m!DZ$66)),Detalle_24m!DZ$66,INDEX(Precio_V,25)*INDEX(IdxPrecio_V,1,MIN(10,DZ$173)))*(1+V_dPrecio))</f>
        <v>0</v>
      </c>
      <c r="EA226" s="48" t="n">
        <f aca="false">IF(EA$8=1,IF(Reales!$C$62="PYG",IF(EA$10&gt;0,N(Reales!EA62)/EA$10,0),N(Reales!EA62)),EA$201*IF(AND(AND(126&gt;Corte,126&lt;=Corte+n_Ventana),ISNUMBER(Detalle_24m!EA$66)),Detalle_24m!EA$66,INDEX(Precio_V,25)*INDEX(IdxPrecio_V,1,MIN(10,EA$173)))*(1+V_dPrecio))</f>
        <v>0</v>
      </c>
      <c r="EB226" s="48" t="n">
        <f aca="false">IF(EB$8=1,IF(Reales!$C$62="PYG",IF(EB$10&gt;0,N(Reales!EB62)/EB$10,0),N(Reales!EB62)),EB$201*IF(AND(AND(127&gt;Corte,127&lt;=Corte+n_Ventana),ISNUMBER(Detalle_24m!EB$66)),Detalle_24m!EB$66,INDEX(Precio_V,25)*INDEX(IdxPrecio_V,1,MIN(10,EB$173)))*(1+V_dPrecio))</f>
        <v>0</v>
      </c>
      <c r="EC226" s="48" t="n">
        <f aca="false">IF(EC$8=1,IF(Reales!$C$62="PYG",IF(EC$10&gt;0,N(Reales!EC62)/EC$10,0),N(Reales!EC62)),EC$201*IF(AND(AND(128&gt;Corte,128&lt;=Corte+n_Ventana),ISNUMBER(Detalle_24m!EC$66)),Detalle_24m!EC$66,INDEX(Precio_V,25)*INDEX(IdxPrecio_V,1,MIN(10,EC$173)))*(1+V_dPrecio))</f>
        <v>0</v>
      </c>
      <c r="ED226" s="48" t="n">
        <f aca="false">IF(ED$8=1,IF(Reales!$C$62="PYG",IF(ED$10&gt;0,N(Reales!ED62)/ED$10,0),N(Reales!ED62)),ED$201*IF(AND(AND(129&gt;Corte,129&lt;=Corte+n_Ventana),ISNUMBER(Detalle_24m!ED$66)),Detalle_24m!ED$66,INDEX(Precio_V,25)*INDEX(IdxPrecio_V,1,MIN(10,ED$173)))*(1+V_dPrecio))</f>
        <v>0</v>
      </c>
      <c r="EE226" s="48" t="n">
        <f aca="false">IF(EE$8=1,IF(Reales!$C$62="PYG",IF(EE$10&gt;0,N(Reales!EE62)/EE$10,0),N(Reales!EE62)),EE$201*IF(AND(AND(130&gt;Corte,130&lt;=Corte+n_Ventana),ISNUMBER(Detalle_24m!EE$66)),Detalle_24m!EE$66,INDEX(Precio_V,25)*INDEX(IdxPrecio_V,1,MIN(10,EE$173)))*(1+V_dPrecio))</f>
        <v>0</v>
      </c>
      <c r="EF226" s="48" t="n">
        <f aca="false">IF(EF$8=1,IF(Reales!$C$62="PYG",IF(EF$10&gt;0,N(Reales!EF62)/EF$10,0),N(Reales!EF62)),EF$201*IF(AND(AND(131&gt;Corte,131&lt;=Corte+n_Ventana),ISNUMBER(Detalle_24m!EF$66)),Detalle_24m!EF$66,INDEX(Precio_V,25)*INDEX(IdxPrecio_V,1,MIN(10,EF$173)))*(1+V_dPrecio))</f>
        <v>0</v>
      </c>
      <c r="EG226" s="48" t="n">
        <f aca="false">IF(EG$8=1,IF(Reales!$C$62="PYG",IF(EG$10&gt;0,N(Reales!EG62)/EG$10,0),N(Reales!EG62)),EG$201*IF(AND(AND(132&gt;Corte,132&lt;=Corte+n_Ventana),ISNUMBER(Detalle_24m!EG$66)),Detalle_24m!EG$66,INDEX(Precio_V,25)*INDEX(IdxPrecio_V,1,MIN(10,EG$173)))*(1+V_dPrecio))</f>
        <v>0</v>
      </c>
      <c r="EH226" s="48" t="n">
        <f aca="false">IF(EH$8=1,IF(Reales!$C$62="PYG",IF(EH$10&gt;0,N(Reales!EH62)/EH$10,0),N(Reales!EH62)),EH$201*IF(AND(AND(133&gt;Corte,133&lt;=Corte+n_Ventana),ISNUMBER(Detalle_24m!EH$66)),Detalle_24m!EH$66,INDEX(Precio_V,25)*INDEX(IdxPrecio_V,1,MIN(10,EH$173)))*(1+V_dPrecio))</f>
        <v>0</v>
      </c>
      <c r="EI226" s="48" t="n">
        <f aca="false">IF(EI$8=1,IF(Reales!$C$62="PYG",IF(EI$10&gt;0,N(Reales!EI62)/EI$10,0),N(Reales!EI62)),EI$201*IF(AND(AND(134&gt;Corte,134&lt;=Corte+n_Ventana),ISNUMBER(Detalle_24m!EI$66)),Detalle_24m!EI$66,INDEX(Precio_V,25)*INDEX(IdxPrecio_V,1,MIN(10,EI$173)))*(1+V_dPrecio))</f>
        <v>0</v>
      </c>
      <c r="EJ226" s="48" t="n">
        <f aca="false">IF(EJ$8=1,IF(Reales!$C$62="PYG",IF(EJ$10&gt;0,N(Reales!EJ62)/EJ$10,0),N(Reales!EJ62)),EJ$201*IF(AND(AND(135&gt;Corte,135&lt;=Corte+n_Ventana),ISNUMBER(Detalle_24m!EJ$66)),Detalle_24m!EJ$66,INDEX(Precio_V,25)*INDEX(IdxPrecio_V,1,MIN(10,EJ$173)))*(1+V_dPrecio))</f>
        <v>0</v>
      </c>
      <c r="EK226" s="48" t="n">
        <f aca="false">IF(EK$8=1,IF(Reales!$C$62="PYG",IF(EK$10&gt;0,N(Reales!EK62)/EK$10,0),N(Reales!EK62)),EK$201*IF(AND(AND(136&gt;Corte,136&lt;=Corte+n_Ventana),ISNUMBER(Detalle_24m!EK$66)),Detalle_24m!EK$66,INDEX(Precio_V,25)*INDEX(IdxPrecio_V,1,MIN(10,EK$173)))*(1+V_dPrecio))</f>
        <v>0</v>
      </c>
      <c r="EL226" s="48" t="n">
        <f aca="false">IF(EL$8=1,IF(Reales!$C$62="PYG",IF(EL$10&gt;0,N(Reales!EL62)/EL$10,0),N(Reales!EL62)),EL$201*IF(AND(AND(137&gt;Corte,137&lt;=Corte+n_Ventana),ISNUMBER(Detalle_24m!EL$66)),Detalle_24m!EL$66,INDEX(Precio_V,25)*INDEX(IdxPrecio_V,1,MIN(10,EL$173)))*(1+V_dPrecio))</f>
        <v>0</v>
      </c>
      <c r="EM226" s="48" t="n">
        <f aca="false">IF(EM$8=1,IF(Reales!$C$62="PYG",IF(EM$10&gt;0,N(Reales!EM62)/EM$10,0),N(Reales!EM62)),EM$201*IF(AND(AND(138&gt;Corte,138&lt;=Corte+n_Ventana),ISNUMBER(Detalle_24m!EM$66)),Detalle_24m!EM$66,INDEX(Precio_V,25)*INDEX(IdxPrecio_V,1,MIN(10,EM$173)))*(1+V_dPrecio))</f>
        <v>0</v>
      </c>
      <c r="EN226" s="48" t="n">
        <f aca="false">IF(EN$8=1,IF(Reales!$C$62="PYG",IF(EN$10&gt;0,N(Reales!EN62)/EN$10,0),N(Reales!EN62)),EN$201*IF(AND(AND(139&gt;Corte,139&lt;=Corte+n_Ventana),ISNUMBER(Detalle_24m!EN$66)),Detalle_24m!EN$66,INDEX(Precio_V,25)*INDEX(IdxPrecio_V,1,MIN(10,EN$173)))*(1+V_dPrecio))</f>
        <v>0</v>
      </c>
      <c r="EO226" s="48" t="n">
        <f aca="false">IF(EO$8=1,IF(Reales!$C$62="PYG",IF(EO$10&gt;0,N(Reales!EO62)/EO$10,0),N(Reales!EO62)),EO$201*IF(AND(AND(140&gt;Corte,140&lt;=Corte+n_Ventana),ISNUMBER(Detalle_24m!EO$66)),Detalle_24m!EO$66,INDEX(Precio_V,25)*INDEX(IdxPrecio_V,1,MIN(10,EO$173)))*(1+V_dPrecio))</f>
        <v>0</v>
      </c>
      <c r="EP226" s="48" t="n">
        <f aca="false">IF(EP$8=1,IF(Reales!$C$62="PYG",IF(EP$10&gt;0,N(Reales!EP62)/EP$10,0),N(Reales!EP62)),EP$201*IF(AND(AND(141&gt;Corte,141&lt;=Corte+n_Ventana),ISNUMBER(Detalle_24m!EP$66)),Detalle_24m!EP$66,INDEX(Precio_V,25)*INDEX(IdxPrecio_V,1,MIN(10,EP$173)))*(1+V_dPrecio))</f>
        <v>0</v>
      </c>
      <c r="EQ226" s="48" t="n">
        <f aca="false">IF(EQ$8=1,IF(Reales!$C$62="PYG",IF(EQ$10&gt;0,N(Reales!EQ62)/EQ$10,0),N(Reales!EQ62)),EQ$201*IF(AND(AND(142&gt;Corte,142&lt;=Corte+n_Ventana),ISNUMBER(Detalle_24m!EQ$66)),Detalle_24m!EQ$66,INDEX(Precio_V,25)*INDEX(IdxPrecio_V,1,MIN(10,EQ$173)))*(1+V_dPrecio))</f>
        <v>0</v>
      </c>
      <c r="ER226" s="48" t="n">
        <f aca="false">IF(ER$8=1,IF(Reales!$C$62="PYG",IF(ER$10&gt;0,N(Reales!ER62)/ER$10,0),N(Reales!ER62)),ER$201*IF(AND(AND(143&gt;Corte,143&lt;=Corte+n_Ventana),ISNUMBER(Detalle_24m!ER$66)),Detalle_24m!ER$66,INDEX(Precio_V,25)*INDEX(IdxPrecio_V,1,MIN(10,ER$173)))*(1+V_dPrecio))</f>
        <v>0</v>
      </c>
      <c r="ES226" s="48" t="n">
        <f aca="false">IF(ES$8=1,IF(Reales!$C$62="PYG",IF(ES$10&gt;0,N(Reales!ES62)/ES$10,0),N(Reales!ES62)),ES$201*IF(AND(AND(144&gt;Corte,144&lt;=Corte+n_Ventana),ISNUMBER(Detalle_24m!ES$66)),Detalle_24m!ES$66,INDEX(Precio_V,25)*INDEX(IdxPrecio_V,1,MIN(10,ES$173)))*(1+V_dPrecio))</f>
        <v>0</v>
      </c>
    </row>
    <row r="227" customFormat="false" ht="15" hidden="false" customHeight="false" outlineLevel="0" collapsed="false">
      <c r="A227" s="11" t="s">
        <v>1350</v>
      </c>
      <c r="B227" s="67" t="s">
        <v>1117</v>
      </c>
      <c r="C227" s="15" t="s">
        <v>508</v>
      </c>
      <c r="E227" s="54" t="n">
        <f aca="false">SUM(F227:ES227)</f>
        <v>81222447.7216454</v>
      </c>
      <c r="F227" s="19" t="n">
        <f aca="false">SUM(F$202:F$226)</f>
        <v>404166.666666667</v>
      </c>
      <c r="G227" s="19" t="n">
        <f aca="false">SUM(G$202:G$226)</f>
        <v>404166.666666667</v>
      </c>
      <c r="H227" s="19" t="n">
        <f aca="false">SUM(H$202:H$226)</f>
        <v>404166.666666667</v>
      </c>
      <c r="I227" s="19" t="n">
        <f aca="false">SUM(I$202:I$226)</f>
        <v>404166.666666667</v>
      </c>
      <c r="J227" s="19" t="n">
        <f aca="false">SUM(J$202:J$226)</f>
        <v>404166.666666667</v>
      </c>
      <c r="K227" s="19" t="n">
        <f aca="false">SUM(K$202:K$226)</f>
        <v>404166.666666667</v>
      </c>
      <c r="L227" s="19" t="n">
        <f aca="false">SUM(L$202:L$226)</f>
        <v>404166.666666667</v>
      </c>
      <c r="M227" s="19" t="n">
        <f aca="false">SUM(M$202:M$226)</f>
        <v>404166.666666667</v>
      </c>
      <c r="N227" s="19" t="n">
        <f aca="false">SUM(N$202:N$226)</f>
        <v>404166.666666667</v>
      </c>
      <c r="O227" s="19" t="n">
        <f aca="false">SUM(O$202:O$226)</f>
        <v>404166.666666667</v>
      </c>
      <c r="P227" s="19" t="n">
        <f aca="false">SUM(P$202:P$226)</f>
        <v>404166.666666667</v>
      </c>
      <c r="Q227" s="19" t="n">
        <f aca="false">SUM(Q$202:Q$226)</f>
        <v>404166.666666667</v>
      </c>
      <c r="R227" s="19" t="n">
        <f aca="false">SUM(R$202:R$226)</f>
        <v>515100</v>
      </c>
      <c r="S227" s="19" t="n">
        <f aca="false">SUM(S$202:S$226)</f>
        <v>515100</v>
      </c>
      <c r="T227" s="19" t="n">
        <f aca="false">SUM(T$202:T$226)</f>
        <v>515100</v>
      </c>
      <c r="U227" s="19" t="n">
        <f aca="false">SUM(U$202:U$226)</f>
        <v>515100</v>
      </c>
      <c r="V227" s="19" t="n">
        <f aca="false">SUM(V$202:V$226)</f>
        <v>515100</v>
      </c>
      <c r="W227" s="19" t="n">
        <f aca="false">SUM(W$202:W$226)</f>
        <v>515100</v>
      </c>
      <c r="X227" s="19" t="n">
        <f aca="false">SUM(X$202:X$226)</f>
        <v>515100</v>
      </c>
      <c r="Y227" s="19" t="n">
        <f aca="false">SUM(Y$202:Y$226)</f>
        <v>515100</v>
      </c>
      <c r="Z227" s="19" t="n">
        <f aca="false">SUM(Z$202:Z$226)</f>
        <v>515100</v>
      </c>
      <c r="AA227" s="19" t="n">
        <f aca="false">SUM(AA$202:AA$226)</f>
        <v>515100</v>
      </c>
      <c r="AB227" s="19" t="n">
        <f aca="false">SUM(AB$202:AB$226)</f>
        <v>515100</v>
      </c>
      <c r="AC227" s="19" t="n">
        <f aca="false">SUM(AC$202:AC$226)</f>
        <v>515100</v>
      </c>
      <c r="AD227" s="19" t="n">
        <f aca="false">SUM(AD$202:AD$226)</f>
        <v>628211.583333333</v>
      </c>
      <c r="AE227" s="19" t="n">
        <f aca="false">SUM(AE$202:AE$226)</f>
        <v>628211.583333333</v>
      </c>
      <c r="AF227" s="19" t="n">
        <f aca="false">SUM(AF$202:AF$226)</f>
        <v>628211.583333333</v>
      </c>
      <c r="AG227" s="19" t="n">
        <f aca="false">SUM(AG$202:AG$226)</f>
        <v>628211.583333333</v>
      </c>
      <c r="AH227" s="19" t="n">
        <f aca="false">SUM(AH$202:AH$226)</f>
        <v>628211.583333333</v>
      </c>
      <c r="AI227" s="19" t="n">
        <f aca="false">SUM(AI$202:AI$226)</f>
        <v>628211.583333333</v>
      </c>
      <c r="AJ227" s="19" t="n">
        <f aca="false">SUM(AJ$202:AJ$226)</f>
        <v>628211.583333333</v>
      </c>
      <c r="AK227" s="19" t="n">
        <f aca="false">SUM(AK$202:AK$226)</f>
        <v>628211.583333333</v>
      </c>
      <c r="AL227" s="19" t="n">
        <f aca="false">SUM(AL$202:AL$226)</f>
        <v>628211.583333333</v>
      </c>
      <c r="AM227" s="19" t="n">
        <f aca="false">SUM(AM$202:AM$226)</f>
        <v>628211.583333333</v>
      </c>
      <c r="AN227" s="19" t="n">
        <f aca="false">SUM(AN$202:AN$226)</f>
        <v>628211.583333333</v>
      </c>
      <c r="AO227" s="19" t="n">
        <f aca="false">SUM(AO$202:AO$226)</f>
        <v>628211.583333333</v>
      </c>
      <c r="AP227" s="19" t="n">
        <f aca="false">SUM(AP$202:AP$226)</f>
        <v>723786.4525</v>
      </c>
      <c r="AQ227" s="19" t="n">
        <f aca="false">SUM(AQ$202:AQ$226)</f>
        <v>723786.4525</v>
      </c>
      <c r="AR227" s="19" t="n">
        <f aca="false">SUM(AR$202:AR$226)</f>
        <v>723786.4525</v>
      </c>
      <c r="AS227" s="19" t="n">
        <f aca="false">SUM(AS$202:AS$226)</f>
        <v>723786.4525</v>
      </c>
      <c r="AT227" s="19" t="n">
        <f aca="false">SUM(AT$202:AT$226)</f>
        <v>723786.4525</v>
      </c>
      <c r="AU227" s="19" t="n">
        <f aca="false">SUM(AU$202:AU$226)</f>
        <v>723786.4525</v>
      </c>
      <c r="AV227" s="19" t="n">
        <f aca="false">SUM(AV$202:AV$226)</f>
        <v>723786.4525</v>
      </c>
      <c r="AW227" s="19" t="n">
        <f aca="false">SUM(AW$202:AW$226)</f>
        <v>723786.4525</v>
      </c>
      <c r="AX227" s="19" t="n">
        <f aca="false">SUM(AX$202:AX$226)</f>
        <v>723786.4525</v>
      </c>
      <c r="AY227" s="19" t="n">
        <f aca="false">SUM(AY$202:AY$226)</f>
        <v>723786.4525</v>
      </c>
      <c r="AZ227" s="19" t="n">
        <f aca="false">SUM(AZ$202:AZ$226)</f>
        <v>723786.4525</v>
      </c>
      <c r="BA227" s="19" t="n">
        <f aca="false">SUM(BA$202:BA$226)</f>
        <v>723786.4525</v>
      </c>
      <c r="BB227" s="19" t="n">
        <f aca="false">SUM(BB$202:BB$226)</f>
        <v>731024.317025</v>
      </c>
      <c r="BC227" s="19" t="n">
        <f aca="false">SUM(BC$202:BC$226)</f>
        <v>731024.317025</v>
      </c>
      <c r="BD227" s="19" t="n">
        <f aca="false">SUM(BD$202:BD$226)</f>
        <v>731024.317025</v>
      </c>
      <c r="BE227" s="19" t="n">
        <f aca="false">SUM(BE$202:BE$226)</f>
        <v>731024.317025</v>
      </c>
      <c r="BF227" s="19" t="n">
        <f aca="false">SUM(BF$202:BF$226)</f>
        <v>731024.317025</v>
      </c>
      <c r="BG227" s="19" t="n">
        <f aca="false">SUM(BG$202:BG$226)</f>
        <v>731024.317025</v>
      </c>
      <c r="BH227" s="19" t="n">
        <f aca="false">SUM(BH$202:BH$226)</f>
        <v>731024.317025</v>
      </c>
      <c r="BI227" s="19" t="n">
        <f aca="false">SUM(BI$202:BI$226)</f>
        <v>731024.317025</v>
      </c>
      <c r="BJ227" s="19" t="n">
        <f aca="false">SUM(BJ$202:BJ$226)</f>
        <v>731024.317025</v>
      </c>
      <c r="BK227" s="19" t="n">
        <f aca="false">SUM(BK$202:BK$226)</f>
        <v>731024.317025</v>
      </c>
      <c r="BL227" s="19" t="n">
        <f aca="false">SUM(BL$202:BL$226)</f>
        <v>731024.317025</v>
      </c>
      <c r="BM227" s="19" t="n">
        <f aca="false">SUM(BM$202:BM$226)</f>
        <v>731024.317025</v>
      </c>
      <c r="BN227" s="19" t="n">
        <f aca="false">SUM(BN$202:BN$226)</f>
        <v>738334.56019525</v>
      </c>
      <c r="BO227" s="19" t="n">
        <f aca="false">SUM(BO$202:BO$226)</f>
        <v>738334.56019525</v>
      </c>
      <c r="BP227" s="19" t="n">
        <f aca="false">SUM(BP$202:BP$226)</f>
        <v>738334.56019525</v>
      </c>
      <c r="BQ227" s="19" t="n">
        <f aca="false">SUM(BQ$202:BQ$226)</f>
        <v>738334.56019525</v>
      </c>
      <c r="BR227" s="19" t="n">
        <f aca="false">SUM(BR$202:BR$226)</f>
        <v>738334.56019525</v>
      </c>
      <c r="BS227" s="19" t="n">
        <f aca="false">SUM(BS$202:BS$226)</f>
        <v>738334.56019525</v>
      </c>
      <c r="BT227" s="19" t="n">
        <f aca="false">SUM(BT$202:BT$226)</f>
        <v>738334.56019525</v>
      </c>
      <c r="BU227" s="19" t="n">
        <f aca="false">SUM(BU$202:BU$226)</f>
        <v>738334.56019525</v>
      </c>
      <c r="BV227" s="19" t="n">
        <f aca="false">SUM(BV$202:BV$226)</f>
        <v>738334.56019525</v>
      </c>
      <c r="BW227" s="19" t="n">
        <f aca="false">SUM(BW$202:BW$226)</f>
        <v>738334.56019525</v>
      </c>
      <c r="BX227" s="19" t="n">
        <f aca="false">SUM(BX$202:BX$226)</f>
        <v>738334.56019525</v>
      </c>
      <c r="BY227" s="19" t="n">
        <f aca="false">SUM(BY$202:BY$226)</f>
        <v>738334.56019525</v>
      </c>
      <c r="BZ227" s="19" t="n">
        <f aca="false">SUM(BZ$202:BZ$226)</f>
        <v>745717.905797203</v>
      </c>
      <c r="CA227" s="19" t="n">
        <f aca="false">SUM(CA$202:CA$226)</f>
        <v>745717.905797203</v>
      </c>
      <c r="CB227" s="19" t="n">
        <f aca="false">SUM(CB$202:CB$226)</f>
        <v>745717.905797203</v>
      </c>
      <c r="CC227" s="19" t="n">
        <f aca="false">SUM(CC$202:CC$226)</f>
        <v>745717.905797203</v>
      </c>
      <c r="CD227" s="19" t="n">
        <f aca="false">SUM(CD$202:CD$226)</f>
        <v>745717.905797203</v>
      </c>
      <c r="CE227" s="19" t="n">
        <f aca="false">SUM(CE$202:CE$226)</f>
        <v>745717.905797203</v>
      </c>
      <c r="CF227" s="19" t="n">
        <f aca="false">SUM(CF$202:CF$226)</f>
        <v>745717.905797203</v>
      </c>
      <c r="CG227" s="19" t="n">
        <f aca="false">SUM(CG$202:CG$226)</f>
        <v>745717.905797203</v>
      </c>
      <c r="CH227" s="19" t="n">
        <f aca="false">SUM(CH$202:CH$226)</f>
        <v>745717.905797203</v>
      </c>
      <c r="CI227" s="19" t="n">
        <f aca="false">SUM(CI$202:CI$226)</f>
        <v>745717.905797203</v>
      </c>
      <c r="CJ227" s="19" t="n">
        <f aca="false">SUM(CJ$202:CJ$226)</f>
        <v>745717.905797203</v>
      </c>
      <c r="CK227" s="19" t="n">
        <f aca="false">SUM(CK$202:CK$226)</f>
        <v>745717.905797203</v>
      </c>
      <c r="CL227" s="19" t="n">
        <f aca="false">SUM(CL$202:CL$226)</f>
        <v>753175.084855174</v>
      </c>
      <c r="CM227" s="19" t="n">
        <f aca="false">SUM(CM$202:CM$226)</f>
        <v>753175.084855174</v>
      </c>
      <c r="CN227" s="19" t="n">
        <f aca="false">SUM(CN$202:CN$226)</f>
        <v>753175.084855174</v>
      </c>
      <c r="CO227" s="19" t="n">
        <f aca="false">SUM(CO$202:CO$226)</f>
        <v>753175.084855174</v>
      </c>
      <c r="CP227" s="19" t="n">
        <f aca="false">SUM(CP$202:CP$226)</f>
        <v>753175.084855174</v>
      </c>
      <c r="CQ227" s="19" t="n">
        <f aca="false">SUM(CQ$202:CQ$226)</f>
        <v>753175.084855174</v>
      </c>
      <c r="CR227" s="19" t="n">
        <f aca="false">SUM(CR$202:CR$226)</f>
        <v>753175.084855174</v>
      </c>
      <c r="CS227" s="19" t="n">
        <f aca="false">SUM(CS$202:CS$226)</f>
        <v>753175.084855174</v>
      </c>
      <c r="CT227" s="19" t="n">
        <f aca="false">SUM(CT$202:CT$226)</f>
        <v>753175.084855174</v>
      </c>
      <c r="CU227" s="19" t="n">
        <f aca="false">SUM(CU$202:CU$226)</f>
        <v>753175.084855174</v>
      </c>
      <c r="CV227" s="19" t="n">
        <f aca="false">SUM(CV$202:CV$226)</f>
        <v>753175.084855174</v>
      </c>
      <c r="CW227" s="19" t="n">
        <f aca="false">SUM(CW$202:CW$226)</f>
        <v>753175.084855174</v>
      </c>
      <c r="CX227" s="19" t="n">
        <f aca="false">SUM(CX$202:CX$226)</f>
        <v>760706.835703726</v>
      </c>
      <c r="CY227" s="19" t="n">
        <f aca="false">SUM(CY$202:CY$226)</f>
        <v>760706.835703726</v>
      </c>
      <c r="CZ227" s="19" t="n">
        <f aca="false">SUM(CZ$202:CZ$226)</f>
        <v>760706.835703726</v>
      </c>
      <c r="DA227" s="19" t="n">
        <f aca="false">SUM(DA$202:DA$226)</f>
        <v>760706.835703726</v>
      </c>
      <c r="DB227" s="19" t="n">
        <f aca="false">SUM(DB$202:DB$226)</f>
        <v>760706.835703726</v>
      </c>
      <c r="DC227" s="19" t="n">
        <f aca="false">SUM(DC$202:DC$226)</f>
        <v>760706.835703726</v>
      </c>
      <c r="DD227" s="19" t="n">
        <f aca="false">SUM(DD$202:DD$226)</f>
        <v>760706.835703726</v>
      </c>
      <c r="DE227" s="19" t="n">
        <f aca="false">SUM(DE$202:DE$226)</f>
        <v>760706.835703726</v>
      </c>
      <c r="DF227" s="19" t="n">
        <f aca="false">SUM(DF$202:DF$226)</f>
        <v>760706.835703726</v>
      </c>
      <c r="DG227" s="19" t="n">
        <f aca="false">SUM(DG$202:DG$226)</f>
        <v>760706.835703726</v>
      </c>
      <c r="DH227" s="19" t="n">
        <f aca="false">SUM(DH$202:DH$226)</f>
        <v>760706.835703726</v>
      </c>
      <c r="DI227" s="19" t="n">
        <f aca="false">SUM(DI$202:DI$226)</f>
        <v>760706.835703726</v>
      </c>
      <c r="DJ227" s="19" t="n">
        <f aca="false">SUM(DJ$202:DJ$226)</f>
        <v>768313.904060764</v>
      </c>
      <c r="DK227" s="19" t="n">
        <f aca="false">SUM(DK$202:DK$226)</f>
        <v>768313.904060764</v>
      </c>
      <c r="DL227" s="19" t="n">
        <f aca="false">SUM(DL$202:DL$226)</f>
        <v>768313.904060764</v>
      </c>
      <c r="DM227" s="19" t="n">
        <f aca="false">SUM(DM$202:DM$226)</f>
        <v>768313.904060764</v>
      </c>
      <c r="DN227" s="19" t="n">
        <f aca="false">SUM(DN$202:DN$226)</f>
        <v>768313.904060764</v>
      </c>
      <c r="DO227" s="19" t="n">
        <f aca="false">SUM(DO$202:DO$226)</f>
        <v>768313.904060764</v>
      </c>
      <c r="DP227" s="19" t="n">
        <f aca="false">SUM(DP$202:DP$226)</f>
        <v>768313.904060764</v>
      </c>
      <c r="DQ227" s="19" t="n">
        <f aca="false">SUM(DQ$202:DQ$226)</f>
        <v>768313.904060764</v>
      </c>
      <c r="DR227" s="19" t="n">
        <f aca="false">SUM(DR$202:DR$226)</f>
        <v>768313.904060764</v>
      </c>
      <c r="DS227" s="19" t="n">
        <f aca="false">SUM(DS$202:DS$226)</f>
        <v>768313.904060764</v>
      </c>
      <c r="DT227" s="19" t="n">
        <f aca="false">SUM(DT$202:DT$226)</f>
        <v>768313.904060764</v>
      </c>
      <c r="DU227" s="19" t="n">
        <f aca="false">SUM(DU$202:DU$226)</f>
        <v>768313.904060764</v>
      </c>
      <c r="DV227" s="19" t="n">
        <f aca="false">SUM(DV$202:DV$226)</f>
        <v>0</v>
      </c>
      <c r="DW227" s="19" t="n">
        <f aca="false">SUM(DW$202:DW$226)</f>
        <v>0</v>
      </c>
      <c r="DX227" s="19" t="n">
        <f aca="false">SUM(DX$202:DX$226)</f>
        <v>0</v>
      </c>
      <c r="DY227" s="19" t="n">
        <f aca="false">SUM(DY$202:DY$226)</f>
        <v>0</v>
      </c>
      <c r="DZ227" s="19" t="n">
        <f aca="false">SUM(DZ$202:DZ$226)</f>
        <v>0</v>
      </c>
      <c r="EA227" s="19" t="n">
        <f aca="false">SUM(EA$202:EA$226)</f>
        <v>0</v>
      </c>
      <c r="EB227" s="19" t="n">
        <f aca="false">SUM(EB$202:EB$226)</f>
        <v>0</v>
      </c>
      <c r="EC227" s="19" t="n">
        <f aca="false">SUM(EC$202:EC$226)</f>
        <v>0</v>
      </c>
      <c r="ED227" s="19" t="n">
        <f aca="false">SUM(ED$202:ED$226)</f>
        <v>0</v>
      </c>
      <c r="EE227" s="19" t="n">
        <f aca="false">SUM(EE$202:EE$226)</f>
        <v>0</v>
      </c>
      <c r="EF227" s="19" t="n">
        <f aca="false">SUM(EF$202:EF$226)</f>
        <v>0</v>
      </c>
      <c r="EG227" s="19" t="n">
        <f aca="false">SUM(EG$202:EG$226)</f>
        <v>0</v>
      </c>
      <c r="EH227" s="19" t="n">
        <f aca="false">SUM(EH$202:EH$226)</f>
        <v>0</v>
      </c>
      <c r="EI227" s="19" t="n">
        <f aca="false">SUM(EI$202:EI$226)</f>
        <v>0</v>
      </c>
      <c r="EJ227" s="19" t="n">
        <f aca="false">SUM(EJ$202:EJ$226)</f>
        <v>0</v>
      </c>
      <c r="EK227" s="19" t="n">
        <f aca="false">SUM(EK$202:EK$226)</f>
        <v>0</v>
      </c>
      <c r="EL227" s="19" t="n">
        <f aca="false">SUM(EL$202:EL$226)</f>
        <v>0</v>
      </c>
      <c r="EM227" s="19" t="n">
        <f aca="false">SUM(EM$202:EM$226)</f>
        <v>0</v>
      </c>
      <c r="EN227" s="19" t="n">
        <f aca="false">SUM(EN$202:EN$226)</f>
        <v>0</v>
      </c>
      <c r="EO227" s="19" t="n">
        <f aca="false">SUM(EO$202:EO$226)</f>
        <v>0</v>
      </c>
      <c r="EP227" s="19" t="n">
        <f aca="false">SUM(EP$202:EP$226)</f>
        <v>0</v>
      </c>
      <c r="EQ227" s="19" t="n">
        <f aca="false">SUM(EQ$202:EQ$226)</f>
        <v>0</v>
      </c>
      <c r="ER227" s="19" t="n">
        <f aca="false">SUM(ER$202:ER$226)</f>
        <v>0</v>
      </c>
      <c r="ES227" s="19" t="n">
        <f aca="false">SUM(ES$202:ES$226)</f>
        <v>0</v>
      </c>
    </row>
    <row r="228" customFormat="false" ht="15" hidden="false" customHeight="false" outlineLevel="0" collapsed="false">
      <c r="A228" s="13"/>
      <c r="B228" s="12" t="s">
        <v>1118</v>
      </c>
      <c r="C228" s="13"/>
      <c r="D228" s="13"/>
      <c r="E228" s="13"/>
    </row>
    <row r="229" customFormat="false" ht="15" hidden="false" customHeight="false" outlineLevel="0" collapsed="false">
      <c r="A229" s="11" t="s">
        <v>1351</v>
      </c>
      <c r="B229" s="15" t="s">
        <v>1120</v>
      </c>
      <c r="C229" s="15" t="s">
        <v>508</v>
      </c>
      <c r="E229" s="54" t="n">
        <f aca="false">SUM(F229:ES229)</f>
        <v>25293483.38356</v>
      </c>
      <c r="F229" s="48" t="n">
        <f aca="false">SUMPRODUCT(F177:F201,(1&gt;Corte)*(1&lt;=Corte+n_Ventana)*ISNUMBER(Detalle_24m!F$70:F$94)*Detalle_24m!F$70:F$94+(1-(1&gt;Corte)*(1&lt;=Corte+n_Ventana)*ISNUMBER(Detalle_24m!F$70:F$94))*MP_V*INDEX(IdxMP_V,1,MIN(10,F$173)))*(1+V_dMat)/(1-V_Merma)</f>
        <v>125875</v>
      </c>
      <c r="G229" s="48" t="n">
        <f aca="false">SUMPRODUCT(G177:G201,(2&gt;Corte)*(2&lt;=Corte+n_Ventana)*ISNUMBER(Detalle_24m!G$70:G$94)*Detalle_24m!G$70:G$94+(1-(2&gt;Corte)*(2&lt;=Corte+n_Ventana)*ISNUMBER(Detalle_24m!G$70:G$94))*MP_V*INDEX(IdxMP_V,1,MIN(10,G$173)))*(1+V_dMat)/(1-V_Merma)</f>
        <v>125875</v>
      </c>
      <c r="H229" s="48" t="n">
        <f aca="false">SUMPRODUCT(H177:H201,(3&gt;Corte)*(3&lt;=Corte+n_Ventana)*ISNUMBER(Detalle_24m!H$70:H$94)*Detalle_24m!H$70:H$94+(1-(3&gt;Corte)*(3&lt;=Corte+n_Ventana)*ISNUMBER(Detalle_24m!H$70:H$94))*MP_V*INDEX(IdxMP_V,1,MIN(10,H$173)))*(1+V_dMat)/(1-V_Merma)</f>
        <v>125875</v>
      </c>
      <c r="I229" s="48" t="n">
        <f aca="false">SUMPRODUCT(I177:I201,(4&gt;Corte)*(4&lt;=Corte+n_Ventana)*ISNUMBER(Detalle_24m!I$70:I$94)*Detalle_24m!I$70:I$94+(1-(4&gt;Corte)*(4&lt;=Corte+n_Ventana)*ISNUMBER(Detalle_24m!I$70:I$94))*MP_V*INDEX(IdxMP_V,1,MIN(10,I$173)))*(1+V_dMat)/(1-V_Merma)</f>
        <v>125875</v>
      </c>
      <c r="J229" s="48" t="n">
        <f aca="false">SUMPRODUCT(J177:J201,(5&gt;Corte)*(5&lt;=Corte+n_Ventana)*ISNUMBER(Detalle_24m!J$70:J$94)*Detalle_24m!J$70:J$94+(1-(5&gt;Corte)*(5&lt;=Corte+n_Ventana)*ISNUMBER(Detalle_24m!J$70:J$94))*MP_V*INDEX(IdxMP_V,1,MIN(10,J$173)))*(1+V_dMat)/(1-V_Merma)</f>
        <v>125875</v>
      </c>
      <c r="K229" s="48" t="n">
        <f aca="false">SUMPRODUCT(K177:K201,(6&gt;Corte)*(6&lt;=Corte+n_Ventana)*ISNUMBER(Detalle_24m!K$70:K$94)*Detalle_24m!K$70:K$94+(1-(6&gt;Corte)*(6&lt;=Corte+n_Ventana)*ISNUMBER(Detalle_24m!K$70:K$94))*MP_V*INDEX(IdxMP_V,1,MIN(10,K$173)))*(1+V_dMat)/(1-V_Merma)</f>
        <v>125875</v>
      </c>
      <c r="L229" s="48" t="n">
        <f aca="false">SUMPRODUCT(L177:L201,(7&gt;Corte)*(7&lt;=Corte+n_Ventana)*ISNUMBER(Detalle_24m!L$70:L$94)*Detalle_24m!L$70:L$94+(1-(7&gt;Corte)*(7&lt;=Corte+n_Ventana)*ISNUMBER(Detalle_24m!L$70:L$94))*MP_V*INDEX(IdxMP_V,1,MIN(10,L$173)))*(1+V_dMat)/(1-V_Merma)</f>
        <v>125875</v>
      </c>
      <c r="M229" s="48" t="n">
        <f aca="false">SUMPRODUCT(M177:M201,(8&gt;Corte)*(8&lt;=Corte+n_Ventana)*ISNUMBER(Detalle_24m!M$70:M$94)*Detalle_24m!M$70:M$94+(1-(8&gt;Corte)*(8&lt;=Corte+n_Ventana)*ISNUMBER(Detalle_24m!M$70:M$94))*MP_V*INDEX(IdxMP_V,1,MIN(10,M$173)))*(1+V_dMat)/(1-V_Merma)</f>
        <v>125875</v>
      </c>
      <c r="N229" s="48" t="n">
        <f aca="false">SUMPRODUCT(N177:N201,(9&gt;Corte)*(9&lt;=Corte+n_Ventana)*ISNUMBER(Detalle_24m!N$70:N$94)*Detalle_24m!N$70:N$94+(1-(9&gt;Corte)*(9&lt;=Corte+n_Ventana)*ISNUMBER(Detalle_24m!N$70:N$94))*MP_V*INDEX(IdxMP_V,1,MIN(10,N$173)))*(1+V_dMat)/(1-V_Merma)</f>
        <v>125875</v>
      </c>
      <c r="O229" s="48" t="n">
        <f aca="false">SUMPRODUCT(O177:O201,(10&gt;Corte)*(10&lt;=Corte+n_Ventana)*ISNUMBER(Detalle_24m!O$70:O$94)*Detalle_24m!O$70:O$94+(1-(10&gt;Corte)*(10&lt;=Corte+n_Ventana)*ISNUMBER(Detalle_24m!O$70:O$94))*MP_V*INDEX(IdxMP_V,1,MIN(10,O$173)))*(1+V_dMat)/(1-V_Merma)</f>
        <v>125875</v>
      </c>
      <c r="P229" s="48" t="n">
        <f aca="false">SUMPRODUCT(P177:P201,(11&gt;Corte)*(11&lt;=Corte+n_Ventana)*ISNUMBER(Detalle_24m!P$70:P$94)*Detalle_24m!P$70:P$94+(1-(11&gt;Corte)*(11&lt;=Corte+n_Ventana)*ISNUMBER(Detalle_24m!P$70:P$94))*MP_V*INDEX(IdxMP_V,1,MIN(10,P$173)))*(1+V_dMat)/(1-V_Merma)</f>
        <v>125875</v>
      </c>
      <c r="Q229" s="48" t="n">
        <f aca="false">SUMPRODUCT(Q177:Q201,(12&gt;Corte)*(12&lt;=Corte+n_Ventana)*ISNUMBER(Detalle_24m!Q$70:Q$94)*Detalle_24m!Q$70:Q$94+(1-(12&gt;Corte)*(12&lt;=Corte+n_Ventana)*ISNUMBER(Detalle_24m!Q$70:Q$94))*MP_V*INDEX(IdxMP_V,1,MIN(10,Q$173)))*(1+V_dMat)/(1-V_Merma)</f>
        <v>125875</v>
      </c>
      <c r="R229" s="48" t="n">
        <f aca="false">SUMPRODUCT(R177:R201,(13&gt;Corte)*(13&lt;=Corte+n_Ventana)*ISNUMBER(Detalle_24m!R$70:R$94)*Detalle_24m!R$70:R$94+(1-(13&gt;Corte)*(13&lt;=Corte+n_Ventana)*ISNUMBER(Detalle_24m!R$70:R$94))*MP_V*INDEX(IdxMP_V,1,MIN(10,R$173)))*(1+V_dMat)/(1-V_Merma)</f>
        <v>160476.375</v>
      </c>
      <c r="S229" s="48" t="n">
        <f aca="false">SUMPRODUCT(S177:S201,(14&gt;Corte)*(14&lt;=Corte+n_Ventana)*ISNUMBER(Detalle_24m!S$70:S$94)*Detalle_24m!S$70:S$94+(1-(14&gt;Corte)*(14&lt;=Corte+n_Ventana)*ISNUMBER(Detalle_24m!S$70:S$94))*MP_V*INDEX(IdxMP_V,1,MIN(10,S$173)))*(1+V_dMat)/(1-V_Merma)</f>
        <v>160476.375</v>
      </c>
      <c r="T229" s="48" t="n">
        <f aca="false">SUMPRODUCT(T177:T201,(15&gt;Corte)*(15&lt;=Corte+n_Ventana)*ISNUMBER(Detalle_24m!T$70:T$94)*Detalle_24m!T$70:T$94+(1-(15&gt;Corte)*(15&lt;=Corte+n_Ventana)*ISNUMBER(Detalle_24m!T$70:T$94))*MP_V*INDEX(IdxMP_V,1,MIN(10,T$173)))*(1+V_dMat)/(1-V_Merma)</f>
        <v>160476.375</v>
      </c>
      <c r="U229" s="48" t="n">
        <f aca="false">SUMPRODUCT(U177:U201,(16&gt;Corte)*(16&lt;=Corte+n_Ventana)*ISNUMBER(Detalle_24m!U$70:U$94)*Detalle_24m!U$70:U$94+(1-(16&gt;Corte)*(16&lt;=Corte+n_Ventana)*ISNUMBER(Detalle_24m!U$70:U$94))*MP_V*INDEX(IdxMP_V,1,MIN(10,U$173)))*(1+V_dMat)/(1-V_Merma)</f>
        <v>160476.375</v>
      </c>
      <c r="V229" s="48" t="n">
        <f aca="false">SUMPRODUCT(V177:V201,(17&gt;Corte)*(17&lt;=Corte+n_Ventana)*ISNUMBER(Detalle_24m!V$70:V$94)*Detalle_24m!V$70:V$94+(1-(17&gt;Corte)*(17&lt;=Corte+n_Ventana)*ISNUMBER(Detalle_24m!V$70:V$94))*MP_V*INDEX(IdxMP_V,1,MIN(10,V$173)))*(1+V_dMat)/(1-V_Merma)</f>
        <v>160476.375</v>
      </c>
      <c r="W229" s="48" t="n">
        <f aca="false">SUMPRODUCT(W177:W201,(18&gt;Corte)*(18&lt;=Corte+n_Ventana)*ISNUMBER(Detalle_24m!W$70:W$94)*Detalle_24m!W$70:W$94+(1-(18&gt;Corte)*(18&lt;=Corte+n_Ventana)*ISNUMBER(Detalle_24m!W$70:W$94))*MP_V*INDEX(IdxMP_V,1,MIN(10,W$173)))*(1+V_dMat)/(1-V_Merma)</f>
        <v>160476.375</v>
      </c>
      <c r="X229" s="48" t="n">
        <f aca="false">SUMPRODUCT(X177:X201,(19&gt;Corte)*(19&lt;=Corte+n_Ventana)*ISNUMBER(Detalle_24m!X$70:X$94)*Detalle_24m!X$70:X$94+(1-(19&gt;Corte)*(19&lt;=Corte+n_Ventana)*ISNUMBER(Detalle_24m!X$70:X$94))*MP_V*INDEX(IdxMP_V,1,MIN(10,X$173)))*(1+V_dMat)/(1-V_Merma)</f>
        <v>160476.375</v>
      </c>
      <c r="Y229" s="48" t="n">
        <f aca="false">SUMPRODUCT(Y177:Y201,(20&gt;Corte)*(20&lt;=Corte+n_Ventana)*ISNUMBER(Detalle_24m!Y$70:Y$94)*Detalle_24m!Y$70:Y$94+(1-(20&gt;Corte)*(20&lt;=Corte+n_Ventana)*ISNUMBER(Detalle_24m!Y$70:Y$94))*MP_V*INDEX(IdxMP_V,1,MIN(10,Y$173)))*(1+V_dMat)/(1-V_Merma)</f>
        <v>160476.375</v>
      </c>
      <c r="Z229" s="48" t="n">
        <f aca="false">SUMPRODUCT(Z177:Z201,(21&gt;Corte)*(21&lt;=Corte+n_Ventana)*ISNUMBER(Detalle_24m!Z$70:Z$94)*Detalle_24m!Z$70:Z$94+(1-(21&gt;Corte)*(21&lt;=Corte+n_Ventana)*ISNUMBER(Detalle_24m!Z$70:Z$94))*MP_V*INDEX(IdxMP_V,1,MIN(10,Z$173)))*(1+V_dMat)/(1-V_Merma)</f>
        <v>160476.375</v>
      </c>
      <c r="AA229" s="48" t="n">
        <f aca="false">SUMPRODUCT(AA177:AA201,(22&gt;Corte)*(22&lt;=Corte+n_Ventana)*ISNUMBER(Detalle_24m!AA$70:AA$94)*Detalle_24m!AA$70:AA$94+(1-(22&gt;Corte)*(22&lt;=Corte+n_Ventana)*ISNUMBER(Detalle_24m!AA$70:AA$94))*MP_V*INDEX(IdxMP_V,1,MIN(10,AA$173)))*(1+V_dMat)/(1-V_Merma)</f>
        <v>160476.375</v>
      </c>
      <c r="AB229" s="48" t="n">
        <f aca="false">SUMPRODUCT(AB177:AB201,(23&gt;Corte)*(23&lt;=Corte+n_Ventana)*ISNUMBER(Detalle_24m!AB$70:AB$94)*Detalle_24m!AB$70:AB$94+(1-(23&gt;Corte)*(23&lt;=Corte+n_Ventana)*ISNUMBER(Detalle_24m!AB$70:AB$94))*MP_V*INDEX(IdxMP_V,1,MIN(10,AB$173)))*(1+V_dMat)/(1-V_Merma)</f>
        <v>160476.375</v>
      </c>
      <c r="AC229" s="48" t="n">
        <f aca="false">SUMPRODUCT(AC177:AC201,(24&gt;Corte)*(24&lt;=Corte+n_Ventana)*ISNUMBER(Detalle_24m!AC$70:AC$94)*Detalle_24m!AC$70:AC$94+(1-(24&gt;Corte)*(24&lt;=Corte+n_Ventana)*ISNUMBER(Detalle_24m!AC$70:AC$94))*MP_V*INDEX(IdxMP_V,1,MIN(10,AC$173)))*(1+V_dMat)/(1-V_Merma)</f>
        <v>160476.375</v>
      </c>
      <c r="AD229" s="48" t="n">
        <f aca="false">SUMPRODUCT(AD177:AD201,(25&gt;Corte)*(25&lt;=Corte+n_Ventana)*ISNUMBER(Detalle_24m!AD$70:AD$94)*Detalle_24m!AD$70:AD$94+(1-(25&gt;Corte)*(25&lt;=Corte+n_Ventana)*ISNUMBER(Detalle_24m!AD$70:AD$94))*MP_V*INDEX(IdxMP_V,1,MIN(10,AD$173)))*(1+V_dMat)/(1-V_Merma)</f>
        <v>195757.19</v>
      </c>
      <c r="AE229" s="48" t="n">
        <f aca="false">SUMPRODUCT(AE177:AE201,(26&gt;Corte)*(26&lt;=Corte+n_Ventana)*ISNUMBER(Detalle_24m!AE$70:AE$94)*Detalle_24m!AE$70:AE$94+(1-(26&gt;Corte)*(26&lt;=Corte+n_Ventana)*ISNUMBER(Detalle_24m!AE$70:AE$94))*MP_V*INDEX(IdxMP_V,1,MIN(10,AE$173)))*(1+V_dMat)/(1-V_Merma)</f>
        <v>195757.19</v>
      </c>
      <c r="AF229" s="48" t="n">
        <f aca="false">SUMPRODUCT(AF177:AF201,(27&gt;Corte)*(27&lt;=Corte+n_Ventana)*ISNUMBER(Detalle_24m!AF$70:AF$94)*Detalle_24m!AF$70:AF$94+(1-(27&gt;Corte)*(27&lt;=Corte+n_Ventana)*ISNUMBER(Detalle_24m!AF$70:AF$94))*MP_V*INDEX(IdxMP_V,1,MIN(10,AF$173)))*(1+V_dMat)/(1-V_Merma)</f>
        <v>195757.19</v>
      </c>
      <c r="AG229" s="48" t="n">
        <f aca="false">SUMPRODUCT(AG177:AG201,(28&gt;Corte)*(28&lt;=Corte+n_Ventana)*ISNUMBER(Detalle_24m!AG$70:AG$94)*Detalle_24m!AG$70:AG$94+(1-(28&gt;Corte)*(28&lt;=Corte+n_Ventana)*ISNUMBER(Detalle_24m!AG$70:AG$94))*MP_V*INDEX(IdxMP_V,1,MIN(10,AG$173)))*(1+V_dMat)/(1-V_Merma)</f>
        <v>195757.19</v>
      </c>
      <c r="AH229" s="48" t="n">
        <f aca="false">SUMPRODUCT(AH177:AH201,(29&gt;Corte)*(29&lt;=Corte+n_Ventana)*ISNUMBER(Detalle_24m!AH$70:AH$94)*Detalle_24m!AH$70:AH$94+(1-(29&gt;Corte)*(29&lt;=Corte+n_Ventana)*ISNUMBER(Detalle_24m!AH$70:AH$94))*MP_V*INDEX(IdxMP_V,1,MIN(10,AH$173)))*(1+V_dMat)/(1-V_Merma)</f>
        <v>195757.19</v>
      </c>
      <c r="AI229" s="48" t="n">
        <f aca="false">SUMPRODUCT(AI177:AI201,(30&gt;Corte)*(30&lt;=Corte+n_Ventana)*ISNUMBER(Detalle_24m!AI$70:AI$94)*Detalle_24m!AI$70:AI$94+(1-(30&gt;Corte)*(30&lt;=Corte+n_Ventana)*ISNUMBER(Detalle_24m!AI$70:AI$94))*MP_V*INDEX(IdxMP_V,1,MIN(10,AI$173)))*(1+V_dMat)/(1-V_Merma)</f>
        <v>195757.19</v>
      </c>
      <c r="AJ229" s="48" t="n">
        <f aca="false">SUMPRODUCT(AJ177:AJ201,(31&gt;Corte)*(31&lt;=Corte+n_Ventana)*ISNUMBER(Detalle_24m!AJ$70:AJ$94)*Detalle_24m!AJ$70:AJ$94+(1-(31&gt;Corte)*(31&lt;=Corte+n_Ventana)*ISNUMBER(Detalle_24m!AJ$70:AJ$94))*MP_V*INDEX(IdxMP_V,1,MIN(10,AJ$173)))*(1+V_dMat)/(1-V_Merma)</f>
        <v>195757.19</v>
      </c>
      <c r="AK229" s="48" t="n">
        <f aca="false">SUMPRODUCT(AK177:AK201,(32&gt;Corte)*(32&lt;=Corte+n_Ventana)*ISNUMBER(Detalle_24m!AK$70:AK$94)*Detalle_24m!AK$70:AK$94+(1-(32&gt;Corte)*(32&lt;=Corte+n_Ventana)*ISNUMBER(Detalle_24m!AK$70:AK$94))*MP_V*INDEX(IdxMP_V,1,MIN(10,AK$173)))*(1+V_dMat)/(1-V_Merma)</f>
        <v>195757.19</v>
      </c>
      <c r="AL229" s="48" t="n">
        <f aca="false">SUMPRODUCT(AL177:AL201,(33&gt;Corte)*(33&lt;=Corte+n_Ventana)*ISNUMBER(Detalle_24m!AL$70:AL$94)*Detalle_24m!AL$70:AL$94+(1-(33&gt;Corte)*(33&lt;=Corte+n_Ventana)*ISNUMBER(Detalle_24m!AL$70:AL$94))*MP_V*INDEX(IdxMP_V,1,MIN(10,AL$173)))*(1+V_dMat)/(1-V_Merma)</f>
        <v>195757.19</v>
      </c>
      <c r="AM229" s="48" t="n">
        <f aca="false">SUMPRODUCT(AM177:AM201,(34&gt;Corte)*(34&lt;=Corte+n_Ventana)*ISNUMBER(Detalle_24m!AM$70:AM$94)*Detalle_24m!AM$70:AM$94+(1-(34&gt;Corte)*(34&lt;=Corte+n_Ventana)*ISNUMBER(Detalle_24m!AM$70:AM$94))*MP_V*INDEX(IdxMP_V,1,MIN(10,AM$173)))*(1+V_dMat)/(1-V_Merma)</f>
        <v>195757.19</v>
      </c>
      <c r="AN229" s="48" t="n">
        <f aca="false">SUMPRODUCT(AN177:AN201,(35&gt;Corte)*(35&lt;=Corte+n_Ventana)*ISNUMBER(Detalle_24m!AN$70:AN$94)*Detalle_24m!AN$70:AN$94+(1-(35&gt;Corte)*(35&lt;=Corte+n_Ventana)*ISNUMBER(Detalle_24m!AN$70:AN$94))*MP_V*INDEX(IdxMP_V,1,MIN(10,AN$173)))*(1+V_dMat)/(1-V_Merma)</f>
        <v>195757.19</v>
      </c>
      <c r="AO229" s="48" t="n">
        <f aca="false">SUMPRODUCT(AO177:AO201,(36&gt;Corte)*(36&lt;=Corte+n_Ventana)*ISNUMBER(Detalle_24m!AO$70:AO$94)*Detalle_24m!AO$70:AO$94+(1-(36&gt;Corte)*(36&lt;=Corte+n_Ventana)*ISNUMBER(Detalle_24m!AO$70:AO$94))*MP_V*INDEX(IdxMP_V,1,MIN(10,AO$173)))*(1+V_dMat)/(1-V_Merma)</f>
        <v>195757.19</v>
      </c>
      <c r="AP229" s="48" t="n">
        <f aca="false">SUMPRODUCT(AP177:AP201,(37&gt;Corte)*(37&lt;=Corte+n_Ventana)*ISNUMBER(Detalle_24m!AP$70:AP$94)*Detalle_24m!AP$70:AP$94+(1-(37&gt;Corte)*(37&lt;=Corte+n_Ventana)*ISNUMBER(Detalle_24m!AP$70:AP$94))*MP_V*INDEX(IdxMP_V,1,MIN(10,AP$173)))*(1+V_dMat)/(1-V_Merma)</f>
        <v>225365.4649875</v>
      </c>
      <c r="AQ229" s="48" t="n">
        <f aca="false">SUMPRODUCT(AQ177:AQ201,(38&gt;Corte)*(38&lt;=Corte+n_Ventana)*ISNUMBER(Detalle_24m!AQ$70:AQ$94)*Detalle_24m!AQ$70:AQ$94+(1-(38&gt;Corte)*(38&lt;=Corte+n_Ventana)*ISNUMBER(Detalle_24m!AQ$70:AQ$94))*MP_V*INDEX(IdxMP_V,1,MIN(10,AQ$173)))*(1+V_dMat)/(1-V_Merma)</f>
        <v>225365.4649875</v>
      </c>
      <c r="AR229" s="48" t="n">
        <f aca="false">SUMPRODUCT(AR177:AR201,(39&gt;Corte)*(39&lt;=Corte+n_Ventana)*ISNUMBER(Detalle_24m!AR$70:AR$94)*Detalle_24m!AR$70:AR$94+(1-(39&gt;Corte)*(39&lt;=Corte+n_Ventana)*ISNUMBER(Detalle_24m!AR$70:AR$94))*MP_V*INDEX(IdxMP_V,1,MIN(10,AR$173)))*(1+V_dMat)/(1-V_Merma)</f>
        <v>225365.4649875</v>
      </c>
      <c r="AS229" s="48" t="n">
        <f aca="false">SUMPRODUCT(AS177:AS201,(40&gt;Corte)*(40&lt;=Corte+n_Ventana)*ISNUMBER(Detalle_24m!AS$70:AS$94)*Detalle_24m!AS$70:AS$94+(1-(40&gt;Corte)*(40&lt;=Corte+n_Ventana)*ISNUMBER(Detalle_24m!AS$70:AS$94))*MP_V*INDEX(IdxMP_V,1,MIN(10,AS$173)))*(1+V_dMat)/(1-V_Merma)</f>
        <v>225365.4649875</v>
      </c>
      <c r="AT229" s="48" t="n">
        <f aca="false">SUMPRODUCT(AT177:AT201,(41&gt;Corte)*(41&lt;=Corte+n_Ventana)*ISNUMBER(Detalle_24m!AT$70:AT$94)*Detalle_24m!AT$70:AT$94+(1-(41&gt;Corte)*(41&lt;=Corte+n_Ventana)*ISNUMBER(Detalle_24m!AT$70:AT$94))*MP_V*INDEX(IdxMP_V,1,MIN(10,AT$173)))*(1+V_dMat)/(1-V_Merma)</f>
        <v>225365.4649875</v>
      </c>
      <c r="AU229" s="48" t="n">
        <f aca="false">SUMPRODUCT(AU177:AU201,(42&gt;Corte)*(42&lt;=Corte+n_Ventana)*ISNUMBER(Detalle_24m!AU$70:AU$94)*Detalle_24m!AU$70:AU$94+(1-(42&gt;Corte)*(42&lt;=Corte+n_Ventana)*ISNUMBER(Detalle_24m!AU$70:AU$94))*MP_V*INDEX(IdxMP_V,1,MIN(10,AU$173)))*(1+V_dMat)/(1-V_Merma)</f>
        <v>225365.4649875</v>
      </c>
      <c r="AV229" s="48" t="n">
        <f aca="false">SUMPRODUCT(AV177:AV201,(43&gt;Corte)*(43&lt;=Corte+n_Ventana)*ISNUMBER(Detalle_24m!AV$70:AV$94)*Detalle_24m!AV$70:AV$94+(1-(43&gt;Corte)*(43&lt;=Corte+n_Ventana)*ISNUMBER(Detalle_24m!AV$70:AV$94))*MP_V*INDEX(IdxMP_V,1,MIN(10,AV$173)))*(1+V_dMat)/(1-V_Merma)</f>
        <v>225365.4649875</v>
      </c>
      <c r="AW229" s="48" t="n">
        <f aca="false">SUMPRODUCT(AW177:AW201,(44&gt;Corte)*(44&lt;=Corte+n_Ventana)*ISNUMBER(Detalle_24m!AW$70:AW$94)*Detalle_24m!AW$70:AW$94+(1-(44&gt;Corte)*(44&lt;=Corte+n_Ventana)*ISNUMBER(Detalle_24m!AW$70:AW$94))*MP_V*INDEX(IdxMP_V,1,MIN(10,AW$173)))*(1+V_dMat)/(1-V_Merma)</f>
        <v>225365.4649875</v>
      </c>
      <c r="AX229" s="48" t="n">
        <f aca="false">SUMPRODUCT(AX177:AX201,(45&gt;Corte)*(45&lt;=Corte+n_Ventana)*ISNUMBER(Detalle_24m!AX$70:AX$94)*Detalle_24m!AX$70:AX$94+(1-(45&gt;Corte)*(45&lt;=Corte+n_Ventana)*ISNUMBER(Detalle_24m!AX$70:AX$94))*MP_V*INDEX(IdxMP_V,1,MIN(10,AX$173)))*(1+V_dMat)/(1-V_Merma)</f>
        <v>225365.4649875</v>
      </c>
      <c r="AY229" s="48" t="n">
        <f aca="false">SUMPRODUCT(AY177:AY201,(46&gt;Corte)*(46&lt;=Corte+n_Ventana)*ISNUMBER(Detalle_24m!AY$70:AY$94)*Detalle_24m!AY$70:AY$94+(1-(46&gt;Corte)*(46&lt;=Corte+n_Ventana)*ISNUMBER(Detalle_24m!AY$70:AY$94))*MP_V*INDEX(IdxMP_V,1,MIN(10,AY$173)))*(1+V_dMat)/(1-V_Merma)</f>
        <v>225365.4649875</v>
      </c>
      <c r="AZ229" s="48" t="n">
        <f aca="false">SUMPRODUCT(AZ177:AZ201,(47&gt;Corte)*(47&lt;=Corte+n_Ventana)*ISNUMBER(Detalle_24m!AZ$70:AZ$94)*Detalle_24m!AZ$70:AZ$94+(1-(47&gt;Corte)*(47&lt;=Corte+n_Ventana)*ISNUMBER(Detalle_24m!AZ$70:AZ$94))*MP_V*INDEX(IdxMP_V,1,MIN(10,AZ$173)))*(1+V_dMat)/(1-V_Merma)</f>
        <v>225365.4649875</v>
      </c>
      <c r="BA229" s="48" t="n">
        <f aca="false">SUMPRODUCT(BA177:BA201,(48&gt;Corte)*(48&lt;=Corte+n_Ventana)*ISNUMBER(Detalle_24m!BA$70:BA$94)*Detalle_24m!BA$70:BA$94+(1-(48&gt;Corte)*(48&lt;=Corte+n_Ventana)*ISNUMBER(Detalle_24m!BA$70:BA$94))*MP_V*INDEX(IdxMP_V,1,MIN(10,BA$173)))*(1+V_dMat)/(1-V_Merma)</f>
        <v>225365.4649875</v>
      </c>
      <c r="BB229" s="48" t="n">
        <f aca="false">SUMPRODUCT(BB177:BB201,(49&gt;Corte)*(49&lt;=Corte+n_Ventana)*ISNUMBER(Detalle_24m!BB$70:BB$94)*Detalle_24m!BB$70:BB$94+(1-(49&gt;Corte)*(49&lt;=Corte+n_Ventana)*ISNUMBER(Detalle_24m!BB$70:BB$94))*MP_V*INDEX(IdxMP_V,1,MIN(10,BB$173)))*(1+V_dMat)/(1-V_Merma)</f>
        <v>227619.119637375</v>
      </c>
      <c r="BC229" s="48" t="n">
        <f aca="false">SUMPRODUCT(BC177:BC201,(50&gt;Corte)*(50&lt;=Corte+n_Ventana)*ISNUMBER(Detalle_24m!BC$70:BC$94)*Detalle_24m!BC$70:BC$94+(1-(50&gt;Corte)*(50&lt;=Corte+n_Ventana)*ISNUMBER(Detalle_24m!BC$70:BC$94))*MP_V*INDEX(IdxMP_V,1,MIN(10,BC$173)))*(1+V_dMat)/(1-V_Merma)</f>
        <v>227619.119637375</v>
      </c>
      <c r="BD229" s="48" t="n">
        <f aca="false">SUMPRODUCT(BD177:BD201,(51&gt;Corte)*(51&lt;=Corte+n_Ventana)*ISNUMBER(Detalle_24m!BD$70:BD$94)*Detalle_24m!BD$70:BD$94+(1-(51&gt;Corte)*(51&lt;=Corte+n_Ventana)*ISNUMBER(Detalle_24m!BD$70:BD$94))*MP_V*INDEX(IdxMP_V,1,MIN(10,BD$173)))*(1+V_dMat)/(1-V_Merma)</f>
        <v>227619.119637375</v>
      </c>
      <c r="BE229" s="48" t="n">
        <f aca="false">SUMPRODUCT(BE177:BE201,(52&gt;Corte)*(52&lt;=Corte+n_Ventana)*ISNUMBER(Detalle_24m!BE$70:BE$94)*Detalle_24m!BE$70:BE$94+(1-(52&gt;Corte)*(52&lt;=Corte+n_Ventana)*ISNUMBER(Detalle_24m!BE$70:BE$94))*MP_V*INDEX(IdxMP_V,1,MIN(10,BE$173)))*(1+V_dMat)/(1-V_Merma)</f>
        <v>227619.119637375</v>
      </c>
      <c r="BF229" s="48" t="n">
        <f aca="false">SUMPRODUCT(BF177:BF201,(53&gt;Corte)*(53&lt;=Corte+n_Ventana)*ISNUMBER(Detalle_24m!BF$70:BF$94)*Detalle_24m!BF$70:BF$94+(1-(53&gt;Corte)*(53&lt;=Corte+n_Ventana)*ISNUMBER(Detalle_24m!BF$70:BF$94))*MP_V*INDEX(IdxMP_V,1,MIN(10,BF$173)))*(1+V_dMat)/(1-V_Merma)</f>
        <v>227619.119637375</v>
      </c>
      <c r="BG229" s="48" t="n">
        <f aca="false">SUMPRODUCT(BG177:BG201,(54&gt;Corte)*(54&lt;=Corte+n_Ventana)*ISNUMBER(Detalle_24m!BG$70:BG$94)*Detalle_24m!BG$70:BG$94+(1-(54&gt;Corte)*(54&lt;=Corte+n_Ventana)*ISNUMBER(Detalle_24m!BG$70:BG$94))*MP_V*INDEX(IdxMP_V,1,MIN(10,BG$173)))*(1+V_dMat)/(1-V_Merma)</f>
        <v>227619.119637375</v>
      </c>
      <c r="BH229" s="48" t="n">
        <f aca="false">SUMPRODUCT(BH177:BH201,(55&gt;Corte)*(55&lt;=Corte+n_Ventana)*ISNUMBER(Detalle_24m!BH$70:BH$94)*Detalle_24m!BH$70:BH$94+(1-(55&gt;Corte)*(55&lt;=Corte+n_Ventana)*ISNUMBER(Detalle_24m!BH$70:BH$94))*MP_V*INDEX(IdxMP_V,1,MIN(10,BH$173)))*(1+V_dMat)/(1-V_Merma)</f>
        <v>227619.119637375</v>
      </c>
      <c r="BI229" s="48" t="n">
        <f aca="false">SUMPRODUCT(BI177:BI201,(56&gt;Corte)*(56&lt;=Corte+n_Ventana)*ISNUMBER(Detalle_24m!BI$70:BI$94)*Detalle_24m!BI$70:BI$94+(1-(56&gt;Corte)*(56&lt;=Corte+n_Ventana)*ISNUMBER(Detalle_24m!BI$70:BI$94))*MP_V*INDEX(IdxMP_V,1,MIN(10,BI$173)))*(1+V_dMat)/(1-V_Merma)</f>
        <v>227619.119637375</v>
      </c>
      <c r="BJ229" s="48" t="n">
        <f aca="false">SUMPRODUCT(BJ177:BJ201,(57&gt;Corte)*(57&lt;=Corte+n_Ventana)*ISNUMBER(Detalle_24m!BJ$70:BJ$94)*Detalle_24m!BJ$70:BJ$94+(1-(57&gt;Corte)*(57&lt;=Corte+n_Ventana)*ISNUMBER(Detalle_24m!BJ$70:BJ$94))*MP_V*INDEX(IdxMP_V,1,MIN(10,BJ$173)))*(1+V_dMat)/(1-V_Merma)</f>
        <v>227619.119637375</v>
      </c>
      <c r="BK229" s="48" t="n">
        <f aca="false">SUMPRODUCT(BK177:BK201,(58&gt;Corte)*(58&lt;=Corte+n_Ventana)*ISNUMBER(Detalle_24m!BK$70:BK$94)*Detalle_24m!BK$70:BK$94+(1-(58&gt;Corte)*(58&lt;=Corte+n_Ventana)*ISNUMBER(Detalle_24m!BK$70:BK$94))*MP_V*INDEX(IdxMP_V,1,MIN(10,BK$173)))*(1+V_dMat)/(1-V_Merma)</f>
        <v>227619.119637375</v>
      </c>
      <c r="BL229" s="48" t="n">
        <f aca="false">SUMPRODUCT(BL177:BL201,(59&gt;Corte)*(59&lt;=Corte+n_Ventana)*ISNUMBER(Detalle_24m!BL$70:BL$94)*Detalle_24m!BL$70:BL$94+(1-(59&gt;Corte)*(59&lt;=Corte+n_Ventana)*ISNUMBER(Detalle_24m!BL$70:BL$94))*MP_V*INDEX(IdxMP_V,1,MIN(10,BL$173)))*(1+V_dMat)/(1-V_Merma)</f>
        <v>227619.119637375</v>
      </c>
      <c r="BM229" s="48" t="n">
        <f aca="false">SUMPRODUCT(BM177:BM201,(60&gt;Corte)*(60&lt;=Corte+n_Ventana)*ISNUMBER(Detalle_24m!BM$70:BM$94)*Detalle_24m!BM$70:BM$94+(1-(60&gt;Corte)*(60&lt;=Corte+n_Ventana)*ISNUMBER(Detalle_24m!BM$70:BM$94))*MP_V*INDEX(IdxMP_V,1,MIN(10,BM$173)))*(1+V_dMat)/(1-V_Merma)</f>
        <v>227619.119637375</v>
      </c>
      <c r="BN229" s="48" t="n">
        <f aca="false">SUMPRODUCT(BN177:BN201,(61&gt;Corte)*(61&lt;=Corte+n_Ventana)*ISNUMBER(Detalle_24m!BN$70:BN$94)*Detalle_24m!BN$70:BN$94+(1-(61&gt;Corte)*(61&lt;=Corte+n_Ventana)*ISNUMBER(Detalle_24m!BN$70:BN$94))*MP_V*INDEX(IdxMP_V,1,MIN(10,BN$173)))*(1+V_dMat)/(1-V_Merma)</f>
        <v>229895.310833749</v>
      </c>
      <c r="BO229" s="48" t="n">
        <f aca="false">SUMPRODUCT(BO177:BO201,(62&gt;Corte)*(62&lt;=Corte+n_Ventana)*ISNUMBER(Detalle_24m!BO$70:BO$94)*Detalle_24m!BO$70:BO$94+(1-(62&gt;Corte)*(62&lt;=Corte+n_Ventana)*ISNUMBER(Detalle_24m!BO$70:BO$94))*MP_V*INDEX(IdxMP_V,1,MIN(10,BO$173)))*(1+V_dMat)/(1-V_Merma)</f>
        <v>229895.310833749</v>
      </c>
      <c r="BP229" s="48" t="n">
        <f aca="false">SUMPRODUCT(BP177:BP201,(63&gt;Corte)*(63&lt;=Corte+n_Ventana)*ISNUMBER(Detalle_24m!BP$70:BP$94)*Detalle_24m!BP$70:BP$94+(1-(63&gt;Corte)*(63&lt;=Corte+n_Ventana)*ISNUMBER(Detalle_24m!BP$70:BP$94))*MP_V*INDEX(IdxMP_V,1,MIN(10,BP$173)))*(1+V_dMat)/(1-V_Merma)</f>
        <v>229895.310833749</v>
      </c>
      <c r="BQ229" s="48" t="n">
        <f aca="false">SUMPRODUCT(BQ177:BQ201,(64&gt;Corte)*(64&lt;=Corte+n_Ventana)*ISNUMBER(Detalle_24m!BQ$70:BQ$94)*Detalle_24m!BQ$70:BQ$94+(1-(64&gt;Corte)*(64&lt;=Corte+n_Ventana)*ISNUMBER(Detalle_24m!BQ$70:BQ$94))*MP_V*INDEX(IdxMP_V,1,MIN(10,BQ$173)))*(1+V_dMat)/(1-V_Merma)</f>
        <v>229895.310833749</v>
      </c>
      <c r="BR229" s="48" t="n">
        <f aca="false">SUMPRODUCT(BR177:BR201,(65&gt;Corte)*(65&lt;=Corte+n_Ventana)*ISNUMBER(Detalle_24m!BR$70:BR$94)*Detalle_24m!BR$70:BR$94+(1-(65&gt;Corte)*(65&lt;=Corte+n_Ventana)*ISNUMBER(Detalle_24m!BR$70:BR$94))*MP_V*INDEX(IdxMP_V,1,MIN(10,BR$173)))*(1+V_dMat)/(1-V_Merma)</f>
        <v>229895.310833749</v>
      </c>
      <c r="BS229" s="48" t="n">
        <f aca="false">SUMPRODUCT(BS177:BS201,(66&gt;Corte)*(66&lt;=Corte+n_Ventana)*ISNUMBER(Detalle_24m!BS$70:BS$94)*Detalle_24m!BS$70:BS$94+(1-(66&gt;Corte)*(66&lt;=Corte+n_Ventana)*ISNUMBER(Detalle_24m!BS$70:BS$94))*MP_V*INDEX(IdxMP_V,1,MIN(10,BS$173)))*(1+V_dMat)/(1-V_Merma)</f>
        <v>229895.310833749</v>
      </c>
      <c r="BT229" s="48" t="n">
        <f aca="false">SUMPRODUCT(BT177:BT201,(67&gt;Corte)*(67&lt;=Corte+n_Ventana)*ISNUMBER(Detalle_24m!BT$70:BT$94)*Detalle_24m!BT$70:BT$94+(1-(67&gt;Corte)*(67&lt;=Corte+n_Ventana)*ISNUMBER(Detalle_24m!BT$70:BT$94))*MP_V*INDEX(IdxMP_V,1,MIN(10,BT$173)))*(1+V_dMat)/(1-V_Merma)</f>
        <v>229895.310833749</v>
      </c>
      <c r="BU229" s="48" t="n">
        <f aca="false">SUMPRODUCT(BU177:BU201,(68&gt;Corte)*(68&lt;=Corte+n_Ventana)*ISNUMBER(Detalle_24m!BU$70:BU$94)*Detalle_24m!BU$70:BU$94+(1-(68&gt;Corte)*(68&lt;=Corte+n_Ventana)*ISNUMBER(Detalle_24m!BU$70:BU$94))*MP_V*INDEX(IdxMP_V,1,MIN(10,BU$173)))*(1+V_dMat)/(1-V_Merma)</f>
        <v>229895.310833749</v>
      </c>
      <c r="BV229" s="48" t="n">
        <f aca="false">SUMPRODUCT(BV177:BV201,(69&gt;Corte)*(69&lt;=Corte+n_Ventana)*ISNUMBER(Detalle_24m!BV$70:BV$94)*Detalle_24m!BV$70:BV$94+(1-(69&gt;Corte)*(69&lt;=Corte+n_Ventana)*ISNUMBER(Detalle_24m!BV$70:BV$94))*MP_V*INDEX(IdxMP_V,1,MIN(10,BV$173)))*(1+V_dMat)/(1-V_Merma)</f>
        <v>229895.310833749</v>
      </c>
      <c r="BW229" s="48" t="n">
        <f aca="false">SUMPRODUCT(BW177:BW201,(70&gt;Corte)*(70&lt;=Corte+n_Ventana)*ISNUMBER(Detalle_24m!BW$70:BW$94)*Detalle_24m!BW$70:BW$94+(1-(70&gt;Corte)*(70&lt;=Corte+n_Ventana)*ISNUMBER(Detalle_24m!BW$70:BW$94))*MP_V*INDEX(IdxMP_V,1,MIN(10,BW$173)))*(1+V_dMat)/(1-V_Merma)</f>
        <v>229895.310833749</v>
      </c>
      <c r="BX229" s="48" t="n">
        <f aca="false">SUMPRODUCT(BX177:BX201,(71&gt;Corte)*(71&lt;=Corte+n_Ventana)*ISNUMBER(Detalle_24m!BX$70:BX$94)*Detalle_24m!BX$70:BX$94+(1-(71&gt;Corte)*(71&lt;=Corte+n_Ventana)*ISNUMBER(Detalle_24m!BX$70:BX$94))*MP_V*INDEX(IdxMP_V,1,MIN(10,BX$173)))*(1+V_dMat)/(1-V_Merma)</f>
        <v>229895.310833749</v>
      </c>
      <c r="BY229" s="48" t="n">
        <f aca="false">SUMPRODUCT(BY177:BY201,(72&gt;Corte)*(72&lt;=Corte+n_Ventana)*ISNUMBER(Detalle_24m!BY$70:BY$94)*Detalle_24m!BY$70:BY$94+(1-(72&gt;Corte)*(72&lt;=Corte+n_Ventana)*ISNUMBER(Detalle_24m!BY$70:BY$94))*MP_V*INDEX(IdxMP_V,1,MIN(10,BY$173)))*(1+V_dMat)/(1-V_Merma)</f>
        <v>229895.310833749</v>
      </c>
      <c r="BZ229" s="48" t="n">
        <f aca="false">SUMPRODUCT(BZ177:BZ201,(73&gt;Corte)*(73&lt;=Corte+n_Ventana)*ISNUMBER(Detalle_24m!BZ$70:BZ$94)*Detalle_24m!BZ$70:BZ$94+(1-(73&gt;Corte)*(73&lt;=Corte+n_Ventana)*ISNUMBER(Detalle_24m!BZ$70:BZ$94))*MP_V*INDEX(IdxMP_V,1,MIN(10,BZ$173)))*(1+V_dMat)/(1-V_Merma)</f>
        <v>232194.263942086</v>
      </c>
      <c r="CA229" s="48" t="n">
        <f aca="false">SUMPRODUCT(CA177:CA201,(74&gt;Corte)*(74&lt;=Corte+n_Ventana)*ISNUMBER(Detalle_24m!CA$70:CA$94)*Detalle_24m!CA$70:CA$94+(1-(74&gt;Corte)*(74&lt;=Corte+n_Ventana)*ISNUMBER(Detalle_24m!CA$70:CA$94))*MP_V*INDEX(IdxMP_V,1,MIN(10,CA$173)))*(1+V_dMat)/(1-V_Merma)</f>
        <v>232194.263942086</v>
      </c>
      <c r="CB229" s="48" t="n">
        <f aca="false">SUMPRODUCT(CB177:CB201,(75&gt;Corte)*(75&lt;=Corte+n_Ventana)*ISNUMBER(Detalle_24m!CB$70:CB$94)*Detalle_24m!CB$70:CB$94+(1-(75&gt;Corte)*(75&lt;=Corte+n_Ventana)*ISNUMBER(Detalle_24m!CB$70:CB$94))*MP_V*INDEX(IdxMP_V,1,MIN(10,CB$173)))*(1+V_dMat)/(1-V_Merma)</f>
        <v>232194.263942086</v>
      </c>
      <c r="CC229" s="48" t="n">
        <f aca="false">SUMPRODUCT(CC177:CC201,(76&gt;Corte)*(76&lt;=Corte+n_Ventana)*ISNUMBER(Detalle_24m!CC$70:CC$94)*Detalle_24m!CC$70:CC$94+(1-(76&gt;Corte)*(76&lt;=Corte+n_Ventana)*ISNUMBER(Detalle_24m!CC$70:CC$94))*MP_V*INDEX(IdxMP_V,1,MIN(10,CC$173)))*(1+V_dMat)/(1-V_Merma)</f>
        <v>232194.263942086</v>
      </c>
      <c r="CD229" s="48" t="n">
        <f aca="false">SUMPRODUCT(CD177:CD201,(77&gt;Corte)*(77&lt;=Corte+n_Ventana)*ISNUMBER(Detalle_24m!CD$70:CD$94)*Detalle_24m!CD$70:CD$94+(1-(77&gt;Corte)*(77&lt;=Corte+n_Ventana)*ISNUMBER(Detalle_24m!CD$70:CD$94))*MP_V*INDEX(IdxMP_V,1,MIN(10,CD$173)))*(1+V_dMat)/(1-V_Merma)</f>
        <v>232194.263942086</v>
      </c>
      <c r="CE229" s="48" t="n">
        <f aca="false">SUMPRODUCT(CE177:CE201,(78&gt;Corte)*(78&lt;=Corte+n_Ventana)*ISNUMBER(Detalle_24m!CE$70:CE$94)*Detalle_24m!CE$70:CE$94+(1-(78&gt;Corte)*(78&lt;=Corte+n_Ventana)*ISNUMBER(Detalle_24m!CE$70:CE$94))*MP_V*INDEX(IdxMP_V,1,MIN(10,CE$173)))*(1+V_dMat)/(1-V_Merma)</f>
        <v>232194.263942086</v>
      </c>
      <c r="CF229" s="48" t="n">
        <f aca="false">SUMPRODUCT(CF177:CF201,(79&gt;Corte)*(79&lt;=Corte+n_Ventana)*ISNUMBER(Detalle_24m!CF$70:CF$94)*Detalle_24m!CF$70:CF$94+(1-(79&gt;Corte)*(79&lt;=Corte+n_Ventana)*ISNUMBER(Detalle_24m!CF$70:CF$94))*MP_V*INDEX(IdxMP_V,1,MIN(10,CF$173)))*(1+V_dMat)/(1-V_Merma)</f>
        <v>232194.263942086</v>
      </c>
      <c r="CG229" s="48" t="n">
        <f aca="false">SUMPRODUCT(CG177:CG201,(80&gt;Corte)*(80&lt;=Corte+n_Ventana)*ISNUMBER(Detalle_24m!CG$70:CG$94)*Detalle_24m!CG$70:CG$94+(1-(80&gt;Corte)*(80&lt;=Corte+n_Ventana)*ISNUMBER(Detalle_24m!CG$70:CG$94))*MP_V*INDEX(IdxMP_V,1,MIN(10,CG$173)))*(1+V_dMat)/(1-V_Merma)</f>
        <v>232194.263942086</v>
      </c>
      <c r="CH229" s="48" t="n">
        <f aca="false">SUMPRODUCT(CH177:CH201,(81&gt;Corte)*(81&lt;=Corte+n_Ventana)*ISNUMBER(Detalle_24m!CH$70:CH$94)*Detalle_24m!CH$70:CH$94+(1-(81&gt;Corte)*(81&lt;=Corte+n_Ventana)*ISNUMBER(Detalle_24m!CH$70:CH$94))*MP_V*INDEX(IdxMP_V,1,MIN(10,CH$173)))*(1+V_dMat)/(1-V_Merma)</f>
        <v>232194.263942086</v>
      </c>
      <c r="CI229" s="48" t="n">
        <f aca="false">SUMPRODUCT(CI177:CI201,(82&gt;Corte)*(82&lt;=Corte+n_Ventana)*ISNUMBER(Detalle_24m!CI$70:CI$94)*Detalle_24m!CI$70:CI$94+(1-(82&gt;Corte)*(82&lt;=Corte+n_Ventana)*ISNUMBER(Detalle_24m!CI$70:CI$94))*MP_V*INDEX(IdxMP_V,1,MIN(10,CI$173)))*(1+V_dMat)/(1-V_Merma)</f>
        <v>232194.263942086</v>
      </c>
      <c r="CJ229" s="48" t="n">
        <f aca="false">SUMPRODUCT(CJ177:CJ201,(83&gt;Corte)*(83&lt;=Corte+n_Ventana)*ISNUMBER(Detalle_24m!CJ$70:CJ$94)*Detalle_24m!CJ$70:CJ$94+(1-(83&gt;Corte)*(83&lt;=Corte+n_Ventana)*ISNUMBER(Detalle_24m!CJ$70:CJ$94))*MP_V*INDEX(IdxMP_V,1,MIN(10,CJ$173)))*(1+V_dMat)/(1-V_Merma)</f>
        <v>232194.263942086</v>
      </c>
      <c r="CK229" s="48" t="n">
        <f aca="false">SUMPRODUCT(CK177:CK201,(84&gt;Corte)*(84&lt;=Corte+n_Ventana)*ISNUMBER(Detalle_24m!CK$70:CK$94)*Detalle_24m!CK$70:CK$94+(1-(84&gt;Corte)*(84&lt;=Corte+n_Ventana)*ISNUMBER(Detalle_24m!CK$70:CK$94))*MP_V*INDEX(IdxMP_V,1,MIN(10,CK$173)))*(1+V_dMat)/(1-V_Merma)</f>
        <v>232194.263942086</v>
      </c>
      <c r="CL229" s="48" t="n">
        <f aca="false">SUMPRODUCT(CL177:CL201,(85&gt;Corte)*(85&lt;=Corte+n_Ventana)*ISNUMBER(Detalle_24m!CL$70:CL$94)*Detalle_24m!CL$70:CL$94+(1-(85&gt;Corte)*(85&lt;=Corte+n_Ventana)*ISNUMBER(Detalle_24m!CL$70:CL$94))*MP_V*INDEX(IdxMP_V,1,MIN(10,CL$173)))*(1+V_dMat)/(1-V_Merma)</f>
        <v>234516.206581507</v>
      </c>
      <c r="CM229" s="48" t="n">
        <f aca="false">SUMPRODUCT(CM177:CM201,(86&gt;Corte)*(86&lt;=Corte+n_Ventana)*ISNUMBER(Detalle_24m!CM$70:CM$94)*Detalle_24m!CM$70:CM$94+(1-(86&gt;Corte)*(86&lt;=Corte+n_Ventana)*ISNUMBER(Detalle_24m!CM$70:CM$94))*MP_V*INDEX(IdxMP_V,1,MIN(10,CM$173)))*(1+V_dMat)/(1-V_Merma)</f>
        <v>234516.206581507</v>
      </c>
      <c r="CN229" s="48" t="n">
        <f aca="false">SUMPRODUCT(CN177:CN201,(87&gt;Corte)*(87&lt;=Corte+n_Ventana)*ISNUMBER(Detalle_24m!CN$70:CN$94)*Detalle_24m!CN$70:CN$94+(1-(87&gt;Corte)*(87&lt;=Corte+n_Ventana)*ISNUMBER(Detalle_24m!CN$70:CN$94))*MP_V*INDEX(IdxMP_V,1,MIN(10,CN$173)))*(1+V_dMat)/(1-V_Merma)</f>
        <v>234516.206581507</v>
      </c>
      <c r="CO229" s="48" t="n">
        <f aca="false">SUMPRODUCT(CO177:CO201,(88&gt;Corte)*(88&lt;=Corte+n_Ventana)*ISNUMBER(Detalle_24m!CO$70:CO$94)*Detalle_24m!CO$70:CO$94+(1-(88&gt;Corte)*(88&lt;=Corte+n_Ventana)*ISNUMBER(Detalle_24m!CO$70:CO$94))*MP_V*INDEX(IdxMP_V,1,MIN(10,CO$173)))*(1+V_dMat)/(1-V_Merma)</f>
        <v>234516.206581507</v>
      </c>
      <c r="CP229" s="48" t="n">
        <f aca="false">SUMPRODUCT(CP177:CP201,(89&gt;Corte)*(89&lt;=Corte+n_Ventana)*ISNUMBER(Detalle_24m!CP$70:CP$94)*Detalle_24m!CP$70:CP$94+(1-(89&gt;Corte)*(89&lt;=Corte+n_Ventana)*ISNUMBER(Detalle_24m!CP$70:CP$94))*MP_V*INDEX(IdxMP_V,1,MIN(10,CP$173)))*(1+V_dMat)/(1-V_Merma)</f>
        <v>234516.206581507</v>
      </c>
      <c r="CQ229" s="48" t="n">
        <f aca="false">SUMPRODUCT(CQ177:CQ201,(90&gt;Corte)*(90&lt;=Corte+n_Ventana)*ISNUMBER(Detalle_24m!CQ$70:CQ$94)*Detalle_24m!CQ$70:CQ$94+(1-(90&gt;Corte)*(90&lt;=Corte+n_Ventana)*ISNUMBER(Detalle_24m!CQ$70:CQ$94))*MP_V*INDEX(IdxMP_V,1,MIN(10,CQ$173)))*(1+V_dMat)/(1-V_Merma)</f>
        <v>234516.206581507</v>
      </c>
      <c r="CR229" s="48" t="n">
        <f aca="false">SUMPRODUCT(CR177:CR201,(91&gt;Corte)*(91&lt;=Corte+n_Ventana)*ISNUMBER(Detalle_24m!CR$70:CR$94)*Detalle_24m!CR$70:CR$94+(1-(91&gt;Corte)*(91&lt;=Corte+n_Ventana)*ISNUMBER(Detalle_24m!CR$70:CR$94))*MP_V*INDEX(IdxMP_V,1,MIN(10,CR$173)))*(1+V_dMat)/(1-V_Merma)</f>
        <v>234516.206581507</v>
      </c>
      <c r="CS229" s="48" t="n">
        <f aca="false">SUMPRODUCT(CS177:CS201,(92&gt;Corte)*(92&lt;=Corte+n_Ventana)*ISNUMBER(Detalle_24m!CS$70:CS$94)*Detalle_24m!CS$70:CS$94+(1-(92&gt;Corte)*(92&lt;=Corte+n_Ventana)*ISNUMBER(Detalle_24m!CS$70:CS$94))*MP_V*INDEX(IdxMP_V,1,MIN(10,CS$173)))*(1+V_dMat)/(1-V_Merma)</f>
        <v>234516.206581507</v>
      </c>
      <c r="CT229" s="48" t="n">
        <f aca="false">SUMPRODUCT(CT177:CT201,(93&gt;Corte)*(93&lt;=Corte+n_Ventana)*ISNUMBER(Detalle_24m!CT$70:CT$94)*Detalle_24m!CT$70:CT$94+(1-(93&gt;Corte)*(93&lt;=Corte+n_Ventana)*ISNUMBER(Detalle_24m!CT$70:CT$94))*MP_V*INDEX(IdxMP_V,1,MIN(10,CT$173)))*(1+V_dMat)/(1-V_Merma)</f>
        <v>234516.206581507</v>
      </c>
      <c r="CU229" s="48" t="n">
        <f aca="false">SUMPRODUCT(CU177:CU201,(94&gt;Corte)*(94&lt;=Corte+n_Ventana)*ISNUMBER(Detalle_24m!CU$70:CU$94)*Detalle_24m!CU$70:CU$94+(1-(94&gt;Corte)*(94&lt;=Corte+n_Ventana)*ISNUMBER(Detalle_24m!CU$70:CU$94))*MP_V*INDEX(IdxMP_V,1,MIN(10,CU$173)))*(1+V_dMat)/(1-V_Merma)</f>
        <v>234516.206581507</v>
      </c>
      <c r="CV229" s="48" t="n">
        <f aca="false">SUMPRODUCT(CV177:CV201,(95&gt;Corte)*(95&lt;=Corte+n_Ventana)*ISNUMBER(Detalle_24m!CV$70:CV$94)*Detalle_24m!CV$70:CV$94+(1-(95&gt;Corte)*(95&lt;=Corte+n_Ventana)*ISNUMBER(Detalle_24m!CV$70:CV$94))*MP_V*INDEX(IdxMP_V,1,MIN(10,CV$173)))*(1+V_dMat)/(1-V_Merma)</f>
        <v>234516.206581507</v>
      </c>
      <c r="CW229" s="48" t="n">
        <f aca="false">SUMPRODUCT(CW177:CW201,(96&gt;Corte)*(96&lt;=Corte+n_Ventana)*ISNUMBER(Detalle_24m!CW$70:CW$94)*Detalle_24m!CW$70:CW$94+(1-(96&gt;Corte)*(96&lt;=Corte+n_Ventana)*ISNUMBER(Detalle_24m!CW$70:CW$94))*MP_V*INDEX(IdxMP_V,1,MIN(10,CW$173)))*(1+V_dMat)/(1-V_Merma)</f>
        <v>234516.206581507</v>
      </c>
      <c r="CX229" s="48" t="n">
        <f aca="false">SUMPRODUCT(CX177:CX201,(97&gt;Corte)*(97&lt;=Corte+n_Ventana)*ISNUMBER(Detalle_24m!CX$70:CX$94)*Detalle_24m!CX$70:CX$94+(1-(97&gt;Corte)*(97&lt;=Corte+n_Ventana)*ISNUMBER(Detalle_24m!CX$70:CX$94))*MP_V*INDEX(IdxMP_V,1,MIN(10,CX$173)))*(1+V_dMat)/(1-V_Merma)</f>
        <v>236861.368647322</v>
      </c>
      <c r="CY229" s="48" t="n">
        <f aca="false">SUMPRODUCT(CY177:CY201,(98&gt;Corte)*(98&lt;=Corte+n_Ventana)*ISNUMBER(Detalle_24m!CY$70:CY$94)*Detalle_24m!CY$70:CY$94+(1-(98&gt;Corte)*(98&lt;=Corte+n_Ventana)*ISNUMBER(Detalle_24m!CY$70:CY$94))*MP_V*INDEX(IdxMP_V,1,MIN(10,CY$173)))*(1+V_dMat)/(1-V_Merma)</f>
        <v>236861.368647322</v>
      </c>
      <c r="CZ229" s="48" t="n">
        <f aca="false">SUMPRODUCT(CZ177:CZ201,(99&gt;Corte)*(99&lt;=Corte+n_Ventana)*ISNUMBER(Detalle_24m!CZ$70:CZ$94)*Detalle_24m!CZ$70:CZ$94+(1-(99&gt;Corte)*(99&lt;=Corte+n_Ventana)*ISNUMBER(Detalle_24m!CZ$70:CZ$94))*MP_V*INDEX(IdxMP_V,1,MIN(10,CZ$173)))*(1+V_dMat)/(1-V_Merma)</f>
        <v>236861.368647322</v>
      </c>
      <c r="DA229" s="48" t="n">
        <f aca="false">SUMPRODUCT(DA177:DA201,(100&gt;Corte)*(100&lt;=Corte+n_Ventana)*ISNUMBER(Detalle_24m!DA$70:DA$94)*Detalle_24m!DA$70:DA$94+(1-(100&gt;Corte)*(100&lt;=Corte+n_Ventana)*ISNUMBER(Detalle_24m!DA$70:DA$94))*MP_V*INDEX(IdxMP_V,1,MIN(10,DA$173)))*(1+V_dMat)/(1-V_Merma)</f>
        <v>236861.368647322</v>
      </c>
      <c r="DB229" s="48" t="n">
        <f aca="false">SUMPRODUCT(DB177:DB201,(101&gt;Corte)*(101&lt;=Corte+n_Ventana)*ISNUMBER(Detalle_24m!DB$70:DB$94)*Detalle_24m!DB$70:DB$94+(1-(101&gt;Corte)*(101&lt;=Corte+n_Ventana)*ISNUMBER(Detalle_24m!DB$70:DB$94))*MP_V*INDEX(IdxMP_V,1,MIN(10,DB$173)))*(1+V_dMat)/(1-V_Merma)</f>
        <v>236861.368647322</v>
      </c>
      <c r="DC229" s="48" t="n">
        <f aca="false">SUMPRODUCT(DC177:DC201,(102&gt;Corte)*(102&lt;=Corte+n_Ventana)*ISNUMBER(Detalle_24m!DC$70:DC$94)*Detalle_24m!DC$70:DC$94+(1-(102&gt;Corte)*(102&lt;=Corte+n_Ventana)*ISNUMBER(Detalle_24m!DC$70:DC$94))*MP_V*INDEX(IdxMP_V,1,MIN(10,DC$173)))*(1+V_dMat)/(1-V_Merma)</f>
        <v>236861.368647322</v>
      </c>
      <c r="DD229" s="48" t="n">
        <f aca="false">SUMPRODUCT(DD177:DD201,(103&gt;Corte)*(103&lt;=Corte+n_Ventana)*ISNUMBER(Detalle_24m!DD$70:DD$94)*Detalle_24m!DD$70:DD$94+(1-(103&gt;Corte)*(103&lt;=Corte+n_Ventana)*ISNUMBER(Detalle_24m!DD$70:DD$94))*MP_V*INDEX(IdxMP_V,1,MIN(10,DD$173)))*(1+V_dMat)/(1-V_Merma)</f>
        <v>236861.368647322</v>
      </c>
      <c r="DE229" s="48" t="n">
        <f aca="false">SUMPRODUCT(DE177:DE201,(104&gt;Corte)*(104&lt;=Corte+n_Ventana)*ISNUMBER(Detalle_24m!DE$70:DE$94)*Detalle_24m!DE$70:DE$94+(1-(104&gt;Corte)*(104&lt;=Corte+n_Ventana)*ISNUMBER(Detalle_24m!DE$70:DE$94))*MP_V*INDEX(IdxMP_V,1,MIN(10,DE$173)))*(1+V_dMat)/(1-V_Merma)</f>
        <v>236861.368647322</v>
      </c>
      <c r="DF229" s="48" t="n">
        <f aca="false">SUMPRODUCT(DF177:DF201,(105&gt;Corte)*(105&lt;=Corte+n_Ventana)*ISNUMBER(Detalle_24m!DF$70:DF$94)*Detalle_24m!DF$70:DF$94+(1-(105&gt;Corte)*(105&lt;=Corte+n_Ventana)*ISNUMBER(Detalle_24m!DF$70:DF$94))*MP_V*INDEX(IdxMP_V,1,MIN(10,DF$173)))*(1+V_dMat)/(1-V_Merma)</f>
        <v>236861.368647322</v>
      </c>
      <c r="DG229" s="48" t="n">
        <f aca="false">SUMPRODUCT(DG177:DG201,(106&gt;Corte)*(106&lt;=Corte+n_Ventana)*ISNUMBER(Detalle_24m!DG$70:DG$94)*Detalle_24m!DG$70:DG$94+(1-(106&gt;Corte)*(106&lt;=Corte+n_Ventana)*ISNUMBER(Detalle_24m!DG$70:DG$94))*MP_V*INDEX(IdxMP_V,1,MIN(10,DG$173)))*(1+V_dMat)/(1-V_Merma)</f>
        <v>236861.368647322</v>
      </c>
      <c r="DH229" s="48" t="n">
        <f aca="false">SUMPRODUCT(DH177:DH201,(107&gt;Corte)*(107&lt;=Corte+n_Ventana)*ISNUMBER(Detalle_24m!DH$70:DH$94)*Detalle_24m!DH$70:DH$94+(1-(107&gt;Corte)*(107&lt;=Corte+n_Ventana)*ISNUMBER(Detalle_24m!DH$70:DH$94))*MP_V*INDEX(IdxMP_V,1,MIN(10,DH$173)))*(1+V_dMat)/(1-V_Merma)</f>
        <v>236861.368647322</v>
      </c>
      <c r="DI229" s="48" t="n">
        <f aca="false">SUMPRODUCT(DI177:DI201,(108&gt;Corte)*(108&lt;=Corte+n_Ventana)*ISNUMBER(Detalle_24m!DI$70:DI$94)*Detalle_24m!DI$70:DI$94+(1-(108&gt;Corte)*(108&lt;=Corte+n_Ventana)*ISNUMBER(Detalle_24m!DI$70:DI$94))*MP_V*INDEX(IdxMP_V,1,MIN(10,DI$173)))*(1+V_dMat)/(1-V_Merma)</f>
        <v>236861.368647322</v>
      </c>
      <c r="DJ229" s="48" t="n">
        <f aca="false">SUMPRODUCT(DJ177:DJ201,(109&gt;Corte)*(109&lt;=Corte+n_Ventana)*ISNUMBER(Detalle_24m!DJ$70:DJ$94)*Detalle_24m!DJ$70:DJ$94+(1-(109&gt;Corte)*(109&lt;=Corte+n_Ventana)*ISNUMBER(Detalle_24m!DJ$70:DJ$94))*MP_V*INDEX(IdxMP_V,1,MIN(10,DJ$173)))*(1+V_dMat)/(1-V_Merma)</f>
        <v>239229.982333795</v>
      </c>
      <c r="DK229" s="48" t="n">
        <f aca="false">SUMPRODUCT(DK177:DK201,(110&gt;Corte)*(110&lt;=Corte+n_Ventana)*ISNUMBER(Detalle_24m!DK$70:DK$94)*Detalle_24m!DK$70:DK$94+(1-(110&gt;Corte)*(110&lt;=Corte+n_Ventana)*ISNUMBER(Detalle_24m!DK$70:DK$94))*MP_V*INDEX(IdxMP_V,1,MIN(10,DK$173)))*(1+V_dMat)/(1-V_Merma)</f>
        <v>239229.982333795</v>
      </c>
      <c r="DL229" s="48" t="n">
        <f aca="false">SUMPRODUCT(DL177:DL201,(111&gt;Corte)*(111&lt;=Corte+n_Ventana)*ISNUMBER(Detalle_24m!DL$70:DL$94)*Detalle_24m!DL$70:DL$94+(1-(111&gt;Corte)*(111&lt;=Corte+n_Ventana)*ISNUMBER(Detalle_24m!DL$70:DL$94))*MP_V*INDEX(IdxMP_V,1,MIN(10,DL$173)))*(1+V_dMat)/(1-V_Merma)</f>
        <v>239229.982333795</v>
      </c>
      <c r="DM229" s="48" t="n">
        <f aca="false">SUMPRODUCT(DM177:DM201,(112&gt;Corte)*(112&lt;=Corte+n_Ventana)*ISNUMBER(Detalle_24m!DM$70:DM$94)*Detalle_24m!DM$70:DM$94+(1-(112&gt;Corte)*(112&lt;=Corte+n_Ventana)*ISNUMBER(Detalle_24m!DM$70:DM$94))*MP_V*INDEX(IdxMP_V,1,MIN(10,DM$173)))*(1+V_dMat)/(1-V_Merma)</f>
        <v>239229.982333795</v>
      </c>
      <c r="DN229" s="48" t="n">
        <f aca="false">SUMPRODUCT(DN177:DN201,(113&gt;Corte)*(113&lt;=Corte+n_Ventana)*ISNUMBER(Detalle_24m!DN$70:DN$94)*Detalle_24m!DN$70:DN$94+(1-(113&gt;Corte)*(113&lt;=Corte+n_Ventana)*ISNUMBER(Detalle_24m!DN$70:DN$94))*MP_V*INDEX(IdxMP_V,1,MIN(10,DN$173)))*(1+V_dMat)/(1-V_Merma)</f>
        <v>239229.982333795</v>
      </c>
      <c r="DO229" s="48" t="n">
        <f aca="false">SUMPRODUCT(DO177:DO201,(114&gt;Corte)*(114&lt;=Corte+n_Ventana)*ISNUMBER(Detalle_24m!DO$70:DO$94)*Detalle_24m!DO$70:DO$94+(1-(114&gt;Corte)*(114&lt;=Corte+n_Ventana)*ISNUMBER(Detalle_24m!DO$70:DO$94))*MP_V*INDEX(IdxMP_V,1,MIN(10,DO$173)))*(1+V_dMat)/(1-V_Merma)</f>
        <v>239229.982333795</v>
      </c>
      <c r="DP229" s="48" t="n">
        <f aca="false">SUMPRODUCT(DP177:DP201,(115&gt;Corte)*(115&lt;=Corte+n_Ventana)*ISNUMBER(Detalle_24m!DP$70:DP$94)*Detalle_24m!DP$70:DP$94+(1-(115&gt;Corte)*(115&lt;=Corte+n_Ventana)*ISNUMBER(Detalle_24m!DP$70:DP$94))*MP_V*INDEX(IdxMP_V,1,MIN(10,DP$173)))*(1+V_dMat)/(1-V_Merma)</f>
        <v>239229.982333795</v>
      </c>
      <c r="DQ229" s="48" t="n">
        <f aca="false">SUMPRODUCT(DQ177:DQ201,(116&gt;Corte)*(116&lt;=Corte+n_Ventana)*ISNUMBER(Detalle_24m!DQ$70:DQ$94)*Detalle_24m!DQ$70:DQ$94+(1-(116&gt;Corte)*(116&lt;=Corte+n_Ventana)*ISNUMBER(Detalle_24m!DQ$70:DQ$94))*MP_V*INDEX(IdxMP_V,1,MIN(10,DQ$173)))*(1+V_dMat)/(1-V_Merma)</f>
        <v>239229.982333795</v>
      </c>
      <c r="DR229" s="48" t="n">
        <f aca="false">SUMPRODUCT(DR177:DR201,(117&gt;Corte)*(117&lt;=Corte+n_Ventana)*ISNUMBER(Detalle_24m!DR$70:DR$94)*Detalle_24m!DR$70:DR$94+(1-(117&gt;Corte)*(117&lt;=Corte+n_Ventana)*ISNUMBER(Detalle_24m!DR$70:DR$94))*MP_V*INDEX(IdxMP_V,1,MIN(10,DR$173)))*(1+V_dMat)/(1-V_Merma)</f>
        <v>239229.982333795</v>
      </c>
      <c r="DS229" s="48" t="n">
        <f aca="false">SUMPRODUCT(DS177:DS201,(118&gt;Corte)*(118&lt;=Corte+n_Ventana)*ISNUMBER(Detalle_24m!DS$70:DS$94)*Detalle_24m!DS$70:DS$94+(1-(118&gt;Corte)*(118&lt;=Corte+n_Ventana)*ISNUMBER(Detalle_24m!DS$70:DS$94))*MP_V*INDEX(IdxMP_V,1,MIN(10,DS$173)))*(1+V_dMat)/(1-V_Merma)</f>
        <v>239229.982333795</v>
      </c>
      <c r="DT229" s="48" t="n">
        <f aca="false">SUMPRODUCT(DT177:DT201,(119&gt;Corte)*(119&lt;=Corte+n_Ventana)*ISNUMBER(Detalle_24m!DT$70:DT$94)*Detalle_24m!DT$70:DT$94+(1-(119&gt;Corte)*(119&lt;=Corte+n_Ventana)*ISNUMBER(Detalle_24m!DT$70:DT$94))*MP_V*INDEX(IdxMP_V,1,MIN(10,DT$173)))*(1+V_dMat)/(1-V_Merma)</f>
        <v>239229.982333795</v>
      </c>
      <c r="DU229" s="48" t="n">
        <f aca="false">SUMPRODUCT(DU177:DU201,(120&gt;Corte)*(120&lt;=Corte+n_Ventana)*ISNUMBER(Detalle_24m!DU$70:DU$94)*Detalle_24m!DU$70:DU$94+(1-(120&gt;Corte)*(120&lt;=Corte+n_Ventana)*ISNUMBER(Detalle_24m!DU$70:DU$94))*MP_V*INDEX(IdxMP_V,1,MIN(10,DU$173)))*(1+V_dMat)/(1-V_Merma)</f>
        <v>239229.982333795</v>
      </c>
      <c r="DV229" s="48" t="n">
        <f aca="false">SUMPRODUCT(DV177:DV201,(121&gt;Corte)*(121&lt;=Corte+n_Ventana)*ISNUMBER(Detalle_24m!DV$70:DV$94)*Detalle_24m!DV$70:DV$94+(1-(121&gt;Corte)*(121&lt;=Corte+n_Ventana)*ISNUMBER(Detalle_24m!DV$70:DV$94))*MP_V*INDEX(IdxMP_V,1,MIN(10,DV$173)))*(1+V_dMat)/(1-V_Merma)</f>
        <v>0</v>
      </c>
      <c r="DW229" s="48" t="n">
        <f aca="false">SUMPRODUCT(DW177:DW201,(122&gt;Corte)*(122&lt;=Corte+n_Ventana)*ISNUMBER(Detalle_24m!DW$70:DW$94)*Detalle_24m!DW$70:DW$94+(1-(122&gt;Corte)*(122&lt;=Corte+n_Ventana)*ISNUMBER(Detalle_24m!DW$70:DW$94))*MP_V*INDEX(IdxMP_V,1,MIN(10,DW$173)))*(1+V_dMat)/(1-V_Merma)</f>
        <v>0</v>
      </c>
      <c r="DX229" s="48" t="n">
        <f aca="false">SUMPRODUCT(DX177:DX201,(123&gt;Corte)*(123&lt;=Corte+n_Ventana)*ISNUMBER(Detalle_24m!DX$70:DX$94)*Detalle_24m!DX$70:DX$94+(1-(123&gt;Corte)*(123&lt;=Corte+n_Ventana)*ISNUMBER(Detalle_24m!DX$70:DX$94))*MP_V*INDEX(IdxMP_V,1,MIN(10,DX$173)))*(1+V_dMat)/(1-V_Merma)</f>
        <v>0</v>
      </c>
      <c r="DY229" s="48" t="n">
        <f aca="false">SUMPRODUCT(DY177:DY201,(124&gt;Corte)*(124&lt;=Corte+n_Ventana)*ISNUMBER(Detalle_24m!DY$70:DY$94)*Detalle_24m!DY$70:DY$94+(1-(124&gt;Corte)*(124&lt;=Corte+n_Ventana)*ISNUMBER(Detalle_24m!DY$70:DY$94))*MP_V*INDEX(IdxMP_V,1,MIN(10,DY$173)))*(1+V_dMat)/(1-V_Merma)</f>
        <v>0</v>
      </c>
      <c r="DZ229" s="48" t="n">
        <f aca="false">SUMPRODUCT(DZ177:DZ201,(125&gt;Corte)*(125&lt;=Corte+n_Ventana)*ISNUMBER(Detalle_24m!DZ$70:DZ$94)*Detalle_24m!DZ$70:DZ$94+(1-(125&gt;Corte)*(125&lt;=Corte+n_Ventana)*ISNUMBER(Detalle_24m!DZ$70:DZ$94))*MP_V*INDEX(IdxMP_V,1,MIN(10,DZ$173)))*(1+V_dMat)/(1-V_Merma)</f>
        <v>0</v>
      </c>
      <c r="EA229" s="48" t="n">
        <f aca="false">SUMPRODUCT(EA177:EA201,(126&gt;Corte)*(126&lt;=Corte+n_Ventana)*ISNUMBER(Detalle_24m!EA$70:EA$94)*Detalle_24m!EA$70:EA$94+(1-(126&gt;Corte)*(126&lt;=Corte+n_Ventana)*ISNUMBER(Detalle_24m!EA$70:EA$94))*MP_V*INDEX(IdxMP_V,1,MIN(10,EA$173)))*(1+V_dMat)/(1-V_Merma)</f>
        <v>0</v>
      </c>
      <c r="EB229" s="48" t="n">
        <f aca="false">SUMPRODUCT(EB177:EB201,(127&gt;Corte)*(127&lt;=Corte+n_Ventana)*ISNUMBER(Detalle_24m!EB$70:EB$94)*Detalle_24m!EB$70:EB$94+(1-(127&gt;Corte)*(127&lt;=Corte+n_Ventana)*ISNUMBER(Detalle_24m!EB$70:EB$94))*MP_V*INDEX(IdxMP_V,1,MIN(10,EB$173)))*(1+V_dMat)/(1-V_Merma)</f>
        <v>0</v>
      </c>
      <c r="EC229" s="48" t="n">
        <f aca="false">SUMPRODUCT(EC177:EC201,(128&gt;Corte)*(128&lt;=Corte+n_Ventana)*ISNUMBER(Detalle_24m!EC$70:EC$94)*Detalle_24m!EC$70:EC$94+(1-(128&gt;Corte)*(128&lt;=Corte+n_Ventana)*ISNUMBER(Detalle_24m!EC$70:EC$94))*MP_V*INDEX(IdxMP_V,1,MIN(10,EC$173)))*(1+V_dMat)/(1-V_Merma)</f>
        <v>0</v>
      </c>
      <c r="ED229" s="48" t="n">
        <f aca="false">SUMPRODUCT(ED177:ED201,(129&gt;Corte)*(129&lt;=Corte+n_Ventana)*ISNUMBER(Detalle_24m!ED$70:ED$94)*Detalle_24m!ED$70:ED$94+(1-(129&gt;Corte)*(129&lt;=Corte+n_Ventana)*ISNUMBER(Detalle_24m!ED$70:ED$94))*MP_V*INDEX(IdxMP_V,1,MIN(10,ED$173)))*(1+V_dMat)/(1-V_Merma)</f>
        <v>0</v>
      </c>
      <c r="EE229" s="48" t="n">
        <f aca="false">SUMPRODUCT(EE177:EE201,(130&gt;Corte)*(130&lt;=Corte+n_Ventana)*ISNUMBER(Detalle_24m!EE$70:EE$94)*Detalle_24m!EE$70:EE$94+(1-(130&gt;Corte)*(130&lt;=Corte+n_Ventana)*ISNUMBER(Detalle_24m!EE$70:EE$94))*MP_V*INDEX(IdxMP_V,1,MIN(10,EE$173)))*(1+V_dMat)/(1-V_Merma)</f>
        <v>0</v>
      </c>
      <c r="EF229" s="48" t="n">
        <f aca="false">SUMPRODUCT(EF177:EF201,(131&gt;Corte)*(131&lt;=Corte+n_Ventana)*ISNUMBER(Detalle_24m!EF$70:EF$94)*Detalle_24m!EF$70:EF$94+(1-(131&gt;Corte)*(131&lt;=Corte+n_Ventana)*ISNUMBER(Detalle_24m!EF$70:EF$94))*MP_V*INDEX(IdxMP_V,1,MIN(10,EF$173)))*(1+V_dMat)/(1-V_Merma)</f>
        <v>0</v>
      </c>
      <c r="EG229" s="48" t="n">
        <f aca="false">SUMPRODUCT(EG177:EG201,(132&gt;Corte)*(132&lt;=Corte+n_Ventana)*ISNUMBER(Detalle_24m!EG$70:EG$94)*Detalle_24m!EG$70:EG$94+(1-(132&gt;Corte)*(132&lt;=Corte+n_Ventana)*ISNUMBER(Detalle_24m!EG$70:EG$94))*MP_V*INDEX(IdxMP_V,1,MIN(10,EG$173)))*(1+V_dMat)/(1-V_Merma)</f>
        <v>0</v>
      </c>
      <c r="EH229" s="48" t="n">
        <f aca="false">SUMPRODUCT(EH177:EH201,(133&gt;Corte)*(133&lt;=Corte+n_Ventana)*ISNUMBER(Detalle_24m!EH$70:EH$94)*Detalle_24m!EH$70:EH$94+(1-(133&gt;Corte)*(133&lt;=Corte+n_Ventana)*ISNUMBER(Detalle_24m!EH$70:EH$94))*MP_V*INDEX(IdxMP_V,1,MIN(10,EH$173)))*(1+V_dMat)/(1-V_Merma)</f>
        <v>0</v>
      </c>
      <c r="EI229" s="48" t="n">
        <f aca="false">SUMPRODUCT(EI177:EI201,(134&gt;Corte)*(134&lt;=Corte+n_Ventana)*ISNUMBER(Detalle_24m!EI$70:EI$94)*Detalle_24m!EI$70:EI$94+(1-(134&gt;Corte)*(134&lt;=Corte+n_Ventana)*ISNUMBER(Detalle_24m!EI$70:EI$94))*MP_V*INDEX(IdxMP_V,1,MIN(10,EI$173)))*(1+V_dMat)/(1-V_Merma)</f>
        <v>0</v>
      </c>
      <c r="EJ229" s="48" t="n">
        <f aca="false">SUMPRODUCT(EJ177:EJ201,(135&gt;Corte)*(135&lt;=Corte+n_Ventana)*ISNUMBER(Detalle_24m!EJ$70:EJ$94)*Detalle_24m!EJ$70:EJ$94+(1-(135&gt;Corte)*(135&lt;=Corte+n_Ventana)*ISNUMBER(Detalle_24m!EJ$70:EJ$94))*MP_V*INDEX(IdxMP_V,1,MIN(10,EJ$173)))*(1+V_dMat)/(1-V_Merma)</f>
        <v>0</v>
      </c>
      <c r="EK229" s="48" t="n">
        <f aca="false">SUMPRODUCT(EK177:EK201,(136&gt;Corte)*(136&lt;=Corte+n_Ventana)*ISNUMBER(Detalle_24m!EK$70:EK$94)*Detalle_24m!EK$70:EK$94+(1-(136&gt;Corte)*(136&lt;=Corte+n_Ventana)*ISNUMBER(Detalle_24m!EK$70:EK$94))*MP_V*INDEX(IdxMP_V,1,MIN(10,EK$173)))*(1+V_dMat)/(1-V_Merma)</f>
        <v>0</v>
      </c>
      <c r="EL229" s="48" t="n">
        <f aca="false">SUMPRODUCT(EL177:EL201,(137&gt;Corte)*(137&lt;=Corte+n_Ventana)*ISNUMBER(Detalle_24m!EL$70:EL$94)*Detalle_24m!EL$70:EL$94+(1-(137&gt;Corte)*(137&lt;=Corte+n_Ventana)*ISNUMBER(Detalle_24m!EL$70:EL$94))*MP_V*INDEX(IdxMP_V,1,MIN(10,EL$173)))*(1+V_dMat)/(1-V_Merma)</f>
        <v>0</v>
      </c>
      <c r="EM229" s="48" t="n">
        <f aca="false">SUMPRODUCT(EM177:EM201,(138&gt;Corte)*(138&lt;=Corte+n_Ventana)*ISNUMBER(Detalle_24m!EM$70:EM$94)*Detalle_24m!EM$70:EM$94+(1-(138&gt;Corte)*(138&lt;=Corte+n_Ventana)*ISNUMBER(Detalle_24m!EM$70:EM$94))*MP_V*INDEX(IdxMP_V,1,MIN(10,EM$173)))*(1+V_dMat)/(1-V_Merma)</f>
        <v>0</v>
      </c>
      <c r="EN229" s="48" t="n">
        <f aca="false">SUMPRODUCT(EN177:EN201,(139&gt;Corte)*(139&lt;=Corte+n_Ventana)*ISNUMBER(Detalle_24m!EN$70:EN$94)*Detalle_24m!EN$70:EN$94+(1-(139&gt;Corte)*(139&lt;=Corte+n_Ventana)*ISNUMBER(Detalle_24m!EN$70:EN$94))*MP_V*INDEX(IdxMP_V,1,MIN(10,EN$173)))*(1+V_dMat)/(1-V_Merma)</f>
        <v>0</v>
      </c>
      <c r="EO229" s="48" t="n">
        <f aca="false">SUMPRODUCT(EO177:EO201,(140&gt;Corte)*(140&lt;=Corte+n_Ventana)*ISNUMBER(Detalle_24m!EO$70:EO$94)*Detalle_24m!EO$70:EO$94+(1-(140&gt;Corte)*(140&lt;=Corte+n_Ventana)*ISNUMBER(Detalle_24m!EO$70:EO$94))*MP_V*INDEX(IdxMP_V,1,MIN(10,EO$173)))*(1+V_dMat)/(1-V_Merma)</f>
        <v>0</v>
      </c>
      <c r="EP229" s="48" t="n">
        <f aca="false">SUMPRODUCT(EP177:EP201,(141&gt;Corte)*(141&lt;=Corte+n_Ventana)*ISNUMBER(Detalle_24m!EP$70:EP$94)*Detalle_24m!EP$70:EP$94+(1-(141&gt;Corte)*(141&lt;=Corte+n_Ventana)*ISNUMBER(Detalle_24m!EP$70:EP$94))*MP_V*INDEX(IdxMP_V,1,MIN(10,EP$173)))*(1+V_dMat)/(1-V_Merma)</f>
        <v>0</v>
      </c>
      <c r="EQ229" s="48" t="n">
        <f aca="false">SUMPRODUCT(EQ177:EQ201,(142&gt;Corte)*(142&lt;=Corte+n_Ventana)*ISNUMBER(Detalle_24m!EQ$70:EQ$94)*Detalle_24m!EQ$70:EQ$94+(1-(142&gt;Corte)*(142&lt;=Corte+n_Ventana)*ISNUMBER(Detalle_24m!EQ$70:EQ$94))*MP_V*INDEX(IdxMP_V,1,MIN(10,EQ$173)))*(1+V_dMat)/(1-V_Merma)</f>
        <v>0</v>
      </c>
      <c r="ER229" s="48" t="n">
        <f aca="false">SUMPRODUCT(ER177:ER201,(143&gt;Corte)*(143&lt;=Corte+n_Ventana)*ISNUMBER(Detalle_24m!ER$70:ER$94)*Detalle_24m!ER$70:ER$94+(1-(143&gt;Corte)*(143&lt;=Corte+n_Ventana)*ISNUMBER(Detalle_24m!ER$70:ER$94))*MP_V*INDEX(IdxMP_V,1,MIN(10,ER$173)))*(1+V_dMat)/(1-V_Merma)</f>
        <v>0</v>
      </c>
      <c r="ES229" s="48" t="n">
        <f aca="false">SUMPRODUCT(ES177:ES201,(144&gt;Corte)*(144&lt;=Corte+n_Ventana)*ISNUMBER(Detalle_24m!ES$70:ES$94)*Detalle_24m!ES$70:ES$94+(1-(144&gt;Corte)*(144&lt;=Corte+n_Ventana)*ISNUMBER(Detalle_24m!ES$70:ES$94))*MP_V*INDEX(IdxMP_V,1,MIN(10,ES$173)))*(1+V_dMat)/(1-V_Merma)</f>
        <v>0</v>
      </c>
    </row>
    <row r="230" customFormat="false" ht="15" hidden="false" customHeight="false" outlineLevel="0" collapsed="false">
      <c r="A230" s="11" t="s">
        <v>1352</v>
      </c>
      <c r="B230" s="15" t="s">
        <v>1122</v>
      </c>
      <c r="C230" s="15" t="s">
        <v>508</v>
      </c>
      <c r="E230" s="54" t="n">
        <f aca="false">SUM(F230:ES230)</f>
        <v>14024610</v>
      </c>
      <c r="F230" s="48" t="n">
        <f aca="false">SUMPRODUCT(F177:F201,(1&gt;Corte)*(1&lt;=Corte+n_Ventana)*ISNUMBER(Detalle_24m!F$98:F$122)*Detalle_24m!F$98:F$122+(1-(1&gt;Corte)*(1&lt;=Corte+n_Ventana)*ISNUMBER(Detalle_24m!F$98:F$122))*INS_V*INDEX(IdxOV_V,1,MIN(10,F$173)))*(1+V_dMat)/(1-V_Merma)</f>
        <v>73297.5</v>
      </c>
      <c r="G230" s="48" t="n">
        <f aca="false">SUMPRODUCT(G177:G201,(2&gt;Corte)*(2&lt;=Corte+n_Ventana)*ISNUMBER(Detalle_24m!G$98:G$122)*Detalle_24m!G$98:G$122+(1-(2&gt;Corte)*(2&lt;=Corte+n_Ventana)*ISNUMBER(Detalle_24m!G$98:G$122))*INS_V*INDEX(IdxOV_V,1,MIN(10,G$173)))*(1+V_dMat)/(1-V_Merma)</f>
        <v>73297.5</v>
      </c>
      <c r="H230" s="48" t="n">
        <f aca="false">SUMPRODUCT(H177:H201,(3&gt;Corte)*(3&lt;=Corte+n_Ventana)*ISNUMBER(Detalle_24m!H$98:H$122)*Detalle_24m!H$98:H$122+(1-(3&gt;Corte)*(3&lt;=Corte+n_Ventana)*ISNUMBER(Detalle_24m!H$98:H$122))*INS_V*INDEX(IdxOV_V,1,MIN(10,H$173)))*(1+V_dMat)/(1-V_Merma)</f>
        <v>73297.5</v>
      </c>
      <c r="I230" s="48" t="n">
        <f aca="false">SUMPRODUCT(I177:I201,(4&gt;Corte)*(4&lt;=Corte+n_Ventana)*ISNUMBER(Detalle_24m!I$98:I$122)*Detalle_24m!I$98:I$122+(1-(4&gt;Corte)*(4&lt;=Corte+n_Ventana)*ISNUMBER(Detalle_24m!I$98:I$122))*INS_V*INDEX(IdxOV_V,1,MIN(10,I$173)))*(1+V_dMat)/(1-V_Merma)</f>
        <v>73297.5</v>
      </c>
      <c r="J230" s="48" t="n">
        <f aca="false">SUMPRODUCT(J177:J201,(5&gt;Corte)*(5&lt;=Corte+n_Ventana)*ISNUMBER(Detalle_24m!J$98:J$122)*Detalle_24m!J$98:J$122+(1-(5&gt;Corte)*(5&lt;=Corte+n_Ventana)*ISNUMBER(Detalle_24m!J$98:J$122))*INS_V*INDEX(IdxOV_V,1,MIN(10,J$173)))*(1+V_dMat)/(1-V_Merma)</f>
        <v>73297.5</v>
      </c>
      <c r="K230" s="48" t="n">
        <f aca="false">SUMPRODUCT(K177:K201,(6&gt;Corte)*(6&lt;=Corte+n_Ventana)*ISNUMBER(Detalle_24m!K$98:K$122)*Detalle_24m!K$98:K$122+(1-(6&gt;Corte)*(6&lt;=Corte+n_Ventana)*ISNUMBER(Detalle_24m!K$98:K$122))*INS_V*INDEX(IdxOV_V,1,MIN(10,K$173)))*(1+V_dMat)/(1-V_Merma)</f>
        <v>73297.5</v>
      </c>
      <c r="L230" s="48" t="n">
        <f aca="false">SUMPRODUCT(L177:L201,(7&gt;Corte)*(7&lt;=Corte+n_Ventana)*ISNUMBER(Detalle_24m!L$98:L$122)*Detalle_24m!L$98:L$122+(1-(7&gt;Corte)*(7&lt;=Corte+n_Ventana)*ISNUMBER(Detalle_24m!L$98:L$122))*INS_V*INDEX(IdxOV_V,1,MIN(10,L$173)))*(1+V_dMat)/(1-V_Merma)</f>
        <v>73297.5</v>
      </c>
      <c r="M230" s="48" t="n">
        <f aca="false">SUMPRODUCT(M177:M201,(8&gt;Corte)*(8&lt;=Corte+n_Ventana)*ISNUMBER(Detalle_24m!M$98:M$122)*Detalle_24m!M$98:M$122+(1-(8&gt;Corte)*(8&lt;=Corte+n_Ventana)*ISNUMBER(Detalle_24m!M$98:M$122))*INS_V*INDEX(IdxOV_V,1,MIN(10,M$173)))*(1+V_dMat)/(1-V_Merma)</f>
        <v>73297.5</v>
      </c>
      <c r="N230" s="48" t="n">
        <f aca="false">SUMPRODUCT(N177:N201,(9&gt;Corte)*(9&lt;=Corte+n_Ventana)*ISNUMBER(Detalle_24m!N$98:N$122)*Detalle_24m!N$98:N$122+(1-(9&gt;Corte)*(9&lt;=Corte+n_Ventana)*ISNUMBER(Detalle_24m!N$98:N$122))*INS_V*INDEX(IdxOV_V,1,MIN(10,N$173)))*(1+V_dMat)/(1-V_Merma)</f>
        <v>73297.5</v>
      </c>
      <c r="O230" s="48" t="n">
        <f aca="false">SUMPRODUCT(O177:O201,(10&gt;Corte)*(10&lt;=Corte+n_Ventana)*ISNUMBER(Detalle_24m!O$98:O$122)*Detalle_24m!O$98:O$122+(1-(10&gt;Corte)*(10&lt;=Corte+n_Ventana)*ISNUMBER(Detalle_24m!O$98:O$122))*INS_V*INDEX(IdxOV_V,1,MIN(10,O$173)))*(1+V_dMat)/(1-V_Merma)</f>
        <v>73297.5</v>
      </c>
      <c r="P230" s="48" t="n">
        <f aca="false">SUMPRODUCT(P177:P201,(11&gt;Corte)*(11&lt;=Corte+n_Ventana)*ISNUMBER(Detalle_24m!P$98:P$122)*Detalle_24m!P$98:P$122+(1-(11&gt;Corte)*(11&lt;=Corte+n_Ventana)*ISNUMBER(Detalle_24m!P$98:P$122))*INS_V*INDEX(IdxOV_V,1,MIN(10,P$173)))*(1+V_dMat)/(1-V_Merma)</f>
        <v>73297.5</v>
      </c>
      <c r="Q230" s="48" t="n">
        <f aca="false">SUMPRODUCT(Q177:Q201,(12&gt;Corte)*(12&lt;=Corte+n_Ventana)*ISNUMBER(Detalle_24m!Q$98:Q$122)*Detalle_24m!Q$98:Q$122+(1-(12&gt;Corte)*(12&lt;=Corte+n_Ventana)*ISNUMBER(Detalle_24m!Q$98:Q$122))*INS_V*INDEX(IdxOV_V,1,MIN(10,Q$173)))*(1+V_dMat)/(1-V_Merma)</f>
        <v>73297.5</v>
      </c>
      <c r="R230" s="48" t="n">
        <f aca="false">SUMPRODUCT(R177:R201,(13&gt;Corte)*(13&lt;=Corte+n_Ventana)*ISNUMBER(Detalle_24m!R$98:R$122)*Detalle_24m!R$98:R$122+(1-(13&gt;Corte)*(13&lt;=Corte+n_Ventana)*ISNUMBER(Detalle_24m!R$98:R$122))*INS_V*INDEX(IdxOV_V,1,MIN(10,R$173)))*(1+V_dMat)/(1-V_Merma)</f>
        <v>92632.5</v>
      </c>
      <c r="S230" s="48" t="n">
        <f aca="false">SUMPRODUCT(S177:S201,(14&gt;Corte)*(14&lt;=Corte+n_Ventana)*ISNUMBER(Detalle_24m!S$98:S$122)*Detalle_24m!S$98:S$122+(1-(14&gt;Corte)*(14&lt;=Corte+n_Ventana)*ISNUMBER(Detalle_24m!S$98:S$122))*INS_V*INDEX(IdxOV_V,1,MIN(10,S$173)))*(1+V_dMat)/(1-V_Merma)</f>
        <v>92632.5</v>
      </c>
      <c r="T230" s="48" t="n">
        <f aca="false">SUMPRODUCT(T177:T201,(15&gt;Corte)*(15&lt;=Corte+n_Ventana)*ISNUMBER(Detalle_24m!T$98:T$122)*Detalle_24m!T$98:T$122+(1-(15&gt;Corte)*(15&lt;=Corte+n_Ventana)*ISNUMBER(Detalle_24m!T$98:T$122))*INS_V*INDEX(IdxOV_V,1,MIN(10,T$173)))*(1+V_dMat)/(1-V_Merma)</f>
        <v>92632.5</v>
      </c>
      <c r="U230" s="48" t="n">
        <f aca="false">SUMPRODUCT(U177:U201,(16&gt;Corte)*(16&lt;=Corte+n_Ventana)*ISNUMBER(Detalle_24m!U$98:U$122)*Detalle_24m!U$98:U$122+(1-(16&gt;Corte)*(16&lt;=Corte+n_Ventana)*ISNUMBER(Detalle_24m!U$98:U$122))*INS_V*INDEX(IdxOV_V,1,MIN(10,U$173)))*(1+V_dMat)/(1-V_Merma)</f>
        <v>92632.5</v>
      </c>
      <c r="V230" s="48" t="n">
        <f aca="false">SUMPRODUCT(V177:V201,(17&gt;Corte)*(17&lt;=Corte+n_Ventana)*ISNUMBER(Detalle_24m!V$98:V$122)*Detalle_24m!V$98:V$122+(1-(17&gt;Corte)*(17&lt;=Corte+n_Ventana)*ISNUMBER(Detalle_24m!V$98:V$122))*INS_V*INDEX(IdxOV_V,1,MIN(10,V$173)))*(1+V_dMat)/(1-V_Merma)</f>
        <v>92632.5</v>
      </c>
      <c r="W230" s="48" t="n">
        <f aca="false">SUMPRODUCT(W177:W201,(18&gt;Corte)*(18&lt;=Corte+n_Ventana)*ISNUMBER(Detalle_24m!W$98:W$122)*Detalle_24m!W$98:W$122+(1-(18&gt;Corte)*(18&lt;=Corte+n_Ventana)*ISNUMBER(Detalle_24m!W$98:W$122))*INS_V*INDEX(IdxOV_V,1,MIN(10,W$173)))*(1+V_dMat)/(1-V_Merma)</f>
        <v>92632.5</v>
      </c>
      <c r="X230" s="48" t="n">
        <f aca="false">SUMPRODUCT(X177:X201,(19&gt;Corte)*(19&lt;=Corte+n_Ventana)*ISNUMBER(Detalle_24m!X$98:X$122)*Detalle_24m!X$98:X$122+(1-(19&gt;Corte)*(19&lt;=Corte+n_Ventana)*ISNUMBER(Detalle_24m!X$98:X$122))*INS_V*INDEX(IdxOV_V,1,MIN(10,X$173)))*(1+V_dMat)/(1-V_Merma)</f>
        <v>92632.5</v>
      </c>
      <c r="Y230" s="48" t="n">
        <f aca="false">SUMPRODUCT(Y177:Y201,(20&gt;Corte)*(20&lt;=Corte+n_Ventana)*ISNUMBER(Detalle_24m!Y$98:Y$122)*Detalle_24m!Y$98:Y$122+(1-(20&gt;Corte)*(20&lt;=Corte+n_Ventana)*ISNUMBER(Detalle_24m!Y$98:Y$122))*INS_V*INDEX(IdxOV_V,1,MIN(10,Y$173)))*(1+V_dMat)/(1-V_Merma)</f>
        <v>92632.5</v>
      </c>
      <c r="Z230" s="48" t="n">
        <f aca="false">SUMPRODUCT(Z177:Z201,(21&gt;Corte)*(21&lt;=Corte+n_Ventana)*ISNUMBER(Detalle_24m!Z$98:Z$122)*Detalle_24m!Z$98:Z$122+(1-(21&gt;Corte)*(21&lt;=Corte+n_Ventana)*ISNUMBER(Detalle_24m!Z$98:Z$122))*INS_V*INDEX(IdxOV_V,1,MIN(10,Z$173)))*(1+V_dMat)/(1-V_Merma)</f>
        <v>92632.5</v>
      </c>
      <c r="AA230" s="48" t="n">
        <f aca="false">SUMPRODUCT(AA177:AA201,(22&gt;Corte)*(22&lt;=Corte+n_Ventana)*ISNUMBER(Detalle_24m!AA$98:AA$122)*Detalle_24m!AA$98:AA$122+(1-(22&gt;Corte)*(22&lt;=Corte+n_Ventana)*ISNUMBER(Detalle_24m!AA$98:AA$122))*INS_V*INDEX(IdxOV_V,1,MIN(10,AA$173)))*(1+V_dMat)/(1-V_Merma)</f>
        <v>92632.5</v>
      </c>
      <c r="AB230" s="48" t="n">
        <f aca="false">SUMPRODUCT(AB177:AB201,(23&gt;Corte)*(23&lt;=Corte+n_Ventana)*ISNUMBER(Detalle_24m!AB$98:AB$122)*Detalle_24m!AB$98:AB$122+(1-(23&gt;Corte)*(23&lt;=Corte+n_Ventana)*ISNUMBER(Detalle_24m!AB$98:AB$122))*INS_V*INDEX(IdxOV_V,1,MIN(10,AB$173)))*(1+V_dMat)/(1-V_Merma)</f>
        <v>92632.5</v>
      </c>
      <c r="AC230" s="48" t="n">
        <f aca="false">SUMPRODUCT(AC177:AC201,(24&gt;Corte)*(24&lt;=Corte+n_Ventana)*ISNUMBER(Detalle_24m!AC$98:AC$122)*Detalle_24m!AC$98:AC$122+(1-(24&gt;Corte)*(24&lt;=Corte+n_Ventana)*ISNUMBER(Detalle_24m!AC$98:AC$122))*INS_V*INDEX(IdxOV_V,1,MIN(10,AC$173)))*(1+V_dMat)/(1-V_Merma)</f>
        <v>92632.5</v>
      </c>
      <c r="AD230" s="48" t="n">
        <f aca="false">SUMPRODUCT(AD177:AD201,(25&gt;Corte)*(25&lt;=Corte+n_Ventana)*ISNUMBER(Detalle_24m!AD$98:AD$122)*Detalle_24m!AD$98:AD$122+(1-(25&gt;Corte)*(25&lt;=Corte+n_Ventana)*ISNUMBER(Detalle_24m!AD$98:AD$122))*INS_V*INDEX(IdxOV_V,1,MIN(10,AD$173)))*(1+V_dMat)/(1-V_Merma)</f>
        <v>111967.5</v>
      </c>
      <c r="AE230" s="48" t="n">
        <f aca="false">SUMPRODUCT(AE177:AE201,(26&gt;Corte)*(26&lt;=Corte+n_Ventana)*ISNUMBER(Detalle_24m!AE$98:AE$122)*Detalle_24m!AE$98:AE$122+(1-(26&gt;Corte)*(26&lt;=Corte+n_Ventana)*ISNUMBER(Detalle_24m!AE$98:AE$122))*INS_V*INDEX(IdxOV_V,1,MIN(10,AE$173)))*(1+V_dMat)/(1-V_Merma)</f>
        <v>111967.5</v>
      </c>
      <c r="AF230" s="48" t="n">
        <f aca="false">SUMPRODUCT(AF177:AF201,(27&gt;Corte)*(27&lt;=Corte+n_Ventana)*ISNUMBER(Detalle_24m!AF$98:AF$122)*Detalle_24m!AF$98:AF$122+(1-(27&gt;Corte)*(27&lt;=Corte+n_Ventana)*ISNUMBER(Detalle_24m!AF$98:AF$122))*INS_V*INDEX(IdxOV_V,1,MIN(10,AF$173)))*(1+V_dMat)/(1-V_Merma)</f>
        <v>111967.5</v>
      </c>
      <c r="AG230" s="48" t="n">
        <f aca="false">SUMPRODUCT(AG177:AG201,(28&gt;Corte)*(28&lt;=Corte+n_Ventana)*ISNUMBER(Detalle_24m!AG$98:AG$122)*Detalle_24m!AG$98:AG$122+(1-(28&gt;Corte)*(28&lt;=Corte+n_Ventana)*ISNUMBER(Detalle_24m!AG$98:AG$122))*INS_V*INDEX(IdxOV_V,1,MIN(10,AG$173)))*(1+V_dMat)/(1-V_Merma)</f>
        <v>111967.5</v>
      </c>
      <c r="AH230" s="48" t="n">
        <f aca="false">SUMPRODUCT(AH177:AH201,(29&gt;Corte)*(29&lt;=Corte+n_Ventana)*ISNUMBER(Detalle_24m!AH$98:AH$122)*Detalle_24m!AH$98:AH$122+(1-(29&gt;Corte)*(29&lt;=Corte+n_Ventana)*ISNUMBER(Detalle_24m!AH$98:AH$122))*INS_V*INDEX(IdxOV_V,1,MIN(10,AH$173)))*(1+V_dMat)/(1-V_Merma)</f>
        <v>111967.5</v>
      </c>
      <c r="AI230" s="48" t="n">
        <f aca="false">SUMPRODUCT(AI177:AI201,(30&gt;Corte)*(30&lt;=Corte+n_Ventana)*ISNUMBER(Detalle_24m!AI$98:AI$122)*Detalle_24m!AI$98:AI$122+(1-(30&gt;Corte)*(30&lt;=Corte+n_Ventana)*ISNUMBER(Detalle_24m!AI$98:AI$122))*INS_V*INDEX(IdxOV_V,1,MIN(10,AI$173)))*(1+V_dMat)/(1-V_Merma)</f>
        <v>111967.5</v>
      </c>
      <c r="AJ230" s="48" t="n">
        <f aca="false">SUMPRODUCT(AJ177:AJ201,(31&gt;Corte)*(31&lt;=Corte+n_Ventana)*ISNUMBER(Detalle_24m!AJ$98:AJ$122)*Detalle_24m!AJ$98:AJ$122+(1-(31&gt;Corte)*(31&lt;=Corte+n_Ventana)*ISNUMBER(Detalle_24m!AJ$98:AJ$122))*INS_V*INDEX(IdxOV_V,1,MIN(10,AJ$173)))*(1+V_dMat)/(1-V_Merma)</f>
        <v>111967.5</v>
      </c>
      <c r="AK230" s="48" t="n">
        <f aca="false">SUMPRODUCT(AK177:AK201,(32&gt;Corte)*(32&lt;=Corte+n_Ventana)*ISNUMBER(Detalle_24m!AK$98:AK$122)*Detalle_24m!AK$98:AK$122+(1-(32&gt;Corte)*(32&lt;=Corte+n_Ventana)*ISNUMBER(Detalle_24m!AK$98:AK$122))*INS_V*INDEX(IdxOV_V,1,MIN(10,AK$173)))*(1+V_dMat)/(1-V_Merma)</f>
        <v>111967.5</v>
      </c>
      <c r="AL230" s="48" t="n">
        <f aca="false">SUMPRODUCT(AL177:AL201,(33&gt;Corte)*(33&lt;=Corte+n_Ventana)*ISNUMBER(Detalle_24m!AL$98:AL$122)*Detalle_24m!AL$98:AL$122+(1-(33&gt;Corte)*(33&lt;=Corte+n_Ventana)*ISNUMBER(Detalle_24m!AL$98:AL$122))*INS_V*INDEX(IdxOV_V,1,MIN(10,AL$173)))*(1+V_dMat)/(1-V_Merma)</f>
        <v>111967.5</v>
      </c>
      <c r="AM230" s="48" t="n">
        <f aca="false">SUMPRODUCT(AM177:AM201,(34&gt;Corte)*(34&lt;=Corte+n_Ventana)*ISNUMBER(Detalle_24m!AM$98:AM$122)*Detalle_24m!AM$98:AM$122+(1-(34&gt;Corte)*(34&lt;=Corte+n_Ventana)*ISNUMBER(Detalle_24m!AM$98:AM$122))*INS_V*INDEX(IdxOV_V,1,MIN(10,AM$173)))*(1+V_dMat)/(1-V_Merma)</f>
        <v>111967.5</v>
      </c>
      <c r="AN230" s="48" t="n">
        <f aca="false">SUMPRODUCT(AN177:AN201,(35&gt;Corte)*(35&lt;=Corte+n_Ventana)*ISNUMBER(Detalle_24m!AN$98:AN$122)*Detalle_24m!AN$98:AN$122+(1-(35&gt;Corte)*(35&lt;=Corte+n_Ventana)*ISNUMBER(Detalle_24m!AN$98:AN$122))*INS_V*INDEX(IdxOV_V,1,MIN(10,AN$173)))*(1+V_dMat)/(1-V_Merma)</f>
        <v>111967.5</v>
      </c>
      <c r="AO230" s="48" t="n">
        <f aca="false">SUMPRODUCT(AO177:AO201,(36&gt;Corte)*(36&lt;=Corte+n_Ventana)*ISNUMBER(Detalle_24m!AO$98:AO$122)*Detalle_24m!AO$98:AO$122+(1-(36&gt;Corte)*(36&lt;=Corte+n_Ventana)*ISNUMBER(Detalle_24m!AO$98:AO$122))*INS_V*INDEX(IdxOV_V,1,MIN(10,AO$173)))*(1+V_dMat)/(1-V_Merma)</f>
        <v>111967.5</v>
      </c>
      <c r="AP230" s="48" t="n">
        <f aca="false">SUMPRODUCT(AP177:AP201,(37&gt;Corte)*(37&lt;=Corte+n_Ventana)*ISNUMBER(Detalle_24m!AP$98:AP$122)*Detalle_24m!AP$98:AP$122+(1-(37&gt;Corte)*(37&lt;=Corte+n_Ventana)*ISNUMBER(Detalle_24m!AP$98:AP$122))*INS_V*INDEX(IdxOV_V,1,MIN(10,AP$173)))*(1+V_dMat)/(1-V_Merma)</f>
        <v>127260</v>
      </c>
      <c r="AQ230" s="48" t="n">
        <f aca="false">SUMPRODUCT(AQ177:AQ201,(38&gt;Corte)*(38&lt;=Corte+n_Ventana)*ISNUMBER(Detalle_24m!AQ$98:AQ$122)*Detalle_24m!AQ$98:AQ$122+(1-(38&gt;Corte)*(38&lt;=Corte+n_Ventana)*ISNUMBER(Detalle_24m!AQ$98:AQ$122))*INS_V*INDEX(IdxOV_V,1,MIN(10,AQ$173)))*(1+V_dMat)/(1-V_Merma)</f>
        <v>127260</v>
      </c>
      <c r="AR230" s="48" t="n">
        <f aca="false">SUMPRODUCT(AR177:AR201,(39&gt;Corte)*(39&lt;=Corte+n_Ventana)*ISNUMBER(Detalle_24m!AR$98:AR$122)*Detalle_24m!AR$98:AR$122+(1-(39&gt;Corte)*(39&lt;=Corte+n_Ventana)*ISNUMBER(Detalle_24m!AR$98:AR$122))*INS_V*INDEX(IdxOV_V,1,MIN(10,AR$173)))*(1+V_dMat)/(1-V_Merma)</f>
        <v>127260</v>
      </c>
      <c r="AS230" s="48" t="n">
        <f aca="false">SUMPRODUCT(AS177:AS201,(40&gt;Corte)*(40&lt;=Corte+n_Ventana)*ISNUMBER(Detalle_24m!AS$98:AS$122)*Detalle_24m!AS$98:AS$122+(1-(40&gt;Corte)*(40&lt;=Corte+n_Ventana)*ISNUMBER(Detalle_24m!AS$98:AS$122))*INS_V*INDEX(IdxOV_V,1,MIN(10,AS$173)))*(1+V_dMat)/(1-V_Merma)</f>
        <v>127260</v>
      </c>
      <c r="AT230" s="48" t="n">
        <f aca="false">SUMPRODUCT(AT177:AT201,(41&gt;Corte)*(41&lt;=Corte+n_Ventana)*ISNUMBER(Detalle_24m!AT$98:AT$122)*Detalle_24m!AT$98:AT$122+(1-(41&gt;Corte)*(41&lt;=Corte+n_Ventana)*ISNUMBER(Detalle_24m!AT$98:AT$122))*INS_V*INDEX(IdxOV_V,1,MIN(10,AT$173)))*(1+V_dMat)/(1-V_Merma)</f>
        <v>127260</v>
      </c>
      <c r="AU230" s="48" t="n">
        <f aca="false">SUMPRODUCT(AU177:AU201,(42&gt;Corte)*(42&lt;=Corte+n_Ventana)*ISNUMBER(Detalle_24m!AU$98:AU$122)*Detalle_24m!AU$98:AU$122+(1-(42&gt;Corte)*(42&lt;=Corte+n_Ventana)*ISNUMBER(Detalle_24m!AU$98:AU$122))*INS_V*INDEX(IdxOV_V,1,MIN(10,AU$173)))*(1+V_dMat)/(1-V_Merma)</f>
        <v>127260</v>
      </c>
      <c r="AV230" s="48" t="n">
        <f aca="false">SUMPRODUCT(AV177:AV201,(43&gt;Corte)*(43&lt;=Corte+n_Ventana)*ISNUMBER(Detalle_24m!AV$98:AV$122)*Detalle_24m!AV$98:AV$122+(1-(43&gt;Corte)*(43&lt;=Corte+n_Ventana)*ISNUMBER(Detalle_24m!AV$98:AV$122))*INS_V*INDEX(IdxOV_V,1,MIN(10,AV$173)))*(1+V_dMat)/(1-V_Merma)</f>
        <v>127260</v>
      </c>
      <c r="AW230" s="48" t="n">
        <f aca="false">SUMPRODUCT(AW177:AW201,(44&gt;Corte)*(44&lt;=Corte+n_Ventana)*ISNUMBER(Detalle_24m!AW$98:AW$122)*Detalle_24m!AW$98:AW$122+(1-(44&gt;Corte)*(44&lt;=Corte+n_Ventana)*ISNUMBER(Detalle_24m!AW$98:AW$122))*INS_V*INDEX(IdxOV_V,1,MIN(10,AW$173)))*(1+V_dMat)/(1-V_Merma)</f>
        <v>127260</v>
      </c>
      <c r="AX230" s="48" t="n">
        <f aca="false">SUMPRODUCT(AX177:AX201,(45&gt;Corte)*(45&lt;=Corte+n_Ventana)*ISNUMBER(Detalle_24m!AX$98:AX$122)*Detalle_24m!AX$98:AX$122+(1-(45&gt;Corte)*(45&lt;=Corte+n_Ventana)*ISNUMBER(Detalle_24m!AX$98:AX$122))*INS_V*INDEX(IdxOV_V,1,MIN(10,AX$173)))*(1+V_dMat)/(1-V_Merma)</f>
        <v>127260</v>
      </c>
      <c r="AY230" s="48" t="n">
        <f aca="false">SUMPRODUCT(AY177:AY201,(46&gt;Corte)*(46&lt;=Corte+n_Ventana)*ISNUMBER(Detalle_24m!AY$98:AY$122)*Detalle_24m!AY$98:AY$122+(1-(46&gt;Corte)*(46&lt;=Corte+n_Ventana)*ISNUMBER(Detalle_24m!AY$98:AY$122))*INS_V*INDEX(IdxOV_V,1,MIN(10,AY$173)))*(1+V_dMat)/(1-V_Merma)</f>
        <v>127260</v>
      </c>
      <c r="AZ230" s="48" t="n">
        <f aca="false">SUMPRODUCT(AZ177:AZ201,(47&gt;Corte)*(47&lt;=Corte+n_Ventana)*ISNUMBER(Detalle_24m!AZ$98:AZ$122)*Detalle_24m!AZ$98:AZ$122+(1-(47&gt;Corte)*(47&lt;=Corte+n_Ventana)*ISNUMBER(Detalle_24m!AZ$98:AZ$122))*INS_V*INDEX(IdxOV_V,1,MIN(10,AZ$173)))*(1+V_dMat)/(1-V_Merma)</f>
        <v>127260</v>
      </c>
      <c r="BA230" s="48" t="n">
        <f aca="false">SUMPRODUCT(BA177:BA201,(48&gt;Corte)*(48&lt;=Corte+n_Ventana)*ISNUMBER(Detalle_24m!BA$98:BA$122)*Detalle_24m!BA$98:BA$122+(1-(48&gt;Corte)*(48&lt;=Corte+n_Ventana)*ISNUMBER(Detalle_24m!BA$98:BA$122))*INS_V*INDEX(IdxOV_V,1,MIN(10,BA$173)))*(1+V_dMat)/(1-V_Merma)</f>
        <v>127260</v>
      </c>
      <c r="BB230" s="48" t="n">
        <f aca="false">SUMPRODUCT(BB177:BB201,(49&gt;Corte)*(49&lt;=Corte+n_Ventana)*ISNUMBER(Detalle_24m!BB$98:BB$122)*Detalle_24m!BB$98:BB$122+(1-(49&gt;Corte)*(49&lt;=Corte+n_Ventana)*ISNUMBER(Detalle_24m!BB$98:BB$122))*INS_V*INDEX(IdxOV_V,1,MIN(10,BB$173)))*(1+V_dMat)/(1-V_Merma)</f>
        <v>127260</v>
      </c>
      <c r="BC230" s="48" t="n">
        <f aca="false">SUMPRODUCT(BC177:BC201,(50&gt;Corte)*(50&lt;=Corte+n_Ventana)*ISNUMBER(Detalle_24m!BC$98:BC$122)*Detalle_24m!BC$98:BC$122+(1-(50&gt;Corte)*(50&lt;=Corte+n_Ventana)*ISNUMBER(Detalle_24m!BC$98:BC$122))*INS_V*INDEX(IdxOV_V,1,MIN(10,BC$173)))*(1+V_dMat)/(1-V_Merma)</f>
        <v>127260</v>
      </c>
      <c r="BD230" s="48" t="n">
        <f aca="false">SUMPRODUCT(BD177:BD201,(51&gt;Corte)*(51&lt;=Corte+n_Ventana)*ISNUMBER(Detalle_24m!BD$98:BD$122)*Detalle_24m!BD$98:BD$122+(1-(51&gt;Corte)*(51&lt;=Corte+n_Ventana)*ISNUMBER(Detalle_24m!BD$98:BD$122))*INS_V*INDEX(IdxOV_V,1,MIN(10,BD$173)))*(1+V_dMat)/(1-V_Merma)</f>
        <v>127260</v>
      </c>
      <c r="BE230" s="48" t="n">
        <f aca="false">SUMPRODUCT(BE177:BE201,(52&gt;Corte)*(52&lt;=Corte+n_Ventana)*ISNUMBER(Detalle_24m!BE$98:BE$122)*Detalle_24m!BE$98:BE$122+(1-(52&gt;Corte)*(52&lt;=Corte+n_Ventana)*ISNUMBER(Detalle_24m!BE$98:BE$122))*INS_V*INDEX(IdxOV_V,1,MIN(10,BE$173)))*(1+V_dMat)/(1-V_Merma)</f>
        <v>127260</v>
      </c>
      <c r="BF230" s="48" t="n">
        <f aca="false">SUMPRODUCT(BF177:BF201,(53&gt;Corte)*(53&lt;=Corte+n_Ventana)*ISNUMBER(Detalle_24m!BF$98:BF$122)*Detalle_24m!BF$98:BF$122+(1-(53&gt;Corte)*(53&lt;=Corte+n_Ventana)*ISNUMBER(Detalle_24m!BF$98:BF$122))*INS_V*INDEX(IdxOV_V,1,MIN(10,BF$173)))*(1+V_dMat)/(1-V_Merma)</f>
        <v>127260</v>
      </c>
      <c r="BG230" s="48" t="n">
        <f aca="false">SUMPRODUCT(BG177:BG201,(54&gt;Corte)*(54&lt;=Corte+n_Ventana)*ISNUMBER(Detalle_24m!BG$98:BG$122)*Detalle_24m!BG$98:BG$122+(1-(54&gt;Corte)*(54&lt;=Corte+n_Ventana)*ISNUMBER(Detalle_24m!BG$98:BG$122))*INS_V*INDEX(IdxOV_V,1,MIN(10,BG$173)))*(1+V_dMat)/(1-V_Merma)</f>
        <v>127260</v>
      </c>
      <c r="BH230" s="48" t="n">
        <f aca="false">SUMPRODUCT(BH177:BH201,(55&gt;Corte)*(55&lt;=Corte+n_Ventana)*ISNUMBER(Detalle_24m!BH$98:BH$122)*Detalle_24m!BH$98:BH$122+(1-(55&gt;Corte)*(55&lt;=Corte+n_Ventana)*ISNUMBER(Detalle_24m!BH$98:BH$122))*INS_V*INDEX(IdxOV_V,1,MIN(10,BH$173)))*(1+V_dMat)/(1-V_Merma)</f>
        <v>127260</v>
      </c>
      <c r="BI230" s="48" t="n">
        <f aca="false">SUMPRODUCT(BI177:BI201,(56&gt;Corte)*(56&lt;=Corte+n_Ventana)*ISNUMBER(Detalle_24m!BI$98:BI$122)*Detalle_24m!BI$98:BI$122+(1-(56&gt;Corte)*(56&lt;=Corte+n_Ventana)*ISNUMBER(Detalle_24m!BI$98:BI$122))*INS_V*INDEX(IdxOV_V,1,MIN(10,BI$173)))*(1+V_dMat)/(1-V_Merma)</f>
        <v>127260</v>
      </c>
      <c r="BJ230" s="48" t="n">
        <f aca="false">SUMPRODUCT(BJ177:BJ201,(57&gt;Corte)*(57&lt;=Corte+n_Ventana)*ISNUMBER(Detalle_24m!BJ$98:BJ$122)*Detalle_24m!BJ$98:BJ$122+(1-(57&gt;Corte)*(57&lt;=Corte+n_Ventana)*ISNUMBER(Detalle_24m!BJ$98:BJ$122))*INS_V*INDEX(IdxOV_V,1,MIN(10,BJ$173)))*(1+V_dMat)/(1-V_Merma)</f>
        <v>127260</v>
      </c>
      <c r="BK230" s="48" t="n">
        <f aca="false">SUMPRODUCT(BK177:BK201,(58&gt;Corte)*(58&lt;=Corte+n_Ventana)*ISNUMBER(Detalle_24m!BK$98:BK$122)*Detalle_24m!BK$98:BK$122+(1-(58&gt;Corte)*(58&lt;=Corte+n_Ventana)*ISNUMBER(Detalle_24m!BK$98:BK$122))*INS_V*INDEX(IdxOV_V,1,MIN(10,BK$173)))*(1+V_dMat)/(1-V_Merma)</f>
        <v>127260</v>
      </c>
      <c r="BL230" s="48" t="n">
        <f aca="false">SUMPRODUCT(BL177:BL201,(59&gt;Corte)*(59&lt;=Corte+n_Ventana)*ISNUMBER(Detalle_24m!BL$98:BL$122)*Detalle_24m!BL$98:BL$122+(1-(59&gt;Corte)*(59&lt;=Corte+n_Ventana)*ISNUMBER(Detalle_24m!BL$98:BL$122))*INS_V*INDEX(IdxOV_V,1,MIN(10,BL$173)))*(1+V_dMat)/(1-V_Merma)</f>
        <v>127260</v>
      </c>
      <c r="BM230" s="48" t="n">
        <f aca="false">SUMPRODUCT(BM177:BM201,(60&gt;Corte)*(60&lt;=Corte+n_Ventana)*ISNUMBER(Detalle_24m!BM$98:BM$122)*Detalle_24m!BM$98:BM$122+(1-(60&gt;Corte)*(60&lt;=Corte+n_Ventana)*ISNUMBER(Detalle_24m!BM$98:BM$122))*INS_V*INDEX(IdxOV_V,1,MIN(10,BM$173)))*(1+V_dMat)/(1-V_Merma)</f>
        <v>127260</v>
      </c>
      <c r="BN230" s="48" t="n">
        <f aca="false">SUMPRODUCT(BN177:BN201,(61&gt;Corte)*(61&lt;=Corte+n_Ventana)*ISNUMBER(Detalle_24m!BN$98:BN$122)*Detalle_24m!BN$98:BN$122+(1-(61&gt;Corte)*(61&lt;=Corte+n_Ventana)*ISNUMBER(Detalle_24m!BN$98:BN$122))*INS_V*INDEX(IdxOV_V,1,MIN(10,BN$173)))*(1+V_dMat)/(1-V_Merma)</f>
        <v>127260</v>
      </c>
      <c r="BO230" s="48" t="n">
        <f aca="false">SUMPRODUCT(BO177:BO201,(62&gt;Corte)*(62&lt;=Corte+n_Ventana)*ISNUMBER(Detalle_24m!BO$98:BO$122)*Detalle_24m!BO$98:BO$122+(1-(62&gt;Corte)*(62&lt;=Corte+n_Ventana)*ISNUMBER(Detalle_24m!BO$98:BO$122))*INS_V*INDEX(IdxOV_V,1,MIN(10,BO$173)))*(1+V_dMat)/(1-V_Merma)</f>
        <v>127260</v>
      </c>
      <c r="BP230" s="48" t="n">
        <f aca="false">SUMPRODUCT(BP177:BP201,(63&gt;Corte)*(63&lt;=Corte+n_Ventana)*ISNUMBER(Detalle_24m!BP$98:BP$122)*Detalle_24m!BP$98:BP$122+(1-(63&gt;Corte)*(63&lt;=Corte+n_Ventana)*ISNUMBER(Detalle_24m!BP$98:BP$122))*INS_V*INDEX(IdxOV_V,1,MIN(10,BP$173)))*(1+V_dMat)/(1-V_Merma)</f>
        <v>127260</v>
      </c>
      <c r="BQ230" s="48" t="n">
        <f aca="false">SUMPRODUCT(BQ177:BQ201,(64&gt;Corte)*(64&lt;=Corte+n_Ventana)*ISNUMBER(Detalle_24m!BQ$98:BQ$122)*Detalle_24m!BQ$98:BQ$122+(1-(64&gt;Corte)*(64&lt;=Corte+n_Ventana)*ISNUMBER(Detalle_24m!BQ$98:BQ$122))*INS_V*INDEX(IdxOV_V,1,MIN(10,BQ$173)))*(1+V_dMat)/(1-V_Merma)</f>
        <v>127260</v>
      </c>
      <c r="BR230" s="48" t="n">
        <f aca="false">SUMPRODUCT(BR177:BR201,(65&gt;Corte)*(65&lt;=Corte+n_Ventana)*ISNUMBER(Detalle_24m!BR$98:BR$122)*Detalle_24m!BR$98:BR$122+(1-(65&gt;Corte)*(65&lt;=Corte+n_Ventana)*ISNUMBER(Detalle_24m!BR$98:BR$122))*INS_V*INDEX(IdxOV_V,1,MIN(10,BR$173)))*(1+V_dMat)/(1-V_Merma)</f>
        <v>127260</v>
      </c>
      <c r="BS230" s="48" t="n">
        <f aca="false">SUMPRODUCT(BS177:BS201,(66&gt;Corte)*(66&lt;=Corte+n_Ventana)*ISNUMBER(Detalle_24m!BS$98:BS$122)*Detalle_24m!BS$98:BS$122+(1-(66&gt;Corte)*(66&lt;=Corte+n_Ventana)*ISNUMBER(Detalle_24m!BS$98:BS$122))*INS_V*INDEX(IdxOV_V,1,MIN(10,BS$173)))*(1+V_dMat)/(1-V_Merma)</f>
        <v>127260</v>
      </c>
      <c r="BT230" s="48" t="n">
        <f aca="false">SUMPRODUCT(BT177:BT201,(67&gt;Corte)*(67&lt;=Corte+n_Ventana)*ISNUMBER(Detalle_24m!BT$98:BT$122)*Detalle_24m!BT$98:BT$122+(1-(67&gt;Corte)*(67&lt;=Corte+n_Ventana)*ISNUMBER(Detalle_24m!BT$98:BT$122))*INS_V*INDEX(IdxOV_V,1,MIN(10,BT$173)))*(1+V_dMat)/(1-V_Merma)</f>
        <v>127260</v>
      </c>
      <c r="BU230" s="48" t="n">
        <f aca="false">SUMPRODUCT(BU177:BU201,(68&gt;Corte)*(68&lt;=Corte+n_Ventana)*ISNUMBER(Detalle_24m!BU$98:BU$122)*Detalle_24m!BU$98:BU$122+(1-(68&gt;Corte)*(68&lt;=Corte+n_Ventana)*ISNUMBER(Detalle_24m!BU$98:BU$122))*INS_V*INDEX(IdxOV_V,1,MIN(10,BU$173)))*(1+V_dMat)/(1-V_Merma)</f>
        <v>127260</v>
      </c>
      <c r="BV230" s="48" t="n">
        <f aca="false">SUMPRODUCT(BV177:BV201,(69&gt;Corte)*(69&lt;=Corte+n_Ventana)*ISNUMBER(Detalle_24m!BV$98:BV$122)*Detalle_24m!BV$98:BV$122+(1-(69&gt;Corte)*(69&lt;=Corte+n_Ventana)*ISNUMBER(Detalle_24m!BV$98:BV$122))*INS_V*INDEX(IdxOV_V,1,MIN(10,BV$173)))*(1+V_dMat)/(1-V_Merma)</f>
        <v>127260</v>
      </c>
      <c r="BW230" s="48" t="n">
        <f aca="false">SUMPRODUCT(BW177:BW201,(70&gt;Corte)*(70&lt;=Corte+n_Ventana)*ISNUMBER(Detalle_24m!BW$98:BW$122)*Detalle_24m!BW$98:BW$122+(1-(70&gt;Corte)*(70&lt;=Corte+n_Ventana)*ISNUMBER(Detalle_24m!BW$98:BW$122))*INS_V*INDEX(IdxOV_V,1,MIN(10,BW$173)))*(1+V_dMat)/(1-V_Merma)</f>
        <v>127260</v>
      </c>
      <c r="BX230" s="48" t="n">
        <f aca="false">SUMPRODUCT(BX177:BX201,(71&gt;Corte)*(71&lt;=Corte+n_Ventana)*ISNUMBER(Detalle_24m!BX$98:BX$122)*Detalle_24m!BX$98:BX$122+(1-(71&gt;Corte)*(71&lt;=Corte+n_Ventana)*ISNUMBER(Detalle_24m!BX$98:BX$122))*INS_V*INDEX(IdxOV_V,1,MIN(10,BX$173)))*(1+V_dMat)/(1-V_Merma)</f>
        <v>127260</v>
      </c>
      <c r="BY230" s="48" t="n">
        <f aca="false">SUMPRODUCT(BY177:BY201,(72&gt;Corte)*(72&lt;=Corte+n_Ventana)*ISNUMBER(Detalle_24m!BY$98:BY$122)*Detalle_24m!BY$98:BY$122+(1-(72&gt;Corte)*(72&lt;=Corte+n_Ventana)*ISNUMBER(Detalle_24m!BY$98:BY$122))*INS_V*INDEX(IdxOV_V,1,MIN(10,BY$173)))*(1+V_dMat)/(1-V_Merma)</f>
        <v>127260</v>
      </c>
      <c r="BZ230" s="48" t="n">
        <f aca="false">SUMPRODUCT(BZ177:BZ201,(73&gt;Corte)*(73&lt;=Corte+n_Ventana)*ISNUMBER(Detalle_24m!BZ$98:BZ$122)*Detalle_24m!BZ$98:BZ$122+(1-(73&gt;Corte)*(73&lt;=Corte+n_Ventana)*ISNUMBER(Detalle_24m!BZ$98:BZ$122))*INS_V*INDEX(IdxOV_V,1,MIN(10,BZ$173)))*(1+V_dMat)/(1-V_Merma)</f>
        <v>127260</v>
      </c>
      <c r="CA230" s="48" t="n">
        <f aca="false">SUMPRODUCT(CA177:CA201,(74&gt;Corte)*(74&lt;=Corte+n_Ventana)*ISNUMBER(Detalle_24m!CA$98:CA$122)*Detalle_24m!CA$98:CA$122+(1-(74&gt;Corte)*(74&lt;=Corte+n_Ventana)*ISNUMBER(Detalle_24m!CA$98:CA$122))*INS_V*INDEX(IdxOV_V,1,MIN(10,CA$173)))*(1+V_dMat)/(1-V_Merma)</f>
        <v>127260</v>
      </c>
      <c r="CB230" s="48" t="n">
        <f aca="false">SUMPRODUCT(CB177:CB201,(75&gt;Corte)*(75&lt;=Corte+n_Ventana)*ISNUMBER(Detalle_24m!CB$98:CB$122)*Detalle_24m!CB$98:CB$122+(1-(75&gt;Corte)*(75&lt;=Corte+n_Ventana)*ISNUMBER(Detalle_24m!CB$98:CB$122))*INS_V*INDEX(IdxOV_V,1,MIN(10,CB$173)))*(1+V_dMat)/(1-V_Merma)</f>
        <v>127260</v>
      </c>
      <c r="CC230" s="48" t="n">
        <f aca="false">SUMPRODUCT(CC177:CC201,(76&gt;Corte)*(76&lt;=Corte+n_Ventana)*ISNUMBER(Detalle_24m!CC$98:CC$122)*Detalle_24m!CC$98:CC$122+(1-(76&gt;Corte)*(76&lt;=Corte+n_Ventana)*ISNUMBER(Detalle_24m!CC$98:CC$122))*INS_V*INDEX(IdxOV_V,1,MIN(10,CC$173)))*(1+V_dMat)/(1-V_Merma)</f>
        <v>127260</v>
      </c>
      <c r="CD230" s="48" t="n">
        <f aca="false">SUMPRODUCT(CD177:CD201,(77&gt;Corte)*(77&lt;=Corte+n_Ventana)*ISNUMBER(Detalle_24m!CD$98:CD$122)*Detalle_24m!CD$98:CD$122+(1-(77&gt;Corte)*(77&lt;=Corte+n_Ventana)*ISNUMBER(Detalle_24m!CD$98:CD$122))*INS_V*INDEX(IdxOV_V,1,MIN(10,CD$173)))*(1+V_dMat)/(1-V_Merma)</f>
        <v>127260</v>
      </c>
      <c r="CE230" s="48" t="n">
        <f aca="false">SUMPRODUCT(CE177:CE201,(78&gt;Corte)*(78&lt;=Corte+n_Ventana)*ISNUMBER(Detalle_24m!CE$98:CE$122)*Detalle_24m!CE$98:CE$122+(1-(78&gt;Corte)*(78&lt;=Corte+n_Ventana)*ISNUMBER(Detalle_24m!CE$98:CE$122))*INS_V*INDEX(IdxOV_V,1,MIN(10,CE$173)))*(1+V_dMat)/(1-V_Merma)</f>
        <v>127260</v>
      </c>
      <c r="CF230" s="48" t="n">
        <f aca="false">SUMPRODUCT(CF177:CF201,(79&gt;Corte)*(79&lt;=Corte+n_Ventana)*ISNUMBER(Detalle_24m!CF$98:CF$122)*Detalle_24m!CF$98:CF$122+(1-(79&gt;Corte)*(79&lt;=Corte+n_Ventana)*ISNUMBER(Detalle_24m!CF$98:CF$122))*INS_V*INDEX(IdxOV_V,1,MIN(10,CF$173)))*(1+V_dMat)/(1-V_Merma)</f>
        <v>127260</v>
      </c>
      <c r="CG230" s="48" t="n">
        <f aca="false">SUMPRODUCT(CG177:CG201,(80&gt;Corte)*(80&lt;=Corte+n_Ventana)*ISNUMBER(Detalle_24m!CG$98:CG$122)*Detalle_24m!CG$98:CG$122+(1-(80&gt;Corte)*(80&lt;=Corte+n_Ventana)*ISNUMBER(Detalle_24m!CG$98:CG$122))*INS_V*INDEX(IdxOV_V,1,MIN(10,CG$173)))*(1+V_dMat)/(1-V_Merma)</f>
        <v>127260</v>
      </c>
      <c r="CH230" s="48" t="n">
        <f aca="false">SUMPRODUCT(CH177:CH201,(81&gt;Corte)*(81&lt;=Corte+n_Ventana)*ISNUMBER(Detalle_24m!CH$98:CH$122)*Detalle_24m!CH$98:CH$122+(1-(81&gt;Corte)*(81&lt;=Corte+n_Ventana)*ISNUMBER(Detalle_24m!CH$98:CH$122))*INS_V*INDEX(IdxOV_V,1,MIN(10,CH$173)))*(1+V_dMat)/(1-V_Merma)</f>
        <v>127260</v>
      </c>
      <c r="CI230" s="48" t="n">
        <f aca="false">SUMPRODUCT(CI177:CI201,(82&gt;Corte)*(82&lt;=Corte+n_Ventana)*ISNUMBER(Detalle_24m!CI$98:CI$122)*Detalle_24m!CI$98:CI$122+(1-(82&gt;Corte)*(82&lt;=Corte+n_Ventana)*ISNUMBER(Detalle_24m!CI$98:CI$122))*INS_V*INDEX(IdxOV_V,1,MIN(10,CI$173)))*(1+V_dMat)/(1-V_Merma)</f>
        <v>127260</v>
      </c>
      <c r="CJ230" s="48" t="n">
        <f aca="false">SUMPRODUCT(CJ177:CJ201,(83&gt;Corte)*(83&lt;=Corte+n_Ventana)*ISNUMBER(Detalle_24m!CJ$98:CJ$122)*Detalle_24m!CJ$98:CJ$122+(1-(83&gt;Corte)*(83&lt;=Corte+n_Ventana)*ISNUMBER(Detalle_24m!CJ$98:CJ$122))*INS_V*INDEX(IdxOV_V,1,MIN(10,CJ$173)))*(1+V_dMat)/(1-V_Merma)</f>
        <v>127260</v>
      </c>
      <c r="CK230" s="48" t="n">
        <f aca="false">SUMPRODUCT(CK177:CK201,(84&gt;Corte)*(84&lt;=Corte+n_Ventana)*ISNUMBER(Detalle_24m!CK$98:CK$122)*Detalle_24m!CK$98:CK$122+(1-(84&gt;Corte)*(84&lt;=Corte+n_Ventana)*ISNUMBER(Detalle_24m!CK$98:CK$122))*INS_V*INDEX(IdxOV_V,1,MIN(10,CK$173)))*(1+V_dMat)/(1-V_Merma)</f>
        <v>127260</v>
      </c>
      <c r="CL230" s="48" t="n">
        <f aca="false">SUMPRODUCT(CL177:CL201,(85&gt;Corte)*(85&lt;=Corte+n_Ventana)*ISNUMBER(Detalle_24m!CL$98:CL$122)*Detalle_24m!CL$98:CL$122+(1-(85&gt;Corte)*(85&lt;=Corte+n_Ventana)*ISNUMBER(Detalle_24m!CL$98:CL$122))*INS_V*INDEX(IdxOV_V,1,MIN(10,CL$173)))*(1+V_dMat)/(1-V_Merma)</f>
        <v>127260</v>
      </c>
      <c r="CM230" s="48" t="n">
        <f aca="false">SUMPRODUCT(CM177:CM201,(86&gt;Corte)*(86&lt;=Corte+n_Ventana)*ISNUMBER(Detalle_24m!CM$98:CM$122)*Detalle_24m!CM$98:CM$122+(1-(86&gt;Corte)*(86&lt;=Corte+n_Ventana)*ISNUMBER(Detalle_24m!CM$98:CM$122))*INS_V*INDEX(IdxOV_V,1,MIN(10,CM$173)))*(1+V_dMat)/(1-V_Merma)</f>
        <v>127260</v>
      </c>
      <c r="CN230" s="48" t="n">
        <f aca="false">SUMPRODUCT(CN177:CN201,(87&gt;Corte)*(87&lt;=Corte+n_Ventana)*ISNUMBER(Detalle_24m!CN$98:CN$122)*Detalle_24m!CN$98:CN$122+(1-(87&gt;Corte)*(87&lt;=Corte+n_Ventana)*ISNUMBER(Detalle_24m!CN$98:CN$122))*INS_V*INDEX(IdxOV_V,1,MIN(10,CN$173)))*(1+V_dMat)/(1-V_Merma)</f>
        <v>127260</v>
      </c>
      <c r="CO230" s="48" t="n">
        <f aca="false">SUMPRODUCT(CO177:CO201,(88&gt;Corte)*(88&lt;=Corte+n_Ventana)*ISNUMBER(Detalle_24m!CO$98:CO$122)*Detalle_24m!CO$98:CO$122+(1-(88&gt;Corte)*(88&lt;=Corte+n_Ventana)*ISNUMBER(Detalle_24m!CO$98:CO$122))*INS_V*INDEX(IdxOV_V,1,MIN(10,CO$173)))*(1+V_dMat)/(1-V_Merma)</f>
        <v>127260</v>
      </c>
      <c r="CP230" s="48" t="n">
        <f aca="false">SUMPRODUCT(CP177:CP201,(89&gt;Corte)*(89&lt;=Corte+n_Ventana)*ISNUMBER(Detalle_24m!CP$98:CP$122)*Detalle_24m!CP$98:CP$122+(1-(89&gt;Corte)*(89&lt;=Corte+n_Ventana)*ISNUMBER(Detalle_24m!CP$98:CP$122))*INS_V*INDEX(IdxOV_V,1,MIN(10,CP$173)))*(1+V_dMat)/(1-V_Merma)</f>
        <v>127260</v>
      </c>
      <c r="CQ230" s="48" t="n">
        <f aca="false">SUMPRODUCT(CQ177:CQ201,(90&gt;Corte)*(90&lt;=Corte+n_Ventana)*ISNUMBER(Detalle_24m!CQ$98:CQ$122)*Detalle_24m!CQ$98:CQ$122+(1-(90&gt;Corte)*(90&lt;=Corte+n_Ventana)*ISNUMBER(Detalle_24m!CQ$98:CQ$122))*INS_V*INDEX(IdxOV_V,1,MIN(10,CQ$173)))*(1+V_dMat)/(1-V_Merma)</f>
        <v>127260</v>
      </c>
      <c r="CR230" s="48" t="n">
        <f aca="false">SUMPRODUCT(CR177:CR201,(91&gt;Corte)*(91&lt;=Corte+n_Ventana)*ISNUMBER(Detalle_24m!CR$98:CR$122)*Detalle_24m!CR$98:CR$122+(1-(91&gt;Corte)*(91&lt;=Corte+n_Ventana)*ISNUMBER(Detalle_24m!CR$98:CR$122))*INS_V*INDEX(IdxOV_V,1,MIN(10,CR$173)))*(1+V_dMat)/(1-V_Merma)</f>
        <v>127260</v>
      </c>
      <c r="CS230" s="48" t="n">
        <f aca="false">SUMPRODUCT(CS177:CS201,(92&gt;Corte)*(92&lt;=Corte+n_Ventana)*ISNUMBER(Detalle_24m!CS$98:CS$122)*Detalle_24m!CS$98:CS$122+(1-(92&gt;Corte)*(92&lt;=Corte+n_Ventana)*ISNUMBER(Detalle_24m!CS$98:CS$122))*INS_V*INDEX(IdxOV_V,1,MIN(10,CS$173)))*(1+V_dMat)/(1-V_Merma)</f>
        <v>127260</v>
      </c>
      <c r="CT230" s="48" t="n">
        <f aca="false">SUMPRODUCT(CT177:CT201,(93&gt;Corte)*(93&lt;=Corte+n_Ventana)*ISNUMBER(Detalle_24m!CT$98:CT$122)*Detalle_24m!CT$98:CT$122+(1-(93&gt;Corte)*(93&lt;=Corte+n_Ventana)*ISNUMBER(Detalle_24m!CT$98:CT$122))*INS_V*INDEX(IdxOV_V,1,MIN(10,CT$173)))*(1+V_dMat)/(1-V_Merma)</f>
        <v>127260</v>
      </c>
      <c r="CU230" s="48" t="n">
        <f aca="false">SUMPRODUCT(CU177:CU201,(94&gt;Corte)*(94&lt;=Corte+n_Ventana)*ISNUMBER(Detalle_24m!CU$98:CU$122)*Detalle_24m!CU$98:CU$122+(1-(94&gt;Corte)*(94&lt;=Corte+n_Ventana)*ISNUMBER(Detalle_24m!CU$98:CU$122))*INS_V*INDEX(IdxOV_V,1,MIN(10,CU$173)))*(1+V_dMat)/(1-V_Merma)</f>
        <v>127260</v>
      </c>
      <c r="CV230" s="48" t="n">
        <f aca="false">SUMPRODUCT(CV177:CV201,(95&gt;Corte)*(95&lt;=Corte+n_Ventana)*ISNUMBER(Detalle_24m!CV$98:CV$122)*Detalle_24m!CV$98:CV$122+(1-(95&gt;Corte)*(95&lt;=Corte+n_Ventana)*ISNUMBER(Detalle_24m!CV$98:CV$122))*INS_V*INDEX(IdxOV_V,1,MIN(10,CV$173)))*(1+V_dMat)/(1-V_Merma)</f>
        <v>127260</v>
      </c>
      <c r="CW230" s="48" t="n">
        <f aca="false">SUMPRODUCT(CW177:CW201,(96&gt;Corte)*(96&lt;=Corte+n_Ventana)*ISNUMBER(Detalle_24m!CW$98:CW$122)*Detalle_24m!CW$98:CW$122+(1-(96&gt;Corte)*(96&lt;=Corte+n_Ventana)*ISNUMBER(Detalle_24m!CW$98:CW$122))*INS_V*INDEX(IdxOV_V,1,MIN(10,CW$173)))*(1+V_dMat)/(1-V_Merma)</f>
        <v>127260</v>
      </c>
      <c r="CX230" s="48" t="n">
        <f aca="false">SUMPRODUCT(CX177:CX201,(97&gt;Corte)*(97&lt;=Corte+n_Ventana)*ISNUMBER(Detalle_24m!CX$98:CX$122)*Detalle_24m!CX$98:CX$122+(1-(97&gt;Corte)*(97&lt;=Corte+n_Ventana)*ISNUMBER(Detalle_24m!CX$98:CX$122))*INS_V*INDEX(IdxOV_V,1,MIN(10,CX$173)))*(1+V_dMat)/(1-V_Merma)</f>
        <v>127260</v>
      </c>
      <c r="CY230" s="48" t="n">
        <f aca="false">SUMPRODUCT(CY177:CY201,(98&gt;Corte)*(98&lt;=Corte+n_Ventana)*ISNUMBER(Detalle_24m!CY$98:CY$122)*Detalle_24m!CY$98:CY$122+(1-(98&gt;Corte)*(98&lt;=Corte+n_Ventana)*ISNUMBER(Detalle_24m!CY$98:CY$122))*INS_V*INDEX(IdxOV_V,1,MIN(10,CY$173)))*(1+V_dMat)/(1-V_Merma)</f>
        <v>127260</v>
      </c>
      <c r="CZ230" s="48" t="n">
        <f aca="false">SUMPRODUCT(CZ177:CZ201,(99&gt;Corte)*(99&lt;=Corte+n_Ventana)*ISNUMBER(Detalle_24m!CZ$98:CZ$122)*Detalle_24m!CZ$98:CZ$122+(1-(99&gt;Corte)*(99&lt;=Corte+n_Ventana)*ISNUMBER(Detalle_24m!CZ$98:CZ$122))*INS_V*INDEX(IdxOV_V,1,MIN(10,CZ$173)))*(1+V_dMat)/(1-V_Merma)</f>
        <v>127260</v>
      </c>
      <c r="DA230" s="48" t="n">
        <f aca="false">SUMPRODUCT(DA177:DA201,(100&gt;Corte)*(100&lt;=Corte+n_Ventana)*ISNUMBER(Detalle_24m!DA$98:DA$122)*Detalle_24m!DA$98:DA$122+(1-(100&gt;Corte)*(100&lt;=Corte+n_Ventana)*ISNUMBER(Detalle_24m!DA$98:DA$122))*INS_V*INDEX(IdxOV_V,1,MIN(10,DA$173)))*(1+V_dMat)/(1-V_Merma)</f>
        <v>127260</v>
      </c>
      <c r="DB230" s="48" t="n">
        <f aca="false">SUMPRODUCT(DB177:DB201,(101&gt;Corte)*(101&lt;=Corte+n_Ventana)*ISNUMBER(Detalle_24m!DB$98:DB$122)*Detalle_24m!DB$98:DB$122+(1-(101&gt;Corte)*(101&lt;=Corte+n_Ventana)*ISNUMBER(Detalle_24m!DB$98:DB$122))*INS_V*INDEX(IdxOV_V,1,MIN(10,DB$173)))*(1+V_dMat)/(1-V_Merma)</f>
        <v>127260</v>
      </c>
      <c r="DC230" s="48" t="n">
        <f aca="false">SUMPRODUCT(DC177:DC201,(102&gt;Corte)*(102&lt;=Corte+n_Ventana)*ISNUMBER(Detalle_24m!DC$98:DC$122)*Detalle_24m!DC$98:DC$122+(1-(102&gt;Corte)*(102&lt;=Corte+n_Ventana)*ISNUMBER(Detalle_24m!DC$98:DC$122))*INS_V*INDEX(IdxOV_V,1,MIN(10,DC$173)))*(1+V_dMat)/(1-V_Merma)</f>
        <v>127260</v>
      </c>
      <c r="DD230" s="48" t="n">
        <f aca="false">SUMPRODUCT(DD177:DD201,(103&gt;Corte)*(103&lt;=Corte+n_Ventana)*ISNUMBER(Detalle_24m!DD$98:DD$122)*Detalle_24m!DD$98:DD$122+(1-(103&gt;Corte)*(103&lt;=Corte+n_Ventana)*ISNUMBER(Detalle_24m!DD$98:DD$122))*INS_V*INDEX(IdxOV_V,1,MIN(10,DD$173)))*(1+V_dMat)/(1-V_Merma)</f>
        <v>127260</v>
      </c>
      <c r="DE230" s="48" t="n">
        <f aca="false">SUMPRODUCT(DE177:DE201,(104&gt;Corte)*(104&lt;=Corte+n_Ventana)*ISNUMBER(Detalle_24m!DE$98:DE$122)*Detalle_24m!DE$98:DE$122+(1-(104&gt;Corte)*(104&lt;=Corte+n_Ventana)*ISNUMBER(Detalle_24m!DE$98:DE$122))*INS_V*INDEX(IdxOV_V,1,MIN(10,DE$173)))*(1+V_dMat)/(1-V_Merma)</f>
        <v>127260</v>
      </c>
      <c r="DF230" s="48" t="n">
        <f aca="false">SUMPRODUCT(DF177:DF201,(105&gt;Corte)*(105&lt;=Corte+n_Ventana)*ISNUMBER(Detalle_24m!DF$98:DF$122)*Detalle_24m!DF$98:DF$122+(1-(105&gt;Corte)*(105&lt;=Corte+n_Ventana)*ISNUMBER(Detalle_24m!DF$98:DF$122))*INS_V*INDEX(IdxOV_V,1,MIN(10,DF$173)))*(1+V_dMat)/(1-V_Merma)</f>
        <v>127260</v>
      </c>
      <c r="DG230" s="48" t="n">
        <f aca="false">SUMPRODUCT(DG177:DG201,(106&gt;Corte)*(106&lt;=Corte+n_Ventana)*ISNUMBER(Detalle_24m!DG$98:DG$122)*Detalle_24m!DG$98:DG$122+(1-(106&gt;Corte)*(106&lt;=Corte+n_Ventana)*ISNUMBER(Detalle_24m!DG$98:DG$122))*INS_V*INDEX(IdxOV_V,1,MIN(10,DG$173)))*(1+V_dMat)/(1-V_Merma)</f>
        <v>127260</v>
      </c>
      <c r="DH230" s="48" t="n">
        <f aca="false">SUMPRODUCT(DH177:DH201,(107&gt;Corte)*(107&lt;=Corte+n_Ventana)*ISNUMBER(Detalle_24m!DH$98:DH$122)*Detalle_24m!DH$98:DH$122+(1-(107&gt;Corte)*(107&lt;=Corte+n_Ventana)*ISNUMBER(Detalle_24m!DH$98:DH$122))*INS_V*INDEX(IdxOV_V,1,MIN(10,DH$173)))*(1+V_dMat)/(1-V_Merma)</f>
        <v>127260</v>
      </c>
      <c r="DI230" s="48" t="n">
        <f aca="false">SUMPRODUCT(DI177:DI201,(108&gt;Corte)*(108&lt;=Corte+n_Ventana)*ISNUMBER(Detalle_24m!DI$98:DI$122)*Detalle_24m!DI$98:DI$122+(1-(108&gt;Corte)*(108&lt;=Corte+n_Ventana)*ISNUMBER(Detalle_24m!DI$98:DI$122))*INS_V*INDEX(IdxOV_V,1,MIN(10,DI$173)))*(1+V_dMat)/(1-V_Merma)</f>
        <v>127260</v>
      </c>
      <c r="DJ230" s="48" t="n">
        <f aca="false">SUMPRODUCT(DJ177:DJ201,(109&gt;Corte)*(109&lt;=Corte+n_Ventana)*ISNUMBER(Detalle_24m!DJ$98:DJ$122)*Detalle_24m!DJ$98:DJ$122+(1-(109&gt;Corte)*(109&lt;=Corte+n_Ventana)*ISNUMBER(Detalle_24m!DJ$98:DJ$122))*INS_V*INDEX(IdxOV_V,1,MIN(10,DJ$173)))*(1+V_dMat)/(1-V_Merma)</f>
        <v>127260</v>
      </c>
      <c r="DK230" s="48" t="n">
        <f aca="false">SUMPRODUCT(DK177:DK201,(110&gt;Corte)*(110&lt;=Corte+n_Ventana)*ISNUMBER(Detalle_24m!DK$98:DK$122)*Detalle_24m!DK$98:DK$122+(1-(110&gt;Corte)*(110&lt;=Corte+n_Ventana)*ISNUMBER(Detalle_24m!DK$98:DK$122))*INS_V*INDEX(IdxOV_V,1,MIN(10,DK$173)))*(1+V_dMat)/(1-V_Merma)</f>
        <v>127260</v>
      </c>
      <c r="DL230" s="48" t="n">
        <f aca="false">SUMPRODUCT(DL177:DL201,(111&gt;Corte)*(111&lt;=Corte+n_Ventana)*ISNUMBER(Detalle_24m!DL$98:DL$122)*Detalle_24m!DL$98:DL$122+(1-(111&gt;Corte)*(111&lt;=Corte+n_Ventana)*ISNUMBER(Detalle_24m!DL$98:DL$122))*INS_V*INDEX(IdxOV_V,1,MIN(10,DL$173)))*(1+V_dMat)/(1-V_Merma)</f>
        <v>127260</v>
      </c>
      <c r="DM230" s="48" t="n">
        <f aca="false">SUMPRODUCT(DM177:DM201,(112&gt;Corte)*(112&lt;=Corte+n_Ventana)*ISNUMBER(Detalle_24m!DM$98:DM$122)*Detalle_24m!DM$98:DM$122+(1-(112&gt;Corte)*(112&lt;=Corte+n_Ventana)*ISNUMBER(Detalle_24m!DM$98:DM$122))*INS_V*INDEX(IdxOV_V,1,MIN(10,DM$173)))*(1+V_dMat)/(1-V_Merma)</f>
        <v>127260</v>
      </c>
      <c r="DN230" s="48" t="n">
        <f aca="false">SUMPRODUCT(DN177:DN201,(113&gt;Corte)*(113&lt;=Corte+n_Ventana)*ISNUMBER(Detalle_24m!DN$98:DN$122)*Detalle_24m!DN$98:DN$122+(1-(113&gt;Corte)*(113&lt;=Corte+n_Ventana)*ISNUMBER(Detalle_24m!DN$98:DN$122))*INS_V*INDEX(IdxOV_V,1,MIN(10,DN$173)))*(1+V_dMat)/(1-V_Merma)</f>
        <v>127260</v>
      </c>
      <c r="DO230" s="48" t="n">
        <f aca="false">SUMPRODUCT(DO177:DO201,(114&gt;Corte)*(114&lt;=Corte+n_Ventana)*ISNUMBER(Detalle_24m!DO$98:DO$122)*Detalle_24m!DO$98:DO$122+(1-(114&gt;Corte)*(114&lt;=Corte+n_Ventana)*ISNUMBER(Detalle_24m!DO$98:DO$122))*INS_V*INDEX(IdxOV_V,1,MIN(10,DO$173)))*(1+V_dMat)/(1-V_Merma)</f>
        <v>127260</v>
      </c>
      <c r="DP230" s="48" t="n">
        <f aca="false">SUMPRODUCT(DP177:DP201,(115&gt;Corte)*(115&lt;=Corte+n_Ventana)*ISNUMBER(Detalle_24m!DP$98:DP$122)*Detalle_24m!DP$98:DP$122+(1-(115&gt;Corte)*(115&lt;=Corte+n_Ventana)*ISNUMBER(Detalle_24m!DP$98:DP$122))*INS_V*INDEX(IdxOV_V,1,MIN(10,DP$173)))*(1+V_dMat)/(1-V_Merma)</f>
        <v>127260</v>
      </c>
      <c r="DQ230" s="48" t="n">
        <f aca="false">SUMPRODUCT(DQ177:DQ201,(116&gt;Corte)*(116&lt;=Corte+n_Ventana)*ISNUMBER(Detalle_24m!DQ$98:DQ$122)*Detalle_24m!DQ$98:DQ$122+(1-(116&gt;Corte)*(116&lt;=Corte+n_Ventana)*ISNUMBER(Detalle_24m!DQ$98:DQ$122))*INS_V*INDEX(IdxOV_V,1,MIN(10,DQ$173)))*(1+V_dMat)/(1-V_Merma)</f>
        <v>127260</v>
      </c>
      <c r="DR230" s="48" t="n">
        <f aca="false">SUMPRODUCT(DR177:DR201,(117&gt;Corte)*(117&lt;=Corte+n_Ventana)*ISNUMBER(Detalle_24m!DR$98:DR$122)*Detalle_24m!DR$98:DR$122+(1-(117&gt;Corte)*(117&lt;=Corte+n_Ventana)*ISNUMBER(Detalle_24m!DR$98:DR$122))*INS_V*INDEX(IdxOV_V,1,MIN(10,DR$173)))*(1+V_dMat)/(1-V_Merma)</f>
        <v>127260</v>
      </c>
      <c r="DS230" s="48" t="n">
        <f aca="false">SUMPRODUCT(DS177:DS201,(118&gt;Corte)*(118&lt;=Corte+n_Ventana)*ISNUMBER(Detalle_24m!DS$98:DS$122)*Detalle_24m!DS$98:DS$122+(1-(118&gt;Corte)*(118&lt;=Corte+n_Ventana)*ISNUMBER(Detalle_24m!DS$98:DS$122))*INS_V*INDEX(IdxOV_V,1,MIN(10,DS$173)))*(1+V_dMat)/(1-V_Merma)</f>
        <v>127260</v>
      </c>
      <c r="DT230" s="48" t="n">
        <f aca="false">SUMPRODUCT(DT177:DT201,(119&gt;Corte)*(119&lt;=Corte+n_Ventana)*ISNUMBER(Detalle_24m!DT$98:DT$122)*Detalle_24m!DT$98:DT$122+(1-(119&gt;Corte)*(119&lt;=Corte+n_Ventana)*ISNUMBER(Detalle_24m!DT$98:DT$122))*INS_V*INDEX(IdxOV_V,1,MIN(10,DT$173)))*(1+V_dMat)/(1-V_Merma)</f>
        <v>127260</v>
      </c>
      <c r="DU230" s="48" t="n">
        <f aca="false">SUMPRODUCT(DU177:DU201,(120&gt;Corte)*(120&lt;=Corte+n_Ventana)*ISNUMBER(Detalle_24m!DU$98:DU$122)*Detalle_24m!DU$98:DU$122+(1-(120&gt;Corte)*(120&lt;=Corte+n_Ventana)*ISNUMBER(Detalle_24m!DU$98:DU$122))*INS_V*INDEX(IdxOV_V,1,MIN(10,DU$173)))*(1+V_dMat)/(1-V_Merma)</f>
        <v>127260</v>
      </c>
      <c r="DV230" s="48" t="n">
        <f aca="false">SUMPRODUCT(DV177:DV201,(121&gt;Corte)*(121&lt;=Corte+n_Ventana)*ISNUMBER(Detalle_24m!DV$98:DV$122)*Detalle_24m!DV$98:DV$122+(1-(121&gt;Corte)*(121&lt;=Corte+n_Ventana)*ISNUMBER(Detalle_24m!DV$98:DV$122))*INS_V*INDEX(IdxOV_V,1,MIN(10,DV$173)))*(1+V_dMat)/(1-V_Merma)</f>
        <v>0</v>
      </c>
      <c r="DW230" s="48" t="n">
        <f aca="false">SUMPRODUCT(DW177:DW201,(122&gt;Corte)*(122&lt;=Corte+n_Ventana)*ISNUMBER(Detalle_24m!DW$98:DW$122)*Detalle_24m!DW$98:DW$122+(1-(122&gt;Corte)*(122&lt;=Corte+n_Ventana)*ISNUMBER(Detalle_24m!DW$98:DW$122))*INS_V*INDEX(IdxOV_V,1,MIN(10,DW$173)))*(1+V_dMat)/(1-V_Merma)</f>
        <v>0</v>
      </c>
      <c r="DX230" s="48" t="n">
        <f aca="false">SUMPRODUCT(DX177:DX201,(123&gt;Corte)*(123&lt;=Corte+n_Ventana)*ISNUMBER(Detalle_24m!DX$98:DX$122)*Detalle_24m!DX$98:DX$122+(1-(123&gt;Corte)*(123&lt;=Corte+n_Ventana)*ISNUMBER(Detalle_24m!DX$98:DX$122))*INS_V*INDEX(IdxOV_V,1,MIN(10,DX$173)))*(1+V_dMat)/(1-V_Merma)</f>
        <v>0</v>
      </c>
      <c r="DY230" s="48" t="n">
        <f aca="false">SUMPRODUCT(DY177:DY201,(124&gt;Corte)*(124&lt;=Corte+n_Ventana)*ISNUMBER(Detalle_24m!DY$98:DY$122)*Detalle_24m!DY$98:DY$122+(1-(124&gt;Corte)*(124&lt;=Corte+n_Ventana)*ISNUMBER(Detalle_24m!DY$98:DY$122))*INS_V*INDEX(IdxOV_V,1,MIN(10,DY$173)))*(1+V_dMat)/(1-V_Merma)</f>
        <v>0</v>
      </c>
      <c r="DZ230" s="48" t="n">
        <f aca="false">SUMPRODUCT(DZ177:DZ201,(125&gt;Corte)*(125&lt;=Corte+n_Ventana)*ISNUMBER(Detalle_24m!DZ$98:DZ$122)*Detalle_24m!DZ$98:DZ$122+(1-(125&gt;Corte)*(125&lt;=Corte+n_Ventana)*ISNUMBER(Detalle_24m!DZ$98:DZ$122))*INS_V*INDEX(IdxOV_V,1,MIN(10,DZ$173)))*(1+V_dMat)/(1-V_Merma)</f>
        <v>0</v>
      </c>
      <c r="EA230" s="48" t="n">
        <f aca="false">SUMPRODUCT(EA177:EA201,(126&gt;Corte)*(126&lt;=Corte+n_Ventana)*ISNUMBER(Detalle_24m!EA$98:EA$122)*Detalle_24m!EA$98:EA$122+(1-(126&gt;Corte)*(126&lt;=Corte+n_Ventana)*ISNUMBER(Detalle_24m!EA$98:EA$122))*INS_V*INDEX(IdxOV_V,1,MIN(10,EA$173)))*(1+V_dMat)/(1-V_Merma)</f>
        <v>0</v>
      </c>
      <c r="EB230" s="48" t="n">
        <f aca="false">SUMPRODUCT(EB177:EB201,(127&gt;Corte)*(127&lt;=Corte+n_Ventana)*ISNUMBER(Detalle_24m!EB$98:EB$122)*Detalle_24m!EB$98:EB$122+(1-(127&gt;Corte)*(127&lt;=Corte+n_Ventana)*ISNUMBER(Detalle_24m!EB$98:EB$122))*INS_V*INDEX(IdxOV_V,1,MIN(10,EB$173)))*(1+V_dMat)/(1-V_Merma)</f>
        <v>0</v>
      </c>
      <c r="EC230" s="48" t="n">
        <f aca="false">SUMPRODUCT(EC177:EC201,(128&gt;Corte)*(128&lt;=Corte+n_Ventana)*ISNUMBER(Detalle_24m!EC$98:EC$122)*Detalle_24m!EC$98:EC$122+(1-(128&gt;Corte)*(128&lt;=Corte+n_Ventana)*ISNUMBER(Detalle_24m!EC$98:EC$122))*INS_V*INDEX(IdxOV_V,1,MIN(10,EC$173)))*(1+V_dMat)/(1-V_Merma)</f>
        <v>0</v>
      </c>
      <c r="ED230" s="48" t="n">
        <f aca="false">SUMPRODUCT(ED177:ED201,(129&gt;Corte)*(129&lt;=Corte+n_Ventana)*ISNUMBER(Detalle_24m!ED$98:ED$122)*Detalle_24m!ED$98:ED$122+(1-(129&gt;Corte)*(129&lt;=Corte+n_Ventana)*ISNUMBER(Detalle_24m!ED$98:ED$122))*INS_V*INDEX(IdxOV_V,1,MIN(10,ED$173)))*(1+V_dMat)/(1-V_Merma)</f>
        <v>0</v>
      </c>
      <c r="EE230" s="48" t="n">
        <f aca="false">SUMPRODUCT(EE177:EE201,(130&gt;Corte)*(130&lt;=Corte+n_Ventana)*ISNUMBER(Detalle_24m!EE$98:EE$122)*Detalle_24m!EE$98:EE$122+(1-(130&gt;Corte)*(130&lt;=Corte+n_Ventana)*ISNUMBER(Detalle_24m!EE$98:EE$122))*INS_V*INDEX(IdxOV_V,1,MIN(10,EE$173)))*(1+V_dMat)/(1-V_Merma)</f>
        <v>0</v>
      </c>
      <c r="EF230" s="48" t="n">
        <f aca="false">SUMPRODUCT(EF177:EF201,(131&gt;Corte)*(131&lt;=Corte+n_Ventana)*ISNUMBER(Detalle_24m!EF$98:EF$122)*Detalle_24m!EF$98:EF$122+(1-(131&gt;Corte)*(131&lt;=Corte+n_Ventana)*ISNUMBER(Detalle_24m!EF$98:EF$122))*INS_V*INDEX(IdxOV_V,1,MIN(10,EF$173)))*(1+V_dMat)/(1-V_Merma)</f>
        <v>0</v>
      </c>
      <c r="EG230" s="48" t="n">
        <f aca="false">SUMPRODUCT(EG177:EG201,(132&gt;Corte)*(132&lt;=Corte+n_Ventana)*ISNUMBER(Detalle_24m!EG$98:EG$122)*Detalle_24m!EG$98:EG$122+(1-(132&gt;Corte)*(132&lt;=Corte+n_Ventana)*ISNUMBER(Detalle_24m!EG$98:EG$122))*INS_V*INDEX(IdxOV_V,1,MIN(10,EG$173)))*(1+V_dMat)/(1-V_Merma)</f>
        <v>0</v>
      </c>
      <c r="EH230" s="48" t="n">
        <f aca="false">SUMPRODUCT(EH177:EH201,(133&gt;Corte)*(133&lt;=Corte+n_Ventana)*ISNUMBER(Detalle_24m!EH$98:EH$122)*Detalle_24m!EH$98:EH$122+(1-(133&gt;Corte)*(133&lt;=Corte+n_Ventana)*ISNUMBER(Detalle_24m!EH$98:EH$122))*INS_V*INDEX(IdxOV_V,1,MIN(10,EH$173)))*(1+V_dMat)/(1-V_Merma)</f>
        <v>0</v>
      </c>
      <c r="EI230" s="48" t="n">
        <f aca="false">SUMPRODUCT(EI177:EI201,(134&gt;Corte)*(134&lt;=Corte+n_Ventana)*ISNUMBER(Detalle_24m!EI$98:EI$122)*Detalle_24m!EI$98:EI$122+(1-(134&gt;Corte)*(134&lt;=Corte+n_Ventana)*ISNUMBER(Detalle_24m!EI$98:EI$122))*INS_V*INDEX(IdxOV_V,1,MIN(10,EI$173)))*(1+V_dMat)/(1-V_Merma)</f>
        <v>0</v>
      </c>
      <c r="EJ230" s="48" t="n">
        <f aca="false">SUMPRODUCT(EJ177:EJ201,(135&gt;Corte)*(135&lt;=Corte+n_Ventana)*ISNUMBER(Detalle_24m!EJ$98:EJ$122)*Detalle_24m!EJ$98:EJ$122+(1-(135&gt;Corte)*(135&lt;=Corte+n_Ventana)*ISNUMBER(Detalle_24m!EJ$98:EJ$122))*INS_V*INDEX(IdxOV_V,1,MIN(10,EJ$173)))*(1+V_dMat)/(1-V_Merma)</f>
        <v>0</v>
      </c>
      <c r="EK230" s="48" t="n">
        <f aca="false">SUMPRODUCT(EK177:EK201,(136&gt;Corte)*(136&lt;=Corte+n_Ventana)*ISNUMBER(Detalle_24m!EK$98:EK$122)*Detalle_24m!EK$98:EK$122+(1-(136&gt;Corte)*(136&lt;=Corte+n_Ventana)*ISNUMBER(Detalle_24m!EK$98:EK$122))*INS_V*INDEX(IdxOV_V,1,MIN(10,EK$173)))*(1+V_dMat)/(1-V_Merma)</f>
        <v>0</v>
      </c>
      <c r="EL230" s="48" t="n">
        <f aca="false">SUMPRODUCT(EL177:EL201,(137&gt;Corte)*(137&lt;=Corte+n_Ventana)*ISNUMBER(Detalle_24m!EL$98:EL$122)*Detalle_24m!EL$98:EL$122+(1-(137&gt;Corte)*(137&lt;=Corte+n_Ventana)*ISNUMBER(Detalle_24m!EL$98:EL$122))*INS_V*INDEX(IdxOV_V,1,MIN(10,EL$173)))*(1+V_dMat)/(1-V_Merma)</f>
        <v>0</v>
      </c>
      <c r="EM230" s="48" t="n">
        <f aca="false">SUMPRODUCT(EM177:EM201,(138&gt;Corte)*(138&lt;=Corte+n_Ventana)*ISNUMBER(Detalle_24m!EM$98:EM$122)*Detalle_24m!EM$98:EM$122+(1-(138&gt;Corte)*(138&lt;=Corte+n_Ventana)*ISNUMBER(Detalle_24m!EM$98:EM$122))*INS_V*INDEX(IdxOV_V,1,MIN(10,EM$173)))*(1+V_dMat)/(1-V_Merma)</f>
        <v>0</v>
      </c>
      <c r="EN230" s="48" t="n">
        <f aca="false">SUMPRODUCT(EN177:EN201,(139&gt;Corte)*(139&lt;=Corte+n_Ventana)*ISNUMBER(Detalle_24m!EN$98:EN$122)*Detalle_24m!EN$98:EN$122+(1-(139&gt;Corte)*(139&lt;=Corte+n_Ventana)*ISNUMBER(Detalle_24m!EN$98:EN$122))*INS_V*INDEX(IdxOV_V,1,MIN(10,EN$173)))*(1+V_dMat)/(1-V_Merma)</f>
        <v>0</v>
      </c>
      <c r="EO230" s="48" t="n">
        <f aca="false">SUMPRODUCT(EO177:EO201,(140&gt;Corte)*(140&lt;=Corte+n_Ventana)*ISNUMBER(Detalle_24m!EO$98:EO$122)*Detalle_24m!EO$98:EO$122+(1-(140&gt;Corte)*(140&lt;=Corte+n_Ventana)*ISNUMBER(Detalle_24m!EO$98:EO$122))*INS_V*INDEX(IdxOV_V,1,MIN(10,EO$173)))*(1+V_dMat)/(1-V_Merma)</f>
        <v>0</v>
      </c>
      <c r="EP230" s="48" t="n">
        <f aca="false">SUMPRODUCT(EP177:EP201,(141&gt;Corte)*(141&lt;=Corte+n_Ventana)*ISNUMBER(Detalle_24m!EP$98:EP$122)*Detalle_24m!EP$98:EP$122+(1-(141&gt;Corte)*(141&lt;=Corte+n_Ventana)*ISNUMBER(Detalle_24m!EP$98:EP$122))*INS_V*INDEX(IdxOV_V,1,MIN(10,EP$173)))*(1+V_dMat)/(1-V_Merma)</f>
        <v>0</v>
      </c>
      <c r="EQ230" s="48" t="n">
        <f aca="false">SUMPRODUCT(EQ177:EQ201,(142&gt;Corte)*(142&lt;=Corte+n_Ventana)*ISNUMBER(Detalle_24m!EQ$98:EQ$122)*Detalle_24m!EQ$98:EQ$122+(1-(142&gt;Corte)*(142&lt;=Corte+n_Ventana)*ISNUMBER(Detalle_24m!EQ$98:EQ$122))*INS_V*INDEX(IdxOV_V,1,MIN(10,EQ$173)))*(1+V_dMat)/(1-V_Merma)</f>
        <v>0</v>
      </c>
      <c r="ER230" s="48" t="n">
        <f aca="false">SUMPRODUCT(ER177:ER201,(143&gt;Corte)*(143&lt;=Corte+n_Ventana)*ISNUMBER(Detalle_24m!ER$98:ER$122)*Detalle_24m!ER$98:ER$122+(1-(143&gt;Corte)*(143&lt;=Corte+n_Ventana)*ISNUMBER(Detalle_24m!ER$98:ER$122))*INS_V*INDEX(IdxOV_V,1,MIN(10,ER$173)))*(1+V_dMat)/(1-V_Merma)</f>
        <v>0</v>
      </c>
      <c r="ES230" s="48" t="n">
        <f aca="false">SUMPRODUCT(ES177:ES201,(144&gt;Corte)*(144&lt;=Corte+n_Ventana)*ISNUMBER(Detalle_24m!ES$98:ES$122)*Detalle_24m!ES$98:ES$122+(1-(144&gt;Corte)*(144&lt;=Corte+n_Ventana)*ISNUMBER(Detalle_24m!ES$98:ES$122))*INS_V*INDEX(IdxOV_V,1,MIN(10,ES$173)))*(1+V_dMat)/(1-V_Merma)</f>
        <v>0</v>
      </c>
    </row>
    <row r="231" customFormat="false" ht="15" hidden="false" customHeight="false" outlineLevel="0" collapsed="false">
      <c r="A231" s="11" t="s">
        <v>1353</v>
      </c>
      <c r="B231" s="15" t="s">
        <v>1124</v>
      </c>
      <c r="C231" s="15" t="s">
        <v>508</v>
      </c>
      <c r="E231" s="54" t="n">
        <f aca="false">SUM(F231:ES231)</f>
        <v>8388891.936</v>
      </c>
      <c r="F231" s="48" t="n">
        <f aca="false">SUMPRODUCT(F177:F201,(1&gt;Corte)*(1&lt;=Corte+n_Ventana)*ISNUMBER(Detalle_24m!F$126:F$150)*Detalle_24m!F$126:F$150+(1-(1&gt;Corte)*(1&lt;=Corte+n_Ventana)*ISNUMBER(Detalle_24m!F$126:F$150))*OV_V*INDEX(IdxOV_V,1,MIN(10,F$173)))*(1+V_dMat)/(1-V_Merma)</f>
        <v>43834.333</v>
      </c>
      <c r="G231" s="48" t="n">
        <f aca="false">SUMPRODUCT(G177:G201,(2&gt;Corte)*(2&lt;=Corte+n_Ventana)*ISNUMBER(Detalle_24m!G$126:G$150)*Detalle_24m!G$126:G$150+(1-(2&gt;Corte)*(2&lt;=Corte+n_Ventana)*ISNUMBER(Detalle_24m!G$126:G$150))*OV_V*INDEX(IdxOV_V,1,MIN(10,G$173)))*(1+V_dMat)/(1-V_Merma)</f>
        <v>43834.333</v>
      </c>
      <c r="H231" s="48" t="n">
        <f aca="false">SUMPRODUCT(H177:H201,(3&gt;Corte)*(3&lt;=Corte+n_Ventana)*ISNUMBER(Detalle_24m!H$126:H$150)*Detalle_24m!H$126:H$150+(1-(3&gt;Corte)*(3&lt;=Corte+n_Ventana)*ISNUMBER(Detalle_24m!H$126:H$150))*OV_V*INDEX(IdxOV_V,1,MIN(10,H$173)))*(1+V_dMat)/(1-V_Merma)</f>
        <v>43834.333</v>
      </c>
      <c r="I231" s="48" t="n">
        <f aca="false">SUMPRODUCT(I177:I201,(4&gt;Corte)*(4&lt;=Corte+n_Ventana)*ISNUMBER(Detalle_24m!I$126:I$150)*Detalle_24m!I$126:I$150+(1-(4&gt;Corte)*(4&lt;=Corte+n_Ventana)*ISNUMBER(Detalle_24m!I$126:I$150))*OV_V*INDEX(IdxOV_V,1,MIN(10,I$173)))*(1+V_dMat)/(1-V_Merma)</f>
        <v>43834.333</v>
      </c>
      <c r="J231" s="48" t="n">
        <f aca="false">SUMPRODUCT(J177:J201,(5&gt;Corte)*(5&lt;=Corte+n_Ventana)*ISNUMBER(Detalle_24m!J$126:J$150)*Detalle_24m!J$126:J$150+(1-(5&gt;Corte)*(5&lt;=Corte+n_Ventana)*ISNUMBER(Detalle_24m!J$126:J$150))*OV_V*INDEX(IdxOV_V,1,MIN(10,J$173)))*(1+V_dMat)/(1-V_Merma)</f>
        <v>43834.333</v>
      </c>
      <c r="K231" s="48" t="n">
        <f aca="false">SUMPRODUCT(K177:K201,(6&gt;Corte)*(6&lt;=Corte+n_Ventana)*ISNUMBER(Detalle_24m!K$126:K$150)*Detalle_24m!K$126:K$150+(1-(6&gt;Corte)*(6&lt;=Corte+n_Ventana)*ISNUMBER(Detalle_24m!K$126:K$150))*OV_V*INDEX(IdxOV_V,1,MIN(10,K$173)))*(1+V_dMat)/(1-V_Merma)</f>
        <v>43834.333</v>
      </c>
      <c r="L231" s="48" t="n">
        <f aca="false">SUMPRODUCT(L177:L201,(7&gt;Corte)*(7&lt;=Corte+n_Ventana)*ISNUMBER(Detalle_24m!L$126:L$150)*Detalle_24m!L$126:L$150+(1-(7&gt;Corte)*(7&lt;=Corte+n_Ventana)*ISNUMBER(Detalle_24m!L$126:L$150))*OV_V*INDEX(IdxOV_V,1,MIN(10,L$173)))*(1+V_dMat)/(1-V_Merma)</f>
        <v>43834.333</v>
      </c>
      <c r="M231" s="48" t="n">
        <f aca="false">SUMPRODUCT(M177:M201,(8&gt;Corte)*(8&lt;=Corte+n_Ventana)*ISNUMBER(Detalle_24m!M$126:M$150)*Detalle_24m!M$126:M$150+(1-(8&gt;Corte)*(8&lt;=Corte+n_Ventana)*ISNUMBER(Detalle_24m!M$126:M$150))*OV_V*INDEX(IdxOV_V,1,MIN(10,M$173)))*(1+V_dMat)/(1-V_Merma)</f>
        <v>43834.333</v>
      </c>
      <c r="N231" s="48" t="n">
        <f aca="false">SUMPRODUCT(N177:N201,(9&gt;Corte)*(9&lt;=Corte+n_Ventana)*ISNUMBER(Detalle_24m!N$126:N$150)*Detalle_24m!N$126:N$150+(1-(9&gt;Corte)*(9&lt;=Corte+n_Ventana)*ISNUMBER(Detalle_24m!N$126:N$150))*OV_V*INDEX(IdxOV_V,1,MIN(10,N$173)))*(1+V_dMat)/(1-V_Merma)</f>
        <v>43834.333</v>
      </c>
      <c r="O231" s="48" t="n">
        <f aca="false">SUMPRODUCT(O177:O201,(10&gt;Corte)*(10&lt;=Corte+n_Ventana)*ISNUMBER(Detalle_24m!O$126:O$150)*Detalle_24m!O$126:O$150+(1-(10&gt;Corte)*(10&lt;=Corte+n_Ventana)*ISNUMBER(Detalle_24m!O$126:O$150))*OV_V*INDEX(IdxOV_V,1,MIN(10,O$173)))*(1+V_dMat)/(1-V_Merma)</f>
        <v>43834.333</v>
      </c>
      <c r="P231" s="48" t="n">
        <f aca="false">SUMPRODUCT(P177:P201,(11&gt;Corte)*(11&lt;=Corte+n_Ventana)*ISNUMBER(Detalle_24m!P$126:P$150)*Detalle_24m!P$126:P$150+(1-(11&gt;Corte)*(11&lt;=Corte+n_Ventana)*ISNUMBER(Detalle_24m!P$126:P$150))*OV_V*INDEX(IdxOV_V,1,MIN(10,P$173)))*(1+V_dMat)/(1-V_Merma)</f>
        <v>43834.333</v>
      </c>
      <c r="Q231" s="48" t="n">
        <f aca="false">SUMPRODUCT(Q177:Q201,(12&gt;Corte)*(12&lt;=Corte+n_Ventana)*ISNUMBER(Detalle_24m!Q$126:Q$150)*Detalle_24m!Q$126:Q$150+(1-(12&gt;Corte)*(12&lt;=Corte+n_Ventana)*ISNUMBER(Detalle_24m!Q$126:Q$150))*OV_V*INDEX(IdxOV_V,1,MIN(10,Q$173)))*(1+V_dMat)/(1-V_Merma)</f>
        <v>43834.333</v>
      </c>
      <c r="R231" s="48" t="n">
        <f aca="false">SUMPRODUCT(R177:R201,(13&gt;Corte)*(13&lt;=Corte+n_Ventana)*ISNUMBER(Detalle_24m!R$126:R$150)*Detalle_24m!R$126:R$150+(1-(13&gt;Corte)*(13&lt;=Corte+n_Ventana)*ISNUMBER(Detalle_24m!R$126:R$150))*OV_V*INDEX(IdxOV_V,1,MIN(10,R$173)))*(1+V_dMat)/(1-V_Merma)</f>
        <v>55361.66625</v>
      </c>
      <c r="S231" s="48" t="n">
        <f aca="false">SUMPRODUCT(S177:S201,(14&gt;Corte)*(14&lt;=Corte+n_Ventana)*ISNUMBER(Detalle_24m!S$126:S$150)*Detalle_24m!S$126:S$150+(1-(14&gt;Corte)*(14&lt;=Corte+n_Ventana)*ISNUMBER(Detalle_24m!S$126:S$150))*OV_V*INDEX(IdxOV_V,1,MIN(10,S$173)))*(1+V_dMat)/(1-V_Merma)</f>
        <v>55361.66625</v>
      </c>
      <c r="T231" s="48" t="n">
        <f aca="false">SUMPRODUCT(T177:T201,(15&gt;Corte)*(15&lt;=Corte+n_Ventana)*ISNUMBER(Detalle_24m!T$126:T$150)*Detalle_24m!T$126:T$150+(1-(15&gt;Corte)*(15&lt;=Corte+n_Ventana)*ISNUMBER(Detalle_24m!T$126:T$150))*OV_V*INDEX(IdxOV_V,1,MIN(10,T$173)))*(1+V_dMat)/(1-V_Merma)</f>
        <v>55361.66625</v>
      </c>
      <c r="U231" s="48" t="n">
        <f aca="false">SUMPRODUCT(U177:U201,(16&gt;Corte)*(16&lt;=Corte+n_Ventana)*ISNUMBER(Detalle_24m!U$126:U$150)*Detalle_24m!U$126:U$150+(1-(16&gt;Corte)*(16&lt;=Corte+n_Ventana)*ISNUMBER(Detalle_24m!U$126:U$150))*OV_V*INDEX(IdxOV_V,1,MIN(10,U$173)))*(1+V_dMat)/(1-V_Merma)</f>
        <v>55361.66625</v>
      </c>
      <c r="V231" s="48" t="n">
        <f aca="false">SUMPRODUCT(V177:V201,(17&gt;Corte)*(17&lt;=Corte+n_Ventana)*ISNUMBER(Detalle_24m!V$126:V$150)*Detalle_24m!V$126:V$150+(1-(17&gt;Corte)*(17&lt;=Corte+n_Ventana)*ISNUMBER(Detalle_24m!V$126:V$150))*OV_V*INDEX(IdxOV_V,1,MIN(10,V$173)))*(1+V_dMat)/(1-V_Merma)</f>
        <v>55361.66625</v>
      </c>
      <c r="W231" s="48" t="n">
        <f aca="false">SUMPRODUCT(W177:W201,(18&gt;Corte)*(18&lt;=Corte+n_Ventana)*ISNUMBER(Detalle_24m!W$126:W$150)*Detalle_24m!W$126:W$150+(1-(18&gt;Corte)*(18&lt;=Corte+n_Ventana)*ISNUMBER(Detalle_24m!W$126:W$150))*OV_V*INDEX(IdxOV_V,1,MIN(10,W$173)))*(1+V_dMat)/(1-V_Merma)</f>
        <v>55361.66625</v>
      </c>
      <c r="X231" s="48" t="n">
        <f aca="false">SUMPRODUCT(X177:X201,(19&gt;Corte)*(19&lt;=Corte+n_Ventana)*ISNUMBER(Detalle_24m!X$126:X$150)*Detalle_24m!X$126:X$150+(1-(19&gt;Corte)*(19&lt;=Corte+n_Ventana)*ISNUMBER(Detalle_24m!X$126:X$150))*OV_V*INDEX(IdxOV_V,1,MIN(10,X$173)))*(1+V_dMat)/(1-V_Merma)</f>
        <v>55361.66625</v>
      </c>
      <c r="Y231" s="48" t="n">
        <f aca="false">SUMPRODUCT(Y177:Y201,(20&gt;Corte)*(20&lt;=Corte+n_Ventana)*ISNUMBER(Detalle_24m!Y$126:Y$150)*Detalle_24m!Y$126:Y$150+(1-(20&gt;Corte)*(20&lt;=Corte+n_Ventana)*ISNUMBER(Detalle_24m!Y$126:Y$150))*OV_V*INDEX(IdxOV_V,1,MIN(10,Y$173)))*(1+V_dMat)/(1-V_Merma)</f>
        <v>55361.66625</v>
      </c>
      <c r="Z231" s="48" t="n">
        <f aca="false">SUMPRODUCT(Z177:Z201,(21&gt;Corte)*(21&lt;=Corte+n_Ventana)*ISNUMBER(Detalle_24m!Z$126:Z$150)*Detalle_24m!Z$126:Z$150+(1-(21&gt;Corte)*(21&lt;=Corte+n_Ventana)*ISNUMBER(Detalle_24m!Z$126:Z$150))*OV_V*INDEX(IdxOV_V,1,MIN(10,Z$173)))*(1+V_dMat)/(1-V_Merma)</f>
        <v>55361.66625</v>
      </c>
      <c r="AA231" s="48" t="n">
        <f aca="false">SUMPRODUCT(AA177:AA201,(22&gt;Corte)*(22&lt;=Corte+n_Ventana)*ISNUMBER(Detalle_24m!AA$126:AA$150)*Detalle_24m!AA$126:AA$150+(1-(22&gt;Corte)*(22&lt;=Corte+n_Ventana)*ISNUMBER(Detalle_24m!AA$126:AA$150))*OV_V*INDEX(IdxOV_V,1,MIN(10,AA$173)))*(1+V_dMat)/(1-V_Merma)</f>
        <v>55361.66625</v>
      </c>
      <c r="AB231" s="48" t="n">
        <f aca="false">SUMPRODUCT(AB177:AB201,(23&gt;Corte)*(23&lt;=Corte+n_Ventana)*ISNUMBER(Detalle_24m!AB$126:AB$150)*Detalle_24m!AB$126:AB$150+(1-(23&gt;Corte)*(23&lt;=Corte+n_Ventana)*ISNUMBER(Detalle_24m!AB$126:AB$150))*OV_V*INDEX(IdxOV_V,1,MIN(10,AB$173)))*(1+V_dMat)/(1-V_Merma)</f>
        <v>55361.66625</v>
      </c>
      <c r="AC231" s="48" t="n">
        <f aca="false">SUMPRODUCT(AC177:AC201,(24&gt;Corte)*(24&lt;=Corte+n_Ventana)*ISNUMBER(Detalle_24m!AC$126:AC$150)*Detalle_24m!AC$126:AC$150+(1-(24&gt;Corte)*(24&lt;=Corte+n_Ventana)*ISNUMBER(Detalle_24m!AC$126:AC$150))*OV_V*INDEX(IdxOV_V,1,MIN(10,AC$173)))*(1+V_dMat)/(1-V_Merma)</f>
        <v>55361.66625</v>
      </c>
      <c r="AD231" s="48" t="n">
        <f aca="false">SUMPRODUCT(AD177:AD201,(25&gt;Corte)*(25&lt;=Corte+n_Ventana)*ISNUMBER(Detalle_24m!AD$126:AD$150)*Detalle_24m!AD$126:AD$150+(1-(25&gt;Corte)*(25&lt;=Corte+n_Ventana)*ISNUMBER(Detalle_24m!AD$126:AD$150))*OV_V*INDEX(IdxOV_V,1,MIN(10,AD$173)))*(1+V_dMat)/(1-V_Merma)</f>
        <v>66888.9995</v>
      </c>
      <c r="AE231" s="48" t="n">
        <f aca="false">SUMPRODUCT(AE177:AE201,(26&gt;Corte)*(26&lt;=Corte+n_Ventana)*ISNUMBER(Detalle_24m!AE$126:AE$150)*Detalle_24m!AE$126:AE$150+(1-(26&gt;Corte)*(26&lt;=Corte+n_Ventana)*ISNUMBER(Detalle_24m!AE$126:AE$150))*OV_V*INDEX(IdxOV_V,1,MIN(10,AE$173)))*(1+V_dMat)/(1-V_Merma)</f>
        <v>66888.9995</v>
      </c>
      <c r="AF231" s="48" t="n">
        <f aca="false">SUMPRODUCT(AF177:AF201,(27&gt;Corte)*(27&lt;=Corte+n_Ventana)*ISNUMBER(Detalle_24m!AF$126:AF$150)*Detalle_24m!AF$126:AF$150+(1-(27&gt;Corte)*(27&lt;=Corte+n_Ventana)*ISNUMBER(Detalle_24m!AF$126:AF$150))*OV_V*INDEX(IdxOV_V,1,MIN(10,AF$173)))*(1+V_dMat)/(1-V_Merma)</f>
        <v>66888.9995</v>
      </c>
      <c r="AG231" s="48" t="n">
        <f aca="false">SUMPRODUCT(AG177:AG201,(28&gt;Corte)*(28&lt;=Corte+n_Ventana)*ISNUMBER(Detalle_24m!AG$126:AG$150)*Detalle_24m!AG$126:AG$150+(1-(28&gt;Corte)*(28&lt;=Corte+n_Ventana)*ISNUMBER(Detalle_24m!AG$126:AG$150))*OV_V*INDEX(IdxOV_V,1,MIN(10,AG$173)))*(1+V_dMat)/(1-V_Merma)</f>
        <v>66888.9995</v>
      </c>
      <c r="AH231" s="48" t="n">
        <f aca="false">SUMPRODUCT(AH177:AH201,(29&gt;Corte)*(29&lt;=Corte+n_Ventana)*ISNUMBER(Detalle_24m!AH$126:AH$150)*Detalle_24m!AH$126:AH$150+(1-(29&gt;Corte)*(29&lt;=Corte+n_Ventana)*ISNUMBER(Detalle_24m!AH$126:AH$150))*OV_V*INDEX(IdxOV_V,1,MIN(10,AH$173)))*(1+V_dMat)/(1-V_Merma)</f>
        <v>66888.9995</v>
      </c>
      <c r="AI231" s="48" t="n">
        <f aca="false">SUMPRODUCT(AI177:AI201,(30&gt;Corte)*(30&lt;=Corte+n_Ventana)*ISNUMBER(Detalle_24m!AI$126:AI$150)*Detalle_24m!AI$126:AI$150+(1-(30&gt;Corte)*(30&lt;=Corte+n_Ventana)*ISNUMBER(Detalle_24m!AI$126:AI$150))*OV_V*INDEX(IdxOV_V,1,MIN(10,AI$173)))*(1+V_dMat)/(1-V_Merma)</f>
        <v>66888.9995</v>
      </c>
      <c r="AJ231" s="48" t="n">
        <f aca="false">SUMPRODUCT(AJ177:AJ201,(31&gt;Corte)*(31&lt;=Corte+n_Ventana)*ISNUMBER(Detalle_24m!AJ$126:AJ$150)*Detalle_24m!AJ$126:AJ$150+(1-(31&gt;Corte)*(31&lt;=Corte+n_Ventana)*ISNUMBER(Detalle_24m!AJ$126:AJ$150))*OV_V*INDEX(IdxOV_V,1,MIN(10,AJ$173)))*(1+V_dMat)/(1-V_Merma)</f>
        <v>66888.9995</v>
      </c>
      <c r="AK231" s="48" t="n">
        <f aca="false">SUMPRODUCT(AK177:AK201,(32&gt;Corte)*(32&lt;=Corte+n_Ventana)*ISNUMBER(Detalle_24m!AK$126:AK$150)*Detalle_24m!AK$126:AK$150+(1-(32&gt;Corte)*(32&lt;=Corte+n_Ventana)*ISNUMBER(Detalle_24m!AK$126:AK$150))*OV_V*INDEX(IdxOV_V,1,MIN(10,AK$173)))*(1+V_dMat)/(1-V_Merma)</f>
        <v>66888.9995</v>
      </c>
      <c r="AL231" s="48" t="n">
        <f aca="false">SUMPRODUCT(AL177:AL201,(33&gt;Corte)*(33&lt;=Corte+n_Ventana)*ISNUMBER(Detalle_24m!AL$126:AL$150)*Detalle_24m!AL$126:AL$150+(1-(33&gt;Corte)*(33&lt;=Corte+n_Ventana)*ISNUMBER(Detalle_24m!AL$126:AL$150))*OV_V*INDEX(IdxOV_V,1,MIN(10,AL$173)))*(1+V_dMat)/(1-V_Merma)</f>
        <v>66888.9995</v>
      </c>
      <c r="AM231" s="48" t="n">
        <f aca="false">SUMPRODUCT(AM177:AM201,(34&gt;Corte)*(34&lt;=Corte+n_Ventana)*ISNUMBER(Detalle_24m!AM$126:AM$150)*Detalle_24m!AM$126:AM$150+(1-(34&gt;Corte)*(34&lt;=Corte+n_Ventana)*ISNUMBER(Detalle_24m!AM$126:AM$150))*OV_V*INDEX(IdxOV_V,1,MIN(10,AM$173)))*(1+V_dMat)/(1-V_Merma)</f>
        <v>66888.9995</v>
      </c>
      <c r="AN231" s="48" t="n">
        <f aca="false">SUMPRODUCT(AN177:AN201,(35&gt;Corte)*(35&lt;=Corte+n_Ventana)*ISNUMBER(Detalle_24m!AN$126:AN$150)*Detalle_24m!AN$126:AN$150+(1-(35&gt;Corte)*(35&lt;=Corte+n_Ventana)*ISNUMBER(Detalle_24m!AN$126:AN$150))*OV_V*INDEX(IdxOV_V,1,MIN(10,AN$173)))*(1+V_dMat)/(1-V_Merma)</f>
        <v>66888.9995</v>
      </c>
      <c r="AO231" s="48" t="n">
        <f aca="false">SUMPRODUCT(AO177:AO201,(36&gt;Corte)*(36&lt;=Corte+n_Ventana)*ISNUMBER(Detalle_24m!AO$126:AO$150)*Detalle_24m!AO$126:AO$150+(1-(36&gt;Corte)*(36&lt;=Corte+n_Ventana)*ISNUMBER(Detalle_24m!AO$126:AO$150))*OV_V*INDEX(IdxOV_V,1,MIN(10,AO$173)))*(1+V_dMat)/(1-V_Merma)</f>
        <v>66888.9995</v>
      </c>
      <c r="AP231" s="48" t="n">
        <f aca="false">SUMPRODUCT(AP177:AP201,(37&gt;Corte)*(37&lt;=Corte+n_Ventana)*ISNUMBER(Detalle_24m!AP$126:AP$150)*Detalle_24m!AP$126:AP$150+(1-(37&gt;Corte)*(37&lt;=Corte+n_Ventana)*ISNUMBER(Detalle_24m!AP$126:AP$150))*OV_V*INDEX(IdxOV_V,1,MIN(10,AP$173)))*(1+V_dMat)/(1-V_Merma)</f>
        <v>76141.33275</v>
      </c>
      <c r="AQ231" s="48" t="n">
        <f aca="false">SUMPRODUCT(AQ177:AQ201,(38&gt;Corte)*(38&lt;=Corte+n_Ventana)*ISNUMBER(Detalle_24m!AQ$126:AQ$150)*Detalle_24m!AQ$126:AQ$150+(1-(38&gt;Corte)*(38&lt;=Corte+n_Ventana)*ISNUMBER(Detalle_24m!AQ$126:AQ$150))*OV_V*INDEX(IdxOV_V,1,MIN(10,AQ$173)))*(1+V_dMat)/(1-V_Merma)</f>
        <v>76141.33275</v>
      </c>
      <c r="AR231" s="48" t="n">
        <f aca="false">SUMPRODUCT(AR177:AR201,(39&gt;Corte)*(39&lt;=Corte+n_Ventana)*ISNUMBER(Detalle_24m!AR$126:AR$150)*Detalle_24m!AR$126:AR$150+(1-(39&gt;Corte)*(39&lt;=Corte+n_Ventana)*ISNUMBER(Detalle_24m!AR$126:AR$150))*OV_V*INDEX(IdxOV_V,1,MIN(10,AR$173)))*(1+V_dMat)/(1-V_Merma)</f>
        <v>76141.33275</v>
      </c>
      <c r="AS231" s="48" t="n">
        <f aca="false">SUMPRODUCT(AS177:AS201,(40&gt;Corte)*(40&lt;=Corte+n_Ventana)*ISNUMBER(Detalle_24m!AS$126:AS$150)*Detalle_24m!AS$126:AS$150+(1-(40&gt;Corte)*(40&lt;=Corte+n_Ventana)*ISNUMBER(Detalle_24m!AS$126:AS$150))*OV_V*INDEX(IdxOV_V,1,MIN(10,AS$173)))*(1+V_dMat)/(1-V_Merma)</f>
        <v>76141.33275</v>
      </c>
      <c r="AT231" s="48" t="n">
        <f aca="false">SUMPRODUCT(AT177:AT201,(41&gt;Corte)*(41&lt;=Corte+n_Ventana)*ISNUMBER(Detalle_24m!AT$126:AT$150)*Detalle_24m!AT$126:AT$150+(1-(41&gt;Corte)*(41&lt;=Corte+n_Ventana)*ISNUMBER(Detalle_24m!AT$126:AT$150))*OV_V*INDEX(IdxOV_V,1,MIN(10,AT$173)))*(1+V_dMat)/(1-V_Merma)</f>
        <v>76141.33275</v>
      </c>
      <c r="AU231" s="48" t="n">
        <f aca="false">SUMPRODUCT(AU177:AU201,(42&gt;Corte)*(42&lt;=Corte+n_Ventana)*ISNUMBER(Detalle_24m!AU$126:AU$150)*Detalle_24m!AU$126:AU$150+(1-(42&gt;Corte)*(42&lt;=Corte+n_Ventana)*ISNUMBER(Detalle_24m!AU$126:AU$150))*OV_V*INDEX(IdxOV_V,1,MIN(10,AU$173)))*(1+V_dMat)/(1-V_Merma)</f>
        <v>76141.33275</v>
      </c>
      <c r="AV231" s="48" t="n">
        <f aca="false">SUMPRODUCT(AV177:AV201,(43&gt;Corte)*(43&lt;=Corte+n_Ventana)*ISNUMBER(Detalle_24m!AV$126:AV$150)*Detalle_24m!AV$126:AV$150+(1-(43&gt;Corte)*(43&lt;=Corte+n_Ventana)*ISNUMBER(Detalle_24m!AV$126:AV$150))*OV_V*INDEX(IdxOV_V,1,MIN(10,AV$173)))*(1+V_dMat)/(1-V_Merma)</f>
        <v>76141.33275</v>
      </c>
      <c r="AW231" s="48" t="n">
        <f aca="false">SUMPRODUCT(AW177:AW201,(44&gt;Corte)*(44&lt;=Corte+n_Ventana)*ISNUMBER(Detalle_24m!AW$126:AW$150)*Detalle_24m!AW$126:AW$150+(1-(44&gt;Corte)*(44&lt;=Corte+n_Ventana)*ISNUMBER(Detalle_24m!AW$126:AW$150))*OV_V*INDEX(IdxOV_V,1,MIN(10,AW$173)))*(1+V_dMat)/(1-V_Merma)</f>
        <v>76141.33275</v>
      </c>
      <c r="AX231" s="48" t="n">
        <f aca="false">SUMPRODUCT(AX177:AX201,(45&gt;Corte)*(45&lt;=Corte+n_Ventana)*ISNUMBER(Detalle_24m!AX$126:AX$150)*Detalle_24m!AX$126:AX$150+(1-(45&gt;Corte)*(45&lt;=Corte+n_Ventana)*ISNUMBER(Detalle_24m!AX$126:AX$150))*OV_V*INDEX(IdxOV_V,1,MIN(10,AX$173)))*(1+V_dMat)/(1-V_Merma)</f>
        <v>76141.33275</v>
      </c>
      <c r="AY231" s="48" t="n">
        <f aca="false">SUMPRODUCT(AY177:AY201,(46&gt;Corte)*(46&lt;=Corte+n_Ventana)*ISNUMBER(Detalle_24m!AY$126:AY$150)*Detalle_24m!AY$126:AY$150+(1-(46&gt;Corte)*(46&lt;=Corte+n_Ventana)*ISNUMBER(Detalle_24m!AY$126:AY$150))*OV_V*INDEX(IdxOV_V,1,MIN(10,AY$173)))*(1+V_dMat)/(1-V_Merma)</f>
        <v>76141.33275</v>
      </c>
      <c r="AZ231" s="48" t="n">
        <f aca="false">SUMPRODUCT(AZ177:AZ201,(47&gt;Corte)*(47&lt;=Corte+n_Ventana)*ISNUMBER(Detalle_24m!AZ$126:AZ$150)*Detalle_24m!AZ$126:AZ$150+(1-(47&gt;Corte)*(47&lt;=Corte+n_Ventana)*ISNUMBER(Detalle_24m!AZ$126:AZ$150))*OV_V*INDEX(IdxOV_V,1,MIN(10,AZ$173)))*(1+V_dMat)/(1-V_Merma)</f>
        <v>76141.33275</v>
      </c>
      <c r="BA231" s="48" t="n">
        <f aca="false">SUMPRODUCT(BA177:BA201,(48&gt;Corte)*(48&lt;=Corte+n_Ventana)*ISNUMBER(Detalle_24m!BA$126:BA$150)*Detalle_24m!BA$126:BA$150+(1-(48&gt;Corte)*(48&lt;=Corte+n_Ventana)*ISNUMBER(Detalle_24m!BA$126:BA$150))*OV_V*INDEX(IdxOV_V,1,MIN(10,BA$173)))*(1+V_dMat)/(1-V_Merma)</f>
        <v>76141.33275</v>
      </c>
      <c r="BB231" s="48" t="n">
        <f aca="false">SUMPRODUCT(BB177:BB201,(49&gt;Corte)*(49&lt;=Corte+n_Ventana)*ISNUMBER(Detalle_24m!BB$126:BB$150)*Detalle_24m!BB$126:BB$150+(1-(49&gt;Corte)*(49&lt;=Corte+n_Ventana)*ISNUMBER(Detalle_24m!BB$126:BB$150))*OV_V*INDEX(IdxOV_V,1,MIN(10,BB$173)))*(1+V_dMat)/(1-V_Merma)</f>
        <v>76141.33275</v>
      </c>
      <c r="BC231" s="48" t="n">
        <f aca="false">SUMPRODUCT(BC177:BC201,(50&gt;Corte)*(50&lt;=Corte+n_Ventana)*ISNUMBER(Detalle_24m!BC$126:BC$150)*Detalle_24m!BC$126:BC$150+(1-(50&gt;Corte)*(50&lt;=Corte+n_Ventana)*ISNUMBER(Detalle_24m!BC$126:BC$150))*OV_V*INDEX(IdxOV_V,1,MIN(10,BC$173)))*(1+V_dMat)/(1-V_Merma)</f>
        <v>76141.33275</v>
      </c>
      <c r="BD231" s="48" t="n">
        <f aca="false">SUMPRODUCT(BD177:BD201,(51&gt;Corte)*(51&lt;=Corte+n_Ventana)*ISNUMBER(Detalle_24m!BD$126:BD$150)*Detalle_24m!BD$126:BD$150+(1-(51&gt;Corte)*(51&lt;=Corte+n_Ventana)*ISNUMBER(Detalle_24m!BD$126:BD$150))*OV_V*INDEX(IdxOV_V,1,MIN(10,BD$173)))*(1+V_dMat)/(1-V_Merma)</f>
        <v>76141.33275</v>
      </c>
      <c r="BE231" s="48" t="n">
        <f aca="false">SUMPRODUCT(BE177:BE201,(52&gt;Corte)*(52&lt;=Corte+n_Ventana)*ISNUMBER(Detalle_24m!BE$126:BE$150)*Detalle_24m!BE$126:BE$150+(1-(52&gt;Corte)*(52&lt;=Corte+n_Ventana)*ISNUMBER(Detalle_24m!BE$126:BE$150))*OV_V*INDEX(IdxOV_V,1,MIN(10,BE$173)))*(1+V_dMat)/(1-V_Merma)</f>
        <v>76141.33275</v>
      </c>
      <c r="BF231" s="48" t="n">
        <f aca="false">SUMPRODUCT(BF177:BF201,(53&gt;Corte)*(53&lt;=Corte+n_Ventana)*ISNUMBER(Detalle_24m!BF$126:BF$150)*Detalle_24m!BF$126:BF$150+(1-(53&gt;Corte)*(53&lt;=Corte+n_Ventana)*ISNUMBER(Detalle_24m!BF$126:BF$150))*OV_V*INDEX(IdxOV_V,1,MIN(10,BF$173)))*(1+V_dMat)/(1-V_Merma)</f>
        <v>76141.33275</v>
      </c>
      <c r="BG231" s="48" t="n">
        <f aca="false">SUMPRODUCT(BG177:BG201,(54&gt;Corte)*(54&lt;=Corte+n_Ventana)*ISNUMBER(Detalle_24m!BG$126:BG$150)*Detalle_24m!BG$126:BG$150+(1-(54&gt;Corte)*(54&lt;=Corte+n_Ventana)*ISNUMBER(Detalle_24m!BG$126:BG$150))*OV_V*INDEX(IdxOV_V,1,MIN(10,BG$173)))*(1+V_dMat)/(1-V_Merma)</f>
        <v>76141.33275</v>
      </c>
      <c r="BH231" s="48" t="n">
        <f aca="false">SUMPRODUCT(BH177:BH201,(55&gt;Corte)*(55&lt;=Corte+n_Ventana)*ISNUMBER(Detalle_24m!BH$126:BH$150)*Detalle_24m!BH$126:BH$150+(1-(55&gt;Corte)*(55&lt;=Corte+n_Ventana)*ISNUMBER(Detalle_24m!BH$126:BH$150))*OV_V*INDEX(IdxOV_V,1,MIN(10,BH$173)))*(1+V_dMat)/(1-V_Merma)</f>
        <v>76141.33275</v>
      </c>
      <c r="BI231" s="48" t="n">
        <f aca="false">SUMPRODUCT(BI177:BI201,(56&gt;Corte)*(56&lt;=Corte+n_Ventana)*ISNUMBER(Detalle_24m!BI$126:BI$150)*Detalle_24m!BI$126:BI$150+(1-(56&gt;Corte)*(56&lt;=Corte+n_Ventana)*ISNUMBER(Detalle_24m!BI$126:BI$150))*OV_V*INDEX(IdxOV_V,1,MIN(10,BI$173)))*(1+V_dMat)/(1-V_Merma)</f>
        <v>76141.33275</v>
      </c>
      <c r="BJ231" s="48" t="n">
        <f aca="false">SUMPRODUCT(BJ177:BJ201,(57&gt;Corte)*(57&lt;=Corte+n_Ventana)*ISNUMBER(Detalle_24m!BJ$126:BJ$150)*Detalle_24m!BJ$126:BJ$150+(1-(57&gt;Corte)*(57&lt;=Corte+n_Ventana)*ISNUMBER(Detalle_24m!BJ$126:BJ$150))*OV_V*INDEX(IdxOV_V,1,MIN(10,BJ$173)))*(1+V_dMat)/(1-V_Merma)</f>
        <v>76141.33275</v>
      </c>
      <c r="BK231" s="48" t="n">
        <f aca="false">SUMPRODUCT(BK177:BK201,(58&gt;Corte)*(58&lt;=Corte+n_Ventana)*ISNUMBER(Detalle_24m!BK$126:BK$150)*Detalle_24m!BK$126:BK$150+(1-(58&gt;Corte)*(58&lt;=Corte+n_Ventana)*ISNUMBER(Detalle_24m!BK$126:BK$150))*OV_V*INDEX(IdxOV_V,1,MIN(10,BK$173)))*(1+V_dMat)/(1-V_Merma)</f>
        <v>76141.33275</v>
      </c>
      <c r="BL231" s="48" t="n">
        <f aca="false">SUMPRODUCT(BL177:BL201,(59&gt;Corte)*(59&lt;=Corte+n_Ventana)*ISNUMBER(Detalle_24m!BL$126:BL$150)*Detalle_24m!BL$126:BL$150+(1-(59&gt;Corte)*(59&lt;=Corte+n_Ventana)*ISNUMBER(Detalle_24m!BL$126:BL$150))*OV_V*INDEX(IdxOV_V,1,MIN(10,BL$173)))*(1+V_dMat)/(1-V_Merma)</f>
        <v>76141.33275</v>
      </c>
      <c r="BM231" s="48" t="n">
        <f aca="false">SUMPRODUCT(BM177:BM201,(60&gt;Corte)*(60&lt;=Corte+n_Ventana)*ISNUMBER(Detalle_24m!BM$126:BM$150)*Detalle_24m!BM$126:BM$150+(1-(60&gt;Corte)*(60&lt;=Corte+n_Ventana)*ISNUMBER(Detalle_24m!BM$126:BM$150))*OV_V*INDEX(IdxOV_V,1,MIN(10,BM$173)))*(1+V_dMat)/(1-V_Merma)</f>
        <v>76141.33275</v>
      </c>
      <c r="BN231" s="48" t="n">
        <f aca="false">SUMPRODUCT(BN177:BN201,(61&gt;Corte)*(61&lt;=Corte+n_Ventana)*ISNUMBER(Detalle_24m!BN$126:BN$150)*Detalle_24m!BN$126:BN$150+(1-(61&gt;Corte)*(61&lt;=Corte+n_Ventana)*ISNUMBER(Detalle_24m!BN$126:BN$150))*OV_V*INDEX(IdxOV_V,1,MIN(10,BN$173)))*(1+V_dMat)/(1-V_Merma)</f>
        <v>76141.33275</v>
      </c>
      <c r="BO231" s="48" t="n">
        <f aca="false">SUMPRODUCT(BO177:BO201,(62&gt;Corte)*(62&lt;=Corte+n_Ventana)*ISNUMBER(Detalle_24m!BO$126:BO$150)*Detalle_24m!BO$126:BO$150+(1-(62&gt;Corte)*(62&lt;=Corte+n_Ventana)*ISNUMBER(Detalle_24m!BO$126:BO$150))*OV_V*INDEX(IdxOV_V,1,MIN(10,BO$173)))*(1+V_dMat)/(1-V_Merma)</f>
        <v>76141.33275</v>
      </c>
      <c r="BP231" s="48" t="n">
        <f aca="false">SUMPRODUCT(BP177:BP201,(63&gt;Corte)*(63&lt;=Corte+n_Ventana)*ISNUMBER(Detalle_24m!BP$126:BP$150)*Detalle_24m!BP$126:BP$150+(1-(63&gt;Corte)*(63&lt;=Corte+n_Ventana)*ISNUMBER(Detalle_24m!BP$126:BP$150))*OV_V*INDEX(IdxOV_V,1,MIN(10,BP$173)))*(1+V_dMat)/(1-V_Merma)</f>
        <v>76141.33275</v>
      </c>
      <c r="BQ231" s="48" t="n">
        <f aca="false">SUMPRODUCT(BQ177:BQ201,(64&gt;Corte)*(64&lt;=Corte+n_Ventana)*ISNUMBER(Detalle_24m!BQ$126:BQ$150)*Detalle_24m!BQ$126:BQ$150+(1-(64&gt;Corte)*(64&lt;=Corte+n_Ventana)*ISNUMBER(Detalle_24m!BQ$126:BQ$150))*OV_V*INDEX(IdxOV_V,1,MIN(10,BQ$173)))*(1+V_dMat)/(1-V_Merma)</f>
        <v>76141.33275</v>
      </c>
      <c r="BR231" s="48" t="n">
        <f aca="false">SUMPRODUCT(BR177:BR201,(65&gt;Corte)*(65&lt;=Corte+n_Ventana)*ISNUMBER(Detalle_24m!BR$126:BR$150)*Detalle_24m!BR$126:BR$150+(1-(65&gt;Corte)*(65&lt;=Corte+n_Ventana)*ISNUMBER(Detalle_24m!BR$126:BR$150))*OV_V*INDEX(IdxOV_V,1,MIN(10,BR$173)))*(1+V_dMat)/(1-V_Merma)</f>
        <v>76141.33275</v>
      </c>
      <c r="BS231" s="48" t="n">
        <f aca="false">SUMPRODUCT(BS177:BS201,(66&gt;Corte)*(66&lt;=Corte+n_Ventana)*ISNUMBER(Detalle_24m!BS$126:BS$150)*Detalle_24m!BS$126:BS$150+(1-(66&gt;Corte)*(66&lt;=Corte+n_Ventana)*ISNUMBER(Detalle_24m!BS$126:BS$150))*OV_V*INDEX(IdxOV_V,1,MIN(10,BS$173)))*(1+V_dMat)/(1-V_Merma)</f>
        <v>76141.33275</v>
      </c>
      <c r="BT231" s="48" t="n">
        <f aca="false">SUMPRODUCT(BT177:BT201,(67&gt;Corte)*(67&lt;=Corte+n_Ventana)*ISNUMBER(Detalle_24m!BT$126:BT$150)*Detalle_24m!BT$126:BT$150+(1-(67&gt;Corte)*(67&lt;=Corte+n_Ventana)*ISNUMBER(Detalle_24m!BT$126:BT$150))*OV_V*INDEX(IdxOV_V,1,MIN(10,BT$173)))*(1+V_dMat)/(1-V_Merma)</f>
        <v>76141.33275</v>
      </c>
      <c r="BU231" s="48" t="n">
        <f aca="false">SUMPRODUCT(BU177:BU201,(68&gt;Corte)*(68&lt;=Corte+n_Ventana)*ISNUMBER(Detalle_24m!BU$126:BU$150)*Detalle_24m!BU$126:BU$150+(1-(68&gt;Corte)*(68&lt;=Corte+n_Ventana)*ISNUMBER(Detalle_24m!BU$126:BU$150))*OV_V*INDEX(IdxOV_V,1,MIN(10,BU$173)))*(1+V_dMat)/(1-V_Merma)</f>
        <v>76141.33275</v>
      </c>
      <c r="BV231" s="48" t="n">
        <f aca="false">SUMPRODUCT(BV177:BV201,(69&gt;Corte)*(69&lt;=Corte+n_Ventana)*ISNUMBER(Detalle_24m!BV$126:BV$150)*Detalle_24m!BV$126:BV$150+(1-(69&gt;Corte)*(69&lt;=Corte+n_Ventana)*ISNUMBER(Detalle_24m!BV$126:BV$150))*OV_V*INDEX(IdxOV_V,1,MIN(10,BV$173)))*(1+V_dMat)/(1-V_Merma)</f>
        <v>76141.33275</v>
      </c>
      <c r="BW231" s="48" t="n">
        <f aca="false">SUMPRODUCT(BW177:BW201,(70&gt;Corte)*(70&lt;=Corte+n_Ventana)*ISNUMBER(Detalle_24m!BW$126:BW$150)*Detalle_24m!BW$126:BW$150+(1-(70&gt;Corte)*(70&lt;=Corte+n_Ventana)*ISNUMBER(Detalle_24m!BW$126:BW$150))*OV_V*INDEX(IdxOV_V,1,MIN(10,BW$173)))*(1+V_dMat)/(1-V_Merma)</f>
        <v>76141.33275</v>
      </c>
      <c r="BX231" s="48" t="n">
        <f aca="false">SUMPRODUCT(BX177:BX201,(71&gt;Corte)*(71&lt;=Corte+n_Ventana)*ISNUMBER(Detalle_24m!BX$126:BX$150)*Detalle_24m!BX$126:BX$150+(1-(71&gt;Corte)*(71&lt;=Corte+n_Ventana)*ISNUMBER(Detalle_24m!BX$126:BX$150))*OV_V*INDEX(IdxOV_V,1,MIN(10,BX$173)))*(1+V_dMat)/(1-V_Merma)</f>
        <v>76141.33275</v>
      </c>
      <c r="BY231" s="48" t="n">
        <f aca="false">SUMPRODUCT(BY177:BY201,(72&gt;Corte)*(72&lt;=Corte+n_Ventana)*ISNUMBER(Detalle_24m!BY$126:BY$150)*Detalle_24m!BY$126:BY$150+(1-(72&gt;Corte)*(72&lt;=Corte+n_Ventana)*ISNUMBER(Detalle_24m!BY$126:BY$150))*OV_V*INDEX(IdxOV_V,1,MIN(10,BY$173)))*(1+V_dMat)/(1-V_Merma)</f>
        <v>76141.33275</v>
      </c>
      <c r="BZ231" s="48" t="n">
        <f aca="false">SUMPRODUCT(BZ177:BZ201,(73&gt;Corte)*(73&lt;=Corte+n_Ventana)*ISNUMBER(Detalle_24m!BZ$126:BZ$150)*Detalle_24m!BZ$126:BZ$150+(1-(73&gt;Corte)*(73&lt;=Corte+n_Ventana)*ISNUMBER(Detalle_24m!BZ$126:BZ$150))*OV_V*INDEX(IdxOV_V,1,MIN(10,BZ$173)))*(1+V_dMat)/(1-V_Merma)</f>
        <v>76141.33275</v>
      </c>
      <c r="CA231" s="48" t="n">
        <f aca="false">SUMPRODUCT(CA177:CA201,(74&gt;Corte)*(74&lt;=Corte+n_Ventana)*ISNUMBER(Detalle_24m!CA$126:CA$150)*Detalle_24m!CA$126:CA$150+(1-(74&gt;Corte)*(74&lt;=Corte+n_Ventana)*ISNUMBER(Detalle_24m!CA$126:CA$150))*OV_V*INDEX(IdxOV_V,1,MIN(10,CA$173)))*(1+V_dMat)/(1-V_Merma)</f>
        <v>76141.33275</v>
      </c>
      <c r="CB231" s="48" t="n">
        <f aca="false">SUMPRODUCT(CB177:CB201,(75&gt;Corte)*(75&lt;=Corte+n_Ventana)*ISNUMBER(Detalle_24m!CB$126:CB$150)*Detalle_24m!CB$126:CB$150+(1-(75&gt;Corte)*(75&lt;=Corte+n_Ventana)*ISNUMBER(Detalle_24m!CB$126:CB$150))*OV_V*INDEX(IdxOV_V,1,MIN(10,CB$173)))*(1+V_dMat)/(1-V_Merma)</f>
        <v>76141.33275</v>
      </c>
      <c r="CC231" s="48" t="n">
        <f aca="false">SUMPRODUCT(CC177:CC201,(76&gt;Corte)*(76&lt;=Corte+n_Ventana)*ISNUMBER(Detalle_24m!CC$126:CC$150)*Detalle_24m!CC$126:CC$150+(1-(76&gt;Corte)*(76&lt;=Corte+n_Ventana)*ISNUMBER(Detalle_24m!CC$126:CC$150))*OV_V*INDEX(IdxOV_V,1,MIN(10,CC$173)))*(1+V_dMat)/(1-V_Merma)</f>
        <v>76141.33275</v>
      </c>
      <c r="CD231" s="48" t="n">
        <f aca="false">SUMPRODUCT(CD177:CD201,(77&gt;Corte)*(77&lt;=Corte+n_Ventana)*ISNUMBER(Detalle_24m!CD$126:CD$150)*Detalle_24m!CD$126:CD$150+(1-(77&gt;Corte)*(77&lt;=Corte+n_Ventana)*ISNUMBER(Detalle_24m!CD$126:CD$150))*OV_V*INDEX(IdxOV_V,1,MIN(10,CD$173)))*(1+V_dMat)/(1-V_Merma)</f>
        <v>76141.33275</v>
      </c>
      <c r="CE231" s="48" t="n">
        <f aca="false">SUMPRODUCT(CE177:CE201,(78&gt;Corte)*(78&lt;=Corte+n_Ventana)*ISNUMBER(Detalle_24m!CE$126:CE$150)*Detalle_24m!CE$126:CE$150+(1-(78&gt;Corte)*(78&lt;=Corte+n_Ventana)*ISNUMBER(Detalle_24m!CE$126:CE$150))*OV_V*INDEX(IdxOV_V,1,MIN(10,CE$173)))*(1+V_dMat)/(1-V_Merma)</f>
        <v>76141.33275</v>
      </c>
      <c r="CF231" s="48" t="n">
        <f aca="false">SUMPRODUCT(CF177:CF201,(79&gt;Corte)*(79&lt;=Corte+n_Ventana)*ISNUMBER(Detalle_24m!CF$126:CF$150)*Detalle_24m!CF$126:CF$150+(1-(79&gt;Corte)*(79&lt;=Corte+n_Ventana)*ISNUMBER(Detalle_24m!CF$126:CF$150))*OV_V*INDEX(IdxOV_V,1,MIN(10,CF$173)))*(1+V_dMat)/(1-V_Merma)</f>
        <v>76141.33275</v>
      </c>
      <c r="CG231" s="48" t="n">
        <f aca="false">SUMPRODUCT(CG177:CG201,(80&gt;Corte)*(80&lt;=Corte+n_Ventana)*ISNUMBER(Detalle_24m!CG$126:CG$150)*Detalle_24m!CG$126:CG$150+(1-(80&gt;Corte)*(80&lt;=Corte+n_Ventana)*ISNUMBER(Detalle_24m!CG$126:CG$150))*OV_V*INDEX(IdxOV_V,1,MIN(10,CG$173)))*(1+V_dMat)/(1-V_Merma)</f>
        <v>76141.33275</v>
      </c>
      <c r="CH231" s="48" t="n">
        <f aca="false">SUMPRODUCT(CH177:CH201,(81&gt;Corte)*(81&lt;=Corte+n_Ventana)*ISNUMBER(Detalle_24m!CH$126:CH$150)*Detalle_24m!CH$126:CH$150+(1-(81&gt;Corte)*(81&lt;=Corte+n_Ventana)*ISNUMBER(Detalle_24m!CH$126:CH$150))*OV_V*INDEX(IdxOV_V,1,MIN(10,CH$173)))*(1+V_dMat)/(1-V_Merma)</f>
        <v>76141.33275</v>
      </c>
      <c r="CI231" s="48" t="n">
        <f aca="false">SUMPRODUCT(CI177:CI201,(82&gt;Corte)*(82&lt;=Corte+n_Ventana)*ISNUMBER(Detalle_24m!CI$126:CI$150)*Detalle_24m!CI$126:CI$150+(1-(82&gt;Corte)*(82&lt;=Corte+n_Ventana)*ISNUMBER(Detalle_24m!CI$126:CI$150))*OV_V*INDEX(IdxOV_V,1,MIN(10,CI$173)))*(1+V_dMat)/(1-V_Merma)</f>
        <v>76141.33275</v>
      </c>
      <c r="CJ231" s="48" t="n">
        <f aca="false">SUMPRODUCT(CJ177:CJ201,(83&gt;Corte)*(83&lt;=Corte+n_Ventana)*ISNUMBER(Detalle_24m!CJ$126:CJ$150)*Detalle_24m!CJ$126:CJ$150+(1-(83&gt;Corte)*(83&lt;=Corte+n_Ventana)*ISNUMBER(Detalle_24m!CJ$126:CJ$150))*OV_V*INDEX(IdxOV_V,1,MIN(10,CJ$173)))*(1+V_dMat)/(1-V_Merma)</f>
        <v>76141.33275</v>
      </c>
      <c r="CK231" s="48" t="n">
        <f aca="false">SUMPRODUCT(CK177:CK201,(84&gt;Corte)*(84&lt;=Corte+n_Ventana)*ISNUMBER(Detalle_24m!CK$126:CK$150)*Detalle_24m!CK$126:CK$150+(1-(84&gt;Corte)*(84&lt;=Corte+n_Ventana)*ISNUMBER(Detalle_24m!CK$126:CK$150))*OV_V*INDEX(IdxOV_V,1,MIN(10,CK$173)))*(1+V_dMat)/(1-V_Merma)</f>
        <v>76141.33275</v>
      </c>
      <c r="CL231" s="48" t="n">
        <f aca="false">SUMPRODUCT(CL177:CL201,(85&gt;Corte)*(85&lt;=Corte+n_Ventana)*ISNUMBER(Detalle_24m!CL$126:CL$150)*Detalle_24m!CL$126:CL$150+(1-(85&gt;Corte)*(85&lt;=Corte+n_Ventana)*ISNUMBER(Detalle_24m!CL$126:CL$150))*OV_V*INDEX(IdxOV_V,1,MIN(10,CL$173)))*(1+V_dMat)/(1-V_Merma)</f>
        <v>76141.33275</v>
      </c>
      <c r="CM231" s="48" t="n">
        <f aca="false">SUMPRODUCT(CM177:CM201,(86&gt;Corte)*(86&lt;=Corte+n_Ventana)*ISNUMBER(Detalle_24m!CM$126:CM$150)*Detalle_24m!CM$126:CM$150+(1-(86&gt;Corte)*(86&lt;=Corte+n_Ventana)*ISNUMBER(Detalle_24m!CM$126:CM$150))*OV_V*INDEX(IdxOV_V,1,MIN(10,CM$173)))*(1+V_dMat)/(1-V_Merma)</f>
        <v>76141.33275</v>
      </c>
      <c r="CN231" s="48" t="n">
        <f aca="false">SUMPRODUCT(CN177:CN201,(87&gt;Corte)*(87&lt;=Corte+n_Ventana)*ISNUMBER(Detalle_24m!CN$126:CN$150)*Detalle_24m!CN$126:CN$150+(1-(87&gt;Corte)*(87&lt;=Corte+n_Ventana)*ISNUMBER(Detalle_24m!CN$126:CN$150))*OV_V*INDEX(IdxOV_V,1,MIN(10,CN$173)))*(1+V_dMat)/(1-V_Merma)</f>
        <v>76141.33275</v>
      </c>
      <c r="CO231" s="48" t="n">
        <f aca="false">SUMPRODUCT(CO177:CO201,(88&gt;Corte)*(88&lt;=Corte+n_Ventana)*ISNUMBER(Detalle_24m!CO$126:CO$150)*Detalle_24m!CO$126:CO$150+(1-(88&gt;Corte)*(88&lt;=Corte+n_Ventana)*ISNUMBER(Detalle_24m!CO$126:CO$150))*OV_V*INDEX(IdxOV_V,1,MIN(10,CO$173)))*(1+V_dMat)/(1-V_Merma)</f>
        <v>76141.33275</v>
      </c>
      <c r="CP231" s="48" t="n">
        <f aca="false">SUMPRODUCT(CP177:CP201,(89&gt;Corte)*(89&lt;=Corte+n_Ventana)*ISNUMBER(Detalle_24m!CP$126:CP$150)*Detalle_24m!CP$126:CP$150+(1-(89&gt;Corte)*(89&lt;=Corte+n_Ventana)*ISNUMBER(Detalle_24m!CP$126:CP$150))*OV_V*INDEX(IdxOV_V,1,MIN(10,CP$173)))*(1+V_dMat)/(1-V_Merma)</f>
        <v>76141.33275</v>
      </c>
      <c r="CQ231" s="48" t="n">
        <f aca="false">SUMPRODUCT(CQ177:CQ201,(90&gt;Corte)*(90&lt;=Corte+n_Ventana)*ISNUMBER(Detalle_24m!CQ$126:CQ$150)*Detalle_24m!CQ$126:CQ$150+(1-(90&gt;Corte)*(90&lt;=Corte+n_Ventana)*ISNUMBER(Detalle_24m!CQ$126:CQ$150))*OV_V*INDEX(IdxOV_V,1,MIN(10,CQ$173)))*(1+V_dMat)/(1-V_Merma)</f>
        <v>76141.33275</v>
      </c>
      <c r="CR231" s="48" t="n">
        <f aca="false">SUMPRODUCT(CR177:CR201,(91&gt;Corte)*(91&lt;=Corte+n_Ventana)*ISNUMBER(Detalle_24m!CR$126:CR$150)*Detalle_24m!CR$126:CR$150+(1-(91&gt;Corte)*(91&lt;=Corte+n_Ventana)*ISNUMBER(Detalle_24m!CR$126:CR$150))*OV_V*INDEX(IdxOV_V,1,MIN(10,CR$173)))*(1+V_dMat)/(1-V_Merma)</f>
        <v>76141.33275</v>
      </c>
      <c r="CS231" s="48" t="n">
        <f aca="false">SUMPRODUCT(CS177:CS201,(92&gt;Corte)*(92&lt;=Corte+n_Ventana)*ISNUMBER(Detalle_24m!CS$126:CS$150)*Detalle_24m!CS$126:CS$150+(1-(92&gt;Corte)*(92&lt;=Corte+n_Ventana)*ISNUMBER(Detalle_24m!CS$126:CS$150))*OV_V*INDEX(IdxOV_V,1,MIN(10,CS$173)))*(1+V_dMat)/(1-V_Merma)</f>
        <v>76141.33275</v>
      </c>
      <c r="CT231" s="48" t="n">
        <f aca="false">SUMPRODUCT(CT177:CT201,(93&gt;Corte)*(93&lt;=Corte+n_Ventana)*ISNUMBER(Detalle_24m!CT$126:CT$150)*Detalle_24m!CT$126:CT$150+(1-(93&gt;Corte)*(93&lt;=Corte+n_Ventana)*ISNUMBER(Detalle_24m!CT$126:CT$150))*OV_V*INDEX(IdxOV_V,1,MIN(10,CT$173)))*(1+V_dMat)/(1-V_Merma)</f>
        <v>76141.33275</v>
      </c>
      <c r="CU231" s="48" t="n">
        <f aca="false">SUMPRODUCT(CU177:CU201,(94&gt;Corte)*(94&lt;=Corte+n_Ventana)*ISNUMBER(Detalle_24m!CU$126:CU$150)*Detalle_24m!CU$126:CU$150+(1-(94&gt;Corte)*(94&lt;=Corte+n_Ventana)*ISNUMBER(Detalle_24m!CU$126:CU$150))*OV_V*INDEX(IdxOV_V,1,MIN(10,CU$173)))*(1+V_dMat)/(1-V_Merma)</f>
        <v>76141.33275</v>
      </c>
      <c r="CV231" s="48" t="n">
        <f aca="false">SUMPRODUCT(CV177:CV201,(95&gt;Corte)*(95&lt;=Corte+n_Ventana)*ISNUMBER(Detalle_24m!CV$126:CV$150)*Detalle_24m!CV$126:CV$150+(1-(95&gt;Corte)*(95&lt;=Corte+n_Ventana)*ISNUMBER(Detalle_24m!CV$126:CV$150))*OV_V*INDEX(IdxOV_V,1,MIN(10,CV$173)))*(1+V_dMat)/(1-V_Merma)</f>
        <v>76141.33275</v>
      </c>
      <c r="CW231" s="48" t="n">
        <f aca="false">SUMPRODUCT(CW177:CW201,(96&gt;Corte)*(96&lt;=Corte+n_Ventana)*ISNUMBER(Detalle_24m!CW$126:CW$150)*Detalle_24m!CW$126:CW$150+(1-(96&gt;Corte)*(96&lt;=Corte+n_Ventana)*ISNUMBER(Detalle_24m!CW$126:CW$150))*OV_V*INDEX(IdxOV_V,1,MIN(10,CW$173)))*(1+V_dMat)/(1-V_Merma)</f>
        <v>76141.33275</v>
      </c>
      <c r="CX231" s="48" t="n">
        <f aca="false">SUMPRODUCT(CX177:CX201,(97&gt;Corte)*(97&lt;=Corte+n_Ventana)*ISNUMBER(Detalle_24m!CX$126:CX$150)*Detalle_24m!CX$126:CX$150+(1-(97&gt;Corte)*(97&lt;=Corte+n_Ventana)*ISNUMBER(Detalle_24m!CX$126:CX$150))*OV_V*INDEX(IdxOV_V,1,MIN(10,CX$173)))*(1+V_dMat)/(1-V_Merma)</f>
        <v>76141.33275</v>
      </c>
      <c r="CY231" s="48" t="n">
        <f aca="false">SUMPRODUCT(CY177:CY201,(98&gt;Corte)*(98&lt;=Corte+n_Ventana)*ISNUMBER(Detalle_24m!CY$126:CY$150)*Detalle_24m!CY$126:CY$150+(1-(98&gt;Corte)*(98&lt;=Corte+n_Ventana)*ISNUMBER(Detalle_24m!CY$126:CY$150))*OV_V*INDEX(IdxOV_V,1,MIN(10,CY$173)))*(1+V_dMat)/(1-V_Merma)</f>
        <v>76141.33275</v>
      </c>
      <c r="CZ231" s="48" t="n">
        <f aca="false">SUMPRODUCT(CZ177:CZ201,(99&gt;Corte)*(99&lt;=Corte+n_Ventana)*ISNUMBER(Detalle_24m!CZ$126:CZ$150)*Detalle_24m!CZ$126:CZ$150+(1-(99&gt;Corte)*(99&lt;=Corte+n_Ventana)*ISNUMBER(Detalle_24m!CZ$126:CZ$150))*OV_V*INDEX(IdxOV_V,1,MIN(10,CZ$173)))*(1+V_dMat)/(1-V_Merma)</f>
        <v>76141.33275</v>
      </c>
      <c r="DA231" s="48" t="n">
        <f aca="false">SUMPRODUCT(DA177:DA201,(100&gt;Corte)*(100&lt;=Corte+n_Ventana)*ISNUMBER(Detalle_24m!DA$126:DA$150)*Detalle_24m!DA$126:DA$150+(1-(100&gt;Corte)*(100&lt;=Corte+n_Ventana)*ISNUMBER(Detalle_24m!DA$126:DA$150))*OV_V*INDEX(IdxOV_V,1,MIN(10,DA$173)))*(1+V_dMat)/(1-V_Merma)</f>
        <v>76141.33275</v>
      </c>
      <c r="DB231" s="48" t="n">
        <f aca="false">SUMPRODUCT(DB177:DB201,(101&gt;Corte)*(101&lt;=Corte+n_Ventana)*ISNUMBER(Detalle_24m!DB$126:DB$150)*Detalle_24m!DB$126:DB$150+(1-(101&gt;Corte)*(101&lt;=Corte+n_Ventana)*ISNUMBER(Detalle_24m!DB$126:DB$150))*OV_V*INDEX(IdxOV_V,1,MIN(10,DB$173)))*(1+V_dMat)/(1-V_Merma)</f>
        <v>76141.33275</v>
      </c>
      <c r="DC231" s="48" t="n">
        <f aca="false">SUMPRODUCT(DC177:DC201,(102&gt;Corte)*(102&lt;=Corte+n_Ventana)*ISNUMBER(Detalle_24m!DC$126:DC$150)*Detalle_24m!DC$126:DC$150+(1-(102&gt;Corte)*(102&lt;=Corte+n_Ventana)*ISNUMBER(Detalle_24m!DC$126:DC$150))*OV_V*INDEX(IdxOV_V,1,MIN(10,DC$173)))*(1+V_dMat)/(1-V_Merma)</f>
        <v>76141.33275</v>
      </c>
      <c r="DD231" s="48" t="n">
        <f aca="false">SUMPRODUCT(DD177:DD201,(103&gt;Corte)*(103&lt;=Corte+n_Ventana)*ISNUMBER(Detalle_24m!DD$126:DD$150)*Detalle_24m!DD$126:DD$150+(1-(103&gt;Corte)*(103&lt;=Corte+n_Ventana)*ISNUMBER(Detalle_24m!DD$126:DD$150))*OV_V*INDEX(IdxOV_V,1,MIN(10,DD$173)))*(1+V_dMat)/(1-V_Merma)</f>
        <v>76141.33275</v>
      </c>
      <c r="DE231" s="48" t="n">
        <f aca="false">SUMPRODUCT(DE177:DE201,(104&gt;Corte)*(104&lt;=Corte+n_Ventana)*ISNUMBER(Detalle_24m!DE$126:DE$150)*Detalle_24m!DE$126:DE$150+(1-(104&gt;Corte)*(104&lt;=Corte+n_Ventana)*ISNUMBER(Detalle_24m!DE$126:DE$150))*OV_V*INDEX(IdxOV_V,1,MIN(10,DE$173)))*(1+V_dMat)/(1-V_Merma)</f>
        <v>76141.33275</v>
      </c>
      <c r="DF231" s="48" t="n">
        <f aca="false">SUMPRODUCT(DF177:DF201,(105&gt;Corte)*(105&lt;=Corte+n_Ventana)*ISNUMBER(Detalle_24m!DF$126:DF$150)*Detalle_24m!DF$126:DF$150+(1-(105&gt;Corte)*(105&lt;=Corte+n_Ventana)*ISNUMBER(Detalle_24m!DF$126:DF$150))*OV_V*INDEX(IdxOV_V,1,MIN(10,DF$173)))*(1+V_dMat)/(1-V_Merma)</f>
        <v>76141.33275</v>
      </c>
      <c r="DG231" s="48" t="n">
        <f aca="false">SUMPRODUCT(DG177:DG201,(106&gt;Corte)*(106&lt;=Corte+n_Ventana)*ISNUMBER(Detalle_24m!DG$126:DG$150)*Detalle_24m!DG$126:DG$150+(1-(106&gt;Corte)*(106&lt;=Corte+n_Ventana)*ISNUMBER(Detalle_24m!DG$126:DG$150))*OV_V*INDEX(IdxOV_V,1,MIN(10,DG$173)))*(1+V_dMat)/(1-V_Merma)</f>
        <v>76141.33275</v>
      </c>
      <c r="DH231" s="48" t="n">
        <f aca="false">SUMPRODUCT(DH177:DH201,(107&gt;Corte)*(107&lt;=Corte+n_Ventana)*ISNUMBER(Detalle_24m!DH$126:DH$150)*Detalle_24m!DH$126:DH$150+(1-(107&gt;Corte)*(107&lt;=Corte+n_Ventana)*ISNUMBER(Detalle_24m!DH$126:DH$150))*OV_V*INDEX(IdxOV_V,1,MIN(10,DH$173)))*(1+V_dMat)/(1-V_Merma)</f>
        <v>76141.33275</v>
      </c>
      <c r="DI231" s="48" t="n">
        <f aca="false">SUMPRODUCT(DI177:DI201,(108&gt;Corte)*(108&lt;=Corte+n_Ventana)*ISNUMBER(Detalle_24m!DI$126:DI$150)*Detalle_24m!DI$126:DI$150+(1-(108&gt;Corte)*(108&lt;=Corte+n_Ventana)*ISNUMBER(Detalle_24m!DI$126:DI$150))*OV_V*INDEX(IdxOV_V,1,MIN(10,DI$173)))*(1+V_dMat)/(1-V_Merma)</f>
        <v>76141.33275</v>
      </c>
      <c r="DJ231" s="48" t="n">
        <f aca="false">SUMPRODUCT(DJ177:DJ201,(109&gt;Corte)*(109&lt;=Corte+n_Ventana)*ISNUMBER(Detalle_24m!DJ$126:DJ$150)*Detalle_24m!DJ$126:DJ$150+(1-(109&gt;Corte)*(109&lt;=Corte+n_Ventana)*ISNUMBER(Detalle_24m!DJ$126:DJ$150))*OV_V*INDEX(IdxOV_V,1,MIN(10,DJ$173)))*(1+V_dMat)/(1-V_Merma)</f>
        <v>76141.33275</v>
      </c>
      <c r="DK231" s="48" t="n">
        <f aca="false">SUMPRODUCT(DK177:DK201,(110&gt;Corte)*(110&lt;=Corte+n_Ventana)*ISNUMBER(Detalle_24m!DK$126:DK$150)*Detalle_24m!DK$126:DK$150+(1-(110&gt;Corte)*(110&lt;=Corte+n_Ventana)*ISNUMBER(Detalle_24m!DK$126:DK$150))*OV_V*INDEX(IdxOV_V,1,MIN(10,DK$173)))*(1+V_dMat)/(1-V_Merma)</f>
        <v>76141.33275</v>
      </c>
      <c r="DL231" s="48" t="n">
        <f aca="false">SUMPRODUCT(DL177:DL201,(111&gt;Corte)*(111&lt;=Corte+n_Ventana)*ISNUMBER(Detalle_24m!DL$126:DL$150)*Detalle_24m!DL$126:DL$150+(1-(111&gt;Corte)*(111&lt;=Corte+n_Ventana)*ISNUMBER(Detalle_24m!DL$126:DL$150))*OV_V*INDEX(IdxOV_V,1,MIN(10,DL$173)))*(1+V_dMat)/(1-V_Merma)</f>
        <v>76141.33275</v>
      </c>
      <c r="DM231" s="48" t="n">
        <f aca="false">SUMPRODUCT(DM177:DM201,(112&gt;Corte)*(112&lt;=Corte+n_Ventana)*ISNUMBER(Detalle_24m!DM$126:DM$150)*Detalle_24m!DM$126:DM$150+(1-(112&gt;Corte)*(112&lt;=Corte+n_Ventana)*ISNUMBER(Detalle_24m!DM$126:DM$150))*OV_V*INDEX(IdxOV_V,1,MIN(10,DM$173)))*(1+V_dMat)/(1-V_Merma)</f>
        <v>76141.33275</v>
      </c>
      <c r="DN231" s="48" t="n">
        <f aca="false">SUMPRODUCT(DN177:DN201,(113&gt;Corte)*(113&lt;=Corte+n_Ventana)*ISNUMBER(Detalle_24m!DN$126:DN$150)*Detalle_24m!DN$126:DN$150+(1-(113&gt;Corte)*(113&lt;=Corte+n_Ventana)*ISNUMBER(Detalle_24m!DN$126:DN$150))*OV_V*INDEX(IdxOV_V,1,MIN(10,DN$173)))*(1+V_dMat)/(1-V_Merma)</f>
        <v>76141.33275</v>
      </c>
      <c r="DO231" s="48" t="n">
        <f aca="false">SUMPRODUCT(DO177:DO201,(114&gt;Corte)*(114&lt;=Corte+n_Ventana)*ISNUMBER(Detalle_24m!DO$126:DO$150)*Detalle_24m!DO$126:DO$150+(1-(114&gt;Corte)*(114&lt;=Corte+n_Ventana)*ISNUMBER(Detalle_24m!DO$126:DO$150))*OV_V*INDEX(IdxOV_V,1,MIN(10,DO$173)))*(1+V_dMat)/(1-V_Merma)</f>
        <v>76141.33275</v>
      </c>
      <c r="DP231" s="48" t="n">
        <f aca="false">SUMPRODUCT(DP177:DP201,(115&gt;Corte)*(115&lt;=Corte+n_Ventana)*ISNUMBER(Detalle_24m!DP$126:DP$150)*Detalle_24m!DP$126:DP$150+(1-(115&gt;Corte)*(115&lt;=Corte+n_Ventana)*ISNUMBER(Detalle_24m!DP$126:DP$150))*OV_V*INDEX(IdxOV_V,1,MIN(10,DP$173)))*(1+V_dMat)/(1-V_Merma)</f>
        <v>76141.33275</v>
      </c>
      <c r="DQ231" s="48" t="n">
        <f aca="false">SUMPRODUCT(DQ177:DQ201,(116&gt;Corte)*(116&lt;=Corte+n_Ventana)*ISNUMBER(Detalle_24m!DQ$126:DQ$150)*Detalle_24m!DQ$126:DQ$150+(1-(116&gt;Corte)*(116&lt;=Corte+n_Ventana)*ISNUMBER(Detalle_24m!DQ$126:DQ$150))*OV_V*INDEX(IdxOV_V,1,MIN(10,DQ$173)))*(1+V_dMat)/(1-V_Merma)</f>
        <v>76141.33275</v>
      </c>
      <c r="DR231" s="48" t="n">
        <f aca="false">SUMPRODUCT(DR177:DR201,(117&gt;Corte)*(117&lt;=Corte+n_Ventana)*ISNUMBER(Detalle_24m!DR$126:DR$150)*Detalle_24m!DR$126:DR$150+(1-(117&gt;Corte)*(117&lt;=Corte+n_Ventana)*ISNUMBER(Detalle_24m!DR$126:DR$150))*OV_V*INDEX(IdxOV_V,1,MIN(10,DR$173)))*(1+V_dMat)/(1-V_Merma)</f>
        <v>76141.33275</v>
      </c>
      <c r="DS231" s="48" t="n">
        <f aca="false">SUMPRODUCT(DS177:DS201,(118&gt;Corte)*(118&lt;=Corte+n_Ventana)*ISNUMBER(Detalle_24m!DS$126:DS$150)*Detalle_24m!DS$126:DS$150+(1-(118&gt;Corte)*(118&lt;=Corte+n_Ventana)*ISNUMBER(Detalle_24m!DS$126:DS$150))*OV_V*INDEX(IdxOV_V,1,MIN(10,DS$173)))*(1+V_dMat)/(1-V_Merma)</f>
        <v>76141.33275</v>
      </c>
      <c r="DT231" s="48" t="n">
        <f aca="false">SUMPRODUCT(DT177:DT201,(119&gt;Corte)*(119&lt;=Corte+n_Ventana)*ISNUMBER(Detalle_24m!DT$126:DT$150)*Detalle_24m!DT$126:DT$150+(1-(119&gt;Corte)*(119&lt;=Corte+n_Ventana)*ISNUMBER(Detalle_24m!DT$126:DT$150))*OV_V*INDEX(IdxOV_V,1,MIN(10,DT$173)))*(1+V_dMat)/(1-V_Merma)</f>
        <v>76141.33275</v>
      </c>
      <c r="DU231" s="48" t="n">
        <f aca="false">SUMPRODUCT(DU177:DU201,(120&gt;Corte)*(120&lt;=Corte+n_Ventana)*ISNUMBER(Detalle_24m!DU$126:DU$150)*Detalle_24m!DU$126:DU$150+(1-(120&gt;Corte)*(120&lt;=Corte+n_Ventana)*ISNUMBER(Detalle_24m!DU$126:DU$150))*OV_V*INDEX(IdxOV_V,1,MIN(10,DU$173)))*(1+V_dMat)/(1-V_Merma)</f>
        <v>76141.33275</v>
      </c>
      <c r="DV231" s="48" t="n">
        <f aca="false">SUMPRODUCT(DV177:DV201,(121&gt;Corte)*(121&lt;=Corte+n_Ventana)*ISNUMBER(Detalle_24m!DV$126:DV$150)*Detalle_24m!DV$126:DV$150+(1-(121&gt;Corte)*(121&lt;=Corte+n_Ventana)*ISNUMBER(Detalle_24m!DV$126:DV$150))*OV_V*INDEX(IdxOV_V,1,MIN(10,DV$173)))*(1+V_dMat)/(1-V_Merma)</f>
        <v>0</v>
      </c>
      <c r="DW231" s="48" t="n">
        <f aca="false">SUMPRODUCT(DW177:DW201,(122&gt;Corte)*(122&lt;=Corte+n_Ventana)*ISNUMBER(Detalle_24m!DW$126:DW$150)*Detalle_24m!DW$126:DW$150+(1-(122&gt;Corte)*(122&lt;=Corte+n_Ventana)*ISNUMBER(Detalle_24m!DW$126:DW$150))*OV_V*INDEX(IdxOV_V,1,MIN(10,DW$173)))*(1+V_dMat)/(1-V_Merma)</f>
        <v>0</v>
      </c>
      <c r="DX231" s="48" t="n">
        <f aca="false">SUMPRODUCT(DX177:DX201,(123&gt;Corte)*(123&lt;=Corte+n_Ventana)*ISNUMBER(Detalle_24m!DX$126:DX$150)*Detalle_24m!DX$126:DX$150+(1-(123&gt;Corte)*(123&lt;=Corte+n_Ventana)*ISNUMBER(Detalle_24m!DX$126:DX$150))*OV_V*INDEX(IdxOV_V,1,MIN(10,DX$173)))*(1+V_dMat)/(1-V_Merma)</f>
        <v>0</v>
      </c>
      <c r="DY231" s="48" t="n">
        <f aca="false">SUMPRODUCT(DY177:DY201,(124&gt;Corte)*(124&lt;=Corte+n_Ventana)*ISNUMBER(Detalle_24m!DY$126:DY$150)*Detalle_24m!DY$126:DY$150+(1-(124&gt;Corte)*(124&lt;=Corte+n_Ventana)*ISNUMBER(Detalle_24m!DY$126:DY$150))*OV_V*INDEX(IdxOV_V,1,MIN(10,DY$173)))*(1+V_dMat)/(1-V_Merma)</f>
        <v>0</v>
      </c>
      <c r="DZ231" s="48" t="n">
        <f aca="false">SUMPRODUCT(DZ177:DZ201,(125&gt;Corte)*(125&lt;=Corte+n_Ventana)*ISNUMBER(Detalle_24m!DZ$126:DZ$150)*Detalle_24m!DZ$126:DZ$150+(1-(125&gt;Corte)*(125&lt;=Corte+n_Ventana)*ISNUMBER(Detalle_24m!DZ$126:DZ$150))*OV_V*INDEX(IdxOV_V,1,MIN(10,DZ$173)))*(1+V_dMat)/(1-V_Merma)</f>
        <v>0</v>
      </c>
      <c r="EA231" s="48" t="n">
        <f aca="false">SUMPRODUCT(EA177:EA201,(126&gt;Corte)*(126&lt;=Corte+n_Ventana)*ISNUMBER(Detalle_24m!EA$126:EA$150)*Detalle_24m!EA$126:EA$150+(1-(126&gt;Corte)*(126&lt;=Corte+n_Ventana)*ISNUMBER(Detalle_24m!EA$126:EA$150))*OV_V*INDEX(IdxOV_V,1,MIN(10,EA$173)))*(1+V_dMat)/(1-V_Merma)</f>
        <v>0</v>
      </c>
      <c r="EB231" s="48" t="n">
        <f aca="false">SUMPRODUCT(EB177:EB201,(127&gt;Corte)*(127&lt;=Corte+n_Ventana)*ISNUMBER(Detalle_24m!EB$126:EB$150)*Detalle_24m!EB$126:EB$150+(1-(127&gt;Corte)*(127&lt;=Corte+n_Ventana)*ISNUMBER(Detalle_24m!EB$126:EB$150))*OV_V*INDEX(IdxOV_V,1,MIN(10,EB$173)))*(1+V_dMat)/(1-V_Merma)</f>
        <v>0</v>
      </c>
      <c r="EC231" s="48" t="n">
        <f aca="false">SUMPRODUCT(EC177:EC201,(128&gt;Corte)*(128&lt;=Corte+n_Ventana)*ISNUMBER(Detalle_24m!EC$126:EC$150)*Detalle_24m!EC$126:EC$150+(1-(128&gt;Corte)*(128&lt;=Corte+n_Ventana)*ISNUMBER(Detalle_24m!EC$126:EC$150))*OV_V*INDEX(IdxOV_V,1,MIN(10,EC$173)))*(1+V_dMat)/(1-V_Merma)</f>
        <v>0</v>
      </c>
      <c r="ED231" s="48" t="n">
        <f aca="false">SUMPRODUCT(ED177:ED201,(129&gt;Corte)*(129&lt;=Corte+n_Ventana)*ISNUMBER(Detalle_24m!ED$126:ED$150)*Detalle_24m!ED$126:ED$150+(1-(129&gt;Corte)*(129&lt;=Corte+n_Ventana)*ISNUMBER(Detalle_24m!ED$126:ED$150))*OV_V*INDEX(IdxOV_V,1,MIN(10,ED$173)))*(1+V_dMat)/(1-V_Merma)</f>
        <v>0</v>
      </c>
      <c r="EE231" s="48" t="n">
        <f aca="false">SUMPRODUCT(EE177:EE201,(130&gt;Corte)*(130&lt;=Corte+n_Ventana)*ISNUMBER(Detalle_24m!EE$126:EE$150)*Detalle_24m!EE$126:EE$150+(1-(130&gt;Corte)*(130&lt;=Corte+n_Ventana)*ISNUMBER(Detalle_24m!EE$126:EE$150))*OV_V*INDEX(IdxOV_V,1,MIN(10,EE$173)))*(1+V_dMat)/(1-V_Merma)</f>
        <v>0</v>
      </c>
      <c r="EF231" s="48" t="n">
        <f aca="false">SUMPRODUCT(EF177:EF201,(131&gt;Corte)*(131&lt;=Corte+n_Ventana)*ISNUMBER(Detalle_24m!EF$126:EF$150)*Detalle_24m!EF$126:EF$150+(1-(131&gt;Corte)*(131&lt;=Corte+n_Ventana)*ISNUMBER(Detalle_24m!EF$126:EF$150))*OV_V*INDEX(IdxOV_V,1,MIN(10,EF$173)))*(1+V_dMat)/(1-V_Merma)</f>
        <v>0</v>
      </c>
      <c r="EG231" s="48" t="n">
        <f aca="false">SUMPRODUCT(EG177:EG201,(132&gt;Corte)*(132&lt;=Corte+n_Ventana)*ISNUMBER(Detalle_24m!EG$126:EG$150)*Detalle_24m!EG$126:EG$150+(1-(132&gt;Corte)*(132&lt;=Corte+n_Ventana)*ISNUMBER(Detalle_24m!EG$126:EG$150))*OV_V*INDEX(IdxOV_V,1,MIN(10,EG$173)))*(1+V_dMat)/(1-V_Merma)</f>
        <v>0</v>
      </c>
      <c r="EH231" s="48" t="n">
        <f aca="false">SUMPRODUCT(EH177:EH201,(133&gt;Corte)*(133&lt;=Corte+n_Ventana)*ISNUMBER(Detalle_24m!EH$126:EH$150)*Detalle_24m!EH$126:EH$150+(1-(133&gt;Corte)*(133&lt;=Corte+n_Ventana)*ISNUMBER(Detalle_24m!EH$126:EH$150))*OV_V*INDEX(IdxOV_V,1,MIN(10,EH$173)))*(1+V_dMat)/(1-V_Merma)</f>
        <v>0</v>
      </c>
      <c r="EI231" s="48" t="n">
        <f aca="false">SUMPRODUCT(EI177:EI201,(134&gt;Corte)*(134&lt;=Corte+n_Ventana)*ISNUMBER(Detalle_24m!EI$126:EI$150)*Detalle_24m!EI$126:EI$150+(1-(134&gt;Corte)*(134&lt;=Corte+n_Ventana)*ISNUMBER(Detalle_24m!EI$126:EI$150))*OV_V*INDEX(IdxOV_V,1,MIN(10,EI$173)))*(1+V_dMat)/(1-V_Merma)</f>
        <v>0</v>
      </c>
      <c r="EJ231" s="48" t="n">
        <f aca="false">SUMPRODUCT(EJ177:EJ201,(135&gt;Corte)*(135&lt;=Corte+n_Ventana)*ISNUMBER(Detalle_24m!EJ$126:EJ$150)*Detalle_24m!EJ$126:EJ$150+(1-(135&gt;Corte)*(135&lt;=Corte+n_Ventana)*ISNUMBER(Detalle_24m!EJ$126:EJ$150))*OV_V*INDEX(IdxOV_V,1,MIN(10,EJ$173)))*(1+V_dMat)/(1-V_Merma)</f>
        <v>0</v>
      </c>
      <c r="EK231" s="48" t="n">
        <f aca="false">SUMPRODUCT(EK177:EK201,(136&gt;Corte)*(136&lt;=Corte+n_Ventana)*ISNUMBER(Detalle_24m!EK$126:EK$150)*Detalle_24m!EK$126:EK$150+(1-(136&gt;Corte)*(136&lt;=Corte+n_Ventana)*ISNUMBER(Detalle_24m!EK$126:EK$150))*OV_V*INDEX(IdxOV_V,1,MIN(10,EK$173)))*(1+V_dMat)/(1-V_Merma)</f>
        <v>0</v>
      </c>
      <c r="EL231" s="48" t="n">
        <f aca="false">SUMPRODUCT(EL177:EL201,(137&gt;Corte)*(137&lt;=Corte+n_Ventana)*ISNUMBER(Detalle_24m!EL$126:EL$150)*Detalle_24m!EL$126:EL$150+(1-(137&gt;Corte)*(137&lt;=Corte+n_Ventana)*ISNUMBER(Detalle_24m!EL$126:EL$150))*OV_V*INDEX(IdxOV_V,1,MIN(10,EL$173)))*(1+V_dMat)/(1-V_Merma)</f>
        <v>0</v>
      </c>
      <c r="EM231" s="48" t="n">
        <f aca="false">SUMPRODUCT(EM177:EM201,(138&gt;Corte)*(138&lt;=Corte+n_Ventana)*ISNUMBER(Detalle_24m!EM$126:EM$150)*Detalle_24m!EM$126:EM$150+(1-(138&gt;Corte)*(138&lt;=Corte+n_Ventana)*ISNUMBER(Detalle_24m!EM$126:EM$150))*OV_V*INDEX(IdxOV_V,1,MIN(10,EM$173)))*(1+V_dMat)/(1-V_Merma)</f>
        <v>0</v>
      </c>
      <c r="EN231" s="48" t="n">
        <f aca="false">SUMPRODUCT(EN177:EN201,(139&gt;Corte)*(139&lt;=Corte+n_Ventana)*ISNUMBER(Detalle_24m!EN$126:EN$150)*Detalle_24m!EN$126:EN$150+(1-(139&gt;Corte)*(139&lt;=Corte+n_Ventana)*ISNUMBER(Detalle_24m!EN$126:EN$150))*OV_V*INDEX(IdxOV_V,1,MIN(10,EN$173)))*(1+V_dMat)/(1-V_Merma)</f>
        <v>0</v>
      </c>
      <c r="EO231" s="48" t="n">
        <f aca="false">SUMPRODUCT(EO177:EO201,(140&gt;Corte)*(140&lt;=Corte+n_Ventana)*ISNUMBER(Detalle_24m!EO$126:EO$150)*Detalle_24m!EO$126:EO$150+(1-(140&gt;Corte)*(140&lt;=Corte+n_Ventana)*ISNUMBER(Detalle_24m!EO$126:EO$150))*OV_V*INDEX(IdxOV_V,1,MIN(10,EO$173)))*(1+V_dMat)/(1-V_Merma)</f>
        <v>0</v>
      </c>
      <c r="EP231" s="48" t="n">
        <f aca="false">SUMPRODUCT(EP177:EP201,(141&gt;Corte)*(141&lt;=Corte+n_Ventana)*ISNUMBER(Detalle_24m!EP$126:EP$150)*Detalle_24m!EP$126:EP$150+(1-(141&gt;Corte)*(141&lt;=Corte+n_Ventana)*ISNUMBER(Detalle_24m!EP$126:EP$150))*OV_V*INDEX(IdxOV_V,1,MIN(10,EP$173)))*(1+V_dMat)/(1-V_Merma)</f>
        <v>0</v>
      </c>
      <c r="EQ231" s="48" t="n">
        <f aca="false">SUMPRODUCT(EQ177:EQ201,(142&gt;Corte)*(142&lt;=Corte+n_Ventana)*ISNUMBER(Detalle_24m!EQ$126:EQ$150)*Detalle_24m!EQ$126:EQ$150+(1-(142&gt;Corte)*(142&lt;=Corte+n_Ventana)*ISNUMBER(Detalle_24m!EQ$126:EQ$150))*OV_V*INDEX(IdxOV_V,1,MIN(10,EQ$173)))*(1+V_dMat)/(1-V_Merma)</f>
        <v>0</v>
      </c>
      <c r="ER231" s="48" t="n">
        <f aca="false">SUMPRODUCT(ER177:ER201,(143&gt;Corte)*(143&lt;=Corte+n_Ventana)*ISNUMBER(Detalle_24m!ER$126:ER$150)*Detalle_24m!ER$126:ER$150+(1-(143&gt;Corte)*(143&lt;=Corte+n_Ventana)*ISNUMBER(Detalle_24m!ER$126:ER$150))*OV_V*INDEX(IdxOV_V,1,MIN(10,ER$173)))*(1+V_dMat)/(1-V_Merma)</f>
        <v>0</v>
      </c>
      <c r="ES231" s="48" t="n">
        <f aca="false">SUMPRODUCT(ES177:ES201,(144&gt;Corte)*(144&lt;=Corte+n_Ventana)*ISNUMBER(Detalle_24m!ES$126:ES$150)*Detalle_24m!ES$126:ES$150+(1-(144&gt;Corte)*(144&lt;=Corte+n_Ventana)*ISNUMBER(Detalle_24m!ES$126:ES$150))*OV_V*INDEX(IdxOV_V,1,MIN(10,ES$173)))*(1+V_dMat)/(1-V_Merma)</f>
        <v>0</v>
      </c>
    </row>
    <row r="232" customFormat="false" ht="15" hidden="false" customHeight="false" outlineLevel="0" collapsed="false">
      <c r="A232" s="11" t="s">
        <v>1354</v>
      </c>
      <c r="B232" s="15" t="s">
        <v>1126</v>
      </c>
      <c r="C232" s="15" t="s">
        <v>508</v>
      </c>
      <c r="E232" s="54" t="n">
        <f aca="false">SUM(F232:ES232)</f>
        <v>1179542.8015068</v>
      </c>
      <c r="F232" s="48" t="n">
        <f aca="false">V_Desp*(F$229+F$230)</f>
        <v>5975.175</v>
      </c>
      <c r="G232" s="48" t="n">
        <f aca="false">V_Desp*(G$229+G$230)</f>
        <v>5975.175</v>
      </c>
      <c r="H232" s="48" t="n">
        <f aca="false">V_Desp*(H$229+H$230)</f>
        <v>5975.175</v>
      </c>
      <c r="I232" s="48" t="n">
        <f aca="false">V_Desp*(I$229+I$230)</f>
        <v>5975.175</v>
      </c>
      <c r="J232" s="48" t="n">
        <f aca="false">V_Desp*(J$229+J$230)</f>
        <v>5975.175</v>
      </c>
      <c r="K232" s="48" t="n">
        <f aca="false">V_Desp*(K$229+K$230)</f>
        <v>5975.175</v>
      </c>
      <c r="L232" s="48" t="n">
        <f aca="false">V_Desp*(L$229+L$230)</f>
        <v>5975.175</v>
      </c>
      <c r="M232" s="48" t="n">
        <f aca="false">V_Desp*(M$229+M$230)</f>
        <v>5975.175</v>
      </c>
      <c r="N232" s="48" t="n">
        <f aca="false">V_Desp*(N$229+N$230)</f>
        <v>5975.175</v>
      </c>
      <c r="O232" s="48" t="n">
        <f aca="false">V_Desp*(O$229+O$230)</f>
        <v>5975.175</v>
      </c>
      <c r="P232" s="48" t="n">
        <f aca="false">V_Desp*(P$229+P$230)</f>
        <v>5975.175</v>
      </c>
      <c r="Q232" s="48" t="n">
        <f aca="false">V_Desp*(Q$229+Q$230)</f>
        <v>5975.175</v>
      </c>
      <c r="R232" s="48" t="n">
        <f aca="false">V_Desp*(R$229+R$230)</f>
        <v>7593.26625</v>
      </c>
      <c r="S232" s="48" t="n">
        <f aca="false">V_Desp*(S$229+S$230)</f>
        <v>7593.26625</v>
      </c>
      <c r="T232" s="48" t="n">
        <f aca="false">V_Desp*(T$229+T$230)</f>
        <v>7593.26625</v>
      </c>
      <c r="U232" s="48" t="n">
        <f aca="false">V_Desp*(U$229+U$230)</f>
        <v>7593.26625</v>
      </c>
      <c r="V232" s="48" t="n">
        <f aca="false">V_Desp*(V$229+V$230)</f>
        <v>7593.26625</v>
      </c>
      <c r="W232" s="48" t="n">
        <f aca="false">V_Desp*(W$229+W$230)</f>
        <v>7593.26625</v>
      </c>
      <c r="X232" s="48" t="n">
        <f aca="false">V_Desp*(X$229+X$230)</f>
        <v>7593.26625</v>
      </c>
      <c r="Y232" s="48" t="n">
        <f aca="false">V_Desp*(Y$229+Y$230)</f>
        <v>7593.26625</v>
      </c>
      <c r="Z232" s="48" t="n">
        <f aca="false">V_Desp*(Z$229+Z$230)</f>
        <v>7593.26625</v>
      </c>
      <c r="AA232" s="48" t="n">
        <f aca="false">V_Desp*(AA$229+AA$230)</f>
        <v>7593.26625</v>
      </c>
      <c r="AB232" s="48" t="n">
        <f aca="false">V_Desp*(AB$229+AB$230)</f>
        <v>7593.26625</v>
      </c>
      <c r="AC232" s="48" t="n">
        <f aca="false">V_Desp*(AC$229+AC$230)</f>
        <v>7593.26625</v>
      </c>
      <c r="AD232" s="48" t="n">
        <f aca="false">V_Desp*(AD$229+AD$230)</f>
        <v>9231.7407</v>
      </c>
      <c r="AE232" s="48" t="n">
        <f aca="false">V_Desp*(AE$229+AE$230)</f>
        <v>9231.7407</v>
      </c>
      <c r="AF232" s="48" t="n">
        <f aca="false">V_Desp*(AF$229+AF$230)</f>
        <v>9231.7407</v>
      </c>
      <c r="AG232" s="48" t="n">
        <f aca="false">V_Desp*(AG$229+AG$230)</f>
        <v>9231.7407</v>
      </c>
      <c r="AH232" s="48" t="n">
        <f aca="false">V_Desp*(AH$229+AH$230)</f>
        <v>9231.7407</v>
      </c>
      <c r="AI232" s="48" t="n">
        <f aca="false">V_Desp*(AI$229+AI$230)</f>
        <v>9231.7407</v>
      </c>
      <c r="AJ232" s="48" t="n">
        <f aca="false">V_Desp*(AJ$229+AJ$230)</f>
        <v>9231.7407</v>
      </c>
      <c r="AK232" s="48" t="n">
        <f aca="false">V_Desp*(AK$229+AK$230)</f>
        <v>9231.7407</v>
      </c>
      <c r="AL232" s="48" t="n">
        <f aca="false">V_Desp*(AL$229+AL$230)</f>
        <v>9231.7407</v>
      </c>
      <c r="AM232" s="48" t="n">
        <f aca="false">V_Desp*(AM$229+AM$230)</f>
        <v>9231.7407</v>
      </c>
      <c r="AN232" s="48" t="n">
        <f aca="false">V_Desp*(AN$229+AN$230)</f>
        <v>9231.7407</v>
      </c>
      <c r="AO232" s="48" t="n">
        <f aca="false">V_Desp*(AO$229+AO$230)</f>
        <v>9231.7407</v>
      </c>
      <c r="AP232" s="48" t="n">
        <f aca="false">V_Desp*(AP$229+AP$230)</f>
        <v>10578.763949625</v>
      </c>
      <c r="AQ232" s="48" t="n">
        <f aca="false">V_Desp*(AQ$229+AQ$230)</f>
        <v>10578.763949625</v>
      </c>
      <c r="AR232" s="48" t="n">
        <f aca="false">V_Desp*(AR$229+AR$230)</f>
        <v>10578.763949625</v>
      </c>
      <c r="AS232" s="48" t="n">
        <f aca="false">V_Desp*(AS$229+AS$230)</f>
        <v>10578.763949625</v>
      </c>
      <c r="AT232" s="48" t="n">
        <f aca="false">V_Desp*(AT$229+AT$230)</f>
        <v>10578.763949625</v>
      </c>
      <c r="AU232" s="48" t="n">
        <f aca="false">V_Desp*(AU$229+AU$230)</f>
        <v>10578.763949625</v>
      </c>
      <c r="AV232" s="48" t="n">
        <f aca="false">V_Desp*(AV$229+AV$230)</f>
        <v>10578.763949625</v>
      </c>
      <c r="AW232" s="48" t="n">
        <f aca="false">V_Desp*(AW$229+AW$230)</f>
        <v>10578.763949625</v>
      </c>
      <c r="AX232" s="48" t="n">
        <f aca="false">V_Desp*(AX$229+AX$230)</f>
        <v>10578.763949625</v>
      </c>
      <c r="AY232" s="48" t="n">
        <f aca="false">V_Desp*(AY$229+AY$230)</f>
        <v>10578.763949625</v>
      </c>
      <c r="AZ232" s="48" t="n">
        <f aca="false">V_Desp*(AZ$229+AZ$230)</f>
        <v>10578.763949625</v>
      </c>
      <c r="BA232" s="48" t="n">
        <f aca="false">V_Desp*(BA$229+BA$230)</f>
        <v>10578.763949625</v>
      </c>
      <c r="BB232" s="48" t="n">
        <f aca="false">V_Desp*(BB$229+BB$230)</f>
        <v>10646.3735891213</v>
      </c>
      <c r="BC232" s="48" t="n">
        <f aca="false">V_Desp*(BC$229+BC$230)</f>
        <v>10646.3735891213</v>
      </c>
      <c r="BD232" s="48" t="n">
        <f aca="false">V_Desp*(BD$229+BD$230)</f>
        <v>10646.3735891213</v>
      </c>
      <c r="BE232" s="48" t="n">
        <f aca="false">V_Desp*(BE$229+BE$230)</f>
        <v>10646.3735891213</v>
      </c>
      <c r="BF232" s="48" t="n">
        <f aca="false">V_Desp*(BF$229+BF$230)</f>
        <v>10646.3735891213</v>
      </c>
      <c r="BG232" s="48" t="n">
        <f aca="false">V_Desp*(BG$229+BG$230)</f>
        <v>10646.3735891213</v>
      </c>
      <c r="BH232" s="48" t="n">
        <f aca="false">V_Desp*(BH$229+BH$230)</f>
        <v>10646.3735891213</v>
      </c>
      <c r="BI232" s="48" t="n">
        <f aca="false">V_Desp*(BI$229+BI$230)</f>
        <v>10646.3735891213</v>
      </c>
      <c r="BJ232" s="48" t="n">
        <f aca="false">V_Desp*(BJ$229+BJ$230)</f>
        <v>10646.3735891213</v>
      </c>
      <c r="BK232" s="48" t="n">
        <f aca="false">V_Desp*(BK$229+BK$230)</f>
        <v>10646.3735891213</v>
      </c>
      <c r="BL232" s="48" t="n">
        <f aca="false">V_Desp*(BL$229+BL$230)</f>
        <v>10646.3735891213</v>
      </c>
      <c r="BM232" s="48" t="n">
        <f aca="false">V_Desp*(BM$229+BM$230)</f>
        <v>10646.3735891213</v>
      </c>
      <c r="BN232" s="48" t="n">
        <f aca="false">V_Desp*(BN$229+BN$230)</f>
        <v>10714.6593250125</v>
      </c>
      <c r="BO232" s="48" t="n">
        <f aca="false">V_Desp*(BO$229+BO$230)</f>
        <v>10714.6593250125</v>
      </c>
      <c r="BP232" s="48" t="n">
        <f aca="false">V_Desp*(BP$229+BP$230)</f>
        <v>10714.6593250125</v>
      </c>
      <c r="BQ232" s="48" t="n">
        <f aca="false">V_Desp*(BQ$229+BQ$230)</f>
        <v>10714.6593250125</v>
      </c>
      <c r="BR232" s="48" t="n">
        <f aca="false">V_Desp*(BR$229+BR$230)</f>
        <v>10714.6593250125</v>
      </c>
      <c r="BS232" s="48" t="n">
        <f aca="false">V_Desp*(BS$229+BS$230)</f>
        <v>10714.6593250125</v>
      </c>
      <c r="BT232" s="48" t="n">
        <f aca="false">V_Desp*(BT$229+BT$230)</f>
        <v>10714.6593250125</v>
      </c>
      <c r="BU232" s="48" t="n">
        <f aca="false">V_Desp*(BU$229+BU$230)</f>
        <v>10714.6593250125</v>
      </c>
      <c r="BV232" s="48" t="n">
        <f aca="false">V_Desp*(BV$229+BV$230)</f>
        <v>10714.6593250125</v>
      </c>
      <c r="BW232" s="48" t="n">
        <f aca="false">V_Desp*(BW$229+BW$230)</f>
        <v>10714.6593250125</v>
      </c>
      <c r="BX232" s="48" t="n">
        <f aca="false">V_Desp*(BX$229+BX$230)</f>
        <v>10714.6593250125</v>
      </c>
      <c r="BY232" s="48" t="n">
        <f aca="false">V_Desp*(BY$229+BY$230)</f>
        <v>10714.6593250125</v>
      </c>
      <c r="BZ232" s="48" t="n">
        <f aca="false">V_Desp*(BZ$229+BZ$230)</f>
        <v>10783.6279182626</v>
      </c>
      <c r="CA232" s="48" t="n">
        <f aca="false">V_Desp*(CA$229+CA$230)</f>
        <v>10783.6279182626</v>
      </c>
      <c r="CB232" s="48" t="n">
        <f aca="false">V_Desp*(CB$229+CB$230)</f>
        <v>10783.6279182626</v>
      </c>
      <c r="CC232" s="48" t="n">
        <f aca="false">V_Desp*(CC$229+CC$230)</f>
        <v>10783.6279182626</v>
      </c>
      <c r="CD232" s="48" t="n">
        <f aca="false">V_Desp*(CD$229+CD$230)</f>
        <v>10783.6279182626</v>
      </c>
      <c r="CE232" s="48" t="n">
        <f aca="false">V_Desp*(CE$229+CE$230)</f>
        <v>10783.6279182626</v>
      </c>
      <c r="CF232" s="48" t="n">
        <f aca="false">V_Desp*(CF$229+CF$230)</f>
        <v>10783.6279182626</v>
      </c>
      <c r="CG232" s="48" t="n">
        <f aca="false">V_Desp*(CG$229+CG$230)</f>
        <v>10783.6279182626</v>
      </c>
      <c r="CH232" s="48" t="n">
        <f aca="false">V_Desp*(CH$229+CH$230)</f>
        <v>10783.6279182626</v>
      </c>
      <c r="CI232" s="48" t="n">
        <f aca="false">V_Desp*(CI$229+CI$230)</f>
        <v>10783.6279182626</v>
      </c>
      <c r="CJ232" s="48" t="n">
        <f aca="false">V_Desp*(CJ$229+CJ$230)</f>
        <v>10783.6279182626</v>
      </c>
      <c r="CK232" s="48" t="n">
        <f aca="false">V_Desp*(CK$229+CK$230)</f>
        <v>10783.6279182626</v>
      </c>
      <c r="CL232" s="48" t="n">
        <f aca="false">V_Desp*(CL$229+CL$230)</f>
        <v>10853.2861974452</v>
      </c>
      <c r="CM232" s="48" t="n">
        <f aca="false">V_Desp*(CM$229+CM$230)</f>
        <v>10853.2861974452</v>
      </c>
      <c r="CN232" s="48" t="n">
        <f aca="false">V_Desp*(CN$229+CN$230)</f>
        <v>10853.2861974452</v>
      </c>
      <c r="CO232" s="48" t="n">
        <f aca="false">V_Desp*(CO$229+CO$230)</f>
        <v>10853.2861974452</v>
      </c>
      <c r="CP232" s="48" t="n">
        <f aca="false">V_Desp*(CP$229+CP$230)</f>
        <v>10853.2861974452</v>
      </c>
      <c r="CQ232" s="48" t="n">
        <f aca="false">V_Desp*(CQ$229+CQ$230)</f>
        <v>10853.2861974452</v>
      </c>
      <c r="CR232" s="48" t="n">
        <f aca="false">V_Desp*(CR$229+CR$230)</f>
        <v>10853.2861974452</v>
      </c>
      <c r="CS232" s="48" t="n">
        <f aca="false">V_Desp*(CS$229+CS$230)</f>
        <v>10853.2861974452</v>
      </c>
      <c r="CT232" s="48" t="n">
        <f aca="false">V_Desp*(CT$229+CT$230)</f>
        <v>10853.2861974452</v>
      </c>
      <c r="CU232" s="48" t="n">
        <f aca="false">V_Desp*(CU$229+CU$230)</f>
        <v>10853.2861974452</v>
      </c>
      <c r="CV232" s="48" t="n">
        <f aca="false">V_Desp*(CV$229+CV$230)</f>
        <v>10853.2861974452</v>
      </c>
      <c r="CW232" s="48" t="n">
        <f aca="false">V_Desp*(CW$229+CW$230)</f>
        <v>10853.2861974452</v>
      </c>
      <c r="CX232" s="48" t="n">
        <f aca="false">V_Desp*(CX$229+CX$230)</f>
        <v>10923.6410594197</v>
      </c>
      <c r="CY232" s="48" t="n">
        <f aca="false">V_Desp*(CY$229+CY$230)</f>
        <v>10923.6410594197</v>
      </c>
      <c r="CZ232" s="48" t="n">
        <f aca="false">V_Desp*(CZ$229+CZ$230)</f>
        <v>10923.6410594197</v>
      </c>
      <c r="DA232" s="48" t="n">
        <f aca="false">V_Desp*(DA$229+DA$230)</f>
        <v>10923.6410594197</v>
      </c>
      <c r="DB232" s="48" t="n">
        <f aca="false">V_Desp*(DB$229+DB$230)</f>
        <v>10923.6410594197</v>
      </c>
      <c r="DC232" s="48" t="n">
        <f aca="false">V_Desp*(DC$229+DC$230)</f>
        <v>10923.6410594197</v>
      </c>
      <c r="DD232" s="48" t="n">
        <f aca="false">V_Desp*(DD$229+DD$230)</f>
        <v>10923.6410594197</v>
      </c>
      <c r="DE232" s="48" t="n">
        <f aca="false">V_Desp*(DE$229+DE$230)</f>
        <v>10923.6410594197</v>
      </c>
      <c r="DF232" s="48" t="n">
        <f aca="false">V_Desp*(DF$229+DF$230)</f>
        <v>10923.6410594197</v>
      </c>
      <c r="DG232" s="48" t="n">
        <f aca="false">V_Desp*(DG$229+DG$230)</f>
        <v>10923.6410594197</v>
      </c>
      <c r="DH232" s="48" t="n">
        <f aca="false">V_Desp*(DH$229+DH$230)</f>
        <v>10923.6410594197</v>
      </c>
      <c r="DI232" s="48" t="n">
        <f aca="false">V_Desp*(DI$229+DI$230)</f>
        <v>10923.6410594197</v>
      </c>
      <c r="DJ232" s="48" t="n">
        <f aca="false">V_Desp*(DJ$229+DJ$230)</f>
        <v>10994.6994700139</v>
      </c>
      <c r="DK232" s="48" t="n">
        <f aca="false">V_Desp*(DK$229+DK$230)</f>
        <v>10994.6994700139</v>
      </c>
      <c r="DL232" s="48" t="n">
        <f aca="false">V_Desp*(DL$229+DL$230)</f>
        <v>10994.6994700139</v>
      </c>
      <c r="DM232" s="48" t="n">
        <f aca="false">V_Desp*(DM$229+DM$230)</f>
        <v>10994.6994700139</v>
      </c>
      <c r="DN232" s="48" t="n">
        <f aca="false">V_Desp*(DN$229+DN$230)</f>
        <v>10994.6994700139</v>
      </c>
      <c r="DO232" s="48" t="n">
        <f aca="false">V_Desp*(DO$229+DO$230)</f>
        <v>10994.6994700139</v>
      </c>
      <c r="DP232" s="48" t="n">
        <f aca="false">V_Desp*(DP$229+DP$230)</f>
        <v>10994.6994700139</v>
      </c>
      <c r="DQ232" s="48" t="n">
        <f aca="false">V_Desp*(DQ$229+DQ$230)</f>
        <v>10994.6994700139</v>
      </c>
      <c r="DR232" s="48" t="n">
        <f aca="false">V_Desp*(DR$229+DR$230)</f>
        <v>10994.6994700139</v>
      </c>
      <c r="DS232" s="48" t="n">
        <f aca="false">V_Desp*(DS$229+DS$230)</f>
        <v>10994.6994700139</v>
      </c>
      <c r="DT232" s="48" t="n">
        <f aca="false">V_Desp*(DT$229+DT$230)</f>
        <v>10994.6994700139</v>
      </c>
      <c r="DU232" s="48" t="n">
        <f aca="false">V_Desp*(DU$229+DU$230)</f>
        <v>10994.6994700139</v>
      </c>
      <c r="DV232" s="48" t="n">
        <f aca="false">V_Desp*(DV$229+DV$230)</f>
        <v>0</v>
      </c>
      <c r="DW232" s="48" t="n">
        <f aca="false">V_Desp*(DW$229+DW$230)</f>
        <v>0</v>
      </c>
      <c r="DX232" s="48" t="n">
        <f aca="false">V_Desp*(DX$229+DX$230)</f>
        <v>0</v>
      </c>
      <c r="DY232" s="48" t="n">
        <f aca="false">V_Desp*(DY$229+DY$230)</f>
        <v>0</v>
      </c>
      <c r="DZ232" s="48" t="n">
        <f aca="false">V_Desp*(DZ$229+DZ$230)</f>
        <v>0</v>
      </c>
      <c r="EA232" s="48" t="n">
        <f aca="false">V_Desp*(EA$229+EA$230)</f>
        <v>0</v>
      </c>
      <c r="EB232" s="48" t="n">
        <f aca="false">V_Desp*(EB$229+EB$230)</f>
        <v>0</v>
      </c>
      <c r="EC232" s="48" t="n">
        <f aca="false">V_Desp*(EC$229+EC$230)</f>
        <v>0</v>
      </c>
      <c r="ED232" s="48" t="n">
        <f aca="false">V_Desp*(ED$229+ED$230)</f>
        <v>0</v>
      </c>
      <c r="EE232" s="48" t="n">
        <f aca="false">V_Desp*(EE$229+EE$230)</f>
        <v>0</v>
      </c>
      <c r="EF232" s="48" t="n">
        <f aca="false">V_Desp*(EF$229+EF$230)</f>
        <v>0</v>
      </c>
      <c r="EG232" s="48" t="n">
        <f aca="false">V_Desp*(EG$229+EG$230)</f>
        <v>0</v>
      </c>
      <c r="EH232" s="48" t="n">
        <f aca="false">V_Desp*(EH$229+EH$230)</f>
        <v>0</v>
      </c>
      <c r="EI232" s="48" t="n">
        <f aca="false">V_Desp*(EI$229+EI$230)</f>
        <v>0</v>
      </c>
      <c r="EJ232" s="48" t="n">
        <f aca="false">V_Desp*(EJ$229+EJ$230)</f>
        <v>0</v>
      </c>
      <c r="EK232" s="48" t="n">
        <f aca="false">V_Desp*(EK$229+EK$230)</f>
        <v>0</v>
      </c>
      <c r="EL232" s="48" t="n">
        <f aca="false">V_Desp*(EL$229+EL$230)</f>
        <v>0</v>
      </c>
      <c r="EM232" s="48" t="n">
        <f aca="false">V_Desp*(EM$229+EM$230)</f>
        <v>0</v>
      </c>
      <c r="EN232" s="48" t="n">
        <f aca="false">V_Desp*(EN$229+EN$230)</f>
        <v>0</v>
      </c>
      <c r="EO232" s="48" t="n">
        <f aca="false">V_Desp*(EO$229+EO$230)</f>
        <v>0</v>
      </c>
      <c r="EP232" s="48" t="n">
        <f aca="false">V_Desp*(EP$229+EP$230)</f>
        <v>0</v>
      </c>
      <c r="EQ232" s="48" t="n">
        <f aca="false">V_Desp*(EQ$229+EQ$230)</f>
        <v>0</v>
      </c>
      <c r="ER232" s="48" t="n">
        <f aca="false">V_Desp*(ER$229+ER$230)</f>
        <v>0</v>
      </c>
      <c r="ES232" s="48" t="n">
        <f aca="false">V_Desp*(ES$229+ES$230)</f>
        <v>0</v>
      </c>
    </row>
    <row r="233" customFormat="false" ht="15" hidden="false" customHeight="false" outlineLevel="0" collapsed="false">
      <c r="A233" s="11" t="s">
        <v>1355</v>
      </c>
      <c r="B233" s="15" t="s">
        <v>1128</v>
      </c>
      <c r="C233" s="15" t="s">
        <v>853</v>
      </c>
      <c r="F233" s="50" t="n">
        <f aca="false">SUMPRODUCT((Per_Clase="Directo")*((1&gt;Corte)*(1&lt;=Corte+n_Ventana)*ISNUMBER(Detalle_24m!F$154:F$183)*Detalle_24m!F$154:F$183+(1-(1&gt;Corte)*(1&lt;=Corte+n_Ventana)*ISNUMBER(Detalle_24m!F$154:F$183))*INDEX(Dot_V,0,MIN(10,F$173))*(F$171+F$172*V_PreDir)))</f>
        <v>43</v>
      </c>
      <c r="G233" s="50" t="n">
        <f aca="false">SUMPRODUCT((Per_Clase="Directo")*((2&gt;Corte)*(2&lt;=Corte+n_Ventana)*ISNUMBER(Detalle_24m!G$154:G$183)*Detalle_24m!G$154:G$183+(1-(2&gt;Corte)*(2&lt;=Corte+n_Ventana)*ISNUMBER(Detalle_24m!G$154:G$183))*INDEX(Dot_V,0,MIN(10,G$173))*(G$171+G$172*V_PreDir)))</f>
        <v>43</v>
      </c>
      <c r="H233" s="50" t="n">
        <f aca="false">SUMPRODUCT((Per_Clase="Directo")*((3&gt;Corte)*(3&lt;=Corte+n_Ventana)*ISNUMBER(Detalle_24m!H$154:H$183)*Detalle_24m!H$154:H$183+(1-(3&gt;Corte)*(3&lt;=Corte+n_Ventana)*ISNUMBER(Detalle_24m!H$154:H$183))*INDEX(Dot_V,0,MIN(10,H$173))*(H$171+H$172*V_PreDir)))</f>
        <v>43</v>
      </c>
      <c r="I233" s="50" t="n">
        <f aca="false">SUMPRODUCT((Per_Clase="Directo")*((4&gt;Corte)*(4&lt;=Corte+n_Ventana)*ISNUMBER(Detalle_24m!I$154:I$183)*Detalle_24m!I$154:I$183+(1-(4&gt;Corte)*(4&lt;=Corte+n_Ventana)*ISNUMBER(Detalle_24m!I$154:I$183))*INDEX(Dot_V,0,MIN(10,I$173))*(I$171+I$172*V_PreDir)))</f>
        <v>43</v>
      </c>
      <c r="J233" s="50" t="n">
        <f aca="false">SUMPRODUCT((Per_Clase="Directo")*((5&gt;Corte)*(5&lt;=Corte+n_Ventana)*ISNUMBER(Detalle_24m!J$154:J$183)*Detalle_24m!J$154:J$183+(1-(5&gt;Corte)*(5&lt;=Corte+n_Ventana)*ISNUMBER(Detalle_24m!J$154:J$183))*INDEX(Dot_V,0,MIN(10,J$173))*(J$171+J$172*V_PreDir)))</f>
        <v>43</v>
      </c>
      <c r="K233" s="50" t="n">
        <f aca="false">SUMPRODUCT((Per_Clase="Directo")*((6&gt;Corte)*(6&lt;=Corte+n_Ventana)*ISNUMBER(Detalle_24m!K$154:K$183)*Detalle_24m!K$154:K$183+(1-(6&gt;Corte)*(6&lt;=Corte+n_Ventana)*ISNUMBER(Detalle_24m!K$154:K$183))*INDEX(Dot_V,0,MIN(10,K$173))*(K$171+K$172*V_PreDir)))</f>
        <v>43</v>
      </c>
      <c r="L233" s="50" t="n">
        <f aca="false">SUMPRODUCT((Per_Clase="Directo")*((7&gt;Corte)*(7&lt;=Corte+n_Ventana)*ISNUMBER(Detalle_24m!L$154:L$183)*Detalle_24m!L$154:L$183+(1-(7&gt;Corte)*(7&lt;=Corte+n_Ventana)*ISNUMBER(Detalle_24m!L$154:L$183))*INDEX(Dot_V,0,MIN(10,L$173))*(L$171+L$172*V_PreDir)))</f>
        <v>43</v>
      </c>
      <c r="M233" s="50" t="n">
        <f aca="false">SUMPRODUCT((Per_Clase="Directo")*((8&gt;Corte)*(8&lt;=Corte+n_Ventana)*ISNUMBER(Detalle_24m!M$154:M$183)*Detalle_24m!M$154:M$183+(1-(8&gt;Corte)*(8&lt;=Corte+n_Ventana)*ISNUMBER(Detalle_24m!M$154:M$183))*INDEX(Dot_V,0,MIN(10,M$173))*(M$171+M$172*V_PreDir)))</f>
        <v>43</v>
      </c>
      <c r="N233" s="50" t="n">
        <f aca="false">SUMPRODUCT((Per_Clase="Directo")*((9&gt;Corte)*(9&lt;=Corte+n_Ventana)*ISNUMBER(Detalle_24m!N$154:N$183)*Detalle_24m!N$154:N$183+(1-(9&gt;Corte)*(9&lt;=Corte+n_Ventana)*ISNUMBER(Detalle_24m!N$154:N$183))*INDEX(Dot_V,0,MIN(10,N$173))*(N$171+N$172*V_PreDir)))</f>
        <v>43</v>
      </c>
      <c r="O233" s="50" t="n">
        <f aca="false">SUMPRODUCT((Per_Clase="Directo")*((10&gt;Corte)*(10&lt;=Corte+n_Ventana)*ISNUMBER(Detalle_24m!O$154:O$183)*Detalle_24m!O$154:O$183+(1-(10&gt;Corte)*(10&lt;=Corte+n_Ventana)*ISNUMBER(Detalle_24m!O$154:O$183))*INDEX(Dot_V,0,MIN(10,O$173))*(O$171+O$172*V_PreDir)))</f>
        <v>43</v>
      </c>
      <c r="P233" s="50" t="n">
        <f aca="false">SUMPRODUCT((Per_Clase="Directo")*((11&gt;Corte)*(11&lt;=Corte+n_Ventana)*ISNUMBER(Detalle_24m!P$154:P$183)*Detalle_24m!P$154:P$183+(1-(11&gt;Corte)*(11&lt;=Corte+n_Ventana)*ISNUMBER(Detalle_24m!P$154:P$183))*INDEX(Dot_V,0,MIN(10,P$173))*(P$171+P$172*V_PreDir)))</f>
        <v>43</v>
      </c>
      <c r="Q233" s="50" t="n">
        <f aca="false">SUMPRODUCT((Per_Clase="Directo")*((12&gt;Corte)*(12&lt;=Corte+n_Ventana)*ISNUMBER(Detalle_24m!Q$154:Q$183)*Detalle_24m!Q$154:Q$183+(1-(12&gt;Corte)*(12&lt;=Corte+n_Ventana)*ISNUMBER(Detalle_24m!Q$154:Q$183))*INDEX(Dot_V,0,MIN(10,Q$173))*(Q$171+Q$172*V_PreDir)))</f>
        <v>43</v>
      </c>
      <c r="R233" s="50" t="n">
        <f aca="false">SUMPRODUCT((Per_Clase="Directo")*((13&gt;Corte)*(13&lt;=Corte+n_Ventana)*ISNUMBER(Detalle_24m!R$154:R$183)*Detalle_24m!R$154:R$183+(1-(13&gt;Corte)*(13&lt;=Corte+n_Ventana)*ISNUMBER(Detalle_24m!R$154:R$183))*INDEX(Dot_V,0,MIN(10,R$173))*(R$171+R$172*V_PreDir)))</f>
        <v>43</v>
      </c>
      <c r="S233" s="50" t="n">
        <f aca="false">SUMPRODUCT((Per_Clase="Directo")*((14&gt;Corte)*(14&lt;=Corte+n_Ventana)*ISNUMBER(Detalle_24m!S$154:S$183)*Detalle_24m!S$154:S$183+(1-(14&gt;Corte)*(14&lt;=Corte+n_Ventana)*ISNUMBER(Detalle_24m!S$154:S$183))*INDEX(Dot_V,0,MIN(10,S$173))*(S$171+S$172*V_PreDir)))</f>
        <v>43</v>
      </c>
      <c r="T233" s="50" t="n">
        <f aca="false">SUMPRODUCT((Per_Clase="Directo")*((15&gt;Corte)*(15&lt;=Corte+n_Ventana)*ISNUMBER(Detalle_24m!T$154:T$183)*Detalle_24m!T$154:T$183+(1-(15&gt;Corte)*(15&lt;=Corte+n_Ventana)*ISNUMBER(Detalle_24m!T$154:T$183))*INDEX(Dot_V,0,MIN(10,T$173))*(T$171+T$172*V_PreDir)))</f>
        <v>43</v>
      </c>
      <c r="U233" s="50" t="n">
        <f aca="false">SUMPRODUCT((Per_Clase="Directo")*((16&gt;Corte)*(16&lt;=Corte+n_Ventana)*ISNUMBER(Detalle_24m!U$154:U$183)*Detalle_24m!U$154:U$183+(1-(16&gt;Corte)*(16&lt;=Corte+n_Ventana)*ISNUMBER(Detalle_24m!U$154:U$183))*INDEX(Dot_V,0,MIN(10,U$173))*(U$171+U$172*V_PreDir)))</f>
        <v>43</v>
      </c>
      <c r="V233" s="50" t="n">
        <f aca="false">SUMPRODUCT((Per_Clase="Directo")*((17&gt;Corte)*(17&lt;=Corte+n_Ventana)*ISNUMBER(Detalle_24m!V$154:V$183)*Detalle_24m!V$154:V$183+(1-(17&gt;Corte)*(17&lt;=Corte+n_Ventana)*ISNUMBER(Detalle_24m!V$154:V$183))*INDEX(Dot_V,0,MIN(10,V$173))*(V$171+V$172*V_PreDir)))</f>
        <v>43</v>
      </c>
      <c r="W233" s="50" t="n">
        <f aca="false">SUMPRODUCT((Per_Clase="Directo")*((18&gt;Corte)*(18&lt;=Corte+n_Ventana)*ISNUMBER(Detalle_24m!W$154:W$183)*Detalle_24m!W$154:W$183+(1-(18&gt;Corte)*(18&lt;=Corte+n_Ventana)*ISNUMBER(Detalle_24m!W$154:W$183))*INDEX(Dot_V,0,MIN(10,W$173))*(W$171+W$172*V_PreDir)))</f>
        <v>43</v>
      </c>
      <c r="X233" s="50" t="n">
        <f aca="false">SUMPRODUCT((Per_Clase="Directo")*((19&gt;Corte)*(19&lt;=Corte+n_Ventana)*ISNUMBER(Detalle_24m!X$154:X$183)*Detalle_24m!X$154:X$183+(1-(19&gt;Corte)*(19&lt;=Corte+n_Ventana)*ISNUMBER(Detalle_24m!X$154:X$183))*INDEX(Dot_V,0,MIN(10,X$173))*(X$171+X$172*V_PreDir)))</f>
        <v>43</v>
      </c>
      <c r="Y233" s="50" t="n">
        <f aca="false">SUMPRODUCT((Per_Clase="Directo")*((20&gt;Corte)*(20&lt;=Corte+n_Ventana)*ISNUMBER(Detalle_24m!Y$154:Y$183)*Detalle_24m!Y$154:Y$183+(1-(20&gt;Corte)*(20&lt;=Corte+n_Ventana)*ISNUMBER(Detalle_24m!Y$154:Y$183))*INDEX(Dot_V,0,MIN(10,Y$173))*(Y$171+Y$172*V_PreDir)))</f>
        <v>43</v>
      </c>
      <c r="Z233" s="50" t="n">
        <f aca="false">SUMPRODUCT((Per_Clase="Directo")*((21&gt;Corte)*(21&lt;=Corte+n_Ventana)*ISNUMBER(Detalle_24m!Z$154:Z$183)*Detalle_24m!Z$154:Z$183+(1-(21&gt;Corte)*(21&lt;=Corte+n_Ventana)*ISNUMBER(Detalle_24m!Z$154:Z$183))*INDEX(Dot_V,0,MIN(10,Z$173))*(Z$171+Z$172*V_PreDir)))</f>
        <v>43</v>
      </c>
      <c r="AA233" s="50" t="n">
        <f aca="false">SUMPRODUCT((Per_Clase="Directo")*((22&gt;Corte)*(22&lt;=Corte+n_Ventana)*ISNUMBER(Detalle_24m!AA$154:AA$183)*Detalle_24m!AA$154:AA$183+(1-(22&gt;Corte)*(22&lt;=Corte+n_Ventana)*ISNUMBER(Detalle_24m!AA$154:AA$183))*INDEX(Dot_V,0,MIN(10,AA$173))*(AA$171+AA$172*V_PreDir)))</f>
        <v>43</v>
      </c>
      <c r="AB233" s="50" t="n">
        <f aca="false">SUMPRODUCT((Per_Clase="Directo")*((23&gt;Corte)*(23&lt;=Corte+n_Ventana)*ISNUMBER(Detalle_24m!AB$154:AB$183)*Detalle_24m!AB$154:AB$183+(1-(23&gt;Corte)*(23&lt;=Corte+n_Ventana)*ISNUMBER(Detalle_24m!AB$154:AB$183))*INDEX(Dot_V,0,MIN(10,AB$173))*(AB$171+AB$172*V_PreDir)))</f>
        <v>43</v>
      </c>
      <c r="AC233" s="50" t="n">
        <f aca="false">SUMPRODUCT((Per_Clase="Directo")*((24&gt;Corte)*(24&lt;=Corte+n_Ventana)*ISNUMBER(Detalle_24m!AC$154:AC$183)*Detalle_24m!AC$154:AC$183+(1-(24&gt;Corte)*(24&lt;=Corte+n_Ventana)*ISNUMBER(Detalle_24m!AC$154:AC$183))*INDEX(Dot_V,0,MIN(10,AC$173))*(AC$171+AC$172*V_PreDir)))</f>
        <v>43</v>
      </c>
      <c r="AD233" s="50" t="n">
        <f aca="false">SUMPRODUCT((Per_Clase="Directo")*((25&gt;Corte)*(25&lt;=Corte+n_Ventana)*ISNUMBER(Detalle_24m!AD$154:AD$183)*Detalle_24m!AD$154:AD$183+(1-(25&gt;Corte)*(25&lt;=Corte+n_Ventana)*ISNUMBER(Detalle_24m!AD$154:AD$183))*INDEX(Dot_V,0,MIN(10,AD$173))*(AD$171+AD$172*V_PreDir)))</f>
        <v>46</v>
      </c>
      <c r="AE233" s="50" t="n">
        <f aca="false">SUMPRODUCT((Per_Clase="Directo")*((26&gt;Corte)*(26&lt;=Corte+n_Ventana)*ISNUMBER(Detalle_24m!AE$154:AE$183)*Detalle_24m!AE$154:AE$183+(1-(26&gt;Corte)*(26&lt;=Corte+n_Ventana)*ISNUMBER(Detalle_24m!AE$154:AE$183))*INDEX(Dot_V,0,MIN(10,AE$173))*(AE$171+AE$172*V_PreDir)))</f>
        <v>46</v>
      </c>
      <c r="AF233" s="50" t="n">
        <f aca="false">SUMPRODUCT((Per_Clase="Directo")*((27&gt;Corte)*(27&lt;=Corte+n_Ventana)*ISNUMBER(Detalle_24m!AF$154:AF$183)*Detalle_24m!AF$154:AF$183+(1-(27&gt;Corte)*(27&lt;=Corte+n_Ventana)*ISNUMBER(Detalle_24m!AF$154:AF$183))*INDEX(Dot_V,0,MIN(10,AF$173))*(AF$171+AF$172*V_PreDir)))</f>
        <v>46</v>
      </c>
      <c r="AG233" s="50" t="n">
        <f aca="false">SUMPRODUCT((Per_Clase="Directo")*((28&gt;Corte)*(28&lt;=Corte+n_Ventana)*ISNUMBER(Detalle_24m!AG$154:AG$183)*Detalle_24m!AG$154:AG$183+(1-(28&gt;Corte)*(28&lt;=Corte+n_Ventana)*ISNUMBER(Detalle_24m!AG$154:AG$183))*INDEX(Dot_V,0,MIN(10,AG$173))*(AG$171+AG$172*V_PreDir)))</f>
        <v>46</v>
      </c>
      <c r="AH233" s="50" t="n">
        <f aca="false">SUMPRODUCT((Per_Clase="Directo")*((29&gt;Corte)*(29&lt;=Corte+n_Ventana)*ISNUMBER(Detalle_24m!AH$154:AH$183)*Detalle_24m!AH$154:AH$183+(1-(29&gt;Corte)*(29&lt;=Corte+n_Ventana)*ISNUMBER(Detalle_24m!AH$154:AH$183))*INDEX(Dot_V,0,MIN(10,AH$173))*(AH$171+AH$172*V_PreDir)))</f>
        <v>46</v>
      </c>
      <c r="AI233" s="50" t="n">
        <f aca="false">SUMPRODUCT((Per_Clase="Directo")*((30&gt;Corte)*(30&lt;=Corte+n_Ventana)*ISNUMBER(Detalle_24m!AI$154:AI$183)*Detalle_24m!AI$154:AI$183+(1-(30&gt;Corte)*(30&lt;=Corte+n_Ventana)*ISNUMBER(Detalle_24m!AI$154:AI$183))*INDEX(Dot_V,0,MIN(10,AI$173))*(AI$171+AI$172*V_PreDir)))</f>
        <v>46</v>
      </c>
      <c r="AJ233" s="50" t="n">
        <f aca="false">SUMPRODUCT((Per_Clase="Directo")*((31&gt;Corte)*(31&lt;=Corte+n_Ventana)*ISNUMBER(Detalle_24m!AJ$154:AJ$183)*Detalle_24m!AJ$154:AJ$183+(1-(31&gt;Corte)*(31&lt;=Corte+n_Ventana)*ISNUMBER(Detalle_24m!AJ$154:AJ$183))*INDEX(Dot_V,0,MIN(10,AJ$173))*(AJ$171+AJ$172*V_PreDir)))</f>
        <v>46</v>
      </c>
      <c r="AK233" s="50" t="n">
        <f aca="false">SUMPRODUCT((Per_Clase="Directo")*((32&gt;Corte)*(32&lt;=Corte+n_Ventana)*ISNUMBER(Detalle_24m!AK$154:AK$183)*Detalle_24m!AK$154:AK$183+(1-(32&gt;Corte)*(32&lt;=Corte+n_Ventana)*ISNUMBER(Detalle_24m!AK$154:AK$183))*INDEX(Dot_V,0,MIN(10,AK$173))*(AK$171+AK$172*V_PreDir)))</f>
        <v>46</v>
      </c>
      <c r="AL233" s="50" t="n">
        <f aca="false">SUMPRODUCT((Per_Clase="Directo")*((33&gt;Corte)*(33&lt;=Corte+n_Ventana)*ISNUMBER(Detalle_24m!AL$154:AL$183)*Detalle_24m!AL$154:AL$183+(1-(33&gt;Corte)*(33&lt;=Corte+n_Ventana)*ISNUMBER(Detalle_24m!AL$154:AL$183))*INDEX(Dot_V,0,MIN(10,AL$173))*(AL$171+AL$172*V_PreDir)))</f>
        <v>46</v>
      </c>
      <c r="AM233" s="50" t="n">
        <f aca="false">SUMPRODUCT((Per_Clase="Directo")*((34&gt;Corte)*(34&lt;=Corte+n_Ventana)*ISNUMBER(Detalle_24m!AM$154:AM$183)*Detalle_24m!AM$154:AM$183+(1-(34&gt;Corte)*(34&lt;=Corte+n_Ventana)*ISNUMBER(Detalle_24m!AM$154:AM$183))*INDEX(Dot_V,0,MIN(10,AM$173))*(AM$171+AM$172*V_PreDir)))</f>
        <v>46</v>
      </c>
      <c r="AN233" s="50" t="n">
        <f aca="false">SUMPRODUCT((Per_Clase="Directo")*((35&gt;Corte)*(35&lt;=Corte+n_Ventana)*ISNUMBER(Detalle_24m!AN$154:AN$183)*Detalle_24m!AN$154:AN$183+(1-(35&gt;Corte)*(35&lt;=Corte+n_Ventana)*ISNUMBER(Detalle_24m!AN$154:AN$183))*INDEX(Dot_V,0,MIN(10,AN$173))*(AN$171+AN$172*V_PreDir)))</f>
        <v>46</v>
      </c>
      <c r="AO233" s="50" t="n">
        <f aca="false">SUMPRODUCT((Per_Clase="Directo")*((36&gt;Corte)*(36&lt;=Corte+n_Ventana)*ISNUMBER(Detalle_24m!AO$154:AO$183)*Detalle_24m!AO$154:AO$183+(1-(36&gt;Corte)*(36&lt;=Corte+n_Ventana)*ISNUMBER(Detalle_24m!AO$154:AO$183))*INDEX(Dot_V,0,MIN(10,AO$173))*(AO$171+AO$172*V_PreDir)))</f>
        <v>46</v>
      </c>
      <c r="AP233" s="50" t="n">
        <f aca="false">SUMPRODUCT((Per_Clase="Directo")*((37&gt;Corte)*(37&lt;=Corte+n_Ventana)*ISNUMBER(Detalle_24m!AP$154:AP$183)*Detalle_24m!AP$154:AP$183+(1-(37&gt;Corte)*(37&lt;=Corte+n_Ventana)*ISNUMBER(Detalle_24m!AP$154:AP$183))*INDEX(Dot_V,0,MIN(10,AP$173))*(AP$171+AP$172*V_PreDir)))</f>
        <v>49</v>
      </c>
      <c r="AQ233" s="50" t="n">
        <f aca="false">SUMPRODUCT((Per_Clase="Directo")*((38&gt;Corte)*(38&lt;=Corte+n_Ventana)*ISNUMBER(Detalle_24m!AQ$154:AQ$183)*Detalle_24m!AQ$154:AQ$183+(1-(38&gt;Corte)*(38&lt;=Corte+n_Ventana)*ISNUMBER(Detalle_24m!AQ$154:AQ$183))*INDEX(Dot_V,0,MIN(10,AQ$173))*(AQ$171+AQ$172*V_PreDir)))</f>
        <v>49</v>
      </c>
      <c r="AR233" s="50" t="n">
        <f aca="false">SUMPRODUCT((Per_Clase="Directo")*((39&gt;Corte)*(39&lt;=Corte+n_Ventana)*ISNUMBER(Detalle_24m!AR$154:AR$183)*Detalle_24m!AR$154:AR$183+(1-(39&gt;Corte)*(39&lt;=Corte+n_Ventana)*ISNUMBER(Detalle_24m!AR$154:AR$183))*INDEX(Dot_V,0,MIN(10,AR$173))*(AR$171+AR$172*V_PreDir)))</f>
        <v>49</v>
      </c>
      <c r="AS233" s="50" t="n">
        <f aca="false">SUMPRODUCT((Per_Clase="Directo")*((40&gt;Corte)*(40&lt;=Corte+n_Ventana)*ISNUMBER(Detalle_24m!AS$154:AS$183)*Detalle_24m!AS$154:AS$183+(1-(40&gt;Corte)*(40&lt;=Corte+n_Ventana)*ISNUMBER(Detalle_24m!AS$154:AS$183))*INDEX(Dot_V,0,MIN(10,AS$173))*(AS$171+AS$172*V_PreDir)))</f>
        <v>49</v>
      </c>
      <c r="AT233" s="50" t="n">
        <f aca="false">SUMPRODUCT((Per_Clase="Directo")*((41&gt;Corte)*(41&lt;=Corte+n_Ventana)*ISNUMBER(Detalle_24m!AT$154:AT$183)*Detalle_24m!AT$154:AT$183+(1-(41&gt;Corte)*(41&lt;=Corte+n_Ventana)*ISNUMBER(Detalle_24m!AT$154:AT$183))*INDEX(Dot_V,0,MIN(10,AT$173))*(AT$171+AT$172*V_PreDir)))</f>
        <v>49</v>
      </c>
      <c r="AU233" s="50" t="n">
        <f aca="false">SUMPRODUCT((Per_Clase="Directo")*((42&gt;Corte)*(42&lt;=Corte+n_Ventana)*ISNUMBER(Detalle_24m!AU$154:AU$183)*Detalle_24m!AU$154:AU$183+(1-(42&gt;Corte)*(42&lt;=Corte+n_Ventana)*ISNUMBER(Detalle_24m!AU$154:AU$183))*INDEX(Dot_V,0,MIN(10,AU$173))*(AU$171+AU$172*V_PreDir)))</f>
        <v>49</v>
      </c>
      <c r="AV233" s="50" t="n">
        <f aca="false">SUMPRODUCT((Per_Clase="Directo")*((43&gt;Corte)*(43&lt;=Corte+n_Ventana)*ISNUMBER(Detalle_24m!AV$154:AV$183)*Detalle_24m!AV$154:AV$183+(1-(43&gt;Corte)*(43&lt;=Corte+n_Ventana)*ISNUMBER(Detalle_24m!AV$154:AV$183))*INDEX(Dot_V,0,MIN(10,AV$173))*(AV$171+AV$172*V_PreDir)))</f>
        <v>49</v>
      </c>
      <c r="AW233" s="50" t="n">
        <f aca="false">SUMPRODUCT((Per_Clase="Directo")*((44&gt;Corte)*(44&lt;=Corte+n_Ventana)*ISNUMBER(Detalle_24m!AW$154:AW$183)*Detalle_24m!AW$154:AW$183+(1-(44&gt;Corte)*(44&lt;=Corte+n_Ventana)*ISNUMBER(Detalle_24m!AW$154:AW$183))*INDEX(Dot_V,0,MIN(10,AW$173))*(AW$171+AW$172*V_PreDir)))</f>
        <v>49</v>
      </c>
      <c r="AX233" s="50" t="n">
        <f aca="false">SUMPRODUCT((Per_Clase="Directo")*((45&gt;Corte)*(45&lt;=Corte+n_Ventana)*ISNUMBER(Detalle_24m!AX$154:AX$183)*Detalle_24m!AX$154:AX$183+(1-(45&gt;Corte)*(45&lt;=Corte+n_Ventana)*ISNUMBER(Detalle_24m!AX$154:AX$183))*INDEX(Dot_V,0,MIN(10,AX$173))*(AX$171+AX$172*V_PreDir)))</f>
        <v>49</v>
      </c>
      <c r="AY233" s="50" t="n">
        <f aca="false">SUMPRODUCT((Per_Clase="Directo")*((46&gt;Corte)*(46&lt;=Corte+n_Ventana)*ISNUMBER(Detalle_24m!AY$154:AY$183)*Detalle_24m!AY$154:AY$183+(1-(46&gt;Corte)*(46&lt;=Corte+n_Ventana)*ISNUMBER(Detalle_24m!AY$154:AY$183))*INDEX(Dot_V,0,MIN(10,AY$173))*(AY$171+AY$172*V_PreDir)))</f>
        <v>49</v>
      </c>
      <c r="AZ233" s="50" t="n">
        <f aca="false">SUMPRODUCT((Per_Clase="Directo")*((47&gt;Corte)*(47&lt;=Corte+n_Ventana)*ISNUMBER(Detalle_24m!AZ$154:AZ$183)*Detalle_24m!AZ$154:AZ$183+(1-(47&gt;Corte)*(47&lt;=Corte+n_Ventana)*ISNUMBER(Detalle_24m!AZ$154:AZ$183))*INDEX(Dot_V,0,MIN(10,AZ$173))*(AZ$171+AZ$172*V_PreDir)))</f>
        <v>49</v>
      </c>
      <c r="BA233" s="50" t="n">
        <f aca="false">SUMPRODUCT((Per_Clase="Directo")*((48&gt;Corte)*(48&lt;=Corte+n_Ventana)*ISNUMBER(Detalle_24m!BA$154:BA$183)*Detalle_24m!BA$154:BA$183+(1-(48&gt;Corte)*(48&lt;=Corte+n_Ventana)*ISNUMBER(Detalle_24m!BA$154:BA$183))*INDEX(Dot_V,0,MIN(10,BA$173))*(BA$171+BA$172*V_PreDir)))</f>
        <v>49</v>
      </c>
      <c r="BB233" s="50" t="n">
        <f aca="false">SUMPRODUCT((Per_Clase="Directo")*((49&gt;Corte)*(49&lt;=Corte+n_Ventana)*ISNUMBER(Detalle_24m!BB$154:BB$183)*Detalle_24m!BB$154:BB$183+(1-(49&gt;Corte)*(49&lt;=Corte+n_Ventana)*ISNUMBER(Detalle_24m!BB$154:BB$183))*INDEX(Dot_V,0,MIN(10,BB$173))*(BB$171+BB$172*V_PreDir)))</f>
        <v>52</v>
      </c>
      <c r="BC233" s="50" t="n">
        <f aca="false">SUMPRODUCT((Per_Clase="Directo")*((50&gt;Corte)*(50&lt;=Corte+n_Ventana)*ISNUMBER(Detalle_24m!BC$154:BC$183)*Detalle_24m!BC$154:BC$183+(1-(50&gt;Corte)*(50&lt;=Corte+n_Ventana)*ISNUMBER(Detalle_24m!BC$154:BC$183))*INDEX(Dot_V,0,MIN(10,BC$173))*(BC$171+BC$172*V_PreDir)))</f>
        <v>52</v>
      </c>
      <c r="BD233" s="50" t="n">
        <f aca="false">SUMPRODUCT((Per_Clase="Directo")*((51&gt;Corte)*(51&lt;=Corte+n_Ventana)*ISNUMBER(Detalle_24m!BD$154:BD$183)*Detalle_24m!BD$154:BD$183+(1-(51&gt;Corte)*(51&lt;=Corte+n_Ventana)*ISNUMBER(Detalle_24m!BD$154:BD$183))*INDEX(Dot_V,0,MIN(10,BD$173))*(BD$171+BD$172*V_PreDir)))</f>
        <v>52</v>
      </c>
      <c r="BE233" s="50" t="n">
        <f aca="false">SUMPRODUCT((Per_Clase="Directo")*((52&gt;Corte)*(52&lt;=Corte+n_Ventana)*ISNUMBER(Detalle_24m!BE$154:BE$183)*Detalle_24m!BE$154:BE$183+(1-(52&gt;Corte)*(52&lt;=Corte+n_Ventana)*ISNUMBER(Detalle_24m!BE$154:BE$183))*INDEX(Dot_V,0,MIN(10,BE$173))*(BE$171+BE$172*V_PreDir)))</f>
        <v>52</v>
      </c>
      <c r="BF233" s="50" t="n">
        <f aca="false">SUMPRODUCT((Per_Clase="Directo")*((53&gt;Corte)*(53&lt;=Corte+n_Ventana)*ISNUMBER(Detalle_24m!BF$154:BF$183)*Detalle_24m!BF$154:BF$183+(1-(53&gt;Corte)*(53&lt;=Corte+n_Ventana)*ISNUMBER(Detalle_24m!BF$154:BF$183))*INDEX(Dot_V,0,MIN(10,BF$173))*(BF$171+BF$172*V_PreDir)))</f>
        <v>52</v>
      </c>
      <c r="BG233" s="50" t="n">
        <f aca="false">SUMPRODUCT((Per_Clase="Directo")*((54&gt;Corte)*(54&lt;=Corte+n_Ventana)*ISNUMBER(Detalle_24m!BG$154:BG$183)*Detalle_24m!BG$154:BG$183+(1-(54&gt;Corte)*(54&lt;=Corte+n_Ventana)*ISNUMBER(Detalle_24m!BG$154:BG$183))*INDEX(Dot_V,0,MIN(10,BG$173))*(BG$171+BG$172*V_PreDir)))</f>
        <v>52</v>
      </c>
      <c r="BH233" s="50" t="n">
        <f aca="false">SUMPRODUCT((Per_Clase="Directo")*((55&gt;Corte)*(55&lt;=Corte+n_Ventana)*ISNUMBER(Detalle_24m!BH$154:BH$183)*Detalle_24m!BH$154:BH$183+(1-(55&gt;Corte)*(55&lt;=Corte+n_Ventana)*ISNUMBER(Detalle_24m!BH$154:BH$183))*INDEX(Dot_V,0,MIN(10,BH$173))*(BH$171+BH$172*V_PreDir)))</f>
        <v>52</v>
      </c>
      <c r="BI233" s="50" t="n">
        <f aca="false">SUMPRODUCT((Per_Clase="Directo")*((56&gt;Corte)*(56&lt;=Corte+n_Ventana)*ISNUMBER(Detalle_24m!BI$154:BI$183)*Detalle_24m!BI$154:BI$183+(1-(56&gt;Corte)*(56&lt;=Corte+n_Ventana)*ISNUMBER(Detalle_24m!BI$154:BI$183))*INDEX(Dot_V,0,MIN(10,BI$173))*(BI$171+BI$172*V_PreDir)))</f>
        <v>52</v>
      </c>
      <c r="BJ233" s="50" t="n">
        <f aca="false">SUMPRODUCT((Per_Clase="Directo")*((57&gt;Corte)*(57&lt;=Corte+n_Ventana)*ISNUMBER(Detalle_24m!BJ$154:BJ$183)*Detalle_24m!BJ$154:BJ$183+(1-(57&gt;Corte)*(57&lt;=Corte+n_Ventana)*ISNUMBER(Detalle_24m!BJ$154:BJ$183))*INDEX(Dot_V,0,MIN(10,BJ$173))*(BJ$171+BJ$172*V_PreDir)))</f>
        <v>52</v>
      </c>
      <c r="BK233" s="50" t="n">
        <f aca="false">SUMPRODUCT((Per_Clase="Directo")*((58&gt;Corte)*(58&lt;=Corte+n_Ventana)*ISNUMBER(Detalle_24m!BK$154:BK$183)*Detalle_24m!BK$154:BK$183+(1-(58&gt;Corte)*(58&lt;=Corte+n_Ventana)*ISNUMBER(Detalle_24m!BK$154:BK$183))*INDEX(Dot_V,0,MIN(10,BK$173))*(BK$171+BK$172*V_PreDir)))</f>
        <v>52</v>
      </c>
      <c r="BL233" s="50" t="n">
        <f aca="false">SUMPRODUCT((Per_Clase="Directo")*((59&gt;Corte)*(59&lt;=Corte+n_Ventana)*ISNUMBER(Detalle_24m!BL$154:BL$183)*Detalle_24m!BL$154:BL$183+(1-(59&gt;Corte)*(59&lt;=Corte+n_Ventana)*ISNUMBER(Detalle_24m!BL$154:BL$183))*INDEX(Dot_V,0,MIN(10,BL$173))*(BL$171+BL$172*V_PreDir)))</f>
        <v>52</v>
      </c>
      <c r="BM233" s="50" t="n">
        <f aca="false">SUMPRODUCT((Per_Clase="Directo")*((60&gt;Corte)*(60&lt;=Corte+n_Ventana)*ISNUMBER(Detalle_24m!BM$154:BM$183)*Detalle_24m!BM$154:BM$183+(1-(60&gt;Corte)*(60&lt;=Corte+n_Ventana)*ISNUMBER(Detalle_24m!BM$154:BM$183))*INDEX(Dot_V,0,MIN(10,BM$173))*(BM$171+BM$172*V_PreDir)))</f>
        <v>52</v>
      </c>
      <c r="BN233" s="50" t="n">
        <f aca="false">SUMPRODUCT((Per_Clase="Directo")*((61&gt;Corte)*(61&lt;=Corte+n_Ventana)*ISNUMBER(Detalle_24m!BN$154:BN$183)*Detalle_24m!BN$154:BN$183+(1-(61&gt;Corte)*(61&lt;=Corte+n_Ventana)*ISNUMBER(Detalle_24m!BN$154:BN$183))*INDEX(Dot_V,0,MIN(10,BN$173))*(BN$171+BN$172*V_PreDir)))</f>
        <v>52</v>
      </c>
      <c r="BO233" s="50" t="n">
        <f aca="false">SUMPRODUCT((Per_Clase="Directo")*((62&gt;Corte)*(62&lt;=Corte+n_Ventana)*ISNUMBER(Detalle_24m!BO$154:BO$183)*Detalle_24m!BO$154:BO$183+(1-(62&gt;Corte)*(62&lt;=Corte+n_Ventana)*ISNUMBER(Detalle_24m!BO$154:BO$183))*INDEX(Dot_V,0,MIN(10,BO$173))*(BO$171+BO$172*V_PreDir)))</f>
        <v>52</v>
      </c>
      <c r="BP233" s="50" t="n">
        <f aca="false">SUMPRODUCT((Per_Clase="Directo")*((63&gt;Corte)*(63&lt;=Corte+n_Ventana)*ISNUMBER(Detalle_24m!BP$154:BP$183)*Detalle_24m!BP$154:BP$183+(1-(63&gt;Corte)*(63&lt;=Corte+n_Ventana)*ISNUMBER(Detalle_24m!BP$154:BP$183))*INDEX(Dot_V,0,MIN(10,BP$173))*(BP$171+BP$172*V_PreDir)))</f>
        <v>52</v>
      </c>
      <c r="BQ233" s="50" t="n">
        <f aca="false">SUMPRODUCT((Per_Clase="Directo")*((64&gt;Corte)*(64&lt;=Corte+n_Ventana)*ISNUMBER(Detalle_24m!BQ$154:BQ$183)*Detalle_24m!BQ$154:BQ$183+(1-(64&gt;Corte)*(64&lt;=Corte+n_Ventana)*ISNUMBER(Detalle_24m!BQ$154:BQ$183))*INDEX(Dot_V,0,MIN(10,BQ$173))*(BQ$171+BQ$172*V_PreDir)))</f>
        <v>52</v>
      </c>
      <c r="BR233" s="50" t="n">
        <f aca="false">SUMPRODUCT((Per_Clase="Directo")*((65&gt;Corte)*(65&lt;=Corte+n_Ventana)*ISNUMBER(Detalle_24m!BR$154:BR$183)*Detalle_24m!BR$154:BR$183+(1-(65&gt;Corte)*(65&lt;=Corte+n_Ventana)*ISNUMBER(Detalle_24m!BR$154:BR$183))*INDEX(Dot_V,0,MIN(10,BR$173))*(BR$171+BR$172*V_PreDir)))</f>
        <v>52</v>
      </c>
      <c r="BS233" s="50" t="n">
        <f aca="false">SUMPRODUCT((Per_Clase="Directo")*((66&gt;Corte)*(66&lt;=Corte+n_Ventana)*ISNUMBER(Detalle_24m!BS$154:BS$183)*Detalle_24m!BS$154:BS$183+(1-(66&gt;Corte)*(66&lt;=Corte+n_Ventana)*ISNUMBER(Detalle_24m!BS$154:BS$183))*INDEX(Dot_V,0,MIN(10,BS$173))*(BS$171+BS$172*V_PreDir)))</f>
        <v>52</v>
      </c>
      <c r="BT233" s="50" t="n">
        <f aca="false">SUMPRODUCT((Per_Clase="Directo")*((67&gt;Corte)*(67&lt;=Corte+n_Ventana)*ISNUMBER(Detalle_24m!BT$154:BT$183)*Detalle_24m!BT$154:BT$183+(1-(67&gt;Corte)*(67&lt;=Corte+n_Ventana)*ISNUMBER(Detalle_24m!BT$154:BT$183))*INDEX(Dot_V,0,MIN(10,BT$173))*(BT$171+BT$172*V_PreDir)))</f>
        <v>52</v>
      </c>
      <c r="BU233" s="50" t="n">
        <f aca="false">SUMPRODUCT((Per_Clase="Directo")*((68&gt;Corte)*(68&lt;=Corte+n_Ventana)*ISNUMBER(Detalle_24m!BU$154:BU$183)*Detalle_24m!BU$154:BU$183+(1-(68&gt;Corte)*(68&lt;=Corte+n_Ventana)*ISNUMBER(Detalle_24m!BU$154:BU$183))*INDEX(Dot_V,0,MIN(10,BU$173))*(BU$171+BU$172*V_PreDir)))</f>
        <v>52</v>
      </c>
      <c r="BV233" s="50" t="n">
        <f aca="false">SUMPRODUCT((Per_Clase="Directo")*((69&gt;Corte)*(69&lt;=Corte+n_Ventana)*ISNUMBER(Detalle_24m!BV$154:BV$183)*Detalle_24m!BV$154:BV$183+(1-(69&gt;Corte)*(69&lt;=Corte+n_Ventana)*ISNUMBER(Detalle_24m!BV$154:BV$183))*INDEX(Dot_V,0,MIN(10,BV$173))*(BV$171+BV$172*V_PreDir)))</f>
        <v>52</v>
      </c>
      <c r="BW233" s="50" t="n">
        <f aca="false">SUMPRODUCT((Per_Clase="Directo")*((70&gt;Corte)*(70&lt;=Corte+n_Ventana)*ISNUMBER(Detalle_24m!BW$154:BW$183)*Detalle_24m!BW$154:BW$183+(1-(70&gt;Corte)*(70&lt;=Corte+n_Ventana)*ISNUMBER(Detalle_24m!BW$154:BW$183))*INDEX(Dot_V,0,MIN(10,BW$173))*(BW$171+BW$172*V_PreDir)))</f>
        <v>52</v>
      </c>
      <c r="BX233" s="50" t="n">
        <f aca="false">SUMPRODUCT((Per_Clase="Directo")*((71&gt;Corte)*(71&lt;=Corte+n_Ventana)*ISNUMBER(Detalle_24m!BX$154:BX$183)*Detalle_24m!BX$154:BX$183+(1-(71&gt;Corte)*(71&lt;=Corte+n_Ventana)*ISNUMBER(Detalle_24m!BX$154:BX$183))*INDEX(Dot_V,0,MIN(10,BX$173))*(BX$171+BX$172*V_PreDir)))</f>
        <v>52</v>
      </c>
      <c r="BY233" s="50" t="n">
        <f aca="false">SUMPRODUCT((Per_Clase="Directo")*((72&gt;Corte)*(72&lt;=Corte+n_Ventana)*ISNUMBER(Detalle_24m!BY$154:BY$183)*Detalle_24m!BY$154:BY$183+(1-(72&gt;Corte)*(72&lt;=Corte+n_Ventana)*ISNUMBER(Detalle_24m!BY$154:BY$183))*INDEX(Dot_V,0,MIN(10,BY$173))*(BY$171+BY$172*V_PreDir)))</f>
        <v>52</v>
      </c>
      <c r="BZ233" s="50" t="n">
        <f aca="false">SUMPRODUCT((Per_Clase="Directo")*((73&gt;Corte)*(73&lt;=Corte+n_Ventana)*ISNUMBER(Detalle_24m!BZ$154:BZ$183)*Detalle_24m!BZ$154:BZ$183+(1-(73&gt;Corte)*(73&lt;=Corte+n_Ventana)*ISNUMBER(Detalle_24m!BZ$154:BZ$183))*INDEX(Dot_V,0,MIN(10,BZ$173))*(BZ$171+BZ$172*V_PreDir)))</f>
        <v>52</v>
      </c>
      <c r="CA233" s="50" t="n">
        <f aca="false">SUMPRODUCT((Per_Clase="Directo")*((74&gt;Corte)*(74&lt;=Corte+n_Ventana)*ISNUMBER(Detalle_24m!CA$154:CA$183)*Detalle_24m!CA$154:CA$183+(1-(74&gt;Corte)*(74&lt;=Corte+n_Ventana)*ISNUMBER(Detalle_24m!CA$154:CA$183))*INDEX(Dot_V,0,MIN(10,CA$173))*(CA$171+CA$172*V_PreDir)))</f>
        <v>52</v>
      </c>
      <c r="CB233" s="50" t="n">
        <f aca="false">SUMPRODUCT((Per_Clase="Directo")*((75&gt;Corte)*(75&lt;=Corte+n_Ventana)*ISNUMBER(Detalle_24m!CB$154:CB$183)*Detalle_24m!CB$154:CB$183+(1-(75&gt;Corte)*(75&lt;=Corte+n_Ventana)*ISNUMBER(Detalle_24m!CB$154:CB$183))*INDEX(Dot_V,0,MIN(10,CB$173))*(CB$171+CB$172*V_PreDir)))</f>
        <v>52</v>
      </c>
      <c r="CC233" s="50" t="n">
        <f aca="false">SUMPRODUCT((Per_Clase="Directo")*((76&gt;Corte)*(76&lt;=Corte+n_Ventana)*ISNUMBER(Detalle_24m!CC$154:CC$183)*Detalle_24m!CC$154:CC$183+(1-(76&gt;Corte)*(76&lt;=Corte+n_Ventana)*ISNUMBER(Detalle_24m!CC$154:CC$183))*INDEX(Dot_V,0,MIN(10,CC$173))*(CC$171+CC$172*V_PreDir)))</f>
        <v>52</v>
      </c>
      <c r="CD233" s="50" t="n">
        <f aca="false">SUMPRODUCT((Per_Clase="Directo")*((77&gt;Corte)*(77&lt;=Corte+n_Ventana)*ISNUMBER(Detalle_24m!CD$154:CD$183)*Detalle_24m!CD$154:CD$183+(1-(77&gt;Corte)*(77&lt;=Corte+n_Ventana)*ISNUMBER(Detalle_24m!CD$154:CD$183))*INDEX(Dot_V,0,MIN(10,CD$173))*(CD$171+CD$172*V_PreDir)))</f>
        <v>52</v>
      </c>
      <c r="CE233" s="50" t="n">
        <f aca="false">SUMPRODUCT((Per_Clase="Directo")*((78&gt;Corte)*(78&lt;=Corte+n_Ventana)*ISNUMBER(Detalle_24m!CE$154:CE$183)*Detalle_24m!CE$154:CE$183+(1-(78&gt;Corte)*(78&lt;=Corte+n_Ventana)*ISNUMBER(Detalle_24m!CE$154:CE$183))*INDEX(Dot_V,0,MIN(10,CE$173))*(CE$171+CE$172*V_PreDir)))</f>
        <v>52</v>
      </c>
      <c r="CF233" s="50" t="n">
        <f aca="false">SUMPRODUCT((Per_Clase="Directo")*((79&gt;Corte)*(79&lt;=Corte+n_Ventana)*ISNUMBER(Detalle_24m!CF$154:CF$183)*Detalle_24m!CF$154:CF$183+(1-(79&gt;Corte)*(79&lt;=Corte+n_Ventana)*ISNUMBER(Detalle_24m!CF$154:CF$183))*INDEX(Dot_V,0,MIN(10,CF$173))*(CF$171+CF$172*V_PreDir)))</f>
        <v>52</v>
      </c>
      <c r="CG233" s="50" t="n">
        <f aca="false">SUMPRODUCT((Per_Clase="Directo")*((80&gt;Corte)*(80&lt;=Corte+n_Ventana)*ISNUMBER(Detalle_24m!CG$154:CG$183)*Detalle_24m!CG$154:CG$183+(1-(80&gt;Corte)*(80&lt;=Corte+n_Ventana)*ISNUMBER(Detalle_24m!CG$154:CG$183))*INDEX(Dot_V,0,MIN(10,CG$173))*(CG$171+CG$172*V_PreDir)))</f>
        <v>52</v>
      </c>
      <c r="CH233" s="50" t="n">
        <f aca="false">SUMPRODUCT((Per_Clase="Directo")*((81&gt;Corte)*(81&lt;=Corte+n_Ventana)*ISNUMBER(Detalle_24m!CH$154:CH$183)*Detalle_24m!CH$154:CH$183+(1-(81&gt;Corte)*(81&lt;=Corte+n_Ventana)*ISNUMBER(Detalle_24m!CH$154:CH$183))*INDEX(Dot_V,0,MIN(10,CH$173))*(CH$171+CH$172*V_PreDir)))</f>
        <v>52</v>
      </c>
      <c r="CI233" s="50" t="n">
        <f aca="false">SUMPRODUCT((Per_Clase="Directo")*((82&gt;Corte)*(82&lt;=Corte+n_Ventana)*ISNUMBER(Detalle_24m!CI$154:CI$183)*Detalle_24m!CI$154:CI$183+(1-(82&gt;Corte)*(82&lt;=Corte+n_Ventana)*ISNUMBER(Detalle_24m!CI$154:CI$183))*INDEX(Dot_V,0,MIN(10,CI$173))*(CI$171+CI$172*V_PreDir)))</f>
        <v>52</v>
      </c>
      <c r="CJ233" s="50" t="n">
        <f aca="false">SUMPRODUCT((Per_Clase="Directo")*((83&gt;Corte)*(83&lt;=Corte+n_Ventana)*ISNUMBER(Detalle_24m!CJ$154:CJ$183)*Detalle_24m!CJ$154:CJ$183+(1-(83&gt;Corte)*(83&lt;=Corte+n_Ventana)*ISNUMBER(Detalle_24m!CJ$154:CJ$183))*INDEX(Dot_V,0,MIN(10,CJ$173))*(CJ$171+CJ$172*V_PreDir)))</f>
        <v>52</v>
      </c>
      <c r="CK233" s="50" t="n">
        <f aca="false">SUMPRODUCT((Per_Clase="Directo")*((84&gt;Corte)*(84&lt;=Corte+n_Ventana)*ISNUMBER(Detalle_24m!CK$154:CK$183)*Detalle_24m!CK$154:CK$183+(1-(84&gt;Corte)*(84&lt;=Corte+n_Ventana)*ISNUMBER(Detalle_24m!CK$154:CK$183))*INDEX(Dot_V,0,MIN(10,CK$173))*(CK$171+CK$172*V_PreDir)))</f>
        <v>52</v>
      </c>
      <c r="CL233" s="50" t="n">
        <f aca="false">SUMPRODUCT((Per_Clase="Directo")*((85&gt;Corte)*(85&lt;=Corte+n_Ventana)*ISNUMBER(Detalle_24m!CL$154:CL$183)*Detalle_24m!CL$154:CL$183+(1-(85&gt;Corte)*(85&lt;=Corte+n_Ventana)*ISNUMBER(Detalle_24m!CL$154:CL$183))*INDEX(Dot_V,0,MIN(10,CL$173))*(CL$171+CL$172*V_PreDir)))</f>
        <v>52</v>
      </c>
      <c r="CM233" s="50" t="n">
        <f aca="false">SUMPRODUCT((Per_Clase="Directo")*((86&gt;Corte)*(86&lt;=Corte+n_Ventana)*ISNUMBER(Detalle_24m!CM$154:CM$183)*Detalle_24m!CM$154:CM$183+(1-(86&gt;Corte)*(86&lt;=Corte+n_Ventana)*ISNUMBER(Detalle_24m!CM$154:CM$183))*INDEX(Dot_V,0,MIN(10,CM$173))*(CM$171+CM$172*V_PreDir)))</f>
        <v>52</v>
      </c>
      <c r="CN233" s="50" t="n">
        <f aca="false">SUMPRODUCT((Per_Clase="Directo")*((87&gt;Corte)*(87&lt;=Corte+n_Ventana)*ISNUMBER(Detalle_24m!CN$154:CN$183)*Detalle_24m!CN$154:CN$183+(1-(87&gt;Corte)*(87&lt;=Corte+n_Ventana)*ISNUMBER(Detalle_24m!CN$154:CN$183))*INDEX(Dot_V,0,MIN(10,CN$173))*(CN$171+CN$172*V_PreDir)))</f>
        <v>52</v>
      </c>
      <c r="CO233" s="50" t="n">
        <f aca="false">SUMPRODUCT((Per_Clase="Directo")*((88&gt;Corte)*(88&lt;=Corte+n_Ventana)*ISNUMBER(Detalle_24m!CO$154:CO$183)*Detalle_24m!CO$154:CO$183+(1-(88&gt;Corte)*(88&lt;=Corte+n_Ventana)*ISNUMBER(Detalle_24m!CO$154:CO$183))*INDEX(Dot_V,0,MIN(10,CO$173))*(CO$171+CO$172*V_PreDir)))</f>
        <v>52</v>
      </c>
      <c r="CP233" s="50" t="n">
        <f aca="false">SUMPRODUCT((Per_Clase="Directo")*((89&gt;Corte)*(89&lt;=Corte+n_Ventana)*ISNUMBER(Detalle_24m!CP$154:CP$183)*Detalle_24m!CP$154:CP$183+(1-(89&gt;Corte)*(89&lt;=Corte+n_Ventana)*ISNUMBER(Detalle_24m!CP$154:CP$183))*INDEX(Dot_V,0,MIN(10,CP$173))*(CP$171+CP$172*V_PreDir)))</f>
        <v>52</v>
      </c>
      <c r="CQ233" s="50" t="n">
        <f aca="false">SUMPRODUCT((Per_Clase="Directo")*((90&gt;Corte)*(90&lt;=Corte+n_Ventana)*ISNUMBER(Detalle_24m!CQ$154:CQ$183)*Detalle_24m!CQ$154:CQ$183+(1-(90&gt;Corte)*(90&lt;=Corte+n_Ventana)*ISNUMBER(Detalle_24m!CQ$154:CQ$183))*INDEX(Dot_V,0,MIN(10,CQ$173))*(CQ$171+CQ$172*V_PreDir)))</f>
        <v>52</v>
      </c>
      <c r="CR233" s="50" t="n">
        <f aca="false">SUMPRODUCT((Per_Clase="Directo")*((91&gt;Corte)*(91&lt;=Corte+n_Ventana)*ISNUMBER(Detalle_24m!CR$154:CR$183)*Detalle_24m!CR$154:CR$183+(1-(91&gt;Corte)*(91&lt;=Corte+n_Ventana)*ISNUMBER(Detalle_24m!CR$154:CR$183))*INDEX(Dot_V,0,MIN(10,CR$173))*(CR$171+CR$172*V_PreDir)))</f>
        <v>52</v>
      </c>
      <c r="CS233" s="50" t="n">
        <f aca="false">SUMPRODUCT((Per_Clase="Directo")*((92&gt;Corte)*(92&lt;=Corte+n_Ventana)*ISNUMBER(Detalle_24m!CS$154:CS$183)*Detalle_24m!CS$154:CS$183+(1-(92&gt;Corte)*(92&lt;=Corte+n_Ventana)*ISNUMBER(Detalle_24m!CS$154:CS$183))*INDEX(Dot_V,0,MIN(10,CS$173))*(CS$171+CS$172*V_PreDir)))</f>
        <v>52</v>
      </c>
      <c r="CT233" s="50" t="n">
        <f aca="false">SUMPRODUCT((Per_Clase="Directo")*((93&gt;Corte)*(93&lt;=Corte+n_Ventana)*ISNUMBER(Detalle_24m!CT$154:CT$183)*Detalle_24m!CT$154:CT$183+(1-(93&gt;Corte)*(93&lt;=Corte+n_Ventana)*ISNUMBER(Detalle_24m!CT$154:CT$183))*INDEX(Dot_V,0,MIN(10,CT$173))*(CT$171+CT$172*V_PreDir)))</f>
        <v>52</v>
      </c>
      <c r="CU233" s="50" t="n">
        <f aca="false">SUMPRODUCT((Per_Clase="Directo")*((94&gt;Corte)*(94&lt;=Corte+n_Ventana)*ISNUMBER(Detalle_24m!CU$154:CU$183)*Detalle_24m!CU$154:CU$183+(1-(94&gt;Corte)*(94&lt;=Corte+n_Ventana)*ISNUMBER(Detalle_24m!CU$154:CU$183))*INDEX(Dot_V,0,MIN(10,CU$173))*(CU$171+CU$172*V_PreDir)))</f>
        <v>52</v>
      </c>
      <c r="CV233" s="50" t="n">
        <f aca="false">SUMPRODUCT((Per_Clase="Directo")*((95&gt;Corte)*(95&lt;=Corte+n_Ventana)*ISNUMBER(Detalle_24m!CV$154:CV$183)*Detalle_24m!CV$154:CV$183+(1-(95&gt;Corte)*(95&lt;=Corte+n_Ventana)*ISNUMBER(Detalle_24m!CV$154:CV$183))*INDEX(Dot_V,0,MIN(10,CV$173))*(CV$171+CV$172*V_PreDir)))</f>
        <v>52</v>
      </c>
      <c r="CW233" s="50" t="n">
        <f aca="false">SUMPRODUCT((Per_Clase="Directo")*((96&gt;Corte)*(96&lt;=Corte+n_Ventana)*ISNUMBER(Detalle_24m!CW$154:CW$183)*Detalle_24m!CW$154:CW$183+(1-(96&gt;Corte)*(96&lt;=Corte+n_Ventana)*ISNUMBER(Detalle_24m!CW$154:CW$183))*INDEX(Dot_V,0,MIN(10,CW$173))*(CW$171+CW$172*V_PreDir)))</f>
        <v>52</v>
      </c>
      <c r="CX233" s="50" t="n">
        <f aca="false">SUMPRODUCT((Per_Clase="Directo")*((97&gt;Corte)*(97&lt;=Corte+n_Ventana)*ISNUMBER(Detalle_24m!CX$154:CX$183)*Detalle_24m!CX$154:CX$183+(1-(97&gt;Corte)*(97&lt;=Corte+n_Ventana)*ISNUMBER(Detalle_24m!CX$154:CX$183))*INDEX(Dot_V,0,MIN(10,CX$173))*(CX$171+CX$172*V_PreDir)))</f>
        <v>52</v>
      </c>
      <c r="CY233" s="50" t="n">
        <f aca="false">SUMPRODUCT((Per_Clase="Directo")*((98&gt;Corte)*(98&lt;=Corte+n_Ventana)*ISNUMBER(Detalle_24m!CY$154:CY$183)*Detalle_24m!CY$154:CY$183+(1-(98&gt;Corte)*(98&lt;=Corte+n_Ventana)*ISNUMBER(Detalle_24m!CY$154:CY$183))*INDEX(Dot_V,0,MIN(10,CY$173))*(CY$171+CY$172*V_PreDir)))</f>
        <v>52</v>
      </c>
      <c r="CZ233" s="50" t="n">
        <f aca="false">SUMPRODUCT((Per_Clase="Directo")*((99&gt;Corte)*(99&lt;=Corte+n_Ventana)*ISNUMBER(Detalle_24m!CZ$154:CZ$183)*Detalle_24m!CZ$154:CZ$183+(1-(99&gt;Corte)*(99&lt;=Corte+n_Ventana)*ISNUMBER(Detalle_24m!CZ$154:CZ$183))*INDEX(Dot_V,0,MIN(10,CZ$173))*(CZ$171+CZ$172*V_PreDir)))</f>
        <v>52</v>
      </c>
      <c r="DA233" s="50" t="n">
        <f aca="false">SUMPRODUCT((Per_Clase="Directo")*((100&gt;Corte)*(100&lt;=Corte+n_Ventana)*ISNUMBER(Detalle_24m!DA$154:DA$183)*Detalle_24m!DA$154:DA$183+(1-(100&gt;Corte)*(100&lt;=Corte+n_Ventana)*ISNUMBER(Detalle_24m!DA$154:DA$183))*INDEX(Dot_V,0,MIN(10,DA$173))*(DA$171+DA$172*V_PreDir)))</f>
        <v>52</v>
      </c>
      <c r="DB233" s="50" t="n">
        <f aca="false">SUMPRODUCT((Per_Clase="Directo")*((101&gt;Corte)*(101&lt;=Corte+n_Ventana)*ISNUMBER(Detalle_24m!DB$154:DB$183)*Detalle_24m!DB$154:DB$183+(1-(101&gt;Corte)*(101&lt;=Corte+n_Ventana)*ISNUMBER(Detalle_24m!DB$154:DB$183))*INDEX(Dot_V,0,MIN(10,DB$173))*(DB$171+DB$172*V_PreDir)))</f>
        <v>52</v>
      </c>
      <c r="DC233" s="50" t="n">
        <f aca="false">SUMPRODUCT((Per_Clase="Directo")*((102&gt;Corte)*(102&lt;=Corte+n_Ventana)*ISNUMBER(Detalle_24m!DC$154:DC$183)*Detalle_24m!DC$154:DC$183+(1-(102&gt;Corte)*(102&lt;=Corte+n_Ventana)*ISNUMBER(Detalle_24m!DC$154:DC$183))*INDEX(Dot_V,0,MIN(10,DC$173))*(DC$171+DC$172*V_PreDir)))</f>
        <v>52</v>
      </c>
      <c r="DD233" s="50" t="n">
        <f aca="false">SUMPRODUCT((Per_Clase="Directo")*((103&gt;Corte)*(103&lt;=Corte+n_Ventana)*ISNUMBER(Detalle_24m!DD$154:DD$183)*Detalle_24m!DD$154:DD$183+(1-(103&gt;Corte)*(103&lt;=Corte+n_Ventana)*ISNUMBER(Detalle_24m!DD$154:DD$183))*INDEX(Dot_V,0,MIN(10,DD$173))*(DD$171+DD$172*V_PreDir)))</f>
        <v>52</v>
      </c>
      <c r="DE233" s="50" t="n">
        <f aca="false">SUMPRODUCT((Per_Clase="Directo")*((104&gt;Corte)*(104&lt;=Corte+n_Ventana)*ISNUMBER(Detalle_24m!DE$154:DE$183)*Detalle_24m!DE$154:DE$183+(1-(104&gt;Corte)*(104&lt;=Corte+n_Ventana)*ISNUMBER(Detalle_24m!DE$154:DE$183))*INDEX(Dot_V,0,MIN(10,DE$173))*(DE$171+DE$172*V_PreDir)))</f>
        <v>52</v>
      </c>
      <c r="DF233" s="50" t="n">
        <f aca="false">SUMPRODUCT((Per_Clase="Directo")*((105&gt;Corte)*(105&lt;=Corte+n_Ventana)*ISNUMBER(Detalle_24m!DF$154:DF$183)*Detalle_24m!DF$154:DF$183+(1-(105&gt;Corte)*(105&lt;=Corte+n_Ventana)*ISNUMBER(Detalle_24m!DF$154:DF$183))*INDEX(Dot_V,0,MIN(10,DF$173))*(DF$171+DF$172*V_PreDir)))</f>
        <v>52</v>
      </c>
      <c r="DG233" s="50" t="n">
        <f aca="false">SUMPRODUCT((Per_Clase="Directo")*((106&gt;Corte)*(106&lt;=Corte+n_Ventana)*ISNUMBER(Detalle_24m!DG$154:DG$183)*Detalle_24m!DG$154:DG$183+(1-(106&gt;Corte)*(106&lt;=Corte+n_Ventana)*ISNUMBER(Detalle_24m!DG$154:DG$183))*INDEX(Dot_V,0,MIN(10,DG$173))*(DG$171+DG$172*V_PreDir)))</f>
        <v>52</v>
      </c>
      <c r="DH233" s="50" t="n">
        <f aca="false">SUMPRODUCT((Per_Clase="Directo")*((107&gt;Corte)*(107&lt;=Corte+n_Ventana)*ISNUMBER(Detalle_24m!DH$154:DH$183)*Detalle_24m!DH$154:DH$183+(1-(107&gt;Corte)*(107&lt;=Corte+n_Ventana)*ISNUMBER(Detalle_24m!DH$154:DH$183))*INDEX(Dot_V,0,MIN(10,DH$173))*(DH$171+DH$172*V_PreDir)))</f>
        <v>52</v>
      </c>
      <c r="DI233" s="50" t="n">
        <f aca="false">SUMPRODUCT((Per_Clase="Directo")*((108&gt;Corte)*(108&lt;=Corte+n_Ventana)*ISNUMBER(Detalle_24m!DI$154:DI$183)*Detalle_24m!DI$154:DI$183+(1-(108&gt;Corte)*(108&lt;=Corte+n_Ventana)*ISNUMBER(Detalle_24m!DI$154:DI$183))*INDEX(Dot_V,0,MIN(10,DI$173))*(DI$171+DI$172*V_PreDir)))</f>
        <v>52</v>
      </c>
      <c r="DJ233" s="50" t="n">
        <f aca="false">SUMPRODUCT((Per_Clase="Directo")*((109&gt;Corte)*(109&lt;=Corte+n_Ventana)*ISNUMBER(Detalle_24m!DJ$154:DJ$183)*Detalle_24m!DJ$154:DJ$183+(1-(109&gt;Corte)*(109&lt;=Corte+n_Ventana)*ISNUMBER(Detalle_24m!DJ$154:DJ$183))*INDEX(Dot_V,0,MIN(10,DJ$173))*(DJ$171+DJ$172*V_PreDir)))</f>
        <v>52</v>
      </c>
      <c r="DK233" s="50" t="n">
        <f aca="false">SUMPRODUCT((Per_Clase="Directo")*((110&gt;Corte)*(110&lt;=Corte+n_Ventana)*ISNUMBER(Detalle_24m!DK$154:DK$183)*Detalle_24m!DK$154:DK$183+(1-(110&gt;Corte)*(110&lt;=Corte+n_Ventana)*ISNUMBER(Detalle_24m!DK$154:DK$183))*INDEX(Dot_V,0,MIN(10,DK$173))*(DK$171+DK$172*V_PreDir)))</f>
        <v>52</v>
      </c>
      <c r="DL233" s="50" t="n">
        <f aca="false">SUMPRODUCT((Per_Clase="Directo")*((111&gt;Corte)*(111&lt;=Corte+n_Ventana)*ISNUMBER(Detalle_24m!DL$154:DL$183)*Detalle_24m!DL$154:DL$183+(1-(111&gt;Corte)*(111&lt;=Corte+n_Ventana)*ISNUMBER(Detalle_24m!DL$154:DL$183))*INDEX(Dot_V,0,MIN(10,DL$173))*(DL$171+DL$172*V_PreDir)))</f>
        <v>52</v>
      </c>
      <c r="DM233" s="50" t="n">
        <f aca="false">SUMPRODUCT((Per_Clase="Directo")*((112&gt;Corte)*(112&lt;=Corte+n_Ventana)*ISNUMBER(Detalle_24m!DM$154:DM$183)*Detalle_24m!DM$154:DM$183+(1-(112&gt;Corte)*(112&lt;=Corte+n_Ventana)*ISNUMBER(Detalle_24m!DM$154:DM$183))*INDEX(Dot_V,0,MIN(10,DM$173))*(DM$171+DM$172*V_PreDir)))</f>
        <v>52</v>
      </c>
      <c r="DN233" s="50" t="n">
        <f aca="false">SUMPRODUCT((Per_Clase="Directo")*((113&gt;Corte)*(113&lt;=Corte+n_Ventana)*ISNUMBER(Detalle_24m!DN$154:DN$183)*Detalle_24m!DN$154:DN$183+(1-(113&gt;Corte)*(113&lt;=Corte+n_Ventana)*ISNUMBER(Detalle_24m!DN$154:DN$183))*INDEX(Dot_V,0,MIN(10,DN$173))*(DN$171+DN$172*V_PreDir)))</f>
        <v>52</v>
      </c>
      <c r="DO233" s="50" t="n">
        <f aca="false">SUMPRODUCT((Per_Clase="Directo")*((114&gt;Corte)*(114&lt;=Corte+n_Ventana)*ISNUMBER(Detalle_24m!DO$154:DO$183)*Detalle_24m!DO$154:DO$183+(1-(114&gt;Corte)*(114&lt;=Corte+n_Ventana)*ISNUMBER(Detalle_24m!DO$154:DO$183))*INDEX(Dot_V,0,MIN(10,DO$173))*(DO$171+DO$172*V_PreDir)))</f>
        <v>52</v>
      </c>
      <c r="DP233" s="50" t="n">
        <f aca="false">SUMPRODUCT((Per_Clase="Directo")*((115&gt;Corte)*(115&lt;=Corte+n_Ventana)*ISNUMBER(Detalle_24m!DP$154:DP$183)*Detalle_24m!DP$154:DP$183+(1-(115&gt;Corte)*(115&lt;=Corte+n_Ventana)*ISNUMBER(Detalle_24m!DP$154:DP$183))*INDEX(Dot_V,0,MIN(10,DP$173))*(DP$171+DP$172*V_PreDir)))</f>
        <v>52</v>
      </c>
      <c r="DQ233" s="50" t="n">
        <f aca="false">SUMPRODUCT((Per_Clase="Directo")*((116&gt;Corte)*(116&lt;=Corte+n_Ventana)*ISNUMBER(Detalle_24m!DQ$154:DQ$183)*Detalle_24m!DQ$154:DQ$183+(1-(116&gt;Corte)*(116&lt;=Corte+n_Ventana)*ISNUMBER(Detalle_24m!DQ$154:DQ$183))*INDEX(Dot_V,0,MIN(10,DQ$173))*(DQ$171+DQ$172*V_PreDir)))</f>
        <v>52</v>
      </c>
      <c r="DR233" s="50" t="n">
        <f aca="false">SUMPRODUCT((Per_Clase="Directo")*((117&gt;Corte)*(117&lt;=Corte+n_Ventana)*ISNUMBER(Detalle_24m!DR$154:DR$183)*Detalle_24m!DR$154:DR$183+(1-(117&gt;Corte)*(117&lt;=Corte+n_Ventana)*ISNUMBER(Detalle_24m!DR$154:DR$183))*INDEX(Dot_V,0,MIN(10,DR$173))*(DR$171+DR$172*V_PreDir)))</f>
        <v>52</v>
      </c>
      <c r="DS233" s="50" t="n">
        <f aca="false">SUMPRODUCT((Per_Clase="Directo")*((118&gt;Corte)*(118&lt;=Corte+n_Ventana)*ISNUMBER(Detalle_24m!DS$154:DS$183)*Detalle_24m!DS$154:DS$183+(1-(118&gt;Corte)*(118&lt;=Corte+n_Ventana)*ISNUMBER(Detalle_24m!DS$154:DS$183))*INDEX(Dot_V,0,MIN(10,DS$173))*(DS$171+DS$172*V_PreDir)))</f>
        <v>52</v>
      </c>
      <c r="DT233" s="50" t="n">
        <f aca="false">SUMPRODUCT((Per_Clase="Directo")*((119&gt;Corte)*(119&lt;=Corte+n_Ventana)*ISNUMBER(Detalle_24m!DT$154:DT$183)*Detalle_24m!DT$154:DT$183+(1-(119&gt;Corte)*(119&lt;=Corte+n_Ventana)*ISNUMBER(Detalle_24m!DT$154:DT$183))*INDEX(Dot_V,0,MIN(10,DT$173))*(DT$171+DT$172*V_PreDir)))</f>
        <v>52</v>
      </c>
      <c r="DU233" s="50" t="n">
        <f aca="false">SUMPRODUCT((Per_Clase="Directo")*((120&gt;Corte)*(120&lt;=Corte+n_Ventana)*ISNUMBER(Detalle_24m!DU$154:DU$183)*Detalle_24m!DU$154:DU$183+(1-(120&gt;Corte)*(120&lt;=Corte+n_Ventana)*ISNUMBER(Detalle_24m!DU$154:DU$183))*INDEX(Dot_V,0,MIN(10,DU$173))*(DU$171+DU$172*V_PreDir)))</f>
        <v>52</v>
      </c>
      <c r="DV233" s="50" t="n">
        <f aca="false">SUMPRODUCT((Per_Clase="Directo")*((121&gt;Corte)*(121&lt;=Corte+n_Ventana)*ISNUMBER(Detalle_24m!DV$154:DV$183)*Detalle_24m!DV$154:DV$183+(1-(121&gt;Corte)*(121&lt;=Corte+n_Ventana)*ISNUMBER(Detalle_24m!DV$154:DV$183))*INDEX(Dot_V,0,MIN(10,DV$173))*(DV$171+DV$172*V_PreDir)))</f>
        <v>0</v>
      </c>
      <c r="DW233" s="50" t="n">
        <f aca="false">SUMPRODUCT((Per_Clase="Directo")*((122&gt;Corte)*(122&lt;=Corte+n_Ventana)*ISNUMBER(Detalle_24m!DW$154:DW$183)*Detalle_24m!DW$154:DW$183+(1-(122&gt;Corte)*(122&lt;=Corte+n_Ventana)*ISNUMBER(Detalle_24m!DW$154:DW$183))*INDEX(Dot_V,0,MIN(10,DW$173))*(DW$171+DW$172*V_PreDir)))</f>
        <v>0</v>
      </c>
      <c r="DX233" s="50" t="n">
        <f aca="false">SUMPRODUCT((Per_Clase="Directo")*((123&gt;Corte)*(123&lt;=Corte+n_Ventana)*ISNUMBER(Detalle_24m!DX$154:DX$183)*Detalle_24m!DX$154:DX$183+(1-(123&gt;Corte)*(123&lt;=Corte+n_Ventana)*ISNUMBER(Detalle_24m!DX$154:DX$183))*INDEX(Dot_V,0,MIN(10,DX$173))*(DX$171+DX$172*V_PreDir)))</f>
        <v>0</v>
      </c>
      <c r="DY233" s="50" t="n">
        <f aca="false">SUMPRODUCT((Per_Clase="Directo")*((124&gt;Corte)*(124&lt;=Corte+n_Ventana)*ISNUMBER(Detalle_24m!DY$154:DY$183)*Detalle_24m!DY$154:DY$183+(1-(124&gt;Corte)*(124&lt;=Corte+n_Ventana)*ISNUMBER(Detalle_24m!DY$154:DY$183))*INDEX(Dot_V,0,MIN(10,DY$173))*(DY$171+DY$172*V_PreDir)))</f>
        <v>0</v>
      </c>
      <c r="DZ233" s="50" t="n">
        <f aca="false">SUMPRODUCT((Per_Clase="Directo")*((125&gt;Corte)*(125&lt;=Corte+n_Ventana)*ISNUMBER(Detalle_24m!DZ$154:DZ$183)*Detalle_24m!DZ$154:DZ$183+(1-(125&gt;Corte)*(125&lt;=Corte+n_Ventana)*ISNUMBER(Detalle_24m!DZ$154:DZ$183))*INDEX(Dot_V,0,MIN(10,DZ$173))*(DZ$171+DZ$172*V_PreDir)))</f>
        <v>0</v>
      </c>
      <c r="EA233" s="50" t="n">
        <f aca="false">SUMPRODUCT((Per_Clase="Directo")*((126&gt;Corte)*(126&lt;=Corte+n_Ventana)*ISNUMBER(Detalle_24m!EA$154:EA$183)*Detalle_24m!EA$154:EA$183+(1-(126&gt;Corte)*(126&lt;=Corte+n_Ventana)*ISNUMBER(Detalle_24m!EA$154:EA$183))*INDEX(Dot_V,0,MIN(10,EA$173))*(EA$171+EA$172*V_PreDir)))</f>
        <v>0</v>
      </c>
      <c r="EB233" s="50" t="n">
        <f aca="false">SUMPRODUCT((Per_Clase="Directo")*((127&gt;Corte)*(127&lt;=Corte+n_Ventana)*ISNUMBER(Detalle_24m!EB$154:EB$183)*Detalle_24m!EB$154:EB$183+(1-(127&gt;Corte)*(127&lt;=Corte+n_Ventana)*ISNUMBER(Detalle_24m!EB$154:EB$183))*INDEX(Dot_V,0,MIN(10,EB$173))*(EB$171+EB$172*V_PreDir)))</f>
        <v>0</v>
      </c>
      <c r="EC233" s="50" t="n">
        <f aca="false">SUMPRODUCT((Per_Clase="Directo")*((128&gt;Corte)*(128&lt;=Corte+n_Ventana)*ISNUMBER(Detalle_24m!EC$154:EC$183)*Detalle_24m!EC$154:EC$183+(1-(128&gt;Corte)*(128&lt;=Corte+n_Ventana)*ISNUMBER(Detalle_24m!EC$154:EC$183))*INDEX(Dot_V,0,MIN(10,EC$173))*(EC$171+EC$172*V_PreDir)))</f>
        <v>0</v>
      </c>
      <c r="ED233" s="50" t="n">
        <f aca="false">SUMPRODUCT((Per_Clase="Directo")*((129&gt;Corte)*(129&lt;=Corte+n_Ventana)*ISNUMBER(Detalle_24m!ED$154:ED$183)*Detalle_24m!ED$154:ED$183+(1-(129&gt;Corte)*(129&lt;=Corte+n_Ventana)*ISNUMBER(Detalle_24m!ED$154:ED$183))*INDEX(Dot_V,0,MIN(10,ED$173))*(ED$171+ED$172*V_PreDir)))</f>
        <v>0</v>
      </c>
      <c r="EE233" s="50" t="n">
        <f aca="false">SUMPRODUCT((Per_Clase="Directo")*((130&gt;Corte)*(130&lt;=Corte+n_Ventana)*ISNUMBER(Detalle_24m!EE$154:EE$183)*Detalle_24m!EE$154:EE$183+(1-(130&gt;Corte)*(130&lt;=Corte+n_Ventana)*ISNUMBER(Detalle_24m!EE$154:EE$183))*INDEX(Dot_V,0,MIN(10,EE$173))*(EE$171+EE$172*V_PreDir)))</f>
        <v>0</v>
      </c>
      <c r="EF233" s="50" t="n">
        <f aca="false">SUMPRODUCT((Per_Clase="Directo")*((131&gt;Corte)*(131&lt;=Corte+n_Ventana)*ISNUMBER(Detalle_24m!EF$154:EF$183)*Detalle_24m!EF$154:EF$183+(1-(131&gt;Corte)*(131&lt;=Corte+n_Ventana)*ISNUMBER(Detalle_24m!EF$154:EF$183))*INDEX(Dot_V,0,MIN(10,EF$173))*(EF$171+EF$172*V_PreDir)))</f>
        <v>0</v>
      </c>
      <c r="EG233" s="50" t="n">
        <f aca="false">SUMPRODUCT((Per_Clase="Directo")*((132&gt;Corte)*(132&lt;=Corte+n_Ventana)*ISNUMBER(Detalle_24m!EG$154:EG$183)*Detalle_24m!EG$154:EG$183+(1-(132&gt;Corte)*(132&lt;=Corte+n_Ventana)*ISNUMBER(Detalle_24m!EG$154:EG$183))*INDEX(Dot_V,0,MIN(10,EG$173))*(EG$171+EG$172*V_PreDir)))</f>
        <v>0</v>
      </c>
      <c r="EH233" s="50" t="n">
        <f aca="false">SUMPRODUCT((Per_Clase="Directo")*((133&gt;Corte)*(133&lt;=Corte+n_Ventana)*ISNUMBER(Detalle_24m!EH$154:EH$183)*Detalle_24m!EH$154:EH$183+(1-(133&gt;Corte)*(133&lt;=Corte+n_Ventana)*ISNUMBER(Detalle_24m!EH$154:EH$183))*INDEX(Dot_V,0,MIN(10,EH$173))*(EH$171+EH$172*V_PreDir)))</f>
        <v>0</v>
      </c>
      <c r="EI233" s="50" t="n">
        <f aca="false">SUMPRODUCT((Per_Clase="Directo")*((134&gt;Corte)*(134&lt;=Corte+n_Ventana)*ISNUMBER(Detalle_24m!EI$154:EI$183)*Detalle_24m!EI$154:EI$183+(1-(134&gt;Corte)*(134&lt;=Corte+n_Ventana)*ISNUMBER(Detalle_24m!EI$154:EI$183))*INDEX(Dot_V,0,MIN(10,EI$173))*(EI$171+EI$172*V_PreDir)))</f>
        <v>0</v>
      </c>
      <c r="EJ233" s="50" t="n">
        <f aca="false">SUMPRODUCT((Per_Clase="Directo")*((135&gt;Corte)*(135&lt;=Corte+n_Ventana)*ISNUMBER(Detalle_24m!EJ$154:EJ$183)*Detalle_24m!EJ$154:EJ$183+(1-(135&gt;Corte)*(135&lt;=Corte+n_Ventana)*ISNUMBER(Detalle_24m!EJ$154:EJ$183))*INDEX(Dot_V,0,MIN(10,EJ$173))*(EJ$171+EJ$172*V_PreDir)))</f>
        <v>0</v>
      </c>
      <c r="EK233" s="50" t="n">
        <f aca="false">SUMPRODUCT((Per_Clase="Directo")*((136&gt;Corte)*(136&lt;=Corte+n_Ventana)*ISNUMBER(Detalle_24m!EK$154:EK$183)*Detalle_24m!EK$154:EK$183+(1-(136&gt;Corte)*(136&lt;=Corte+n_Ventana)*ISNUMBER(Detalle_24m!EK$154:EK$183))*INDEX(Dot_V,0,MIN(10,EK$173))*(EK$171+EK$172*V_PreDir)))</f>
        <v>0</v>
      </c>
      <c r="EL233" s="50" t="n">
        <f aca="false">SUMPRODUCT((Per_Clase="Directo")*((137&gt;Corte)*(137&lt;=Corte+n_Ventana)*ISNUMBER(Detalle_24m!EL$154:EL$183)*Detalle_24m!EL$154:EL$183+(1-(137&gt;Corte)*(137&lt;=Corte+n_Ventana)*ISNUMBER(Detalle_24m!EL$154:EL$183))*INDEX(Dot_V,0,MIN(10,EL$173))*(EL$171+EL$172*V_PreDir)))</f>
        <v>0</v>
      </c>
      <c r="EM233" s="50" t="n">
        <f aca="false">SUMPRODUCT((Per_Clase="Directo")*((138&gt;Corte)*(138&lt;=Corte+n_Ventana)*ISNUMBER(Detalle_24m!EM$154:EM$183)*Detalle_24m!EM$154:EM$183+(1-(138&gt;Corte)*(138&lt;=Corte+n_Ventana)*ISNUMBER(Detalle_24m!EM$154:EM$183))*INDEX(Dot_V,0,MIN(10,EM$173))*(EM$171+EM$172*V_PreDir)))</f>
        <v>0</v>
      </c>
      <c r="EN233" s="50" t="n">
        <f aca="false">SUMPRODUCT((Per_Clase="Directo")*((139&gt;Corte)*(139&lt;=Corte+n_Ventana)*ISNUMBER(Detalle_24m!EN$154:EN$183)*Detalle_24m!EN$154:EN$183+(1-(139&gt;Corte)*(139&lt;=Corte+n_Ventana)*ISNUMBER(Detalle_24m!EN$154:EN$183))*INDEX(Dot_V,0,MIN(10,EN$173))*(EN$171+EN$172*V_PreDir)))</f>
        <v>0</v>
      </c>
      <c r="EO233" s="50" t="n">
        <f aca="false">SUMPRODUCT((Per_Clase="Directo")*((140&gt;Corte)*(140&lt;=Corte+n_Ventana)*ISNUMBER(Detalle_24m!EO$154:EO$183)*Detalle_24m!EO$154:EO$183+(1-(140&gt;Corte)*(140&lt;=Corte+n_Ventana)*ISNUMBER(Detalle_24m!EO$154:EO$183))*INDEX(Dot_V,0,MIN(10,EO$173))*(EO$171+EO$172*V_PreDir)))</f>
        <v>0</v>
      </c>
      <c r="EP233" s="50" t="n">
        <f aca="false">SUMPRODUCT((Per_Clase="Directo")*((141&gt;Corte)*(141&lt;=Corte+n_Ventana)*ISNUMBER(Detalle_24m!EP$154:EP$183)*Detalle_24m!EP$154:EP$183+(1-(141&gt;Corte)*(141&lt;=Corte+n_Ventana)*ISNUMBER(Detalle_24m!EP$154:EP$183))*INDEX(Dot_V,0,MIN(10,EP$173))*(EP$171+EP$172*V_PreDir)))</f>
        <v>0</v>
      </c>
      <c r="EQ233" s="50" t="n">
        <f aca="false">SUMPRODUCT((Per_Clase="Directo")*((142&gt;Corte)*(142&lt;=Corte+n_Ventana)*ISNUMBER(Detalle_24m!EQ$154:EQ$183)*Detalle_24m!EQ$154:EQ$183+(1-(142&gt;Corte)*(142&lt;=Corte+n_Ventana)*ISNUMBER(Detalle_24m!EQ$154:EQ$183))*INDEX(Dot_V,0,MIN(10,EQ$173))*(EQ$171+EQ$172*V_PreDir)))</f>
        <v>0</v>
      </c>
      <c r="ER233" s="50" t="n">
        <f aca="false">SUMPRODUCT((Per_Clase="Directo")*((143&gt;Corte)*(143&lt;=Corte+n_Ventana)*ISNUMBER(Detalle_24m!ER$154:ER$183)*Detalle_24m!ER$154:ER$183+(1-(143&gt;Corte)*(143&lt;=Corte+n_Ventana)*ISNUMBER(Detalle_24m!ER$154:ER$183))*INDEX(Dot_V,0,MIN(10,ER$173))*(ER$171+ER$172*V_PreDir)))</f>
        <v>0</v>
      </c>
      <c r="ES233" s="50" t="n">
        <f aca="false">SUMPRODUCT((Per_Clase="Directo")*((144&gt;Corte)*(144&lt;=Corte+n_Ventana)*ISNUMBER(Detalle_24m!ES$154:ES$183)*Detalle_24m!ES$154:ES$183+(1-(144&gt;Corte)*(144&lt;=Corte+n_Ventana)*ISNUMBER(Detalle_24m!ES$154:ES$183))*INDEX(Dot_V,0,MIN(10,ES$173))*(ES$171+ES$172*V_PreDir)))</f>
        <v>0</v>
      </c>
    </row>
    <row r="234" customFormat="false" ht="15" hidden="false" customHeight="false" outlineLevel="0" collapsed="false">
      <c r="A234" s="11" t="s">
        <v>1356</v>
      </c>
      <c r="B234" s="15" t="s">
        <v>1130</v>
      </c>
      <c r="C234" s="15" t="s">
        <v>508</v>
      </c>
      <c r="E234" s="54" t="n">
        <f aca="false">SUM(F234:ES234)</f>
        <v>4532548.91505156</v>
      </c>
      <c r="F234" s="48" t="n">
        <f aca="false">SUMPRODUCT((Per_Clase="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Dir))*((Per_Mon="PYG")*F$175+(Per_Mon&lt;&gt;"PYG")))*(1+V_Cargas)+F$233*V_Alim*F$175</f>
        <v>32622.2257971233</v>
      </c>
      <c r="G234" s="48" t="n">
        <f aca="false">SUMPRODUCT((Per_Clase="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Dir))*((Per_Mon="PYG")*G$175+(Per_Mon&lt;&gt;"PYG")))*(1+V_Cargas)+G$233*V_Alim*G$175</f>
        <v>32622.2257971233</v>
      </c>
      <c r="H234" s="48" t="n">
        <f aca="false">SUMPRODUCT((Per_Clase="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Dir))*((Per_Mon="PYG")*H$175+(Per_Mon&lt;&gt;"PYG")))*(1+V_Cargas)+H$233*V_Alim*H$175</f>
        <v>32622.2257971233</v>
      </c>
      <c r="I234" s="48" t="n">
        <f aca="false">SUMPRODUCT((Per_Clase="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Dir))*((Per_Mon="PYG")*I$175+(Per_Mon&lt;&gt;"PYG")))*(1+V_Cargas)+I$233*V_Alim*I$175</f>
        <v>32622.2257971233</v>
      </c>
      <c r="J234" s="48" t="n">
        <f aca="false">SUMPRODUCT((Per_Clase="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Dir))*((Per_Mon="PYG")*J$175+(Per_Mon&lt;&gt;"PYG")))*(1+V_Cargas)+J$233*V_Alim*J$175</f>
        <v>32622.2257971233</v>
      </c>
      <c r="K234" s="48" t="n">
        <f aca="false">SUMPRODUCT((Per_Clase="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Dir))*((Per_Mon="PYG")*K$175+(Per_Mon&lt;&gt;"PYG")))*(1+V_Cargas)+K$233*V_Alim*K$175</f>
        <v>32622.2257971233</v>
      </c>
      <c r="L234" s="48" t="n">
        <f aca="false">SUMPRODUCT((Per_Clase="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Dir))*((Per_Mon="PYG")*L$175+(Per_Mon&lt;&gt;"PYG")))*(1+V_Cargas)+L$233*V_Alim*L$175</f>
        <v>32622.2257971233</v>
      </c>
      <c r="M234" s="48" t="n">
        <f aca="false">SUMPRODUCT((Per_Clase="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Dir))*((Per_Mon="PYG")*M$175+(Per_Mon&lt;&gt;"PYG")))*(1+V_Cargas)+M$233*V_Alim*M$175</f>
        <v>32622.2257971233</v>
      </c>
      <c r="N234" s="48" t="n">
        <f aca="false">SUMPRODUCT((Per_Clase="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Dir))*((Per_Mon="PYG")*N$175+(Per_Mon&lt;&gt;"PYG")))*(1+V_Cargas)+N$233*V_Alim*N$175</f>
        <v>32622.2257971233</v>
      </c>
      <c r="O234" s="48" t="n">
        <f aca="false">SUMPRODUCT((Per_Clase="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Dir))*((Per_Mon="PYG")*O$175+(Per_Mon&lt;&gt;"PYG")))*(1+V_Cargas)+O$233*V_Alim*O$175</f>
        <v>32622.2257971233</v>
      </c>
      <c r="P234" s="48" t="n">
        <f aca="false">SUMPRODUCT((Per_Clase="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Dir))*((Per_Mon="PYG")*P$175+(Per_Mon&lt;&gt;"PYG")))*(1+V_Cargas)+P$233*V_Alim*P$175</f>
        <v>32622.2257971233</v>
      </c>
      <c r="Q234" s="48" t="n">
        <f aca="false">SUMPRODUCT((Per_Clase="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Dir))*((Per_Mon="PYG")*Q$175+(Per_Mon&lt;&gt;"PYG")))*(1+V_Cargas)+Q$233*V_Alim*Q$175</f>
        <v>32622.2257971233</v>
      </c>
      <c r="R234" s="48" t="n">
        <f aca="false">SUMPRODUCT((Per_Clase="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Dir))*((Per_Mon="PYG")*R$175+(Per_Mon&lt;&gt;"PYG")))*(1+V_Cargas)+R$233*V_Alim*R$175</f>
        <v>32622.2257971233</v>
      </c>
      <c r="S234" s="48" t="n">
        <f aca="false">SUMPRODUCT((Per_Clase="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Dir))*((Per_Mon="PYG")*S$175+(Per_Mon&lt;&gt;"PYG")))*(1+V_Cargas)+S$233*V_Alim*S$175</f>
        <v>32622.2257971233</v>
      </c>
      <c r="T234" s="48" t="n">
        <f aca="false">SUMPRODUCT((Per_Clase="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Dir))*((Per_Mon="PYG")*T$175+(Per_Mon&lt;&gt;"PYG")))*(1+V_Cargas)+T$233*V_Alim*T$175</f>
        <v>32622.2257971233</v>
      </c>
      <c r="U234" s="48" t="n">
        <f aca="false">SUMPRODUCT((Per_Clase="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Dir))*((Per_Mon="PYG")*U$175+(Per_Mon&lt;&gt;"PYG")))*(1+V_Cargas)+U$233*V_Alim*U$175</f>
        <v>32622.2257971233</v>
      </c>
      <c r="V234" s="48" t="n">
        <f aca="false">SUMPRODUCT((Per_Clase="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Dir))*((Per_Mon="PYG")*V$175+(Per_Mon&lt;&gt;"PYG")))*(1+V_Cargas)+V$233*V_Alim*V$175</f>
        <v>32622.2257971233</v>
      </c>
      <c r="W234" s="48" t="n">
        <f aca="false">SUMPRODUCT((Per_Clase="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Dir))*((Per_Mon="PYG")*W$175+(Per_Mon&lt;&gt;"PYG")))*(1+V_Cargas)+W$233*V_Alim*W$175</f>
        <v>32622.2257971233</v>
      </c>
      <c r="X234" s="48" t="n">
        <f aca="false">SUMPRODUCT((Per_Clase="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Dir))*((Per_Mon="PYG")*X$175+(Per_Mon&lt;&gt;"PYG")))*(1+V_Cargas)+X$233*V_Alim*X$175</f>
        <v>32622.2257971233</v>
      </c>
      <c r="Y234" s="48" t="n">
        <f aca="false">SUMPRODUCT((Per_Clase="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Dir))*((Per_Mon="PYG")*Y$175+(Per_Mon&lt;&gt;"PYG")))*(1+V_Cargas)+Y$233*V_Alim*Y$175</f>
        <v>32622.2257971233</v>
      </c>
      <c r="Z234" s="48" t="n">
        <f aca="false">SUMPRODUCT((Per_Clase="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Dir))*((Per_Mon="PYG")*Z$175+(Per_Mon&lt;&gt;"PYG")))*(1+V_Cargas)+Z$233*V_Alim*Z$175</f>
        <v>32622.2257971233</v>
      </c>
      <c r="AA234" s="48" t="n">
        <f aca="false">SUMPRODUCT((Per_Clase="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Dir))*((Per_Mon="PYG")*AA$175+(Per_Mon&lt;&gt;"PYG")))*(1+V_Cargas)+AA$233*V_Alim*AA$175</f>
        <v>32622.2257971233</v>
      </c>
      <c r="AB234" s="48" t="n">
        <f aca="false">SUMPRODUCT((Per_Clase="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Dir))*((Per_Mon="PYG")*AB$175+(Per_Mon&lt;&gt;"PYG")))*(1+V_Cargas)+AB$233*V_Alim*AB$175</f>
        <v>32622.2257971233</v>
      </c>
      <c r="AC234" s="48" t="n">
        <f aca="false">SUMPRODUCT((Per_Clase="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Dir))*((Per_Mon="PYG")*AC$175+(Per_Mon&lt;&gt;"PYG")))*(1+V_Cargas)+AC$233*V_Alim*AC$175</f>
        <v>32622.2257971233</v>
      </c>
      <c r="AD234" s="48" t="n">
        <f aca="false">SUMPRODUCT((Per_Clase="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Dir))*((Per_Mon="PYG")*AD$175+(Per_Mon&lt;&gt;"PYG")))*(1+V_Cargas)+AD$233*V_Alim*AD$175</f>
        <v>35267.6436408904</v>
      </c>
      <c r="AE234" s="48" t="n">
        <f aca="false">SUMPRODUCT((Per_Clase="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Dir))*((Per_Mon="PYG")*AE$175+(Per_Mon&lt;&gt;"PYG")))*(1+V_Cargas)+AE$233*V_Alim*AE$175</f>
        <v>35267.6436408904</v>
      </c>
      <c r="AF234" s="48" t="n">
        <f aca="false">SUMPRODUCT((Per_Clase="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Dir))*((Per_Mon="PYG")*AF$175+(Per_Mon&lt;&gt;"PYG")))*(1+V_Cargas)+AF$233*V_Alim*AF$175</f>
        <v>35267.6436408904</v>
      </c>
      <c r="AG234" s="48" t="n">
        <f aca="false">SUMPRODUCT((Per_Clase="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Dir))*((Per_Mon="PYG")*AG$175+(Per_Mon&lt;&gt;"PYG")))*(1+V_Cargas)+AG$233*V_Alim*AG$175</f>
        <v>35267.6436408904</v>
      </c>
      <c r="AH234" s="48" t="n">
        <f aca="false">SUMPRODUCT((Per_Clase="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Dir))*((Per_Mon="PYG")*AH$175+(Per_Mon&lt;&gt;"PYG")))*(1+V_Cargas)+AH$233*V_Alim*AH$175</f>
        <v>35267.6436408904</v>
      </c>
      <c r="AI234" s="48" t="n">
        <f aca="false">SUMPRODUCT((Per_Clase="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Dir))*((Per_Mon="PYG")*AI$175+(Per_Mon&lt;&gt;"PYG")))*(1+V_Cargas)+AI$233*V_Alim*AI$175</f>
        <v>35267.6436408904</v>
      </c>
      <c r="AJ234" s="48" t="n">
        <f aca="false">SUMPRODUCT((Per_Clase="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Dir))*((Per_Mon="PYG")*AJ$175+(Per_Mon&lt;&gt;"PYG")))*(1+V_Cargas)+AJ$233*V_Alim*AJ$175</f>
        <v>35267.6436408904</v>
      </c>
      <c r="AK234" s="48" t="n">
        <f aca="false">SUMPRODUCT((Per_Clase="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Dir))*((Per_Mon="PYG")*AK$175+(Per_Mon&lt;&gt;"PYG")))*(1+V_Cargas)+AK$233*V_Alim*AK$175</f>
        <v>35267.6436408904</v>
      </c>
      <c r="AL234" s="48" t="n">
        <f aca="false">SUMPRODUCT((Per_Clase="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Dir))*((Per_Mon="PYG")*AL$175+(Per_Mon&lt;&gt;"PYG")))*(1+V_Cargas)+AL$233*V_Alim*AL$175</f>
        <v>35267.6436408904</v>
      </c>
      <c r="AM234" s="48" t="n">
        <f aca="false">SUMPRODUCT((Per_Clase="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Dir))*((Per_Mon="PYG")*AM$175+(Per_Mon&lt;&gt;"PYG")))*(1+V_Cargas)+AM$233*V_Alim*AM$175</f>
        <v>35267.6436408904</v>
      </c>
      <c r="AN234" s="48" t="n">
        <f aca="false">SUMPRODUCT((Per_Clase="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Dir))*((Per_Mon="PYG")*AN$175+(Per_Mon&lt;&gt;"PYG")))*(1+V_Cargas)+AN$233*V_Alim*AN$175</f>
        <v>35267.6436408904</v>
      </c>
      <c r="AO234" s="48" t="n">
        <f aca="false">SUMPRODUCT((Per_Clase="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Dir))*((Per_Mon="PYG")*AO$175+(Per_Mon&lt;&gt;"PYG")))*(1+V_Cargas)+AO$233*V_Alim*AO$175</f>
        <v>35267.6436408904</v>
      </c>
      <c r="AP234" s="48" t="n">
        <f aca="false">SUMPRODUCT((Per_Clase="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Dir))*((Per_Mon="PYG")*AP$175+(Per_Mon&lt;&gt;"PYG")))*(1+V_Cargas)+AP$233*V_Alim*AP$175</f>
        <v>37386.0127952877</v>
      </c>
      <c r="AQ234" s="48" t="n">
        <f aca="false">SUMPRODUCT((Per_Clase="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Dir))*((Per_Mon="PYG")*AQ$175+(Per_Mon&lt;&gt;"PYG")))*(1+V_Cargas)+AQ$233*V_Alim*AQ$175</f>
        <v>37386.0127952877</v>
      </c>
      <c r="AR234" s="48" t="n">
        <f aca="false">SUMPRODUCT((Per_Clase="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Dir))*((Per_Mon="PYG")*AR$175+(Per_Mon&lt;&gt;"PYG")))*(1+V_Cargas)+AR$233*V_Alim*AR$175</f>
        <v>37386.0127952877</v>
      </c>
      <c r="AS234" s="48" t="n">
        <f aca="false">SUMPRODUCT((Per_Clase="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Dir))*((Per_Mon="PYG")*AS$175+(Per_Mon&lt;&gt;"PYG")))*(1+V_Cargas)+AS$233*V_Alim*AS$175</f>
        <v>37386.0127952877</v>
      </c>
      <c r="AT234" s="48" t="n">
        <f aca="false">SUMPRODUCT((Per_Clase="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Dir))*((Per_Mon="PYG")*AT$175+(Per_Mon&lt;&gt;"PYG")))*(1+V_Cargas)+AT$233*V_Alim*AT$175</f>
        <v>37386.0127952877</v>
      </c>
      <c r="AU234" s="48" t="n">
        <f aca="false">SUMPRODUCT((Per_Clase="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Dir))*((Per_Mon="PYG")*AU$175+(Per_Mon&lt;&gt;"PYG")))*(1+V_Cargas)+AU$233*V_Alim*AU$175</f>
        <v>37386.0127952877</v>
      </c>
      <c r="AV234" s="48" t="n">
        <f aca="false">SUMPRODUCT((Per_Clase="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Dir))*((Per_Mon="PYG")*AV$175+(Per_Mon&lt;&gt;"PYG")))*(1+V_Cargas)+AV$233*V_Alim*AV$175</f>
        <v>37386.0127952877</v>
      </c>
      <c r="AW234" s="48" t="n">
        <f aca="false">SUMPRODUCT((Per_Clase="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Dir))*((Per_Mon="PYG")*AW$175+(Per_Mon&lt;&gt;"PYG")))*(1+V_Cargas)+AW$233*V_Alim*AW$175</f>
        <v>37386.0127952877</v>
      </c>
      <c r="AX234" s="48" t="n">
        <f aca="false">SUMPRODUCT((Per_Clase="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Dir))*((Per_Mon="PYG")*AX$175+(Per_Mon&lt;&gt;"PYG")))*(1+V_Cargas)+AX$233*V_Alim*AX$175</f>
        <v>37386.0127952877</v>
      </c>
      <c r="AY234" s="48" t="n">
        <f aca="false">SUMPRODUCT((Per_Clase="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Dir))*((Per_Mon="PYG")*AY$175+(Per_Mon&lt;&gt;"PYG")))*(1+V_Cargas)+AY$233*V_Alim*AY$175</f>
        <v>37386.0127952877</v>
      </c>
      <c r="AZ234" s="48" t="n">
        <f aca="false">SUMPRODUCT((Per_Clase="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Dir))*((Per_Mon="PYG")*AZ$175+(Per_Mon&lt;&gt;"PYG")))*(1+V_Cargas)+AZ$233*V_Alim*AZ$175</f>
        <v>37386.0127952877</v>
      </c>
      <c r="BA234" s="48" t="n">
        <f aca="false">SUMPRODUCT((Per_Clase="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Dir))*((Per_Mon="PYG")*BA$175+(Per_Mon&lt;&gt;"PYG")))*(1+V_Cargas)+BA$233*V_Alim*BA$175</f>
        <v>37386.0127952877</v>
      </c>
      <c r="BB234" s="48" t="n">
        <f aca="false">SUMPRODUCT((Per_Clase="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Dir))*((Per_Mon="PYG")*BB$175+(Per_Mon&lt;&gt;"PYG")))*(1+V_Cargas)+BB$233*V_Alim*BB$175</f>
        <v>39969.0502595343</v>
      </c>
      <c r="BC234" s="48" t="n">
        <f aca="false">SUMPRODUCT((Per_Clase="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Dir))*((Per_Mon="PYG")*BC$175+(Per_Mon&lt;&gt;"PYG")))*(1+V_Cargas)+BC$233*V_Alim*BC$175</f>
        <v>39969.0502595343</v>
      </c>
      <c r="BD234" s="48" t="n">
        <f aca="false">SUMPRODUCT((Per_Clase="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Dir))*((Per_Mon="PYG")*BD$175+(Per_Mon&lt;&gt;"PYG")))*(1+V_Cargas)+BD$233*V_Alim*BD$175</f>
        <v>39969.0502595343</v>
      </c>
      <c r="BE234" s="48" t="n">
        <f aca="false">SUMPRODUCT((Per_Clase="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Dir))*((Per_Mon="PYG")*BE$175+(Per_Mon&lt;&gt;"PYG")))*(1+V_Cargas)+BE$233*V_Alim*BE$175</f>
        <v>39969.0502595343</v>
      </c>
      <c r="BF234" s="48" t="n">
        <f aca="false">SUMPRODUCT((Per_Clase="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Dir))*((Per_Mon="PYG")*BF$175+(Per_Mon&lt;&gt;"PYG")))*(1+V_Cargas)+BF$233*V_Alim*BF$175</f>
        <v>39969.0502595343</v>
      </c>
      <c r="BG234" s="48" t="n">
        <f aca="false">SUMPRODUCT((Per_Clase="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Dir))*((Per_Mon="PYG")*BG$175+(Per_Mon&lt;&gt;"PYG")))*(1+V_Cargas)+BG$233*V_Alim*BG$175</f>
        <v>39969.0502595343</v>
      </c>
      <c r="BH234" s="48" t="n">
        <f aca="false">SUMPRODUCT((Per_Clase="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Dir))*((Per_Mon="PYG")*BH$175+(Per_Mon&lt;&gt;"PYG")))*(1+V_Cargas)+BH$233*V_Alim*BH$175</f>
        <v>39969.0502595343</v>
      </c>
      <c r="BI234" s="48" t="n">
        <f aca="false">SUMPRODUCT((Per_Clase="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Dir))*((Per_Mon="PYG")*BI$175+(Per_Mon&lt;&gt;"PYG")))*(1+V_Cargas)+BI$233*V_Alim*BI$175</f>
        <v>39969.0502595343</v>
      </c>
      <c r="BJ234" s="48" t="n">
        <f aca="false">SUMPRODUCT((Per_Clase="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Dir))*((Per_Mon="PYG")*BJ$175+(Per_Mon&lt;&gt;"PYG")))*(1+V_Cargas)+BJ$233*V_Alim*BJ$175</f>
        <v>39969.0502595343</v>
      </c>
      <c r="BK234" s="48" t="n">
        <f aca="false">SUMPRODUCT((Per_Clase="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Dir))*((Per_Mon="PYG")*BK$175+(Per_Mon&lt;&gt;"PYG")))*(1+V_Cargas)+BK$233*V_Alim*BK$175</f>
        <v>39969.0502595343</v>
      </c>
      <c r="BL234" s="48" t="n">
        <f aca="false">SUMPRODUCT((Per_Clase="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Dir))*((Per_Mon="PYG")*BL$175+(Per_Mon&lt;&gt;"PYG")))*(1+V_Cargas)+BL$233*V_Alim*BL$175</f>
        <v>39969.0502595343</v>
      </c>
      <c r="BM234" s="48" t="n">
        <f aca="false">SUMPRODUCT((Per_Clase="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Dir))*((Per_Mon="PYG")*BM$175+(Per_Mon&lt;&gt;"PYG")))*(1+V_Cargas)+BM$233*V_Alim*BM$175</f>
        <v>39969.0502595343</v>
      </c>
      <c r="BN234" s="48" t="n">
        <f aca="false">SUMPRODUCT((Per_Clase="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Dir))*((Per_Mon="PYG")*BN$175+(Per_Mon&lt;&gt;"PYG")))*(1+V_Cargas)+BN$233*V_Alim*BN$175</f>
        <v>39969.0502595343</v>
      </c>
      <c r="BO234" s="48" t="n">
        <f aca="false">SUMPRODUCT((Per_Clase="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Dir))*((Per_Mon="PYG")*BO$175+(Per_Mon&lt;&gt;"PYG")))*(1+V_Cargas)+BO$233*V_Alim*BO$175</f>
        <v>39969.0502595343</v>
      </c>
      <c r="BP234" s="48" t="n">
        <f aca="false">SUMPRODUCT((Per_Clase="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Dir))*((Per_Mon="PYG")*BP$175+(Per_Mon&lt;&gt;"PYG")))*(1+V_Cargas)+BP$233*V_Alim*BP$175</f>
        <v>39969.0502595343</v>
      </c>
      <c r="BQ234" s="48" t="n">
        <f aca="false">SUMPRODUCT((Per_Clase="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Dir))*((Per_Mon="PYG")*BQ$175+(Per_Mon&lt;&gt;"PYG")))*(1+V_Cargas)+BQ$233*V_Alim*BQ$175</f>
        <v>39969.0502595343</v>
      </c>
      <c r="BR234" s="48" t="n">
        <f aca="false">SUMPRODUCT((Per_Clase="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Dir))*((Per_Mon="PYG")*BR$175+(Per_Mon&lt;&gt;"PYG")))*(1+V_Cargas)+BR$233*V_Alim*BR$175</f>
        <v>39969.0502595343</v>
      </c>
      <c r="BS234" s="48" t="n">
        <f aca="false">SUMPRODUCT((Per_Clase="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Dir))*((Per_Mon="PYG")*BS$175+(Per_Mon&lt;&gt;"PYG")))*(1+V_Cargas)+BS$233*V_Alim*BS$175</f>
        <v>39969.0502595343</v>
      </c>
      <c r="BT234" s="48" t="n">
        <f aca="false">SUMPRODUCT((Per_Clase="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Dir))*((Per_Mon="PYG")*BT$175+(Per_Mon&lt;&gt;"PYG")))*(1+V_Cargas)+BT$233*V_Alim*BT$175</f>
        <v>39969.0502595343</v>
      </c>
      <c r="BU234" s="48" t="n">
        <f aca="false">SUMPRODUCT((Per_Clase="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Dir))*((Per_Mon="PYG")*BU$175+(Per_Mon&lt;&gt;"PYG")))*(1+V_Cargas)+BU$233*V_Alim*BU$175</f>
        <v>39969.0502595343</v>
      </c>
      <c r="BV234" s="48" t="n">
        <f aca="false">SUMPRODUCT((Per_Clase="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Dir))*((Per_Mon="PYG")*BV$175+(Per_Mon&lt;&gt;"PYG")))*(1+V_Cargas)+BV$233*V_Alim*BV$175</f>
        <v>39969.0502595343</v>
      </c>
      <c r="BW234" s="48" t="n">
        <f aca="false">SUMPRODUCT((Per_Clase="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Dir))*((Per_Mon="PYG")*BW$175+(Per_Mon&lt;&gt;"PYG")))*(1+V_Cargas)+BW$233*V_Alim*BW$175</f>
        <v>39969.0502595343</v>
      </c>
      <c r="BX234" s="48" t="n">
        <f aca="false">SUMPRODUCT((Per_Clase="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Dir))*((Per_Mon="PYG")*BX$175+(Per_Mon&lt;&gt;"PYG")))*(1+V_Cargas)+BX$233*V_Alim*BX$175</f>
        <v>39969.0502595343</v>
      </c>
      <c r="BY234" s="48" t="n">
        <f aca="false">SUMPRODUCT((Per_Clase="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Dir))*((Per_Mon="PYG")*BY$175+(Per_Mon&lt;&gt;"PYG")))*(1+V_Cargas)+BY$233*V_Alim*BY$175</f>
        <v>39969.0502595343</v>
      </c>
      <c r="BZ234" s="48" t="n">
        <f aca="false">SUMPRODUCT((Per_Clase="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Dir))*((Per_Mon="PYG")*BZ$175+(Per_Mon&lt;&gt;"PYG")))*(1+V_Cargas)+BZ$233*V_Alim*BZ$175</f>
        <v>39969.0502595343</v>
      </c>
      <c r="CA234" s="48" t="n">
        <f aca="false">SUMPRODUCT((Per_Clase="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Dir))*((Per_Mon="PYG")*CA$175+(Per_Mon&lt;&gt;"PYG")))*(1+V_Cargas)+CA$233*V_Alim*CA$175</f>
        <v>39969.0502595343</v>
      </c>
      <c r="CB234" s="48" t="n">
        <f aca="false">SUMPRODUCT((Per_Clase="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Dir))*((Per_Mon="PYG")*CB$175+(Per_Mon&lt;&gt;"PYG")))*(1+V_Cargas)+CB$233*V_Alim*CB$175</f>
        <v>39969.0502595343</v>
      </c>
      <c r="CC234" s="48" t="n">
        <f aca="false">SUMPRODUCT((Per_Clase="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Dir))*((Per_Mon="PYG")*CC$175+(Per_Mon&lt;&gt;"PYG")))*(1+V_Cargas)+CC$233*V_Alim*CC$175</f>
        <v>39969.0502595343</v>
      </c>
      <c r="CD234" s="48" t="n">
        <f aca="false">SUMPRODUCT((Per_Clase="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Dir))*((Per_Mon="PYG")*CD$175+(Per_Mon&lt;&gt;"PYG")))*(1+V_Cargas)+CD$233*V_Alim*CD$175</f>
        <v>39969.0502595343</v>
      </c>
      <c r="CE234" s="48" t="n">
        <f aca="false">SUMPRODUCT((Per_Clase="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Dir))*((Per_Mon="PYG")*CE$175+(Per_Mon&lt;&gt;"PYG")))*(1+V_Cargas)+CE$233*V_Alim*CE$175</f>
        <v>39969.0502595343</v>
      </c>
      <c r="CF234" s="48" t="n">
        <f aca="false">SUMPRODUCT((Per_Clase="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Dir))*((Per_Mon="PYG")*CF$175+(Per_Mon&lt;&gt;"PYG")))*(1+V_Cargas)+CF$233*V_Alim*CF$175</f>
        <v>39969.0502595343</v>
      </c>
      <c r="CG234" s="48" t="n">
        <f aca="false">SUMPRODUCT((Per_Clase="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Dir))*((Per_Mon="PYG")*CG$175+(Per_Mon&lt;&gt;"PYG")))*(1+V_Cargas)+CG$233*V_Alim*CG$175</f>
        <v>39969.0502595343</v>
      </c>
      <c r="CH234" s="48" t="n">
        <f aca="false">SUMPRODUCT((Per_Clase="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Dir))*((Per_Mon="PYG")*CH$175+(Per_Mon&lt;&gt;"PYG")))*(1+V_Cargas)+CH$233*V_Alim*CH$175</f>
        <v>39969.0502595343</v>
      </c>
      <c r="CI234" s="48" t="n">
        <f aca="false">SUMPRODUCT((Per_Clase="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Dir))*((Per_Mon="PYG")*CI$175+(Per_Mon&lt;&gt;"PYG")))*(1+V_Cargas)+CI$233*V_Alim*CI$175</f>
        <v>39969.0502595343</v>
      </c>
      <c r="CJ234" s="48" t="n">
        <f aca="false">SUMPRODUCT((Per_Clase="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Dir))*((Per_Mon="PYG")*CJ$175+(Per_Mon&lt;&gt;"PYG")))*(1+V_Cargas)+CJ$233*V_Alim*CJ$175</f>
        <v>39969.0502595343</v>
      </c>
      <c r="CK234" s="48" t="n">
        <f aca="false">SUMPRODUCT((Per_Clase="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Dir))*((Per_Mon="PYG")*CK$175+(Per_Mon&lt;&gt;"PYG")))*(1+V_Cargas)+CK$233*V_Alim*CK$175</f>
        <v>39969.0502595343</v>
      </c>
      <c r="CL234" s="48" t="n">
        <f aca="false">SUMPRODUCT((Per_Clase="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Dir))*((Per_Mon="PYG")*CL$175+(Per_Mon&lt;&gt;"PYG")))*(1+V_Cargas)+CL$233*V_Alim*CL$175</f>
        <v>39969.0502595343</v>
      </c>
      <c r="CM234" s="48" t="n">
        <f aca="false">SUMPRODUCT((Per_Clase="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Dir))*((Per_Mon="PYG")*CM$175+(Per_Mon&lt;&gt;"PYG")))*(1+V_Cargas)+CM$233*V_Alim*CM$175</f>
        <v>39969.0502595343</v>
      </c>
      <c r="CN234" s="48" t="n">
        <f aca="false">SUMPRODUCT((Per_Clase="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Dir))*((Per_Mon="PYG")*CN$175+(Per_Mon&lt;&gt;"PYG")))*(1+V_Cargas)+CN$233*V_Alim*CN$175</f>
        <v>39969.0502595343</v>
      </c>
      <c r="CO234" s="48" t="n">
        <f aca="false">SUMPRODUCT((Per_Clase="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Dir))*((Per_Mon="PYG")*CO$175+(Per_Mon&lt;&gt;"PYG")))*(1+V_Cargas)+CO$233*V_Alim*CO$175</f>
        <v>39969.0502595343</v>
      </c>
      <c r="CP234" s="48" t="n">
        <f aca="false">SUMPRODUCT((Per_Clase="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Dir))*((Per_Mon="PYG")*CP$175+(Per_Mon&lt;&gt;"PYG")))*(1+V_Cargas)+CP$233*V_Alim*CP$175</f>
        <v>39969.0502595343</v>
      </c>
      <c r="CQ234" s="48" t="n">
        <f aca="false">SUMPRODUCT((Per_Clase="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Dir))*((Per_Mon="PYG")*CQ$175+(Per_Mon&lt;&gt;"PYG")))*(1+V_Cargas)+CQ$233*V_Alim*CQ$175</f>
        <v>39969.0502595343</v>
      </c>
      <c r="CR234" s="48" t="n">
        <f aca="false">SUMPRODUCT((Per_Clase="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Dir))*((Per_Mon="PYG")*CR$175+(Per_Mon&lt;&gt;"PYG")))*(1+V_Cargas)+CR$233*V_Alim*CR$175</f>
        <v>39969.0502595343</v>
      </c>
      <c r="CS234" s="48" t="n">
        <f aca="false">SUMPRODUCT((Per_Clase="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Dir))*((Per_Mon="PYG")*CS$175+(Per_Mon&lt;&gt;"PYG")))*(1+V_Cargas)+CS$233*V_Alim*CS$175</f>
        <v>39969.0502595343</v>
      </c>
      <c r="CT234" s="48" t="n">
        <f aca="false">SUMPRODUCT((Per_Clase="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Dir))*((Per_Mon="PYG")*CT$175+(Per_Mon&lt;&gt;"PYG")))*(1+V_Cargas)+CT$233*V_Alim*CT$175</f>
        <v>39969.0502595343</v>
      </c>
      <c r="CU234" s="48" t="n">
        <f aca="false">SUMPRODUCT((Per_Clase="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Dir))*((Per_Mon="PYG")*CU$175+(Per_Mon&lt;&gt;"PYG")))*(1+V_Cargas)+CU$233*V_Alim*CU$175</f>
        <v>39969.0502595343</v>
      </c>
      <c r="CV234" s="48" t="n">
        <f aca="false">SUMPRODUCT((Per_Clase="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Dir))*((Per_Mon="PYG")*CV$175+(Per_Mon&lt;&gt;"PYG")))*(1+V_Cargas)+CV$233*V_Alim*CV$175</f>
        <v>39969.0502595343</v>
      </c>
      <c r="CW234" s="48" t="n">
        <f aca="false">SUMPRODUCT((Per_Clase="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Dir))*((Per_Mon="PYG")*CW$175+(Per_Mon&lt;&gt;"PYG")))*(1+V_Cargas)+CW$233*V_Alim*CW$175</f>
        <v>39969.0502595343</v>
      </c>
      <c r="CX234" s="48" t="n">
        <f aca="false">SUMPRODUCT((Per_Clase="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Dir))*((Per_Mon="PYG")*CX$175+(Per_Mon&lt;&gt;"PYG")))*(1+V_Cargas)+CX$233*V_Alim*CX$175</f>
        <v>39969.0502595343</v>
      </c>
      <c r="CY234" s="48" t="n">
        <f aca="false">SUMPRODUCT((Per_Clase="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Dir))*((Per_Mon="PYG")*CY$175+(Per_Mon&lt;&gt;"PYG")))*(1+V_Cargas)+CY$233*V_Alim*CY$175</f>
        <v>39969.0502595343</v>
      </c>
      <c r="CZ234" s="48" t="n">
        <f aca="false">SUMPRODUCT((Per_Clase="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Dir))*((Per_Mon="PYG")*CZ$175+(Per_Mon&lt;&gt;"PYG")))*(1+V_Cargas)+CZ$233*V_Alim*CZ$175</f>
        <v>39969.0502595343</v>
      </c>
      <c r="DA234" s="48" t="n">
        <f aca="false">SUMPRODUCT((Per_Clase="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Dir))*((Per_Mon="PYG")*DA$175+(Per_Mon&lt;&gt;"PYG")))*(1+V_Cargas)+DA$233*V_Alim*DA$175</f>
        <v>39969.0502595343</v>
      </c>
      <c r="DB234" s="48" t="n">
        <f aca="false">SUMPRODUCT((Per_Clase="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Dir))*((Per_Mon="PYG")*DB$175+(Per_Mon&lt;&gt;"PYG")))*(1+V_Cargas)+DB$233*V_Alim*DB$175</f>
        <v>39969.0502595343</v>
      </c>
      <c r="DC234" s="48" t="n">
        <f aca="false">SUMPRODUCT((Per_Clase="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Dir))*((Per_Mon="PYG")*DC$175+(Per_Mon&lt;&gt;"PYG")))*(1+V_Cargas)+DC$233*V_Alim*DC$175</f>
        <v>39969.0502595343</v>
      </c>
      <c r="DD234" s="48" t="n">
        <f aca="false">SUMPRODUCT((Per_Clase="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Dir))*((Per_Mon="PYG")*DD$175+(Per_Mon&lt;&gt;"PYG")))*(1+V_Cargas)+DD$233*V_Alim*DD$175</f>
        <v>39969.0502595343</v>
      </c>
      <c r="DE234" s="48" t="n">
        <f aca="false">SUMPRODUCT((Per_Clase="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Dir))*((Per_Mon="PYG")*DE$175+(Per_Mon&lt;&gt;"PYG")))*(1+V_Cargas)+DE$233*V_Alim*DE$175</f>
        <v>39969.0502595343</v>
      </c>
      <c r="DF234" s="48" t="n">
        <f aca="false">SUMPRODUCT((Per_Clase="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Dir))*((Per_Mon="PYG")*DF$175+(Per_Mon&lt;&gt;"PYG")))*(1+V_Cargas)+DF$233*V_Alim*DF$175</f>
        <v>39969.0502595343</v>
      </c>
      <c r="DG234" s="48" t="n">
        <f aca="false">SUMPRODUCT((Per_Clase="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Dir))*((Per_Mon="PYG")*DG$175+(Per_Mon&lt;&gt;"PYG")))*(1+V_Cargas)+DG$233*V_Alim*DG$175</f>
        <v>39969.0502595343</v>
      </c>
      <c r="DH234" s="48" t="n">
        <f aca="false">SUMPRODUCT((Per_Clase="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Dir))*((Per_Mon="PYG")*DH$175+(Per_Mon&lt;&gt;"PYG")))*(1+V_Cargas)+DH$233*V_Alim*DH$175</f>
        <v>39969.0502595343</v>
      </c>
      <c r="DI234" s="48" t="n">
        <f aca="false">SUMPRODUCT((Per_Clase="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Dir))*((Per_Mon="PYG")*DI$175+(Per_Mon&lt;&gt;"PYG")))*(1+V_Cargas)+DI$233*V_Alim*DI$175</f>
        <v>39969.0502595343</v>
      </c>
      <c r="DJ234" s="48" t="n">
        <f aca="false">SUMPRODUCT((Per_Clase="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Dir))*((Per_Mon="PYG")*DJ$175+(Per_Mon&lt;&gt;"PYG")))*(1+V_Cargas)+DJ$233*V_Alim*DJ$175</f>
        <v>39969.0502595343</v>
      </c>
      <c r="DK234" s="48" t="n">
        <f aca="false">SUMPRODUCT((Per_Clase="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Dir))*((Per_Mon="PYG")*DK$175+(Per_Mon&lt;&gt;"PYG")))*(1+V_Cargas)+DK$233*V_Alim*DK$175</f>
        <v>39969.0502595343</v>
      </c>
      <c r="DL234" s="48" t="n">
        <f aca="false">SUMPRODUCT((Per_Clase="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Dir))*((Per_Mon="PYG")*DL$175+(Per_Mon&lt;&gt;"PYG")))*(1+V_Cargas)+DL$233*V_Alim*DL$175</f>
        <v>39969.0502595343</v>
      </c>
      <c r="DM234" s="48" t="n">
        <f aca="false">SUMPRODUCT((Per_Clase="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Dir))*((Per_Mon="PYG")*DM$175+(Per_Mon&lt;&gt;"PYG")))*(1+V_Cargas)+DM$233*V_Alim*DM$175</f>
        <v>39969.0502595343</v>
      </c>
      <c r="DN234" s="48" t="n">
        <f aca="false">SUMPRODUCT((Per_Clase="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Dir))*((Per_Mon="PYG")*DN$175+(Per_Mon&lt;&gt;"PYG")))*(1+V_Cargas)+DN$233*V_Alim*DN$175</f>
        <v>39969.0502595343</v>
      </c>
      <c r="DO234" s="48" t="n">
        <f aca="false">SUMPRODUCT((Per_Clase="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Dir))*((Per_Mon="PYG")*DO$175+(Per_Mon&lt;&gt;"PYG")))*(1+V_Cargas)+DO$233*V_Alim*DO$175</f>
        <v>39969.0502595343</v>
      </c>
      <c r="DP234" s="48" t="n">
        <f aca="false">SUMPRODUCT((Per_Clase="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Dir))*((Per_Mon="PYG")*DP$175+(Per_Mon&lt;&gt;"PYG")))*(1+V_Cargas)+DP$233*V_Alim*DP$175</f>
        <v>39969.0502595343</v>
      </c>
      <c r="DQ234" s="48" t="n">
        <f aca="false">SUMPRODUCT((Per_Clase="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Dir))*((Per_Mon="PYG")*DQ$175+(Per_Mon&lt;&gt;"PYG")))*(1+V_Cargas)+DQ$233*V_Alim*DQ$175</f>
        <v>39969.0502595343</v>
      </c>
      <c r="DR234" s="48" t="n">
        <f aca="false">SUMPRODUCT((Per_Clase="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Dir))*((Per_Mon="PYG")*DR$175+(Per_Mon&lt;&gt;"PYG")))*(1+V_Cargas)+DR$233*V_Alim*DR$175</f>
        <v>39969.0502595343</v>
      </c>
      <c r="DS234" s="48" t="n">
        <f aca="false">SUMPRODUCT((Per_Clase="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Dir))*((Per_Mon="PYG")*DS$175+(Per_Mon&lt;&gt;"PYG")))*(1+V_Cargas)+DS$233*V_Alim*DS$175</f>
        <v>39969.0502595343</v>
      </c>
      <c r="DT234" s="48" t="n">
        <f aca="false">SUMPRODUCT((Per_Clase="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Dir))*((Per_Mon="PYG")*DT$175+(Per_Mon&lt;&gt;"PYG")))*(1+V_Cargas)+DT$233*V_Alim*DT$175</f>
        <v>39969.0502595343</v>
      </c>
      <c r="DU234" s="48" t="n">
        <f aca="false">SUMPRODUCT((Per_Clase="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Dir))*((Per_Mon="PYG")*DU$175+(Per_Mon&lt;&gt;"PYG")))*(1+V_Cargas)+DU$233*V_Alim*DU$175</f>
        <v>39969.0502595343</v>
      </c>
      <c r="DV234" s="48" t="n">
        <f aca="false">SUMPRODUCT((Per_Clase="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Dir))*((Per_Mon="PYG")*DV$175+(Per_Mon&lt;&gt;"PYG")))*(1+V_Cargas)+DV$233*V_Alim*DV$175</f>
        <v>0</v>
      </c>
      <c r="DW234" s="48" t="n">
        <f aca="false">SUMPRODUCT((Per_Clase="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Dir))*((Per_Mon="PYG")*DW$175+(Per_Mon&lt;&gt;"PYG")))*(1+V_Cargas)+DW$233*V_Alim*DW$175</f>
        <v>0</v>
      </c>
      <c r="DX234" s="48" t="n">
        <f aca="false">SUMPRODUCT((Per_Clase="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Dir))*((Per_Mon="PYG")*DX$175+(Per_Mon&lt;&gt;"PYG")))*(1+V_Cargas)+DX$233*V_Alim*DX$175</f>
        <v>0</v>
      </c>
      <c r="DY234" s="48" t="n">
        <f aca="false">SUMPRODUCT((Per_Clase="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Dir))*((Per_Mon="PYG")*DY$175+(Per_Mon&lt;&gt;"PYG")))*(1+V_Cargas)+DY$233*V_Alim*DY$175</f>
        <v>0</v>
      </c>
      <c r="DZ234" s="48" t="n">
        <f aca="false">SUMPRODUCT((Per_Clase="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Dir))*((Per_Mon="PYG")*DZ$175+(Per_Mon&lt;&gt;"PYG")))*(1+V_Cargas)+DZ$233*V_Alim*DZ$175</f>
        <v>0</v>
      </c>
      <c r="EA234" s="48" t="n">
        <f aca="false">SUMPRODUCT((Per_Clase="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Dir))*((Per_Mon="PYG")*EA$175+(Per_Mon&lt;&gt;"PYG")))*(1+V_Cargas)+EA$233*V_Alim*EA$175</f>
        <v>0</v>
      </c>
      <c r="EB234" s="48" t="n">
        <f aca="false">SUMPRODUCT((Per_Clase="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Dir))*((Per_Mon="PYG")*EB$175+(Per_Mon&lt;&gt;"PYG")))*(1+V_Cargas)+EB$233*V_Alim*EB$175</f>
        <v>0</v>
      </c>
      <c r="EC234" s="48" t="n">
        <f aca="false">SUMPRODUCT((Per_Clase="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Dir))*((Per_Mon="PYG")*EC$175+(Per_Mon&lt;&gt;"PYG")))*(1+V_Cargas)+EC$233*V_Alim*EC$175</f>
        <v>0</v>
      </c>
      <c r="ED234" s="48" t="n">
        <f aca="false">SUMPRODUCT((Per_Clase="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Dir))*((Per_Mon="PYG")*ED$175+(Per_Mon&lt;&gt;"PYG")))*(1+V_Cargas)+ED$233*V_Alim*ED$175</f>
        <v>0</v>
      </c>
      <c r="EE234" s="48" t="n">
        <f aca="false">SUMPRODUCT((Per_Clase="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Dir))*((Per_Mon="PYG")*EE$175+(Per_Mon&lt;&gt;"PYG")))*(1+V_Cargas)+EE$233*V_Alim*EE$175</f>
        <v>0</v>
      </c>
      <c r="EF234" s="48" t="n">
        <f aca="false">SUMPRODUCT((Per_Clase="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Dir))*((Per_Mon="PYG")*EF$175+(Per_Mon&lt;&gt;"PYG")))*(1+V_Cargas)+EF$233*V_Alim*EF$175</f>
        <v>0</v>
      </c>
      <c r="EG234" s="48" t="n">
        <f aca="false">SUMPRODUCT((Per_Clase="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Dir))*((Per_Mon="PYG")*EG$175+(Per_Mon&lt;&gt;"PYG")))*(1+V_Cargas)+EG$233*V_Alim*EG$175</f>
        <v>0</v>
      </c>
      <c r="EH234" s="48" t="n">
        <f aca="false">SUMPRODUCT((Per_Clase="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Dir))*((Per_Mon="PYG")*EH$175+(Per_Mon&lt;&gt;"PYG")))*(1+V_Cargas)+EH$233*V_Alim*EH$175</f>
        <v>0</v>
      </c>
      <c r="EI234" s="48" t="n">
        <f aca="false">SUMPRODUCT((Per_Clase="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Dir))*((Per_Mon="PYG")*EI$175+(Per_Mon&lt;&gt;"PYG")))*(1+V_Cargas)+EI$233*V_Alim*EI$175</f>
        <v>0</v>
      </c>
      <c r="EJ234" s="48" t="n">
        <f aca="false">SUMPRODUCT((Per_Clase="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Dir))*((Per_Mon="PYG")*EJ$175+(Per_Mon&lt;&gt;"PYG")))*(1+V_Cargas)+EJ$233*V_Alim*EJ$175</f>
        <v>0</v>
      </c>
      <c r="EK234" s="48" t="n">
        <f aca="false">SUMPRODUCT((Per_Clase="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Dir))*((Per_Mon="PYG")*EK$175+(Per_Mon&lt;&gt;"PYG")))*(1+V_Cargas)+EK$233*V_Alim*EK$175</f>
        <v>0</v>
      </c>
      <c r="EL234" s="48" t="n">
        <f aca="false">SUMPRODUCT((Per_Clase="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Dir))*((Per_Mon="PYG")*EL$175+(Per_Mon&lt;&gt;"PYG")))*(1+V_Cargas)+EL$233*V_Alim*EL$175</f>
        <v>0</v>
      </c>
      <c r="EM234" s="48" t="n">
        <f aca="false">SUMPRODUCT((Per_Clase="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Dir))*((Per_Mon="PYG")*EM$175+(Per_Mon&lt;&gt;"PYG")))*(1+V_Cargas)+EM$233*V_Alim*EM$175</f>
        <v>0</v>
      </c>
      <c r="EN234" s="48" t="n">
        <f aca="false">SUMPRODUCT((Per_Clase="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Dir))*((Per_Mon="PYG")*EN$175+(Per_Mon&lt;&gt;"PYG")))*(1+V_Cargas)+EN$233*V_Alim*EN$175</f>
        <v>0</v>
      </c>
      <c r="EO234" s="48" t="n">
        <f aca="false">SUMPRODUCT((Per_Clase="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Dir))*((Per_Mon="PYG")*EO$175+(Per_Mon&lt;&gt;"PYG")))*(1+V_Cargas)+EO$233*V_Alim*EO$175</f>
        <v>0</v>
      </c>
      <c r="EP234" s="48" t="n">
        <f aca="false">SUMPRODUCT((Per_Clase="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Dir))*((Per_Mon="PYG")*EP$175+(Per_Mon&lt;&gt;"PYG")))*(1+V_Cargas)+EP$233*V_Alim*EP$175</f>
        <v>0</v>
      </c>
      <c r="EQ234" s="48" t="n">
        <f aca="false">SUMPRODUCT((Per_Clase="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Dir))*((Per_Mon="PYG")*EQ$175+(Per_Mon&lt;&gt;"PYG")))*(1+V_Cargas)+EQ$233*V_Alim*EQ$175</f>
        <v>0</v>
      </c>
      <c r="ER234" s="48" t="n">
        <f aca="false">SUMPRODUCT((Per_Clase="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Dir))*((Per_Mon="PYG")*ER$175+(Per_Mon&lt;&gt;"PYG")))*(1+V_Cargas)+ER$233*V_Alim*ER$175</f>
        <v>0</v>
      </c>
      <c r="ES234" s="48" t="n">
        <f aca="false">SUMPRODUCT((Per_Clase="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Dir))*((Per_Mon="PYG")*ES$175+(Per_Mon&lt;&gt;"PYG")))*(1+V_Cargas)+ES$233*V_Alim*ES$175</f>
        <v>0</v>
      </c>
    </row>
    <row r="235" customFormat="false" ht="15" hidden="false" customHeight="false" outlineLevel="0" collapsed="false">
      <c r="A235" s="11" t="s">
        <v>1357</v>
      </c>
      <c r="B235" s="15" t="s">
        <v>1132</v>
      </c>
      <c r="C235" s="15" t="s">
        <v>853</v>
      </c>
      <c r="F235" s="50" t="n">
        <f aca="false">SUMPRODUCT((Per_Clase="Indirecto")*((1&gt;Corte)*(1&lt;=Corte+n_Ventana)*ISNUMBER(Detalle_24m!F$154:F$183)*Detalle_24m!F$154:F$183+(1-(1&gt;Corte)*(1&lt;=Corte+n_Ventana)*ISNUMBER(Detalle_24m!F$154:F$183))*INDEX(Dot_V,0,MIN(10,F$173))*(F$171+F$172*V_PreInd)))</f>
        <v>17</v>
      </c>
      <c r="G235" s="50" t="n">
        <f aca="false">SUMPRODUCT((Per_Clase="Indirecto")*((2&gt;Corte)*(2&lt;=Corte+n_Ventana)*ISNUMBER(Detalle_24m!G$154:G$183)*Detalle_24m!G$154:G$183+(1-(2&gt;Corte)*(2&lt;=Corte+n_Ventana)*ISNUMBER(Detalle_24m!G$154:G$183))*INDEX(Dot_V,0,MIN(10,G$173))*(G$171+G$172*V_PreInd)))</f>
        <v>17</v>
      </c>
      <c r="H235" s="50" t="n">
        <f aca="false">SUMPRODUCT((Per_Clase="Indirecto")*((3&gt;Corte)*(3&lt;=Corte+n_Ventana)*ISNUMBER(Detalle_24m!H$154:H$183)*Detalle_24m!H$154:H$183+(1-(3&gt;Corte)*(3&lt;=Corte+n_Ventana)*ISNUMBER(Detalle_24m!H$154:H$183))*INDEX(Dot_V,0,MIN(10,H$173))*(H$171+H$172*V_PreInd)))</f>
        <v>17</v>
      </c>
      <c r="I235" s="50" t="n">
        <f aca="false">SUMPRODUCT((Per_Clase="Indirecto")*((4&gt;Corte)*(4&lt;=Corte+n_Ventana)*ISNUMBER(Detalle_24m!I$154:I$183)*Detalle_24m!I$154:I$183+(1-(4&gt;Corte)*(4&lt;=Corte+n_Ventana)*ISNUMBER(Detalle_24m!I$154:I$183))*INDEX(Dot_V,0,MIN(10,I$173))*(I$171+I$172*V_PreInd)))</f>
        <v>17</v>
      </c>
      <c r="J235" s="50" t="n">
        <f aca="false">SUMPRODUCT((Per_Clase="Indirecto")*((5&gt;Corte)*(5&lt;=Corte+n_Ventana)*ISNUMBER(Detalle_24m!J$154:J$183)*Detalle_24m!J$154:J$183+(1-(5&gt;Corte)*(5&lt;=Corte+n_Ventana)*ISNUMBER(Detalle_24m!J$154:J$183))*INDEX(Dot_V,0,MIN(10,J$173))*(J$171+J$172*V_PreInd)))</f>
        <v>17</v>
      </c>
      <c r="K235" s="50" t="n">
        <f aca="false">SUMPRODUCT((Per_Clase="Indirecto")*((6&gt;Corte)*(6&lt;=Corte+n_Ventana)*ISNUMBER(Detalle_24m!K$154:K$183)*Detalle_24m!K$154:K$183+(1-(6&gt;Corte)*(6&lt;=Corte+n_Ventana)*ISNUMBER(Detalle_24m!K$154:K$183))*INDEX(Dot_V,0,MIN(10,K$173))*(K$171+K$172*V_PreInd)))</f>
        <v>17</v>
      </c>
      <c r="L235" s="50" t="n">
        <f aca="false">SUMPRODUCT((Per_Clase="Indirecto")*((7&gt;Corte)*(7&lt;=Corte+n_Ventana)*ISNUMBER(Detalle_24m!L$154:L$183)*Detalle_24m!L$154:L$183+(1-(7&gt;Corte)*(7&lt;=Corte+n_Ventana)*ISNUMBER(Detalle_24m!L$154:L$183))*INDEX(Dot_V,0,MIN(10,L$173))*(L$171+L$172*V_PreInd)))</f>
        <v>17</v>
      </c>
      <c r="M235" s="50" t="n">
        <f aca="false">SUMPRODUCT((Per_Clase="Indirecto")*((8&gt;Corte)*(8&lt;=Corte+n_Ventana)*ISNUMBER(Detalle_24m!M$154:M$183)*Detalle_24m!M$154:M$183+(1-(8&gt;Corte)*(8&lt;=Corte+n_Ventana)*ISNUMBER(Detalle_24m!M$154:M$183))*INDEX(Dot_V,0,MIN(10,M$173))*(M$171+M$172*V_PreInd)))</f>
        <v>17</v>
      </c>
      <c r="N235" s="50" t="n">
        <f aca="false">SUMPRODUCT((Per_Clase="Indirecto")*((9&gt;Corte)*(9&lt;=Corte+n_Ventana)*ISNUMBER(Detalle_24m!N$154:N$183)*Detalle_24m!N$154:N$183+(1-(9&gt;Corte)*(9&lt;=Corte+n_Ventana)*ISNUMBER(Detalle_24m!N$154:N$183))*INDEX(Dot_V,0,MIN(10,N$173))*(N$171+N$172*V_PreInd)))</f>
        <v>17</v>
      </c>
      <c r="O235" s="50" t="n">
        <f aca="false">SUMPRODUCT((Per_Clase="Indirecto")*((10&gt;Corte)*(10&lt;=Corte+n_Ventana)*ISNUMBER(Detalle_24m!O$154:O$183)*Detalle_24m!O$154:O$183+(1-(10&gt;Corte)*(10&lt;=Corte+n_Ventana)*ISNUMBER(Detalle_24m!O$154:O$183))*INDEX(Dot_V,0,MIN(10,O$173))*(O$171+O$172*V_PreInd)))</f>
        <v>17</v>
      </c>
      <c r="P235" s="50" t="n">
        <f aca="false">SUMPRODUCT((Per_Clase="Indirecto")*((11&gt;Corte)*(11&lt;=Corte+n_Ventana)*ISNUMBER(Detalle_24m!P$154:P$183)*Detalle_24m!P$154:P$183+(1-(11&gt;Corte)*(11&lt;=Corte+n_Ventana)*ISNUMBER(Detalle_24m!P$154:P$183))*INDEX(Dot_V,0,MIN(10,P$173))*(P$171+P$172*V_PreInd)))</f>
        <v>17</v>
      </c>
      <c r="Q235" s="50" t="n">
        <f aca="false">SUMPRODUCT((Per_Clase="Indirecto")*((12&gt;Corte)*(12&lt;=Corte+n_Ventana)*ISNUMBER(Detalle_24m!Q$154:Q$183)*Detalle_24m!Q$154:Q$183+(1-(12&gt;Corte)*(12&lt;=Corte+n_Ventana)*ISNUMBER(Detalle_24m!Q$154:Q$183))*INDEX(Dot_V,0,MIN(10,Q$173))*(Q$171+Q$172*V_PreInd)))</f>
        <v>17</v>
      </c>
      <c r="R235" s="50" t="n">
        <f aca="false">SUMPRODUCT((Per_Clase="Indirecto")*((13&gt;Corte)*(13&lt;=Corte+n_Ventana)*ISNUMBER(Detalle_24m!R$154:R$183)*Detalle_24m!R$154:R$183+(1-(13&gt;Corte)*(13&lt;=Corte+n_Ventana)*ISNUMBER(Detalle_24m!R$154:R$183))*INDEX(Dot_V,0,MIN(10,R$173))*(R$171+R$172*V_PreInd)))</f>
        <v>17</v>
      </c>
      <c r="S235" s="50" t="n">
        <f aca="false">SUMPRODUCT((Per_Clase="Indirecto")*((14&gt;Corte)*(14&lt;=Corte+n_Ventana)*ISNUMBER(Detalle_24m!S$154:S$183)*Detalle_24m!S$154:S$183+(1-(14&gt;Corte)*(14&lt;=Corte+n_Ventana)*ISNUMBER(Detalle_24m!S$154:S$183))*INDEX(Dot_V,0,MIN(10,S$173))*(S$171+S$172*V_PreInd)))</f>
        <v>17</v>
      </c>
      <c r="T235" s="50" t="n">
        <f aca="false">SUMPRODUCT((Per_Clase="Indirecto")*((15&gt;Corte)*(15&lt;=Corte+n_Ventana)*ISNUMBER(Detalle_24m!T$154:T$183)*Detalle_24m!T$154:T$183+(1-(15&gt;Corte)*(15&lt;=Corte+n_Ventana)*ISNUMBER(Detalle_24m!T$154:T$183))*INDEX(Dot_V,0,MIN(10,T$173))*(T$171+T$172*V_PreInd)))</f>
        <v>17</v>
      </c>
      <c r="U235" s="50" t="n">
        <f aca="false">SUMPRODUCT((Per_Clase="Indirecto")*((16&gt;Corte)*(16&lt;=Corte+n_Ventana)*ISNUMBER(Detalle_24m!U$154:U$183)*Detalle_24m!U$154:U$183+(1-(16&gt;Corte)*(16&lt;=Corte+n_Ventana)*ISNUMBER(Detalle_24m!U$154:U$183))*INDEX(Dot_V,0,MIN(10,U$173))*(U$171+U$172*V_PreInd)))</f>
        <v>17</v>
      </c>
      <c r="V235" s="50" t="n">
        <f aca="false">SUMPRODUCT((Per_Clase="Indirecto")*((17&gt;Corte)*(17&lt;=Corte+n_Ventana)*ISNUMBER(Detalle_24m!V$154:V$183)*Detalle_24m!V$154:V$183+(1-(17&gt;Corte)*(17&lt;=Corte+n_Ventana)*ISNUMBER(Detalle_24m!V$154:V$183))*INDEX(Dot_V,0,MIN(10,V$173))*(V$171+V$172*V_PreInd)))</f>
        <v>17</v>
      </c>
      <c r="W235" s="50" t="n">
        <f aca="false">SUMPRODUCT((Per_Clase="Indirecto")*((18&gt;Corte)*(18&lt;=Corte+n_Ventana)*ISNUMBER(Detalle_24m!W$154:W$183)*Detalle_24m!W$154:W$183+(1-(18&gt;Corte)*(18&lt;=Corte+n_Ventana)*ISNUMBER(Detalle_24m!W$154:W$183))*INDEX(Dot_V,0,MIN(10,W$173))*(W$171+W$172*V_PreInd)))</f>
        <v>17</v>
      </c>
      <c r="X235" s="50" t="n">
        <f aca="false">SUMPRODUCT((Per_Clase="Indirecto")*((19&gt;Corte)*(19&lt;=Corte+n_Ventana)*ISNUMBER(Detalle_24m!X$154:X$183)*Detalle_24m!X$154:X$183+(1-(19&gt;Corte)*(19&lt;=Corte+n_Ventana)*ISNUMBER(Detalle_24m!X$154:X$183))*INDEX(Dot_V,0,MIN(10,X$173))*(X$171+X$172*V_PreInd)))</f>
        <v>17</v>
      </c>
      <c r="Y235" s="50" t="n">
        <f aca="false">SUMPRODUCT((Per_Clase="Indirecto")*((20&gt;Corte)*(20&lt;=Corte+n_Ventana)*ISNUMBER(Detalle_24m!Y$154:Y$183)*Detalle_24m!Y$154:Y$183+(1-(20&gt;Corte)*(20&lt;=Corte+n_Ventana)*ISNUMBER(Detalle_24m!Y$154:Y$183))*INDEX(Dot_V,0,MIN(10,Y$173))*(Y$171+Y$172*V_PreInd)))</f>
        <v>17</v>
      </c>
      <c r="Z235" s="50" t="n">
        <f aca="false">SUMPRODUCT((Per_Clase="Indirecto")*((21&gt;Corte)*(21&lt;=Corte+n_Ventana)*ISNUMBER(Detalle_24m!Z$154:Z$183)*Detalle_24m!Z$154:Z$183+(1-(21&gt;Corte)*(21&lt;=Corte+n_Ventana)*ISNUMBER(Detalle_24m!Z$154:Z$183))*INDEX(Dot_V,0,MIN(10,Z$173))*(Z$171+Z$172*V_PreInd)))</f>
        <v>17</v>
      </c>
      <c r="AA235" s="50" t="n">
        <f aca="false">SUMPRODUCT((Per_Clase="Indirecto")*((22&gt;Corte)*(22&lt;=Corte+n_Ventana)*ISNUMBER(Detalle_24m!AA$154:AA$183)*Detalle_24m!AA$154:AA$183+(1-(22&gt;Corte)*(22&lt;=Corte+n_Ventana)*ISNUMBER(Detalle_24m!AA$154:AA$183))*INDEX(Dot_V,0,MIN(10,AA$173))*(AA$171+AA$172*V_PreInd)))</f>
        <v>17</v>
      </c>
      <c r="AB235" s="50" t="n">
        <f aca="false">SUMPRODUCT((Per_Clase="Indirecto")*((23&gt;Corte)*(23&lt;=Corte+n_Ventana)*ISNUMBER(Detalle_24m!AB$154:AB$183)*Detalle_24m!AB$154:AB$183+(1-(23&gt;Corte)*(23&lt;=Corte+n_Ventana)*ISNUMBER(Detalle_24m!AB$154:AB$183))*INDEX(Dot_V,0,MIN(10,AB$173))*(AB$171+AB$172*V_PreInd)))</f>
        <v>17</v>
      </c>
      <c r="AC235" s="50" t="n">
        <f aca="false">SUMPRODUCT((Per_Clase="Indirecto")*((24&gt;Corte)*(24&lt;=Corte+n_Ventana)*ISNUMBER(Detalle_24m!AC$154:AC$183)*Detalle_24m!AC$154:AC$183+(1-(24&gt;Corte)*(24&lt;=Corte+n_Ventana)*ISNUMBER(Detalle_24m!AC$154:AC$183))*INDEX(Dot_V,0,MIN(10,AC$173))*(AC$171+AC$172*V_PreInd)))</f>
        <v>17</v>
      </c>
      <c r="AD235" s="50" t="n">
        <f aca="false">SUMPRODUCT((Per_Clase="Indirecto")*((25&gt;Corte)*(25&lt;=Corte+n_Ventana)*ISNUMBER(Detalle_24m!AD$154:AD$183)*Detalle_24m!AD$154:AD$183+(1-(25&gt;Corte)*(25&lt;=Corte+n_Ventana)*ISNUMBER(Detalle_24m!AD$154:AD$183))*INDEX(Dot_V,0,MIN(10,AD$173))*(AD$171+AD$172*V_PreInd)))</f>
        <v>17</v>
      </c>
      <c r="AE235" s="50" t="n">
        <f aca="false">SUMPRODUCT((Per_Clase="Indirecto")*((26&gt;Corte)*(26&lt;=Corte+n_Ventana)*ISNUMBER(Detalle_24m!AE$154:AE$183)*Detalle_24m!AE$154:AE$183+(1-(26&gt;Corte)*(26&lt;=Corte+n_Ventana)*ISNUMBER(Detalle_24m!AE$154:AE$183))*INDEX(Dot_V,0,MIN(10,AE$173))*(AE$171+AE$172*V_PreInd)))</f>
        <v>17</v>
      </c>
      <c r="AF235" s="50" t="n">
        <f aca="false">SUMPRODUCT((Per_Clase="Indirecto")*((27&gt;Corte)*(27&lt;=Corte+n_Ventana)*ISNUMBER(Detalle_24m!AF$154:AF$183)*Detalle_24m!AF$154:AF$183+(1-(27&gt;Corte)*(27&lt;=Corte+n_Ventana)*ISNUMBER(Detalle_24m!AF$154:AF$183))*INDEX(Dot_V,0,MIN(10,AF$173))*(AF$171+AF$172*V_PreInd)))</f>
        <v>17</v>
      </c>
      <c r="AG235" s="50" t="n">
        <f aca="false">SUMPRODUCT((Per_Clase="Indirecto")*((28&gt;Corte)*(28&lt;=Corte+n_Ventana)*ISNUMBER(Detalle_24m!AG$154:AG$183)*Detalle_24m!AG$154:AG$183+(1-(28&gt;Corte)*(28&lt;=Corte+n_Ventana)*ISNUMBER(Detalle_24m!AG$154:AG$183))*INDEX(Dot_V,0,MIN(10,AG$173))*(AG$171+AG$172*V_PreInd)))</f>
        <v>17</v>
      </c>
      <c r="AH235" s="50" t="n">
        <f aca="false">SUMPRODUCT((Per_Clase="Indirecto")*((29&gt;Corte)*(29&lt;=Corte+n_Ventana)*ISNUMBER(Detalle_24m!AH$154:AH$183)*Detalle_24m!AH$154:AH$183+(1-(29&gt;Corte)*(29&lt;=Corte+n_Ventana)*ISNUMBER(Detalle_24m!AH$154:AH$183))*INDEX(Dot_V,0,MIN(10,AH$173))*(AH$171+AH$172*V_PreInd)))</f>
        <v>17</v>
      </c>
      <c r="AI235" s="50" t="n">
        <f aca="false">SUMPRODUCT((Per_Clase="Indirecto")*((30&gt;Corte)*(30&lt;=Corte+n_Ventana)*ISNUMBER(Detalle_24m!AI$154:AI$183)*Detalle_24m!AI$154:AI$183+(1-(30&gt;Corte)*(30&lt;=Corte+n_Ventana)*ISNUMBER(Detalle_24m!AI$154:AI$183))*INDEX(Dot_V,0,MIN(10,AI$173))*(AI$171+AI$172*V_PreInd)))</f>
        <v>17</v>
      </c>
      <c r="AJ235" s="50" t="n">
        <f aca="false">SUMPRODUCT((Per_Clase="Indirecto")*((31&gt;Corte)*(31&lt;=Corte+n_Ventana)*ISNUMBER(Detalle_24m!AJ$154:AJ$183)*Detalle_24m!AJ$154:AJ$183+(1-(31&gt;Corte)*(31&lt;=Corte+n_Ventana)*ISNUMBER(Detalle_24m!AJ$154:AJ$183))*INDEX(Dot_V,0,MIN(10,AJ$173))*(AJ$171+AJ$172*V_PreInd)))</f>
        <v>17</v>
      </c>
      <c r="AK235" s="50" t="n">
        <f aca="false">SUMPRODUCT((Per_Clase="Indirecto")*((32&gt;Corte)*(32&lt;=Corte+n_Ventana)*ISNUMBER(Detalle_24m!AK$154:AK$183)*Detalle_24m!AK$154:AK$183+(1-(32&gt;Corte)*(32&lt;=Corte+n_Ventana)*ISNUMBER(Detalle_24m!AK$154:AK$183))*INDEX(Dot_V,0,MIN(10,AK$173))*(AK$171+AK$172*V_PreInd)))</f>
        <v>17</v>
      </c>
      <c r="AL235" s="50" t="n">
        <f aca="false">SUMPRODUCT((Per_Clase="Indirecto")*((33&gt;Corte)*(33&lt;=Corte+n_Ventana)*ISNUMBER(Detalle_24m!AL$154:AL$183)*Detalle_24m!AL$154:AL$183+(1-(33&gt;Corte)*(33&lt;=Corte+n_Ventana)*ISNUMBER(Detalle_24m!AL$154:AL$183))*INDEX(Dot_V,0,MIN(10,AL$173))*(AL$171+AL$172*V_PreInd)))</f>
        <v>17</v>
      </c>
      <c r="AM235" s="50" t="n">
        <f aca="false">SUMPRODUCT((Per_Clase="Indirecto")*((34&gt;Corte)*(34&lt;=Corte+n_Ventana)*ISNUMBER(Detalle_24m!AM$154:AM$183)*Detalle_24m!AM$154:AM$183+(1-(34&gt;Corte)*(34&lt;=Corte+n_Ventana)*ISNUMBER(Detalle_24m!AM$154:AM$183))*INDEX(Dot_V,0,MIN(10,AM$173))*(AM$171+AM$172*V_PreInd)))</f>
        <v>17</v>
      </c>
      <c r="AN235" s="50" t="n">
        <f aca="false">SUMPRODUCT((Per_Clase="Indirecto")*((35&gt;Corte)*(35&lt;=Corte+n_Ventana)*ISNUMBER(Detalle_24m!AN$154:AN$183)*Detalle_24m!AN$154:AN$183+(1-(35&gt;Corte)*(35&lt;=Corte+n_Ventana)*ISNUMBER(Detalle_24m!AN$154:AN$183))*INDEX(Dot_V,0,MIN(10,AN$173))*(AN$171+AN$172*V_PreInd)))</f>
        <v>17</v>
      </c>
      <c r="AO235" s="50" t="n">
        <f aca="false">SUMPRODUCT((Per_Clase="Indirecto")*((36&gt;Corte)*(36&lt;=Corte+n_Ventana)*ISNUMBER(Detalle_24m!AO$154:AO$183)*Detalle_24m!AO$154:AO$183+(1-(36&gt;Corte)*(36&lt;=Corte+n_Ventana)*ISNUMBER(Detalle_24m!AO$154:AO$183))*INDEX(Dot_V,0,MIN(10,AO$173))*(AO$171+AO$172*V_PreInd)))</f>
        <v>17</v>
      </c>
      <c r="AP235" s="50" t="n">
        <f aca="false">SUMPRODUCT((Per_Clase="Indirecto")*((37&gt;Corte)*(37&lt;=Corte+n_Ventana)*ISNUMBER(Detalle_24m!AP$154:AP$183)*Detalle_24m!AP$154:AP$183+(1-(37&gt;Corte)*(37&lt;=Corte+n_Ventana)*ISNUMBER(Detalle_24m!AP$154:AP$183))*INDEX(Dot_V,0,MIN(10,AP$173))*(AP$171+AP$172*V_PreInd)))</f>
        <v>17</v>
      </c>
      <c r="AQ235" s="50" t="n">
        <f aca="false">SUMPRODUCT((Per_Clase="Indirecto")*((38&gt;Corte)*(38&lt;=Corte+n_Ventana)*ISNUMBER(Detalle_24m!AQ$154:AQ$183)*Detalle_24m!AQ$154:AQ$183+(1-(38&gt;Corte)*(38&lt;=Corte+n_Ventana)*ISNUMBER(Detalle_24m!AQ$154:AQ$183))*INDEX(Dot_V,0,MIN(10,AQ$173))*(AQ$171+AQ$172*V_PreInd)))</f>
        <v>17</v>
      </c>
      <c r="AR235" s="50" t="n">
        <f aca="false">SUMPRODUCT((Per_Clase="Indirecto")*((39&gt;Corte)*(39&lt;=Corte+n_Ventana)*ISNUMBER(Detalle_24m!AR$154:AR$183)*Detalle_24m!AR$154:AR$183+(1-(39&gt;Corte)*(39&lt;=Corte+n_Ventana)*ISNUMBER(Detalle_24m!AR$154:AR$183))*INDEX(Dot_V,0,MIN(10,AR$173))*(AR$171+AR$172*V_PreInd)))</f>
        <v>17</v>
      </c>
      <c r="AS235" s="50" t="n">
        <f aca="false">SUMPRODUCT((Per_Clase="Indirecto")*((40&gt;Corte)*(40&lt;=Corte+n_Ventana)*ISNUMBER(Detalle_24m!AS$154:AS$183)*Detalle_24m!AS$154:AS$183+(1-(40&gt;Corte)*(40&lt;=Corte+n_Ventana)*ISNUMBER(Detalle_24m!AS$154:AS$183))*INDEX(Dot_V,0,MIN(10,AS$173))*(AS$171+AS$172*V_PreInd)))</f>
        <v>17</v>
      </c>
      <c r="AT235" s="50" t="n">
        <f aca="false">SUMPRODUCT((Per_Clase="Indirecto")*((41&gt;Corte)*(41&lt;=Corte+n_Ventana)*ISNUMBER(Detalle_24m!AT$154:AT$183)*Detalle_24m!AT$154:AT$183+(1-(41&gt;Corte)*(41&lt;=Corte+n_Ventana)*ISNUMBER(Detalle_24m!AT$154:AT$183))*INDEX(Dot_V,0,MIN(10,AT$173))*(AT$171+AT$172*V_PreInd)))</f>
        <v>17</v>
      </c>
      <c r="AU235" s="50" t="n">
        <f aca="false">SUMPRODUCT((Per_Clase="Indirecto")*((42&gt;Corte)*(42&lt;=Corte+n_Ventana)*ISNUMBER(Detalle_24m!AU$154:AU$183)*Detalle_24m!AU$154:AU$183+(1-(42&gt;Corte)*(42&lt;=Corte+n_Ventana)*ISNUMBER(Detalle_24m!AU$154:AU$183))*INDEX(Dot_V,0,MIN(10,AU$173))*(AU$171+AU$172*V_PreInd)))</f>
        <v>17</v>
      </c>
      <c r="AV235" s="50" t="n">
        <f aca="false">SUMPRODUCT((Per_Clase="Indirecto")*((43&gt;Corte)*(43&lt;=Corte+n_Ventana)*ISNUMBER(Detalle_24m!AV$154:AV$183)*Detalle_24m!AV$154:AV$183+(1-(43&gt;Corte)*(43&lt;=Corte+n_Ventana)*ISNUMBER(Detalle_24m!AV$154:AV$183))*INDEX(Dot_V,0,MIN(10,AV$173))*(AV$171+AV$172*V_PreInd)))</f>
        <v>17</v>
      </c>
      <c r="AW235" s="50" t="n">
        <f aca="false">SUMPRODUCT((Per_Clase="Indirecto")*((44&gt;Corte)*(44&lt;=Corte+n_Ventana)*ISNUMBER(Detalle_24m!AW$154:AW$183)*Detalle_24m!AW$154:AW$183+(1-(44&gt;Corte)*(44&lt;=Corte+n_Ventana)*ISNUMBER(Detalle_24m!AW$154:AW$183))*INDEX(Dot_V,0,MIN(10,AW$173))*(AW$171+AW$172*V_PreInd)))</f>
        <v>17</v>
      </c>
      <c r="AX235" s="50" t="n">
        <f aca="false">SUMPRODUCT((Per_Clase="Indirecto")*((45&gt;Corte)*(45&lt;=Corte+n_Ventana)*ISNUMBER(Detalle_24m!AX$154:AX$183)*Detalle_24m!AX$154:AX$183+(1-(45&gt;Corte)*(45&lt;=Corte+n_Ventana)*ISNUMBER(Detalle_24m!AX$154:AX$183))*INDEX(Dot_V,0,MIN(10,AX$173))*(AX$171+AX$172*V_PreInd)))</f>
        <v>17</v>
      </c>
      <c r="AY235" s="50" t="n">
        <f aca="false">SUMPRODUCT((Per_Clase="Indirecto")*((46&gt;Corte)*(46&lt;=Corte+n_Ventana)*ISNUMBER(Detalle_24m!AY$154:AY$183)*Detalle_24m!AY$154:AY$183+(1-(46&gt;Corte)*(46&lt;=Corte+n_Ventana)*ISNUMBER(Detalle_24m!AY$154:AY$183))*INDEX(Dot_V,0,MIN(10,AY$173))*(AY$171+AY$172*V_PreInd)))</f>
        <v>17</v>
      </c>
      <c r="AZ235" s="50" t="n">
        <f aca="false">SUMPRODUCT((Per_Clase="Indirecto")*((47&gt;Corte)*(47&lt;=Corte+n_Ventana)*ISNUMBER(Detalle_24m!AZ$154:AZ$183)*Detalle_24m!AZ$154:AZ$183+(1-(47&gt;Corte)*(47&lt;=Corte+n_Ventana)*ISNUMBER(Detalle_24m!AZ$154:AZ$183))*INDEX(Dot_V,0,MIN(10,AZ$173))*(AZ$171+AZ$172*V_PreInd)))</f>
        <v>17</v>
      </c>
      <c r="BA235" s="50" t="n">
        <f aca="false">SUMPRODUCT((Per_Clase="Indirecto")*((48&gt;Corte)*(48&lt;=Corte+n_Ventana)*ISNUMBER(Detalle_24m!BA$154:BA$183)*Detalle_24m!BA$154:BA$183+(1-(48&gt;Corte)*(48&lt;=Corte+n_Ventana)*ISNUMBER(Detalle_24m!BA$154:BA$183))*INDEX(Dot_V,0,MIN(10,BA$173))*(BA$171+BA$172*V_PreInd)))</f>
        <v>17</v>
      </c>
      <c r="BB235" s="50" t="n">
        <f aca="false">SUMPRODUCT((Per_Clase="Indirecto")*((49&gt;Corte)*(49&lt;=Corte+n_Ventana)*ISNUMBER(Detalle_24m!BB$154:BB$183)*Detalle_24m!BB$154:BB$183+(1-(49&gt;Corte)*(49&lt;=Corte+n_Ventana)*ISNUMBER(Detalle_24m!BB$154:BB$183))*INDEX(Dot_V,0,MIN(10,BB$173))*(BB$171+BB$172*V_PreInd)))</f>
        <v>17</v>
      </c>
      <c r="BC235" s="50" t="n">
        <f aca="false">SUMPRODUCT((Per_Clase="Indirecto")*((50&gt;Corte)*(50&lt;=Corte+n_Ventana)*ISNUMBER(Detalle_24m!BC$154:BC$183)*Detalle_24m!BC$154:BC$183+(1-(50&gt;Corte)*(50&lt;=Corte+n_Ventana)*ISNUMBER(Detalle_24m!BC$154:BC$183))*INDEX(Dot_V,0,MIN(10,BC$173))*(BC$171+BC$172*V_PreInd)))</f>
        <v>17</v>
      </c>
      <c r="BD235" s="50" t="n">
        <f aca="false">SUMPRODUCT((Per_Clase="Indirecto")*((51&gt;Corte)*(51&lt;=Corte+n_Ventana)*ISNUMBER(Detalle_24m!BD$154:BD$183)*Detalle_24m!BD$154:BD$183+(1-(51&gt;Corte)*(51&lt;=Corte+n_Ventana)*ISNUMBER(Detalle_24m!BD$154:BD$183))*INDEX(Dot_V,0,MIN(10,BD$173))*(BD$171+BD$172*V_PreInd)))</f>
        <v>17</v>
      </c>
      <c r="BE235" s="50" t="n">
        <f aca="false">SUMPRODUCT((Per_Clase="Indirecto")*((52&gt;Corte)*(52&lt;=Corte+n_Ventana)*ISNUMBER(Detalle_24m!BE$154:BE$183)*Detalle_24m!BE$154:BE$183+(1-(52&gt;Corte)*(52&lt;=Corte+n_Ventana)*ISNUMBER(Detalle_24m!BE$154:BE$183))*INDEX(Dot_V,0,MIN(10,BE$173))*(BE$171+BE$172*V_PreInd)))</f>
        <v>17</v>
      </c>
      <c r="BF235" s="50" t="n">
        <f aca="false">SUMPRODUCT((Per_Clase="Indirecto")*((53&gt;Corte)*(53&lt;=Corte+n_Ventana)*ISNUMBER(Detalle_24m!BF$154:BF$183)*Detalle_24m!BF$154:BF$183+(1-(53&gt;Corte)*(53&lt;=Corte+n_Ventana)*ISNUMBER(Detalle_24m!BF$154:BF$183))*INDEX(Dot_V,0,MIN(10,BF$173))*(BF$171+BF$172*V_PreInd)))</f>
        <v>17</v>
      </c>
      <c r="BG235" s="50" t="n">
        <f aca="false">SUMPRODUCT((Per_Clase="Indirecto")*((54&gt;Corte)*(54&lt;=Corte+n_Ventana)*ISNUMBER(Detalle_24m!BG$154:BG$183)*Detalle_24m!BG$154:BG$183+(1-(54&gt;Corte)*(54&lt;=Corte+n_Ventana)*ISNUMBER(Detalle_24m!BG$154:BG$183))*INDEX(Dot_V,0,MIN(10,BG$173))*(BG$171+BG$172*V_PreInd)))</f>
        <v>17</v>
      </c>
      <c r="BH235" s="50" t="n">
        <f aca="false">SUMPRODUCT((Per_Clase="Indirecto")*((55&gt;Corte)*(55&lt;=Corte+n_Ventana)*ISNUMBER(Detalle_24m!BH$154:BH$183)*Detalle_24m!BH$154:BH$183+(1-(55&gt;Corte)*(55&lt;=Corte+n_Ventana)*ISNUMBER(Detalle_24m!BH$154:BH$183))*INDEX(Dot_V,0,MIN(10,BH$173))*(BH$171+BH$172*V_PreInd)))</f>
        <v>17</v>
      </c>
      <c r="BI235" s="50" t="n">
        <f aca="false">SUMPRODUCT((Per_Clase="Indirecto")*((56&gt;Corte)*(56&lt;=Corte+n_Ventana)*ISNUMBER(Detalle_24m!BI$154:BI$183)*Detalle_24m!BI$154:BI$183+(1-(56&gt;Corte)*(56&lt;=Corte+n_Ventana)*ISNUMBER(Detalle_24m!BI$154:BI$183))*INDEX(Dot_V,0,MIN(10,BI$173))*(BI$171+BI$172*V_PreInd)))</f>
        <v>17</v>
      </c>
      <c r="BJ235" s="50" t="n">
        <f aca="false">SUMPRODUCT((Per_Clase="Indirecto")*((57&gt;Corte)*(57&lt;=Corte+n_Ventana)*ISNUMBER(Detalle_24m!BJ$154:BJ$183)*Detalle_24m!BJ$154:BJ$183+(1-(57&gt;Corte)*(57&lt;=Corte+n_Ventana)*ISNUMBER(Detalle_24m!BJ$154:BJ$183))*INDEX(Dot_V,0,MIN(10,BJ$173))*(BJ$171+BJ$172*V_PreInd)))</f>
        <v>17</v>
      </c>
      <c r="BK235" s="50" t="n">
        <f aca="false">SUMPRODUCT((Per_Clase="Indirecto")*((58&gt;Corte)*(58&lt;=Corte+n_Ventana)*ISNUMBER(Detalle_24m!BK$154:BK$183)*Detalle_24m!BK$154:BK$183+(1-(58&gt;Corte)*(58&lt;=Corte+n_Ventana)*ISNUMBER(Detalle_24m!BK$154:BK$183))*INDEX(Dot_V,0,MIN(10,BK$173))*(BK$171+BK$172*V_PreInd)))</f>
        <v>17</v>
      </c>
      <c r="BL235" s="50" t="n">
        <f aca="false">SUMPRODUCT((Per_Clase="Indirecto")*((59&gt;Corte)*(59&lt;=Corte+n_Ventana)*ISNUMBER(Detalle_24m!BL$154:BL$183)*Detalle_24m!BL$154:BL$183+(1-(59&gt;Corte)*(59&lt;=Corte+n_Ventana)*ISNUMBER(Detalle_24m!BL$154:BL$183))*INDEX(Dot_V,0,MIN(10,BL$173))*(BL$171+BL$172*V_PreInd)))</f>
        <v>17</v>
      </c>
      <c r="BM235" s="50" t="n">
        <f aca="false">SUMPRODUCT((Per_Clase="Indirecto")*((60&gt;Corte)*(60&lt;=Corte+n_Ventana)*ISNUMBER(Detalle_24m!BM$154:BM$183)*Detalle_24m!BM$154:BM$183+(1-(60&gt;Corte)*(60&lt;=Corte+n_Ventana)*ISNUMBER(Detalle_24m!BM$154:BM$183))*INDEX(Dot_V,0,MIN(10,BM$173))*(BM$171+BM$172*V_PreInd)))</f>
        <v>17</v>
      </c>
      <c r="BN235" s="50" t="n">
        <f aca="false">SUMPRODUCT((Per_Clase="Indirecto")*((61&gt;Corte)*(61&lt;=Corte+n_Ventana)*ISNUMBER(Detalle_24m!BN$154:BN$183)*Detalle_24m!BN$154:BN$183+(1-(61&gt;Corte)*(61&lt;=Corte+n_Ventana)*ISNUMBER(Detalle_24m!BN$154:BN$183))*INDEX(Dot_V,0,MIN(10,BN$173))*(BN$171+BN$172*V_PreInd)))</f>
        <v>17</v>
      </c>
      <c r="BO235" s="50" t="n">
        <f aca="false">SUMPRODUCT((Per_Clase="Indirecto")*((62&gt;Corte)*(62&lt;=Corte+n_Ventana)*ISNUMBER(Detalle_24m!BO$154:BO$183)*Detalle_24m!BO$154:BO$183+(1-(62&gt;Corte)*(62&lt;=Corte+n_Ventana)*ISNUMBER(Detalle_24m!BO$154:BO$183))*INDEX(Dot_V,0,MIN(10,BO$173))*(BO$171+BO$172*V_PreInd)))</f>
        <v>17</v>
      </c>
      <c r="BP235" s="50" t="n">
        <f aca="false">SUMPRODUCT((Per_Clase="Indirecto")*((63&gt;Corte)*(63&lt;=Corte+n_Ventana)*ISNUMBER(Detalle_24m!BP$154:BP$183)*Detalle_24m!BP$154:BP$183+(1-(63&gt;Corte)*(63&lt;=Corte+n_Ventana)*ISNUMBER(Detalle_24m!BP$154:BP$183))*INDEX(Dot_V,0,MIN(10,BP$173))*(BP$171+BP$172*V_PreInd)))</f>
        <v>17</v>
      </c>
      <c r="BQ235" s="50" t="n">
        <f aca="false">SUMPRODUCT((Per_Clase="Indirecto")*((64&gt;Corte)*(64&lt;=Corte+n_Ventana)*ISNUMBER(Detalle_24m!BQ$154:BQ$183)*Detalle_24m!BQ$154:BQ$183+(1-(64&gt;Corte)*(64&lt;=Corte+n_Ventana)*ISNUMBER(Detalle_24m!BQ$154:BQ$183))*INDEX(Dot_V,0,MIN(10,BQ$173))*(BQ$171+BQ$172*V_PreInd)))</f>
        <v>17</v>
      </c>
      <c r="BR235" s="50" t="n">
        <f aca="false">SUMPRODUCT((Per_Clase="Indirecto")*((65&gt;Corte)*(65&lt;=Corte+n_Ventana)*ISNUMBER(Detalle_24m!BR$154:BR$183)*Detalle_24m!BR$154:BR$183+(1-(65&gt;Corte)*(65&lt;=Corte+n_Ventana)*ISNUMBER(Detalle_24m!BR$154:BR$183))*INDEX(Dot_V,0,MIN(10,BR$173))*(BR$171+BR$172*V_PreInd)))</f>
        <v>17</v>
      </c>
      <c r="BS235" s="50" t="n">
        <f aca="false">SUMPRODUCT((Per_Clase="Indirecto")*((66&gt;Corte)*(66&lt;=Corte+n_Ventana)*ISNUMBER(Detalle_24m!BS$154:BS$183)*Detalle_24m!BS$154:BS$183+(1-(66&gt;Corte)*(66&lt;=Corte+n_Ventana)*ISNUMBER(Detalle_24m!BS$154:BS$183))*INDEX(Dot_V,0,MIN(10,BS$173))*(BS$171+BS$172*V_PreInd)))</f>
        <v>17</v>
      </c>
      <c r="BT235" s="50" t="n">
        <f aca="false">SUMPRODUCT((Per_Clase="Indirecto")*((67&gt;Corte)*(67&lt;=Corte+n_Ventana)*ISNUMBER(Detalle_24m!BT$154:BT$183)*Detalle_24m!BT$154:BT$183+(1-(67&gt;Corte)*(67&lt;=Corte+n_Ventana)*ISNUMBER(Detalle_24m!BT$154:BT$183))*INDEX(Dot_V,0,MIN(10,BT$173))*(BT$171+BT$172*V_PreInd)))</f>
        <v>17</v>
      </c>
      <c r="BU235" s="50" t="n">
        <f aca="false">SUMPRODUCT((Per_Clase="Indirecto")*((68&gt;Corte)*(68&lt;=Corte+n_Ventana)*ISNUMBER(Detalle_24m!BU$154:BU$183)*Detalle_24m!BU$154:BU$183+(1-(68&gt;Corte)*(68&lt;=Corte+n_Ventana)*ISNUMBER(Detalle_24m!BU$154:BU$183))*INDEX(Dot_V,0,MIN(10,BU$173))*(BU$171+BU$172*V_PreInd)))</f>
        <v>17</v>
      </c>
      <c r="BV235" s="50" t="n">
        <f aca="false">SUMPRODUCT((Per_Clase="Indirecto")*((69&gt;Corte)*(69&lt;=Corte+n_Ventana)*ISNUMBER(Detalle_24m!BV$154:BV$183)*Detalle_24m!BV$154:BV$183+(1-(69&gt;Corte)*(69&lt;=Corte+n_Ventana)*ISNUMBER(Detalle_24m!BV$154:BV$183))*INDEX(Dot_V,0,MIN(10,BV$173))*(BV$171+BV$172*V_PreInd)))</f>
        <v>17</v>
      </c>
      <c r="BW235" s="50" t="n">
        <f aca="false">SUMPRODUCT((Per_Clase="Indirecto")*((70&gt;Corte)*(70&lt;=Corte+n_Ventana)*ISNUMBER(Detalle_24m!BW$154:BW$183)*Detalle_24m!BW$154:BW$183+(1-(70&gt;Corte)*(70&lt;=Corte+n_Ventana)*ISNUMBER(Detalle_24m!BW$154:BW$183))*INDEX(Dot_V,0,MIN(10,BW$173))*(BW$171+BW$172*V_PreInd)))</f>
        <v>17</v>
      </c>
      <c r="BX235" s="50" t="n">
        <f aca="false">SUMPRODUCT((Per_Clase="Indirecto")*((71&gt;Corte)*(71&lt;=Corte+n_Ventana)*ISNUMBER(Detalle_24m!BX$154:BX$183)*Detalle_24m!BX$154:BX$183+(1-(71&gt;Corte)*(71&lt;=Corte+n_Ventana)*ISNUMBER(Detalle_24m!BX$154:BX$183))*INDEX(Dot_V,0,MIN(10,BX$173))*(BX$171+BX$172*V_PreInd)))</f>
        <v>17</v>
      </c>
      <c r="BY235" s="50" t="n">
        <f aca="false">SUMPRODUCT((Per_Clase="Indirecto")*((72&gt;Corte)*(72&lt;=Corte+n_Ventana)*ISNUMBER(Detalle_24m!BY$154:BY$183)*Detalle_24m!BY$154:BY$183+(1-(72&gt;Corte)*(72&lt;=Corte+n_Ventana)*ISNUMBER(Detalle_24m!BY$154:BY$183))*INDEX(Dot_V,0,MIN(10,BY$173))*(BY$171+BY$172*V_PreInd)))</f>
        <v>17</v>
      </c>
      <c r="BZ235" s="50" t="n">
        <f aca="false">SUMPRODUCT((Per_Clase="Indirecto")*((73&gt;Corte)*(73&lt;=Corte+n_Ventana)*ISNUMBER(Detalle_24m!BZ$154:BZ$183)*Detalle_24m!BZ$154:BZ$183+(1-(73&gt;Corte)*(73&lt;=Corte+n_Ventana)*ISNUMBER(Detalle_24m!BZ$154:BZ$183))*INDEX(Dot_V,0,MIN(10,BZ$173))*(BZ$171+BZ$172*V_PreInd)))</f>
        <v>17</v>
      </c>
      <c r="CA235" s="50" t="n">
        <f aca="false">SUMPRODUCT((Per_Clase="Indirecto")*((74&gt;Corte)*(74&lt;=Corte+n_Ventana)*ISNUMBER(Detalle_24m!CA$154:CA$183)*Detalle_24m!CA$154:CA$183+(1-(74&gt;Corte)*(74&lt;=Corte+n_Ventana)*ISNUMBER(Detalle_24m!CA$154:CA$183))*INDEX(Dot_V,0,MIN(10,CA$173))*(CA$171+CA$172*V_PreInd)))</f>
        <v>17</v>
      </c>
      <c r="CB235" s="50" t="n">
        <f aca="false">SUMPRODUCT((Per_Clase="Indirecto")*((75&gt;Corte)*(75&lt;=Corte+n_Ventana)*ISNUMBER(Detalle_24m!CB$154:CB$183)*Detalle_24m!CB$154:CB$183+(1-(75&gt;Corte)*(75&lt;=Corte+n_Ventana)*ISNUMBER(Detalle_24m!CB$154:CB$183))*INDEX(Dot_V,0,MIN(10,CB$173))*(CB$171+CB$172*V_PreInd)))</f>
        <v>17</v>
      </c>
      <c r="CC235" s="50" t="n">
        <f aca="false">SUMPRODUCT((Per_Clase="Indirecto")*((76&gt;Corte)*(76&lt;=Corte+n_Ventana)*ISNUMBER(Detalle_24m!CC$154:CC$183)*Detalle_24m!CC$154:CC$183+(1-(76&gt;Corte)*(76&lt;=Corte+n_Ventana)*ISNUMBER(Detalle_24m!CC$154:CC$183))*INDEX(Dot_V,0,MIN(10,CC$173))*(CC$171+CC$172*V_PreInd)))</f>
        <v>17</v>
      </c>
      <c r="CD235" s="50" t="n">
        <f aca="false">SUMPRODUCT((Per_Clase="Indirecto")*((77&gt;Corte)*(77&lt;=Corte+n_Ventana)*ISNUMBER(Detalle_24m!CD$154:CD$183)*Detalle_24m!CD$154:CD$183+(1-(77&gt;Corte)*(77&lt;=Corte+n_Ventana)*ISNUMBER(Detalle_24m!CD$154:CD$183))*INDEX(Dot_V,0,MIN(10,CD$173))*(CD$171+CD$172*V_PreInd)))</f>
        <v>17</v>
      </c>
      <c r="CE235" s="50" t="n">
        <f aca="false">SUMPRODUCT((Per_Clase="Indirecto")*((78&gt;Corte)*(78&lt;=Corte+n_Ventana)*ISNUMBER(Detalle_24m!CE$154:CE$183)*Detalle_24m!CE$154:CE$183+(1-(78&gt;Corte)*(78&lt;=Corte+n_Ventana)*ISNUMBER(Detalle_24m!CE$154:CE$183))*INDEX(Dot_V,0,MIN(10,CE$173))*(CE$171+CE$172*V_PreInd)))</f>
        <v>17</v>
      </c>
      <c r="CF235" s="50" t="n">
        <f aca="false">SUMPRODUCT((Per_Clase="Indirecto")*((79&gt;Corte)*(79&lt;=Corte+n_Ventana)*ISNUMBER(Detalle_24m!CF$154:CF$183)*Detalle_24m!CF$154:CF$183+(1-(79&gt;Corte)*(79&lt;=Corte+n_Ventana)*ISNUMBER(Detalle_24m!CF$154:CF$183))*INDEX(Dot_V,0,MIN(10,CF$173))*(CF$171+CF$172*V_PreInd)))</f>
        <v>17</v>
      </c>
      <c r="CG235" s="50" t="n">
        <f aca="false">SUMPRODUCT((Per_Clase="Indirecto")*((80&gt;Corte)*(80&lt;=Corte+n_Ventana)*ISNUMBER(Detalle_24m!CG$154:CG$183)*Detalle_24m!CG$154:CG$183+(1-(80&gt;Corte)*(80&lt;=Corte+n_Ventana)*ISNUMBER(Detalle_24m!CG$154:CG$183))*INDEX(Dot_V,0,MIN(10,CG$173))*(CG$171+CG$172*V_PreInd)))</f>
        <v>17</v>
      </c>
      <c r="CH235" s="50" t="n">
        <f aca="false">SUMPRODUCT((Per_Clase="Indirecto")*((81&gt;Corte)*(81&lt;=Corte+n_Ventana)*ISNUMBER(Detalle_24m!CH$154:CH$183)*Detalle_24m!CH$154:CH$183+(1-(81&gt;Corte)*(81&lt;=Corte+n_Ventana)*ISNUMBER(Detalle_24m!CH$154:CH$183))*INDEX(Dot_V,0,MIN(10,CH$173))*(CH$171+CH$172*V_PreInd)))</f>
        <v>17</v>
      </c>
      <c r="CI235" s="50" t="n">
        <f aca="false">SUMPRODUCT((Per_Clase="Indirecto")*((82&gt;Corte)*(82&lt;=Corte+n_Ventana)*ISNUMBER(Detalle_24m!CI$154:CI$183)*Detalle_24m!CI$154:CI$183+(1-(82&gt;Corte)*(82&lt;=Corte+n_Ventana)*ISNUMBER(Detalle_24m!CI$154:CI$183))*INDEX(Dot_V,0,MIN(10,CI$173))*(CI$171+CI$172*V_PreInd)))</f>
        <v>17</v>
      </c>
      <c r="CJ235" s="50" t="n">
        <f aca="false">SUMPRODUCT((Per_Clase="Indirecto")*((83&gt;Corte)*(83&lt;=Corte+n_Ventana)*ISNUMBER(Detalle_24m!CJ$154:CJ$183)*Detalle_24m!CJ$154:CJ$183+(1-(83&gt;Corte)*(83&lt;=Corte+n_Ventana)*ISNUMBER(Detalle_24m!CJ$154:CJ$183))*INDEX(Dot_V,0,MIN(10,CJ$173))*(CJ$171+CJ$172*V_PreInd)))</f>
        <v>17</v>
      </c>
      <c r="CK235" s="50" t="n">
        <f aca="false">SUMPRODUCT((Per_Clase="Indirecto")*((84&gt;Corte)*(84&lt;=Corte+n_Ventana)*ISNUMBER(Detalle_24m!CK$154:CK$183)*Detalle_24m!CK$154:CK$183+(1-(84&gt;Corte)*(84&lt;=Corte+n_Ventana)*ISNUMBER(Detalle_24m!CK$154:CK$183))*INDEX(Dot_V,0,MIN(10,CK$173))*(CK$171+CK$172*V_PreInd)))</f>
        <v>17</v>
      </c>
      <c r="CL235" s="50" t="n">
        <f aca="false">SUMPRODUCT((Per_Clase="Indirecto")*((85&gt;Corte)*(85&lt;=Corte+n_Ventana)*ISNUMBER(Detalle_24m!CL$154:CL$183)*Detalle_24m!CL$154:CL$183+(1-(85&gt;Corte)*(85&lt;=Corte+n_Ventana)*ISNUMBER(Detalle_24m!CL$154:CL$183))*INDEX(Dot_V,0,MIN(10,CL$173))*(CL$171+CL$172*V_PreInd)))</f>
        <v>17</v>
      </c>
      <c r="CM235" s="50" t="n">
        <f aca="false">SUMPRODUCT((Per_Clase="Indirecto")*((86&gt;Corte)*(86&lt;=Corte+n_Ventana)*ISNUMBER(Detalle_24m!CM$154:CM$183)*Detalle_24m!CM$154:CM$183+(1-(86&gt;Corte)*(86&lt;=Corte+n_Ventana)*ISNUMBER(Detalle_24m!CM$154:CM$183))*INDEX(Dot_V,0,MIN(10,CM$173))*(CM$171+CM$172*V_PreInd)))</f>
        <v>17</v>
      </c>
      <c r="CN235" s="50" t="n">
        <f aca="false">SUMPRODUCT((Per_Clase="Indirecto")*((87&gt;Corte)*(87&lt;=Corte+n_Ventana)*ISNUMBER(Detalle_24m!CN$154:CN$183)*Detalle_24m!CN$154:CN$183+(1-(87&gt;Corte)*(87&lt;=Corte+n_Ventana)*ISNUMBER(Detalle_24m!CN$154:CN$183))*INDEX(Dot_V,0,MIN(10,CN$173))*(CN$171+CN$172*V_PreInd)))</f>
        <v>17</v>
      </c>
      <c r="CO235" s="50" t="n">
        <f aca="false">SUMPRODUCT((Per_Clase="Indirecto")*((88&gt;Corte)*(88&lt;=Corte+n_Ventana)*ISNUMBER(Detalle_24m!CO$154:CO$183)*Detalle_24m!CO$154:CO$183+(1-(88&gt;Corte)*(88&lt;=Corte+n_Ventana)*ISNUMBER(Detalle_24m!CO$154:CO$183))*INDEX(Dot_V,0,MIN(10,CO$173))*(CO$171+CO$172*V_PreInd)))</f>
        <v>17</v>
      </c>
      <c r="CP235" s="50" t="n">
        <f aca="false">SUMPRODUCT((Per_Clase="Indirecto")*((89&gt;Corte)*(89&lt;=Corte+n_Ventana)*ISNUMBER(Detalle_24m!CP$154:CP$183)*Detalle_24m!CP$154:CP$183+(1-(89&gt;Corte)*(89&lt;=Corte+n_Ventana)*ISNUMBER(Detalle_24m!CP$154:CP$183))*INDEX(Dot_V,0,MIN(10,CP$173))*(CP$171+CP$172*V_PreInd)))</f>
        <v>17</v>
      </c>
      <c r="CQ235" s="50" t="n">
        <f aca="false">SUMPRODUCT((Per_Clase="Indirecto")*((90&gt;Corte)*(90&lt;=Corte+n_Ventana)*ISNUMBER(Detalle_24m!CQ$154:CQ$183)*Detalle_24m!CQ$154:CQ$183+(1-(90&gt;Corte)*(90&lt;=Corte+n_Ventana)*ISNUMBER(Detalle_24m!CQ$154:CQ$183))*INDEX(Dot_V,0,MIN(10,CQ$173))*(CQ$171+CQ$172*V_PreInd)))</f>
        <v>17</v>
      </c>
      <c r="CR235" s="50" t="n">
        <f aca="false">SUMPRODUCT((Per_Clase="Indirecto")*((91&gt;Corte)*(91&lt;=Corte+n_Ventana)*ISNUMBER(Detalle_24m!CR$154:CR$183)*Detalle_24m!CR$154:CR$183+(1-(91&gt;Corte)*(91&lt;=Corte+n_Ventana)*ISNUMBER(Detalle_24m!CR$154:CR$183))*INDEX(Dot_V,0,MIN(10,CR$173))*(CR$171+CR$172*V_PreInd)))</f>
        <v>17</v>
      </c>
      <c r="CS235" s="50" t="n">
        <f aca="false">SUMPRODUCT((Per_Clase="Indirecto")*((92&gt;Corte)*(92&lt;=Corte+n_Ventana)*ISNUMBER(Detalle_24m!CS$154:CS$183)*Detalle_24m!CS$154:CS$183+(1-(92&gt;Corte)*(92&lt;=Corte+n_Ventana)*ISNUMBER(Detalle_24m!CS$154:CS$183))*INDEX(Dot_V,0,MIN(10,CS$173))*(CS$171+CS$172*V_PreInd)))</f>
        <v>17</v>
      </c>
      <c r="CT235" s="50" t="n">
        <f aca="false">SUMPRODUCT((Per_Clase="Indirecto")*((93&gt;Corte)*(93&lt;=Corte+n_Ventana)*ISNUMBER(Detalle_24m!CT$154:CT$183)*Detalle_24m!CT$154:CT$183+(1-(93&gt;Corte)*(93&lt;=Corte+n_Ventana)*ISNUMBER(Detalle_24m!CT$154:CT$183))*INDEX(Dot_V,0,MIN(10,CT$173))*(CT$171+CT$172*V_PreInd)))</f>
        <v>17</v>
      </c>
      <c r="CU235" s="50" t="n">
        <f aca="false">SUMPRODUCT((Per_Clase="Indirecto")*((94&gt;Corte)*(94&lt;=Corte+n_Ventana)*ISNUMBER(Detalle_24m!CU$154:CU$183)*Detalle_24m!CU$154:CU$183+(1-(94&gt;Corte)*(94&lt;=Corte+n_Ventana)*ISNUMBER(Detalle_24m!CU$154:CU$183))*INDEX(Dot_V,0,MIN(10,CU$173))*(CU$171+CU$172*V_PreInd)))</f>
        <v>17</v>
      </c>
      <c r="CV235" s="50" t="n">
        <f aca="false">SUMPRODUCT((Per_Clase="Indirecto")*((95&gt;Corte)*(95&lt;=Corte+n_Ventana)*ISNUMBER(Detalle_24m!CV$154:CV$183)*Detalle_24m!CV$154:CV$183+(1-(95&gt;Corte)*(95&lt;=Corte+n_Ventana)*ISNUMBER(Detalle_24m!CV$154:CV$183))*INDEX(Dot_V,0,MIN(10,CV$173))*(CV$171+CV$172*V_PreInd)))</f>
        <v>17</v>
      </c>
      <c r="CW235" s="50" t="n">
        <f aca="false">SUMPRODUCT((Per_Clase="Indirecto")*((96&gt;Corte)*(96&lt;=Corte+n_Ventana)*ISNUMBER(Detalle_24m!CW$154:CW$183)*Detalle_24m!CW$154:CW$183+(1-(96&gt;Corte)*(96&lt;=Corte+n_Ventana)*ISNUMBER(Detalle_24m!CW$154:CW$183))*INDEX(Dot_V,0,MIN(10,CW$173))*(CW$171+CW$172*V_PreInd)))</f>
        <v>17</v>
      </c>
      <c r="CX235" s="50" t="n">
        <f aca="false">SUMPRODUCT((Per_Clase="Indirecto")*((97&gt;Corte)*(97&lt;=Corte+n_Ventana)*ISNUMBER(Detalle_24m!CX$154:CX$183)*Detalle_24m!CX$154:CX$183+(1-(97&gt;Corte)*(97&lt;=Corte+n_Ventana)*ISNUMBER(Detalle_24m!CX$154:CX$183))*INDEX(Dot_V,0,MIN(10,CX$173))*(CX$171+CX$172*V_PreInd)))</f>
        <v>17</v>
      </c>
      <c r="CY235" s="50" t="n">
        <f aca="false">SUMPRODUCT((Per_Clase="Indirecto")*((98&gt;Corte)*(98&lt;=Corte+n_Ventana)*ISNUMBER(Detalle_24m!CY$154:CY$183)*Detalle_24m!CY$154:CY$183+(1-(98&gt;Corte)*(98&lt;=Corte+n_Ventana)*ISNUMBER(Detalle_24m!CY$154:CY$183))*INDEX(Dot_V,0,MIN(10,CY$173))*(CY$171+CY$172*V_PreInd)))</f>
        <v>17</v>
      </c>
      <c r="CZ235" s="50" t="n">
        <f aca="false">SUMPRODUCT((Per_Clase="Indirecto")*((99&gt;Corte)*(99&lt;=Corte+n_Ventana)*ISNUMBER(Detalle_24m!CZ$154:CZ$183)*Detalle_24m!CZ$154:CZ$183+(1-(99&gt;Corte)*(99&lt;=Corte+n_Ventana)*ISNUMBER(Detalle_24m!CZ$154:CZ$183))*INDEX(Dot_V,0,MIN(10,CZ$173))*(CZ$171+CZ$172*V_PreInd)))</f>
        <v>17</v>
      </c>
      <c r="DA235" s="50" t="n">
        <f aca="false">SUMPRODUCT((Per_Clase="Indirecto")*((100&gt;Corte)*(100&lt;=Corte+n_Ventana)*ISNUMBER(Detalle_24m!DA$154:DA$183)*Detalle_24m!DA$154:DA$183+(1-(100&gt;Corte)*(100&lt;=Corte+n_Ventana)*ISNUMBER(Detalle_24m!DA$154:DA$183))*INDEX(Dot_V,0,MIN(10,DA$173))*(DA$171+DA$172*V_PreInd)))</f>
        <v>17</v>
      </c>
      <c r="DB235" s="50" t="n">
        <f aca="false">SUMPRODUCT((Per_Clase="Indirecto")*((101&gt;Corte)*(101&lt;=Corte+n_Ventana)*ISNUMBER(Detalle_24m!DB$154:DB$183)*Detalle_24m!DB$154:DB$183+(1-(101&gt;Corte)*(101&lt;=Corte+n_Ventana)*ISNUMBER(Detalle_24m!DB$154:DB$183))*INDEX(Dot_V,0,MIN(10,DB$173))*(DB$171+DB$172*V_PreInd)))</f>
        <v>17</v>
      </c>
      <c r="DC235" s="50" t="n">
        <f aca="false">SUMPRODUCT((Per_Clase="Indirecto")*((102&gt;Corte)*(102&lt;=Corte+n_Ventana)*ISNUMBER(Detalle_24m!DC$154:DC$183)*Detalle_24m!DC$154:DC$183+(1-(102&gt;Corte)*(102&lt;=Corte+n_Ventana)*ISNUMBER(Detalle_24m!DC$154:DC$183))*INDEX(Dot_V,0,MIN(10,DC$173))*(DC$171+DC$172*V_PreInd)))</f>
        <v>17</v>
      </c>
      <c r="DD235" s="50" t="n">
        <f aca="false">SUMPRODUCT((Per_Clase="Indirecto")*((103&gt;Corte)*(103&lt;=Corte+n_Ventana)*ISNUMBER(Detalle_24m!DD$154:DD$183)*Detalle_24m!DD$154:DD$183+(1-(103&gt;Corte)*(103&lt;=Corte+n_Ventana)*ISNUMBER(Detalle_24m!DD$154:DD$183))*INDEX(Dot_V,0,MIN(10,DD$173))*(DD$171+DD$172*V_PreInd)))</f>
        <v>17</v>
      </c>
      <c r="DE235" s="50" t="n">
        <f aca="false">SUMPRODUCT((Per_Clase="Indirecto")*((104&gt;Corte)*(104&lt;=Corte+n_Ventana)*ISNUMBER(Detalle_24m!DE$154:DE$183)*Detalle_24m!DE$154:DE$183+(1-(104&gt;Corte)*(104&lt;=Corte+n_Ventana)*ISNUMBER(Detalle_24m!DE$154:DE$183))*INDEX(Dot_V,0,MIN(10,DE$173))*(DE$171+DE$172*V_PreInd)))</f>
        <v>17</v>
      </c>
      <c r="DF235" s="50" t="n">
        <f aca="false">SUMPRODUCT((Per_Clase="Indirecto")*((105&gt;Corte)*(105&lt;=Corte+n_Ventana)*ISNUMBER(Detalle_24m!DF$154:DF$183)*Detalle_24m!DF$154:DF$183+(1-(105&gt;Corte)*(105&lt;=Corte+n_Ventana)*ISNUMBER(Detalle_24m!DF$154:DF$183))*INDEX(Dot_V,0,MIN(10,DF$173))*(DF$171+DF$172*V_PreInd)))</f>
        <v>17</v>
      </c>
      <c r="DG235" s="50" t="n">
        <f aca="false">SUMPRODUCT((Per_Clase="Indirecto")*((106&gt;Corte)*(106&lt;=Corte+n_Ventana)*ISNUMBER(Detalle_24m!DG$154:DG$183)*Detalle_24m!DG$154:DG$183+(1-(106&gt;Corte)*(106&lt;=Corte+n_Ventana)*ISNUMBER(Detalle_24m!DG$154:DG$183))*INDEX(Dot_V,0,MIN(10,DG$173))*(DG$171+DG$172*V_PreInd)))</f>
        <v>17</v>
      </c>
      <c r="DH235" s="50" t="n">
        <f aca="false">SUMPRODUCT((Per_Clase="Indirecto")*((107&gt;Corte)*(107&lt;=Corte+n_Ventana)*ISNUMBER(Detalle_24m!DH$154:DH$183)*Detalle_24m!DH$154:DH$183+(1-(107&gt;Corte)*(107&lt;=Corte+n_Ventana)*ISNUMBER(Detalle_24m!DH$154:DH$183))*INDEX(Dot_V,0,MIN(10,DH$173))*(DH$171+DH$172*V_PreInd)))</f>
        <v>17</v>
      </c>
      <c r="DI235" s="50" t="n">
        <f aca="false">SUMPRODUCT((Per_Clase="Indirecto")*((108&gt;Corte)*(108&lt;=Corte+n_Ventana)*ISNUMBER(Detalle_24m!DI$154:DI$183)*Detalle_24m!DI$154:DI$183+(1-(108&gt;Corte)*(108&lt;=Corte+n_Ventana)*ISNUMBER(Detalle_24m!DI$154:DI$183))*INDEX(Dot_V,0,MIN(10,DI$173))*(DI$171+DI$172*V_PreInd)))</f>
        <v>17</v>
      </c>
      <c r="DJ235" s="50" t="n">
        <f aca="false">SUMPRODUCT((Per_Clase="Indirecto")*((109&gt;Corte)*(109&lt;=Corte+n_Ventana)*ISNUMBER(Detalle_24m!DJ$154:DJ$183)*Detalle_24m!DJ$154:DJ$183+(1-(109&gt;Corte)*(109&lt;=Corte+n_Ventana)*ISNUMBER(Detalle_24m!DJ$154:DJ$183))*INDEX(Dot_V,0,MIN(10,DJ$173))*(DJ$171+DJ$172*V_PreInd)))</f>
        <v>17</v>
      </c>
      <c r="DK235" s="50" t="n">
        <f aca="false">SUMPRODUCT((Per_Clase="Indirecto")*((110&gt;Corte)*(110&lt;=Corte+n_Ventana)*ISNUMBER(Detalle_24m!DK$154:DK$183)*Detalle_24m!DK$154:DK$183+(1-(110&gt;Corte)*(110&lt;=Corte+n_Ventana)*ISNUMBER(Detalle_24m!DK$154:DK$183))*INDEX(Dot_V,0,MIN(10,DK$173))*(DK$171+DK$172*V_PreInd)))</f>
        <v>17</v>
      </c>
      <c r="DL235" s="50" t="n">
        <f aca="false">SUMPRODUCT((Per_Clase="Indirecto")*((111&gt;Corte)*(111&lt;=Corte+n_Ventana)*ISNUMBER(Detalle_24m!DL$154:DL$183)*Detalle_24m!DL$154:DL$183+(1-(111&gt;Corte)*(111&lt;=Corte+n_Ventana)*ISNUMBER(Detalle_24m!DL$154:DL$183))*INDEX(Dot_V,0,MIN(10,DL$173))*(DL$171+DL$172*V_PreInd)))</f>
        <v>17</v>
      </c>
      <c r="DM235" s="50" t="n">
        <f aca="false">SUMPRODUCT((Per_Clase="Indirecto")*((112&gt;Corte)*(112&lt;=Corte+n_Ventana)*ISNUMBER(Detalle_24m!DM$154:DM$183)*Detalle_24m!DM$154:DM$183+(1-(112&gt;Corte)*(112&lt;=Corte+n_Ventana)*ISNUMBER(Detalle_24m!DM$154:DM$183))*INDEX(Dot_V,0,MIN(10,DM$173))*(DM$171+DM$172*V_PreInd)))</f>
        <v>17</v>
      </c>
      <c r="DN235" s="50" t="n">
        <f aca="false">SUMPRODUCT((Per_Clase="Indirecto")*((113&gt;Corte)*(113&lt;=Corte+n_Ventana)*ISNUMBER(Detalle_24m!DN$154:DN$183)*Detalle_24m!DN$154:DN$183+(1-(113&gt;Corte)*(113&lt;=Corte+n_Ventana)*ISNUMBER(Detalle_24m!DN$154:DN$183))*INDEX(Dot_V,0,MIN(10,DN$173))*(DN$171+DN$172*V_PreInd)))</f>
        <v>17</v>
      </c>
      <c r="DO235" s="50" t="n">
        <f aca="false">SUMPRODUCT((Per_Clase="Indirecto")*((114&gt;Corte)*(114&lt;=Corte+n_Ventana)*ISNUMBER(Detalle_24m!DO$154:DO$183)*Detalle_24m!DO$154:DO$183+(1-(114&gt;Corte)*(114&lt;=Corte+n_Ventana)*ISNUMBER(Detalle_24m!DO$154:DO$183))*INDEX(Dot_V,0,MIN(10,DO$173))*(DO$171+DO$172*V_PreInd)))</f>
        <v>17</v>
      </c>
      <c r="DP235" s="50" t="n">
        <f aca="false">SUMPRODUCT((Per_Clase="Indirecto")*((115&gt;Corte)*(115&lt;=Corte+n_Ventana)*ISNUMBER(Detalle_24m!DP$154:DP$183)*Detalle_24m!DP$154:DP$183+(1-(115&gt;Corte)*(115&lt;=Corte+n_Ventana)*ISNUMBER(Detalle_24m!DP$154:DP$183))*INDEX(Dot_V,0,MIN(10,DP$173))*(DP$171+DP$172*V_PreInd)))</f>
        <v>17</v>
      </c>
      <c r="DQ235" s="50" t="n">
        <f aca="false">SUMPRODUCT((Per_Clase="Indirecto")*((116&gt;Corte)*(116&lt;=Corte+n_Ventana)*ISNUMBER(Detalle_24m!DQ$154:DQ$183)*Detalle_24m!DQ$154:DQ$183+(1-(116&gt;Corte)*(116&lt;=Corte+n_Ventana)*ISNUMBER(Detalle_24m!DQ$154:DQ$183))*INDEX(Dot_V,0,MIN(10,DQ$173))*(DQ$171+DQ$172*V_PreInd)))</f>
        <v>17</v>
      </c>
      <c r="DR235" s="50" t="n">
        <f aca="false">SUMPRODUCT((Per_Clase="Indirecto")*((117&gt;Corte)*(117&lt;=Corte+n_Ventana)*ISNUMBER(Detalle_24m!DR$154:DR$183)*Detalle_24m!DR$154:DR$183+(1-(117&gt;Corte)*(117&lt;=Corte+n_Ventana)*ISNUMBER(Detalle_24m!DR$154:DR$183))*INDEX(Dot_V,0,MIN(10,DR$173))*(DR$171+DR$172*V_PreInd)))</f>
        <v>17</v>
      </c>
      <c r="DS235" s="50" t="n">
        <f aca="false">SUMPRODUCT((Per_Clase="Indirecto")*((118&gt;Corte)*(118&lt;=Corte+n_Ventana)*ISNUMBER(Detalle_24m!DS$154:DS$183)*Detalle_24m!DS$154:DS$183+(1-(118&gt;Corte)*(118&lt;=Corte+n_Ventana)*ISNUMBER(Detalle_24m!DS$154:DS$183))*INDEX(Dot_V,0,MIN(10,DS$173))*(DS$171+DS$172*V_PreInd)))</f>
        <v>17</v>
      </c>
      <c r="DT235" s="50" t="n">
        <f aca="false">SUMPRODUCT((Per_Clase="Indirecto")*((119&gt;Corte)*(119&lt;=Corte+n_Ventana)*ISNUMBER(Detalle_24m!DT$154:DT$183)*Detalle_24m!DT$154:DT$183+(1-(119&gt;Corte)*(119&lt;=Corte+n_Ventana)*ISNUMBER(Detalle_24m!DT$154:DT$183))*INDEX(Dot_V,0,MIN(10,DT$173))*(DT$171+DT$172*V_PreInd)))</f>
        <v>17</v>
      </c>
      <c r="DU235" s="50" t="n">
        <f aca="false">SUMPRODUCT((Per_Clase="Indirecto")*((120&gt;Corte)*(120&lt;=Corte+n_Ventana)*ISNUMBER(Detalle_24m!DU$154:DU$183)*Detalle_24m!DU$154:DU$183+(1-(120&gt;Corte)*(120&lt;=Corte+n_Ventana)*ISNUMBER(Detalle_24m!DU$154:DU$183))*INDEX(Dot_V,0,MIN(10,DU$173))*(DU$171+DU$172*V_PreInd)))</f>
        <v>17</v>
      </c>
      <c r="DV235" s="50" t="n">
        <f aca="false">SUMPRODUCT((Per_Clase="Indirecto")*((121&gt;Corte)*(121&lt;=Corte+n_Ventana)*ISNUMBER(Detalle_24m!DV$154:DV$183)*Detalle_24m!DV$154:DV$183+(1-(121&gt;Corte)*(121&lt;=Corte+n_Ventana)*ISNUMBER(Detalle_24m!DV$154:DV$183))*INDEX(Dot_V,0,MIN(10,DV$173))*(DV$171+DV$172*V_PreInd)))</f>
        <v>0</v>
      </c>
      <c r="DW235" s="50" t="n">
        <f aca="false">SUMPRODUCT((Per_Clase="Indirecto")*((122&gt;Corte)*(122&lt;=Corte+n_Ventana)*ISNUMBER(Detalle_24m!DW$154:DW$183)*Detalle_24m!DW$154:DW$183+(1-(122&gt;Corte)*(122&lt;=Corte+n_Ventana)*ISNUMBER(Detalle_24m!DW$154:DW$183))*INDEX(Dot_V,0,MIN(10,DW$173))*(DW$171+DW$172*V_PreInd)))</f>
        <v>0</v>
      </c>
      <c r="DX235" s="50" t="n">
        <f aca="false">SUMPRODUCT((Per_Clase="Indirecto")*((123&gt;Corte)*(123&lt;=Corte+n_Ventana)*ISNUMBER(Detalle_24m!DX$154:DX$183)*Detalle_24m!DX$154:DX$183+(1-(123&gt;Corte)*(123&lt;=Corte+n_Ventana)*ISNUMBER(Detalle_24m!DX$154:DX$183))*INDEX(Dot_V,0,MIN(10,DX$173))*(DX$171+DX$172*V_PreInd)))</f>
        <v>0</v>
      </c>
      <c r="DY235" s="50" t="n">
        <f aca="false">SUMPRODUCT((Per_Clase="Indirecto")*((124&gt;Corte)*(124&lt;=Corte+n_Ventana)*ISNUMBER(Detalle_24m!DY$154:DY$183)*Detalle_24m!DY$154:DY$183+(1-(124&gt;Corte)*(124&lt;=Corte+n_Ventana)*ISNUMBER(Detalle_24m!DY$154:DY$183))*INDEX(Dot_V,0,MIN(10,DY$173))*(DY$171+DY$172*V_PreInd)))</f>
        <v>0</v>
      </c>
      <c r="DZ235" s="50" t="n">
        <f aca="false">SUMPRODUCT((Per_Clase="Indirecto")*((125&gt;Corte)*(125&lt;=Corte+n_Ventana)*ISNUMBER(Detalle_24m!DZ$154:DZ$183)*Detalle_24m!DZ$154:DZ$183+(1-(125&gt;Corte)*(125&lt;=Corte+n_Ventana)*ISNUMBER(Detalle_24m!DZ$154:DZ$183))*INDEX(Dot_V,0,MIN(10,DZ$173))*(DZ$171+DZ$172*V_PreInd)))</f>
        <v>0</v>
      </c>
      <c r="EA235" s="50" t="n">
        <f aca="false">SUMPRODUCT((Per_Clase="Indirecto")*((126&gt;Corte)*(126&lt;=Corte+n_Ventana)*ISNUMBER(Detalle_24m!EA$154:EA$183)*Detalle_24m!EA$154:EA$183+(1-(126&gt;Corte)*(126&lt;=Corte+n_Ventana)*ISNUMBER(Detalle_24m!EA$154:EA$183))*INDEX(Dot_V,0,MIN(10,EA$173))*(EA$171+EA$172*V_PreInd)))</f>
        <v>0</v>
      </c>
      <c r="EB235" s="50" t="n">
        <f aca="false">SUMPRODUCT((Per_Clase="Indirecto")*((127&gt;Corte)*(127&lt;=Corte+n_Ventana)*ISNUMBER(Detalle_24m!EB$154:EB$183)*Detalle_24m!EB$154:EB$183+(1-(127&gt;Corte)*(127&lt;=Corte+n_Ventana)*ISNUMBER(Detalle_24m!EB$154:EB$183))*INDEX(Dot_V,0,MIN(10,EB$173))*(EB$171+EB$172*V_PreInd)))</f>
        <v>0</v>
      </c>
      <c r="EC235" s="50" t="n">
        <f aca="false">SUMPRODUCT((Per_Clase="Indirecto")*((128&gt;Corte)*(128&lt;=Corte+n_Ventana)*ISNUMBER(Detalle_24m!EC$154:EC$183)*Detalle_24m!EC$154:EC$183+(1-(128&gt;Corte)*(128&lt;=Corte+n_Ventana)*ISNUMBER(Detalle_24m!EC$154:EC$183))*INDEX(Dot_V,0,MIN(10,EC$173))*(EC$171+EC$172*V_PreInd)))</f>
        <v>0</v>
      </c>
      <c r="ED235" s="50" t="n">
        <f aca="false">SUMPRODUCT((Per_Clase="Indirecto")*((129&gt;Corte)*(129&lt;=Corte+n_Ventana)*ISNUMBER(Detalle_24m!ED$154:ED$183)*Detalle_24m!ED$154:ED$183+(1-(129&gt;Corte)*(129&lt;=Corte+n_Ventana)*ISNUMBER(Detalle_24m!ED$154:ED$183))*INDEX(Dot_V,0,MIN(10,ED$173))*(ED$171+ED$172*V_PreInd)))</f>
        <v>0</v>
      </c>
      <c r="EE235" s="50" t="n">
        <f aca="false">SUMPRODUCT((Per_Clase="Indirecto")*((130&gt;Corte)*(130&lt;=Corte+n_Ventana)*ISNUMBER(Detalle_24m!EE$154:EE$183)*Detalle_24m!EE$154:EE$183+(1-(130&gt;Corte)*(130&lt;=Corte+n_Ventana)*ISNUMBER(Detalle_24m!EE$154:EE$183))*INDEX(Dot_V,0,MIN(10,EE$173))*(EE$171+EE$172*V_PreInd)))</f>
        <v>0</v>
      </c>
      <c r="EF235" s="50" t="n">
        <f aca="false">SUMPRODUCT((Per_Clase="Indirecto")*((131&gt;Corte)*(131&lt;=Corte+n_Ventana)*ISNUMBER(Detalle_24m!EF$154:EF$183)*Detalle_24m!EF$154:EF$183+(1-(131&gt;Corte)*(131&lt;=Corte+n_Ventana)*ISNUMBER(Detalle_24m!EF$154:EF$183))*INDEX(Dot_V,0,MIN(10,EF$173))*(EF$171+EF$172*V_PreInd)))</f>
        <v>0</v>
      </c>
      <c r="EG235" s="50" t="n">
        <f aca="false">SUMPRODUCT((Per_Clase="Indirecto")*((132&gt;Corte)*(132&lt;=Corte+n_Ventana)*ISNUMBER(Detalle_24m!EG$154:EG$183)*Detalle_24m!EG$154:EG$183+(1-(132&gt;Corte)*(132&lt;=Corte+n_Ventana)*ISNUMBER(Detalle_24m!EG$154:EG$183))*INDEX(Dot_V,0,MIN(10,EG$173))*(EG$171+EG$172*V_PreInd)))</f>
        <v>0</v>
      </c>
      <c r="EH235" s="50" t="n">
        <f aca="false">SUMPRODUCT((Per_Clase="Indirecto")*((133&gt;Corte)*(133&lt;=Corte+n_Ventana)*ISNUMBER(Detalle_24m!EH$154:EH$183)*Detalle_24m!EH$154:EH$183+(1-(133&gt;Corte)*(133&lt;=Corte+n_Ventana)*ISNUMBER(Detalle_24m!EH$154:EH$183))*INDEX(Dot_V,0,MIN(10,EH$173))*(EH$171+EH$172*V_PreInd)))</f>
        <v>0</v>
      </c>
      <c r="EI235" s="50" t="n">
        <f aca="false">SUMPRODUCT((Per_Clase="Indirecto")*((134&gt;Corte)*(134&lt;=Corte+n_Ventana)*ISNUMBER(Detalle_24m!EI$154:EI$183)*Detalle_24m!EI$154:EI$183+(1-(134&gt;Corte)*(134&lt;=Corte+n_Ventana)*ISNUMBER(Detalle_24m!EI$154:EI$183))*INDEX(Dot_V,0,MIN(10,EI$173))*(EI$171+EI$172*V_PreInd)))</f>
        <v>0</v>
      </c>
      <c r="EJ235" s="50" t="n">
        <f aca="false">SUMPRODUCT((Per_Clase="Indirecto")*((135&gt;Corte)*(135&lt;=Corte+n_Ventana)*ISNUMBER(Detalle_24m!EJ$154:EJ$183)*Detalle_24m!EJ$154:EJ$183+(1-(135&gt;Corte)*(135&lt;=Corte+n_Ventana)*ISNUMBER(Detalle_24m!EJ$154:EJ$183))*INDEX(Dot_V,0,MIN(10,EJ$173))*(EJ$171+EJ$172*V_PreInd)))</f>
        <v>0</v>
      </c>
      <c r="EK235" s="50" t="n">
        <f aca="false">SUMPRODUCT((Per_Clase="Indirecto")*((136&gt;Corte)*(136&lt;=Corte+n_Ventana)*ISNUMBER(Detalle_24m!EK$154:EK$183)*Detalle_24m!EK$154:EK$183+(1-(136&gt;Corte)*(136&lt;=Corte+n_Ventana)*ISNUMBER(Detalle_24m!EK$154:EK$183))*INDEX(Dot_V,0,MIN(10,EK$173))*(EK$171+EK$172*V_PreInd)))</f>
        <v>0</v>
      </c>
      <c r="EL235" s="50" t="n">
        <f aca="false">SUMPRODUCT((Per_Clase="Indirecto")*((137&gt;Corte)*(137&lt;=Corte+n_Ventana)*ISNUMBER(Detalle_24m!EL$154:EL$183)*Detalle_24m!EL$154:EL$183+(1-(137&gt;Corte)*(137&lt;=Corte+n_Ventana)*ISNUMBER(Detalle_24m!EL$154:EL$183))*INDEX(Dot_V,0,MIN(10,EL$173))*(EL$171+EL$172*V_PreInd)))</f>
        <v>0</v>
      </c>
      <c r="EM235" s="50" t="n">
        <f aca="false">SUMPRODUCT((Per_Clase="Indirecto")*((138&gt;Corte)*(138&lt;=Corte+n_Ventana)*ISNUMBER(Detalle_24m!EM$154:EM$183)*Detalle_24m!EM$154:EM$183+(1-(138&gt;Corte)*(138&lt;=Corte+n_Ventana)*ISNUMBER(Detalle_24m!EM$154:EM$183))*INDEX(Dot_V,0,MIN(10,EM$173))*(EM$171+EM$172*V_PreInd)))</f>
        <v>0</v>
      </c>
      <c r="EN235" s="50" t="n">
        <f aca="false">SUMPRODUCT((Per_Clase="Indirecto")*((139&gt;Corte)*(139&lt;=Corte+n_Ventana)*ISNUMBER(Detalle_24m!EN$154:EN$183)*Detalle_24m!EN$154:EN$183+(1-(139&gt;Corte)*(139&lt;=Corte+n_Ventana)*ISNUMBER(Detalle_24m!EN$154:EN$183))*INDEX(Dot_V,0,MIN(10,EN$173))*(EN$171+EN$172*V_PreInd)))</f>
        <v>0</v>
      </c>
      <c r="EO235" s="50" t="n">
        <f aca="false">SUMPRODUCT((Per_Clase="Indirecto")*((140&gt;Corte)*(140&lt;=Corte+n_Ventana)*ISNUMBER(Detalle_24m!EO$154:EO$183)*Detalle_24m!EO$154:EO$183+(1-(140&gt;Corte)*(140&lt;=Corte+n_Ventana)*ISNUMBER(Detalle_24m!EO$154:EO$183))*INDEX(Dot_V,0,MIN(10,EO$173))*(EO$171+EO$172*V_PreInd)))</f>
        <v>0</v>
      </c>
      <c r="EP235" s="50" t="n">
        <f aca="false">SUMPRODUCT((Per_Clase="Indirecto")*((141&gt;Corte)*(141&lt;=Corte+n_Ventana)*ISNUMBER(Detalle_24m!EP$154:EP$183)*Detalle_24m!EP$154:EP$183+(1-(141&gt;Corte)*(141&lt;=Corte+n_Ventana)*ISNUMBER(Detalle_24m!EP$154:EP$183))*INDEX(Dot_V,0,MIN(10,EP$173))*(EP$171+EP$172*V_PreInd)))</f>
        <v>0</v>
      </c>
      <c r="EQ235" s="50" t="n">
        <f aca="false">SUMPRODUCT((Per_Clase="Indirecto")*((142&gt;Corte)*(142&lt;=Corte+n_Ventana)*ISNUMBER(Detalle_24m!EQ$154:EQ$183)*Detalle_24m!EQ$154:EQ$183+(1-(142&gt;Corte)*(142&lt;=Corte+n_Ventana)*ISNUMBER(Detalle_24m!EQ$154:EQ$183))*INDEX(Dot_V,0,MIN(10,EQ$173))*(EQ$171+EQ$172*V_PreInd)))</f>
        <v>0</v>
      </c>
      <c r="ER235" s="50" t="n">
        <f aca="false">SUMPRODUCT((Per_Clase="Indirecto")*((143&gt;Corte)*(143&lt;=Corte+n_Ventana)*ISNUMBER(Detalle_24m!ER$154:ER$183)*Detalle_24m!ER$154:ER$183+(1-(143&gt;Corte)*(143&lt;=Corte+n_Ventana)*ISNUMBER(Detalle_24m!ER$154:ER$183))*INDEX(Dot_V,0,MIN(10,ER$173))*(ER$171+ER$172*V_PreInd)))</f>
        <v>0</v>
      </c>
      <c r="ES235" s="50" t="n">
        <f aca="false">SUMPRODUCT((Per_Clase="Indirecto")*((144&gt;Corte)*(144&lt;=Corte+n_Ventana)*ISNUMBER(Detalle_24m!ES$154:ES$183)*Detalle_24m!ES$154:ES$183+(1-(144&gt;Corte)*(144&lt;=Corte+n_Ventana)*ISNUMBER(Detalle_24m!ES$154:ES$183))*INDEX(Dot_V,0,MIN(10,ES$173))*(ES$171+ES$172*V_PreInd)))</f>
        <v>0</v>
      </c>
    </row>
    <row r="236" customFormat="false" ht="15" hidden="false" customHeight="false" outlineLevel="0" collapsed="false">
      <c r="A236" s="11" t="s">
        <v>1358</v>
      </c>
      <c r="B236" s="15" t="s">
        <v>1134</v>
      </c>
      <c r="C236" s="15" t="s">
        <v>508</v>
      </c>
      <c r="E236" s="54" t="n">
        <f aca="false">SUM(F236:ES236)</f>
        <v>2451899.38788164</v>
      </c>
      <c r="F236" s="48" t="n">
        <f aca="false">SUMPRODUCT((Per_Clase="In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$235*V_Alim*F$175</f>
        <v>20432.4948990137</v>
      </c>
      <c r="G236" s="48" t="n">
        <f aca="false">SUMPRODUCT((Per_Clase="In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$235*V_Alim*G$175</f>
        <v>20432.4948990137</v>
      </c>
      <c r="H236" s="48" t="n">
        <f aca="false">SUMPRODUCT((Per_Clase="In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$235*V_Alim*H$175</f>
        <v>20432.4948990137</v>
      </c>
      <c r="I236" s="48" t="n">
        <f aca="false">SUMPRODUCT((Per_Clase="In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$235*V_Alim*I$175</f>
        <v>20432.4948990137</v>
      </c>
      <c r="J236" s="48" t="n">
        <f aca="false">SUMPRODUCT((Per_Clase="In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$235*V_Alim*J$175</f>
        <v>20432.4948990137</v>
      </c>
      <c r="K236" s="48" t="n">
        <f aca="false">SUMPRODUCT((Per_Clase="In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$235*V_Alim*K$175</f>
        <v>20432.4948990137</v>
      </c>
      <c r="L236" s="48" t="n">
        <f aca="false">SUMPRODUCT((Per_Clase="In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$235*V_Alim*L$175</f>
        <v>20432.4948990137</v>
      </c>
      <c r="M236" s="48" t="n">
        <f aca="false">SUMPRODUCT((Per_Clase="In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$235*V_Alim*M$175</f>
        <v>20432.4948990137</v>
      </c>
      <c r="N236" s="48" t="n">
        <f aca="false">SUMPRODUCT((Per_Clase="In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$235*V_Alim*N$175</f>
        <v>20432.4948990137</v>
      </c>
      <c r="O236" s="48" t="n">
        <f aca="false">SUMPRODUCT((Per_Clase="In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$235*V_Alim*O$175</f>
        <v>20432.4948990137</v>
      </c>
      <c r="P236" s="48" t="n">
        <f aca="false">SUMPRODUCT((Per_Clase="In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$235*V_Alim*P$175</f>
        <v>20432.4948990137</v>
      </c>
      <c r="Q236" s="48" t="n">
        <f aca="false">SUMPRODUCT((Per_Clase="In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$235*V_Alim*Q$175</f>
        <v>20432.4948990137</v>
      </c>
      <c r="R236" s="48" t="n">
        <f aca="false">SUMPRODUCT((Per_Clase="In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$235*V_Alim*R$175</f>
        <v>20432.4948990137</v>
      </c>
      <c r="S236" s="48" t="n">
        <f aca="false">SUMPRODUCT((Per_Clase="In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$235*V_Alim*S$175</f>
        <v>20432.4948990137</v>
      </c>
      <c r="T236" s="48" t="n">
        <f aca="false">SUMPRODUCT((Per_Clase="In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$235*V_Alim*T$175</f>
        <v>20432.4948990137</v>
      </c>
      <c r="U236" s="48" t="n">
        <f aca="false">SUMPRODUCT((Per_Clase="In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$235*V_Alim*U$175</f>
        <v>20432.4948990137</v>
      </c>
      <c r="V236" s="48" t="n">
        <f aca="false">SUMPRODUCT((Per_Clase="In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$235*V_Alim*V$175</f>
        <v>20432.4948990137</v>
      </c>
      <c r="W236" s="48" t="n">
        <f aca="false">SUMPRODUCT((Per_Clase="In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$235*V_Alim*W$175</f>
        <v>20432.4948990137</v>
      </c>
      <c r="X236" s="48" t="n">
        <f aca="false">SUMPRODUCT((Per_Clase="In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$235*V_Alim*X$175</f>
        <v>20432.4948990137</v>
      </c>
      <c r="Y236" s="48" t="n">
        <f aca="false">SUMPRODUCT((Per_Clase="In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$235*V_Alim*Y$175</f>
        <v>20432.4948990137</v>
      </c>
      <c r="Z236" s="48" t="n">
        <f aca="false">SUMPRODUCT((Per_Clase="In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$235*V_Alim*Z$175</f>
        <v>20432.4948990137</v>
      </c>
      <c r="AA236" s="48" t="n">
        <f aca="false">SUMPRODUCT((Per_Clase="In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$235*V_Alim*AA$175</f>
        <v>20432.4948990137</v>
      </c>
      <c r="AB236" s="48" t="n">
        <f aca="false">SUMPRODUCT((Per_Clase="In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$235*V_Alim*AB$175</f>
        <v>20432.4948990137</v>
      </c>
      <c r="AC236" s="48" t="n">
        <f aca="false">SUMPRODUCT((Per_Clase="In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$235*V_Alim*AC$175</f>
        <v>20432.4948990137</v>
      </c>
      <c r="AD236" s="48" t="n">
        <f aca="false">SUMPRODUCT((Per_Clase="In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$235*V_Alim*AD$175</f>
        <v>20432.4948990137</v>
      </c>
      <c r="AE236" s="48" t="n">
        <f aca="false">SUMPRODUCT((Per_Clase="In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$235*V_Alim*AE$175</f>
        <v>20432.4948990137</v>
      </c>
      <c r="AF236" s="48" t="n">
        <f aca="false">SUMPRODUCT((Per_Clase="In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$235*V_Alim*AF$175</f>
        <v>20432.4948990137</v>
      </c>
      <c r="AG236" s="48" t="n">
        <f aca="false">SUMPRODUCT((Per_Clase="In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$235*V_Alim*AG$175</f>
        <v>20432.4948990137</v>
      </c>
      <c r="AH236" s="48" t="n">
        <f aca="false">SUMPRODUCT((Per_Clase="In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$235*V_Alim*AH$175</f>
        <v>20432.4948990137</v>
      </c>
      <c r="AI236" s="48" t="n">
        <f aca="false">SUMPRODUCT((Per_Clase="In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$235*V_Alim*AI$175</f>
        <v>20432.4948990137</v>
      </c>
      <c r="AJ236" s="48" t="n">
        <f aca="false">SUMPRODUCT((Per_Clase="In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$235*V_Alim*AJ$175</f>
        <v>20432.4948990137</v>
      </c>
      <c r="AK236" s="48" t="n">
        <f aca="false">SUMPRODUCT((Per_Clase="In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$235*V_Alim*AK$175</f>
        <v>20432.4948990137</v>
      </c>
      <c r="AL236" s="48" t="n">
        <f aca="false">SUMPRODUCT((Per_Clase="In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$235*V_Alim*AL$175</f>
        <v>20432.4948990137</v>
      </c>
      <c r="AM236" s="48" t="n">
        <f aca="false">SUMPRODUCT((Per_Clase="In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$235*V_Alim*AM$175</f>
        <v>20432.4948990137</v>
      </c>
      <c r="AN236" s="48" t="n">
        <f aca="false">SUMPRODUCT((Per_Clase="In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$235*V_Alim*AN$175</f>
        <v>20432.4948990137</v>
      </c>
      <c r="AO236" s="48" t="n">
        <f aca="false">SUMPRODUCT((Per_Clase="In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$235*V_Alim*AO$175</f>
        <v>20432.4948990137</v>
      </c>
      <c r="AP236" s="48" t="n">
        <f aca="false">SUMPRODUCT((Per_Clase="In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$235*V_Alim*AP$175</f>
        <v>20432.4948990137</v>
      </c>
      <c r="AQ236" s="48" t="n">
        <f aca="false">SUMPRODUCT((Per_Clase="In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$235*V_Alim*AQ$175</f>
        <v>20432.4948990137</v>
      </c>
      <c r="AR236" s="48" t="n">
        <f aca="false">SUMPRODUCT((Per_Clase="In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$235*V_Alim*AR$175</f>
        <v>20432.4948990137</v>
      </c>
      <c r="AS236" s="48" t="n">
        <f aca="false">SUMPRODUCT((Per_Clase="In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$235*V_Alim*AS$175</f>
        <v>20432.4948990137</v>
      </c>
      <c r="AT236" s="48" t="n">
        <f aca="false">SUMPRODUCT((Per_Clase="In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$235*V_Alim*AT$175</f>
        <v>20432.4948990137</v>
      </c>
      <c r="AU236" s="48" t="n">
        <f aca="false">SUMPRODUCT((Per_Clase="In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$235*V_Alim*AU$175</f>
        <v>20432.4948990137</v>
      </c>
      <c r="AV236" s="48" t="n">
        <f aca="false">SUMPRODUCT((Per_Clase="In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$235*V_Alim*AV$175</f>
        <v>20432.4948990137</v>
      </c>
      <c r="AW236" s="48" t="n">
        <f aca="false">SUMPRODUCT((Per_Clase="In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$235*V_Alim*AW$175</f>
        <v>20432.4948990137</v>
      </c>
      <c r="AX236" s="48" t="n">
        <f aca="false">SUMPRODUCT((Per_Clase="In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$235*V_Alim*AX$175</f>
        <v>20432.4948990137</v>
      </c>
      <c r="AY236" s="48" t="n">
        <f aca="false">SUMPRODUCT((Per_Clase="In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$235*V_Alim*AY$175</f>
        <v>20432.4948990137</v>
      </c>
      <c r="AZ236" s="48" t="n">
        <f aca="false">SUMPRODUCT((Per_Clase="In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$235*V_Alim*AZ$175</f>
        <v>20432.4948990137</v>
      </c>
      <c r="BA236" s="48" t="n">
        <f aca="false">SUMPRODUCT((Per_Clase="In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$235*V_Alim*BA$175</f>
        <v>20432.4948990137</v>
      </c>
      <c r="BB236" s="48" t="n">
        <f aca="false">SUMPRODUCT((Per_Clase="In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$235*V_Alim*BB$175</f>
        <v>20432.4948990137</v>
      </c>
      <c r="BC236" s="48" t="n">
        <f aca="false">SUMPRODUCT((Per_Clase="In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$235*V_Alim*BC$175</f>
        <v>20432.4948990137</v>
      </c>
      <c r="BD236" s="48" t="n">
        <f aca="false">SUMPRODUCT((Per_Clase="In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$235*V_Alim*BD$175</f>
        <v>20432.4948990137</v>
      </c>
      <c r="BE236" s="48" t="n">
        <f aca="false">SUMPRODUCT((Per_Clase="In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$235*V_Alim*BE$175</f>
        <v>20432.4948990137</v>
      </c>
      <c r="BF236" s="48" t="n">
        <f aca="false">SUMPRODUCT((Per_Clase="In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$235*V_Alim*BF$175</f>
        <v>20432.4948990137</v>
      </c>
      <c r="BG236" s="48" t="n">
        <f aca="false">SUMPRODUCT((Per_Clase="In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$235*V_Alim*BG$175</f>
        <v>20432.4948990137</v>
      </c>
      <c r="BH236" s="48" t="n">
        <f aca="false">SUMPRODUCT((Per_Clase="In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$235*V_Alim*BH$175</f>
        <v>20432.4948990137</v>
      </c>
      <c r="BI236" s="48" t="n">
        <f aca="false">SUMPRODUCT((Per_Clase="In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$235*V_Alim*BI$175</f>
        <v>20432.4948990137</v>
      </c>
      <c r="BJ236" s="48" t="n">
        <f aca="false">SUMPRODUCT((Per_Clase="In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$235*V_Alim*BJ$175</f>
        <v>20432.4948990137</v>
      </c>
      <c r="BK236" s="48" t="n">
        <f aca="false">SUMPRODUCT((Per_Clase="In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$235*V_Alim*BK$175</f>
        <v>20432.4948990137</v>
      </c>
      <c r="BL236" s="48" t="n">
        <f aca="false">SUMPRODUCT((Per_Clase="In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$235*V_Alim*BL$175</f>
        <v>20432.4948990137</v>
      </c>
      <c r="BM236" s="48" t="n">
        <f aca="false">SUMPRODUCT((Per_Clase="In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$235*V_Alim*BM$175</f>
        <v>20432.4948990137</v>
      </c>
      <c r="BN236" s="48" t="n">
        <f aca="false">SUMPRODUCT((Per_Clase="In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$235*V_Alim*BN$175</f>
        <v>20432.4948990137</v>
      </c>
      <c r="BO236" s="48" t="n">
        <f aca="false">SUMPRODUCT((Per_Clase="In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$235*V_Alim*BO$175</f>
        <v>20432.4948990137</v>
      </c>
      <c r="BP236" s="48" t="n">
        <f aca="false">SUMPRODUCT((Per_Clase="In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$235*V_Alim*BP$175</f>
        <v>20432.4948990137</v>
      </c>
      <c r="BQ236" s="48" t="n">
        <f aca="false">SUMPRODUCT((Per_Clase="In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$235*V_Alim*BQ$175</f>
        <v>20432.4948990137</v>
      </c>
      <c r="BR236" s="48" t="n">
        <f aca="false">SUMPRODUCT((Per_Clase="In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$235*V_Alim*BR$175</f>
        <v>20432.4948990137</v>
      </c>
      <c r="BS236" s="48" t="n">
        <f aca="false">SUMPRODUCT((Per_Clase="In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$235*V_Alim*BS$175</f>
        <v>20432.4948990137</v>
      </c>
      <c r="BT236" s="48" t="n">
        <f aca="false">SUMPRODUCT((Per_Clase="In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$235*V_Alim*BT$175</f>
        <v>20432.4948990137</v>
      </c>
      <c r="BU236" s="48" t="n">
        <f aca="false">SUMPRODUCT((Per_Clase="In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$235*V_Alim*BU$175</f>
        <v>20432.4948990137</v>
      </c>
      <c r="BV236" s="48" t="n">
        <f aca="false">SUMPRODUCT((Per_Clase="In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$235*V_Alim*BV$175</f>
        <v>20432.4948990137</v>
      </c>
      <c r="BW236" s="48" t="n">
        <f aca="false">SUMPRODUCT((Per_Clase="In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$235*V_Alim*BW$175</f>
        <v>20432.4948990137</v>
      </c>
      <c r="BX236" s="48" t="n">
        <f aca="false">SUMPRODUCT((Per_Clase="In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$235*V_Alim*BX$175</f>
        <v>20432.4948990137</v>
      </c>
      <c r="BY236" s="48" t="n">
        <f aca="false">SUMPRODUCT((Per_Clase="In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$235*V_Alim*BY$175</f>
        <v>20432.4948990137</v>
      </c>
      <c r="BZ236" s="48" t="n">
        <f aca="false">SUMPRODUCT((Per_Clase="In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$235*V_Alim*BZ$175</f>
        <v>20432.4948990137</v>
      </c>
      <c r="CA236" s="48" t="n">
        <f aca="false">SUMPRODUCT((Per_Clase="In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$235*V_Alim*CA$175</f>
        <v>20432.4948990137</v>
      </c>
      <c r="CB236" s="48" t="n">
        <f aca="false">SUMPRODUCT((Per_Clase="In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$235*V_Alim*CB$175</f>
        <v>20432.4948990137</v>
      </c>
      <c r="CC236" s="48" t="n">
        <f aca="false">SUMPRODUCT((Per_Clase="In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$235*V_Alim*CC$175</f>
        <v>20432.4948990137</v>
      </c>
      <c r="CD236" s="48" t="n">
        <f aca="false">SUMPRODUCT((Per_Clase="In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$235*V_Alim*CD$175</f>
        <v>20432.4948990137</v>
      </c>
      <c r="CE236" s="48" t="n">
        <f aca="false">SUMPRODUCT((Per_Clase="In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$235*V_Alim*CE$175</f>
        <v>20432.4948990137</v>
      </c>
      <c r="CF236" s="48" t="n">
        <f aca="false">SUMPRODUCT((Per_Clase="In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$235*V_Alim*CF$175</f>
        <v>20432.4948990137</v>
      </c>
      <c r="CG236" s="48" t="n">
        <f aca="false">SUMPRODUCT((Per_Clase="In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$235*V_Alim*CG$175</f>
        <v>20432.4948990137</v>
      </c>
      <c r="CH236" s="48" t="n">
        <f aca="false">SUMPRODUCT((Per_Clase="In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$235*V_Alim*CH$175</f>
        <v>20432.4948990137</v>
      </c>
      <c r="CI236" s="48" t="n">
        <f aca="false">SUMPRODUCT((Per_Clase="In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$235*V_Alim*CI$175</f>
        <v>20432.4948990137</v>
      </c>
      <c r="CJ236" s="48" t="n">
        <f aca="false">SUMPRODUCT((Per_Clase="In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$235*V_Alim*CJ$175</f>
        <v>20432.4948990137</v>
      </c>
      <c r="CK236" s="48" t="n">
        <f aca="false">SUMPRODUCT((Per_Clase="In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$235*V_Alim*CK$175</f>
        <v>20432.4948990137</v>
      </c>
      <c r="CL236" s="48" t="n">
        <f aca="false">SUMPRODUCT((Per_Clase="In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$235*V_Alim*CL$175</f>
        <v>20432.4948990137</v>
      </c>
      <c r="CM236" s="48" t="n">
        <f aca="false">SUMPRODUCT((Per_Clase="In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$235*V_Alim*CM$175</f>
        <v>20432.4948990137</v>
      </c>
      <c r="CN236" s="48" t="n">
        <f aca="false">SUMPRODUCT((Per_Clase="In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$235*V_Alim*CN$175</f>
        <v>20432.4948990137</v>
      </c>
      <c r="CO236" s="48" t="n">
        <f aca="false">SUMPRODUCT((Per_Clase="In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$235*V_Alim*CO$175</f>
        <v>20432.4948990137</v>
      </c>
      <c r="CP236" s="48" t="n">
        <f aca="false">SUMPRODUCT((Per_Clase="In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$235*V_Alim*CP$175</f>
        <v>20432.4948990137</v>
      </c>
      <c r="CQ236" s="48" t="n">
        <f aca="false">SUMPRODUCT((Per_Clase="In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$235*V_Alim*CQ$175</f>
        <v>20432.4948990137</v>
      </c>
      <c r="CR236" s="48" t="n">
        <f aca="false">SUMPRODUCT((Per_Clase="In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$235*V_Alim*CR$175</f>
        <v>20432.4948990137</v>
      </c>
      <c r="CS236" s="48" t="n">
        <f aca="false">SUMPRODUCT((Per_Clase="In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$235*V_Alim*CS$175</f>
        <v>20432.4948990137</v>
      </c>
      <c r="CT236" s="48" t="n">
        <f aca="false">SUMPRODUCT((Per_Clase="In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$235*V_Alim*CT$175</f>
        <v>20432.4948990137</v>
      </c>
      <c r="CU236" s="48" t="n">
        <f aca="false">SUMPRODUCT((Per_Clase="In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$235*V_Alim*CU$175</f>
        <v>20432.4948990137</v>
      </c>
      <c r="CV236" s="48" t="n">
        <f aca="false">SUMPRODUCT((Per_Clase="In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$235*V_Alim*CV$175</f>
        <v>20432.4948990137</v>
      </c>
      <c r="CW236" s="48" t="n">
        <f aca="false">SUMPRODUCT((Per_Clase="In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$235*V_Alim*CW$175</f>
        <v>20432.4948990137</v>
      </c>
      <c r="CX236" s="48" t="n">
        <f aca="false">SUMPRODUCT((Per_Clase="In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$235*V_Alim*CX$175</f>
        <v>20432.4948990137</v>
      </c>
      <c r="CY236" s="48" t="n">
        <f aca="false">SUMPRODUCT((Per_Clase="In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$235*V_Alim*CY$175</f>
        <v>20432.4948990137</v>
      </c>
      <c r="CZ236" s="48" t="n">
        <f aca="false">SUMPRODUCT((Per_Clase="In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$235*V_Alim*CZ$175</f>
        <v>20432.4948990137</v>
      </c>
      <c r="DA236" s="48" t="n">
        <f aca="false">SUMPRODUCT((Per_Clase="In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$235*V_Alim*DA$175</f>
        <v>20432.4948990137</v>
      </c>
      <c r="DB236" s="48" t="n">
        <f aca="false">SUMPRODUCT((Per_Clase="In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$235*V_Alim*DB$175</f>
        <v>20432.4948990137</v>
      </c>
      <c r="DC236" s="48" t="n">
        <f aca="false">SUMPRODUCT((Per_Clase="In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$235*V_Alim*DC$175</f>
        <v>20432.4948990137</v>
      </c>
      <c r="DD236" s="48" t="n">
        <f aca="false">SUMPRODUCT((Per_Clase="In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$235*V_Alim*DD$175</f>
        <v>20432.4948990137</v>
      </c>
      <c r="DE236" s="48" t="n">
        <f aca="false">SUMPRODUCT((Per_Clase="In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$235*V_Alim*DE$175</f>
        <v>20432.4948990137</v>
      </c>
      <c r="DF236" s="48" t="n">
        <f aca="false">SUMPRODUCT((Per_Clase="In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$235*V_Alim*DF$175</f>
        <v>20432.4948990137</v>
      </c>
      <c r="DG236" s="48" t="n">
        <f aca="false">SUMPRODUCT((Per_Clase="In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$235*V_Alim*DG$175</f>
        <v>20432.4948990137</v>
      </c>
      <c r="DH236" s="48" t="n">
        <f aca="false">SUMPRODUCT((Per_Clase="In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$235*V_Alim*DH$175</f>
        <v>20432.4948990137</v>
      </c>
      <c r="DI236" s="48" t="n">
        <f aca="false">SUMPRODUCT((Per_Clase="In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$235*V_Alim*DI$175</f>
        <v>20432.4948990137</v>
      </c>
      <c r="DJ236" s="48" t="n">
        <f aca="false">SUMPRODUCT((Per_Clase="In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$235*V_Alim*DJ$175</f>
        <v>20432.4948990137</v>
      </c>
      <c r="DK236" s="48" t="n">
        <f aca="false">SUMPRODUCT((Per_Clase="In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$235*V_Alim*DK$175</f>
        <v>20432.4948990137</v>
      </c>
      <c r="DL236" s="48" t="n">
        <f aca="false">SUMPRODUCT((Per_Clase="In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$235*V_Alim*DL$175</f>
        <v>20432.4948990137</v>
      </c>
      <c r="DM236" s="48" t="n">
        <f aca="false">SUMPRODUCT((Per_Clase="In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$235*V_Alim*DM$175</f>
        <v>20432.4948990137</v>
      </c>
      <c r="DN236" s="48" t="n">
        <f aca="false">SUMPRODUCT((Per_Clase="In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$235*V_Alim*DN$175</f>
        <v>20432.4948990137</v>
      </c>
      <c r="DO236" s="48" t="n">
        <f aca="false">SUMPRODUCT((Per_Clase="In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$235*V_Alim*DO$175</f>
        <v>20432.4948990137</v>
      </c>
      <c r="DP236" s="48" t="n">
        <f aca="false">SUMPRODUCT((Per_Clase="In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$235*V_Alim*DP$175</f>
        <v>20432.4948990137</v>
      </c>
      <c r="DQ236" s="48" t="n">
        <f aca="false">SUMPRODUCT((Per_Clase="In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$235*V_Alim*DQ$175</f>
        <v>20432.4948990137</v>
      </c>
      <c r="DR236" s="48" t="n">
        <f aca="false">SUMPRODUCT((Per_Clase="In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$235*V_Alim*DR$175</f>
        <v>20432.4948990137</v>
      </c>
      <c r="DS236" s="48" t="n">
        <f aca="false">SUMPRODUCT((Per_Clase="In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$235*V_Alim*DS$175</f>
        <v>20432.4948990137</v>
      </c>
      <c r="DT236" s="48" t="n">
        <f aca="false">SUMPRODUCT((Per_Clase="In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$235*V_Alim*DT$175</f>
        <v>20432.4948990137</v>
      </c>
      <c r="DU236" s="48" t="n">
        <f aca="false">SUMPRODUCT((Per_Clase="In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$235*V_Alim*DU$175</f>
        <v>20432.4948990137</v>
      </c>
      <c r="DV236" s="48" t="n">
        <f aca="false">SUMPRODUCT((Per_Clase="In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$235*V_Alim*DV$175</f>
        <v>0</v>
      </c>
      <c r="DW236" s="48" t="n">
        <f aca="false">SUMPRODUCT((Per_Clase="In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$235*V_Alim*DW$175</f>
        <v>0</v>
      </c>
      <c r="DX236" s="48" t="n">
        <f aca="false">SUMPRODUCT((Per_Clase="In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$235*V_Alim*DX$175</f>
        <v>0</v>
      </c>
      <c r="DY236" s="48" t="n">
        <f aca="false">SUMPRODUCT((Per_Clase="In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$235*V_Alim*DY$175</f>
        <v>0</v>
      </c>
      <c r="DZ236" s="48" t="n">
        <f aca="false">SUMPRODUCT((Per_Clase="In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$235*V_Alim*DZ$175</f>
        <v>0</v>
      </c>
      <c r="EA236" s="48" t="n">
        <f aca="false">SUMPRODUCT((Per_Clase="In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$235*V_Alim*EA$175</f>
        <v>0</v>
      </c>
      <c r="EB236" s="48" t="n">
        <f aca="false">SUMPRODUCT((Per_Clase="In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$235*V_Alim*EB$175</f>
        <v>0</v>
      </c>
      <c r="EC236" s="48" t="n">
        <f aca="false">SUMPRODUCT((Per_Clase="In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$235*V_Alim*EC$175</f>
        <v>0</v>
      </c>
      <c r="ED236" s="48" t="n">
        <f aca="false">SUMPRODUCT((Per_Clase="In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$235*V_Alim*ED$175</f>
        <v>0</v>
      </c>
      <c r="EE236" s="48" t="n">
        <f aca="false">SUMPRODUCT((Per_Clase="In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$235*V_Alim*EE$175</f>
        <v>0</v>
      </c>
      <c r="EF236" s="48" t="n">
        <f aca="false">SUMPRODUCT((Per_Clase="In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$235*V_Alim*EF$175</f>
        <v>0</v>
      </c>
      <c r="EG236" s="48" t="n">
        <f aca="false">SUMPRODUCT((Per_Clase="In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$235*V_Alim*EG$175</f>
        <v>0</v>
      </c>
      <c r="EH236" s="48" t="n">
        <f aca="false">SUMPRODUCT((Per_Clase="In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$235*V_Alim*EH$175</f>
        <v>0</v>
      </c>
      <c r="EI236" s="48" t="n">
        <f aca="false">SUMPRODUCT((Per_Clase="In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$235*V_Alim*EI$175</f>
        <v>0</v>
      </c>
      <c r="EJ236" s="48" t="n">
        <f aca="false">SUMPRODUCT((Per_Clase="In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$235*V_Alim*EJ$175</f>
        <v>0</v>
      </c>
      <c r="EK236" s="48" t="n">
        <f aca="false">SUMPRODUCT((Per_Clase="In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$235*V_Alim*EK$175</f>
        <v>0</v>
      </c>
      <c r="EL236" s="48" t="n">
        <f aca="false">SUMPRODUCT((Per_Clase="In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$235*V_Alim*EL$175</f>
        <v>0</v>
      </c>
      <c r="EM236" s="48" t="n">
        <f aca="false">SUMPRODUCT((Per_Clase="In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$235*V_Alim*EM$175</f>
        <v>0</v>
      </c>
      <c r="EN236" s="48" t="n">
        <f aca="false">SUMPRODUCT((Per_Clase="In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$235*V_Alim*EN$175</f>
        <v>0</v>
      </c>
      <c r="EO236" s="48" t="n">
        <f aca="false">SUMPRODUCT((Per_Clase="In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$235*V_Alim*EO$175</f>
        <v>0</v>
      </c>
      <c r="EP236" s="48" t="n">
        <f aca="false">SUMPRODUCT((Per_Clase="In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$235*V_Alim*EP$175</f>
        <v>0</v>
      </c>
      <c r="EQ236" s="48" t="n">
        <f aca="false">SUMPRODUCT((Per_Clase="In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$235*V_Alim*EQ$175</f>
        <v>0</v>
      </c>
      <c r="ER236" s="48" t="n">
        <f aca="false">SUMPRODUCT((Per_Clase="In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$235*V_Alim*ER$175</f>
        <v>0</v>
      </c>
      <c r="ES236" s="48" t="n">
        <f aca="false">SUMPRODUCT((Per_Clase="In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$235*V_Alim*ES$175</f>
        <v>0</v>
      </c>
    </row>
    <row r="237" customFormat="false" ht="15" hidden="false" customHeight="false" outlineLevel="0" collapsed="false">
      <c r="A237" s="11" t="s">
        <v>1359</v>
      </c>
      <c r="B237" s="15" t="s">
        <v>1136</v>
      </c>
      <c r="C237" s="15" t="s">
        <v>853</v>
      </c>
      <c r="F237" s="50" t="n">
        <f aca="false">SUMPRODUCT((Per_Clase="Administración")*((1&gt;Corte)*(1&lt;=Corte+n_Ventana)*ISNUMBER(Detalle_24m!F$154:F$183)*Detalle_24m!F$154:F$183+(1-(1&gt;Corte)*(1&lt;=Corte+n_Ventana)*ISNUMBER(Detalle_24m!F$154:F$183))*INDEX(Dot_V,0,MIN(10,F$173))*(F$171+F$172*V_PreInd)))</f>
        <v>5</v>
      </c>
      <c r="G237" s="50" t="n">
        <f aca="false">SUMPRODUCT((Per_Clase="Administración")*((2&gt;Corte)*(2&lt;=Corte+n_Ventana)*ISNUMBER(Detalle_24m!G$154:G$183)*Detalle_24m!G$154:G$183+(1-(2&gt;Corte)*(2&lt;=Corte+n_Ventana)*ISNUMBER(Detalle_24m!G$154:G$183))*INDEX(Dot_V,0,MIN(10,G$173))*(G$171+G$172*V_PreInd)))</f>
        <v>5</v>
      </c>
      <c r="H237" s="50" t="n">
        <f aca="false">SUMPRODUCT((Per_Clase="Administración")*((3&gt;Corte)*(3&lt;=Corte+n_Ventana)*ISNUMBER(Detalle_24m!H$154:H$183)*Detalle_24m!H$154:H$183+(1-(3&gt;Corte)*(3&lt;=Corte+n_Ventana)*ISNUMBER(Detalle_24m!H$154:H$183))*INDEX(Dot_V,0,MIN(10,H$173))*(H$171+H$172*V_PreInd)))</f>
        <v>5</v>
      </c>
      <c r="I237" s="50" t="n">
        <f aca="false">SUMPRODUCT((Per_Clase="Administración")*((4&gt;Corte)*(4&lt;=Corte+n_Ventana)*ISNUMBER(Detalle_24m!I$154:I$183)*Detalle_24m!I$154:I$183+(1-(4&gt;Corte)*(4&lt;=Corte+n_Ventana)*ISNUMBER(Detalle_24m!I$154:I$183))*INDEX(Dot_V,0,MIN(10,I$173))*(I$171+I$172*V_PreInd)))</f>
        <v>5</v>
      </c>
      <c r="J237" s="50" t="n">
        <f aca="false">SUMPRODUCT((Per_Clase="Administración")*((5&gt;Corte)*(5&lt;=Corte+n_Ventana)*ISNUMBER(Detalle_24m!J$154:J$183)*Detalle_24m!J$154:J$183+(1-(5&gt;Corte)*(5&lt;=Corte+n_Ventana)*ISNUMBER(Detalle_24m!J$154:J$183))*INDEX(Dot_V,0,MIN(10,J$173))*(J$171+J$172*V_PreInd)))</f>
        <v>5</v>
      </c>
      <c r="K237" s="50" t="n">
        <f aca="false">SUMPRODUCT((Per_Clase="Administración")*((6&gt;Corte)*(6&lt;=Corte+n_Ventana)*ISNUMBER(Detalle_24m!K$154:K$183)*Detalle_24m!K$154:K$183+(1-(6&gt;Corte)*(6&lt;=Corte+n_Ventana)*ISNUMBER(Detalle_24m!K$154:K$183))*INDEX(Dot_V,0,MIN(10,K$173))*(K$171+K$172*V_PreInd)))</f>
        <v>5</v>
      </c>
      <c r="L237" s="50" t="n">
        <f aca="false">SUMPRODUCT((Per_Clase="Administración")*((7&gt;Corte)*(7&lt;=Corte+n_Ventana)*ISNUMBER(Detalle_24m!L$154:L$183)*Detalle_24m!L$154:L$183+(1-(7&gt;Corte)*(7&lt;=Corte+n_Ventana)*ISNUMBER(Detalle_24m!L$154:L$183))*INDEX(Dot_V,0,MIN(10,L$173))*(L$171+L$172*V_PreInd)))</f>
        <v>5</v>
      </c>
      <c r="M237" s="50" t="n">
        <f aca="false">SUMPRODUCT((Per_Clase="Administración")*((8&gt;Corte)*(8&lt;=Corte+n_Ventana)*ISNUMBER(Detalle_24m!M$154:M$183)*Detalle_24m!M$154:M$183+(1-(8&gt;Corte)*(8&lt;=Corte+n_Ventana)*ISNUMBER(Detalle_24m!M$154:M$183))*INDEX(Dot_V,0,MIN(10,M$173))*(M$171+M$172*V_PreInd)))</f>
        <v>5</v>
      </c>
      <c r="N237" s="50" t="n">
        <f aca="false">SUMPRODUCT((Per_Clase="Administración")*((9&gt;Corte)*(9&lt;=Corte+n_Ventana)*ISNUMBER(Detalle_24m!N$154:N$183)*Detalle_24m!N$154:N$183+(1-(9&gt;Corte)*(9&lt;=Corte+n_Ventana)*ISNUMBER(Detalle_24m!N$154:N$183))*INDEX(Dot_V,0,MIN(10,N$173))*(N$171+N$172*V_PreInd)))</f>
        <v>5</v>
      </c>
      <c r="O237" s="50" t="n">
        <f aca="false">SUMPRODUCT((Per_Clase="Administración")*((10&gt;Corte)*(10&lt;=Corte+n_Ventana)*ISNUMBER(Detalle_24m!O$154:O$183)*Detalle_24m!O$154:O$183+(1-(10&gt;Corte)*(10&lt;=Corte+n_Ventana)*ISNUMBER(Detalle_24m!O$154:O$183))*INDEX(Dot_V,0,MIN(10,O$173))*(O$171+O$172*V_PreInd)))</f>
        <v>5</v>
      </c>
      <c r="P237" s="50" t="n">
        <f aca="false">SUMPRODUCT((Per_Clase="Administración")*((11&gt;Corte)*(11&lt;=Corte+n_Ventana)*ISNUMBER(Detalle_24m!P$154:P$183)*Detalle_24m!P$154:P$183+(1-(11&gt;Corte)*(11&lt;=Corte+n_Ventana)*ISNUMBER(Detalle_24m!P$154:P$183))*INDEX(Dot_V,0,MIN(10,P$173))*(P$171+P$172*V_PreInd)))</f>
        <v>5</v>
      </c>
      <c r="Q237" s="50" t="n">
        <f aca="false">SUMPRODUCT((Per_Clase="Administración")*((12&gt;Corte)*(12&lt;=Corte+n_Ventana)*ISNUMBER(Detalle_24m!Q$154:Q$183)*Detalle_24m!Q$154:Q$183+(1-(12&gt;Corte)*(12&lt;=Corte+n_Ventana)*ISNUMBER(Detalle_24m!Q$154:Q$183))*INDEX(Dot_V,0,MIN(10,Q$173))*(Q$171+Q$172*V_PreInd)))</f>
        <v>5</v>
      </c>
      <c r="R237" s="50" t="n">
        <f aca="false">SUMPRODUCT((Per_Clase="Administración")*((13&gt;Corte)*(13&lt;=Corte+n_Ventana)*ISNUMBER(Detalle_24m!R$154:R$183)*Detalle_24m!R$154:R$183+(1-(13&gt;Corte)*(13&lt;=Corte+n_Ventana)*ISNUMBER(Detalle_24m!R$154:R$183))*INDEX(Dot_V,0,MIN(10,R$173))*(R$171+R$172*V_PreInd)))</f>
        <v>5</v>
      </c>
      <c r="S237" s="50" t="n">
        <f aca="false">SUMPRODUCT((Per_Clase="Administración")*((14&gt;Corte)*(14&lt;=Corte+n_Ventana)*ISNUMBER(Detalle_24m!S$154:S$183)*Detalle_24m!S$154:S$183+(1-(14&gt;Corte)*(14&lt;=Corte+n_Ventana)*ISNUMBER(Detalle_24m!S$154:S$183))*INDEX(Dot_V,0,MIN(10,S$173))*(S$171+S$172*V_PreInd)))</f>
        <v>5</v>
      </c>
      <c r="T237" s="50" t="n">
        <f aca="false">SUMPRODUCT((Per_Clase="Administración")*((15&gt;Corte)*(15&lt;=Corte+n_Ventana)*ISNUMBER(Detalle_24m!T$154:T$183)*Detalle_24m!T$154:T$183+(1-(15&gt;Corte)*(15&lt;=Corte+n_Ventana)*ISNUMBER(Detalle_24m!T$154:T$183))*INDEX(Dot_V,0,MIN(10,T$173))*(T$171+T$172*V_PreInd)))</f>
        <v>5</v>
      </c>
      <c r="U237" s="50" t="n">
        <f aca="false">SUMPRODUCT((Per_Clase="Administración")*((16&gt;Corte)*(16&lt;=Corte+n_Ventana)*ISNUMBER(Detalle_24m!U$154:U$183)*Detalle_24m!U$154:U$183+(1-(16&gt;Corte)*(16&lt;=Corte+n_Ventana)*ISNUMBER(Detalle_24m!U$154:U$183))*INDEX(Dot_V,0,MIN(10,U$173))*(U$171+U$172*V_PreInd)))</f>
        <v>5</v>
      </c>
      <c r="V237" s="50" t="n">
        <f aca="false">SUMPRODUCT((Per_Clase="Administración")*((17&gt;Corte)*(17&lt;=Corte+n_Ventana)*ISNUMBER(Detalle_24m!V$154:V$183)*Detalle_24m!V$154:V$183+(1-(17&gt;Corte)*(17&lt;=Corte+n_Ventana)*ISNUMBER(Detalle_24m!V$154:V$183))*INDEX(Dot_V,0,MIN(10,V$173))*(V$171+V$172*V_PreInd)))</f>
        <v>5</v>
      </c>
      <c r="W237" s="50" t="n">
        <f aca="false">SUMPRODUCT((Per_Clase="Administración")*((18&gt;Corte)*(18&lt;=Corte+n_Ventana)*ISNUMBER(Detalle_24m!W$154:W$183)*Detalle_24m!W$154:W$183+(1-(18&gt;Corte)*(18&lt;=Corte+n_Ventana)*ISNUMBER(Detalle_24m!W$154:W$183))*INDEX(Dot_V,0,MIN(10,W$173))*(W$171+W$172*V_PreInd)))</f>
        <v>5</v>
      </c>
      <c r="X237" s="50" t="n">
        <f aca="false">SUMPRODUCT((Per_Clase="Administración")*((19&gt;Corte)*(19&lt;=Corte+n_Ventana)*ISNUMBER(Detalle_24m!X$154:X$183)*Detalle_24m!X$154:X$183+(1-(19&gt;Corte)*(19&lt;=Corte+n_Ventana)*ISNUMBER(Detalle_24m!X$154:X$183))*INDEX(Dot_V,0,MIN(10,X$173))*(X$171+X$172*V_PreInd)))</f>
        <v>5</v>
      </c>
      <c r="Y237" s="50" t="n">
        <f aca="false">SUMPRODUCT((Per_Clase="Administración")*((20&gt;Corte)*(20&lt;=Corte+n_Ventana)*ISNUMBER(Detalle_24m!Y$154:Y$183)*Detalle_24m!Y$154:Y$183+(1-(20&gt;Corte)*(20&lt;=Corte+n_Ventana)*ISNUMBER(Detalle_24m!Y$154:Y$183))*INDEX(Dot_V,0,MIN(10,Y$173))*(Y$171+Y$172*V_PreInd)))</f>
        <v>5</v>
      </c>
      <c r="Z237" s="50" t="n">
        <f aca="false">SUMPRODUCT((Per_Clase="Administración")*((21&gt;Corte)*(21&lt;=Corte+n_Ventana)*ISNUMBER(Detalle_24m!Z$154:Z$183)*Detalle_24m!Z$154:Z$183+(1-(21&gt;Corte)*(21&lt;=Corte+n_Ventana)*ISNUMBER(Detalle_24m!Z$154:Z$183))*INDEX(Dot_V,0,MIN(10,Z$173))*(Z$171+Z$172*V_PreInd)))</f>
        <v>5</v>
      </c>
      <c r="AA237" s="50" t="n">
        <f aca="false">SUMPRODUCT((Per_Clase="Administración")*((22&gt;Corte)*(22&lt;=Corte+n_Ventana)*ISNUMBER(Detalle_24m!AA$154:AA$183)*Detalle_24m!AA$154:AA$183+(1-(22&gt;Corte)*(22&lt;=Corte+n_Ventana)*ISNUMBER(Detalle_24m!AA$154:AA$183))*INDEX(Dot_V,0,MIN(10,AA$173))*(AA$171+AA$172*V_PreInd)))</f>
        <v>5</v>
      </c>
      <c r="AB237" s="50" t="n">
        <f aca="false">SUMPRODUCT((Per_Clase="Administración")*((23&gt;Corte)*(23&lt;=Corte+n_Ventana)*ISNUMBER(Detalle_24m!AB$154:AB$183)*Detalle_24m!AB$154:AB$183+(1-(23&gt;Corte)*(23&lt;=Corte+n_Ventana)*ISNUMBER(Detalle_24m!AB$154:AB$183))*INDEX(Dot_V,0,MIN(10,AB$173))*(AB$171+AB$172*V_PreInd)))</f>
        <v>5</v>
      </c>
      <c r="AC237" s="50" t="n">
        <f aca="false">SUMPRODUCT((Per_Clase="Administración")*((24&gt;Corte)*(24&lt;=Corte+n_Ventana)*ISNUMBER(Detalle_24m!AC$154:AC$183)*Detalle_24m!AC$154:AC$183+(1-(24&gt;Corte)*(24&lt;=Corte+n_Ventana)*ISNUMBER(Detalle_24m!AC$154:AC$183))*INDEX(Dot_V,0,MIN(10,AC$173))*(AC$171+AC$172*V_PreInd)))</f>
        <v>5</v>
      </c>
      <c r="AD237" s="50" t="n">
        <f aca="false">SUMPRODUCT((Per_Clase="Administración")*((25&gt;Corte)*(25&lt;=Corte+n_Ventana)*ISNUMBER(Detalle_24m!AD$154:AD$183)*Detalle_24m!AD$154:AD$183+(1-(25&gt;Corte)*(25&lt;=Corte+n_Ventana)*ISNUMBER(Detalle_24m!AD$154:AD$183))*INDEX(Dot_V,0,MIN(10,AD$173))*(AD$171+AD$172*V_PreInd)))</f>
        <v>5</v>
      </c>
      <c r="AE237" s="50" t="n">
        <f aca="false">SUMPRODUCT((Per_Clase="Administración")*((26&gt;Corte)*(26&lt;=Corte+n_Ventana)*ISNUMBER(Detalle_24m!AE$154:AE$183)*Detalle_24m!AE$154:AE$183+(1-(26&gt;Corte)*(26&lt;=Corte+n_Ventana)*ISNUMBER(Detalle_24m!AE$154:AE$183))*INDEX(Dot_V,0,MIN(10,AE$173))*(AE$171+AE$172*V_PreInd)))</f>
        <v>5</v>
      </c>
      <c r="AF237" s="50" t="n">
        <f aca="false">SUMPRODUCT((Per_Clase="Administración")*((27&gt;Corte)*(27&lt;=Corte+n_Ventana)*ISNUMBER(Detalle_24m!AF$154:AF$183)*Detalle_24m!AF$154:AF$183+(1-(27&gt;Corte)*(27&lt;=Corte+n_Ventana)*ISNUMBER(Detalle_24m!AF$154:AF$183))*INDEX(Dot_V,0,MIN(10,AF$173))*(AF$171+AF$172*V_PreInd)))</f>
        <v>5</v>
      </c>
      <c r="AG237" s="50" t="n">
        <f aca="false">SUMPRODUCT((Per_Clase="Administración")*((28&gt;Corte)*(28&lt;=Corte+n_Ventana)*ISNUMBER(Detalle_24m!AG$154:AG$183)*Detalle_24m!AG$154:AG$183+(1-(28&gt;Corte)*(28&lt;=Corte+n_Ventana)*ISNUMBER(Detalle_24m!AG$154:AG$183))*INDEX(Dot_V,0,MIN(10,AG$173))*(AG$171+AG$172*V_PreInd)))</f>
        <v>5</v>
      </c>
      <c r="AH237" s="50" t="n">
        <f aca="false">SUMPRODUCT((Per_Clase="Administración")*((29&gt;Corte)*(29&lt;=Corte+n_Ventana)*ISNUMBER(Detalle_24m!AH$154:AH$183)*Detalle_24m!AH$154:AH$183+(1-(29&gt;Corte)*(29&lt;=Corte+n_Ventana)*ISNUMBER(Detalle_24m!AH$154:AH$183))*INDEX(Dot_V,0,MIN(10,AH$173))*(AH$171+AH$172*V_PreInd)))</f>
        <v>5</v>
      </c>
      <c r="AI237" s="50" t="n">
        <f aca="false">SUMPRODUCT((Per_Clase="Administración")*((30&gt;Corte)*(30&lt;=Corte+n_Ventana)*ISNUMBER(Detalle_24m!AI$154:AI$183)*Detalle_24m!AI$154:AI$183+(1-(30&gt;Corte)*(30&lt;=Corte+n_Ventana)*ISNUMBER(Detalle_24m!AI$154:AI$183))*INDEX(Dot_V,0,MIN(10,AI$173))*(AI$171+AI$172*V_PreInd)))</f>
        <v>5</v>
      </c>
      <c r="AJ237" s="50" t="n">
        <f aca="false">SUMPRODUCT((Per_Clase="Administración")*((31&gt;Corte)*(31&lt;=Corte+n_Ventana)*ISNUMBER(Detalle_24m!AJ$154:AJ$183)*Detalle_24m!AJ$154:AJ$183+(1-(31&gt;Corte)*(31&lt;=Corte+n_Ventana)*ISNUMBER(Detalle_24m!AJ$154:AJ$183))*INDEX(Dot_V,0,MIN(10,AJ$173))*(AJ$171+AJ$172*V_PreInd)))</f>
        <v>5</v>
      </c>
      <c r="AK237" s="50" t="n">
        <f aca="false">SUMPRODUCT((Per_Clase="Administración")*((32&gt;Corte)*(32&lt;=Corte+n_Ventana)*ISNUMBER(Detalle_24m!AK$154:AK$183)*Detalle_24m!AK$154:AK$183+(1-(32&gt;Corte)*(32&lt;=Corte+n_Ventana)*ISNUMBER(Detalle_24m!AK$154:AK$183))*INDEX(Dot_V,0,MIN(10,AK$173))*(AK$171+AK$172*V_PreInd)))</f>
        <v>5</v>
      </c>
      <c r="AL237" s="50" t="n">
        <f aca="false">SUMPRODUCT((Per_Clase="Administración")*((33&gt;Corte)*(33&lt;=Corte+n_Ventana)*ISNUMBER(Detalle_24m!AL$154:AL$183)*Detalle_24m!AL$154:AL$183+(1-(33&gt;Corte)*(33&lt;=Corte+n_Ventana)*ISNUMBER(Detalle_24m!AL$154:AL$183))*INDEX(Dot_V,0,MIN(10,AL$173))*(AL$171+AL$172*V_PreInd)))</f>
        <v>5</v>
      </c>
      <c r="AM237" s="50" t="n">
        <f aca="false">SUMPRODUCT((Per_Clase="Administración")*((34&gt;Corte)*(34&lt;=Corte+n_Ventana)*ISNUMBER(Detalle_24m!AM$154:AM$183)*Detalle_24m!AM$154:AM$183+(1-(34&gt;Corte)*(34&lt;=Corte+n_Ventana)*ISNUMBER(Detalle_24m!AM$154:AM$183))*INDEX(Dot_V,0,MIN(10,AM$173))*(AM$171+AM$172*V_PreInd)))</f>
        <v>5</v>
      </c>
      <c r="AN237" s="50" t="n">
        <f aca="false">SUMPRODUCT((Per_Clase="Administración")*((35&gt;Corte)*(35&lt;=Corte+n_Ventana)*ISNUMBER(Detalle_24m!AN$154:AN$183)*Detalle_24m!AN$154:AN$183+(1-(35&gt;Corte)*(35&lt;=Corte+n_Ventana)*ISNUMBER(Detalle_24m!AN$154:AN$183))*INDEX(Dot_V,0,MIN(10,AN$173))*(AN$171+AN$172*V_PreInd)))</f>
        <v>5</v>
      </c>
      <c r="AO237" s="50" t="n">
        <f aca="false">SUMPRODUCT((Per_Clase="Administración")*((36&gt;Corte)*(36&lt;=Corte+n_Ventana)*ISNUMBER(Detalle_24m!AO$154:AO$183)*Detalle_24m!AO$154:AO$183+(1-(36&gt;Corte)*(36&lt;=Corte+n_Ventana)*ISNUMBER(Detalle_24m!AO$154:AO$183))*INDEX(Dot_V,0,MIN(10,AO$173))*(AO$171+AO$172*V_PreInd)))</f>
        <v>5</v>
      </c>
      <c r="AP237" s="50" t="n">
        <f aca="false">SUMPRODUCT((Per_Clase="Administración")*((37&gt;Corte)*(37&lt;=Corte+n_Ventana)*ISNUMBER(Detalle_24m!AP$154:AP$183)*Detalle_24m!AP$154:AP$183+(1-(37&gt;Corte)*(37&lt;=Corte+n_Ventana)*ISNUMBER(Detalle_24m!AP$154:AP$183))*INDEX(Dot_V,0,MIN(10,AP$173))*(AP$171+AP$172*V_PreInd)))</f>
        <v>5</v>
      </c>
      <c r="AQ237" s="50" t="n">
        <f aca="false">SUMPRODUCT((Per_Clase="Administración")*((38&gt;Corte)*(38&lt;=Corte+n_Ventana)*ISNUMBER(Detalle_24m!AQ$154:AQ$183)*Detalle_24m!AQ$154:AQ$183+(1-(38&gt;Corte)*(38&lt;=Corte+n_Ventana)*ISNUMBER(Detalle_24m!AQ$154:AQ$183))*INDEX(Dot_V,0,MIN(10,AQ$173))*(AQ$171+AQ$172*V_PreInd)))</f>
        <v>5</v>
      </c>
      <c r="AR237" s="50" t="n">
        <f aca="false">SUMPRODUCT((Per_Clase="Administración")*((39&gt;Corte)*(39&lt;=Corte+n_Ventana)*ISNUMBER(Detalle_24m!AR$154:AR$183)*Detalle_24m!AR$154:AR$183+(1-(39&gt;Corte)*(39&lt;=Corte+n_Ventana)*ISNUMBER(Detalle_24m!AR$154:AR$183))*INDEX(Dot_V,0,MIN(10,AR$173))*(AR$171+AR$172*V_PreInd)))</f>
        <v>5</v>
      </c>
      <c r="AS237" s="50" t="n">
        <f aca="false">SUMPRODUCT((Per_Clase="Administración")*((40&gt;Corte)*(40&lt;=Corte+n_Ventana)*ISNUMBER(Detalle_24m!AS$154:AS$183)*Detalle_24m!AS$154:AS$183+(1-(40&gt;Corte)*(40&lt;=Corte+n_Ventana)*ISNUMBER(Detalle_24m!AS$154:AS$183))*INDEX(Dot_V,0,MIN(10,AS$173))*(AS$171+AS$172*V_PreInd)))</f>
        <v>5</v>
      </c>
      <c r="AT237" s="50" t="n">
        <f aca="false">SUMPRODUCT((Per_Clase="Administración")*((41&gt;Corte)*(41&lt;=Corte+n_Ventana)*ISNUMBER(Detalle_24m!AT$154:AT$183)*Detalle_24m!AT$154:AT$183+(1-(41&gt;Corte)*(41&lt;=Corte+n_Ventana)*ISNUMBER(Detalle_24m!AT$154:AT$183))*INDEX(Dot_V,0,MIN(10,AT$173))*(AT$171+AT$172*V_PreInd)))</f>
        <v>5</v>
      </c>
      <c r="AU237" s="50" t="n">
        <f aca="false">SUMPRODUCT((Per_Clase="Administración")*((42&gt;Corte)*(42&lt;=Corte+n_Ventana)*ISNUMBER(Detalle_24m!AU$154:AU$183)*Detalle_24m!AU$154:AU$183+(1-(42&gt;Corte)*(42&lt;=Corte+n_Ventana)*ISNUMBER(Detalle_24m!AU$154:AU$183))*INDEX(Dot_V,0,MIN(10,AU$173))*(AU$171+AU$172*V_PreInd)))</f>
        <v>5</v>
      </c>
      <c r="AV237" s="50" t="n">
        <f aca="false">SUMPRODUCT((Per_Clase="Administración")*((43&gt;Corte)*(43&lt;=Corte+n_Ventana)*ISNUMBER(Detalle_24m!AV$154:AV$183)*Detalle_24m!AV$154:AV$183+(1-(43&gt;Corte)*(43&lt;=Corte+n_Ventana)*ISNUMBER(Detalle_24m!AV$154:AV$183))*INDEX(Dot_V,0,MIN(10,AV$173))*(AV$171+AV$172*V_PreInd)))</f>
        <v>5</v>
      </c>
      <c r="AW237" s="50" t="n">
        <f aca="false">SUMPRODUCT((Per_Clase="Administración")*((44&gt;Corte)*(44&lt;=Corte+n_Ventana)*ISNUMBER(Detalle_24m!AW$154:AW$183)*Detalle_24m!AW$154:AW$183+(1-(44&gt;Corte)*(44&lt;=Corte+n_Ventana)*ISNUMBER(Detalle_24m!AW$154:AW$183))*INDEX(Dot_V,0,MIN(10,AW$173))*(AW$171+AW$172*V_PreInd)))</f>
        <v>5</v>
      </c>
      <c r="AX237" s="50" t="n">
        <f aca="false">SUMPRODUCT((Per_Clase="Administración")*((45&gt;Corte)*(45&lt;=Corte+n_Ventana)*ISNUMBER(Detalle_24m!AX$154:AX$183)*Detalle_24m!AX$154:AX$183+(1-(45&gt;Corte)*(45&lt;=Corte+n_Ventana)*ISNUMBER(Detalle_24m!AX$154:AX$183))*INDEX(Dot_V,0,MIN(10,AX$173))*(AX$171+AX$172*V_PreInd)))</f>
        <v>5</v>
      </c>
      <c r="AY237" s="50" t="n">
        <f aca="false">SUMPRODUCT((Per_Clase="Administración")*((46&gt;Corte)*(46&lt;=Corte+n_Ventana)*ISNUMBER(Detalle_24m!AY$154:AY$183)*Detalle_24m!AY$154:AY$183+(1-(46&gt;Corte)*(46&lt;=Corte+n_Ventana)*ISNUMBER(Detalle_24m!AY$154:AY$183))*INDEX(Dot_V,0,MIN(10,AY$173))*(AY$171+AY$172*V_PreInd)))</f>
        <v>5</v>
      </c>
      <c r="AZ237" s="50" t="n">
        <f aca="false">SUMPRODUCT((Per_Clase="Administración")*((47&gt;Corte)*(47&lt;=Corte+n_Ventana)*ISNUMBER(Detalle_24m!AZ$154:AZ$183)*Detalle_24m!AZ$154:AZ$183+(1-(47&gt;Corte)*(47&lt;=Corte+n_Ventana)*ISNUMBER(Detalle_24m!AZ$154:AZ$183))*INDEX(Dot_V,0,MIN(10,AZ$173))*(AZ$171+AZ$172*V_PreInd)))</f>
        <v>5</v>
      </c>
      <c r="BA237" s="50" t="n">
        <f aca="false">SUMPRODUCT((Per_Clase="Administración")*((48&gt;Corte)*(48&lt;=Corte+n_Ventana)*ISNUMBER(Detalle_24m!BA$154:BA$183)*Detalle_24m!BA$154:BA$183+(1-(48&gt;Corte)*(48&lt;=Corte+n_Ventana)*ISNUMBER(Detalle_24m!BA$154:BA$183))*INDEX(Dot_V,0,MIN(10,BA$173))*(BA$171+BA$172*V_PreInd)))</f>
        <v>5</v>
      </c>
      <c r="BB237" s="50" t="n">
        <f aca="false">SUMPRODUCT((Per_Clase="Administración")*((49&gt;Corte)*(49&lt;=Corte+n_Ventana)*ISNUMBER(Detalle_24m!BB$154:BB$183)*Detalle_24m!BB$154:BB$183+(1-(49&gt;Corte)*(49&lt;=Corte+n_Ventana)*ISNUMBER(Detalle_24m!BB$154:BB$183))*INDEX(Dot_V,0,MIN(10,BB$173))*(BB$171+BB$172*V_PreInd)))</f>
        <v>5</v>
      </c>
      <c r="BC237" s="50" t="n">
        <f aca="false">SUMPRODUCT((Per_Clase="Administración")*((50&gt;Corte)*(50&lt;=Corte+n_Ventana)*ISNUMBER(Detalle_24m!BC$154:BC$183)*Detalle_24m!BC$154:BC$183+(1-(50&gt;Corte)*(50&lt;=Corte+n_Ventana)*ISNUMBER(Detalle_24m!BC$154:BC$183))*INDEX(Dot_V,0,MIN(10,BC$173))*(BC$171+BC$172*V_PreInd)))</f>
        <v>5</v>
      </c>
      <c r="BD237" s="50" t="n">
        <f aca="false">SUMPRODUCT((Per_Clase="Administración")*((51&gt;Corte)*(51&lt;=Corte+n_Ventana)*ISNUMBER(Detalle_24m!BD$154:BD$183)*Detalle_24m!BD$154:BD$183+(1-(51&gt;Corte)*(51&lt;=Corte+n_Ventana)*ISNUMBER(Detalle_24m!BD$154:BD$183))*INDEX(Dot_V,0,MIN(10,BD$173))*(BD$171+BD$172*V_PreInd)))</f>
        <v>5</v>
      </c>
      <c r="BE237" s="50" t="n">
        <f aca="false">SUMPRODUCT((Per_Clase="Administración")*((52&gt;Corte)*(52&lt;=Corte+n_Ventana)*ISNUMBER(Detalle_24m!BE$154:BE$183)*Detalle_24m!BE$154:BE$183+(1-(52&gt;Corte)*(52&lt;=Corte+n_Ventana)*ISNUMBER(Detalle_24m!BE$154:BE$183))*INDEX(Dot_V,0,MIN(10,BE$173))*(BE$171+BE$172*V_PreInd)))</f>
        <v>5</v>
      </c>
      <c r="BF237" s="50" t="n">
        <f aca="false">SUMPRODUCT((Per_Clase="Administración")*((53&gt;Corte)*(53&lt;=Corte+n_Ventana)*ISNUMBER(Detalle_24m!BF$154:BF$183)*Detalle_24m!BF$154:BF$183+(1-(53&gt;Corte)*(53&lt;=Corte+n_Ventana)*ISNUMBER(Detalle_24m!BF$154:BF$183))*INDEX(Dot_V,0,MIN(10,BF$173))*(BF$171+BF$172*V_PreInd)))</f>
        <v>5</v>
      </c>
      <c r="BG237" s="50" t="n">
        <f aca="false">SUMPRODUCT((Per_Clase="Administración")*((54&gt;Corte)*(54&lt;=Corte+n_Ventana)*ISNUMBER(Detalle_24m!BG$154:BG$183)*Detalle_24m!BG$154:BG$183+(1-(54&gt;Corte)*(54&lt;=Corte+n_Ventana)*ISNUMBER(Detalle_24m!BG$154:BG$183))*INDEX(Dot_V,0,MIN(10,BG$173))*(BG$171+BG$172*V_PreInd)))</f>
        <v>5</v>
      </c>
      <c r="BH237" s="50" t="n">
        <f aca="false">SUMPRODUCT((Per_Clase="Administración")*((55&gt;Corte)*(55&lt;=Corte+n_Ventana)*ISNUMBER(Detalle_24m!BH$154:BH$183)*Detalle_24m!BH$154:BH$183+(1-(55&gt;Corte)*(55&lt;=Corte+n_Ventana)*ISNUMBER(Detalle_24m!BH$154:BH$183))*INDEX(Dot_V,0,MIN(10,BH$173))*(BH$171+BH$172*V_PreInd)))</f>
        <v>5</v>
      </c>
      <c r="BI237" s="50" t="n">
        <f aca="false">SUMPRODUCT((Per_Clase="Administración")*((56&gt;Corte)*(56&lt;=Corte+n_Ventana)*ISNUMBER(Detalle_24m!BI$154:BI$183)*Detalle_24m!BI$154:BI$183+(1-(56&gt;Corte)*(56&lt;=Corte+n_Ventana)*ISNUMBER(Detalle_24m!BI$154:BI$183))*INDEX(Dot_V,0,MIN(10,BI$173))*(BI$171+BI$172*V_PreInd)))</f>
        <v>5</v>
      </c>
      <c r="BJ237" s="50" t="n">
        <f aca="false">SUMPRODUCT((Per_Clase="Administración")*((57&gt;Corte)*(57&lt;=Corte+n_Ventana)*ISNUMBER(Detalle_24m!BJ$154:BJ$183)*Detalle_24m!BJ$154:BJ$183+(1-(57&gt;Corte)*(57&lt;=Corte+n_Ventana)*ISNUMBER(Detalle_24m!BJ$154:BJ$183))*INDEX(Dot_V,0,MIN(10,BJ$173))*(BJ$171+BJ$172*V_PreInd)))</f>
        <v>5</v>
      </c>
      <c r="BK237" s="50" t="n">
        <f aca="false">SUMPRODUCT((Per_Clase="Administración")*((58&gt;Corte)*(58&lt;=Corte+n_Ventana)*ISNUMBER(Detalle_24m!BK$154:BK$183)*Detalle_24m!BK$154:BK$183+(1-(58&gt;Corte)*(58&lt;=Corte+n_Ventana)*ISNUMBER(Detalle_24m!BK$154:BK$183))*INDEX(Dot_V,0,MIN(10,BK$173))*(BK$171+BK$172*V_PreInd)))</f>
        <v>5</v>
      </c>
      <c r="BL237" s="50" t="n">
        <f aca="false">SUMPRODUCT((Per_Clase="Administración")*((59&gt;Corte)*(59&lt;=Corte+n_Ventana)*ISNUMBER(Detalle_24m!BL$154:BL$183)*Detalle_24m!BL$154:BL$183+(1-(59&gt;Corte)*(59&lt;=Corte+n_Ventana)*ISNUMBER(Detalle_24m!BL$154:BL$183))*INDEX(Dot_V,0,MIN(10,BL$173))*(BL$171+BL$172*V_PreInd)))</f>
        <v>5</v>
      </c>
      <c r="BM237" s="50" t="n">
        <f aca="false">SUMPRODUCT((Per_Clase="Administración")*((60&gt;Corte)*(60&lt;=Corte+n_Ventana)*ISNUMBER(Detalle_24m!BM$154:BM$183)*Detalle_24m!BM$154:BM$183+(1-(60&gt;Corte)*(60&lt;=Corte+n_Ventana)*ISNUMBER(Detalle_24m!BM$154:BM$183))*INDEX(Dot_V,0,MIN(10,BM$173))*(BM$171+BM$172*V_PreInd)))</f>
        <v>5</v>
      </c>
      <c r="BN237" s="50" t="n">
        <f aca="false">SUMPRODUCT((Per_Clase="Administración")*((61&gt;Corte)*(61&lt;=Corte+n_Ventana)*ISNUMBER(Detalle_24m!BN$154:BN$183)*Detalle_24m!BN$154:BN$183+(1-(61&gt;Corte)*(61&lt;=Corte+n_Ventana)*ISNUMBER(Detalle_24m!BN$154:BN$183))*INDEX(Dot_V,0,MIN(10,BN$173))*(BN$171+BN$172*V_PreInd)))</f>
        <v>5</v>
      </c>
      <c r="BO237" s="50" t="n">
        <f aca="false">SUMPRODUCT((Per_Clase="Administración")*((62&gt;Corte)*(62&lt;=Corte+n_Ventana)*ISNUMBER(Detalle_24m!BO$154:BO$183)*Detalle_24m!BO$154:BO$183+(1-(62&gt;Corte)*(62&lt;=Corte+n_Ventana)*ISNUMBER(Detalle_24m!BO$154:BO$183))*INDEX(Dot_V,0,MIN(10,BO$173))*(BO$171+BO$172*V_PreInd)))</f>
        <v>5</v>
      </c>
      <c r="BP237" s="50" t="n">
        <f aca="false">SUMPRODUCT((Per_Clase="Administración")*((63&gt;Corte)*(63&lt;=Corte+n_Ventana)*ISNUMBER(Detalle_24m!BP$154:BP$183)*Detalle_24m!BP$154:BP$183+(1-(63&gt;Corte)*(63&lt;=Corte+n_Ventana)*ISNUMBER(Detalle_24m!BP$154:BP$183))*INDEX(Dot_V,0,MIN(10,BP$173))*(BP$171+BP$172*V_PreInd)))</f>
        <v>5</v>
      </c>
      <c r="BQ237" s="50" t="n">
        <f aca="false">SUMPRODUCT((Per_Clase="Administración")*((64&gt;Corte)*(64&lt;=Corte+n_Ventana)*ISNUMBER(Detalle_24m!BQ$154:BQ$183)*Detalle_24m!BQ$154:BQ$183+(1-(64&gt;Corte)*(64&lt;=Corte+n_Ventana)*ISNUMBER(Detalle_24m!BQ$154:BQ$183))*INDEX(Dot_V,0,MIN(10,BQ$173))*(BQ$171+BQ$172*V_PreInd)))</f>
        <v>5</v>
      </c>
      <c r="BR237" s="50" t="n">
        <f aca="false">SUMPRODUCT((Per_Clase="Administración")*((65&gt;Corte)*(65&lt;=Corte+n_Ventana)*ISNUMBER(Detalle_24m!BR$154:BR$183)*Detalle_24m!BR$154:BR$183+(1-(65&gt;Corte)*(65&lt;=Corte+n_Ventana)*ISNUMBER(Detalle_24m!BR$154:BR$183))*INDEX(Dot_V,0,MIN(10,BR$173))*(BR$171+BR$172*V_PreInd)))</f>
        <v>5</v>
      </c>
      <c r="BS237" s="50" t="n">
        <f aca="false">SUMPRODUCT((Per_Clase="Administración")*((66&gt;Corte)*(66&lt;=Corte+n_Ventana)*ISNUMBER(Detalle_24m!BS$154:BS$183)*Detalle_24m!BS$154:BS$183+(1-(66&gt;Corte)*(66&lt;=Corte+n_Ventana)*ISNUMBER(Detalle_24m!BS$154:BS$183))*INDEX(Dot_V,0,MIN(10,BS$173))*(BS$171+BS$172*V_PreInd)))</f>
        <v>5</v>
      </c>
      <c r="BT237" s="50" t="n">
        <f aca="false">SUMPRODUCT((Per_Clase="Administración")*((67&gt;Corte)*(67&lt;=Corte+n_Ventana)*ISNUMBER(Detalle_24m!BT$154:BT$183)*Detalle_24m!BT$154:BT$183+(1-(67&gt;Corte)*(67&lt;=Corte+n_Ventana)*ISNUMBER(Detalle_24m!BT$154:BT$183))*INDEX(Dot_V,0,MIN(10,BT$173))*(BT$171+BT$172*V_PreInd)))</f>
        <v>5</v>
      </c>
      <c r="BU237" s="50" t="n">
        <f aca="false">SUMPRODUCT((Per_Clase="Administración")*((68&gt;Corte)*(68&lt;=Corte+n_Ventana)*ISNUMBER(Detalle_24m!BU$154:BU$183)*Detalle_24m!BU$154:BU$183+(1-(68&gt;Corte)*(68&lt;=Corte+n_Ventana)*ISNUMBER(Detalle_24m!BU$154:BU$183))*INDEX(Dot_V,0,MIN(10,BU$173))*(BU$171+BU$172*V_PreInd)))</f>
        <v>5</v>
      </c>
      <c r="BV237" s="50" t="n">
        <f aca="false">SUMPRODUCT((Per_Clase="Administración")*((69&gt;Corte)*(69&lt;=Corte+n_Ventana)*ISNUMBER(Detalle_24m!BV$154:BV$183)*Detalle_24m!BV$154:BV$183+(1-(69&gt;Corte)*(69&lt;=Corte+n_Ventana)*ISNUMBER(Detalle_24m!BV$154:BV$183))*INDEX(Dot_V,0,MIN(10,BV$173))*(BV$171+BV$172*V_PreInd)))</f>
        <v>5</v>
      </c>
      <c r="BW237" s="50" t="n">
        <f aca="false">SUMPRODUCT((Per_Clase="Administración")*((70&gt;Corte)*(70&lt;=Corte+n_Ventana)*ISNUMBER(Detalle_24m!BW$154:BW$183)*Detalle_24m!BW$154:BW$183+(1-(70&gt;Corte)*(70&lt;=Corte+n_Ventana)*ISNUMBER(Detalle_24m!BW$154:BW$183))*INDEX(Dot_V,0,MIN(10,BW$173))*(BW$171+BW$172*V_PreInd)))</f>
        <v>5</v>
      </c>
      <c r="BX237" s="50" t="n">
        <f aca="false">SUMPRODUCT((Per_Clase="Administración")*((71&gt;Corte)*(71&lt;=Corte+n_Ventana)*ISNUMBER(Detalle_24m!BX$154:BX$183)*Detalle_24m!BX$154:BX$183+(1-(71&gt;Corte)*(71&lt;=Corte+n_Ventana)*ISNUMBER(Detalle_24m!BX$154:BX$183))*INDEX(Dot_V,0,MIN(10,BX$173))*(BX$171+BX$172*V_PreInd)))</f>
        <v>5</v>
      </c>
      <c r="BY237" s="50" t="n">
        <f aca="false">SUMPRODUCT((Per_Clase="Administración")*((72&gt;Corte)*(72&lt;=Corte+n_Ventana)*ISNUMBER(Detalle_24m!BY$154:BY$183)*Detalle_24m!BY$154:BY$183+(1-(72&gt;Corte)*(72&lt;=Corte+n_Ventana)*ISNUMBER(Detalle_24m!BY$154:BY$183))*INDEX(Dot_V,0,MIN(10,BY$173))*(BY$171+BY$172*V_PreInd)))</f>
        <v>5</v>
      </c>
      <c r="BZ237" s="50" t="n">
        <f aca="false">SUMPRODUCT((Per_Clase="Administración")*((73&gt;Corte)*(73&lt;=Corte+n_Ventana)*ISNUMBER(Detalle_24m!BZ$154:BZ$183)*Detalle_24m!BZ$154:BZ$183+(1-(73&gt;Corte)*(73&lt;=Corte+n_Ventana)*ISNUMBER(Detalle_24m!BZ$154:BZ$183))*INDEX(Dot_V,0,MIN(10,BZ$173))*(BZ$171+BZ$172*V_PreInd)))</f>
        <v>5</v>
      </c>
      <c r="CA237" s="50" t="n">
        <f aca="false">SUMPRODUCT((Per_Clase="Administración")*((74&gt;Corte)*(74&lt;=Corte+n_Ventana)*ISNUMBER(Detalle_24m!CA$154:CA$183)*Detalle_24m!CA$154:CA$183+(1-(74&gt;Corte)*(74&lt;=Corte+n_Ventana)*ISNUMBER(Detalle_24m!CA$154:CA$183))*INDEX(Dot_V,0,MIN(10,CA$173))*(CA$171+CA$172*V_PreInd)))</f>
        <v>5</v>
      </c>
      <c r="CB237" s="50" t="n">
        <f aca="false">SUMPRODUCT((Per_Clase="Administración")*((75&gt;Corte)*(75&lt;=Corte+n_Ventana)*ISNUMBER(Detalle_24m!CB$154:CB$183)*Detalle_24m!CB$154:CB$183+(1-(75&gt;Corte)*(75&lt;=Corte+n_Ventana)*ISNUMBER(Detalle_24m!CB$154:CB$183))*INDEX(Dot_V,0,MIN(10,CB$173))*(CB$171+CB$172*V_PreInd)))</f>
        <v>5</v>
      </c>
      <c r="CC237" s="50" t="n">
        <f aca="false">SUMPRODUCT((Per_Clase="Administración")*((76&gt;Corte)*(76&lt;=Corte+n_Ventana)*ISNUMBER(Detalle_24m!CC$154:CC$183)*Detalle_24m!CC$154:CC$183+(1-(76&gt;Corte)*(76&lt;=Corte+n_Ventana)*ISNUMBER(Detalle_24m!CC$154:CC$183))*INDEX(Dot_V,0,MIN(10,CC$173))*(CC$171+CC$172*V_PreInd)))</f>
        <v>5</v>
      </c>
      <c r="CD237" s="50" t="n">
        <f aca="false">SUMPRODUCT((Per_Clase="Administración")*((77&gt;Corte)*(77&lt;=Corte+n_Ventana)*ISNUMBER(Detalle_24m!CD$154:CD$183)*Detalle_24m!CD$154:CD$183+(1-(77&gt;Corte)*(77&lt;=Corte+n_Ventana)*ISNUMBER(Detalle_24m!CD$154:CD$183))*INDEX(Dot_V,0,MIN(10,CD$173))*(CD$171+CD$172*V_PreInd)))</f>
        <v>5</v>
      </c>
      <c r="CE237" s="50" t="n">
        <f aca="false">SUMPRODUCT((Per_Clase="Administración")*((78&gt;Corte)*(78&lt;=Corte+n_Ventana)*ISNUMBER(Detalle_24m!CE$154:CE$183)*Detalle_24m!CE$154:CE$183+(1-(78&gt;Corte)*(78&lt;=Corte+n_Ventana)*ISNUMBER(Detalle_24m!CE$154:CE$183))*INDEX(Dot_V,0,MIN(10,CE$173))*(CE$171+CE$172*V_PreInd)))</f>
        <v>5</v>
      </c>
      <c r="CF237" s="50" t="n">
        <f aca="false">SUMPRODUCT((Per_Clase="Administración")*((79&gt;Corte)*(79&lt;=Corte+n_Ventana)*ISNUMBER(Detalle_24m!CF$154:CF$183)*Detalle_24m!CF$154:CF$183+(1-(79&gt;Corte)*(79&lt;=Corte+n_Ventana)*ISNUMBER(Detalle_24m!CF$154:CF$183))*INDEX(Dot_V,0,MIN(10,CF$173))*(CF$171+CF$172*V_PreInd)))</f>
        <v>5</v>
      </c>
      <c r="CG237" s="50" t="n">
        <f aca="false">SUMPRODUCT((Per_Clase="Administración")*((80&gt;Corte)*(80&lt;=Corte+n_Ventana)*ISNUMBER(Detalle_24m!CG$154:CG$183)*Detalle_24m!CG$154:CG$183+(1-(80&gt;Corte)*(80&lt;=Corte+n_Ventana)*ISNUMBER(Detalle_24m!CG$154:CG$183))*INDEX(Dot_V,0,MIN(10,CG$173))*(CG$171+CG$172*V_PreInd)))</f>
        <v>5</v>
      </c>
      <c r="CH237" s="50" t="n">
        <f aca="false">SUMPRODUCT((Per_Clase="Administración")*((81&gt;Corte)*(81&lt;=Corte+n_Ventana)*ISNUMBER(Detalle_24m!CH$154:CH$183)*Detalle_24m!CH$154:CH$183+(1-(81&gt;Corte)*(81&lt;=Corte+n_Ventana)*ISNUMBER(Detalle_24m!CH$154:CH$183))*INDEX(Dot_V,0,MIN(10,CH$173))*(CH$171+CH$172*V_PreInd)))</f>
        <v>5</v>
      </c>
      <c r="CI237" s="50" t="n">
        <f aca="false">SUMPRODUCT((Per_Clase="Administración")*((82&gt;Corte)*(82&lt;=Corte+n_Ventana)*ISNUMBER(Detalle_24m!CI$154:CI$183)*Detalle_24m!CI$154:CI$183+(1-(82&gt;Corte)*(82&lt;=Corte+n_Ventana)*ISNUMBER(Detalle_24m!CI$154:CI$183))*INDEX(Dot_V,0,MIN(10,CI$173))*(CI$171+CI$172*V_PreInd)))</f>
        <v>5</v>
      </c>
      <c r="CJ237" s="50" t="n">
        <f aca="false">SUMPRODUCT((Per_Clase="Administración")*((83&gt;Corte)*(83&lt;=Corte+n_Ventana)*ISNUMBER(Detalle_24m!CJ$154:CJ$183)*Detalle_24m!CJ$154:CJ$183+(1-(83&gt;Corte)*(83&lt;=Corte+n_Ventana)*ISNUMBER(Detalle_24m!CJ$154:CJ$183))*INDEX(Dot_V,0,MIN(10,CJ$173))*(CJ$171+CJ$172*V_PreInd)))</f>
        <v>5</v>
      </c>
      <c r="CK237" s="50" t="n">
        <f aca="false">SUMPRODUCT((Per_Clase="Administración")*((84&gt;Corte)*(84&lt;=Corte+n_Ventana)*ISNUMBER(Detalle_24m!CK$154:CK$183)*Detalle_24m!CK$154:CK$183+(1-(84&gt;Corte)*(84&lt;=Corte+n_Ventana)*ISNUMBER(Detalle_24m!CK$154:CK$183))*INDEX(Dot_V,0,MIN(10,CK$173))*(CK$171+CK$172*V_PreInd)))</f>
        <v>5</v>
      </c>
      <c r="CL237" s="50" t="n">
        <f aca="false">SUMPRODUCT((Per_Clase="Administración")*((85&gt;Corte)*(85&lt;=Corte+n_Ventana)*ISNUMBER(Detalle_24m!CL$154:CL$183)*Detalle_24m!CL$154:CL$183+(1-(85&gt;Corte)*(85&lt;=Corte+n_Ventana)*ISNUMBER(Detalle_24m!CL$154:CL$183))*INDEX(Dot_V,0,MIN(10,CL$173))*(CL$171+CL$172*V_PreInd)))</f>
        <v>5</v>
      </c>
      <c r="CM237" s="50" t="n">
        <f aca="false">SUMPRODUCT((Per_Clase="Administración")*((86&gt;Corte)*(86&lt;=Corte+n_Ventana)*ISNUMBER(Detalle_24m!CM$154:CM$183)*Detalle_24m!CM$154:CM$183+(1-(86&gt;Corte)*(86&lt;=Corte+n_Ventana)*ISNUMBER(Detalle_24m!CM$154:CM$183))*INDEX(Dot_V,0,MIN(10,CM$173))*(CM$171+CM$172*V_PreInd)))</f>
        <v>5</v>
      </c>
      <c r="CN237" s="50" t="n">
        <f aca="false">SUMPRODUCT((Per_Clase="Administración")*((87&gt;Corte)*(87&lt;=Corte+n_Ventana)*ISNUMBER(Detalle_24m!CN$154:CN$183)*Detalle_24m!CN$154:CN$183+(1-(87&gt;Corte)*(87&lt;=Corte+n_Ventana)*ISNUMBER(Detalle_24m!CN$154:CN$183))*INDEX(Dot_V,0,MIN(10,CN$173))*(CN$171+CN$172*V_PreInd)))</f>
        <v>5</v>
      </c>
      <c r="CO237" s="50" t="n">
        <f aca="false">SUMPRODUCT((Per_Clase="Administración")*((88&gt;Corte)*(88&lt;=Corte+n_Ventana)*ISNUMBER(Detalle_24m!CO$154:CO$183)*Detalle_24m!CO$154:CO$183+(1-(88&gt;Corte)*(88&lt;=Corte+n_Ventana)*ISNUMBER(Detalle_24m!CO$154:CO$183))*INDEX(Dot_V,0,MIN(10,CO$173))*(CO$171+CO$172*V_PreInd)))</f>
        <v>5</v>
      </c>
      <c r="CP237" s="50" t="n">
        <f aca="false">SUMPRODUCT((Per_Clase="Administración")*((89&gt;Corte)*(89&lt;=Corte+n_Ventana)*ISNUMBER(Detalle_24m!CP$154:CP$183)*Detalle_24m!CP$154:CP$183+(1-(89&gt;Corte)*(89&lt;=Corte+n_Ventana)*ISNUMBER(Detalle_24m!CP$154:CP$183))*INDEX(Dot_V,0,MIN(10,CP$173))*(CP$171+CP$172*V_PreInd)))</f>
        <v>5</v>
      </c>
      <c r="CQ237" s="50" t="n">
        <f aca="false">SUMPRODUCT((Per_Clase="Administración")*((90&gt;Corte)*(90&lt;=Corte+n_Ventana)*ISNUMBER(Detalle_24m!CQ$154:CQ$183)*Detalle_24m!CQ$154:CQ$183+(1-(90&gt;Corte)*(90&lt;=Corte+n_Ventana)*ISNUMBER(Detalle_24m!CQ$154:CQ$183))*INDEX(Dot_V,0,MIN(10,CQ$173))*(CQ$171+CQ$172*V_PreInd)))</f>
        <v>5</v>
      </c>
      <c r="CR237" s="50" t="n">
        <f aca="false">SUMPRODUCT((Per_Clase="Administración")*((91&gt;Corte)*(91&lt;=Corte+n_Ventana)*ISNUMBER(Detalle_24m!CR$154:CR$183)*Detalle_24m!CR$154:CR$183+(1-(91&gt;Corte)*(91&lt;=Corte+n_Ventana)*ISNUMBER(Detalle_24m!CR$154:CR$183))*INDEX(Dot_V,0,MIN(10,CR$173))*(CR$171+CR$172*V_PreInd)))</f>
        <v>5</v>
      </c>
      <c r="CS237" s="50" t="n">
        <f aca="false">SUMPRODUCT((Per_Clase="Administración")*((92&gt;Corte)*(92&lt;=Corte+n_Ventana)*ISNUMBER(Detalle_24m!CS$154:CS$183)*Detalle_24m!CS$154:CS$183+(1-(92&gt;Corte)*(92&lt;=Corte+n_Ventana)*ISNUMBER(Detalle_24m!CS$154:CS$183))*INDEX(Dot_V,0,MIN(10,CS$173))*(CS$171+CS$172*V_PreInd)))</f>
        <v>5</v>
      </c>
      <c r="CT237" s="50" t="n">
        <f aca="false">SUMPRODUCT((Per_Clase="Administración")*((93&gt;Corte)*(93&lt;=Corte+n_Ventana)*ISNUMBER(Detalle_24m!CT$154:CT$183)*Detalle_24m!CT$154:CT$183+(1-(93&gt;Corte)*(93&lt;=Corte+n_Ventana)*ISNUMBER(Detalle_24m!CT$154:CT$183))*INDEX(Dot_V,0,MIN(10,CT$173))*(CT$171+CT$172*V_PreInd)))</f>
        <v>5</v>
      </c>
      <c r="CU237" s="50" t="n">
        <f aca="false">SUMPRODUCT((Per_Clase="Administración")*((94&gt;Corte)*(94&lt;=Corte+n_Ventana)*ISNUMBER(Detalle_24m!CU$154:CU$183)*Detalle_24m!CU$154:CU$183+(1-(94&gt;Corte)*(94&lt;=Corte+n_Ventana)*ISNUMBER(Detalle_24m!CU$154:CU$183))*INDEX(Dot_V,0,MIN(10,CU$173))*(CU$171+CU$172*V_PreInd)))</f>
        <v>5</v>
      </c>
      <c r="CV237" s="50" t="n">
        <f aca="false">SUMPRODUCT((Per_Clase="Administración")*((95&gt;Corte)*(95&lt;=Corte+n_Ventana)*ISNUMBER(Detalle_24m!CV$154:CV$183)*Detalle_24m!CV$154:CV$183+(1-(95&gt;Corte)*(95&lt;=Corte+n_Ventana)*ISNUMBER(Detalle_24m!CV$154:CV$183))*INDEX(Dot_V,0,MIN(10,CV$173))*(CV$171+CV$172*V_PreInd)))</f>
        <v>5</v>
      </c>
      <c r="CW237" s="50" t="n">
        <f aca="false">SUMPRODUCT((Per_Clase="Administración")*((96&gt;Corte)*(96&lt;=Corte+n_Ventana)*ISNUMBER(Detalle_24m!CW$154:CW$183)*Detalle_24m!CW$154:CW$183+(1-(96&gt;Corte)*(96&lt;=Corte+n_Ventana)*ISNUMBER(Detalle_24m!CW$154:CW$183))*INDEX(Dot_V,0,MIN(10,CW$173))*(CW$171+CW$172*V_PreInd)))</f>
        <v>5</v>
      </c>
      <c r="CX237" s="50" t="n">
        <f aca="false">SUMPRODUCT((Per_Clase="Administración")*((97&gt;Corte)*(97&lt;=Corte+n_Ventana)*ISNUMBER(Detalle_24m!CX$154:CX$183)*Detalle_24m!CX$154:CX$183+(1-(97&gt;Corte)*(97&lt;=Corte+n_Ventana)*ISNUMBER(Detalle_24m!CX$154:CX$183))*INDEX(Dot_V,0,MIN(10,CX$173))*(CX$171+CX$172*V_PreInd)))</f>
        <v>5</v>
      </c>
      <c r="CY237" s="50" t="n">
        <f aca="false">SUMPRODUCT((Per_Clase="Administración")*((98&gt;Corte)*(98&lt;=Corte+n_Ventana)*ISNUMBER(Detalle_24m!CY$154:CY$183)*Detalle_24m!CY$154:CY$183+(1-(98&gt;Corte)*(98&lt;=Corte+n_Ventana)*ISNUMBER(Detalle_24m!CY$154:CY$183))*INDEX(Dot_V,0,MIN(10,CY$173))*(CY$171+CY$172*V_PreInd)))</f>
        <v>5</v>
      </c>
      <c r="CZ237" s="50" t="n">
        <f aca="false">SUMPRODUCT((Per_Clase="Administración")*((99&gt;Corte)*(99&lt;=Corte+n_Ventana)*ISNUMBER(Detalle_24m!CZ$154:CZ$183)*Detalle_24m!CZ$154:CZ$183+(1-(99&gt;Corte)*(99&lt;=Corte+n_Ventana)*ISNUMBER(Detalle_24m!CZ$154:CZ$183))*INDEX(Dot_V,0,MIN(10,CZ$173))*(CZ$171+CZ$172*V_PreInd)))</f>
        <v>5</v>
      </c>
      <c r="DA237" s="50" t="n">
        <f aca="false">SUMPRODUCT((Per_Clase="Administración")*((100&gt;Corte)*(100&lt;=Corte+n_Ventana)*ISNUMBER(Detalle_24m!DA$154:DA$183)*Detalle_24m!DA$154:DA$183+(1-(100&gt;Corte)*(100&lt;=Corte+n_Ventana)*ISNUMBER(Detalle_24m!DA$154:DA$183))*INDEX(Dot_V,0,MIN(10,DA$173))*(DA$171+DA$172*V_PreInd)))</f>
        <v>5</v>
      </c>
      <c r="DB237" s="50" t="n">
        <f aca="false">SUMPRODUCT((Per_Clase="Administración")*((101&gt;Corte)*(101&lt;=Corte+n_Ventana)*ISNUMBER(Detalle_24m!DB$154:DB$183)*Detalle_24m!DB$154:DB$183+(1-(101&gt;Corte)*(101&lt;=Corte+n_Ventana)*ISNUMBER(Detalle_24m!DB$154:DB$183))*INDEX(Dot_V,0,MIN(10,DB$173))*(DB$171+DB$172*V_PreInd)))</f>
        <v>5</v>
      </c>
      <c r="DC237" s="50" t="n">
        <f aca="false">SUMPRODUCT((Per_Clase="Administración")*((102&gt;Corte)*(102&lt;=Corte+n_Ventana)*ISNUMBER(Detalle_24m!DC$154:DC$183)*Detalle_24m!DC$154:DC$183+(1-(102&gt;Corte)*(102&lt;=Corte+n_Ventana)*ISNUMBER(Detalle_24m!DC$154:DC$183))*INDEX(Dot_V,0,MIN(10,DC$173))*(DC$171+DC$172*V_PreInd)))</f>
        <v>5</v>
      </c>
      <c r="DD237" s="50" t="n">
        <f aca="false">SUMPRODUCT((Per_Clase="Administración")*((103&gt;Corte)*(103&lt;=Corte+n_Ventana)*ISNUMBER(Detalle_24m!DD$154:DD$183)*Detalle_24m!DD$154:DD$183+(1-(103&gt;Corte)*(103&lt;=Corte+n_Ventana)*ISNUMBER(Detalle_24m!DD$154:DD$183))*INDEX(Dot_V,0,MIN(10,DD$173))*(DD$171+DD$172*V_PreInd)))</f>
        <v>5</v>
      </c>
      <c r="DE237" s="50" t="n">
        <f aca="false">SUMPRODUCT((Per_Clase="Administración")*((104&gt;Corte)*(104&lt;=Corte+n_Ventana)*ISNUMBER(Detalle_24m!DE$154:DE$183)*Detalle_24m!DE$154:DE$183+(1-(104&gt;Corte)*(104&lt;=Corte+n_Ventana)*ISNUMBER(Detalle_24m!DE$154:DE$183))*INDEX(Dot_V,0,MIN(10,DE$173))*(DE$171+DE$172*V_PreInd)))</f>
        <v>5</v>
      </c>
      <c r="DF237" s="50" t="n">
        <f aca="false">SUMPRODUCT((Per_Clase="Administración")*((105&gt;Corte)*(105&lt;=Corte+n_Ventana)*ISNUMBER(Detalle_24m!DF$154:DF$183)*Detalle_24m!DF$154:DF$183+(1-(105&gt;Corte)*(105&lt;=Corte+n_Ventana)*ISNUMBER(Detalle_24m!DF$154:DF$183))*INDEX(Dot_V,0,MIN(10,DF$173))*(DF$171+DF$172*V_PreInd)))</f>
        <v>5</v>
      </c>
      <c r="DG237" s="50" t="n">
        <f aca="false">SUMPRODUCT((Per_Clase="Administración")*((106&gt;Corte)*(106&lt;=Corte+n_Ventana)*ISNUMBER(Detalle_24m!DG$154:DG$183)*Detalle_24m!DG$154:DG$183+(1-(106&gt;Corte)*(106&lt;=Corte+n_Ventana)*ISNUMBER(Detalle_24m!DG$154:DG$183))*INDEX(Dot_V,0,MIN(10,DG$173))*(DG$171+DG$172*V_PreInd)))</f>
        <v>5</v>
      </c>
      <c r="DH237" s="50" t="n">
        <f aca="false">SUMPRODUCT((Per_Clase="Administración")*((107&gt;Corte)*(107&lt;=Corte+n_Ventana)*ISNUMBER(Detalle_24m!DH$154:DH$183)*Detalle_24m!DH$154:DH$183+(1-(107&gt;Corte)*(107&lt;=Corte+n_Ventana)*ISNUMBER(Detalle_24m!DH$154:DH$183))*INDEX(Dot_V,0,MIN(10,DH$173))*(DH$171+DH$172*V_PreInd)))</f>
        <v>5</v>
      </c>
      <c r="DI237" s="50" t="n">
        <f aca="false">SUMPRODUCT((Per_Clase="Administración")*((108&gt;Corte)*(108&lt;=Corte+n_Ventana)*ISNUMBER(Detalle_24m!DI$154:DI$183)*Detalle_24m!DI$154:DI$183+(1-(108&gt;Corte)*(108&lt;=Corte+n_Ventana)*ISNUMBER(Detalle_24m!DI$154:DI$183))*INDEX(Dot_V,0,MIN(10,DI$173))*(DI$171+DI$172*V_PreInd)))</f>
        <v>5</v>
      </c>
      <c r="DJ237" s="50" t="n">
        <f aca="false">SUMPRODUCT((Per_Clase="Administración")*((109&gt;Corte)*(109&lt;=Corte+n_Ventana)*ISNUMBER(Detalle_24m!DJ$154:DJ$183)*Detalle_24m!DJ$154:DJ$183+(1-(109&gt;Corte)*(109&lt;=Corte+n_Ventana)*ISNUMBER(Detalle_24m!DJ$154:DJ$183))*INDEX(Dot_V,0,MIN(10,DJ$173))*(DJ$171+DJ$172*V_PreInd)))</f>
        <v>5</v>
      </c>
      <c r="DK237" s="50" t="n">
        <f aca="false">SUMPRODUCT((Per_Clase="Administración")*((110&gt;Corte)*(110&lt;=Corte+n_Ventana)*ISNUMBER(Detalle_24m!DK$154:DK$183)*Detalle_24m!DK$154:DK$183+(1-(110&gt;Corte)*(110&lt;=Corte+n_Ventana)*ISNUMBER(Detalle_24m!DK$154:DK$183))*INDEX(Dot_V,0,MIN(10,DK$173))*(DK$171+DK$172*V_PreInd)))</f>
        <v>5</v>
      </c>
      <c r="DL237" s="50" t="n">
        <f aca="false">SUMPRODUCT((Per_Clase="Administración")*((111&gt;Corte)*(111&lt;=Corte+n_Ventana)*ISNUMBER(Detalle_24m!DL$154:DL$183)*Detalle_24m!DL$154:DL$183+(1-(111&gt;Corte)*(111&lt;=Corte+n_Ventana)*ISNUMBER(Detalle_24m!DL$154:DL$183))*INDEX(Dot_V,0,MIN(10,DL$173))*(DL$171+DL$172*V_PreInd)))</f>
        <v>5</v>
      </c>
      <c r="DM237" s="50" t="n">
        <f aca="false">SUMPRODUCT((Per_Clase="Administración")*((112&gt;Corte)*(112&lt;=Corte+n_Ventana)*ISNUMBER(Detalle_24m!DM$154:DM$183)*Detalle_24m!DM$154:DM$183+(1-(112&gt;Corte)*(112&lt;=Corte+n_Ventana)*ISNUMBER(Detalle_24m!DM$154:DM$183))*INDEX(Dot_V,0,MIN(10,DM$173))*(DM$171+DM$172*V_PreInd)))</f>
        <v>5</v>
      </c>
      <c r="DN237" s="50" t="n">
        <f aca="false">SUMPRODUCT((Per_Clase="Administración")*((113&gt;Corte)*(113&lt;=Corte+n_Ventana)*ISNUMBER(Detalle_24m!DN$154:DN$183)*Detalle_24m!DN$154:DN$183+(1-(113&gt;Corte)*(113&lt;=Corte+n_Ventana)*ISNUMBER(Detalle_24m!DN$154:DN$183))*INDEX(Dot_V,0,MIN(10,DN$173))*(DN$171+DN$172*V_PreInd)))</f>
        <v>5</v>
      </c>
      <c r="DO237" s="50" t="n">
        <f aca="false">SUMPRODUCT((Per_Clase="Administración")*((114&gt;Corte)*(114&lt;=Corte+n_Ventana)*ISNUMBER(Detalle_24m!DO$154:DO$183)*Detalle_24m!DO$154:DO$183+(1-(114&gt;Corte)*(114&lt;=Corte+n_Ventana)*ISNUMBER(Detalle_24m!DO$154:DO$183))*INDEX(Dot_V,0,MIN(10,DO$173))*(DO$171+DO$172*V_PreInd)))</f>
        <v>5</v>
      </c>
      <c r="DP237" s="50" t="n">
        <f aca="false">SUMPRODUCT((Per_Clase="Administración")*((115&gt;Corte)*(115&lt;=Corte+n_Ventana)*ISNUMBER(Detalle_24m!DP$154:DP$183)*Detalle_24m!DP$154:DP$183+(1-(115&gt;Corte)*(115&lt;=Corte+n_Ventana)*ISNUMBER(Detalle_24m!DP$154:DP$183))*INDEX(Dot_V,0,MIN(10,DP$173))*(DP$171+DP$172*V_PreInd)))</f>
        <v>5</v>
      </c>
      <c r="DQ237" s="50" t="n">
        <f aca="false">SUMPRODUCT((Per_Clase="Administración")*((116&gt;Corte)*(116&lt;=Corte+n_Ventana)*ISNUMBER(Detalle_24m!DQ$154:DQ$183)*Detalle_24m!DQ$154:DQ$183+(1-(116&gt;Corte)*(116&lt;=Corte+n_Ventana)*ISNUMBER(Detalle_24m!DQ$154:DQ$183))*INDEX(Dot_V,0,MIN(10,DQ$173))*(DQ$171+DQ$172*V_PreInd)))</f>
        <v>5</v>
      </c>
      <c r="DR237" s="50" t="n">
        <f aca="false">SUMPRODUCT((Per_Clase="Administración")*((117&gt;Corte)*(117&lt;=Corte+n_Ventana)*ISNUMBER(Detalle_24m!DR$154:DR$183)*Detalle_24m!DR$154:DR$183+(1-(117&gt;Corte)*(117&lt;=Corte+n_Ventana)*ISNUMBER(Detalle_24m!DR$154:DR$183))*INDEX(Dot_V,0,MIN(10,DR$173))*(DR$171+DR$172*V_PreInd)))</f>
        <v>5</v>
      </c>
      <c r="DS237" s="50" t="n">
        <f aca="false">SUMPRODUCT((Per_Clase="Administración")*((118&gt;Corte)*(118&lt;=Corte+n_Ventana)*ISNUMBER(Detalle_24m!DS$154:DS$183)*Detalle_24m!DS$154:DS$183+(1-(118&gt;Corte)*(118&lt;=Corte+n_Ventana)*ISNUMBER(Detalle_24m!DS$154:DS$183))*INDEX(Dot_V,0,MIN(10,DS$173))*(DS$171+DS$172*V_PreInd)))</f>
        <v>5</v>
      </c>
      <c r="DT237" s="50" t="n">
        <f aca="false">SUMPRODUCT((Per_Clase="Administración")*((119&gt;Corte)*(119&lt;=Corte+n_Ventana)*ISNUMBER(Detalle_24m!DT$154:DT$183)*Detalle_24m!DT$154:DT$183+(1-(119&gt;Corte)*(119&lt;=Corte+n_Ventana)*ISNUMBER(Detalle_24m!DT$154:DT$183))*INDEX(Dot_V,0,MIN(10,DT$173))*(DT$171+DT$172*V_PreInd)))</f>
        <v>5</v>
      </c>
      <c r="DU237" s="50" t="n">
        <f aca="false">SUMPRODUCT((Per_Clase="Administración")*((120&gt;Corte)*(120&lt;=Corte+n_Ventana)*ISNUMBER(Detalle_24m!DU$154:DU$183)*Detalle_24m!DU$154:DU$183+(1-(120&gt;Corte)*(120&lt;=Corte+n_Ventana)*ISNUMBER(Detalle_24m!DU$154:DU$183))*INDEX(Dot_V,0,MIN(10,DU$173))*(DU$171+DU$172*V_PreInd)))</f>
        <v>5</v>
      </c>
      <c r="DV237" s="50" t="n">
        <f aca="false">SUMPRODUCT((Per_Clase="Administración")*((121&gt;Corte)*(121&lt;=Corte+n_Ventana)*ISNUMBER(Detalle_24m!DV$154:DV$183)*Detalle_24m!DV$154:DV$183+(1-(121&gt;Corte)*(121&lt;=Corte+n_Ventana)*ISNUMBER(Detalle_24m!DV$154:DV$183))*INDEX(Dot_V,0,MIN(10,DV$173))*(DV$171+DV$172*V_PreInd)))</f>
        <v>0</v>
      </c>
      <c r="DW237" s="50" t="n">
        <f aca="false">SUMPRODUCT((Per_Clase="Administración")*((122&gt;Corte)*(122&lt;=Corte+n_Ventana)*ISNUMBER(Detalle_24m!DW$154:DW$183)*Detalle_24m!DW$154:DW$183+(1-(122&gt;Corte)*(122&lt;=Corte+n_Ventana)*ISNUMBER(Detalle_24m!DW$154:DW$183))*INDEX(Dot_V,0,MIN(10,DW$173))*(DW$171+DW$172*V_PreInd)))</f>
        <v>0</v>
      </c>
      <c r="DX237" s="50" t="n">
        <f aca="false">SUMPRODUCT((Per_Clase="Administración")*((123&gt;Corte)*(123&lt;=Corte+n_Ventana)*ISNUMBER(Detalle_24m!DX$154:DX$183)*Detalle_24m!DX$154:DX$183+(1-(123&gt;Corte)*(123&lt;=Corte+n_Ventana)*ISNUMBER(Detalle_24m!DX$154:DX$183))*INDEX(Dot_V,0,MIN(10,DX$173))*(DX$171+DX$172*V_PreInd)))</f>
        <v>0</v>
      </c>
      <c r="DY237" s="50" t="n">
        <f aca="false">SUMPRODUCT((Per_Clase="Administración")*((124&gt;Corte)*(124&lt;=Corte+n_Ventana)*ISNUMBER(Detalle_24m!DY$154:DY$183)*Detalle_24m!DY$154:DY$183+(1-(124&gt;Corte)*(124&lt;=Corte+n_Ventana)*ISNUMBER(Detalle_24m!DY$154:DY$183))*INDEX(Dot_V,0,MIN(10,DY$173))*(DY$171+DY$172*V_PreInd)))</f>
        <v>0</v>
      </c>
      <c r="DZ237" s="50" t="n">
        <f aca="false">SUMPRODUCT((Per_Clase="Administración")*((125&gt;Corte)*(125&lt;=Corte+n_Ventana)*ISNUMBER(Detalle_24m!DZ$154:DZ$183)*Detalle_24m!DZ$154:DZ$183+(1-(125&gt;Corte)*(125&lt;=Corte+n_Ventana)*ISNUMBER(Detalle_24m!DZ$154:DZ$183))*INDEX(Dot_V,0,MIN(10,DZ$173))*(DZ$171+DZ$172*V_PreInd)))</f>
        <v>0</v>
      </c>
      <c r="EA237" s="50" t="n">
        <f aca="false">SUMPRODUCT((Per_Clase="Administración")*((126&gt;Corte)*(126&lt;=Corte+n_Ventana)*ISNUMBER(Detalle_24m!EA$154:EA$183)*Detalle_24m!EA$154:EA$183+(1-(126&gt;Corte)*(126&lt;=Corte+n_Ventana)*ISNUMBER(Detalle_24m!EA$154:EA$183))*INDEX(Dot_V,0,MIN(10,EA$173))*(EA$171+EA$172*V_PreInd)))</f>
        <v>0</v>
      </c>
      <c r="EB237" s="50" t="n">
        <f aca="false">SUMPRODUCT((Per_Clase="Administración")*((127&gt;Corte)*(127&lt;=Corte+n_Ventana)*ISNUMBER(Detalle_24m!EB$154:EB$183)*Detalle_24m!EB$154:EB$183+(1-(127&gt;Corte)*(127&lt;=Corte+n_Ventana)*ISNUMBER(Detalle_24m!EB$154:EB$183))*INDEX(Dot_V,0,MIN(10,EB$173))*(EB$171+EB$172*V_PreInd)))</f>
        <v>0</v>
      </c>
      <c r="EC237" s="50" t="n">
        <f aca="false">SUMPRODUCT((Per_Clase="Administración")*((128&gt;Corte)*(128&lt;=Corte+n_Ventana)*ISNUMBER(Detalle_24m!EC$154:EC$183)*Detalle_24m!EC$154:EC$183+(1-(128&gt;Corte)*(128&lt;=Corte+n_Ventana)*ISNUMBER(Detalle_24m!EC$154:EC$183))*INDEX(Dot_V,0,MIN(10,EC$173))*(EC$171+EC$172*V_PreInd)))</f>
        <v>0</v>
      </c>
      <c r="ED237" s="50" t="n">
        <f aca="false">SUMPRODUCT((Per_Clase="Administración")*((129&gt;Corte)*(129&lt;=Corte+n_Ventana)*ISNUMBER(Detalle_24m!ED$154:ED$183)*Detalle_24m!ED$154:ED$183+(1-(129&gt;Corte)*(129&lt;=Corte+n_Ventana)*ISNUMBER(Detalle_24m!ED$154:ED$183))*INDEX(Dot_V,0,MIN(10,ED$173))*(ED$171+ED$172*V_PreInd)))</f>
        <v>0</v>
      </c>
      <c r="EE237" s="50" t="n">
        <f aca="false">SUMPRODUCT((Per_Clase="Administración")*((130&gt;Corte)*(130&lt;=Corte+n_Ventana)*ISNUMBER(Detalle_24m!EE$154:EE$183)*Detalle_24m!EE$154:EE$183+(1-(130&gt;Corte)*(130&lt;=Corte+n_Ventana)*ISNUMBER(Detalle_24m!EE$154:EE$183))*INDEX(Dot_V,0,MIN(10,EE$173))*(EE$171+EE$172*V_PreInd)))</f>
        <v>0</v>
      </c>
      <c r="EF237" s="50" t="n">
        <f aca="false">SUMPRODUCT((Per_Clase="Administración")*((131&gt;Corte)*(131&lt;=Corte+n_Ventana)*ISNUMBER(Detalle_24m!EF$154:EF$183)*Detalle_24m!EF$154:EF$183+(1-(131&gt;Corte)*(131&lt;=Corte+n_Ventana)*ISNUMBER(Detalle_24m!EF$154:EF$183))*INDEX(Dot_V,0,MIN(10,EF$173))*(EF$171+EF$172*V_PreInd)))</f>
        <v>0</v>
      </c>
      <c r="EG237" s="50" t="n">
        <f aca="false">SUMPRODUCT((Per_Clase="Administración")*((132&gt;Corte)*(132&lt;=Corte+n_Ventana)*ISNUMBER(Detalle_24m!EG$154:EG$183)*Detalle_24m!EG$154:EG$183+(1-(132&gt;Corte)*(132&lt;=Corte+n_Ventana)*ISNUMBER(Detalle_24m!EG$154:EG$183))*INDEX(Dot_V,0,MIN(10,EG$173))*(EG$171+EG$172*V_PreInd)))</f>
        <v>0</v>
      </c>
      <c r="EH237" s="50" t="n">
        <f aca="false">SUMPRODUCT((Per_Clase="Administración")*((133&gt;Corte)*(133&lt;=Corte+n_Ventana)*ISNUMBER(Detalle_24m!EH$154:EH$183)*Detalle_24m!EH$154:EH$183+(1-(133&gt;Corte)*(133&lt;=Corte+n_Ventana)*ISNUMBER(Detalle_24m!EH$154:EH$183))*INDEX(Dot_V,0,MIN(10,EH$173))*(EH$171+EH$172*V_PreInd)))</f>
        <v>0</v>
      </c>
      <c r="EI237" s="50" t="n">
        <f aca="false">SUMPRODUCT((Per_Clase="Administración")*((134&gt;Corte)*(134&lt;=Corte+n_Ventana)*ISNUMBER(Detalle_24m!EI$154:EI$183)*Detalle_24m!EI$154:EI$183+(1-(134&gt;Corte)*(134&lt;=Corte+n_Ventana)*ISNUMBER(Detalle_24m!EI$154:EI$183))*INDEX(Dot_V,0,MIN(10,EI$173))*(EI$171+EI$172*V_PreInd)))</f>
        <v>0</v>
      </c>
      <c r="EJ237" s="50" t="n">
        <f aca="false">SUMPRODUCT((Per_Clase="Administración")*((135&gt;Corte)*(135&lt;=Corte+n_Ventana)*ISNUMBER(Detalle_24m!EJ$154:EJ$183)*Detalle_24m!EJ$154:EJ$183+(1-(135&gt;Corte)*(135&lt;=Corte+n_Ventana)*ISNUMBER(Detalle_24m!EJ$154:EJ$183))*INDEX(Dot_V,0,MIN(10,EJ$173))*(EJ$171+EJ$172*V_PreInd)))</f>
        <v>0</v>
      </c>
      <c r="EK237" s="50" t="n">
        <f aca="false">SUMPRODUCT((Per_Clase="Administración")*((136&gt;Corte)*(136&lt;=Corte+n_Ventana)*ISNUMBER(Detalle_24m!EK$154:EK$183)*Detalle_24m!EK$154:EK$183+(1-(136&gt;Corte)*(136&lt;=Corte+n_Ventana)*ISNUMBER(Detalle_24m!EK$154:EK$183))*INDEX(Dot_V,0,MIN(10,EK$173))*(EK$171+EK$172*V_PreInd)))</f>
        <v>0</v>
      </c>
      <c r="EL237" s="50" t="n">
        <f aca="false">SUMPRODUCT((Per_Clase="Administración")*((137&gt;Corte)*(137&lt;=Corte+n_Ventana)*ISNUMBER(Detalle_24m!EL$154:EL$183)*Detalle_24m!EL$154:EL$183+(1-(137&gt;Corte)*(137&lt;=Corte+n_Ventana)*ISNUMBER(Detalle_24m!EL$154:EL$183))*INDEX(Dot_V,0,MIN(10,EL$173))*(EL$171+EL$172*V_PreInd)))</f>
        <v>0</v>
      </c>
      <c r="EM237" s="50" t="n">
        <f aca="false">SUMPRODUCT((Per_Clase="Administración")*((138&gt;Corte)*(138&lt;=Corte+n_Ventana)*ISNUMBER(Detalle_24m!EM$154:EM$183)*Detalle_24m!EM$154:EM$183+(1-(138&gt;Corte)*(138&lt;=Corte+n_Ventana)*ISNUMBER(Detalle_24m!EM$154:EM$183))*INDEX(Dot_V,0,MIN(10,EM$173))*(EM$171+EM$172*V_PreInd)))</f>
        <v>0</v>
      </c>
      <c r="EN237" s="50" t="n">
        <f aca="false">SUMPRODUCT((Per_Clase="Administración")*((139&gt;Corte)*(139&lt;=Corte+n_Ventana)*ISNUMBER(Detalle_24m!EN$154:EN$183)*Detalle_24m!EN$154:EN$183+(1-(139&gt;Corte)*(139&lt;=Corte+n_Ventana)*ISNUMBER(Detalle_24m!EN$154:EN$183))*INDEX(Dot_V,0,MIN(10,EN$173))*(EN$171+EN$172*V_PreInd)))</f>
        <v>0</v>
      </c>
      <c r="EO237" s="50" t="n">
        <f aca="false">SUMPRODUCT((Per_Clase="Administración")*((140&gt;Corte)*(140&lt;=Corte+n_Ventana)*ISNUMBER(Detalle_24m!EO$154:EO$183)*Detalle_24m!EO$154:EO$183+(1-(140&gt;Corte)*(140&lt;=Corte+n_Ventana)*ISNUMBER(Detalle_24m!EO$154:EO$183))*INDEX(Dot_V,0,MIN(10,EO$173))*(EO$171+EO$172*V_PreInd)))</f>
        <v>0</v>
      </c>
      <c r="EP237" s="50" t="n">
        <f aca="false">SUMPRODUCT((Per_Clase="Administración")*((141&gt;Corte)*(141&lt;=Corte+n_Ventana)*ISNUMBER(Detalle_24m!EP$154:EP$183)*Detalle_24m!EP$154:EP$183+(1-(141&gt;Corte)*(141&lt;=Corte+n_Ventana)*ISNUMBER(Detalle_24m!EP$154:EP$183))*INDEX(Dot_V,0,MIN(10,EP$173))*(EP$171+EP$172*V_PreInd)))</f>
        <v>0</v>
      </c>
      <c r="EQ237" s="50" t="n">
        <f aca="false">SUMPRODUCT((Per_Clase="Administración")*((142&gt;Corte)*(142&lt;=Corte+n_Ventana)*ISNUMBER(Detalle_24m!EQ$154:EQ$183)*Detalle_24m!EQ$154:EQ$183+(1-(142&gt;Corte)*(142&lt;=Corte+n_Ventana)*ISNUMBER(Detalle_24m!EQ$154:EQ$183))*INDEX(Dot_V,0,MIN(10,EQ$173))*(EQ$171+EQ$172*V_PreInd)))</f>
        <v>0</v>
      </c>
      <c r="ER237" s="50" t="n">
        <f aca="false">SUMPRODUCT((Per_Clase="Administración")*((143&gt;Corte)*(143&lt;=Corte+n_Ventana)*ISNUMBER(Detalle_24m!ER$154:ER$183)*Detalle_24m!ER$154:ER$183+(1-(143&gt;Corte)*(143&lt;=Corte+n_Ventana)*ISNUMBER(Detalle_24m!ER$154:ER$183))*INDEX(Dot_V,0,MIN(10,ER$173))*(ER$171+ER$172*V_PreInd)))</f>
        <v>0</v>
      </c>
      <c r="ES237" s="50" t="n">
        <f aca="false">SUMPRODUCT((Per_Clase="Administración")*((144&gt;Corte)*(144&lt;=Corte+n_Ventana)*ISNUMBER(Detalle_24m!ES$154:ES$183)*Detalle_24m!ES$154:ES$183+(1-(144&gt;Corte)*(144&lt;=Corte+n_Ventana)*ISNUMBER(Detalle_24m!ES$154:ES$183))*INDEX(Dot_V,0,MIN(10,ES$173))*(ES$171+ES$172*V_PreInd)))</f>
        <v>0</v>
      </c>
    </row>
    <row r="238" customFormat="false" ht="15" hidden="false" customHeight="false" outlineLevel="0" collapsed="false">
      <c r="A238" s="11" t="s">
        <v>1360</v>
      </c>
      <c r="B238" s="15" t="s">
        <v>1138</v>
      </c>
      <c r="C238" s="15" t="s">
        <v>508</v>
      </c>
      <c r="E238" s="54" t="n">
        <f aca="false">SUM(F238:ES238)</f>
        <v>1075198.52627014</v>
      </c>
      <c r="F238" s="48" t="n">
        <f aca="false">SUMPRODUCT((Per_Clase="Administración")*((1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$237*V_Alim*F$175</f>
        <v>8959.98771891781</v>
      </c>
      <c r="G238" s="48" t="n">
        <f aca="false">SUMPRODUCT((Per_Clase="Administración")*((2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$237*V_Alim*G$175</f>
        <v>8959.98771891781</v>
      </c>
      <c r="H238" s="48" t="n">
        <f aca="false">SUMPRODUCT((Per_Clase="Administración")*((3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$237*V_Alim*H$175</f>
        <v>8959.98771891781</v>
      </c>
      <c r="I238" s="48" t="n">
        <f aca="false">SUMPRODUCT((Per_Clase="Administración")*((4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$237*V_Alim*I$175</f>
        <v>8959.98771891781</v>
      </c>
      <c r="J238" s="48" t="n">
        <f aca="false">SUMPRODUCT((Per_Clase="Administración")*((5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$237*V_Alim*J$175</f>
        <v>8959.98771891781</v>
      </c>
      <c r="K238" s="48" t="n">
        <f aca="false">SUMPRODUCT((Per_Clase="Administración")*((6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$237*V_Alim*K$175</f>
        <v>8959.98771891781</v>
      </c>
      <c r="L238" s="48" t="n">
        <f aca="false">SUMPRODUCT((Per_Clase="Administración")*((7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$237*V_Alim*L$175</f>
        <v>8959.98771891781</v>
      </c>
      <c r="M238" s="48" t="n">
        <f aca="false">SUMPRODUCT((Per_Clase="Administración")*((8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$237*V_Alim*M$175</f>
        <v>8959.98771891781</v>
      </c>
      <c r="N238" s="48" t="n">
        <f aca="false">SUMPRODUCT((Per_Clase="Administración")*((9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$237*V_Alim*N$175</f>
        <v>8959.98771891781</v>
      </c>
      <c r="O238" s="48" t="n">
        <f aca="false">SUMPRODUCT((Per_Clase="Administración")*((10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$237*V_Alim*O$175</f>
        <v>8959.98771891781</v>
      </c>
      <c r="P238" s="48" t="n">
        <f aca="false">SUMPRODUCT((Per_Clase="Administración")*((11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$237*V_Alim*P$175</f>
        <v>8959.98771891781</v>
      </c>
      <c r="Q238" s="48" t="n">
        <f aca="false">SUMPRODUCT((Per_Clase="Administración")*((12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$237*V_Alim*Q$175</f>
        <v>8959.98771891781</v>
      </c>
      <c r="R238" s="48" t="n">
        <f aca="false">SUMPRODUCT((Per_Clase="Administración")*((13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$237*V_Alim*R$175</f>
        <v>8959.98771891781</v>
      </c>
      <c r="S238" s="48" t="n">
        <f aca="false">SUMPRODUCT((Per_Clase="Administración")*((14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$237*V_Alim*S$175</f>
        <v>8959.98771891781</v>
      </c>
      <c r="T238" s="48" t="n">
        <f aca="false">SUMPRODUCT((Per_Clase="Administración")*((15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$237*V_Alim*T$175</f>
        <v>8959.98771891781</v>
      </c>
      <c r="U238" s="48" t="n">
        <f aca="false">SUMPRODUCT((Per_Clase="Administración")*((16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$237*V_Alim*U$175</f>
        <v>8959.98771891781</v>
      </c>
      <c r="V238" s="48" t="n">
        <f aca="false">SUMPRODUCT((Per_Clase="Administración")*((17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$237*V_Alim*V$175</f>
        <v>8959.98771891781</v>
      </c>
      <c r="W238" s="48" t="n">
        <f aca="false">SUMPRODUCT((Per_Clase="Administración")*((18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$237*V_Alim*W$175</f>
        <v>8959.98771891781</v>
      </c>
      <c r="X238" s="48" t="n">
        <f aca="false">SUMPRODUCT((Per_Clase="Administración")*((19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$237*V_Alim*X$175</f>
        <v>8959.98771891781</v>
      </c>
      <c r="Y238" s="48" t="n">
        <f aca="false">SUMPRODUCT((Per_Clase="Administración")*((20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$237*V_Alim*Y$175</f>
        <v>8959.98771891781</v>
      </c>
      <c r="Z238" s="48" t="n">
        <f aca="false">SUMPRODUCT((Per_Clase="Administración")*((21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$237*V_Alim*Z$175</f>
        <v>8959.98771891781</v>
      </c>
      <c r="AA238" s="48" t="n">
        <f aca="false">SUMPRODUCT((Per_Clase="Administración")*((22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$237*V_Alim*AA$175</f>
        <v>8959.98771891781</v>
      </c>
      <c r="AB238" s="48" t="n">
        <f aca="false">SUMPRODUCT((Per_Clase="Administración")*((23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$237*V_Alim*AB$175</f>
        <v>8959.98771891781</v>
      </c>
      <c r="AC238" s="48" t="n">
        <f aca="false">SUMPRODUCT((Per_Clase="Administración")*((24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$237*V_Alim*AC$175</f>
        <v>8959.98771891781</v>
      </c>
      <c r="AD238" s="48" t="n">
        <f aca="false">SUMPRODUCT((Per_Clase="Administración")*((25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$237*V_Alim*AD$175</f>
        <v>8959.98771891781</v>
      </c>
      <c r="AE238" s="48" t="n">
        <f aca="false">SUMPRODUCT((Per_Clase="Administración")*((26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$237*V_Alim*AE$175</f>
        <v>8959.98771891781</v>
      </c>
      <c r="AF238" s="48" t="n">
        <f aca="false">SUMPRODUCT((Per_Clase="Administración")*((27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$237*V_Alim*AF$175</f>
        <v>8959.98771891781</v>
      </c>
      <c r="AG238" s="48" t="n">
        <f aca="false">SUMPRODUCT((Per_Clase="Administración")*((28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$237*V_Alim*AG$175</f>
        <v>8959.98771891781</v>
      </c>
      <c r="AH238" s="48" t="n">
        <f aca="false">SUMPRODUCT((Per_Clase="Administración")*((29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$237*V_Alim*AH$175</f>
        <v>8959.98771891781</v>
      </c>
      <c r="AI238" s="48" t="n">
        <f aca="false">SUMPRODUCT((Per_Clase="Administración")*((30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$237*V_Alim*AI$175</f>
        <v>8959.98771891781</v>
      </c>
      <c r="AJ238" s="48" t="n">
        <f aca="false">SUMPRODUCT((Per_Clase="Administración")*((31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$237*V_Alim*AJ$175</f>
        <v>8959.98771891781</v>
      </c>
      <c r="AK238" s="48" t="n">
        <f aca="false">SUMPRODUCT((Per_Clase="Administración")*((32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$237*V_Alim*AK$175</f>
        <v>8959.98771891781</v>
      </c>
      <c r="AL238" s="48" t="n">
        <f aca="false">SUMPRODUCT((Per_Clase="Administración")*((33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$237*V_Alim*AL$175</f>
        <v>8959.98771891781</v>
      </c>
      <c r="AM238" s="48" t="n">
        <f aca="false">SUMPRODUCT((Per_Clase="Administración")*((34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$237*V_Alim*AM$175</f>
        <v>8959.98771891781</v>
      </c>
      <c r="AN238" s="48" t="n">
        <f aca="false">SUMPRODUCT((Per_Clase="Administración")*((35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$237*V_Alim*AN$175</f>
        <v>8959.98771891781</v>
      </c>
      <c r="AO238" s="48" t="n">
        <f aca="false">SUMPRODUCT((Per_Clase="Administración")*((36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$237*V_Alim*AO$175</f>
        <v>8959.98771891781</v>
      </c>
      <c r="AP238" s="48" t="n">
        <f aca="false">SUMPRODUCT((Per_Clase="Administración")*((37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$237*V_Alim*AP$175</f>
        <v>8959.98771891781</v>
      </c>
      <c r="AQ238" s="48" t="n">
        <f aca="false">SUMPRODUCT((Per_Clase="Administración")*((38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$237*V_Alim*AQ$175</f>
        <v>8959.98771891781</v>
      </c>
      <c r="AR238" s="48" t="n">
        <f aca="false">SUMPRODUCT((Per_Clase="Administración")*((39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$237*V_Alim*AR$175</f>
        <v>8959.98771891781</v>
      </c>
      <c r="AS238" s="48" t="n">
        <f aca="false">SUMPRODUCT((Per_Clase="Administración")*((40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$237*V_Alim*AS$175</f>
        <v>8959.98771891781</v>
      </c>
      <c r="AT238" s="48" t="n">
        <f aca="false">SUMPRODUCT((Per_Clase="Administración")*((41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$237*V_Alim*AT$175</f>
        <v>8959.98771891781</v>
      </c>
      <c r="AU238" s="48" t="n">
        <f aca="false">SUMPRODUCT((Per_Clase="Administración")*((42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$237*V_Alim*AU$175</f>
        <v>8959.98771891781</v>
      </c>
      <c r="AV238" s="48" t="n">
        <f aca="false">SUMPRODUCT((Per_Clase="Administración")*((43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$237*V_Alim*AV$175</f>
        <v>8959.98771891781</v>
      </c>
      <c r="AW238" s="48" t="n">
        <f aca="false">SUMPRODUCT((Per_Clase="Administración")*((44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$237*V_Alim*AW$175</f>
        <v>8959.98771891781</v>
      </c>
      <c r="AX238" s="48" t="n">
        <f aca="false">SUMPRODUCT((Per_Clase="Administración")*((45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$237*V_Alim*AX$175</f>
        <v>8959.98771891781</v>
      </c>
      <c r="AY238" s="48" t="n">
        <f aca="false">SUMPRODUCT((Per_Clase="Administración")*((46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$237*V_Alim*AY$175</f>
        <v>8959.98771891781</v>
      </c>
      <c r="AZ238" s="48" t="n">
        <f aca="false">SUMPRODUCT((Per_Clase="Administración")*((47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$237*V_Alim*AZ$175</f>
        <v>8959.98771891781</v>
      </c>
      <c r="BA238" s="48" t="n">
        <f aca="false">SUMPRODUCT((Per_Clase="Administración")*((48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$237*V_Alim*BA$175</f>
        <v>8959.98771891781</v>
      </c>
      <c r="BB238" s="48" t="n">
        <f aca="false">SUMPRODUCT((Per_Clase="Administración")*((49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$237*V_Alim*BB$175</f>
        <v>8959.98771891781</v>
      </c>
      <c r="BC238" s="48" t="n">
        <f aca="false">SUMPRODUCT((Per_Clase="Administración")*((50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$237*V_Alim*BC$175</f>
        <v>8959.98771891781</v>
      </c>
      <c r="BD238" s="48" t="n">
        <f aca="false">SUMPRODUCT((Per_Clase="Administración")*((51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$237*V_Alim*BD$175</f>
        <v>8959.98771891781</v>
      </c>
      <c r="BE238" s="48" t="n">
        <f aca="false">SUMPRODUCT((Per_Clase="Administración")*((52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$237*V_Alim*BE$175</f>
        <v>8959.98771891781</v>
      </c>
      <c r="BF238" s="48" t="n">
        <f aca="false">SUMPRODUCT((Per_Clase="Administración")*((53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$237*V_Alim*BF$175</f>
        <v>8959.98771891781</v>
      </c>
      <c r="BG238" s="48" t="n">
        <f aca="false">SUMPRODUCT((Per_Clase="Administración")*((54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$237*V_Alim*BG$175</f>
        <v>8959.98771891781</v>
      </c>
      <c r="BH238" s="48" t="n">
        <f aca="false">SUMPRODUCT((Per_Clase="Administración")*((55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$237*V_Alim*BH$175</f>
        <v>8959.98771891781</v>
      </c>
      <c r="BI238" s="48" t="n">
        <f aca="false">SUMPRODUCT((Per_Clase="Administración")*((56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$237*V_Alim*BI$175</f>
        <v>8959.98771891781</v>
      </c>
      <c r="BJ238" s="48" t="n">
        <f aca="false">SUMPRODUCT((Per_Clase="Administración")*((57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$237*V_Alim*BJ$175</f>
        <v>8959.98771891781</v>
      </c>
      <c r="BK238" s="48" t="n">
        <f aca="false">SUMPRODUCT((Per_Clase="Administración")*((58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$237*V_Alim*BK$175</f>
        <v>8959.98771891781</v>
      </c>
      <c r="BL238" s="48" t="n">
        <f aca="false">SUMPRODUCT((Per_Clase="Administración")*((59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$237*V_Alim*BL$175</f>
        <v>8959.98771891781</v>
      </c>
      <c r="BM238" s="48" t="n">
        <f aca="false">SUMPRODUCT((Per_Clase="Administración")*((60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$237*V_Alim*BM$175</f>
        <v>8959.98771891781</v>
      </c>
      <c r="BN238" s="48" t="n">
        <f aca="false">SUMPRODUCT((Per_Clase="Administración")*((61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$237*V_Alim*BN$175</f>
        <v>8959.98771891781</v>
      </c>
      <c r="BO238" s="48" t="n">
        <f aca="false">SUMPRODUCT((Per_Clase="Administración")*((62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$237*V_Alim*BO$175</f>
        <v>8959.98771891781</v>
      </c>
      <c r="BP238" s="48" t="n">
        <f aca="false">SUMPRODUCT((Per_Clase="Administración")*((63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$237*V_Alim*BP$175</f>
        <v>8959.98771891781</v>
      </c>
      <c r="BQ238" s="48" t="n">
        <f aca="false">SUMPRODUCT((Per_Clase="Administración")*((64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$237*V_Alim*BQ$175</f>
        <v>8959.98771891781</v>
      </c>
      <c r="BR238" s="48" t="n">
        <f aca="false">SUMPRODUCT((Per_Clase="Administración")*((65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$237*V_Alim*BR$175</f>
        <v>8959.98771891781</v>
      </c>
      <c r="BS238" s="48" t="n">
        <f aca="false">SUMPRODUCT((Per_Clase="Administración")*((66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$237*V_Alim*BS$175</f>
        <v>8959.98771891781</v>
      </c>
      <c r="BT238" s="48" t="n">
        <f aca="false">SUMPRODUCT((Per_Clase="Administración")*((67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$237*V_Alim*BT$175</f>
        <v>8959.98771891781</v>
      </c>
      <c r="BU238" s="48" t="n">
        <f aca="false">SUMPRODUCT((Per_Clase="Administración")*((68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$237*V_Alim*BU$175</f>
        <v>8959.98771891781</v>
      </c>
      <c r="BV238" s="48" t="n">
        <f aca="false">SUMPRODUCT((Per_Clase="Administración")*((69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$237*V_Alim*BV$175</f>
        <v>8959.98771891781</v>
      </c>
      <c r="BW238" s="48" t="n">
        <f aca="false">SUMPRODUCT((Per_Clase="Administración")*((70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$237*V_Alim*BW$175</f>
        <v>8959.98771891781</v>
      </c>
      <c r="BX238" s="48" t="n">
        <f aca="false">SUMPRODUCT((Per_Clase="Administración")*((71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$237*V_Alim*BX$175</f>
        <v>8959.98771891781</v>
      </c>
      <c r="BY238" s="48" t="n">
        <f aca="false">SUMPRODUCT((Per_Clase="Administración")*((72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$237*V_Alim*BY$175</f>
        <v>8959.98771891781</v>
      </c>
      <c r="BZ238" s="48" t="n">
        <f aca="false">SUMPRODUCT((Per_Clase="Administración")*((73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$237*V_Alim*BZ$175</f>
        <v>8959.98771891781</v>
      </c>
      <c r="CA238" s="48" t="n">
        <f aca="false">SUMPRODUCT((Per_Clase="Administración")*((74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$237*V_Alim*CA$175</f>
        <v>8959.98771891781</v>
      </c>
      <c r="CB238" s="48" t="n">
        <f aca="false">SUMPRODUCT((Per_Clase="Administración")*((75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$237*V_Alim*CB$175</f>
        <v>8959.98771891781</v>
      </c>
      <c r="CC238" s="48" t="n">
        <f aca="false">SUMPRODUCT((Per_Clase="Administración")*((76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$237*V_Alim*CC$175</f>
        <v>8959.98771891781</v>
      </c>
      <c r="CD238" s="48" t="n">
        <f aca="false">SUMPRODUCT((Per_Clase="Administración")*((77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$237*V_Alim*CD$175</f>
        <v>8959.98771891781</v>
      </c>
      <c r="CE238" s="48" t="n">
        <f aca="false">SUMPRODUCT((Per_Clase="Administración")*((78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$237*V_Alim*CE$175</f>
        <v>8959.98771891781</v>
      </c>
      <c r="CF238" s="48" t="n">
        <f aca="false">SUMPRODUCT((Per_Clase="Administración")*((79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$237*V_Alim*CF$175</f>
        <v>8959.98771891781</v>
      </c>
      <c r="CG238" s="48" t="n">
        <f aca="false">SUMPRODUCT((Per_Clase="Administración")*((80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$237*V_Alim*CG$175</f>
        <v>8959.98771891781</v>
      </c>
      <c r="CH238" s="48" t="n">
        <f aca="false">SUMPRODUCT((Per_Clase="Administración")*((81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$237*V_Alim*CH$175</f>
        <v>8959.98771891781</v>
      </c>
      <c r="CI238" s="48" t="n">
        <f aca="false">SUMPRODUCT((Per_Clase="Administración")*((82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$237*V_Alim*CI$175</f>
        <v>8959.98771891781</v>
      </c>
      <c r="CJ238" s="48" t="n">
        <f aca="false">SUMPRODUCT((Per_Clase="Administración")*((83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$237*V_Alim*CJ$175</f>
        <v>8959.98771891781</v>
      </c>
      <c r="CK238" s="48" t="n">
        <f aca="false">SUMPRODUCT((Per_Clase="Administración")*((84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$237*V_Alim*CK$175</f>
        <v>8959.98771891781</v>
      </c>
      <c r="CL238" s="48" t="n">
        <f aca="false">SUMPRODUCT((Per_Clase="Administración")*((85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$237*V_Alim*CL$175</f>
        <v>8959.98771891781</v>
      </c>
      <c r="CM238" s="48" t="n">
        <f aca="false">SUMPRODUCT((Per_Clase="Administración")*((86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$237*V_Alim*CM$175</f>
        <v>8959.98771891781</v>
      </c>
      <c r="CN238" s="48" t="n">
        <f aca="false">SUMPRODUCT((Per_Clase="Administración")*((87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$237*V_Alim*CN$175</f>
        <v>8959.98771891781</v>
      </c>
      <c r="CO238" s="48" t="n">
        <f aca="false">SUMPRODUCT((Per_Clase="Administración")*((88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$237*V_Alim*CO$175</f>
        <v>8959.98771891781</v>
      </c>
      <c r="CP238" s="48" t="n">
        <f aca="false">SUMPRODUCT((Per_Clase="Administración")*((89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$237*V_Alim*CP$175</f>
        <v>8959.98771891781</v>
      </c>
      <c r="CQ238" s="48" t="n">
        <f aca="false">SUMPRODUCT((Per_Clase="Administración")*((90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$237*V_Alim*CQ$175</f>
        <v>8959.98771891781</v>
      </c>
      <c r="CR238" s="48" t="n">
        <f aca="false">SUMPRODUCT((Per_Clase="Administración")*((91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$237*V_Alim*CR$175</f>
        <v>8959.98771891781</v>
      </c>
      <c r="CS238" s="48" t="n">
        <f aca="false">SUMPRODUCT((Per_Clase="Administración")*((92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$237*V_Alim*CS$175</f>
        <v>8959.98771891781</v>
      </c>
      <c r="CT238" s="48" t="n">
        <f aca="false">SUMPRODUCT((Per_Clase="Administración")*((93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$237*V_Alim*CT$175</f>
        <v>8959.98771891781</v>
      </c>
      <c r="CU238" s="48" t="n">
        <f aca="false">SUMPRODUCT((Per_Clase="Administración")*((94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$237*V_Alim*CU$175</f>
        <v>8959.98771891781</v>
      </c>
      <c r="CV238" s="48" t="n">
        <f aca="false">SUMPRODUCT((Per_Clase="Administración")*((95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$237*V_Alim*CV$175</f>
        <v>8959.98771891781</v>
      </c>
      <c r="CW238" s="48" t="n">
        <f aca="false">SUMPRODUCT((Per_Clase="Administración")*((96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$237*V_Alim*CW$175</f>
        <v>8959.98771891781</v>
      </c>
      <c r="CX238" s="48" t="n">
        <f aca="false">SUMPRODUCT((Per_Clase="Administración")*((97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$237*V_Alim*CX$175</f>
        <v>8959.98771891781</v>
      </c>
      <c r="CY238" s="48" t="n">
        <f aca="false">SUMPRODUCT((Per_Clase="Administración")*((98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$237*V_Alim*CY$175</f>
        <v>8959.98771891781</v>
      </c>
      <c r="CZ238" s="48" t="n">
        <f aca="false">SUMPRODUCT((Per_Clase="Administración")*((99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$237*V_Alim*CZ$175</f>
        <v>8959.98771891781</v>
      </c>
      <c r="DA238" s="48" t="n">
        <f aca="false">SUMPRODUCT((Per_Clase="Administración")*((100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$237*V_Alim*DA$175</f>
        <v>8959.98771891781</v>
      </c>
      <c r="DB238" s="48" t="n">
        <f aca="false">SUMPRODUCT((Per_Clase="Administración")*((101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$237*V_Alim*DB$175</f>
        <v>8959.98771891781</v>
      </c>
      <c r="DC238" s="48" t="n">
        <f aca="false">SUMPRODUCT((Per_Clase="Administración")*((102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$237*V_Alim*DC$175</f>
        <v>8959.98771891781</v>
      </c>
      <c r="DD238" s="48" t="n">
        <f aca="false">SUMPRODUCT((Per_Clase="Administración")*((103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$237*V_Alim*DD$175</f>
        <v>8959.98771891781</v>
      </c>
      <c r="DE238" s="48" t="n">
        <f aca="false">SUMPRODUCT((Per_Clase="Administración")*((104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$237*V_Alim*DE$175</f>
        <v>8959.98771891781</v>
      </c>
      <c r="DF238" s="48" t="n">
        <f aca="false">SUMPRODUCT((Per_Clase="Administración")*((105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$237*V_Alim*DF$175</f>
        <v>8959.98771891781</v>
      </c>
      <c r="DG238" s="48" t="n">
        <f aca="false">SUMPRODUCT((Per_Clase="Administración")*((106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$237*V_Alim*DG$175</f>
        <v>8959.98771891781</v>
      </c>
      <c r="DH238" s="48" t="n">
        <f aca="false">SUMPRODUCT((Per_Clase="Administración")*((107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$237*V_Alim*DH$175</f>
        <v>8959.98771891781</v>
      </c>
      <c r="DI238" s="48" t="n">
        <f aca="false">SUMPRODUCT((Per_Clase="Administración")*((108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$237*V_Alim*DI$175</f>
        <v>8959.98771891781</v>
      </c>
      <c r="DJ238" s="48" t="n">
        <f aca="false">SUMPRODUCT((Per_Clase="Administración")*((109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$237*V_Alim*DJ$175</f>
        <v>8959.98771891781</v>
      </c>
      <c r="DK238" s="48" t="n">
        <f aca="false">SUMPRODUCT((Per_Clase="Administración")*((110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$237*V_Alim*DK$175</f>
        <v>8959.98771891781</v>
      </c>
      <c r="DL238" s="48" t="n">
        <f aca="false">SUMPRODUCT((Per_Clase="Administración")*((111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$237*V_Alim*DL$175</f>
        <v>8959.98771891781</v>
      </c>
      <c r="DM238" s="48" t="n">
        <f aca="false">SUMPRODUCT((Per_Clase="Administración")*((112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$237*V_Alim*DM$175</f>
        <v>8959.98771891781</v>
      </c>
      <c r="DN238" s="48" t="n">
        <f aca="false">SUMPRODUCT((Per_Clase="Administración")*((113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$237*V_Alim*DN$175</f>
        <v>8959.98771891781</v>
      </c>
      <c r="DO238" s="48" t="n">
        <f aca="false">SUMPRODUCT((Per_Clase="Administración")*((114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$237*V_Alim*DO$175</f>
        <v>8959.98771891781</v>
      </c>
      <c r="DP238" s="48" t="n">
        <f aca="false">SUMPRODUCT((Per_Clase="Administración")*((115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$237*V_Alim*DP$175</f>
        <v>8959.98771891781</v>
      </c>
      <c r="DQ238" s="48" t="n">
        <f aca="false">SUMPRODUCT((Per_Clase="Administración")*((116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$237*V_Alim*DQ$175</f>
        <v>8959.98771891781</v>
      </c>
      <c r="DR238" s="48" t="n">
        <f aca="false">SUMPRODUCT((Per_Clase="Administración")*((117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$237*V_Alim*DR$175</f>
        <v>8959.98771891781</v>
      </c>
      <c r="DS238" s="48" t="n">
        <f aca="false">SUMPRODUCT((Per_Clase="Administración")*((118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$237*V_Alim*DS$175</f>
        <v>8959.98771891781</v>
      </c>
      <c r="DT238" s="48" t="n">
        <f aca="false">SUMPRODUCT((Per_Clase="Administración")*((119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$237*V_Alim*DT$175</f>
        <v>8959.98771891781</v>
      </c>
      <c r="DU238" s="48" t="n">
        <f aca="false">SUMPRODUCT((Per_Clase="Administración")*((120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$237*V_Alim*DU$175</f>
        <v>8959.98771891781</v>
      </c>
      <c r="DV238" s="48" t="n">
        <f aca="false">SUMPRODUCT((Per_Clase="Administración")*((121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$237*V_Alim*DV$175</f>
        <v>0</v>
      </c>
      <c r="DW238" s="48" t="n">
        <f aca="false">SUMPRODUCT((Per_Clase="Administración")*((122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$237*V_Alim*DW$175</f>
        <v>0</v>
      </c>
      <c r="DX238" s="48" t="n">
        <f aca="false">SUMPRODUCT((Per_Clase="Administración")*((123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$237*V_Alim*DX$175</f>
        <v>0</v>
      </c>
      <c r="DY238" s="48" t="n">
        <f aca="false">SUMPRODUCT((Per_Clase="Administración")*((124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$237*V_Alim*DY$175</f>
        <v>0</v>
      </c>
      <c r="DZ238" s="48" t="n">
        <f aca="false">SUMPRODUCT((Per_Clase="Administración")*((125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$237*V_Alim*DZ$175</f>
        <v>0</v>
      </c>
      <c r="EA238" s="48" t="n">
        <f aca="false">SUMPRODUCT((Per_Clase="Administración")*((126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$237*V_Alim*EA$175</f>
        <v>0</v>
      </c>
      <c r="EB238" s="48" t="n">
        <f aca="false">SUMPRODUCT((Per_Clase="Administración")*((127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$237*V_Alim*EB$175</f>
        <v>0</v>
      </c>
      <c r="EC238" s="48" t="n">
        <f aca="false">SUMPRODUCT((Per_Clase="Administración")*((128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$237*V_Alim*EC$175</f>
        <v>0</v>
      </c>
      <c r="ED238" s="48" t="n">
        <f aca="false">SUMPRODUCT((Per_Clase="Administración")*((129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$237*V_Alim*ED$175</f>
        <v>0</v>
      </c>
      <c r="EE238" s="48" t="n">
        <f aca="false">SUMPRODUCT((Per_Clase="Administración")*((130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$237*V_Alim*EE$175</f>
        <v>0</v>
      </c>
      <c r="EF238" s="48" t="n">
        <f aca="false">SUMPRODUCT((Per_Clase="Administración")*((131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$237*V_Alim*EF$175</f>
        <v>0</v>
      </c>
      <c r="EG238" s="48" t="n">
        <f aca="false">SUMPRODUCT((Per_Clase="Administración")*((132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$237*V_Alim*EG$175</f>
        <v>0</v>
      </c>
      <c r="EH238" s="48" t="n">
        <f aca="false">SUMPRODUCT((Per_Clase="Administración")*((133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$237*V_Alim*EH$175</f>
        <v>0</v>
      </c>
      <c r="EI238" s="48" t="n">
        <f aca="false">SUMPRODUCT((Per_Clase="Administración")*((134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$237*V_Alim*EI$175</f>
        <v>0</v>
      </c>
      <c r="EJ238" s="48" t="n">
        <f aca="false">SUMPRODUCT((Per_Clase="Administración")*((135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$237*V_Alim*EJ$175</f>
        <v>0</v>
      </c>
      <c r="EK238" s="48" t="n">
        <f aca="false">SUMPRODUCT((Per_Clase="Administración")*((136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$237*V_Alim*EK$175</f>
        <v>0</v>
      </c>
      <c r="EL238" s="48" t="n">
        <f aca="false">SUMPRODUCT((Per_Clase="Administración")*((137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$237*V_Alim*EL$175</f>
        <v>0</v>
      </c>
      <c r="EM238" s="48" t="n">
        <f aca="false">SUMPRODUCT((Per_Clase="Administración")*((138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$237*V_Alim*EM$175</f>
        <v>0</v>
      </c>
      <c r="EN238" s="48" t="n">
        <f aca="false">SUMPRODUCT((Per_Clase="Administración")*((139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$237*V_Alim*EN$175</f>
        <v>0</v>
      </c>
      <c r="EO238" s="48" t="n">
        <f aca="false">SUMPRODUCT((Per_Clase="Administración")*((140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$237*V_Alim*EO$175</f>
        <v>0</v>
      </c>
      <c r="EP238" s="48" t="n">
        <f aca="false">SUMPRODUCT((Per_Clase="Administración")*((141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$237*V_Alim*EP$175</f>
        <v>0</v>
      </c>
      <c r="EQ238" s="48" t="n">
        <f aca="false">SUMPRODUCT((Per_Clase="Administración")*((142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$237*V_Alim*EQ$175</f>
        <v>0</v>
      </c>
      <c r="ER238" s="48" t="n">
        <f aca="false">SUMPRODUCT((Per_Clase="Administración")*((143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$237*V_Alim*ER$175</f>
        <v>0</v>
      </c>
      <c r="ES238" s="48" t="n">
        <f aca="false">SUMPRODUCT((Per_Clase="Administración")*((144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$237*V_Alim*ES$175</f>
        <v>0</v>
      </c>
    </row>
    <row r="239" customFormat="false" ht="15" hidden="false" customHeight="false" outlineLevel="0" collapsed="false">
      <c r="A239" s="11" t="s">
        <v>1361</v>
      </c>
      <c r="B239" s="15" t="s">
        <v>1140</v>
      </c>
      <c r="C239" s="15" t="s">
        <v>508</v>
      </c>
      <c r="E239" s="54" t="n">
        <f aca="false">SUM(F239:ES239)</f>
        <v>522395.342346116</v>
      </c>
      <c r="F239" s="48" t="n">
        <f aca="false">V_Pkg*(F$229+F$230+F$231+F$234)</f>
        <v>2756.29058797123</v>
      </c>
      <c r="G239" s="48" t="n">
        <f aca="false">V_Pkg*(G$229+G$230+G$231+G$234)</f>
        <v>2756.29058797123</v>
      </c>
      <c r="H239" s="48" t="n">
        <f aca="false">V_Pkg*(H$229+H$230+H$231+H$234)</f>
        <v>2756.29058797123</v>
      </c>
      <c r="I239" s="48" t="n">
        <f aca="false">V_Pkg*(I$229+I$230+I$231+I$234)</f>
        <v>2756.29058797123</v>
      </c>
      <c r="J239" s="48" t="n">
        <f aca="false">V_Pkg*(J$229+J$230+J$231+J$234)</f>
        <v>2756.29058797123</v>
      </c>
      <c r="K239" s="48" t="n">
        <f aca="false">V_Pkg*(K$229+K$230+K$231+K$234)</f>
        <v>2756.29058797123</v>
      </c>
      <c r="L239" s="48" t="n">
        <f aca="false">V_Pkg*(L$229+L$230+L$231+L$234)</f>
        <v>2756.29058797123</v>
      </c>
      <c r="M239" s="48" t="n">
        <f aca="false">V_Pkg*(M$229+M$230+M$231+M$234)</f>
        <v>2756.29058797123</v>
      </c>
      <c r="N239" s="48" t="n">
        <f aca="false">V_Pkg*(N$229+N$230+N$231+N$234)</f>
        <v>2756.29058797123</v>
      </c>
      <c r="O239" s="48" t="n">
        <f aca="false">V_Pkg*(O$229+O$230+O$231+O$234)</f>
        <v>2756.29058797123</v>
      </c>
      <c r="P239" s="48" t="n">
        <f aca="false">V_Pkg*(P$229+P$230+P$231+P$234)</f>
        <v>2756.29058797123</v>
      </c>
      <c r="Q239" s="48" t="n">
        <f aca="false">V_Pkg*(Q$229+Q$230+Q$231+Q$234)</f>
        <v>2756.29058797123</v>
      </c>
      <c r="R239" s="48" t="n">
        <f aca="false">V_Pkg*(R$229+R$230+R$231+R$234)</f>
        <v>3410.92767047123</v>
      </c>
      <c r="S239" s="48" t="n">
        <f aca="false">V_Pkg*(S$229+S$230+S$231+S$234)</f>
        <v>3410.92767047123</v>
      </c>
      <c r="T239" s="48" t="n">
        <f aca="false">V_Pkg*(T$229+T$230+T$231+T$234)</f>
        <v>3410.92767047123</v>
      </c>
      <c r="U239" s="48" t="n">
        <f aca="false">V_Pkg*(U$229+U$230+U$231+U$234)</f>
        <v>3410.92767047123</v>
      </c>
      <c r="V239" s="48" t="n">
        <f aca="false">V_Pkg*(V$229+V$230+V$231+V$234)</f>
        <v>3410.92767047123</v>
      </c>
      <c r="W239" s="48" t="n">
        <f aca="false">V_Pkg*(W$229+W$230+W$231+W$234)</f>
        <v>3410.92767047123</v>
      </c>
      <c r="X239" s="48" t="n">
        <f aca="false">V_Pkg*(X$229+X$230+X$231+X$234)</f>
        <v>3410.92767047123</v>
      </c>
      <c r="Y239" s="48" t="n">
        <f aca="false">V_Pkg*(Y$229+Y$230+Y$231+Y$234)</f>
        <v>3410.92767047123</v>
      </c>
      <c r="Z239" s="48" t="n">
        <f aca="false">V_Pkg*(Z$229+Z$230+Z$231+Z$234)</f>
        <v>3410.92767047123</v>
      </c>
      <c r="AA239" s="48" t="n">
        <f aca="false">V_Pkg*(AA$229+AA$230+AA$231+AA$234)</f>
        <v>3410.92767047123</v>
      </c>
      <c r="AB239" s="48" t="n">
        <f aca="false">V_Pkg*(AB$229+AB$230+AB$231+AB$234)</f>
        <v>3410.92767047123</v>
      </c>
      <c r="AC239" s="48" t="n">
        <f aca="false">V_Pkg*(AC$229+AC$230+AC$231+AC$234)</f>
        <v>3410.92767047123</v>
      </c>
      <c r="AD239" s="48" t="n">
        <f aca="false">V_Pkg*(AD$229+AD$230+AD$231+AD$234)</f>
        <v>4098.81333140891</v>
      </c>
      <c r="AE239" s="48" t="n">
        <f aca="false">V_Pkg*(AE$229+AE$230+AE$231+AE$234)</f>
        <v>4098.81333140891</v>
      </c>
      <c r="AF239" s="48" t="n">
        <f aca="false">V_Pkg*(AF$229+AF$230+AF$231+AF$234)</f>
        <v>4098.81333140891</v>
      </c>
      <c r="AG239" s="48" t="n">
        <f aca="false">V_Pkg*(AG$229+AG$230+AG$231+AG$234)</f>
        <v>4098.81333140891</v>
      </c>
      <c r="AH239" s="48" t="n">
        <f aca="false">V_Pkg*(AH$229+AH$230+AH$231+AH$234)</f>
        <v>4098.81333140891</v>
      </c>
      <c r="AI239" s="48" t="n">
        <f aca="false">V_Pkg*(AI$229+AI$230+AI$231+AI$234)</f>
        <v>4098.81333140891</v>
      </c>
      <c r="AJ239" s="48" t="n">
        <f aca="false">V_Pkg*(AJ$229+AJ$230+AJ$231+AJ$234)</f>
        <v>4098.81333140891</v>
      </c>
      <c r="AK239" s="48" t="n">
        <f aca="false">V_Pkg*(AK$229+AK$230+AK$231+AK$234)</f>
        <v>4098.81333140891</v>
      </c>
      <c r="AL239" s="48" t="n">
        <f aca="false">V_Pkg*(AL$229+AL$230+AL$231+AL$234)</f>
        <v>4098.81333140891</v>
      </c>
      <c r="AM239" s="48" t="n">
        <f aca="false">V_Pkg*(AM$229+AM$230+AM$231+AM$234)</f>
        <v>4098.81333140891</v>
      </c>
      <c r="AN239" s="48" t="n">
        <f aca="false">V_Pkg*(AN$229+AN$230+AN$231+AN$234)</f>
        <v>4098.81333140891</v>
      </c>
      <c r="AO239" s="48" t="n">
        <f aca="false">V_Pkg*(AO$229+AO$230+AO$231+AO$234)</f>
        <v>4098.81333140891</v>
      </c>
      <c r="AP239" s="48" t="n">
        <f aca="false">V_Pkg*(AP$229+AP$230+AP$231+AP$234)</f>
        <v>4661.52810532788</v>
      </c>
      <c r="AQ239" s="48" t="n">
        <f aca="false">V_Pkg*(AQ$229+AQ$230+AQ$231+AQ$234)</f>
        <v>4661.52810532788</v>
      </c>
      <c r="AR239" s="48" t="n">
        <f aca="false">V_Pkg*(AR$229+AR$230+AR$231+AR$234)</f>
        <v>4661.52810532788</v>
      </c>
      <c r="AS239" s="48" t="n">
        <f aca="false">V_Pkg*(AS$229+AS$230+AS$231+AS$234)</f>
        <v>4661.52810532788</v>
      </c>
      <c r="AT239" s="48" t="n">
        <f aca="false">V_Pkg*(AT$229+AT$230+AT$231+AT$234)</f>
        <v>4661.52810532788</v>
      </c>
      <c r="AU239" s="48" t="n">
        <f aca="false">V_Pkg*(AU$229+AU$230+AU$231+AU$234)</f>
        <v>4661.52810532788</v>
      </c>
      <c r="AV239" s="48" t="n">
        <f aca="false">V_Pkg*(AV$229+AV$230+AV$231+AV$234)</f>
        <v>4661.52810532788</v>
      </c>
      <c r="AW239" s="48" t="n">
        <f aca="false">V_Pkg*(AW$229+AW$230+AW$231+AW$234)</f>
        <v>4661.52810532788</v>
      </c>
      <c r="AX239" s="48" t="n">
        <f aca="false">V_Pkg*(AX$229+AX$230+AX$231+AX$234)</f>
        <v>4661.52810532788</v>
      </c>
      <c r="AY239" s="48" t="n">
        <f aca="false">V_Pkg*(AY$229+AY$230+AY$231+AY$234)</f>
        <v>4661.52810532788</v>
      </c>
      <c r="AZ239" s="48" t="n">
        <f aca="false">V_Pkg*(AZ$229+AZ$230+AZ$231+AZ$234)</f>
        <v>4661.52810532788</v>
      </c>
      <c r="BA239" s="48" t="n">
        <f aca="false">V_Pkg*(BA$229+BA$230+BA$231+BA$234)</f>
        <v>4661.52810532788</v>
      </c>
      <c r="BB239" s="48" t="n">
        <f aca="false">V_Pkg*(BB$229+BB$230+BB$231+BB$234)</f>
        <v>4709.89502646909</v>
      </c>
      <c r="BC239" s="48" t="n">
        <f aca="false">V_Pkg*(BC$229+BC$230+BC$231+BC$234)</f>
        <v>4709.89502646909</v>
      </c>
      <c r="BD239" s="48" t="n">
        <f aca="false">V_Pkg*(BD$229+BD$230+BD$231+BD$234)</f>
        <v>4709.89502646909</v>
      </c>
      <c r="BE239" s="48" t="n">
        <f aca="false">V_Pkg*(BE$229+BE$230+BE$231+BE$234)</f>
        <v>4709.89502646909</v>
      </c>
      <c r="BF239" s="48" t="n">
        <f aca="false">V_Pkg*(BF$229+BF$230+BF$231+BF$234)</f>
        <v>4709.89502646909</v>
      </c>
      <c r="BG239" s="48" t="n">
        <f aca="false">V_Pkg*(BG$229+BG$230+BG$231+BG$234)</f>
        <v>4709.89502646909</v>
      </c>
      <c r="BH239" s="48" t="n">
        <f aca="false">V_Pkg*(BH$229+BH$230+BH$231+BH$234)</f>
        <v>4709.89502646909</v>
      </c>
      <c r="BI239" s="48" t="n">
        <f aca="false">V_Pkg*(BI$229+BI$230+BI$231+BI$234)</f>
        <v>4709.89502646909</v>
      </c>
      <c r="BJ239" s="48" t="n">
        <f aca="false">V_Pkg*(BJ$229+BJ$230+BJ$231+BJ$234)</f>
        <v>4709.89502646909</v>
      </c>
      <c r="BK239" s="48" t="n">
        <f aca="false">V_Pkg*(BK$229+BK$230+BK$231+BK$234)</f>
        <v>4709.89502646909</v>
      </c>
      <c r="BL239" s="48" t="n">
        <f aca="false">V_Pkg*(BL$229+BL$230+BL$231+BL$234)</f>
        <v>4709.89502646909</v>
      </c>
      <c r="BM239" s="48" t="n">
        <f aca="false">V_Pkg*(BM$229+BM$230+BM$231+BM$234)</f>
        <v>4709.89502646909</v>
      </c>
      <c r="BN239" s="48" t="n">
        <f aca="false">V_Pkg*(BN$229+BN$230+BN$231+BN$234)</f>
        <v>4732.65693843283</v>
      </c>
      <c r="BO239" s="48" t="n">
        <f aca="false">V_Pkg*(BO$229+BO$230+BO$231+BO$234)</f>
        <v>4732.65693843283</v>
      </c>
      <c r="BP239" s="48" t="n">
        <f aca="false">V_Pkg*(BP$229+BP$230+BP$231+BP$234)</f>
        <v>4732.65693843283</v>
      </c>
      <c r="BQ239" s="48" t="n">
        <f aca="false">V_Pkg*(BQ$229+BQ$230+BQ$231+BQ$234)</f>
        <v>4732.65693843283</v>
      </c>
      <c r="BR239" s="48" t="n">
        <f aca="false">V_Pkg*(BR$229+BR$230+BR$231+BR$234)</f>
        <v>4732.65693843283</v>
      </c>
      <c r="BS239" s="48" t="n">
        <f aca="false">V_Pkg*(BS$229+BS$230+BS$231+BS$234)</f>
        <v>4732.65693843283</v>
      </c>
      <c r="BT239" s="48" t="n">
        <f aca="false">V_Pkg*(BT$229+BT$230+BT$231+BT$234)</f>
        <v>4732.65693843283</v>
      </c>
      <c r="BU239" s="48" t="n">
        <f aca="false">V_Pkg*(BU$229+BU$230+BU$231+BU$234)</f>
        <v>4732.65693843283</v>
      </c>
      <c r="BV239" s="48" t="n">
        <f aca="false">V_Pkg*(BV$229+BV$230+BV$231+BV$234)</f>
        <v>4732.65693843283</v>
      </c>
      <c r="BW239" s="48" t="n">
        <f aca="false">V_Pkg*(BW$229+BW$230+BW$231+BW$234)</f>
        <v>4732.65693843283</v>
      </c>
      <c r="BX239" s="48" t="n">
        <f aca="false">V_Pkg*(BX$229+BX$230+BX$231+BX$234)</f>
        <v>4732.65693843283</v>
      </c>
      <c r="BY239" s="48" t="n">
        <f aca="false">V_Pkg*(BY$229+BY$230+BY$231+BY$234)</f>
        <v>4732.65693843283</v>
      </c>
      <c r="BZ239" s="48" t="n">
        <f aca="false">V_Pkg*(BZ$229+BZ$230+BZ$231+BZ$234)</f>
        <v>4755.64646951621</v>
      </c>
      <c r="CA239" s="48" t="n">
        <f aca="false">V_Pkg*(CA$229+CA$230+CA$231+CA$234)</f>
        <v>4755.64646951621</v>
      </c>
      <c r="CB239" s="48" t="n">
        <f aca="false">V_Pkg*(CB$229+CB$230+CB$231+CB$234)</f>
        <v>4755.64646951621</v>
      </c>
      <c r="CC239" s="48" t="n">
        <f aca="false">V_Pkg*(CC$229+CC$230+CC$231+CC$234)</f>
        <v>4755.64646951621</v>
      </c>
      <c r="CD239" s="48" t="n">
        <f aca="false">V_Pkg*(CD$229+CD$230+CD$231+CD$234)</f>
        <v>4755.64646951621</v>
      </c>
      <c r="CE239" s="48" t="n">
        <f aca="false">V_Pkg*(CE$229+CE$230+CE$231+CE$234)</f>
        <v>4755.64646951621</v>
      </c>
      <c r="CF239" s="48" t="n">
        <f aca="false">V_Pkg*(CF$229+CF$230+CF$231+CF$234)</f>
        <v>4755.64646951621</v>
      </c>
      <c r="CG239" s="48" t="n">
        <f aca="false">V_Pkg*(CG$229+CG$230+CG$231+CG$234)</f>
        <v>4755.64646951621</v>
      </c>
      <c r="CH239" s="48" t="n">
        <f aca="false">V_Pkg*(CH$229+CH$230+CH$231+CH$234)</f>
        <v>4755.64646951621</v>
      </c>
      <c r="CI239" s="48" t="n">
        <f aca="false">V_Pkg*(CI$229+CI$230+CI$231+CI$234)</f>
        <v>4755.64646951621</v>
      </c>
      <c r="CJ239" s="48" t="n">
        <f aca="false">V_Pkg*(CJ$229+CJ$230+CJ$231+CJ$234)</f>
        <v>4755.64646951621</v>
      </c>
      <c r="CK239" s="48" t="n">
        <f aca="false">V_Pkg*(CK$229+CK$230+CK$231+CK$234)</f>
        <v>4755.64646951621</v>
      </c>
      <c r="CL239" s="48" t="n">
        <f aca="false">V_Pkg*(CL$229+CL$230+CL$231+CL$234)</f>
        <v>4778.86589591041</v>
      </c>
      <c r="CM239" s="48" t="n">
        <f aca="false">V_Pkg*(CM$229+CM$230+CM$231+CM$234)</f>
        <v>4778.86589591041</v>
      </c>
      <c r="CN239" s="48" t="n">
        <f aca="false">V_Pkg*(CN$229+CN$230+CN$231+CN$234)</f>
        <v>4778.86589591041</v>
      </c>
      <c r="CO239" s="48" t="n">
        <f aca="false">V_Pkg*(CO$229+CO$230+CO$231+CO$234)</f>
        <v>4778.86589591041</v>
      </c>
      <c r="CP239" s="48" t="n">
        <f aca="false">V_Pkg*(CP$229+CP$230+CP$231+CP$234)</f>
        <v>4778.86589591041</v>
      </c>
      <c r="CQ239" s="48" t="n">
        <f aca="false">V_Pkg*(CQ$229+CQ$230+CQ$231+CQ$234)</f>
        <v>4778.86589591041</v>
      </c>
      <c r="CR239" s="48" t="n">
        <f aca="false">V_Pkg*(CR$229+CR$230+CR$231+CR$234)</f>
        <v>4778.86589591041</v>
      </c>
      <c r="CS239" s="48" t="n">
        <f aca="false">V_Pkg*(CS$229+CS$230+CS$231+CS$234)</f>
        <v>4778.86589591041</v>
      </c>
      <c r="CT239" s="48" t="n">
        <f aca="false">V_Pkg*(CT$229+CT$230+CT$231+CT$234)</f>
        <v>4778.86589591041</v>
      </c>
      <c r="CU239" s="48" t="n">
        <f aca="false">V_Pkg*(CU$229+CU$230+CU$231+CU$234)</f>
        <v>4778.86589591041</v>
      </c>
      <c r="CV239" s="48" t="n">
        <f aca="false">V_Pkg*(CV$229+CV$230+CV$231+CV$234)</f>
        <v>4778.86589591041</v>
      </c>
      <c r="CW239" s="48" t="n">
        <f aca="false">V_Pkg*(CW$229+CW$230+CW$231+CW$234)</f>
        <v>4778.86589591041</v>
      </c>
      <c r="CX239" s="48" t="n">
        <f aca="false">V_Pkg*(CX$229+CX$230+CX$231+CX$234)</f>
        <v>4802.31751656856</v>
      </c>
      <c r="CY239" s="48" t="n">
        <f aca="false">V_Pkg*(CY$229+CY$230+CY$231+CY$234)</f>
        <v>4802.31751656856</v>
      </c>
      <c r="CZ239" s="48" t="n">
        <f aca="false">V_Pkg*(CZ$229+CZ$230+CZ$231+CZ$234)</f>
        <v>4802.31751656856</v>
      </c>
      <c r="DA239" s="48" t="n">
        <f aca="false">V_Pkg*(DA$229+DA$230+DA$231+DA$234)</f>
        <v>4802.31751656856</v>
      </c>
      <c r="DB239" s="48" t="n">
        <f aca="false">V_Pkg*(DB$229+DB$230+DB$231+DB$234)</f>
        <v>4802.31751656856</v>
      </c>
      <c r="DC239" s="48" t="n">
        <f aca="false">V_Pkg*(DC$229+DC$230+DC$231+DC$234)</f>
        <v>4802.31751656856</v>
      </c>
      <c r="DD239" s="48" t="n">
        <f aca="false">V_Pkg*(DD$229+DD$230+DD$231+DD$234)</f>
        <v>4802.31751656856</v>
      </c>
      <c r="DE239" s="48" t="n">
        <f aca="false">V_Pkg*(DE$229+DE$230+DE$231+DE$234)</f>
        <v>4802.31751656856</v>
      </c>
      <c r="DF239" s="48" t="n">
        <f aca="false">V_Pkg*(DF$229+DF$230+DF$231+DF$234)</f>
        <v>4802.31751656856</v>
      </c>
      <c r="DG239" s="48" t="n">
        <f aca="false">V_Pkg*(DG$229+DG$230+DG$231+DG$234)</f>
        <v>4802.31751656856</v>
      </c>
      <c r="DH239" s="48" t="n">
        <f aca="false">V_Pkg*(DH$229+DH$230+DH$231+DH$234)</f>
        <v>4802.31751656856</v>
      </c>
      <c r="DI239" s="48" t="n">
        <f aca="false">V_Pkg*(DI$229+DI$230+DI$231+DI$234)</f>
        <v>4802.31751656856</v>
      </c>
      <c r="DJ239" s="48" t="n">
        <f aca="false">V_Pkg*(DJ$229+DJ$230+DJ$231+DJ$234)</f>
        <v>4826.0036534333</v>
      </c>
      <c r="DK239" s="48" t="n">
        <f aca="false">V_Pkg*(DK$229+DK$230+DK$231+DK$234)</f>
        <v>4826.0036534333</v>
      </c>
      <c r="DL239" s="48" t="n">
        <f aca="false">V_Pkg*(DL$229+DL$230+DL$231+DL$234)</f>
        <v>4826.0036534333</v>
      </c>
      <c r="DM239" s="48" t="n">
        <f aca="false">V_Pkg*(DM$229+DM$230+DM$231+DM$234)</f>
        <v>4826.0036534333</v>
      </c>
      <c r="DN239" s="48" t="n">
        <f aca="false">V_Pkg*(DN$229+DN$230+DN$231+DN$234)</f>
        <v>4826.0036534333</v>
      </c>
      <c r="DO239" s="48" t="n">
        <f aca="false">V_Pkg*(DO$229+DO$230+DO$231+DO$234)</f>
        <v>4826.0036534333</v>
      </c>
      <c r="DP239" s="48" t="n">
        <f aca="false">V_Pkg*(DP$229+DP$230+DP$231+DP$234)</f>
        <v>4826.0036534333</v>
      </c>
      <c r="DQ239" s="48" t="n">
        <f aca="false">V_Pkg*(DQ$229+DQ$230+DQ$231+DQ$234)</f>
        <v>4826.0036534333</v>
      </c>
      <c r="DR239" s="48" t="n">
        <f aca="false">V_Pkg*(DR$229+DR$230+DR$231+DR$234)</f>
        <v>4826.0036534333</v>
      </c>
      <c r="DS239" s="48" t="n">
        <f aca="false">V_Pkg*(DS$229+DS$230+DS$231+DS$234)</f>
        <v>4826.0036534333</v>
      </c>
      <c r="DT239" s="48" t="n">
        <f aca="false">V_Pkg*(DT$229+DT$230+DT$231+DT$234)</f>
        <v>4826.0036534333</v>
      </c>
      <c r="DU239" s="48" t="n">
        <f aca="false">V_Pkg*(DU$229+DU$230+DU$231+DU$234)</f>
        <v>4826.0036534333</v>
      </c>
      <c r="DV239" s="48" t="n">
        <f aca="false">V_Pkg*(DV$229+DV$230+DV$231+DV$234)</f>
        <v>0</v>
      </c>
      <c r="DW239" s="48" t="n">
        <f aca="false">V_Pkg*(DW$229+DW$230+DW$231+DW$234)</f>
        <v>0</v>
      </c>
      <c r="DX239" s="48" t="n">
        <f aca="false">V_Pkg*(DX$229+DX$230+DX$231+DX$234)</f>
        <v>0</v>
      </c>
      <c r="DY239" s="48" t="n">
        <f aca="false">V_Pkg*(DY$229+DY$230+DY$231+DY$234)</f>
        <v>0</v>
      </c>
      <c r="DZ239" s="48" t="n">
        <f aca="false">V_Pkg*(DZ$229+DZ$230+DZ$231+DZ$234)</f>
        <v>0</v>
      </c>
      <c r="EA239" s="48" t="n">
        <f aca="false">V_Pkg*(EA$229+EA$230+EA$231+EA$234)</f>
        <v>0</v>
      </c>
      <c r="EB239" s="48" t="n">
        <f aca="false">V_Pkg*(EB$229+EB$230+EB$231+EB$234)</f>
        <v>0</v>
      </c>
      <c r="EC239" s="48" t="n">
        <f aca="false">V_Pkg*(EC$229+EC$230+EC$231+EC$234)</f>
        <v>0</v>
      </c>
      <c r="ED239" s="48" t="n">
        <f aca="false">V_Pkg*(ED$229+ED$230+ED$231+ED$234)</f>
        <v>0</v>
      </c>
      <c r="EE239" s="48" t="n">
        <f aca="false">V_Pkg*(EE$229+EE$230+EE$231+EE$234)</f>
        <v>0</v>
      </c>
      <c r="EF239" s="48" t="n">
        <f aca="false">V_Pkg*(EF$229+EF$230+EF$231+EF$234)</f>
        <v>0</v>
      </c>
      <c r="EG239" s="48" t="n">
        <f aca="false">V_Pkg*(EG$229+EG$230+EG$231+EG$234)</f>
        <v>0</v>
      </c>
      <c r="EH239" s="48" t="n">
        <f aca="false">V_Pkg*(EH$229+EH$230+EH$231+EH$234)</f>
        <v>0</v>
      </c>
      <c r="EI239" s="48" t="n">
        <f aca="false">V_Pkg*(EI$229+EI$230+EI$231+EI$234)</f>
        <v>0</v>
      </c>
      <c r="EJ239" s="48" t="n">
        <f aca="false">V_Pkg*(EJ$229+EJ$230+EJ$231+EJ$234)</f>
        <v>0</v>
      </c>
      <c r="EK239" s="48" t="n">
        <f aca="false">V_Pkg*(EK$229+EK$230+EK$231+EK$234)</f>
        <v>0</v>
      </c>
      <c r="EL239" s="48" t="n">
        <f aca="false">V_Pkg*(EL$229+EL$230+EL$231+EL$234)</f>
        <v>0</v>
      </c>
      <c r="EM239" s="48" t="n">
        <f aca="false">V_Pkg*(EM$229+EM$230+EM$231+EM$234)</f>
        <v>0</v>
      </c>
      <c r="EN239" s="48" t="n">
        <f aca="false">V_Pkg*(EN$229+EN$230+EN$231+EN$234)</f>
        <v>0</v>
      </c>
      <c r="EO239" s="48" t="n">
        <f aca="false">V_Pkg*(EO$229+EO$230+EO$231+EO$234)</f>
        <v>0</v>
      </c>
      <c r="EP239" s="48" t="n">
        <f aca="false">V_Pkg*(EP$229+EP$230+EP$231+EP$234)</f>
        <v>0</v>
      </c>
      <c r="EQ239" s="48" t="n">
        <f aca="false">V_Pkg*(EQ$229+EQ$230+EQ$231+EQ$234)</f>
        <v>0</v>
      </c>
      <c r="ER239" s="48" t="n">
        <f aca="false">V_Pkg*(ER$229+ER$230+ER$231+ER$234)</f>
        <v>0</v>
      </c>
      <c r="ES239" s="48" t="n">
        <f aca="false">V_Pkg*(ES$229+ES$230+ES$231+ES$234)</f>
        <v>0</v>
      </c>
    </row>
    <row r="240" customFormat="false" ht="15" hidden="false" customHeight="false" outlineLevel="0" collapsed="false">
      <c r="A240" s="11" t="s">
        <v>1362</v>
      </c>
      <c r="B240" s="15" t="s">
        <v>1142</v>
      </c>
      <c r="C240" s="15" t="s">
        <v>508</v>
      </c>
      <c r="E240" s="54" t="n">
        <f aca="false">SUM(F240:ES240)</f>
        <v>81222.4477216454</v>
      </c>
      <c r="F240" s="48" t="n">
        <f aca="false">(V_SegV+V_ComV)*F$227</f>
        <v>404.166666666667</v>
      </c>
      <c r="G240" s="48" t="n">
        <f aca="false">(V_SegV+V_ComV)*G$227</f>
        <v>404.166666666667</v>
      </c>
      <c r="H240" s="48" t="n">
        <f aca="false">(V_SegV+V_ComV)*H$227</f>
        <v>404.166666666667</v>
      </c>
      <c r="I240" s="48" t="n">
        <f aca="false">(V_SegV+V_ComV)*I$227</f>
        <v>404.166666666667</v>
      </c>
      <c r="J240" s="48" t="n">
        <f aca="false">(V_SegV+V_ComV)*J$227</f>
        <v>404.166666666667</v>
      </c>
      <c r="K240" s="48" t="n">
        <f aca="false">(V_SegV+V_ComV)*K$227</f>
        <v>404.166666666667</v>
      </c>
      <c r="L240" s="48" t="n">
        <f aca="false">(V_SegV+V_ComV)*L$227</f>
        <v>404.166666666667</v>
      </c>
      <c r="M240" s="48" t="n">
        <f aca="false">(V_SegV+V_ComV)*M$227</f>
        <v>404.166666666667</v>
      </c>
      <c r="N240" s="48" t="n">
        <f aca="false">(V_SegV+V_ComV)*N$227</f>
        <v>404.166666666667</v>
      </c>
      <c r="O240" s="48" t="n">
        <f aca="false">(V_SegV+V_ComV)*O$227</f>
        <v>404.166666666667</v>
      </c>
      <c r="P240" s="48" t="n">
        <f aca="false">(V_SegV+V_ComV)*P$227</f>
        <v>404.166666666667</v>
      </c>
      <c r="Q240" s="48" t="n">
        <f aca="false">(V_SegV+V_ComV)*Q$227</f>
        <v>404.166666666667</v>
      </c>
      <c r="R240" s="48" t="n">
        <f aca="false">(V_SegV+V_ComV)*R$227</f>
        <v>515.1</v>
      </c>
      <c r="S240" s="48" t="n">
        <f aca="false">(V_SegV+V_ComV)*S$227</f>
        <v>515.1</v>
      </c>
      <c r="T240" s="48" t="n">
        <f aca="false">(V_SegV+V_ComV)*T$227</f>
        <v>515.1</v>
      </c>
      <c r="U240" s="48" t="n">
        <f aca="false">(V_SegV+V_ComV)*U$227</f>
        <v>515.1</v>
      </c>
      <c r="V240" s="48" t="n">
        <f aca="false">(V_SegV+V_ComV)*V$227</f>
        <v>515.1</v>
      </c>
      <c r="W240" s="48" t="n">
        <f aca="false">(V_SegV+V_ComV)*W$227</f>
        <v>515.1</v>
      </c>
      <c r="X240" s="48" t="n">
        <f aca="false">(V_SegV+V_ComV)*X$227</f>
        <v>515.1</v>
      </c>
      <c r="Y240" s="48" t="n">
        <f aca="false">(V_SegV+V_ComV)*Y$227</f>
        <v>515.1</v>
      </c>
      <c r="Z240" s="48" t="n">
        <f aca="false">(V_SegV+V_ComV)*Z$227</f>
        <v>515.1</v>
      </c>
      <c r="AA240" s="48" t="n">
        <f aca="false">(V_SegV+V_ComV)*AA$227</f>
        <v>515.1</v>
      </c>
      <c r="AB240" s="48" t="n">
        <f aca="false">(V_SegV+V_ComV)*AB$227</f>
        <v>515.1</v>
      </c>
      <c r="AC240" s="48" t="n">
        <f aca="false">(V_SegV+V_ComV)*AC$227</f>
        <v>515.1</v>
      </c>
      <c r="AD240" s="48" t="n">
        <f aca="false">(V_SegV+V_ComV)*AD$227</f>
        <v>628.211583333333</v>
      </c>
      <c r="AE240" s="48" t="n">
        <f aca="false">(V_SegV+V_ComV)*AE$227</f>
        <v>628.211583333333</v>
      </c>
      <c r="AF240" s="48" t="n">
        <f aca="false">(V_SegV+V_ComV)*AF$227</f>
        <v>628.211583333333</v>
      </c>
      <c r="AG240" s="48" t="n">
        <f aca="false">(V_SegV+V_ComV)*AG$227</f>
        <v>628.211583333333</v>
      </c>
      <c r="AH240" s="48" t="n">
        <f aca="false">(V_SegV+V_ComV)*AH$227</f>
        <v>628.211583333333</v>
      </c>
      <c r="AI240" s="48" t="n">
        <f aca="false">(V_SegV+V_ComV)*AI$227</f>
        <v>628.211583333333</v>
      </c>
      <c r="AJ240" s="48" t="n">
        <f aca="false">(V_SegV+V_ComV)*AJ$227</f>
        <v>628.211583333333</v>
      </c>
      <c r="AK240" s="48" t="n">
        <f aca="false">(V_SegV+V_ComV)*AK$227</f>
        <v>628.211583333333</v>
      </c>
      <c r="AL240" s="48" t="n">
        <f aca="false">(V_SegV+V_ComV)*AL$227</f>
        <v>628.211583333333</v>
      </c>
      <c r="AM240" s="48" t="n">
        <f aca="false">(V_SegV+V_ComV)*AM$227</f>
        <v>628.211583333333</v>
      </c>
      <c r="AN240" s="48" t="n">
        <f aca="false">(V_SegV+V_ComV)*AN$227</f>
        <v>628.211583333333</v>
      </c>
      <c r="AO240" s="48" t="n">
        <f aca="false">(V_SegV+V_ComV)*AO$227</f>
        <v>628.211583333333</v>
      </c>
      <c r="AP240" s="48" t="n">
        <f aca="false">(V_SegV+V_ComV)*AP$227</f>
        <v>723.7864525</v>
      </c>
      <c r="AQ240" s="48" t="n">
        <f aca="false">(V_SegV+V_ComV)*AQ$227</f>
        <v>723.7864525</v>
      </c>
      <c r="AR240" s="48" t="n">
        <f aca="false">(V_SegV+V_ComV)*AR$227</f>
        <v>723.7864525</v>
      </c>
      <c r="AS240" s="48" t="n">
        <f aca="false">(V_SegV+V_ComV)*AS$227</f>
        <v>723.7864525</v>
      </c>
      <c r="AT240" s="48" t="n">
        <f aca="false">(V_SegV+V_ComV)*AT$227</f>
        <v>723.7864525</v>
      </c>
      <c r="AU240" s="48" t="n">
        <f aca="false">(V_SegV+V_ComV)*AU$227</f>
        <v>723.7864525</v>
      </c>
      <c r="AV240" s="48" t="n">
        <f aca="false">(V_SegV+V_ComV)*AV$227</f>
        <v>723.7864525</v>
      </c>
      <c r="AW240" s="48" t="n">
        <f aca="false">(V_SegV+V_ComV)*AW$227</f>
        <v>723.7864525</v>
      </c>
      <c r="AX240" s="48" t="n">
        <f aca="false">(V_SegV+V_ComV)*AX$227</f>
        <v>723.7864525</v>
      </c>
      <c r="AY240" s="48" t="n">
        <f aca="false">(V_SegV+V_ComV)*AY$227</f>
        <v>723.7864525</v>
      </c>
      <c r="AZ240" s="48" t="n">
        <f aca="false">(V_SegV+V_ComV)*AZ$227</f>
        <v>723.7864525</v>
      </c>
      <c r="BA240" s="48" t="n">
        <f aca="false">(V_SegV+V_ComV)*BA$227</f>
        <v>723.7864525</v>
      </c>
      <c r="BB240" s="48" t="n">
        <f aca="false">(V_SegV+V_ComV)*BB$227</f>
        <v>731.024317025</v>
      </c>
      <c r="BC240" s="48" t="n">
        <f aca="false">(V_SegV+V_ComV)*BC$227</f>
        <v>731.024317025</v>
      </c>
      <c r="BD240" s="48" t="n">
        <f aca="false">(V_SegV+V_ComV)*BD$227</f>
        <v>731.024317025</v>
      </c>
      <c r="BE240" s="48" t="n">
        <f aca="false">(V_SegV+V_ComV)*BE$227</f>
        <v>731.024317025</v>
      </c>
      <c r="BF240" s="48" t="n">
        <f aca="false">(V_SegV+V_ComV)*BF$227</f>
        <v>731.024317025</v>
      </c>
      <c r="BG240" s="48" t="n">
        <f aca="false">(V_SegV+V_ComV)*BG$227</f>
        <v>731.024317025</v>
      </c>
      <c r="BH240" s="48" t="n">
        <f aca="false">(V_SegV+V_ComV)*BH$227</f>
        <v>731.024317025</v>
      </c>
      <c r="BI240" s="48" t="n">
        <f aca="false">(V_SegV+V_ComV)*BI$227</f>
        <v>731.024317025</v>
      </c>
      <c r="BJ240" s="48" t="n">
        <f aca="false">(V_SegV+V_ComV)*BJ$227</f>
        <v>731.024317025</v>
      </c>
      <c r="BK240" s="48" t="n">
        <f aca="false">(V_SegV+V_ComV)*BK$227</f>
        <v>731.024317025</v>
      </c>
      <c r="BL240" s="48" t="n">
        <f aca="false">(V_SegV+V_ComV)*BL$227</f>
        <v>731.024317025</v>
      </c>
      <c r="BM240" s="48" t="n">
        <f aca="false">(V_SegV+V_ComV)*BM$227</f>
        <v>731.024317025</v>
      </c>
      <c r="BN240" s="48" t="n">
        <f aca="false">(V_SegV+V_ComV)*BN$227</f>
        <v>738.33456019525</v>
      </c>
      <c r="BO240" s="48" t="n">
        <f aca="false">(V_SegV+V_ComV)*BO$227</f>
        <v>738.33456019525</v>
      </c>
      <c r="BP240" s="48" t="n">
        <f aca="false">(V_SegV+V_ComV)*BP$227</f>
        <v>738.33456019525</v>
      </c>
      <c r="BQ240" s="48" t="n">
        <f aca="false">(V_SegV+V_ComV)*BQ$227</f>
        <v>738.33456019525</v>
      </c>
      <c r="BR240" s="48" t="n">
        <f aca="false">(V_SegV+V_ComV)*BR$227</f>
        <v>738.33456019525</v>
      </c>
      <c r="BS240" s="48" t="n">
        <f aca="false">(V_SegV+V_ComV)*BS$227</f>
        <v>738.33456019525</v>
      </c>
      <c r="BT240" s="48" t="n">
        <f aca="false">(V_SegV+V_ComV)*BT$227</f>
        <v>738.33456019525</v>
      </c>
      <c r="BU240" s="48" t="n">
        <f aca="false">(V_SegV+V_ComV)*BU$227</f>
        <v>738.33456019525</v>
      </c>
      <c r="BV240" s="48" t="n">
        <f aca="false">(V_SegV+V_ComV)*BV$227</f>
        <v>738.33456019525</v>
      </c>
      <c r="BW240" s="48" t="n">
        <f aca="false">(V_SegV+V_ComV)*BW$227</f>
        <v>738.33456019525</v>
      </c>
      <c r="BX240" s="48" t="n">
        <f aca="false">(V_SegV+V_ComV)*BX$227</f>
        <v>738.33456019525</v>
      </c>
      <c r="BY240" s="48" t="n">
        <f aca="false">(V_SegV+V_ComV)*BY$227</f>
        <v>738.33456019525</v>
      </c>
      <c r="BZ240" s="48" t="n">
        <f aca="false">(V_SegV+V_ComV)*BZ$227</f>
        <v>745.717905797203</v>
      </c>
      <c r="CA240" s="48" t="n">
        <f aca="false">(V_SegV+V_ComV)*CA$227</f>
        <v>745.717905797203</v>
      </c>
      <c r="CB240" s="48" t="n">
        <f aca="false">(V_SegV+V_ComV)*CB$227</f>
        <v>745.717905797203</v>
      </c>
      <c r="CC240" s="48" t="n">
        <f aca="false">(V_SegV+V_ComV)*CC$227</f>
        <v>745.717905797203</v>
      </c>
      <c r="CD240" s="48" t="n">
        <f aca="false">(V_SegV+V_ComV)*CD$227</f>
        <v>745.717905797203</v>
      </c>
      <c r="CE240" s="48" t="n">
        <f aca="false">(V_SegV+V_ComV)*CE$227</f>
        <v>745.717905797203</v>
      </c>
      <c r="CF240" s="48" t="n">
        <f aca="false">(V_SegV+V_ComV)*CF$227</f>
        <v>745.717905797203</v>
      </c>
      <c r="CG240" s="48" t="n">
        <f aca="false">(V_SegV+V_ComV)*CG$227</f>
        <v>745.717905797203</v>
      </c>
      <c r="CH240" s="48" t="n">
        <f aca="false">(V_SegV+V_ComV)*CH$227</f>
        <v>745.717905797203</v>
      </c>
      <c r="CI240" s="48" t="n">
        <f aca="false">(V_SegV+V_ComV)*CI$227</f>
        <v>745.717905797203</v>
      </c>
      <c r="CJ240" s="48" t="n">
        <f aca="false">(V_SegV+V_ComV)*CJ$227</f>
        <v>745.717905797203</v>
      </c>
      <c r="CK240" s="48" t="n">
        <f aca="false">(V_SegV+V_ComV)*CK$227</f>
        <v>745.717905797203</v>
      </c>
      <c r="CL240" s="48" t="n">
        <f aca="false">(V_SegV+V_ComV)*CL$227</f>
        <v>753.175084855174</v>
      </c>
      <c r="CM240" s="48" t="n">
        <f aca="false">(V_SegV+V_ComV)*CM$227</f>
        <v>753.175084855174</v>
      </c>
      <c r="CN240" s="48" t="n">
        <f aca="false">(V_SegV+V_ComV)*CN$227</f>
        <v>753.175084855174</v>
      </c>
      <c r="CO240" s="48" t="n">
        <f aca="false">(V_SegV+V_ComV)*CO$227</f>
        <v>753.175084855174</v>
      </c>
      <c r="CP240" s="48" t="n">
        <f aca="false">(V_SegV+V_ComV)*CP$227</f>
        <v>753.175084855174</v>
      </c>
      <c r="CQ240" s="48" t="n">
        <f aca="false">(V_SegV+V_ComV)*CQ$227</f>
        <v>753.175084855174</v>
      </c>
      <c r="CR240" s="48" t="n">
        <f aca="false">(V_SegV+V_ComV)*CR$227</f>
        <v>753.175084855174</v>
      </c>
      <c r="CS240" s="48" t="n">
        <f aca="false">(V_SegV+V_ComV)*CS$227</f>
        <v>753.175084855174</v>
      </c>
      <c r="CT240" s="48" t="n">
        <f aca="false">(V_SegV+V_ComV)*CT$227</f>
        <v>753.175084855174</v>
      </c>
      <c r="CU240" s="48" t="n">
        <f aca="false">(V_SegV+V_ComV)*CU$227</f>
        <v>753.175084855174</v>
      </c>
      <c r="CV240" s="48" t="n">
        <f aca="false">(V_SegV+V_ComV)*CV$227</f>
        <v>753.175084855174</v>
      </c>
      <c r="CW240" s="48" t="n">
        <f aca="false">(V_SegV+V_ComV)*CW$227</f>
        <v>753.175084855174</v>
      </c>
      <c r="CX240" s="48" t="n">
        <f aca="false">(V_SegV+V_ComV)*CX$227</f>
        <v>760.706835703726</v>
      </c>
      <c r="CY240" s="48" t="n">
        <f aca="false">(V_SegV+V_ComV)*CY$227</f>
        <v>760.706835703726</v>
      </c>
      <c r="CZ240" s="48" t="n">
        <f aca="false">(V_SegV+V_ComV)*CZ$227</f>
        <v>760.706835703726</v>
      </c>
      <c r="DA240" s="48" t="n">
        <f aca="false">(V_SegV+V_ComV)*DA$227</f>
        <v>760.706835703726</v>
      </c>
      <c r="DB240" s="48" t="n">
        <f aca="false">(V_SegV+V_ComV)*DB$227</f>
        <v>760.706835703726</v>
      </c>
      <c r="DC240" s="48" t="n">
        <f aca="false">(V_SegV+V_ComV)*DC$227</f>
        <v>760.706835703726</v>
      </c>
      <c r="DD240" s="48" t="n">
        <f aca="false">(V_SegV+V_ComV)*DD$227</f>
        <v>760.706835703726</v>
      </c>
      <c r="DE240" s="48" t="n">
        <f aca="false">(V_SegV+V_ComV)*DE$227</f>
        <v>760.706835703726</v>
      </c>
      <c r="DF240" s="48" t="n">
        <f aca="false">(V_SegV+V_ComV)*DF$227</f>
        <v>760.706835703726</v>
      </c>
      <c r="DG240" s="48" t="n">
        <f aca="false">(V_SegV+V_ComV)*DG$227</f>
        <v>760.706835703726</v>
      </c>
      <c r="DH240" s="48" t="n">
        <f aca="false">(V_SegV+V_ComV)*DH$227</f>
        <v>760.706835703726</v>
      </c>
      <c r="DI240" s="48" t="n">
        <f aca="false">(V_SegV+V_ComV)*DI$227</f>
        <v>760.706835703726</v>
      </c>
      <c r="DJ240" s="48" t="n">
        <f aca="false">(V_SegV+V_ComV)*DJ$227</f>
        <v>768.313904060764</v>
      </c>
      <c r="DK240" s="48" t="n">
        <f aca="false">(V_SegV+V_ComV)*DK$227</f>
        <v>768.313904060764</v>
      </c>
      <c r="DL240" s="48" t="n">
        <f aca="false">(V_SegV+V_ComV)*DL$227</f>
        <v>768.313904060764</v>
      </c>
      <c r="DM240" s="48" t="n">
        <f aca="false">(V_SegV+V_ComV)*DM$227</f>
        <v>768.313904060764</v>
      </c>
      <c r="DN240" s="48" t="n">
        <f aca="false">(V_SegV+V_ComV)*DN$227</f>
        <v>768.313904060764</v>
      </c>
      <c r="DO240" s="48" t="n">
        <f aca="false">(V_SegV+V_ComV)*DO$227</f>
        <v>768.313904060764</v>
      </c>
      <c r="DP240" s="48" t="n">
        <f aca="false">(V_SegV+V_ComV)*DP$227</f>
        <v>768.313904060764</v>
      </c>
      <c r="DQ240" s="48" t="n">
        <f aca="false">(V_SegV+V_ComV)*DQ$227</f>
        <v>768.313904060764</v>
      </c>
      <c r="DR240" s="48" t="n">
        <f aca="false">(V_SegV+V_ComV)*DR$227</f>
        <v>768.313904060764</v>
      </c>
      <c r="DS240" s="48" t="n">
        <f aca="false">(V_SegV+V_ComV)*DS$227</f>
        <v>768.313904060764</v>
      </c>
      <c r="DT240" s="48" t="n">
        <f aca="false">(V_SegV+V_ComV)*DT$227</f>
        <v>768.313904060764</v>
      </c>
      <c r="DU240" s="48" t="n">
        <f aca="false">(V_SegV+V_ComV)*DU$227</f>
        <v>768.313904060764</v>
      </c>
      <c r="DV240" s="48" t="n">
        <f aca="false">(V_SegV+V_ComV)*DV$227</f>
        <v>0</v>
      </c>
      <c r="DW240" s="48" t="n">
        <f aca="false">(V_SegV+V_ComV)*DW$227</f>
        <v>0</v>
      </c>
      <c r="DX240" s="48" t="n">
        <f aca="false">(V_SegV+V_ComV)*DX$227</f>
        <v>0</v>
      </c>
      <c r="DY240" s="48" t="n">
        <f aca="false">(V_SegV+V_ComV)*DY$227</f>
        <v>0</v>
      </c>
      <c r="DZ240" s="48" t="n">
        <f aca="false">(V_SegV+V_ComV)*DZ$227</f>
        <v>0</v>
      </c>
      <c r="EA240" s="48" t="n">
        <f aca="false">(V_SegV+V_ComV)*EA$227</f>
        <v>0</v>
      </c>
      <c r="EB240" s="48" t="n">
        <f aca="false">(V_SegV+V_ComV)*EB$227</f>
        <v>0</v>
      </c>
      <c r="EC240" s="48" t="n">
        <f aca="false">(V_SegV+V_ComV)*EC$227</f>
        <v>0</v>
      </c>
      <c r="ED240" s="48" t="n">
        <f aca="false">(V_SegV+V_ComV)*ED$227</f>
        <v>0</v>
      </c>
      <c r="EE240" s="48" t="n">
        <f aca="false">(V_SegV+V_ComV)*EE$227</f>
        <v>0</v>
      </c>
      <c r="EF240" s="48" t="n">
        <f aca="false">(V_SegV+V_ComV)*EF$227</f>
        <v>0</v>
      </c>
      <c r="EG240" s="48" t="n">
        <f aca="false">(V_SegV+V_ComV)*EG$227</f>
        <v>0</v>
      </c>
      <c r="EH240" s="48" t="n">
        <f aca="false">(V_SegV+V_ComV)*EH$227</f>
        <v>0</v>
      </c>
      <c r="EI240" s="48" t="n">
        <f aca="false">(V_SegV+V_ComV)*EI$227</f>
        <v>0</v>
      </c>
      <c r="EJ240" s="48" t="n">
        <f aca="false">(V_SegV+V_ComV)*EJ$227</f>
        <v>0</v>
      </c>
      <c r="EK240" s="48" t="n">
        <f aca="false">(V_SegV+V_ComV)*EK$227</f>
        <v>0</v>
      </c>
      <c r="EL240" s="48" t="n">
        <f aca="false">(V_SegV+V_ComV)*EL$227</f>
        <v>0</v>
      </c>
      <c r="EM240" s="48" t="n">
        <f aca="false">(V_SegV+V_ComV)*EM$227</f>
        <v>0</v>
      </c>
      <c r="EN240" s="48" t="n">
        <f aca="false">(V_SegV+V_ComV)*EN$227</f>
        <v>0</v>
      </c>
      <c r="EO240" s="48" t="n">
        <f aca="false">(V_SegV+V_ComV)*EO$227</f>
        <v>0</v>
      </c>
      <c r="EP240" s="48" t="n">
        <f aca="false">(V_SegV+V_ComV)*EP$227</f>
        <v>0</v>
      </c>
      <c r="EQ240" s="48" t="n">
        <f aca="false">(V_SegV+V_ComV)*EQ$227</f>
        <v>0</v>
      </c>
      <c r="ER240" s="48" t="n">
        <f aca="false">(V_SegV+V_ComV)*ER$227</f>
        <v>0</v>
      </c>
      <c r="ES240" s="48" t="n">
        <f aca="false">(V_SegV+V_ComV)*ES$227</f>
        <v>0</v>
      </c>
    </row>
    <row r="241" customFormat="false" ht="15" hidden="false" customHeight="false" outlineLevel="0" collapsed="false">
      <c r="A241" s="11" t="s">
        <v>1363</v>
      </c>
      <c r="B241" s="15" t="s">
        <v>1011</v>
      </c>
      <c r="C241" s="15" t="s">
        <v>508</v>
      </c>
      <c r="E241" s="54" t="n">
        <f aca="false">SUM(F241:ES241)</f>
        <v>812224.477216454</v>
      </c>
      <c r="F241" s="48" t="n">
        <f aca="false">V_Trib*F$227</f>
        <v>4041.66666666667</v>
      </c>
      <c r="G241" s="48" t="n">
        <f aca="false">V_Trib*G$227</f>
        <v>4041.66666666667</v>
      </c>
      <c r="H241" s="48" t="n">
        <f aca="false">V_Trib*H$227</f>
        <v>4041.66666666667</v>
      </c>
      <c r="I241" s="48" t="n">
        <f aca="false">V_Trib*I$227</f>
        <v>4041.66666666667</v>
      </c>
      <c r="J241" s="48" t="n">
        <f aca="false">V_Trib*J$227</f>
        <v>4041.66666666667</v>
      </c>
      <c r="K241" s="48" t="n">
        <f aca="false">V_Trib*K$227</f>
        <v>4041.66666666667</v>
      </c>
      <c r="L241" s="48" t="n">
        <f aca="false">V_Trib*L$227</f>
        <v>4041.66666666667</v>
      </c>
      <c r="M241" s="48" t="n">
        <f aca="false">V_Trib*M$227</f>
        <v>4041.66666666667</v>
      </c>
      <c r="N241" s="48" t="n">
        <f aca="false">V_Trib*N$227</f>
        <v>4041.66666666667</v>
      </c>
      <c r="O241" s="48" t="n">
        <f aca="false">V_Trib*O$227</f>
        <v>4041.66666666667</v>
      </c>
      <c r="P241" s="48" t="n">
        <f aca="false">V_Trib*P$227</f>
        <v>4041.66666666667</v>
      </c>
      <c r="Q241" s="48" t="n">
        <f aca="false">V_Trib*Q$227</f>
        <v>4041.66666666667</v>
      </c>
      <c r="R241" s="48" t="n">
        <f aca="false">V_Trib*R$227</f>
        <v>5151</v>
      </c>
      <c r="S241" s="48" t="n">
        <f aca="false">V_Trib*S$227</f>
        <v>5151</v>
      </c>
      <c r="T241" s="48" t="n">
        <f aca="false">V_Trib*T$227</f>
        <v>5151</v>
      </c>
      <c r="U241" s="48" t="n">
        <f aca="false">V_Trib*U$227</f>
        <v>5151</v>
      </c>
      <c r="V241" s="48" t="n">
        <f aca="false">V_Trib*V$227</f>
        <v>5151</v>
      </c>
      <c r="W241" s="48" t="n">
        <f aca="false">V_Trib*W$227</f>
        <v>5151</v>
      </c>
      <c r="X241" s="48" t="n">
        <f aca="false">V_Trib*X$227</f>
        <v>5151</v>
      </c>
      <c r="Y241" s="48" t="n">
        <f aca="false">V_Trib*Y$227</f>
        <v>5151</v>
      </c>
      <c r="Z241" s="48" t="n">
        <f aca="false">V_Trib*Z$227</f>
        <v>5151</v>
      </c>
      <c r="AA241" s="48" t="n">
        <f aca="false">V_Trib*AA$227</f>
        <v>5151</v>
      </c>
      <c r="AB241" s="48" t="n">
        <f aca="false">V_Trib*AB$227</f>
        <v>5151</v>
      </c>
      <c r="AC241" s="48" t="n">
        <f aca="false">V_Trib*AC$227</f>
        <v>5151</v>
      </c>
      <c r="AD241" s="48" t="n">
        <f aca="false">V_Trib*AD$227</f>
        <v>6282.11583333333</v>
      </c>
      <c r="AE241" s="48" t="n">
        <f aca="false">V_Trib*AE$227</f>
        <v>6282.11583333333</v>
      </c>
      <c r="AF241" s="48" t="n">
        <f aca="false">V_Trib*AF$227</f>
        <v>6282.11583333333</v>
      </c>
      <c r="AG241" s="48" t="n">
        <f aca="false">V_Trib*AG$227</f>
        <v>6282.11583333333</v>
      </c>
      <c r="AH241" s="48" t="n">
        <f aca="false">V_Trib*AH$227</f>
        <v>6282.11583333333</v>
      </c>
      <c r="AI241" s="48" t="n">
        <f aca="false">V_Trib*AI$227</f>
        <v>6282.11583333333</v>
      </c>
      <c r="AJ241" s="48" t="n">
        <f aca="false">V_Trib*AJ$227</f>
        <v>6282.11583333333</v>
      </c>
      <c r="AK241" s="48" t="n">
        <f aca="false">V_Trib*AK$227</f>
        <v>6282.11583333333</v>
      </c>
      <c r="AL241" s="48" t="n">
        <f aca="false">V_Trib*AL$227</f>
        <v>6282.11583333333</v>
      </c>
      <c r="AM241" s="48" t="n">
        <f aca="false">V_Trib*AM$227</f>
        <v>6282.11583333333</v>
      </c>
      <c r="AN241" s="48" t="n">
        <f aca="false">V_Trib*AN$227</f>
        <v>6282.11583333333</v>
      </c>
      <c r="AO241" s="48" t="n">
        <f aca="false">V_Trib*AO$227</f>
        <v>6282.11583333333</v>
      </c>
      <c r="AP241" s="48" t="n">
        <f aca="false">V_Trib*AP$227</f>
        <v>7237.864525</v>
      </c>
      <c r="AQ241" s="48" t="n">
        <f aca="false">V_Trib*AQ$227</f>
        <v>7237.864525</v>
      </c>
      <c r="AR241" s="48" t="n">
        <f aca="false">V_Trib*AR$227</f>
        <v>7237.864525</v>
      </c>
      <c r="AS241" s="48" t="n">
        <f aca="false">V_Trib*AS$227</f>
        <v>7237.864525</v>
      </c>
      <c r="AT241" s="48" t="n">
        <f aca="false">V_Trib*AT$227</f>
        <v>7237.864525</v>
      </c>
      <c r="AU241" s="48" t="n">
        <f aca="false">V_Trib*AU$227</f>
        <v>7237.864525</v>
      </c>
      <c r="AV241" s="48" t="n">
        <f aca="false">V_Trib*AV$227</f>
        <v>7237.864525</v>
      </c>
      <c r="AW241" s="48" t="n">
        <f aca="false">V_Trib*AW$227</f>
        <v>7237.864525</v>
      </c>
      <c r="AX241" s="48" t="n">
        <f aca="false">V_Trib*AX$227</f>
        <v>7237.864525</v>
      </c>
      <c r="AY241" s="48" t="n">
        <f aca="false">V_Trib*AY$227</f>
        <v>7237.864525</v>
      </c>
      <c r="AZ241" s="48" t="n">
        <f aca="false">V_Trib*AZ$227</f>
        <v>7237.864525</v>
      </c>
      <c r="BA241" s="48" t="n">
        <f aca="false">V_Trib*BA$227</f>
        <v>7237.864525</v>
      </c>
      <c r="BB241" s="48" t="n">
        <f aca="false">V_Trib*BB$227</f>
        <v>7310.24317025</v>
      </c>
      <c r="BC241" s="48" t="n">
        <f aca="false">V_Trib*BC$227</f>
        <v>7310.24317025</v>
      </c>
      <c r="BD241" s="48" t="n">
        <f aca="false">V_Trib*BD$227</f>
        <v>7310.24317025</v>
      </c>
      <c r="BE241" s="48" t="n">
        <f aca="false">V_Trib*BE$227</f>
        <v>7310.24317025</v>
      </c>
      <c r="BF241" s="48" t="n">
        <f aca="false">V_Trib*BF$227</f>
        <v>7310.24317025</v>
      </c>
      <c r="BG241" s="48" t="n">
        <f aca="false">V_Trib*BG$227</f>
        <v>7310.24317025</v>
      </c>
      <c r="BH241" s="48" t="n">
        <f aca="false">V_Trib*BH$227</f>
        <v>7310.24317025</v>
      </c>
      <c r="BI241" s="48" t="n">
        <f aca="false">V_Trib*BI$227</f>
        <v>7310.24317025</v>
      </c>
      <c r="BJ241" s="48" t="n">
        <f aca="false">V_Trib*BJ$227</f>
        <v>7310.24317025</v>
      </c>
      <c r="BK241" s="48" t="n">
        <f aca="false">V_Trib*BK$227</f>
        <v>7310.24317025</v>
      </c>
      <c r="BL241" s="48" t="n">
        <f aca="false">V_Trib*BL$227</f>
        <v>7310.24317025</v>
      </c>
      <c r="BM241" s="48" t="n">
        <f aca="false">V_Trib*BM$227</f>
        <v>7310.24317025</v>
      </c>
      <c r="BN241" s="48" t="n">
        <f aca="false">V_Trib*BN$227</f>
        <v>7383.3456019525</v>
      </c>
      <c r="BO241" s="48" t="n">
        <f aca="false">V_Trib*BO$227</f>
        <v>7383.3456019525</v>
      </c>
      <c r="BP241" s="48" t="n">
        <f aca="false">V_Trib*BP$227</f>
        <v>7383.3456019525</v>
      </c>
      <c r="BQ241" s="48" t="n">
        <f aca="false">V_Trib*BQ$227</f>
        <v>7383.3456019525</v>
      </c>
      <c r="BR241" s="48" t="n">
        <f aca="false">V_Trib*BR$227</f>
        <v>7383.3456019525</v>
      </c>
      <c r="BS241" s="48" t="n">
        <f aca="false">V_Trib*BS$227</f>
        <v>7383.3456019525</v>
      </c>
      <c r="BT241" s="48" t="n">
        <f aca="false">V_Trib*BT$227</f>
        <v>7383.3456019525</v>
      </c>
      <c r="BU241" s="48" t="n">
        <f aca="false">V_Trib*BU$227</f>
        <v>7383.3456019525</v>
      </c>
      <c r="BV241" s="48" t="n">
        <f aca="false">V_Trib*BV$227</f>
        <v>7383.3456019525</v>
      </c>
      <c r="BW241" s="48" t="n">
        <f aca="false">V_Trib*BW$227</f>
        <v>7383.3456019525</v>
      </c>
      <c r="BX241" s="48" t="n">
        <f aca="false">V_Trib*BX$227</f>
        <v>7383.3456019525</v>
      </c>
      <c r="BY241" s="48" t="n">
        <f aca="false">V_Trib*BY$227</f>
        <v>7383.3456019525</v>
      </c>
      <c r="BZ241" s="48" t="n">
        <f aca="false">V_Trib*BZ$227</f>
        <v>7457.17905797203</v>
      </c>
      <c r="CA241" s="48" t="n">
        <f aca="false">V_Trib*CA$227</f>
        <v>7457.17905797203</v>
      </c>
      <c r="CB241" s="48" t="n">
        <f aca="false">V_Trib*CB$227</f>
        <v>7457.17905797203</v>
      </c>
      <c r="CC241" s="48" t="n">
        <f aca="false">V_Trib*CC$227</f>
        <v>7457.17905797203</v>
      </c>
      <c r="CD241" s="48" t="n">
        <f aca="false">V_Trib*CD$227</f>
        <v>7457.17905797203</v>
      </c>
      <c r="CE241" s="48" t="n">
        <f aca="false">V_Trib*CE$227</f>
        <v>7457.17905797203</v>
      </c>
      <c r="CF241" s="48" t="n">
        <f aca="false">V_Trib*CF$227</f>
        <v>7457.17905797203</v>
      </c>
      <c r="CG241" s="48" t="n">
        <f aca="false">V_Trib*CG$227</f>
        <v>7457.17905797203</v>
      </c>
      <c r="CH241" s="48" t="n">
        <f aca="false">V_Trib*CH$227</f>
        <v>7457.17905797203</v>
      </c>
      <c r="CI241" s="48" t="n">
        <f aca="false">V_Trib*CI$227</f>
        <v>7457.17905797203</v>
      </c>
      <c r="CJ241" s="48" t="n">
        <f aca="false">V_Trib*CJ$227</f>
        <v>7457.17905797203</v>
      </c>
      <c r="CK241" s="48" t="n">
        <f aca="false">V_Trib*CK$227</f>
        <v>7457.17905797203</v>
      </c>
      <c r="CL241" s="48" t="n">
        <f aca="false">V_Trib*CL$227</f>
        <v>7531.75084855175</v>
      </c>
      <c r="CM241" s="48" t="n">
        <f aca="false">V_Trib*CM$227</f>
        <v>7531.75084855175</v>
      </c>
      <c r="CN241" s="48" t="n">
        <f aca="false">V_Trib*CN$227</f>
        <v>7531.75084855175</v>
      </c>
      <c r="CO241" s="48" t="n">
        <f aca="false">V_Trib*CO$227</f>
        <v>7531.75084855175</v>
      </c>
      <c r="CP241" s="48" t="n">
        <f aca="false">V_Trib*CP$227</f>
        <v>7531.75084855175</v>
      </c>
      <c r="CQ241" s="48" t="n">
        <f aca="false">V_Trib*CQ$227</f>
        <v>7531.75084855175</v>
      </c>
      <c r="CR241" s="48" t="n">
        <f aca="false">V_Trib*CR$227</f>
        <v>7531.75084855175</v>
      </c>
      <c r="CS241" s="48" t="n">
        <f aca="false">V_Trib*CS$227</f>
        <v>7531.75084855175</v>
      </c>
      <c r="CT241" s="48" t="n">
        <f aca="false">V_Trib*CT$227</f>
        <v>7531.75084855175</v>
      </c>
      <c r="CU241" s="48" t="n">
        <f aca="false">V_Trib*CU$227</f>
        <v>7531.75084855175</v>
      </c>
      <c r="CV241" s="48" t="n">
        <f aca="false">V_Trib*CV$227</f>
        <v>7531.75084855175</v>
      </c>
      <c r="CW241" s="48" t="n">
        <f aca="false">V_Trib*CW$227</f>
        <v>7531.75084855175</v>
      </c>
      <c r="CX241" s="48" t="n">
        <f aca="false">V_Trib*CX$227</f>
        <v>7607.06835703726</v>
      </c>
      <c r="CY241" s="48" t="n">
        <f aca="false">V_Trib*CY$227</f>
        <v>7607.06835703726</v>
      </c>
      <c r="CZ241" s="48" t="n">
        <f aca="false">V_Trib*CZ$227</f>
        <v>7607.06835703726</v>
      </c>
      <c r="DA241" s="48" t="n">
        <f aca="false">V_Trib*DA$227</f>
        <v>7607.06835703726</v>
      </c>
      <c r="DB241" s="48" t="n">
        <f aca="false">V_Trib*DB$227</f>
        <v>7607.06835703726</v>
      </c>
      <c r="DC241" s="48" t="n">
        <f aca="false">V_Trib*DC$227</f>
        <v>7607.06835703726</v>
      </c>
      <c r="DD241" s="48" t="n">
        <f aca="false">V_Trib*DD$227</f>
        <v>7607.06835703726</v>
      </c>
      <c r="DE241" s="48" t="n">
        <f aca="false">V_Trib*DE$227</f>
        <v>7607.06835703726</v>
      </c>
      <c r="DF241" s="48" t="n">
        <f aca="false">V_Trib*DF$227</f>
        <v>7607.06835703726</v>
      </c>
      <c r="DG241" s="48" t="n">
        <f aca="false">V_Trib*DG$227</f>
        <v>7607.06835703726</v>
      </c>
      <c r="DH241" s="48" t="n">
        <f aca="false">V_Trib*DH$227</f>
        <v>7607.06835703726</v>
      </c>
      <c r="DI241" s="48" t="n">
        <f aca="false">V_Trib*DI$227</f>
        <v>7607.06835703726</v>
      </c>
      <c r="DJ241" s="48" t="n">
        <f aca="false">V_Trib*DJ$227</f>
        <v>7683.13904060764</v>
      </c>
      <c r="DK241" s="48" t="n">
        <f aca="false">V_Trib*DK$227</f>
        <v>7683.13904060764</v>
      </c>
      <c r="DL241" s="48" t="n">
        <f aca="false">V_Trib*DL$227</f>
        <v>7683.13904060764</v>
      </c>
      <c r="DM241" s="48" t="n">
        <f aca="false">V_Trib*DM$227</f>
        <v>7683.13904060764</v>
      </c>
      <c r="DN241" s="48" t="n">
        <f aca="false">V_Trib*DN$227</f>
        <v>7683.13904060764</v>
      </c>
      <c r="DO241" s="48" t="n">
        <f aca="false">V_Trib*DO$227</f>
        <v>7683.13904060764</v>
      </c>
      <c r="DP241" s="48" t="n">
        <f aca="false">V_Trib*DP$227</f>
        <v>7683.13904060764</v>
      </c>
      <c r="DQ241" s="48" t="n">
        <f aca="false">V_Trib*DQ$227</f>
        <v>7683.13904060764</v>
      </c>
      <c r="DR241" s="48" t="n">
        <f aca="false">V_Trib*DR$227</f>
        <v>7683.13904060764</v>
      </c>
      <c r="DS241" s="48" t="n">
        <f aca="false">V_Trib*DS$227</f>
        <v>7683.13904060764</v>
      </c>
      <c r="DT241" s="48" t="n">
        <f aca="false">V_Trib*DT$227</f>
        <v>7683.13904060764</v>
      </c>
      <c r="DU241" s="48" t="n">
        <f aca="false">V_Trib*DU$227</f>
        <v>7683.13904060764</v>
      </c>
      <c r="DV241" s="48" t="n">
        <f aca="false">V_Trib*DV$227</f>
        <v>0</v>
      </c>
      <c r="DW241" s="48" t="n">
        <f aca="false">V_Trib*DW$227</f>
        <v>0</v>
      </c>
      <c r="DX241" s="48" t="n">
        <f aca="false">V_Trib*DX$227</f>
        <v>0</v>
      </c>
      <c r="DY241" s="48" t="n">
        <f aca="false">V_Trib*DY$227</f>
        <v>0</v>
      </c>
      <c r="DZ241" s="48" t="n">
        <f aca="false">V_Trib*DZ$227</f>
        <v>0</v>
      </c>
      <c r="EA241" s="48" t="n">
        <f aca="false">V_Trib*EA$227</f>
        <v>0</v>
      </c>
      <c r="EB241" s="48" t="n">
        <f aca="false">V_Trib*EB$227</f>
        <v>0</v>
      </c>
      <c r="EC241" s="48" t="n">
        <f aca="false">V_Trib*EC$227</f>
        <v>0</v>
      </c>
      <c r="ED241" s="48" t="n">
        <f aca="false">V_Trib*ED$227</f>
        <v>0</v>
      </c>
      <c r="EE241" s="48" t="n">
        <f aca="false">V_Trib*EE$227</f>
        <v>0</v>
      </c>
      <c r="EF241" s="48" t="n">
        <f aca="false">V_Trib*EF$227</f>
        <v>0</v>
      </c>
      <c r="EG241" s="48" t="n">
        <f aca="false">V_Trib*EG$227</f>
        <v>0</v>
      </c>
      <c r="EH241" s="48" t="n">
        <f aca="false">V_Trib*EH$227</f>
        <v>0</v>
      </c>
      <c r="EI241" s="48" t="n">
        <f aca="false">V_Trib*EI$227</f>
        <v>0</v>
      </c>
      <c r="EJ241" s="48" t="n">
        <f aca="false">V_Trib*EJ$227</f>
        <v>0</v>
      </c>
      <c r="EK241" s="48" t="n">
        <f aca="false">V_Trib*EK$227</f>
        <v>0</v>
      </c>
      <c r="EL241" s="48" t="n">
        <f aca="false">V_Trib*EL$227</f>
        <v>0</v>
      </c>
      <c r="EM241" s="48" t="n">
        <f aca="false">V_Trib*EM$227</f>
        <v>0</v>
      </c>
      <c r="EN241" s="48" t="n">
        <f aca="false">V_Trib*EN$227</f>
        <v>0</v>
      </c>
      <c r="EO241" s="48" t="n">
        <f aca="false">V_Trib*EO$227</f>
        <v>0</v>
      </c>
      <c r="EP241" s="48" t="n">
        <f aca="false">V_Trib*EP$227</f>
        <v>0</v>
      </c>
      <c r="EQ241" s="48" t="n">
        <f aca="false">V_Trib*EQ$227</f>
        <v>0</v>
      </c>
      <c r="ER241" s="48" t="n">
        <f aca="false">V_Trib*ER$227</f>
        <v>0</v>
      </c>
      <c r="ES241" s="48" t="n">
        <f aca="false">V_Trib*ES$227</f>
        <v>0</v>
      </c>
    </row>
    <row r="242" customFormat="false" ht="15" hidden="false" customHeight="false" outlineLevel="0" collapsed="false">
      <c r="A242" s="11" t="s">
        <v>1364</v>
      </c>
      <c r="B242" s="15" t="s">
        <v>1145</v>
      </c>
      <c r="C242" s="15" t="s">
        <v>508</v>
      </c>
      <c r="E242" s="54" t="n">
        <f aca="false">SUM(F242:ES242)</f>
        <v>555431.735750422</v>
      </c>
      <c r="F242" s="48" t="n">
        <f aca="false">SUMPRODUCT((FC_Clase="Producción")*((FC_Mon="PYG")*F$175+(FC_Mon&lt;&gt;"PYG"))*((1&gt;Corte)*(1&lt;=Corte+n_Ventana)*ISNUMBER(Detalle_24m!F$220:F$244)*Detalle_24m!F$220:F$244+(1-(1&gt;Corte)*(1&lt;=Corte+n_Ventana)*ISNUMBER(Detalle_24m!F$220:F$244))*FC_V*(1+FC_g)^(F$173-1)*((FC_Desde=0)*(F$172+F$171)+(FC_Desde&gt;=1)*(F$170&gt;=FC_Desde)*F$171)))</f>
        <v>4393.47821917808</v>
      </c>
      <c r="G242" s="48" t="n">
        <f aca="false">SUMPRODUCT((FC_Clase="Producción")*((FC_Mon="PYG")*G$175+(FC_Mon&lt;&gt;"PYG"))*((2&gt;Corte)*(2&lt;=Corte+n_Ventana)*ISNUMBER(Detalle_24m!G$220:G$244)*Detalle_24m!G$220:G$244+(1-(2&gt;Corte)*(2&lt;=Corte+n_Ventana)*ISNUMBER(Detalle_24m!G$220:G$244))*FC_V*(1+FC_g)^(G$173-1)*((FC_Desde=0)*(G$172+G$171)+(FC_Desde&gt;=1)*(G$170&gt;=FC_Desde)*G$171)))</f>
        <v>4393.47821917808</v>
      </c>
      <c r="H242" s="48" t="n">
        <f aca="false">SUMPRODUCT((FC_Clase="Producción")*((FC_Mon="PYG")*H$175+(FC_Mon&lt;&gt;"PYG"))*((3&gt;Corte)*(3&lt;=Corte+n_Ventana)*ISNUMBER(Detalle_24m!H$220:H$244)*Detalle_24m!H$220:H$244+(1-(3&gt;Corte)*(3&lt;=Corte+n_Ventana)*ISNUMBER(Detalle_24m!H$220:H$244))*FC_V*(1+FC_g)^(H$173-1)*((FC_Desde=0)*(H$172+H$171)+(FC_Desde&gt;=1)*(H$170&gt;=FC_Desde)*H$171)))</f>
        <v>4393.47821917808</v>
      </c>
      <c r="I242" s="48" t="n">
        <f aca="false">SUMPRODUCT((FC_Clase="Producción")*((FC_Mon="PYG")*I$175+(FC_Mon&lt;&gt;"PYG"))*((4&gt;Corte)*(4&lt;=Corte+n_Ventana)*ISNUMBER(Detalle_24m!I$220:I$244)*Detalle_24m!I$220:I$244+(1-(4&gt;Corte)*(4&lt;=Corte+n_Ventana)*ISNUMBER(Detalle_24m!I$220:I$244))*FC_V*(1+FC_g)^(I$173-1)*((FC_Desde=0)*(I$172+I$171)+(FC_Desde&gt;=1)*(I$170&gt;=FC_Desde)*I$171)))</f>
        <v>4393.47821917808</v>
      </c>
      <c r="J242" s="48" t="n">
        <f aca="false">SUMPRODUCT((FC_Clase="Producción")*((FC_Mon="PYG")*J$175+(FC_Mon&lt;&gt;"PYG"))*((5&gt;Corte)*(5&lt;=Corte+n_Ventana)*ISNUMBER(Detalle_24m!J$220:J$244)*Detalle_24m!J$220:J$244+(1-(5&gt;Corte)*(5&lt;=Corte+n_Ventana)*ISNUMBER(Detalle_24m!J$220:J$244))*FC_V*(1+FC_g)^(J$173-1)*((FC_Desde=0)*(J$172+J$171)+(FC_Desde&gt;=1)*(J$170&gt;=FC_Desde)*J$171)))</f>
        <v>4393.47821917808</v>
      </c>
      <c r="K242" s="48" t="n">
        <f aca="false">SUMPRODUCT((FC_Clase="Producción")*((FC_Mon="PYG")*K$175+(FC_Mon&lt;&gt;"PYG"))*((6&gt;Corte)*(6&lt;=Corte+n_Ventana)*ISNUMBER(Detalle_24m!K$220:K$244)*Detalle_24m!K$220:K$244+(1-(6&gt;Corte)*(6&lt;=Corte+n_Ventana)*ISNUMBER(Detalle_24m!K$220:K$244))*FC_V*(1+FC_g)^(K$173-1)*((FC_Desde=0)*(K$172+K$171)+(FC_Desde&gt;=1)*(K$170&gt;=FC_Desde)*K$171)))</f>
        <v>4393.47821917808</v>
      </c>
      <c r="L242" s="48" t="n">
        <f aca="false">SUMPRODUCT((FC_Clase="Producción")*((FC_Mon="PYG")*L$175+(FC_Mon&lt;&gt;"PYG"))*((7&gt;Corte)*(7&lt;=Corte+n_Ventana)*ISNUMBER(Detalle_24m!L$220:L$244)*Detalle_24m!L$220:L$244+(1-(7&gt;Corte)*(7&lt;=Corte+n_Ventana)*ISNUMBER(Detalle_24m!L$220:L$244))*FC_V*(1+FC_g)^(L$173-1)*((FC_Desde=0)*(L$172+L$171)+(FC_Desde&gt;=1)*(L$170&gt;=FC_Desde)*L$171)))</f>
        <v>4393.47821917808</v>
      </c>
      <c r="M242" s="48" t="n">
        <f aca="false">SUMPRODUCT((FC_Clase="Producción")*((FC_Mon="PYG")*M$175+(FC_Mon&lt;&gt;"PYG"))*((8&gt;Corte)*(8&lt;=Corte+n_Ventana)*ISNUMBER(Detalle_24m!M$220:M$244)*Detalle_24m!M$220:M$244+(1-(8&gt;Corte)*(8&lt;=Corte+n_Ventana)*ISNUMBER(Detalle_24m!M$220:M$244))*FC_V*(1+FC_g)^(M$173-1)*((FC_Desde=0)*(M$172+M$171)+(FC_Desde&gt;=1)*(M$170&gt;=FC_Desde)*M$171)))</f>
        <v>4393.47821917808</v>
      </c>
      <c r="N242" s="48" t="n">
        <f aca="false">SUMPRODUCT((FC_Clase="Producción")*((FC_Mon="PYG")*N$175+(FC_Mon&lt;&gt;"PYG"))*((9&gt;Corte)*(9&lt;=Corte+n_Ventana)*ISNUMBER(Detalle_24m!N$220:N$244)*Detalle_24m!N$220:N$244+(1-(9&gt;Corte)*(9&lt;=Corte+n_Ventana)*ISNUMBER(Detalle_24m!N$220:N$244))*FC_V*(1+FC_g)^(N$173-1)*((FC_Desde=0)*(N$172+N$171)+(FC_Desde&gt;=1)*(N$170&gt;=FC_Desde)*N$171)))</f>
        <v>4393.47821917808</v>
      </c>
      <c r="O242" s="48" t="n">
        <f aca="false">SUMPRODUCT((FC_Clase="Producción")*((FC_Mon="PYG")*O$175+(FC_Mon&lt;&gt;"PYG"))*((10&gt;Corte)*(10&lt;=Corte+n_Ventana)*ISNUMBER(Detalle_24m!O$220:O$244)*Detalle_24m!O$220:O$244+(1-(10&gt;Corte)*(10&lt;=Corte+n_Ventana)*ISNUMBER(Detalle_24m!O$220:O$244))*FC_V*(1+FC_g)^(O$173-1)*((FC_Desde=0)*(O$172+O$171)+(FC_Desde&gt;=1)*(O$170&gt;=FC_Desde)*O$171)))</f>
        <v>4393.47821917808</v>
      </c>
      <c r="P242" s="48" t="n">
        <f aca="false">SUMPRODUCT((FC_Clase="Producción")*((FC_Mon="PYG")*P$175+(FC_Mon&lt;&gt;"PYG"))*((11&gt;Corte)*(11&lt;=Corte+n_Ventana)*ISNUMBER(Detalle_24m!P$220:P$244)*Detalle_24m!P$220:P$244+(1-(11&gt;Corte)*(11&lt;=Corte+n_Ventana)*ISNUMBER(Detalle_24m!P$220:P$244))*FC_V*(1+FC_g)^(P$173-1)*((FC_Desde=0)*(P$172+P$171)+(FC_Desde&gt;=1)*(P$170&gt;=FC_Desde)*P$171)))</f>
        <v>4393.47821917808</v>
      </c>
      <c r="Q242" s="48" t="n">
        <f aca="false">SUMPRODUCT((FC_Clase="Producción")*((FC_Mon="PYG")*Q$175+(FC_Mon&lt;&gt;"PYG"))*((12&gt;Corte)*(12&lt;=Corte+n_Ventana)*ISNUMBER(Detalle_24m!Q$220:Q$244)*Detalle_24m!Q$220:Q$244+(1-(12&gt;Corte)*(12&lt;=Corte+n_Ventana)*ISNUMBER(Detalle_24m!Q$220:Q$244))*FC_V*(1+FC_g)^(Q$173-1)*((FC_Desde=0)*(Q$172+Q$171)+(FC_Desde&gt;=1)*(Q$170&gt;=FC_Desde)*Q$171)))</f>
        <v>4393.47821917808</v>
      </c>
      <c r="R242" s="48" t="n">
        <f aca="false">SUMPRODUCT((FC_Clase="Producción")*((FC_Mon="PYG")*R$175+(FC_Mon&lt;&gt;"PYG"))*((13&gt;Corte)*(13&lt;=Corte+n_Ventana)*ISNUMBER(Detalle_24m!R$220:R$244)*Detalle_24m!R$220:R$244+(1-(13&gt;Corte)*(13&lt;=Corte+n_Ventana)*ISNUMBER(Detalle_24m!R$220:R$244))*FC_V*(1+FC_g)^(R$173-1)*((FC_Desde=0)*(R$172+R$171)+(FC_Desde&gt;=1)*(R$170&gt;=FC_Desde)*R$171)))</f>
        <v>4442.99161917808</v>
      </c>
      <c r="S242" s="48" t="n">
        <f aca="false">SUMPRODUCT((FC_Clase="Producción")*((FC_Mon="PYG")*S$175+(FC_Mon&lt;&gt;"PYG"))*((14&gt;Corte)*(14&lt;=Corte+n_Ventana)*ISNUMBER(Detalle_24m!S$220:S$244)*Detalle_24m!S$220:S$244+(1-(14&gt;Corte)*(14&lt;=Corte+n_Ventana)*ISNUMBER(Detalle_24m!S$220:S$244))*FC_V*(1+FC_g)^(S$173-1)*((FC_Desde=0)*(S$172+S$171)+(FC_Desde&gt;=1)*(S$170&gt;=FC_Desde)*S$171)))</f>
        <v>4442.99161917808</v>
      </c>
      <c r="T242" s="48" t="n">
        <f aca="false">SUMPRODUCT((FC_Clase="Producción")*((FC_Mon="PYG")*T$175+(FC_Mon&lt;&gt;"PYG"))*((15&gt;Corte)*(15&lt;=Corte+n_Ventana)*ISNUMBER(Detalle_24m!T$220:T$244)*Detalle_24m!T$220:T$244+(1-(15&gt;Corte)*(15&lt;=Corte+n_Ventana)*ISNUMBER(Detalle_24m!T$220:T$244))*FC_V*(1+FC_g)^(T$173-1)*((FC_Desde=0)*(T$172+T$171)+(FC_Desde&gt;=1)*(T$170&gt;=FC_Desde)*T$171)))</f>
        <v>4442.99161917808</v>
      </c>
      <c r="U242" s="48" t="n">
        <f aca="false">SUMPRODUCT((FC_Clase="Producción")*((FC_Mon="PYG")*U$175+(FC_Mon&lt;&gt;"PYG"))*((16&gt;Corte)*(16&lt;=Corte+n_Ventana)*ISNUMBER(Detalle_24m!U$220:U$244)*Detalle_24m!U$220:U$244+(1-(16&gt;Corte)*(16&lt;=Corte+n_Ventana)*ISNUMBER(Detalle_24m!U$220:U$244))*FC_V*(1+FC_g)^(U$173-1)*((FC_Desde=0)*(U$172+U$171)+(FC_Desde&gt;=1)*(U$170&gt;=FC_Desde)*U$171)))</f>
        <v>4442.99161917808</v>
      </c>
      <c r="V242" s="48" t="n">
        <f aca="false">SUMPRODUCT((FC_Clase="Producción")*((FC_Mon="PYG")*V$175+(FC_Mon&lt;&gt;"PYG"))*((17&gt;Corte)*(17&lt;=Corte+n_Ventana)*ISNUMBER(Detalle_24m!V$220:V$244)*Detalle_24m!V$220:V$244+(1-(17&gt;Corte)*(17&lt;=Corte+n_Ventana)*ISNUMBER(Detalle_24m!V$220:V$244))*FC_V*(1+FC_g)^(V$173-1)*((FC_Desde=0)*(V$172+V$171)+(FC_Desde&gt;=1)*(V$170&gt;=FC_Desde)*V$171)))</f>
        <v>4442.99161917808</v>
      </c>
      <c r="W242" s="48" t="n">
        <f aca="false">SUMPRODUCT((FC_Clase="Producción")*((FC_Mon="PYG")*W$175+(FC_Mon&lt;&gt;"PYG"))*((18&gt;Corte)*(18&lt;=Corte+n_Ventana)*ISNUMBER(Detalle_24m!W$220:W$244)*Detalle_24m!W$220:W$244+(1-(18&gt;Corte)*(18&lt;=Corte+n_Ventana)*ISNUMBER(Detalle_24m!W$220:W$244))*FC_V*(1+FC_g)^(W$173-1)*((FC_Desde=0)*(W$172+W$171)+(FC_Desde&gt;=1)*(W$170&gt;=FC_Desde)*W$171)))</f>
        <v>4442.99161917808</v>
      </c>
      <c r="X242" s="48" t="n">
        <f aca="false">SUMPRODUCT((FC_Clase="Producción")*((FC_Mon="PYG")*X$175+(FC_Mon&lt;&gt;"PYG"))*((19&gt;Corte)*(19&lt;=Corte+n_Ventana)*ISNUMBER(Detalle_24m!X$220:X$244)*Detalle_24m!X$220:X$244+(1-(19&gt;Corte)*(19&lt;=Corte+n_Ventana)*ISNUMBER(Detalle_24m!X$220:X$244))*FC_V*(1+FC_g)^(X$173-1)*((FC_Desde=0)*(X$172+X$171)+(FC_Desde&gt;=1)*(X$170&gt;=FC_Desde)*X$171)))</f>
        <v>4442.99161917808</v>
      </c>
      <c r="Y242" s="48" t="n">
        <f aca="false">SUMPRODUCT((FC_Clase="Producción")*((FC_Mon="PYG")*Y$175+(FC_Mon&lt;&gt;"PYG"))*((20&gt;Corte)*(20&lt;=Corte+n_Ventana)*ISNUMBER(Detalle_24m!Y$220:Y$244)*Detalle_24m!Y$220:Y$244+(1-(20&gt;Corte)*(20&lt;=Corte+n_Ventana)*ISNUMBER(Detalle_24m!Y$220:Y$244))*FC_V*(1+FC_g)^(Y$173-1)*((FC_Desde=0)*(Y$172+Y$171)+(FC_Desde&gt;=1)*(Y$170&gt;=FC_Desde)*Y$171)))</f>
        <v>4442.99161917808</v>
      </c>
      <c r="Z242" s="48" t="n">
        <f aca="false">SUMPRODUCT((FC_Clase="Producción")*((FC_Mon="PYG")*Z$175+(FC_Mon&lt;&gt;"PYG"))*((21&gt;Corte)*(21&lt;=Corte+n_Ventana)*ISNUMBER(Detalle_24m!Z$220:Z$244)*Detalle_24m!Z$220:Z$244+(1-(21&gt;Corte)*(21&lt;=Corte+n_Ventana)*ISNUMBER(Detalle_24m!Z$220:Z$244))*FC_V*(1+FC_g)^(Z$173-1)*((FC_Desde=0)*(Z$172+Z$171)+(FC_Desde&gt;=1)*(Z$170&gt;=FC_Desde)*Z$171)))</f>
        <v>4442.99161917808</v>
      </c>
      <c r="AA242" s="48" t="n">
        <f aca="false">SUMPRODUCT((FC_Clase="Producción")*((FC_Mon="PYG")*AA$175+(FC_Mon&lt;&gt;"PYG"))*((22&gt;Corte)*(22&lt;=Corte+n_Ventana)*ISNUMBER(Detalle_24m!AA$220:AA$244)*Detalle_24m!AA$220:AA$244+(1-(22&gt;Corte)*(22&lt;=Corte+n_Ventana)*ISNUMBER(Detalle_24m!AA$220:AA$244))*FC_V*(1+FC_g)^(AA$173-1)*((FC_Desde=0)*(AA$172+AA$171)+(FC_Desde&gt;=1)*(AA$170&gt;=FC_Desde)*AA$171)))</f>
        <v>4442.99161917808</v>
      </c>
      <c r="AB242" s="48" t="n">
        <f aca="false">SUMPRODUCT((FC_Clase="Producción")*((FC_Mon="PYG")*AB$175+(FC_Mon&lt;&gt;"PYG"))*((23&gt;Corte)*(23&lt;=Corte+n_Ventana)*ISNUMBER(Detalle_24m!AB$220:AB$244)*Detalle_24m!AB$220:AB$244+(1-(23&gt;Corte)*(23&lt;=Corte+n_Ventana)*ISNUMBER(Detalle_24m!AB$220:AB$244))*FC_V*(1+FC_g)^(AB$173-1)*((FC_Desde=0)*(AB$172+AB$171)+(FC_Desde&gt;=1)*(AB$170&gt;=FC_Desde)*AB$171)))</f>
        <v>4442.99161917808</v>
      </c>
      <c r="AC242" s="48" t="n">
        <f aca="false">SUMPRODUCT((FC_Clase="Producción")*((FC_Mon="PYG")*AC$175+(FC_Mon&lt;&gt;"PYG"))*((24&gt;Corte)*(24&lt;=Corte+n_Ventana)*ISNUMBER(Detalle_24m!AC$220:AC$244)*Detalle_24m!AC$220:AC$244+(1-(24&gt;Corte)*(24&lt;=Corte+n_Ventana)*ISNUMBER(Detalle_24m!AC$220:AC$244))*FC_V*(1+FC_g)^(AC$173-1)*((FC_Desde=0)*(AC$172+AC$171)+(FC_Desde&gt;=1)*(AC$170&gt;=FC_Desde)*AC$171)))</f>
        <v>4442.99161917808</v>
      </c>
      <c r="AD242" s="48" t="n">
        <f aca="false">SUMPRODUCT((FC_Clase="Producción")*((FC_Mon="PYG")*AD$175+(FC_Mon&lt;&gt;"PYG"))*((25&gt;Corte)*(25&lt;=Corte+n_Ventana)*ISNUMBER(Detalle_24m!AD$220:AD$244)*Detalle_24m!AD$220:AD$244+(1-(25&gt;Corte)*(25&lt;=Corte+n_Ventana)*ISNUMBER(Detalle_24m!AD$220:AD$244))*FC_V*(1+FC_g)^(AD$173-1)*((FC_Desde=0)*(AD$172+AD$171)+(FC_Desde&gt;=1)*(AD$170&gt;=FC_Desde)*AD$171)))</f>
        <v>4493.49528717808</v>
      </c>
      <c r="AE242" s="48" t="n">
        <f aca="false">SUMPRODUCT((FC_Clase="Producción")*((FC_Mon="PYG")*AE$175+(FC_Mon&lt;&gt;"PYG"))*((26&gt;Corte)*(26&lt;=Corte+n_Ventana)*ISNUMBER(Detalle_24m!AE$220:AE$244)*Detalle_24m!AE$220:AE$244+(1-(26&gt;Corte)*(26&lt;=Corte+n_Ventana)*ISNUMBER(Detalle_24m!AE$220:AE$244))*FC_V*(1+FC_g)^(AE$173-1)*((FC_Desde=0)*(AE$172+AE$171)+(FC_Desde&gt;=1)*(AE$170&gt;=FC_Desde)*AE$171)))</f>
        <v>4493.49528717808</v>
      </c>
      <c r="AF242" s="48" t="n">
        <f aca="false">SUMPRODUCT((FC_Clase="Producción")*((FC_Mon="PYG")*AF$175+(FC_Mon&lt;&gt;"PYG"))*((27&gt;Corte)*(27&lt;=Corte+n_Ventana)*ISNUMBER(Detalle_24m!AF$220:AF$244)*Detalle_24m!AF$220:AF$244+(1-(27&gt;Corte)*(27&lt;=Corte+n_Ventana)*ISNUMBER(Detalle_24m!AF$220:AF$244))*FC_V*(1+FC_g)^(AF$173-1)*((FC_Desde=0)*(AF$172+AF$171)+(FC_Desde&gt;=1)*(AF$170&gt;=FC_Desde)*AF$171)))</f>
        <v>4493.49528717808</v>
      </c>
      <c r="AG242" s="48" t="n">
        <f aca="false">SUMPRODUCT((FC_Clase="Producción")*((FC_Mon="PYG")*AG$175+(FC_Mon&lt;&gt;"PYG"))*((28&gt;Corte)*(28&lt;=Corte+n_Ventana)*ISNUMBER(Detalle_24m!AG$220:AG$244)*Detalle_24m!AG$220:AG$244+(1-(28&gt;Corte)*(28&lt;=Corte+n_Ventana)*ISNUMBER(Detalle_24m!AG$220:AG$244))*FC_V*(1+FC_g)^(AG$173-1)*((FC_Desde=0)*(AG$172+AG$171)+(FC_Desde&gt;=1)*(AG$170&gt;=FC_Desde)*AG$171)))</f>
        <v>4493.49528717808</v>
      </c>
      <c r="AH242" s="48" t="n">
        <f aca="false">SUMPRODUCT((FC_Clase="Producción")*((FC_Mon="PYG")*AH$175+(FC_Mon&lt;&gt;"PYG"))*((29&gt;Corte)*(29&lt;=Corte+n_Ventana)*ISNUMBER(Detalle_24m!AH$220:AH$244)*Detalle_24m!AH$220:AH$244+(1-(29&gt;Corte)*(29&lt;=Corte+n_Ventana)*ISNUMBER(Detalle_24m!AH$220:AH$244))*FC_V*(1+FC_g)^(AH$173-1)*((FC_Desde=0)*(AH$172+AH$171)+(FC_Desde&gt;=1)*(AH$170&gt;=FC_Desde)*AH$171)))</f>
        <v>4493.49528717808</v>
      </c>
      <c r="AI242" s="48" t="n">
        <f aca="false">SUMPRODUCT((FC_Clase="Producción")*((FC_Mon="PYG")*AI$175+(FC_Mon&lt;&gt;"PYG"))*((30&gt;Corte)*(30&lt;=Corte+n_Ventana)*ISNUMBER(Detalle_24m!AI$220:AI$244)*Detalle_24m!AI$220:AI$244+(1-(30&gt;Corte)*(30&lt;=Corte+n_Ventana)*ISNUMBER(Detalle_24m!AI$220:AI$244))*FC_V*(1+FC_g)^(AI$173-1)*((FC_Desde=0)*(AI$172+AI$171)+(FC_Desde&gt;=1)*(AI$170&gt;=FC_Desde)*AI$171)))</f>
        <v>4493.49528717808</v>
      </c>
      <c r="AJ242" s="48" t="n">
        <f aca="false">SUMPRODUCT((FC_Clase="Producción")*((FC_Mon="PYG")*AJ$175+(FC_Mon&lt;&gt;"PYG"))*((31&gt;Corte)*(31&lt;=Corte+n_Ventana)*ISNUMBER(Detalle_24m!AJ$220:AJ$244)*Detalle_24m!AJ$220:AJ$244+(1-(31&gt;Corte)*(31&lt;=Corte+n_Ventana)*ISNUMBER(Detalle_24m!AJ$220:AJ$244))*FC_V*(1+FC_g)^(AJ$173-1)*((FC_Desde=0)*(AJ$172+AJ$171)+(FC_Desde&gt;=1)*(AJ$170&gt;=FC_Desde)*AJ$171)))</f>
        <v>4493.49528717808</v>
      </c>
      <c r="AK242" s="48" t="n">
        <f aca="false">SUMPRODUCT((FC_Clase="Producción")*((FC_Mon="PYG")*AK$175+(FC_Mon&lt;&gt;"PYG"))*((32&gt;Corte)*(32&lt;=Corte+n_Ventana)*ISNUMBER(Detalle_24m!AK$220:AK$244)*Detalle_24m!AK$220:AK$244+(1-(32&gt;Corte)*(32&lt;=Corte+n_Ventana)*ISNUMBER(Detalle_24m!AK$220:AK$244))*FC_V*(1+FC_g)^(AK$173-1)*((FC_Desde=0)*(AK$172+AK$171)+(FC_Desde&gt;=1)*(AK$170&gt;=FC_Desde)*AK$171)))</f>
        <v>4493.49528717808</v>
      </c>
      <c r="AL242" s="48" t="n">
        <f aca="false">SUMPRODUCT((FC_Clase="Producción")*((FC_Mon="PYG")*AL$175+(FC_Mon&lt;&gt;"PYG"))*((33&gt;Corte)*(33&lt;=Corte+n_Ventana)*ISNUMBER(Detalle_24m!AL$220:AL$244)*Detalle_24m!AL$220:AL$244+(1-(33&gt;Corte)*(33&lt;=Corte+n_Ventana)*ISNUMBER(Detalle_24m!AL$220:AL$244))*FC_V*(1+FC_g)^(AL$173-1)*((FC_Desde=0)*(AL$172+AL$171)+(FC_Desde&gt;=1)*(AL$170&gt;=FC_Desde)*AL$171)))</f>
        <v>4493.49528717808</v>
      </c>
      <c r="AM242" s="48" t="n">
        <f aca="false">SUMPRODUCT((FC_Clase="Producción")*((FC_Mon="PYG")*AM$175+(FC_Mon&lt;&gt;"PYG"))*((34&gt;Corte)*(34&lt;=Corte+n_Ventana)*ISNUMBER(Detalle_24m!AM$220:AM$244)*Detalle_24m!AM$220:AM$244+(1-(34&gt;Corte)*(34&lt;=Corte+n_Ventana)*ISNUMBER(Detalle_24m!AM$220:AM$244))*FC_V*(1+FC_g)^(AM$173-1)*((FC_Desde=0)*(AM$172+AM$171)+(FC_Desde&gt;=1)*(AM$170&gt;=FC_Desde)*AM$171)))</f>
        <v>4493.49528717808</v>
      </c>
      <c r="AN242" s="48" t="n">
        <f aca="false">SUMPRODUCT((FC_Clase="Producción")*((FC_Mon="PYG")*AN$175+(FC_Mon&lt;&gt;"PYG"))*((35&gt;Corte)*(35&lt;=Corte+n_Ventana)*ISNUMBER(Detalle_24m!AN$220:AN$244)*Detalle_24m!AN$220:AN$244+(1-(35&gt;Corte)*(35&lt;=Corte+n_Ventana)*ISNUMBER(Detalle_24m!AN$220:AN$244))*FC_V*(1+FC_g)^(AN$173-1)*((FC_Desde=0)*(AN$172+AN$171)+(FC_Desde&gt;=1)*(AN$170&gt;=FC_Desde)*AN$171)))</f>
        <v>4493.49528717808</v>
      </c>
      <c r="AO242" s="48" t="n">
        <f aca="false">SUMPRODUCT((FC_Clase="Producción")*((FC_Mon="PYG")*AO$175+(FC_Mon&lt;&gt;"PYG"))*((36&gt;Corte)*(36&lt;=Corte+n_Ventana)*ISNUMBER(Detalle_24m!AO$220:AO$244)*Detalle_24m!AO$220:AO$244+(1-(36&gt;Corte)*(36&lt;=Corte+n_Ventana)*ISNUMBER(Detalle_24m!AO$220:AO$244))*FC_V*(1+FC_g)^(AO$173-1)*((FC_Desde=0)*(AO$172+AO$171)+(FC_Desde&gt;=1)*(AO$170&gt;=FC_Desde)*AO$171)))</f>
        <v>4493.49528717808</v>
      </c>
      <c r="AP242" s="48" t="n">
        <f aca="false">SUMPRODUCT((FC_Clase="Producción")*((FC_Mon="PYG")*AP$175+(FC_Mon&lt;&gt;"PYG"))*((37&gt;Corte)*(37&lt;=Corte+n_Ventana)*ISNUMBER(Detalle_24m!AP$220:AP$244)*Detalle_24m!AP$220:AP$244+(1-(37&gt;Corte)*(37&lt;=Corte+n_Ventana)*ISNUMBER(Detalle_24m!AP$220:AP$244))*FC_V*(1+FC_g)^(AP$173-1)*((FC_Desde=0)*(AP$172+AP$171)+(FC_Desde&gt;=1)*(AP$170&gt;=FC_Desde)*AP$171)))</f>
        <v>4545.00902853808</v>
      </c>
      <c r="AQ242" s="48" t="n">
        <f aca="false">SUMPRODUCT((FC_Clase="Producción")*((FC_Mon="PYG")*AQ$175+(FC_Mon&lt;&gt;"PYG"))*((38&gt;Corte)*(38&lt;=Corte+n_Ventana)*ISNUMBER(Detalle_24m!AQ$220:AQ$244)*Detalle_24m!AQ$220:AQ$244+(1-(38&gt;Corte)*(38&lt;=Corte+n_Ventana)*ISNUMBER(Detalle_24m!AQ$220:AQ$244))*FC_V*(1+FC_g)^(AQ$173-1)*((FC_Desde=0)*(AQ$172+AQ$171)+(FC_Desde&gt;=1)*(AQ$170&gt;=FC_Desde)*AQ$171)))</f>
        <v>4545.00902853808</v>
      </c>
      <c r="AR242" s="48" t="n">
        <f aca="false">SUMPRODUCT((FC_Clase="Producción")*((FC_Mon="PYG")*AR$175+(FC_Mon&lt;&gt;"PYG"))*((39&gt;Corte)*(39&lt;=Corte+n_Ventana)*ISNUMBER(Detalle_24m!AR$220:AR$244)*Detalle_24m!AR$220:AR$244+(1-(39&gt;Corte)*(39&lt;=Corte+n_Ventana)*ISNUMBER(Detalle_24m!AR$220:AR$244))*FC_V*(1+FC_g)^(AR$173-1)*((FC_Desde=0)*(AR$172+AR$171)+(FC_Desde&gt;=1)*(AR$170&gt;=FC_Desde)*AR$171)))</f>
        <v>4545.00902853808</v>
      </c>
      <c r="AS242" s="48" t="n">
        <f aca="false">SUMPRODUCT((FC_Clase="Producción")*((FC_Mon="PYG")*AS$175+(FC_Mon&lt;&gt;"PYG"))*((40&gt;Corte)*(40&lt;=Corte+n_Ventana)*ISNUMBER(Detalle_24m!AS$220:AS$244)*Detalle_24m!AS$220:AS$244+(1-(40&gt;Corte)*(40&lt;=Corte+n_Ventana)*ISNUMBER(Detalle_24m!AS$220:AS$244))*FC_V*(1+FC_g)^(AS$173-1)*((FC_Desde=0)*(AS$172+AS$171)+(FC_Desde&gt;=1)*(AS$170&gt;=FC_Desde)*AS$171)))</f>
        <v>4545.00902853808</v>
      </c>
      <c r="AT242" s="48" t="n">
        <f aca="false">SUMPRODUCT((FC_Clase="Producción")*((FC_Mon="PYG")*AT$175+(FC_Mon&lt;&gt;"PYG"))*((41&gt;Corte)*(41&lt;=Corte+n_Ventana)*ISNUMBER(Detalle_24m!AT$220:AT$244)*Detalle_24m!AT$220:AT$244+(1-(41&gt;Corte)*(41&lt;=Corte+n_Ventana)*ISNUMBER(Detalle_24m!AT$220:AT$244))*FC_V*(1+FC_g)^(AT$173-1)*((FC_Desde=0)*(AT$172+AT$171)+(FC_Desde&gt;=1)*(AT$170&gt;=FC_Desde)*AT$171)))</f>
        <v>4545.00902853808</v>
      </c>
      <c r="AU242" s="48" t="n">
        <f aca="false">SUMPRODUCT((FC_Clase="Producción")*((FC_Mon="PYG")*AU$175+(FC_Mon&lt;&gt;"PYG"))*((42&gt;Corte)*(42&lt;=Corte+n_Ventana)*ISNUMBER(Detalle_24m!AU$220:AU$244)*Detalle_24m!AU$220:AU$244+(1-(42&gt;Corte)*(42&lt;=Corte+n_Ventana)*ISNUMBER(Detalle_24m!AU$220:AU$244))*FC_V*(1+FC_g)^(AU$173-1)*((FC_Desde=0)*(AU$172+AU$171)+(FC_Desde&gt;=1)*(AU$170&gt;=FC_Desde)*AU$171)))</f>
        <v>4545.00902853808</v>
      </c>
      <c r="AV242" s="48" t="n">
        <f aca="false">SUMPRODUCT((FC_Clase="Producción")*((FC_Mon="PYG")*AV$175+(FC_Mon&lt;&gt;"PYG"))*((43&gt;Corte)*(43&lt;=Corte+n_Ventana)*ISNUMBER(Detalle_24m!AV$220:AV$244)*Detalle_24m!AV$220:AV$244+(1-(43&gt;Corte)*(43&lt;=Corte+n_Ventana)*ISNUMBER(Detalle_24m!AV$220:AV$244))*FC_V*(1+FC_g)^(AV$173-1)*((FC_Desde=0)*(AV$172+AV$171)+(FC_Desde&gt;=1)*(AV$170&gt;=FC_Desde)*AV$171)))</f>
        <v>4545.00902853808</v>
      </c>
      <c r="AW242" s="48" t="n">
        <f aca="false">SUMPRODUCT((FC_Clase="Producción")*((FC_Mon="PYG")*AW$175+(FC_Mon&lt;&gt;"PYG"))*((44&gt;Corte)*(44&lt;=Corte+n_Ventana)*ISNUMBER(Detalle_24m!AW$220:AW$244)*Detalle_24m!AW$220:AW$244+(1-(44&gt;Corte)*(44&lt;=Corte+n_Ventana)*ISNUMBER(Detalle_24m!AW$220:AW$244))*FC_V*(1+FC_g)^(AW$173-1)*((FC_Desde=0)*(AW$172+AW$171)+(FC_Desde&gt;=1)*(AW$170&gt;=FC_Desde)*AW$171)))</f>
        <v>4545.00902853808</v>
      </c>
      <c r="AX242" s="48" t="n">
        <f aca="false">SUMPRODUCT((FC_Clase="Producción")*((FC_Mon="PYG")*AX$175+(FC_Mon&lt;&gt;"PYG"))*((45&gt;Corte)*(45&lt;=Corte+n_Ventana)*ISNUMBER(Detalle_24m!AX$220:AX$244)*Detalle_24m!AX$220:AX$244+(1-(45&gt;Corte)*(45&lt;=Corte+n_Ventana)*ISNUMBER(Detalle_24m!AX$220:AX$244))*FC_V*(1+FC_g)^(AX$173-1)*((FC_Desde=0)*(AX$172+AX$171)+(FC_Desde&gt;=1)*(AX$170&gt;=FC_Desde)*AX$171)))</f>
        <v>4545.00902853808</v>
      </c>
      <c r="AY242" s="48" t="n">
        <f aca="false">SUMPRODUCT((FC_Clase="Producción")*((FC_Mon="PYG")*AY$175+(FC_Mon&lt;&gt;"PYG"))*((46&gt;Corte)*(46&lt;=Corte+n_Ventana)*ISNUMBER(Detalle_24m!AY$220:AY$244)*Detalle_24m!AY$220:AY$244+(1-(46&gt;Corte)*(46&lt;=Corte+n_Ventana)*ISNUMBER(Detalle_24m!AY$220:AY$244))*FC_V*(1+FC_g)^(AY$173-1)*((FC_Desde=0)*(AY$172+AY$171)+(FC_Desde&gt;=1)*(AY$170&gt;=FC_Desde)*AY$171)))</f>
        <v>4545.00902853808</v>
      </c>
      <c r="AZ242" s="48" t="n">
        <f aca="false">SUMPRODUCT((FC_Clase="Producción")*((FC_Mon="PYG")*AZ$175+(FC_Mon&lt;&gt;"PYG"))*((47&gt;Corte)*(47&lt;=Corte+n_Ventana)*ISNUMBER(Detalle_24m!AZ$220:AZ$244)*Detalle_24m!AZ$220:AZ$244+(1-(47&gt;Corte)*(47&lt;=Corte+n_Ventana)*ISNUMBER(Detalle_24m!AZ$220:AZ$244))*FC_V*(1+FC_g)^(AZ$173-1)*((FC_Desde=0)*(AZ$172+AZ$171)+(FC_Desde&gt;=1)*(AZ$170&gt;=FC_Desde)*AZ$171)))</f>
        <v>4545.00902853808</v>
      </c>
      <c r="BA242" s="48" t="n">
        <f aca="false">SUMPRODUCT((FC_Clase="Producción")*((FC_Mon="PYG")*BA$175+(FC_Mon&lt;&gt;"PYG"))*((48&gt;Corte)*(48&lt;=Corte+n_Ventana)*ISNUMBER(Detalle_24m!BA$220:BA$244)*Detalle_24m!BA$220:BA$244+(1-(48&gt;Corte)*(48&lt;=Corte+n_Ventana)*ISNUMBER(Detalle_24m!BA$220:BA$244))*FC_V*(1+FC_g)^(BA$173-1)*((FC_Desde=0)*(BA$172+BA$171)+(FC_Desde&gt;=1)*(BA$170&gt;=FC_Desde)*BA$171)))</f>
        <v>4545.00902853808</v>
      </c>
      <c r="BB242" s="48" t="n">
        <f aca="false">SUMPRODUCT((FC_Clase="Producción")*((FC_Mon="PYG")*BB$175+(FC_Mon&lt;&gt;"PYG"))*((49&gt;Corte)*(49&lt;=Corte+n_Ventana)*ISNUMBER(Detalle_24m!BB$220:BB$244)*Detalle_24m!BB$220:BB$244+(1-(49&gt;Corte)*(49&lt;=Corte+n_Ventana)*ISNUMBER(Detalle_24m!BB$220:BB$244))*FC_V*(1+FC_g)^(BB$173-1)*((FC_Desde=0)*(BB$172+BB$171)+(FC_Desde&gt;=1)*(BB$170&gt;=FC_Desde)*BB$171)))</f>
        <v>4597.55304472528</v>
      </c>
      <c r="BC242" s="48" t="n">
        <f aca="false">SUMPRODUCT((FC_Clase="Producción")*((FC_Mon="PYG")*BC$175+(FC_Mon&lt;&gt;"PYG"))*((50&gt;Corte)*(50&lt;=Corte+n_Ventana)*ISNUMBER(Detalle_24m!BC$220:BC$244)*Detalle_24m!BC$220:BC$244+(1-(50&gt;Corte)*(50&lt;=Corte+n_Ventana)*ISNUMBER(Detalle_24m!BC$220:BC$244))*FC_V*(1+FC_g)^(BC$173-1)*((FC_Desde=0)*(BC$172+BC$171)+(FC_Desde&gt;=1)*(BC$170&gt;=FC_Desde)*BC$171)))</f>
        <v>4597.55304472528</v>
      </c>
      <c r="BD242" s="48" t="n">
        <f aca="false">SUMPRODUCT((FC_Clase="Producción")*((FC_Mon="PYG")*BD$175+(FC_Mon&lt;&gt;"PYG"))*((51&gt;Corte)*(51&lt;=Corte+n_Ventana)*ISNUMBER(Detalle_24m!BD$220:BD$244)*Detalle_24m!BD$220:BD$244+(1-(51&gt;Corte)*(51&lt;=Corte+n_Ventana)*ISNUMBER(Detalle_24m!BD$220:BD$244))*FC_V*(1+FC_g)^(BD$173-1)*((FC_Desde=0)*(BD$172+BD$171)+(FC_Desde&gt;=1)*(BD$170&gt;=FC_Desde)*BD$171)))</f>
        <v>4597.55304472528</v>
      </c>
      <c r="BE242" s="48" t="n">
        <f aca="false">SUMPRODUCT((FC_Clase="Producción")*((FC_Mon="PYG")*BE$175+(FC_Mon&lt;&gt;"PYG"))*((52&gt;Corte)*(52&lt;=Corte+n_Ventana)*ISNUMBER(Detalle_24m!BE$220:BE$244)*Detalle_24m!BE$220:BE$244+(1-(52&gt;Corte)*(52&lt;=Corte+n_Ventana)*ISNUMBER(Detalle_24m!BE$220:BE$244))*FC_V*(1+FC_g)^(BE$173-1)*((FC_Desde=0)*(BE$172+BE$171)+(FC_Desde&gt;=1)*(BE$170&gt;=FC_Desde)*BE$171)))</f>
        <v>4597.55304472528</v>
      </c>
      <c r="BF242" s="48" t="n">
        <f aca="false">SUMPRODUCT((FC_Clase="Producción")*((FC_Mon="PYG")*BF$175+(FC_Mon&lt;&gt;"PYG"))*((53&gt;Corte)*(53&lt;=Corte+n_Ventana)*ISNUMBER(Detalle_24m!BF$220:BF$244)*Detalle_24m!BF$220:BF$244+(1-(53&gt;Corte)*(53&lt;=Corte+n_Ventana)*ISNUMBER(Detalle_24m!BF$220:BF$244))*FC_V*(1+FC_g)^(BF$173-1)*((FC_Desde=0)*(BF$172+BF$171)+(FC_Desde&gt;=1)*(BF$170&gt;=FC_Desde)*BF$171)))</f>
        <v>4597.55304472528</v>
      </c>
      <c r="BG242" s="48" t="n">
        <f aca="false">SUMPRODUCT((FC_Clase="Producción")*((FC_Mon="PYG")*BG$175+(FC_Mon&lt;&gt;"PYG"))*((54&gt;Corte)*(54&lt;=Corte+n_Ventana)*ISNUMBER(Detalle_24m!BG$220:BG$244)*Detalle_24m!BG$220:BG$244+(1-(54&gt;Corte)*(54&lt;=Corte+n_Ventana)*ISNUMBER(Detalle_24m!BG$220:BG$244))*FC_V*(1+FC_g)^(BG$173-1)*((FC_Desde=0)*(BG$172+BG$171)+(FC_Desde&gt;=1)*(BG$170&gt;=FC_Desde)*BG$171)))</f>
        <v>4597.55304472528</v>
      </c>
      <c r="BH242" s="48" t="n">
        <f aca="false">SUMPRODUCT((FC_Clase="Producción")*((FC_Mon="PYG")*BH$175+(FC_Mon&lt;&gt;"PYG"))*((55&gt;Corte)*(55&lt;=Corte+n_Ventana)*ISNUMBER(Detalle_24m!BH$220:BH$244)*Detalle_24m!BH$220:BH$244+(1-(55&gt;Corte)*(55&lt;=Corte+n_Ventana)*ISNUMBER(Detalle_24m!BH$220:BH$244))*FC_V*(1+FC_g)^(BH$173-1)*((FC_Desde=0)*(BH$172+BH$171)+(FC_Desde&gt;=1)*(BH$170&gt;=FC_Desde)*BH$171)))</f>
        <v>4597.55304472528</v>
      </c>
      <c r="BI242" s="48" t="n">
        <f aca="false">SUMPRODUCT((FC_Clase="Producción")*((FC_Mon="PYG")*BI$175+(FC_Mon&lt;&gt;"PYG"))*((56&gt;Corte)*(56&lt;=Corte+n_Ventana)*ISNUMBER(Detalle_24m!BI$220:BI$244)*Detalle_24m!BI$220:BI$244+(1-(56&gt;Corte)*(56&lt;=Corte+n_Ventana)*ISNUMBER(Detalle_24m!BI$220:BI$244))*FC_V*(1+FC_g)^(BI$173-1)*((FC_Desde=0)*(BI$172+BI$171)+(FC_Desde&gt;=1)*(BI$170&gt;=FC_Desde)*BI$171)))</f>
        <v>4597.55304472528</v>
      </c>
      <c r="BJ242" s="48" t="n">
        <f aca="false">SUMPRODUCT((FC_Clase="Producción")*((FC_Mon="PYG")*BJ$175+(FC_Mon&lt;&gt;"PYG"))*((57&gt;Corte)*(57&lt;=Corte+n_Ventana)*ISNUMBER(Detalle_24m!BJ$220:BJ$244)*Detalle_24m!BJ$220:BJ$244+(1-(57&gt;Corte)*(57&lt;=Corte+n_Ventana)*ISNUMBER(Detalle_24m!BJ$220:BJ$244))*FC_V*(1+FC_g)^(BJ$173-1)*((FC_Desde=0)*(BJ$172+BJ$171)+(FC_Desde&gt;=1)*(BJ$170&gt;=FC_Desde)*BJ$171)))</f>
        <v>4597.55304472528</v>
      </c>
      <c r="BK242" s="48" t="n">
        <f aca="false">SUMPRODUCT((FC_Clase="Producción")*((FC_Mon="PYG")*BK$175+(FC_Mon&lt;&gt;"PYG"))*((58&gt;Corte)*(58&lt;=Corte+n_Ventana)*ISNUMBER(Detalle_24m!BK$220:BK$244)*Detalle_24m!BK$220:BK$244+(1-(58&gt;Corte)*(58&lt;=Corte+n_Ventana)*ISNUMBER(Detalle_24m!BK$220:BK$244))*FC_V*(1+FC_g)^(BK$173-1)*((FC_Desde=0)*(BK$172+BK$171)+(FC_Desde&gt;=1)*(BK$170&gt;=FC_Desde)*BK$171)))</f>
        <v>4597.55304472528</v>
      </c>
      <c r="BL242" s="48" t="n">
        <f aca="false">SUMPRODUCT((FC_Clase="Producción")*((FC_Mon="PYG")*BL$175+(FC_Mon&lt;&gt;"PYG"))*((59&gt;Corte)*(59&lt;=Corte+n_Ventana)*ISNUMBER(Detalle_24m!BL$220:BL$244)*Detalle_24m!BL$220:BL$244+(1-(59&gt;Corte)*(59&lt;=Corte+n_Ventana)*ISNUMBER(Detalle_24m!BL$220:BL$244))*FC_V*(1+FC_g)^(BL$173-1)*((FC_Desde=0)*(BL$172+BL$171)+(FC_Desde&gt;=1)*(BL$170&gt;=FC_Desde)*BL$171)))</f>
        <v>4597.55304472528</v>
      </c>
      <c r="BM242" s="48" t="n">
        <f aca="false">SUMPRODUCT((FC_Clase="Producción")*((FC_Mon="PYG")*BM$175+(FC_Mon&lt;&gt;"PYG"))*((60&gt;Corte)*(60&lt;=Corte+n_Ventana)*ISNUMBER(Detalle_24m!BM$220:BM$244)*Detalle_24m!BM$220:BM$244+(1-(60&gt;Corte)*(60&lt;=Corte+n_Ventana)*ISNUMBER(Detalle_24m!BM$220:BM$244))*FC_V*(1+FC_g)^(BM$173-1)*((FC_Desde=0)*(BM$172+BM$171)+(FC_Desde&gt;=1)*(BM$170&gt;=FC_Desde)*BM$171)))</f>
        <v>4597.55304472528</v>
      </c>
      <c r="BN242" s="48" t="n">
        <f aca="false">SUMPRODUCT((FC_Clase="Producción")*((FC_Mon="PYG")*BN$175+(FC_Mon&lt;&gt;"PYG"))*((61&gt;Corte)*(61&lt;=Corte+n_Ventana)*ISNUMBER(Detalle_24m!BN$220:BN$244)*Detalle_24m!BN$220:BN$244+(1-(61&gt;Corte)*(61&lt;=Corte+n_Ventana)*ISNUMBER(Detalle_24m!BN$220:BN$244))*FC_V*(1+FC_g)^(BN$173-1)*((FC_Desde=0)*(BN$172+BN$171)+(FC_Desde&gt;=1)*(BN$170&gt;=FC_Desde)*BN$171)))</f>
        <v>4651.14794123623</v>
      </c>
      <c r="BO242" s="48" t="n">
        <f aca="false">SUMPRODUCT((FC_Clase="Producción")*((FC_Mon="PYG")*BO$175+(FC_Mon&lt;&gt;"PYG"))*((62&gt;Corte)*(62&lt;=Corte+n_Ventana)*ISNUMBER(Detalle_24m!BO$220:BO$244)*Detalle_24m!BO$220:BO$244+(1-(62&gt;Corte)*(62&lt;=Corte+n_Ventana)*ISNUMBER(Detalle_24m!BO$220:BO$244))*FC_V*(1+FC_g)^(BO$173-1)*((FC_Desde=0)*(BO$172+BO$171)+(FC_Desde&gt;=1)*(BO$170&gt;=FC_Desde)*BO$171)))</f>
        <v>4651.14794123623</v>
      </c>
      <c r="BP242" s="48" t="n">
        <f aca="false">SUMPRODUCT((FC_Clase="Producción")*((FC_Mon="PYG")*BP$175+(FC_Mon&lt;&gt;"PYG"))*((63&gt;Corte)*(63&lt;=Corte+n_Ventana)*ISNUMBER(Detalle_24m!BP$220:BP$244)*Detalle_24m!BP$220:BP$244+(1-(63&gt;Corte)*(63&lt;=Corte+n_Ventana)*ISNUMBER(Detalle_24m!BP$220:BP$244))*FC_V*(1+FC_g)^(BP$173-1)*((FC_Desde=0)*(BP$172+BP$171)+(FC_Desde&gt;=1)*(BP$170&gt;=FC_Desde)*BP$171)))</f>
        <v>4651.14794123623</v>
      </c>
      <c r="BQ242" s="48" t="n">
        <f aca="false">SUMPRODUCT((FC_Clase="Producción")*((FC_Mon="PYG")*BQ$175+(FC_Mon&lt;&gt;"PYG"))*((64&gt;Corte)*(64&lt;=Corte+n_Ventana)*ISNUMBER(Detalle_24m!BQ$220:BQ$244)*Detalle_24m!BQ$220:BQ$244+(1-(64&gt;Corte)*(64&lt;=Corte+n_Ventana)*ISNUMBER(Detalle_24m!BQ$220:BQ$244))*FC_V*(1+FC_g)^(BQ$173-1)*((FC_Desde=0)*(BQ$172+BQ$171)+(FC_Desde&gt;=1)*(BQ$170&gt;=FC_Desde)*BQ$171)))</f>
        <v>4651.14794123623</v>
      </c>
      <c r="BR242" s="48" t="n">
        <f aca="false">SUMPRODUCT((FC_Clase="Producción")*((FC_Mon="PYG")*BR$175+(FC_Mon&lt;&gt;"PYG"))*((65&gt;Corte)*(65&lt;=Corte+n_Ventana)*ISNUMBER(Detalle_24m!BR$220:BR$244)*Detalle_24m!BR$220:BR$244+(1-(65&gt;Corte)*(65&lt;=Corte+n_Ventana)*ISNUMBER(Detalle_24m!BR$220:BR$244))*FC_V*(1+FC_g)^(BR$173-1)*((FC_Desde=0)*(BR$172+BR$171)+(FC_Desde&gt;=1)*(BR$170&gt;=FC_Desde)*BR$171)))</f>
        <v>4651.14794123623</v>
      </c>
      <c r="BS242" s="48" t="n">
        <f aca="false">SUMPRODUCT((FC_Clase="Producción")*((FC_Mon="PYG")*BS$175+(FC_Mon&lt;&gt;"PYG"))*((66&gt;Corte)*(66&lt;=Corte+n_Ventana)*ISNUMBER(Detalle_24m!BS$220:BS$244)*Detalle_24m!BS$220:BS$244+(1-(66&gt;Corte)*(66&lt;=Corte+n_Ventana)*ISNUMBER(Detalle_24m!BS$220:BS$244))*FC_V*(1+FC_g)^(BS$173-1)*((FC_Desde=0)*(BS$172+BS$171)+(FC_Desde&gt;=1)*(BS$170&gt;=FC_Desde)*BS$171)))</f>
        <v>4651.14794123623</v>
      </c>
      <c r="BT242" s="48" t="n">
        <f aca="false">SUMPRODUCT((FC_Clase="Producción")*((FC_Mon="PYG")*BT$175+(FC_Mon&lt;&gt;"PYG"))*((67&gt;Corte)*(67&lt;=Corte+n_Ventana)*ISNUMBER(Detalle_24m!BT$220:BT$244)*Detalle_24m!BT$220:BT$244+(1-(67&gt;Corte)*(67&lt;=Corte+n_Ventana)*ISNUMBER(Detalle_24m!BT$220:BT$244))*FC_V*(1+FC_g)^(BT$173-1)*((FC_Desde=0)*(BT$172+BT$171)+(FC_Desde&gt;=1)*(BT$170&gt;=FC_Desde)*BT$171)))</f>
        <v>4651.14794123623</v>
      </c>
      <c r="BU242" s="48" t="n">
        <f aca="false">SUMPRODUCT((FC_Clase="Producción")*((FC_Mon="PYG")*BU$175+(FC_Mon&lt;&gt;"PYG"))*((68&gt;Corte)*(68&lt;=Corte+n_Ventana)*ISNUMBER(Detalle_24m!BU$220:BU$244)*Detalle_24m!BU$220:BU$244+(1-(68&gt;Corte)*(68&lt;=Corte+n_Ventana)*ISNUMBER(Detalle_24m!BU$220:BU$244))*FC_V*(1+FC_g)^(BU$173-1)*((FC_Desde=0)*(BU$172+BU$171)+(FC_Desde&gt;=1)*(BU$170&gt;=FC_Desde)*BU$171)))</f>
        <v>4651.14794123623</v>
      </c>
      <c r="BV242" s="48" t="n">
        <f aca="false">SUMPRODUCT((FC_Clase="Producción")*((FC_Mon="PYG")*BV$175+(FC_Mon&lt;&gt;"PYG"))*((69&gt;Corte)*(69&lt;=Corte+n_Ventana)*ISNUMBER(Detalle_24m!BV$220:BV$244)*Detalle_24m!BV$220:BV$244+(1-(69&gt;Corte)*(69&lt;=Corte+n_Ventana)*ISNUMBER(Detalle_24m!BV$220:BV$244))*FC_V*(1+FC_g)^(BV$173-1)*((FC_Desde=0)*(BV$172+BV$171)+(FC_Desde&gt;=1)*(BV$170&gt;=FC_Desde)*BV$171)))</f>
        <v>4651.14794123623</v>
      </c>
      <c r="BW242" s="48" t="n">
        <f aca="false">SUMPRODUCT((FC_Clase="Producción")*((FC_Mon="PYG")*BW$175+(FC_Mon&lt;&gt;"PYG"))*((70&gt;Corte)*(70&lt;=Corte+n_Ventana)*ISNUMBER(Detalle_24m!BW$220:BW$244)*Detalle_24m!BW$220:BW$244+(1-(70&gt;Corte)*(70&lt;=Corte+n_Ventana)*ISNUMBER(Detalle_24m!BW$220:BW$244))*FC_V*(1+FC_g)^(BW$173-1)*((FC_Desde=0)*(BW$172+BW$171)+(FC_Desde&gt;=1)*(BW$170&gt;=FC_Desde)*BW$171)))</f>
        <v>4651.14794123623</v>
      </c>
      <c r="BX242" s="48" t="n">
        <f aca="false">SUMPRODUCT((FC_Clase="Producción")*((FC_Mon="PYG")*BX$175+(FC_Mon&lt;&gt;"PYG"))*((71&gt;Corte)*(71&lt;=Corte+n_Ventana)*ISNUMBER(Detalle_24m!BX$220:BX$244)*Detalle_24m!BX$220:BX$244+(1-(71&gt;Corte)*(71&lt;=Corte+n_Ventana)*ISNUMBER(Detalle_24m!BX$220:BX$244))*FC_V*(1+FC_g)^(BX$173-1)*((FC_Desde=0)*(BX$172+BX$171)+(FC_Desde&gt;=1)*(BX$170&gt;=FC_Desde)*BX$171)))</f>
        <v>4651.14794123623</v>
      </c>
      <c r="BY242" s="48" t="n">
        <f aca="false">SUMPRODUCT((FC_Clase="Producción")*((FC_Mon="PYG")*BY$175+(FC_Mon&lt;&gt;"PYG"))*((72&gt;Corte)*(72&lt;=Corte+n_Ventana)*ISNUMBER(Detalle_24m!BY$220:BY$244)*Detalle_24m!BY$220:BY$244+(1-(72&gt;Corte)*(72&lt;=Corte+n_Ventana)*ISNUMBER(Detalle_24m!BY$220:BY$244))*FC_V*(1+FC_g)^(BY$173-1)*((FC_Desde=0)*(BY$172+BY$171)+(FC_Desde&gt;=1)*(BY$170&gt;=FC_Desde)*BY$171)))</f>
        <v>4651.14794123623</v>
      </c>
      <c r="BZ242" s="48" t="n">
        <f aca="false">SUMPRODUCT((FC_Clase="Producción")*((FC_Mon="PYG")*BZ$175+(FC_Mon&lt;&gt;"PYG"))*((73&gt;Corte)*(73&lt;=Corte+n_Ventana)*ISNUMBER(Detalle_24m!BZ$220:BZ$244)*Detalle_24m!BZ$220:BZ$244+(1-(73&gt;Corte)*(73&lt;=Corte+n_Ventana)*ISNUMBER(Detalle_24m!BZ$220:BZ$244))*FC_V*(1+FC_g)^(BZ$173-1)*((FC_Desde=0)*(BZ$172+BZ$171)+(FC_Desde&gt;=1)*(BZ$170&gt;=FC_Desde)*BZ$171)))</f>
        <v>4705.81473567739</v>
      </c>
      <c r="CA242" s="48" t="n">
        <f aca="false">SUMPRODUCT((FC_Clase="Producción")*((FC_Mon="PYG")*CA$175+(FC_Mon&lt;&gt;"PYG"))*((74&gt;Corte)*(74&lt;=Corte+n_Ventana)*ISNUMBER(Detalle_24m!CA$220:CA$244)*Detalle_24m!CA$220:CA$244+(1-(74&gt;Corte)*(74&lt;=Corte+n_Ventana)*ISNUMBER(Detalle_24m!CA$220:CA$244))*FC_V*(1+FC_g)^(CA$173-1)*((FC_Desde=0)*(CA$172+CA$171)+(FC_Desde&gt;=1)*(CA$170&gt;=FC_Desde)*CA$171)))</f>
        <v>4705.81473567739</v>
      </c>
      <c r="CB242" s="48" t="n">
        <f aca="false">SUMPRODUCT((FC_Clase="Producción")*((FC_Mon="PYG")*CB$175+(FC_Mon&lt;&gt;"PYG"))*((75&gt;Corte)*(75&lt;=Corte+n_Ventana)*ISNUMBER(Detalle_24m!CB$220:CB$244)*Detalle_24m!CB$220:CB$244+(1-(75&gt;Corte)*(75&lt;=Corte+n_Ventana)*ISNUMBER(Detalle_24m!CB$220:CB$244))*FC_V*(1+FC_g)^(CB$173-1)*((FC_Desde=0)*(CB$172+CB$171)+(FC_Desde&gt;=1)*(CB$170&gt;=FC_Desde)*CB$171)))</f>
        <v>4705.81473567739</v>
      </c>
      <c r="CC242" s="48" t="n">
        <f aca="false">SUMPRODUCT((FC_Clase="Producción")*((FC_Mon="PYG")*CC$175+(FC_Mon&lt;&gt;"PYG"))*((76&gt;Corte)*(76&lt;=Corte+n_Ventana)*ISNUMBER(Detalle_24m!CC$220:CC$244)*Detalle_24m!CC$220:CC$244+(1-(76&gt;Corte)*(76&lt;=Corte+n_Ventana)*ISNUMBER(Detalle_24m!CC$220:CC$244))*FC_V*(1+FC_g)^(CC$173-1)*((FC_Desde=0)*(CC$172+CC$171)+(FC_Desde&gt;=1)*(CC$170&gt;=FC_Desde)*CC$171)))</f>
        <v>4705.81473567739</v>
      </c>
      <c r="CD242" s="48" t="n">
        <f aca="false">SUMPRODUCT((FC_Clase="Producción")*((FC_Mon="PYG")*CD$175+(FC_Mon&lt;&gt;"PYG"))*((77&gt;Corte)*(77&lt;=Corte+n_Ventana)*ISNUMBER(Detalle_24m!CD$220:CD$244)*Detalle_24m!CD$220:CD$244+(1-(77&gt;Corte)*(77&lt;=Corte+n_Ventana)*ISNUMBER(Detalle_24m!CD$220:CD$244))*FC_V*(1+FC_g)^(CD$173-1)*((FC_Desde=0)*(CD$172+CD$171)+(FC_Desde&gt;=1)*(CD$170&gt;=FC_Desde)*CD$171)))</f>
        <v>4705.81473567739</v>
      </c>
      <c r="CE242" s="48" t="n">
        <f aca="false">SUMPRODUCT((FC_Clase="Producción")*((FC_Mon="PYG")*CE$175+(FC_Mon&lt;&gt;"PYG"))*((78&gt;Corte)*(78&lt;=Corte+n_Ventana)*ISNUMBER(Detalle_24m!CE$220:CE$244)*Detalle_24m!CE$220:CE$244+(1-(78&gt;Corte)*(78&lt;=Corte+n_Ventana)*ISNUMBER(Detalle_24m!CE$220:CE$244))*FC_V*(1+FC_g)^(CE$173-1)*((FC_Desde=0)*(CE$172+CE$171)+(FC_Desde&gt;=1)*(CE$170&gt;=FC_Desde)*CE$171)))</f>
        <v>4705.81473567739</v>
      </c>
      <c r="CF242" s="48" t="n">
        <f aca="false">SUMPRODUCT((FC_Clase="Producción")*((FC_Mon="PYG")*CF$175+(FC_Mon&lt;&gt;"PYG"))*((79&gt;Corte)*(79&lt;=Corte+n_Ventana)*ISNUMBER(Detalle_24m!CF$220:CF$244)*Detalle_24m!CF$220:CF$244+(1-(79&gt;Corte)*(79&lt;=Corte+n_Ventana)*ISNUMBER(Detalle_24m!CF$220:CF$244))*FC_V*(1+FC_g)^(CF$173-1)*((FC_Desde=0)*(CF$172+CF$171)+(FC_Desde&gt;=1)*(CF$170&gt;=FC_Desde)*CF$171)))</f>
        <v>4705.81473567739</v>
      </c>
      <c r="CG242" s="48" t="n">
        <f aca="false">SUMPRODUCT((FC_Clase="Producción")*((FC_Mon="PYG")*CG$175+(FC_Mon&lt;&gt;"PYG"))*((80&gt;Corte)*(80&lt;=Corte+n_Ventana)*ISNUMBER(Detalle_24m!CG$220:CG$244)*Detalle_24m!CG$220:CG$244+(1-(80&gt;Corte)*(80&lt;=Corte+n_Ventana)*ISNUMBER(Detalle_24m!CG$220:CG$244))*FC_V*(1+FC_g)^(CG$173-1)*((FC_Desde=0)*(CG$172+CG$171)+(FC_Desde&gt;=1)*(CG$170&gt;=FC_Desde)*CG$171)))</f>
        <v>4705.81473567739</v>
      </c>
      <c r="CH242" s="48" t="n">
        <f aca="false">SUMPRODUCT((FC_Clase="Producción")*((FC_Mon="PYG")*CH$175+(FC_Mon&lt;&gt;"PYG"))*((81&gt;Corte)*(81&lt;=Corte+n_Ventana)*ISNUMBER(Detalle_24m!CH$220:CH$244)*Detalle_24m!CH$220:CH$244+(1-(81&gt;Corte)*(81&lt;=Corte+n_Ventana)*ISNUMBER(Detalle_24m!CH$220:CH$244))*FC_V*(1+FC_g)^(CH$173-1)*((FC_Desde=0)*(CH$172+CH$171)+(FC_Desde&gt;=1)*(CH$170&gt;=FC_Desde)*CH$171)))</f>
        <v>4705.81473567739</v>
      </c>
      <c r="CI242" s="48" t="n">
        <f aca="false">SUMPRODUCT((FC_Clase="Producción")*((FC_Mon="PYG")*CI$175+(FC_Mon&lt;&gt;"PYG"))*((82&gt;Corte)*(82&lt;=Corte+n_Ventana)*ISNUMBER(Detalle_24m!CI$220:CI$244)*Detalle_24m!CI$220:CI$244+(1-(82&gt;Corte)*(82&lt;=Corte+n_Ventana)*ISNUMBER(Detalle_24m!CI$220:CI$244))*FC_V*(1+FC_g)^(CI$173-1)*((FC_Desde=0)*(CI$172+CI$171)+(FC_Desde&gt;=1)*(CI$170&gt;=FC_Desde)*CI$171)))</f>
        <v>4705.81473567739</v>
      </c>
      <c r="CJ242" s="48" t="n">
        <f aca="false">SUMPRODUCT((FC_Clase="Producción")*((FC_Mon="PYG")*CJ$175+(FC_Mon&lt;&gt;"PYG"))*((83&gt;Corte)*(83&lt;=Corte+n_Ventana)*ISNUMBER(Detalle_24m!CJ$220:CJ$244)*Detalle_24m!CJ$220:CJ$244+(1-(83&gt;Corte)*(83&lt;=Corte+n_Ventana)*ISNUMBER(Detalle_24m!CJ$220:CJ$244))*FC_V*(1+FC_g)^(CJ$173-1)*((FC_Desde=0)*(CJ$172+CJ$171)+(FC_Desde&gt;=1)*(CJ$170&gt;=FC_Desde)*CJ$171)))</f>
        <v>4705.81473567739</v>
      </c>
      <c r="CK242" s="48" t="n">
        <f aca="false">SUMPRODUCT((FC_Clase="Producción")*((FC_Mon="PYG")*CK$175+(FC_Mon&lt;&gt;"PYG"))*((84&gt;Corte)*(84&lt;=Corte+n_Ventana)*ISNUMBER(Detalle_24m!CK$220:CK$244)*Detalle_24m!CK$220:CK$244+(1-(84&gt;Corte)*(84&lt;=Corte+n_Ventana)*ISNUMBER(Detalle_24m!CK$220:CK$244))*FC_V*(1+FC_g)^(CK$173-1)*((FC_Desde=0)*(CK$172+CK$171)+(FC_Desde&gt;=1)*(CK$170&gt;=FC_Desde)*CK$171)))</f>
        <v>4705.81473567739</v>
      </c>
      <c r="CL242" s="48" t="n">
        <f aca="false">SUMPRODUCT((FC_Clase="Producción")*((FC_Mon="PYG")*CL$175+(FC_Mon&lt;&gt;"PYG"))*((85&gt;Corte)*(85&lt;=Corte+n_Ventana)*ISNUMBER(Detalle_24m!CL$220:CL$244)*Detalle_24m!CL$220:CL$244+(1-(85&gt;Corte)*(85&lt;=Corte+n_Ventana)*ISNUMBER(Detalle_24m!CL$220:CL$244))*FC_V*(1+FC_g)^(CL$173-1)*((FC_Desde=0)*(CL$172+CL$171)+(FC_Desde&gt;=1)*(CL$170&gt;=FC_Desde)*CL$171)))</f>
        <v>4761.57486600738</v>
      </c>
      <c r="CM242" s="48" t="n">
        <f aca="false">SUMPRODUCT((FC_Clase="Producción")*((FC_Mon="PYG")*CM$175+(FC_Mon&lt;&gt;"PYG"))*((86&gt;Corte)*(86&lt;=Corte+n_Ventana)*ISNUMBER(Detalle_24m!CM$220:CM$244)*Detalle_24m!CM$220:CM$244+(1-(86&gt;Corte)*(86&lt;=Corte+n_Ventana)*ISNUMBER(Detalle_24m!CM$220:CM$244))*FC_V*(1+FC_g)^(CM$173-1)*((FC_Desde=0)*(CM$172+CM$171)+(FC_Desde&gt;=1)*(CM$170&gt;=FC_Desde)*CM$171)))</f>
        <v>4761.57486600738</v>
      </c>
      <c r="CN242" s="48" t="n">
        <f aca="false">SUMPRODUCT((FC_Clase="Producción")*((FC_Mon="PYG")*CN$175+(FC_Mon&lt;&gt;"PYG"))*((87&gt;Corte)*(87&lt;=Corte+n_Ventana)*ISNUMBER(Detalle_24m!CN$220:CN$244)*Detalle_24m!CN$220:CN$244+(1-(87&gt;Corte)*(87&lt;=Corte+n_Ventana)*ISNUMBER(Detalle_24m!CN$220:CN$244))*FC_V*(1+FC_g)^(CN$173-1)*((FC_Desde=0)*(CN$172+CN$171)+(FC_Desde&gt;=1)*(CN$170&gt;=FC_Desde)*CN$171)))</f>
        <v>4761.57486600738</v>
      </c>
      <c r="CO242" s="48" t="n">
        <f aca="false">SUMPRODUCT((FC_Clase="Producción")*((FC_Mon="PYG")*CO$175+(FC_Mon&lt;&gt;"PYG"))*((88&gt;Corte)*(88&lt;=Corte+n_Ventana)*ISNUMBER(Detalle_24m!CO$220:CO$244)*Detalle_24m!CO$220:CO$244+(1-(88&gt;Corte)*(88&lt;=Corte+n_Ventana)*ISNUMBER(Detalle_24m!CO$220:CO$244))*FC_V*(1+FC_g)^(CO$173-1)*((FC_Desde=0)*(CO$172+CO$171)+(FC_Desde&gt;=1)*(CO$170&gt;=FC_Desde)*CO$171)))</f>
        <v>4761.57486600738</v>
      </c>
      <c r="CP242" s="48" t="n">
        <f aca="false">SUMPRODUCT((FC_Clase="Producción")*((FC_Mon="PYG")*CP$175+(FC_Mon&lt;&gt;"PYG"))*((89&gt;Corte)*(89&lt;=Corte+n_Ventana)*ISNUMBER(Detalle_24m!CP$220:CP$244)*Detalle_24m!CP$220:CP$244+(1-(89&gt;Corte)*(89&lt;=Corte+n_Ventana)*ISNUMBER(Detalle_24m!CP$220:CP$244))*FC_V*(1+FC_g)^(CP$173-1)*((FC_Desde=0)*(CP$172+CP$171)+(FC_Desde&gt;=1)*(CP$170&gt;=FC_Desde)*CP$171)))</f>
        <v>4761.57486600738</v>
      </c>
      <c r="CQ242" s="48" t="n">
        <f aca="false">SUMPRODUCT((FC_Clase="Producción")*((FC_Mon="PYG")*CQ$175+(FC_Mon&lt;&gt;"PYG"))*((90&gt;Corte)*(90&lt;=Corte+n_Ventana)*ISNUMBER(Detalle_24m!CQ$220:CQ$244)*Detalle_24m!CQ$220:CQ$244+(1-(90&gt;Corte)*(90&lt;=Corte+n_Ventana)*ISNUMBER(Detalle_24m!CQ$220:CQ$244))*FC_V*(1+FC_g)^(CQ$173-1)*((FC_Desde=0)*(CQ$172+CQ$171)+(FC_Desde&gt;=1)*(CQ$170&gt;=FC_Desde)*CQ$171)))</f>
        <v>4761.57486600738</v>
      </c>
      <c r="CR242" s="48" t="n">
        <f aca="false">SUMPRODUCT((FC_Clase="Producción")*((FC_Mon="PYG")*CR$175+(FC_Mon&lt;&gt;"PYG"))*((91&gt;Corte)*(91&lt;=Corte+n_Ventana)*ISNUMBER(Detalle_24m!CR$220:CR$244)*Detalle_24m!CR$220:CR$244+(1-(91&gt;Corte)*(91&lt;=Corte+n_Ventana)*ISNUMBER(Detalle_24m!CR$220:CR$244))*FC_V*(1+FC_g)^(CR$173-1)*((FC_Desde=0)*(CR$172+CR$171)+(FC_Desde&gt;=1)*(CR$170&gt;=FC_Desde)*CR$171)))</f>
        <v>4761.57486600738</v>
      </c>
      <c r="CS242" s="48" t="n">
        <f aca="false">SUMPRODUCT((FC_Clase="Producción")*((FC_Mon="PYG")*CS$175+(FC_Mon&lt;&gt;"PYG"))*((92&gt;Corte)*(92&lt;=Corte+n_Ventana)*ISNUMBER(Detalle_24m!CS$220:CS$244)*Detalle_24m!CS$220:CS$244+(1-(92&gt;Corte)*(92&lt;=Corte+n_Ventana)*ISNUMBER(Detalle_24m!CS$220:CS$244))*FC_V*(1+FC_g)^(CS$173-1)*((FC_Desde=0)*(CS$172+CS$171)+(FC_Desde&gt;=1)*(CS$170&gt;=FC_Desde)*CS$171)))</f>
        <v>4761.57486600738</v>
      </c>
      <c r="CT242" s="48" t="n">
        <f aca="false">SUMPRODUCT((FC_Clase="Producción")*((FC_Mon="PYG")*CT$175+(FC_Mon&lt;&gt;"PYG"))*((93&gt;Corte)*(93&lt;=Corte+n_Ventana)*ISNUMBER(Detalle_24m!CT$220:CT$244)*Detalle_24m!CT$220:CT$244+(1-(93&gt;Corte)*(93&lt;=Corte+n_Ventana)*ISNUMBER(Detalle_24m!CT$220:CT$244))*FC_V*(1+FC_g)^(CT$173-1)*((FC_Desde=0)*(CT$172+CT$171)+(FC_Desde&gt;=1)*(CT$170&gt;=FC_Desde)*CT$171)))</f>
        <v>4761.57486600738</v>
      </c>
      <c r="CU242" s="48" t="n">
        <f aca="false">SUMPRODUCT((FC_Clase="Producción")*((FC_Mon="PYG")*CU$175+(FC_Mon&lt;&gt;"PYG"))*((94&gt;Corte)*(94&lt;=Corte+n_Ventana)*ISNUMBER(Detalle_24m!CU$220:CU$244)*Detalle_24m!CU$220:CU$244+(1-(94&gt;Corte)*(94&lt;=Corte+n_Ventana)*ISNUMBER(Detalle_24m!CU$220:CU$244))*FC_V*(1+FC_g)^(CU$173-1)*((FC_Desde=0)*(CU$172+CU$171)+(FC_Desde&gt;=1)*(CU$170&gt;=FC_Desde)*CU$171)))</f>
        <v>4761.57486600738</v>
      </c>
      <c r="CV242" s="48" t="n">
        <f aca="false">SUMPRODUCT((FC_Clase="Producción")*((FC_Mon="PYG")*CV$175+(FC_Mon&lt;&gt;"PYG"))*((95&gt;Corte)*(95&lt;=Corte+n_Ventana)*ISNUMBER(Detalle_24m!CV$220:CV$244)*Detalle_24m!CV$220:CV$244+(1-(95&gt;Corte)*(95&lt;=Corte+n_Ventana)*ISNUMBER(Detalle_24m!CV$220:CV$244))*FC_V*(1+FC_g)^(CV$173-1)*((FC_Desde=0)*(CV$172+CV$171)+(FC_Desde&gt;=1)*(CV$170&gt;=FC_Desde)*CV$171)))</f>
        <v>4761.57486600738</v>
      </c>
      <c r="CW242" s="48" t="n">
        <f aca="false">SUMPRODUCT((FC_Clase="Producción")*((FC_Mon="PYG")*CW$175+(FC_Mon&lt;&gt;"PYG"))*((96&gt;Corte)*(96&lt;=Corte+n_Ventana)*ISNUMBER(Detalle_24m!CW$220:CW$244)*Detalle_24m!CW$220:CW$244+(1-(96&gt;Corte)*(96&lt;=Corte+n_Ventana)*ISNUMBER(Detalle_24m!CW$220:CW$244))*FC_V*(1+FC_g)^(CW$173-1)*((FC_Desde=0)*(CW$172+CW$171)+(FC_Desde&gt;=1)*(CW$170&gt;=FC_Desde)*CW$171)))</f>
        <v>4761.57486600738</v>
      </c>
      <c r="CX242" s="48" t="n">
        <f aca="false">SUMPRODUCT((FC_Clase="Producción")*((FC_Mon="PYG")*CX$175+(FC_Mon&lt;&gt;"PYG"))*((97&gt;Corte)*(97&lt;=Corte+n_Ventana)*ISNUMBER(Detalle_24m!CX$220:CX$244)*Detalle_24m!CX$220:CX$244+(1-(97&gt;Corte)*(97&lt;=Corte+n_Ventana)*ISNUMBER(Detalle_24m!CX$220:CX$244))*FC_V*(1+FC_g)^(CX$173-1)*((FC_Desde=0)*(CX$172+CX$171)+(FC_Desde&gt;=1)*(CX$170&gt;=FC_Desde)*CX$171)))</f>
        <v>4818.45019894396</v>
      </c>
      <c r="CY242" s="48" t="n">
        <f aca="false">SUMPRODUCT((FC_Clase="Producción")*((FC_Mon="PYG")*CY$175+(FC_Mon&lt;&gt;"PYG"))*((98&gt;Corte)*(98&lt;=Corte+n_Ventana)*ISNUMBER(Detalle_24m!CY$220:CY$244)*Detalle_24m!CY$220:CY$244+(1-(98&gt;Corte)*(98&lt;=Corte+n_Ventana)*ISNUMBER(Detalle_24m!CY$220:CY$244))*FC_V*(1+FC_g)^(CY$173-1)*((FC_Desde=0)*(CY$172+CY$171)+(FC_Desde&gt;=1)*(CY$170&gt;=FC_Desde)*CY$171)))</f>
        <v>4818.45019894396</v>
      </c>
      <c r="CZ242" s="48" t="n">
        <f aca="false">SUMPRODUCT((FC_Clase="Producción")*((FC_Mon="PYG")*CZ$175+(FC_Mon&lt;&gt;"PYG"))*((99&gt;Corte)*(99&lt;=Corte+n_Ventana)*ISNUMBER(Detalle_24m!CZ$220:CZ$244)*Detalle_24m!CZ$220:CZ$244+(1-(99&gt;Corte)*(99&lt;=Corte+n_Ventana)*ISNUMBER(Detalle_24m!CZ$220:CZ$244))*FC_V*(1+FC_g)^(CZ$173-1)*((FC_Desde=0)*(CZ$172+CZ$171)+(FC_Desde&gt;=1)*(CZ$170&gt;=FC_Desde)*CZ$171)))</f>
        <v>4818.45019894396</v>
      </c>
      <c r="DA242" s="48" t="n">
        <f aca="false">SUMPRODUCT((FC_Clase="Producción")*((FC_Mon="PYG")*DA$175+(FC_Mon&lt;&gt;"PYG"))*((100&gt;Corte)*(100&lt;=Corte+n_Ventana)*ISNUMBER(Detalle_24m!DA$220:DA$244)*Detalle_24m!DA$220:DA$244+(1-(100&gt;Corte)*(100&lt;=Corte+n_Ventana)*ISNUMBER(Detalle_24m!DA$220:DA$244))*FC_V*(1+FC_g)^(DA$173-1)*((FC_Desde=0)*(DA$172+DA$171)+(FC_Desde&gt;=1)*(DA$170&gt;=FC_Desde)*DA$171)))</f>
        <v>4818.45019894396</v>
      </c>
      <c r="DB242" s="48" t="n">
        <f aca="false">SUMPRODUCT((FC_Clase="Producción")*((FC_Mon="PYG")*DB$175+(FC_Mon&lt;&gt;"PYG"))*((101&gt;Corte)*(101&lt;=Corte+n_Ventana)*ISNUMBER(Detalle_24m!DB$220:DB$244)*Detalle_24m!DB$220:DB$244+(1-(101&gt;Corte)*(101&lt;=Corte+n_Ventana)*ISNUMBER(Detalle_24m!DB$220:DB$244))*FC_V*(1+FC_g)^(DB$173-1)*((FC_Desde=0)*(DB$172+DB$171)+(FC_Desde&gt;=1)*(DB$170&gt;=FC_Desde)*DB$171)))</f>
        <v>4818.45019894396</v>
      </c>
      <c r="DC242" s="48" t="n">
        <f aca="false">SUMPRODUCT((FC_Clase="Producción")*((FC_Mon="PYG")*DC$175+(FC_Mon&lt;&gt;"PYG"))*((102&gt;Corte)*(102&lt;=Corte+n_Ventana)*ISNUMBER(Detalle_24m!DC$220:DC$244)*Detalle_24m!DC$220:DC$244+(1-(102&gt;Corte)*(102&lt;=Corte+n_Ventana)*ISNUMBER(Detalle_24m!DC$220:DC$244))*FC_V*(1+FC_g)^(DC$173-1)*((FC_Desde=0)*(DC$172+DC$171)+(FC_Desde&gt;=1)*(DC$170&gt;=FC_Desde)*DC$171)))</f>
        <v>4818.45019894396</v>
      </c>
      <c r="DD242" s="48" t="n">
        <f aca="false">SUMPRODUCT((FC_Clase="Producción")*((FC_Mon="PYG")*DD$175+(FC_Mon&lt;&gt;"PYG"))*((103&gt;Corte)*(103&lt;=Corte+n_Ventana)*ISNUMBER(Detalle_24m!DD$220:DD$244)*Detalle_24m!DD$220:DD$244+(1-(103&gt;Corte)*(103&lt;=Corte+n_Ventana)*ISNUMBER(Detalle_24m!DD$220:DD$244))*FC_V*(1+FC_g)^(DD$173-1)*((FC_Desde=0)*(DD$172+DD$171)+(FC_Desde&gt;=1)*(DD$170&gt;=FC_Desde)*DD$171)))</f>
        <v>4818.45019894396</v>
      </c>
      <c r="DE242" s="48" t="n">
        <f aca="false">SUMPRODUCT((FC_Clase="Producción")*((FC_Mon="PYG")*DE$175+(FC_Mon&lt;&gt;"PYG"))*((104&gt;Corte)*(104&lt;=Corte+n_Ventana)*ISNUMBER(Detalle_24m!DE$220:DE$244)*Detalle_24m!DE$220:DE$244+(1-(104&gt;Corte)*(104&lt;=Corte+n_Ventana)*ISNUMBER(Detalle_24m!DE$220:DE$244))*FC_V*(1+FC_g)^(DE$173-1)*((FC_Desde=0)*(DE$172+DE$171)+(FC_Desde&gt;=1)*(DE$170&gt;=FC_Desde)*DE$171)))</f>
        <v>4818.45019894396</v>
      </c>
      <c r="DF242" s="48" t="n">
        <f aca="false">SUMPRODUCT((FC_Clase="Producción")*((FC_Mon="PYG")*DF$175+(FC_Mon&lt;&gt;"PYG"))*((105&gt;Corte)*(105&lt;=Corte+n_Ventana)*ISNUMBER(Detalle_24m!DF$220:DF$244)*Detalle_24m!DF$220:DF$244+(1-(105&gt;Corte)*(105&lt;=Corte+n_Ventana)*ISNUMBER(Detalle_24m!DF$220:DF$244))*FC_V*(1+FC_g)^(DF$173-1)*((FC_Desde=0)*(DF$172+DF$171)+(FC_Desde&gt;=1)*(DF$170&gt;=FC_Desde)*DF$171)))</f>
        <v>4818.45019894396</v>
      </c>
      <c r="DG242" s="48" t="n">
        <f aca="false">SUMPRODUCT((FC_Clase="Producción")*((FC_Mon="PYG")*DG$175+(FC_Mon&lt;&gt;"PYG"))*((106&gt;Corte)*(106&lt;=Corte+n_Ventana)*ISNUMBER(Detalle_24m!DG$220:DG$244)*Detalle_24m!DG$220:DG$244+(1-(106&gt;Corte)*(106&lt;=Corte+n_Ventana)*ISNUMBER(Detalle_24m!DG$220:DG$244))*FC_V*(1+FC_g)^(DG$173-1)*((FC_Desde=0)*(DG$172+DG$171)+(FC_Desde&gt;=1)*(DG$170&gt;=FC_Desde)*DG$171)))</f>
        <v>4818.45019894396</v>
      </c>
      <c r="DH242" s="48" t="n">
        <f aca="false">SUMPRODUCT((FC_Clase="Producción")*((FC_Mon="PYG")*DH$175+(FC_Mon&lt;&gt;"PYG"))*((107&gt;Corte)*(107&lt;=Corte+n_Ventana)*ISNUMBER(Detalle_24m!DH$220:DH$244)*Detalle_24m!DH$220:DH$244+(1-(107&gt;Corte)*(107&lt;=Corte+n_Ventana)*ISNUMBER(Detalle_24m!DH$220:DH$244))*FC_V*(1+FC_g)^(DH$173-1)*((FC_Desde=0)*(DH$172+DH$171)+(FC_Desde&gt;=1)*(DH$170&gt;=FC_Desde)*DH$171)))</f>
        <v>4818.45019894396</v>
      </c>
      <c r="DI242" s="48" t="n">
        <f aca="false">SUMPRODUCT((FC_Clase="Producción")*((FC_Mon="PYG")*DI$175+(FC_Mon&lt;&gt;"PYG"))*((108&gt;Corte)*(108&lt;=Corte+n_Ventana)*ISNUMBER(Detalle_24m!DI$220:DI$244)*Detalle_24m!DI$220:DI$244+(1-(108&gt;Corte)*(108&lt;=Corte+n_Ventana)*ISNUMBER(Detalle_24m!DI$220:DI$244))*FC_V*(1+FC_g)^(DI$173-1)*((FC_Desde=0)*(DI$172+DI$171)+(FC_Desde&gt;=1)*(DI$170&gt;=FC_Desde)*DI$171)))</f>
        <v>4818.45019894396</v>
      </c>
      <c r="DJ242" s="48" t="n">
        <f aca="false">SUMPRODUCT((FC_Clase="Producción")*((FC_Mon="PYG")*DJ$175+(FC_Mon&lt;&gt;"PYG"))*((109&gt;Corte)*(109&lt;=Corte+n_Ventana)*ISNUMBER(Detalle_24m!DJ$220:DJ$244)*Detalle_24m!DJ$220:DJ$244+(1-(109&gt;Corte)*(109&lt;=Corte+n_Ventana)*ISNUMBER(Detalle_24m!DJ$220:DJ$244))*FC_V*(1+FC_g)^(DJ$173-1)*((FC_Desde=0)*(DJ$172+DJ$171)+(FC_Desde&gt;=1)*(DJ$170&gt;=FC_Desde)*DJ$171)))</f>
        <v>4876.46303853928</v>
      </c>
      <c r="DK242" s="48" t="n">
        <f aca="false">SUMPRODUCT((FC_Clase="Producción")*((FC_Mon="PYG")*DK$175+(FC_Mon&lt;&gt;"PYG"))*((110&gt;Corte)*(110&lt;=Corte+n_Ventana)*ISNUMBER(Detalle_24m!DK$220:DK$244)*Detalle_24m!DK$220:DK$244+(1-(110&gt;Corte)*(110&lt;=Corte+n_Ventana)*ISNUMBER(Detalle_24m!DK$220:DK$244))*FC_V*(1+FC_g)^(DK$173-1)*((FC_Desde=0)*(DK$172+DK$171)+(FC_Desde&gt;=1)*(DK$170&gt;=FC_Desde)*DK$171)))</f>
        <v>4876.46303853928</v>
      </c>
      <c r="DL242" s="48" t="n">
        <f aca="false">SUMPRODUCT((FC_Clase="Producción")*((FC_Mon="PYG")*DL$175+(FC_Mon&lt;&gt;"PYG"))*((111&gt;Corte)*(111&lt;=Corte+n_Ventana)*ISNUMBER(Detalle_24m!DL$220:DL$244)*Detalle_24m!DL$220:DL$244+(1-(111&gt;Corte)*(111&lt;=Corte+n_Ventana)*ISNUMBER(Detalle_24m!DL$220:DL$244))*FC_V*(1+FC_g)^(DL$173-1)*((FC_Desde=0)*(DL$172+DL$171)+(FC_Desde&gt;=1)*(DL$170&gt;=FC_Desde)*DL$171)))</f>
        <v>4876.46303853928</v>
      </c>
      <c r="DM242" s="48" t="n">
        <f aca="false">SUMPRODUCT((FC_Clase="Producción")*((FC_Mon="PYG")*DM$175+(FC_Mon&lt;&gt;"PYG"))*((112&gt;Corte)*(112&lt;=Corte+n_Ventana)*ISNUMBER(Detalle_24m!DM$220:DM$244)*Detalle_24m!DM$220:DM$244+(1-(112&gt;Corte)*(112&lt;=Corte+n_Ventana)*ISNUMBER(Detalle_24m!DM$220:DM$244))*FC_V*(1+FC_g)^(DM$173-1)*((FC_Desde=0)*(DM$172+DM$171)+(FC_Desde&gt;=1)*(DM$170&gt;=FC_Desde)*DM$171)))</f>
        <v>4876.46303853928</v>
      </c>
      <c r="DN242" s="48" t="n">
        <f aca="false">SUMPRODUCT((FC_Clase="Producción")*((FC_Mon="PYG")*DN$175+(FC_Mon&lt;&gt;"PYG"))*((113&gt;Corte)*(113&lt;=Corte+n_Ventana)*ISNUMBER(Detalle_24m!DN$220:DN$244)*Detalle_24m!DN$220:DN$244+(1-(113&gt;Corte)*(113&lt;=Corte+n_Ventana)*ISNUMBER(Detalle_24m!DN$220:DN$244))*FC_V*(1+FC_g)^(DN$173-1)*((FC_Desde=0)*(DN$172+DN$171)+(FC_Desde&gt;=1)*(DN$170&gt;=FC_Desde)*DN$171)))</f>
        <v>4876.46303853928</v>
      </c>
      <c r="DO242" s="48" t="n">
        <f aca="false">SUMPRODUCT((FC_Clase="Producción")*((FC_Mon="PYG")*DO$175+(FC_Mon&lt;&gt;"PYG"))*((114&gt;Corte)*(114&lt;=Corte+n_Ventana)*ISNUMBER(Detalle_24m!DO$220:DO$244)*Detalle_24m!DO$220:DO$244+(1-(114&gt;Corte)*(114&lt;=Corte+n_Ventana)*ISNUMBER(Detalle_24m!DO$220:DO$244))*FC_V*(1+FC_g)^(DO$173-1)*((FC_Desde=0)*(DO$172+DO$171)+(FC_Desde&gt;=1)*(DO$170&gt;=FC_Desde)*DO$171)))</f>
        <v>4876.46303853928</v>
      </c>
      <c r="DP242" s="48" t="n">
        <f aca="false">SUMPRODUCT((FC_Clase="Producción")*((FC_Mon="PYG")*DP$175+(FC_Mon&lt;&gt;"PYG"))*((115&gt;Corte)*(115&lt;=Corte+n_Ventana)*ISNUMBER(Detalle_24m!DP$220:DP$244)*Detalle_24m!DP$220:DP$244+(1-(115&gt;Corte)*(115&lt;=Corte+n_Ventana)*ISNUMBER(Detalle_24m!DP$220:DP$244))*FC_V*(1+FC_g)^(DP$173-1)*((FC_Desde=0)*(DP$172+DP$171)+(FC_Desde&gt;=1)*(DP$170&gt;=FC_Desde)*DP$171)))</f>
        <v>4876.46303853928</v>
      </c>
      <c r="DQ242" s="48" t="n">
        <f aca="false">SUMPRODUCT((FC_Clase="Producción")*((FC_Mon="PYG")*DQ$175+(FC_Mon&lt;&gt;"PYG"))*((116&gt;Corte)*(116&lt;=Corte+n_Ventana)*ISNUMBER(Detalle_24m!DQ$220:DQ$244)*Detalle_24m!DQ$220:DQ$244+(1-(116&gt;Corte)*(116&lt;=Corte+n_Ventana)*ISNUMBER(Detalle_24m!DQ$220:DQ$244))*FC_V*(1+FC_g)^(DQ$173-1)*((FC_Desde=0)*(DQ$172+DQ$171)+(FC_Desde&gt;=1)*(DQ$170&gt;=FC_Desde)*DQ$171)))</f>
        <v>4876.46303853928</v>
      </c>
      <c r="DR242" s="48" t="n">
        <f aca="false">SUMPRODUCT((FC_Clase="Producción")*((FC_Mon="PYG")*DR$175+(FC_Mon&lt;&gt;"PYG"))*((117&gt;Corte)*(117&lt;=Corte+n_Ventana)*ISNUMBER(Detalle_24m!DR$220:DR$244)*Detalle_24m!DR$220:DR$244+(1-(117&gt;Corte)*(117&lt;=Corte+n_Ventana)*ISNUMBER(Detalle_24m!DR$220:DR$244))*FC_V*(1+FC_g)^(DR$173-1)*((FC_Desde=0)*(DR$172+DR$171)+(FC_Desde&gt;=1)*(DR$170&gt;=FC_Desde)*DR$171)))</f>
        <v>4876.46303853928</v>
      </c>
      <c r="DS242" s="48" t="n">
        <f aca="false">SUMPRODUCT((FC_Clase="Producción")*((FC_Mon="PYG")*DS$175+(FC_Mon&lt;&gt;"PYG"))*((118&gt;Corte)*(118&lt;=Corte+n_Ventana)*ISNUMBER(Detalle_24m!DS$220:DS$244)*Detalle_24m!DS$220:DS$244+(1-(118&gt;Corte)*(118&lt;=Corte+n_Ventana)*ISNUMBER(Detalle_24m!DS$220:DS$244))*FC_V*(1+FC_g)^(DS$173-1)*((FC_Desde=0)*(DS$172+DS$171)+(FC_Desde&gt;=1)*(DS$170&gt;=FC_Desde)*DS$171)))</f>
        <v>4876.46303853928</v>
      </c>
      <c r="DT242" s="48" t="n">
        <f aca="false">SUMPRODUCT((FC_Clase="Producción")*((FC_Mon="PYG")*DT$175+(FC_Mon&lt;&gt;"PYG"))*((119&gt;Corte)*(119&lt;=Corte+n_Ventana)*ISNUMBER(Detalle_24m!DT$220:DT$244)*Detalle_24m!DT$220:DT$244+(1-(119&gt;Corte)*(119&lt;=Corte+n_Ventana)*ISNUMBER(Detalle_24m!DT$220:DT$244))*FC_V*(1+FC_g)^(DT$173-1)*((FC_Desde=0)*(DT$172+DT$171)+(FC_Desde&gt;=1)*(DT$170&gt;=FC_Desde)*DT$171)))</f>
        <v>4876.46303853928</v>
      </c>
      <c r="DU242" s="48" t="n">
        <f aca="false">SUMPRODUCT((FC_Clase="Producción")*((FC_Mon="PYG")*DU$175+(FC_Mon&lt;&gt;"PYG"))*((120&gt;Corte)*(120&lt;=Corte+n_Ventana)*ISNUMBER(Detalle_24m!DU$220:DU$244)*Detalle_24m!DU$220:DU$244+(1-(120&gt;Corte)*(120&lt;=Corte+n_Ventana)*ISNUMBER(Detalle_24m!DU$220:DU$244))*FC_V*(1+FC_g)^(DU$173-1)*((FC_Desde=0)*(DU$172+DU$171)+(FC_Desde&gt;=1)*(DU$170&gt;=FC_Desde)*DU$171)))</f>
        <v>4876.46303853928</v>
      </c>
      <c r="DV242" s="48" t="n">
        <f aca="false">SUMPRODUCT((FC_Clase="Producción")*((FC_Mon="PYG")*DV$175+(FC_Mon&lt;&gt;"PYG"))*((121&gt;Corte)*(121&lt;=Corte+n_Ventana)*ISNUMBER(Detalle_24m!DV$220:DV$244)*Detalle_24m!DV$220:DV$244+(1-(121&gt;Corte)*(121&lt;=Corte+n_Ventana)*ISNUMBER(Detalle_24m!DV$220:DV$244))*FC_V*(1+FC_g)^(DV$173-1)*((FC_Desde=0)*(DV$172+DV$171)+(FC_Desde&gt;=1)*(DV$170&gt;=FC_Desde)*DV$171)))</f>
        <v>0</v>
      </c>
      <c r="DW242" s="48" t="n">
        <f aca="false">SUMPRODUCT((FC_Clase="Producción")*((FC_Mon="PYG")*DW$175+(FC_Mon&lt;&gt;"PYG"))*((122&gt;Corte)*(122&lt;=Corte+n_Ventana)*ISNUMBER(Detalle_24m!DW$220:DW$244)*Detalle_24m!DW$220:DW$244+(1-(122&gt;Corte)*(122&lt;=Corte+n_Ventana)*ISNUMBER(Detalle_24m!DW$220:DW$244))*FC_V*(1+FC_g)^(DW$173-1)*((FC_Desde=0)*(DW$172+DW$171)+(FC_Desde&gt;=1)*(DW$170&gt;=FC_Desde)*DW$171)))</f>
        <v>0</v>
      </c>
      <c r="DX242" s="48" t="n">
        <f aca="false">SUMPRODUCT((FC_Clase="Producción")*((FC_Mon="PYG")*DX$175+(FC_Mon&lt;&gt;"PYG"))*((123&gt;Corte)*(123&lt;=Corte+n_Ventana)*ISNUMBER(Detalle_24m!DX$220:DX$244)*Detalle_24m!DX$220:DX$244+(1-(123&gt;Corte)*(123&lt;=Corte+n_Ventana)*ISNUMBER(Detalle_24m!DX$220:DX$244))*FC_V*(1+FC_g)^(DX$173-1)*((FC_Desde=0)*(DX$172+DX$171)+(FC_Desde&gt;=1)*(DX$170&gt;=FC_Desde)*DX$171)))</f>
        <v>0</v>
      </c>
      <c r="DY242" s="48" t="n">
        <f aca="false">SUMPRODUCT((FC_Clase="Producción")*((FC_Mon="PYG")*DY$175+(FC_Mon&lt;&gt;"PYG"))*((124&gt;Corte)*(124&lt;=Corte+n_Ventana)*ISNUMBER(Detalle_24m!DY$220:DY$244)*Detalle_24m!DY$220:DY$244+(1-(124&gt;Corte)*(124&lt;=Corte+n_Ventana)*ISNUMBER(Detalle_24m!DY$220:DY$244))*FC_V*(1+FC_g)^(DY$173-1)*((FC_Desde=0)*(DY$172+DY$171)+(FC_Desde&gt;=1)*(DY$170&gt;=FC_Desde)*DY$171)))</f>
        <v>0</v>
      </c>
      <c r="DZ242" s="48" t="n">
        <f aca="false">SUMPRODUCT((FC_Clase="Producción")*((FC_Mon="PYG")*DZ$175+(FC_Mon&lt;&gt;"PYG"))*((125&gt;Corte)*(125&lt;=Corte+n_Ventana)*ISNUMBER(Detalle_24m!DZ$220:DZ$244)*Detalle_24m!DZ$220:DZ$244+(1-(125&gt;Corte)*(125&lt;=Corte+n_Ventana)*ISNUMBER(Detalle_24m!DZ$220:DZ$244))*FC_V*(1+FC_g)^(DZ$173-1)*((FC_Desde=0)*(DZ$172+DZ$171)+(FC_Desde&gt;=1)*(DZ$170&gt;=FC_Desde)*DZ$171)))</f>
        <v>0</v>
      </c>
      <c r="EA242" s="48" t="n">
        <f aca="false">SUMPRODUCT((FC_Clase="Producción")*((FC_Mon="PYG")*EA$175+(FC_Mon&lt;&gt;"PYG"))*((126&gt;Corte)*(126&lt;=Corte+n_Ventana)*ISNUMBER(Detalle_24m!EA$220:EA$244)*Detalle_24m!EA$220:EA$244+(1-(126&gt;Corte)*(126&lt;=Corte+n_Ventana)*ISNUMBER(Detalle_24m!EA$220:EA$244))*FC_V*(1+FC_g)^(EA$173-1)*((FC_Desde=0)*(EA$172+EA$171)+(FC_Desde&gt;=1)*(EA$170&gt;=FC_Desde)*EA$171)))</f>
        <v>0</v>
      </c>
      <c r="EB242" s="48" t="n">
        <f aca="false">SUMPRODUCT((FC_Clase="Producción")*((FC_Mon="PYG")*EB$175+(FC_Mon&lt;&gt;"PYG"))*((127&gt;Corte)*(127&lt;=Corte+n_Ventana)*ISNUMBER(Detalle_24m!EB$220:EB$244)*Detalle_24m!EB$220:EB$244+(1-(127&gt;Corte)*(127&lt;=Corte+n_Ventana)*ISNUMBER(Detalle_24m!EB$220:EB$244))*FC_V*(1+FC_g)^(EB$173-1)*((FC_Desde=0)*(EB$172+EB$171)+(FC_Desde&gt;=1)*(EB$170&gt;=FC_Desde)*EB$171)))</f>
        <v>0</v>
      </c>
      <c r="EC242" s="48" t="n">
        <f aca="false">SUMPRODUCT((FC_Clase="Producción")*((FC_Mon="PYG")*EC$175+(FC_Mon&lt;&gt;"PYG"))*((128&gt;Corte)*(128&lt;=Corte+n_Ventana)*ISNUMBER(Detalle_24m!EC$220:EC$244)*Detalle_24m!EC$220:EC$244+(1-(128&gt;Corte)*(128&lt;=Corte+n_Ventana)*ISNUMBER(Detalle_24m!EC$220:EC$244))*FC_V*(1+FC_g)^(EC$173-1)*((FC_Desde=0)*(EC$172+EC$171)+(FC_Desde&gt;=1)*(EC$170&gt;=FC_Desde)*EC$171)))</f>
        <v>0</v>
      </c>
      <c r="ED242" s="48" t="n">
        <f aca="false">SUMPRODUCT((FC_Clase="Producción")*((FC_Mon="PYG")*ED$175+(FC_Mon&lt;&gt;"PYG"))*((129&gt;Corte)*(129&lt;=Corte+n_Ventana)*ISNUMBER(Detalle_24m!ED$220:ED$244)*Detalle_24m!ED$220:ED$244+(1-(129&gt;Corte)*(129&lt;=Corte+n_Ventana)*ISNUMBER(Detalle_24m!ED$220:ED$244))*FC_V*(1+FC_g)^(ED$173-1)*((FC_Desde=0)*(ED$172+ED$171)+(FC_Desde&gt;=1)*(ED$170&gt;=FC_Desde)*ED$171)))</f>
        <v>0</v>
      </c>
      <c r="EE242" s="48" t="n">
        <f aca="false">SUMPRODUCT((FC_Clase="Producción")*((FC_Mon="PYG")*EE$175+(FC_Mon&lt;&gt;"PYG"))*((130&gt;Corte)*(130&lt;=Corte+n_Ventana)*ISNUMBER(Detalle_24m!EE$220:EE$244)*Detalle_24m!EE$220:EE$244+(1-(130&gt;Corte)*(130&lt;=Corte+n_Ventana)*ISNUMBER(Detalle_24m!EE$220:EE$244))*FC_V*(1+FC_g)^(EE$173-1)*((FC_Desde=0)*(EE$172+EE$171)+(FC_Desde&gt;=1)*(EE$170&gt;=FC_Desde)*EE$171)))</f>
        <v>0</v>
      </c>
      <c r="EF242" s="48" t="n">
        <f aca="false">SUMPRODUCT((FC_Clase="Producción")*((FC_Mon="PYG")*EF$175+(FC_Mon&lt;&gt;"PYG"))*((131&gt;Corte)*(131&lt;=Corte+n_Ventana)*ISNUMBER(Detalle_24m!EF$220:EF$244)*Detalle_24m!EF$220:EF$244+(1-(131&gt;Corte)*(131&lt;=Corte+n_Ventana)*ISNUMBER(Detalle_24m!EF$220:EF$244))*FC_V*(1+FC_g)^(EF$173-1)*((FC_Desde=0)*(EF$172+EF$171)+(FC_Desde&gt;=1)*(EF$170&gt;=FC_Desde)*EF$171)))</f>
        <v>0</v>
      </c>
      <c r="EG242" s="48" t="n">
        <f aca="false">SUMPRODUCT((FC_Clase="Producción")*((FC_Mon="PYG")*EG$175+(FC_Mon&lt;&gt;"PYG"))*((132&gt;Corte)*(132&lt;=Corte+n_Ventana)*ISNUMBER(Detalle_24m!EG$220:EG$244)*Detalle_24m!EG$220:EG$244+(1-(132&gt;Corte)*(132&lt;=Corte+n_Ventana)*ISNUMBER(Detalle_24m!EG$220:EG$244))*FC_V*(1+FC_g)^(EG$173-1)*((FC_Desde=0)*(EG$172+EG$171)+(FC_Desde&gt;=1)*(EG$170&gt;=FC_Desde)*EG$171)))</f>
        <v>0</v>
      </c>
      <c r="EH242" s="48" t="n">
        <f aca="false">SUMPRODUCT((FC_Clase="Producción")*((FC_Mon="PYG")*EH$175+(FC_Mon&lt;&gt;"PYG"))*((133&gt;Corte)*(133&lt;=Corte+n_Ventana)*ISNUMBER(Detalle_24m!EH$220:EH$244)*Detalle_24m!EH$220:EH$244+(1-(133&gt;Corte)*(133&lt;=Corte+n_Ventana)*ISNUMBER(Detalle_24m!EH$220:EH$244))*FC_V*(1+FC_g)^(EH$173-1)*((FC_Desde=0)*(EH$172+EH$171)+(FC_Desde&gt;=1)*(EH$170&gt;=FC_Desde)*EH$171)))</f>
        <v>0</v>
      </c>
      <c r="EI242" s="48" t="n">
        <f aca="false">SUMPRODUCT((FC_Clase="Producción")*((FC_Mon="PYG")*EI$175+(FC_Mon&lt;&gt;"PYG"))*((134&gt;Corte)*(134&lt;=Corte+n_Ventana)*ISNUMBER(Detalle_24m!EI$220:EI$244)*Detalle_24m!EI$220:EI$244+(1-(134&gt;Corte)*(134&lt;=Corte+n_Ventana)*ISNUMBER(Detalle_24m!EI$220:EI$244))*FC_V*(1+FC_g)^(EI$173-1)*((FC_Desde=0)*(EI$172+EI$171)+(FC_Desde&gt;=1)*(EI$170&gt;=FC_Desde)*EI$171)))</f>
        <v>0</v>
      </c>
      <c r="EJ242" s="48" t="n">
        <f aca="false">SUMPRODUCT((FC_Clase="Producción")*((FC_Mon="PYG")*EJ$175+(FC_Mon&lt;&gt;"PYG"))*((135&gt;Corte)*(135&lt;=Corte+n_Ventana)*ISNUMBER(Detalle_24m!EJ$220:EJ$244)*Detalle_24m!EJ$220:EJ$244+(1-(135&gt;Corte)*(135&lt;=Corte+n_Ventana)*ISNUMBER(Detalle_24m!EJ$220:EJ$244))*FC_V*(1+FC_g)^(EJ$173-1)*((FC_Desde=0)*(EJ$172+EJ$171)+(FC_Desde&gt;=1)*(EJ$170&gt;=FC_Desde)*EJ$171)))</f>
        <v>0</v>
      </c>
      <c r="EK242" s="48" t="n">
        <f aca="false">SUMPRODUCT((FC_Clase="Producción")*((FC_Mon="PYG")*EK$175+(FC_Mon&lt;&gt;"PYG"))*((136&gt;Corte)*(136&lt;=Corte+n_Ventana)*ISNUMBER(Detalle_24m!EK$220:EK$244)*Detalle_24m!EK$220:EK$244+(1-(136&gt;Corte)*(136&lt;=Corte+n_Ventana)*ISNUMBER(Detalle_24m!EK$220:EK$244))*FC_V*(1+FC_g)^(EK$173-1)*((FC_Desde=0)*(EK$172+EK$171)+(FC_Desde&gt;=1)*(EK$170&gt;=FC_Desde)*EK$171)))</f>
        <v>0</v>
      </c>
      <c r="EL242" s="48" t="n">
        <f aca="false">SUMPRODUCT((FC_Clase="Producción")*((FC_Mon="PYG")*EL$175+(FC_Mon&lt;&gt;"PYG"))*((137&gt;Corte)*(137&lt;=Corte+n_Ventana)*ISNUMBER(Detalle_24m!EL$220:EL$244)*Detalle_24m!EL$220:EL$244+(1-(137&gt;Corte)*(137&lt;=Corte+n_Ventana)*ISNUMBER(Detalle_24m!EL$220:EL$244))*FC_V*(1+FC_g)^(EL$173-1)*((FC_Desde=0)*(EL$172+EL$171)+(FC_Desde&gt;=1)*(EL$170&gt;=FC_Desde)*EL$171)))</f>
        <v>0</v>
      </c>
      <c r="EM242" s="48" t="n">
        <f aca="false">SUMPRODUCT((FC_Clase="Producción")*((FC_Mon="PYG")*EM$175+(FC_Mon&lt;&gt;"PYG"))*((138&gt;Corte)*(138&lt;=Corte+n_Ventana)*ISNUMBER(Detalle_24m!EM$220:EM$244)*Detalle_24m!EM$220:EM$244+(1-(138&gt;Corte)*(138&lt;=Corte+n_Ventana)*ISNUMBER(Detalle_24m!EM$220:EM$244))*FC_V*(1+FC_g)^(EM$173-1)*((FC_Desde=0)*(EM$172+EM$171)+(FC_Desde&gt;=1)*(EM$170&gt;=FC_Desde)*EM$171)))</f>
        <v>0</v>
      </c>
      <c r="EN242" s="48" t="n">
        <f aca="false">SUMPRODUCT((FC_Clase="Producción")*((FC_Mon="PYG")*EN$175+(FC_Mon&lt;&gt;"PYG"))*((139&gt;Corte)*(139&lt;=Corte+n_Ventana)*ISNUMBER(Detalle_24m!EN$220:EN$244)*Detalle_24m!EN$220:EN$244+(1-(139&gt;Corte)*(139&lt;=Corte+n_Ventana)*ISNUMBER(Detalle_24m!EN$220:EN$244))*FC_V*(1+FC_g)^(EN$173-1)*((FC_Desde=0)*(EN$172+EN$171)+(FC_Desde&gt;=1)*(EN$170&gt;=FC_Desde)*EN$171)))</f>
        <v>0</v>
      </c>
      <c r="EO242" s="48" t="n">
        <f aca="false">SUMPRODUCT((FC_Clase="Producción")*((FC_Mon="PYG")*EO$175+(FC_Mon&lt;&gt;"PYG"))*((140&gt;Corte)*(140&lt;=Corte+n_Ventana)*ISNUMBER(Detalle_24m!EO$220:EO$244)*Detalle_24m!EO$220:EO$244+(1-(140&gt;Corte)*(140&lt;=Corte+n_Ventana)*ISNUMBER(Detalle_24m!EO$220:EO$244))*FC_V*(1+FC_g)^(EO$173-1)*((FC_Desde=0)*(EO$172+EO$171)+(FC_Desde&gt;=1)*(EO$170&gt;=FC_Desde)*EO$171)))</f>
        <v>0</v>
      </c>
      <c r="EP242" s="48" t="n">
        <f aca="false">SUMPRODUCT((FC_Clase="Producción")*((FC_Mon="PYG")*EP$175+(FC_Mon&lt;&gt;"PYG"))*((141&gt;Corte)*(141&lt;=Corte+n_Ventana)*ISNUMBER(Detalle_24m!EP$220:EP$244)*Detalle_24m!EP$220:EP$244+(1-(141&gt;Corte)*(141&lt;=Corte+n_Ventana)*ISNUMBER(Detalle_24m!EP$220:EP$244))*FC_V*(1+FC_g)^(EP$173-1)*((FC_Desde=0)*(EP$172+EP$171)+(FC_Desde&gt;=1)*(EP$170&gt;=FC_Desde)*EP$171)))</f>
        <v>0</v>
      </c>
      <c r="EQ242" s="48" t="n">
        <f aca="false">SUMPRODUCT((FC_Clase="Producción")*((FC_Mon="PYG")*EQ$175+(FC_Mon&lt;&gt;"PYG"))*((142&gt;Corte)*(142&lt;=Corte+n_Ventana)*ISNUMBER(Detalle_24m!EQ$220:EQ$244)*Detalle_24m!EQ$220:EQ$244+(1-(142&gt;Corte)*(142&lt;=Corte+n_Ventana)*ISNUMBER(Detalle_24m!EQ$220:EQ$244))*FC_V*(1+FC_g)^(EQ$173-1)*((FC_Desde=0)*(EQ$172+EQ$171)+(FC_Desde&gt;=1)*(EQ$170&gt;=FC_Desde)*EQ$171)))</f>
        <v>0</v>
      </c>
      <c r="ER242" s="48" t="n">
        <f aca="false">SUMPRODUCT((FC_Clase="Producción")*((FC_Mon="PYG")*ER$175+(FC_Mon&lt;&gt;"PYG"))*((143&gt;Corte)*(143&lt;=Corte+n_Ventana)*ISNUMBER(Detalle_24m!ER$220:ER$244)*Detalle_24m!ER$220:ER$244+(1-(143&gt;Corte)*(143&lt;=Corte+n_Ventana)*ISNUMBER(Detalle_24m!ER$220:ER$244))*FC_V*(1+FC_g)^(ER$173-1)*((FC_Desde=0)*(ER$172+ER$171)+(FC_Desde&gt;=1)*(ER$170&gt;=FC_Desde)*ER$171)))</f>
        <v>0</v>
      </c>
      <c r="ES242" s="48" t="n">
        <f aca="false">SUMPRODUCT((FC_Clase="Producción")*((FC_Mon="PYG")*ES$175+(FC_Mon&lt;&gt;"PYG"))*((144&gt;Corte)*(144&lt;=Corte+n_Ventana)*ISNUMBER(Detalle_24m!ES$220:ES$244)*Detalle_24m!ES$220:ES$244+(1-(144&gt;Corte)*(144&lt;=Corte+n_Ventana)*ISNUMBER(Detalle_24m!ES$220:ES$244))*FC_V*(1+FC_g)^(ES$173-1)*((FC_Desde=0)*(ES$172+ES$171)+(FC_Desde&gt;=1)*(ES$170&gt;=FC_Desde)*ES$171)))</f>
        <v>0</v>
      </c>
    </row>
    <row r="243" customFormat="false" ht="15" hidden="false" customHeight="false" outlineLevel="0" collapsed="false">
      <c r="A243" s="11" t="s">
        <v>1365</v>
      </c>
      <c r="B243" s="15" t="s">
        <v>1147</v>
      </c>
      <c r="C243" s="15" t="s">
        <v>508</v>
      </c>
      <c r="E243" s="54" t="n">
        <f aca="false">SUM(F243:ES243)</f>
        <v>3059546.01375462</v>
      </c>
      <c r="F243" s="48" t="n">
        <f aca="false">SUMPRODUCT((FC_Clase="Administración")*((FC_Mon="PYG")*F$175+(FC_Mon&lt;&gt;"PYG"))*((1&gt;Corte)*(1&lt;=Corte+n_Ventana)*ISNUMBER(Detalle_24m!F$220:F$244)*Detalle_24m!F$220:F$244+(1-(1&gt;Corte)*(1&lt;=Corte+n_Ventana)*ISNUMBER(Detalle_24m!F$220:F$244))*FC_V*(1+FC_g)^(F$173-1)*((FC_Desde=0)*(F$172+F$171)+(FC_Desde&gt;=1)*(F$170&gt;=FC_Desde)*F$171)))</f>
        <v>22893.5857534247</v>
      </c>
      <c r="G243" s="48" t="n">
        <f aca="false">SUMPRODUCT((FC_Clase="Administración")*((FC_Mon="PYG")*G$175+(FC_Mon&lt;&gt;"PYG"))*((2&gt;Corte)*(2&lt;=Corte+n_Ventana)*ISNUMBER(Detalle_24m!G$220:G$244)*Detalle_24m!G$220:G$244+(1-(2&gt;Corte)*(2&lt;=Corte+n_Ventana)*ISNUMBER(Detalle_24m!G$220:G$244))*FC_V*(1+FC_g)^(G$173-1)*((FC_Desde=0)*(G$172+G$171)+(FC_Desde&gt;=1)*(G$170&gt;=FC_Desde)*G$171)))</f>
        <v>22893.5857534247</v>
      </c>
      <c r="H243" s="48" t="n">
        <f aca="false">SUMPRODUCT((FC_Clase="Administración")*((FC_Mon="PYG")*H$175+(FC_Mon&lt;&gt;"PYG"))*((3&gt;Corte)*(3&lt;=Corte+n_Ventana)*ISNUMBER(Detalle_24m!H$220:H$244)*Detalle_24m!H$220:H$244+(1-(3&gt;Corte)*(3&lt;=Corte+n_Ventana)*ISNUMBER(Detalle_24m!H$220:H$244))*FC_V*(1+FC_g)^(H$173-1)*((FC_Desde=0)*(H$172+H$171)+(FC_Desde&gt;=1)*(H$170&gt;=FC_Desde)*H$171)))</f>
        <v>22893.5857534247</v>
      </c>
      <c r="I243" s="48" t="n">
        <f aca="false">SUMPRODUCT((FC_Clase="Administración")*((FC_Mon="PYG")*I$175+(FC_Mon&lt;&gt;"PYG"))*((4&gt;Corte)*(4&lt;=Corte+n_Ventana)*ISNUMBER(Detalle_24m!I$220:I$244)*Detalle_24m!I$220:I$244+(1-(4&gt;Corte)*(4&lt;=Corte+n_Ventana)*ISNUMBER(Detalle_24m!I$220:I$244))*FC_V*(1+FC_g)^(I$173-1)*((FC_Desde=0)*(I$172+I$171)+(FC_Desde&gt;=1)*(I$170&gt;=FC_Desde)*I$171)))</f>
        <v>22893.5857534247</v>
      </c>
      <c r="J243" s="48" t="n">
        <f aca="false">SUMPRODUCT((FC_Clase="Administración")*((FC_Mon="PYG")*J$175+(FC_Mon&lt;&gt;"PYG"))*((5&gt;Corte)*(5&lt;=Corte+n_Ventana)*ISNUMBER(Detalle_24m!J$220:J$244)*Detalle_24m!J$220:J$244+(1-(5&gt;Corte)*(5&lt;=Corte+n_Ventana)*ISNUMBER(Detalle_24m!J$220:J$244))*FC_V*(1+FC_g)^(J$173-1)*((FC_Desde=0)*(J$172+J$171)+(FC_Desde&gt;=1)*(J$170&gt;=FC_Desde)*J$171)))</f>
        <v>22893.5857534247</v>
      </c>
      <c r="K243" s="48" t="n">
        <f aca="false">SUMPRODUCT((FC_Clase="Administración")*((FC_Mon="PYG")*K$175+(FC_Mon&lt;&gt;"PYG"))*((6&gt;Corte)*(6&lt;=Corte+n_Ventana)*ISNUMBER(Detalle_24m!K$220:K$244)*Detalle_24m!K$220:K$244+(1-(6&gt;Corte)*(6&lt;=Corte+n_Ventana)*ISNUMBER(Detalle_24m!K$220:K$244))*FC_V*(1+FC_g)^(K$173-1)*((FC_Desde=0)*(K$172+K$171)+(FC_Desde&gt;=1)*(K$170&gt;=FC_Desde)*K$171)))</f>
        <v>22893.5857534247</v>
      </c>
      <c r="L243" s="48" t="n">
        <f aca="false">SUMPRODUCT((FC_Clase="Administración")*((FC_Mon="PYG")*L$175+(FC_Mon&lt;&gt;"PYG"))*((7&gt;Corte)*(7&lt;=Corte+n_Ventana)*ISNUMBER(Detalle_24m!L$220:L$244)*Detalle_24m!L$220:L$244+(1-(7&gt;Corte)*(7&lt;=Corte+n_Ventana)*ISNUMBER(Detalle_24m!L$220:L$244))*FC_V*(1+FC_g)^(L$173-1)*((FC_Desde=0)*(L$172+L$171)+(FC_Desde&gt;=1)*(L$170&gt;=FC_Desde)*L$171)))</f>
        <v>22893.5857534247</v>
      </c>
      <c r="M243" s="48" t="n">
        <f aca="false">SUMPRODUCT((FC_Clase="Administración")*((FC_Mon="PYG")*M$175+(FC_Mon&lt;&gt;"PYG"))*((8&gt;Corte)*(8&lt;=Corte+n_Ventana)*ISNUMBER(Detalle_24m!M$220:M$244)*Detalle_24m!M$220:M$244+(1-(8&gt;Corte)*(8&lt;=Corte+n_Ventana)*ISNUMBER(Detalle_24m!M$220:M$244))*FC_V*(1+FC_g)^(M$173-1)*((FC_Desde=0)*(M$172+M$171)+(FC_Desde&gt;=1)*(M$170&gt;=FC_Desde)*M$171)))</f>
        <v>22893.5857534247</v>
      </c>
      <c r="N243" s="48" t="n">
        <f aca="false">SUMPRODUCT((FC_Clase="Administración")*((FC_Mon="PYG")*N$175+(FC_Mon&lt;&gt;"PYG"))*((9&gt;Corte)*(9&lt;=Corte+n_Ventana)*ISNUMBER(Detalle_24m!N$220:N$244)*Detalle_24m!N$220:N$244+(1-(9&gt;Corte)*(9&lt;=Corte+n_Ventana)*ISNUMBER(Detalle_24m!N$220:N$244))*FC_V*(1+FC_g)^(N$173-1)*((FC_Desde=0)*(N$172+N$171)+(FC_Desde&gt;=1)*(N$170&gt;=FC_Desde)*N$171)))</f>
        <v>22893.5857534247</v>
      </c>
      <c r="O243" s="48" t="n">
        <f aca="false">SUMPRODUCT((FC_Clase="Administración")*((FC_Mon="PYG")*O$175+(FC_Mon&lt;&gt;"PYG"))*((10&gt;Corte)*(10&lt;=Corte+n_Ventana)*ISNUMBER(Detalle_24m!O$220:O$244)*Detalle_24m!O$220:O$244+(1-(10&gt;Corte)*(10&lt;=Corte+n_Ventana)*ISNUMBER(Detalle_24m!O$220:O$244))*FC_V*(1+FC_g)^(O$173-1)*((FC_Desde=0)*(O$172+O$171)+(FC_Desde&gt;=1)*(O$170&gt;=FC_Desde)*O$171)))</f>
        <v>22893.5857534247</v>
      </c>
      <c r="P243" s="48" t="n">
        <f aca="false">SUMPRODUCT((FC_Clase="Administración")*((FC_Mon="PYG")*P$175+(FC_Mon&lt;&gt;"PYG"))*((11&gt;Corte)*(11&lt;=Corte+n_Ventana)*ISNUMBER(Detalle_24m!P$220:P$244)*Detalle_24m!P$220:P$244+(1-(11&gt;Corte)*(11&lt;=Corte+n_Ventana)*ISNUMBER(Detalle_24m!P$220:P$244))*FC_V*(1+FC_g)^(P$173-1)*((FC_Desde=0)*(P$172+P$171)+(FC_Desde&gt;=1)*(P$170&gt;=FC_Desde)*P$171)))</f>
        <v>22893.5857534247</v>
      </c>
      <c r="Q243" s="48" t="n">
        <f aca="false">SUMPRODUCT((FC_Clase="Administración")*((FC_Mon="PYG")*Q$175+(FC_Mon&lt;&gt;"PYG"))*((12&gt;Corte)*(12&lt;=Corte+n_Ventana)*ISNUMBER(Detalle_24m!Q$220:Q$244)*Detalle_24m!Q$220:Q$244+(1-(12&gt;Corte)*(12&lt;=Corte+n_Ventana)*ISNUMBER(Detalle_24m!Q$220:Q$244))*FC_V*(1+FC_g)^(Q$173-1)*((FC_Desde=0)*(Q$172+Q$171)+(FC_Desde&gt;=1)*(Q$170&gt;=FC_Desde)*Q$171)))</f>
        <v>22893.5857534247</v>
      </c>
      <c r="R243" s="48" t="n">
        <f aca="false">SUMPRODUCT((FC_Clase="Administración")*((FC_Mon="PYG")*R$175+(FC_Mon&lt;&gt;"PYG"))*((13&gt;Corte)*(13&lt;=Corte+n_Ventana)*ISNUMBER(Detalle_24m!R$220:R$244)*Detalle_24m!R$220:R$244+(1-(13&gt;Corte)*(13&lt;=Corte+n_Ventana)*ISNUMBER(Detalle_24m!R$220:R$244))*FC_V*(1+FC_g)^(R$173-1)*((FC_Desde=0)*(R$172+R$171)+(FC_Desde&gt;=1)*(R$170&gt;=FC_Desde)*R$171)))</f>
        <v>23426.9557534247</v>
      </c>
      <c r="S243" s="48" t="n">
        <f aca="false">SUMPRODUCT((FC_Clase="Administración")*((FC_Mon="PYG")*S$175+(FC_Mon&lt;&gt;"PYG"))*((14&gt;Corte)*(14&lt;=Corte+n_Ventana)*ISNUMBER(Detalle_24m!S$220:S$244)*Detalle_24m!S$220:S$244+(1-(14&gt;Corte)*(14&lt;=Corte+n_Ventana)*ISNUMBER(Detalle_24m!S$220:S$244))*FC_V*(1+FC_g)^(S$173-1)*((FC_Desde=0)*(S$172+S$171)+(FC_Desde&gt;=1)*(S$170&gt;=FC_Desde)*S$171)))</f>
        <v>23426.9557534247</v>
      </c>
      <c r="T243" s="48" t="n">
        <f aca="false">SUMPRODUCT((FC_Clase="Administración")*((FC_Mon="PYG")*T$175+(FC_Mon&lt;&gt;"PYG"))*((15&gt;Corte)*(15&lt;=Corte+n_Ventana)*ISNUMBER(Detalle_24m!T$220:T$244)*Detalle_24m!T$220:T$244+(1-(15&gt;Corte)*(15&lt;=Corte+n_Ventana)*ISNUMBER(Detalle_24m!T$220:T$244))*FC_V*(1+FC_g)^(T$173-1)*((FC_Desde=0)*(T$172+T$171)+(FC_Desde&gt;=1)*(T$170&gt;=FC_Desde)*T$171)))</f>
        <v>23426.9557534247</v>
      </c>
      <c r="U243" s="48" t="n">
        <f aca="false">SUMPRODUCT((FC_Clase="Administración")*((FC_Mon="PYG")*U$175+(FC_Mon&lt;&gt;"PYG"))*((16&gt;Corte)*(16&lt;=Corte+n_Ventana)*ISNUMBER(Detalle_24m!U$220:U$244)*Detalle_24m!U$220:U$244+(1-(16&gt;Corte)*(16&lt;=Corte+n_Ventana)*ISNUMBER(Detalle_24m!U$220:U$244))*FC_V*(1+FC_g)^(U$173-1)*((FC_Desde=0)*(U$172+U$171)+(FC_Desde&gt;=1)*(U$170&gt;=FC_Desde)*U$171)))</f>
        <v>23426.9557534247</v>
      </c>
      <c r="V243" s="48" t="n">
        <f aca="false">SUMPRODUCT((FC_Clase="Administración")*((FC_Mon="PYG")*V$175+(FC_Mon&lt;&gt;"PYG"))*((17&gt;Corte)*(17&lt;=Corte+n_Ventana)*ISNUMBER(Detalle_24m!V$220:V$244)*Detalle_24m!V$220:V$244+(1-(17&gt;Corte)*(17&lt;=Corte+n_Ventana)*ISNUMBER(Detalle_24m!V$220:V$244))*FC_V*(1+FC_g)^(V$173-1)*((FC_Desde=0)*(V$172+V$171)+(FC_Desde&gt;=1)*(V$170&gt;=FC_Desde)*V$171)))</f>
        <v>23426.9557534247</v>
      </c>
      <c r="W243" s="48" t="n">
        <f aca="false">SUMPRODUCT((FC_Clase="Administración")*((FC_Mon="PYG")*W$175+(FC_Mon&lt;&gt;"PYG"))*((18&gt;Corte)*(18&lt;=Corte+n_Ventana)*ISNUMBER(Detalle_24m!W$220:W$244)*Detalle_24m!W$220:W$244+(1-(18&gt;Corte)*(18&lt;=Corte+n_Ventana)*ISNUMBER(Detalle_24m!W$220:W$244))*FC_V*(1+FC_g)^(W$173-1)*((FC_Desde=0)*(W$172+W$171)+(FC_Desde&gt;=1)*(W$170&gt;=FC_Desde)*W$171)))</f>
        <v>23426.9557534247</v>
      </c>
      <c r="X243" s="48" t="n">
        <f aca="false">SUMPRODUCT((FC_Clase="Administración")*((FC_Mon="PYG")*X$175+(FC_Mon&lt;&gt;"PYG"))*((19&gt;Corte)*(19&lt;=Corte+n_Ventana)*ISNUMBER(Detalle_24m!X$220:X$244)*Detalle_24m!X$220:X$244+(1-(19&gt;Corte)*(19&lt;=Corte+n_Ventana)*ISNUMBER(Detalle_24m!X$220:X$244))*FC_V*(1+FC_g)^(X$173-1)*((FC_Desde=0)*(X$172+X$171)+(FC_Desde&gt;=1)*(X$170&gt;=FC_Desde)*X$171)))</f>
        <v>23426.9557534247</v>
      </c>
      <c r="Y243" s="48" t="n">
        <f aca="false">SUMPRODUCT((FC_Clase="Administración")*((FC_Mon="PYG")*Y$175+(FC_Mon&lt;&gt;"PYG"))*((20&gt;Corte)*(20&lt;=Corte+n_Ventana)*ISNUMBER(Detalle_24m!Y$220:Y$244)*Detalle_24m!Y$220:Y$244+(1-(20&gt;Corte)*(20&lt;=Corte+n_Ventana)*ISNUMBER(Detalle_24m!Y$220:Y$244))*FC_V*(1+FC_g)^(Y$173-1)*((FC_Desde=0)*(Y$172+Y$171)+(FC_Desde&gt;=1)*(Y$170&gt;=FC_Desde)*Y$171)))</f>
        <v>23426.9557534247</v>
      </c>
      <c r="Z243" s="48" t="n">
        <f aca="false">SUMPRODUCT((FC_Clase="Administración")*((FC_Mon="PYG")*Z$175+(FC_Mon&lt;&gt;"PYG"))*((21&gt;Corte)*(21&lt;=Corte+n_Ventana)*ISNUMBER(Detalle_24m!Z$220:Z$244)*Detalle_24m!Z$220:Z$244+(1-(21&gt;Corte)*(21&lt;=Corte+n_Ventana)*ISNUMBER(Detalle_24m!Z$220:Z$244))*FC_V*(1+FC_g)^(Z$173-1)*((FC_Desde=0)*(Z$172+Z$171)+(FC_Desde&gt;=1)*(Z$170&gt;=FC_Desde)*Z$171)))</f>
        <v>23426.9557534247</v>
      </c>
      <c r="AA243" s="48" t="n">
        <f aca="false">SUMPRODUCT((FC_Clase="Administración")*((FC_Mon="PYG")*AA$175+(FC_Mon&lt;&gt;"PYG"))*((22&gt;Corte)*(22&lt;=Corte+n_Ventana)*ISNUMBER(Detalle_24m!AA$220:AA$244)*Detalle_24m!AA$220:AA$244+(1-(22&gt;Corte)*(22&lt;=Corte+n_Ventana)*ISNUMBER(Detalle_24m!AA$220:AA$244))*FC_V*(1+FC_g)^(AA$173-1)*((FC_Desde=0)*(AA$172+AA$171)+(FC_Desde&gt;=1)*(AA$170&gt;=FC_Desde)*AA$171)))</f>
        <v>23426.9557534247</v>
      </c>
      <c r="AB243" s="48" t="n">
        <f aca="false">SUMPRODUCT((FC_Clase="Administración")*((FC_Mon="PYG")*AB$175+(FC_Mon&lt;&gt;"PYG"))*((23&gt;Corte)*(23&lt;=Corte+n_Ventana)*ISNUMBER(Detalle_24m!AB$220:AB$244)*Detalle_24m!AB$220:AB$244+(1-(23&gt;Corte)*(23&lt;=Corte+n_Ventana)*ISNUMBER(Detalle_24m!AB$220:AB$244))*FC_V*(1+FC_g)^(AB$173-1)*((FC_Desde=0)*(AB$172+AB$171)+(FC_Desde&gt;=1)*(AB$170&gt;=FC_Desde)*AB$171)))</f>
        <v>23426.9557534247</v>
      </c>
      <c r="AC243" s="48" t="n">
        <f aca="false">SUMPRODUCT((FC_Clase="Administración")*((FC_Mon="PYG")*AC$175+(FC_Mon&lt;&gt;"PYG"))*((24&gt;Corte)*(24&lt;=Corte+n_Ventana)*ISNUMBER(Detalle_24m!AC$220:AC$244)*Detalle_24m!AC$220:AC$244+(1-(24&gt;Corte)*(24&lt;=Corte+n_Ventana)*ISNUMBER(Detalle_24m!AC$220:AC$244))*FC_V*(1+FC_g)^(AC$173-1)*((FC_Desde=0)*(AC$172+AC$171)+(FC_Desde&gt;=1)*(AC$170&gt;=FC_Desde)*AC$171)))</f>
        <v>23426.9557534247</v>
      </c>
      <c r="AD243" s="48" t="n">
        <f aca="false">SUMPRODUCT((FC_Clase="Administración")*((FC_Mon="PYG")*AD$175+(FC_Mon&lt;&gt;"PYG"))*((25&gt;Corte)*(25&lt;=Corte+n_Ventana)*ISNUMBER(Detalle_24m!AD$220:AD$244)*Detalle_24m!AD$220:AD$244+(1-(25&gt;Corte)*(25&lt;=Corte+n_Ventana)*ISNUMBER(Detalle_24m!AD$220:AD$244))*FC_V*(1+FC_g)^(AD$173-1)*((FC_Desde=0)*(AD$172+AD$171)+(FC_Desde&gt;=1)*(AD$170&gt;=FC_Desde)*AD$171)))</f>
        <v>23976.3268534247</v>
      </c>
      <c r="AE243" s="48" t="n">
        <f aca="false">SUMPRODUCT((FC_Clase="Administración")*((FC_Mon="PYG")*AE$175+(FC_Mon&lt;&gt;"PYG"))*((26&gt;Corte)*(26&lt;=Corte+n_Ventana)*ISNUMBER(Detalle_24m!AE$220:AE$244)*Detalle_24m!AE$220:AE$244+(1-(26&gt;Corte)*(26&lt;=Corte+n_Ventana)*ISNUMBER(Detalle_24m!AE$220:AE$244))*FC_V*(1+FC_g)^(AE$173-1)*((FC_Desde=0)*(AE$172+AE$171)+(FC_Desde&gt;=1)*(AE$170&gt;=FC_Desde)*AE$171)))</f>
        <v>23976.3268534247</v>
      </c>
      <c r="AF243" s="48" t="n">
        <f aca="false">SUMPRODUCT((FC_Clase="Administración")*((FC_Mon="PYG")*AF$175+(FC_Mon&lt;&gt;"PYG"))*((27&gt;Corte)*(27&lt;=Corte+n_Ventana)*ISNUMBER(Detalle_24m!AF$220:AF$244)*Detalle_24m!AF$220:AF$244+(1-(27&gt;Corte)*(27&lt;=Corte+n_Ventana)*ISNUMBER(Detalle_24m!AF$220:AF$244))*FC_V*(1+FC_g)^(AF$173-1)*((FC_Desde=0)*(AF$172+AF$171)+(FC_Desde&gt;=1)*(AF$170&gt;=FC_Desde)*AF$171)))</f>
        <v>23976.3268534247</v>
      </c>
      <c r="AG243" s="48" t="n">
        <f aca="false">SUMPRODUCT((FC_Clase="Administración")*((FC_Mon="PYG")*AG$175+(FC_Mon&lt;&gt;"PYG"))*((28&gt;Corte)*(28&lt;=Corte+n_Ventana)*ISNUMBER(Detalle_24m!AG$220:AG$244)*Detalle_24m!AG$220:AG$244+(1-(28&gt;Corte)*(28&lt;=Corte+n_Ventana)*ISNUMBER(Detalle_24m!AG$220:AG$244))*FC_V*(1+FC_g)^(AG$173-1)*((FC_Desde=0)*(AG$172+AG$171)+(FC_Desde&gt;=1)*(AG$170&gt;=FC_Desde)*AG$171)))</f>
        <v>23976.3268534247</v>
      </c>
      <c r="AH243" s="48" t="n">
        <f aca="false">SUMPRODUCT((FC_Clase="Administración")*((FC_Mon="PYG")*AH$175+(FC_Mon&lt;&gt;"PYG"))*((29&gt;Corte)*(29&lt;=Corte+n_Ventana)*ISNUMBER(Detalle_24m!AH$220:AH$244)*Detalle_24m!AH$220:AH$244+(1-(29&gt;Corte)*(29&lt;=Corte+n_Ventana)*ISNUMBER(Detalle_24m!AH$220:AH$244))*FC_V*(1+FC_g)^(AH$173-1)*((FC_Desde=0)*(AH$172+AH$171)+(FC_Desde&gt;=1)*(AH$170&gt;=FC_Desde)*AH$171)))</f>
        <v>23976.3268534247</v>
      </c>
      <c r="AI243" s="48" t="n">
        <f aca="false">SUMPRODUCT((FC_Clase="Administración")*((FC_Mon="PYG")*AI$175+(FC_Mon&lt;&gt;"PYG"))*((30&gt;Corte)*(30&lt;=Corte+n_Ventana)*ISNUMBER(Detalle_24m!AI$220:AI$244)*Detalle_24m!AI$220:AI$244+(1-(30&gt;Corte)*(30&lt;=Corte+n_Ventana)*ISNUMBER(Detalle_24m!AI$220:AI$244))*FC_V*(1+FC_g)^(AI$173-1)*((FC_Desde=0)*(AI$172+AI$171)+(FC_Desde&gt;=1)*(AI$170&gt;=FC_Desde)*AI$171)))</f>
        <v>23976.3268534247</v>
      </c>
      <c r="AJ243" s="48" t="n">
        <f aca="false">SUMPRODUCT((FC_Clase="Administración")*((FC_Mon="PYG")*AJ$175+(FC_Mon&lt;&gt;"PYG"))*((31&gt;Corte)*(31&lt;=Corte+n_Ventana)*ISNUMBER(Detalle_24m!AJ$220:AJ$244)*Detalle_24m!AJ$220:AJ$244+(1-(31&gt;Corte)*(31&lt;=Corte+n_Ventana)*ISNUMBER(Detalle_24m!AJ$220:AJ$244))*FC_V*(1+FC_g)^(AJ$173-1)*((FC_Desde=0)*(AJ$172+AJ$171)+(FC_Desde&gt;=1)*(AJ$170&gt;=FC_Desde)*AJ$171)))</f>
        <v>23976.3268534247</v>
      </c>
      <c r="AK243" s="48" t="n">
        <f aca="false">SUMPRODUCT((FC_Clase="Administración")*((FC_Mon="PYG")*AK$175+(FC_Mon&lt;&gt;"PYG"))*((32&gt;Corte)*(32&lt;=Corte+n_Ventana)*ISNUMBER(Detalle_24m!AK$220:AK$244)*Detalle_24m!AK$220:AK$244+(1-(32&gt;Corte)*(32&lt;=Corte+n_Ventana)*ISNUMBER(Detalle_24m!AK$220:AK$244))*FC_V*(1+FC_g)^(AK$173-1)*((FC_Desde=0)*(AK$172+AK$171)+(FC_Desde&gt;=1)*(AK$170&gt;=FC_Desde)*AK$171)))</f>
        <v>23976.3268534247</v>
      </c>
      <c r="AL243" s="48" t="n">
        <f aca="false">SUMPRODUCT((FC_Clase="Administración")*((FC_Mon="PYG")*AL$175+(FC_Mon&lt;&gt;"PYG"))*((33&gt;Corte)*(33&lt;=Corte+n_Ventana)*ISNUMBER(Detalle_24m!AL$220:AL$244)*Detalle_24m!AL$220:AL$244+(1-(33&gt;Corte)*(33&lt;=Corte+n_Ventana)*ISNUMBER(Detalle_24m!AL$220:AL$244))*FC_V*(1+FC_g)^(AL$173-1)*((FC_Desde=0)*(AL$172+AL$171)+(FC_Desde&gt;=1)*(AL$170&gt;=FC_Desde)*AL$171)))</f>
        <v>23976.3268534247</v>
      </c>
      <c r="AM243" s="48" t="n">
        <f aca="false">SUMPRODUCT((FC_Clase="Administración")*((FC_Mon="PYG")*AM$175+(FC_Mon&lt;&gt;"PYG"))*((34&gt;Corte)*(34&lt;=Corte+n_Ventana)*ISNUMBER(Detalle_24m!AM$220:AM$244)*Detalle_24m!AM$220:AM$244+(1-(34&gt;Corte)*(34&lt;=Corte+n_Ventana)*ISNUMBER(Detalle_24m!AM$220:AM$244))*FC_V*(1+FC_g)^(AM$173-1)*((FC_Desde=0)*(AM$172+AM$171)+(FC_Desde&gt;=1)*(AM$170&gt;=FC_Desde)*AM$171)))</f>
        <v>23976.3268534247</v>
      </c>
      <c r="AN243" s="48" t="n">
        <f aca="false">SUMPRODUCT((FC_Clase="Administración")*((FC_Mon="PYG")*AN$175+(FC_Mon&lt;&gt;"PYG"))*((35&gt;Corte)*(35&lt;=Corte+n_Ventana)*ISNUMBER(Detalle_24m!AN$220:AN$244)*Detalle_24m!AN$220:AN$244+(1-(35&gt;Corte)*(35&lt;=Corte+n_Ventana)*ISNUMBER(Detalle_24m!AN$220:AN$244))*FC_V*(1+FC_g)^(AN$173-1)*((FC_Desde=0)*(AN$172+AN$171)+(FC_Desde&gt;=1)*(AN$170&gt;=FC_Desde)*AN$171)))</f>
        <v>23976.3268534247</v>
      </c>
      <c r="AO243" s="48" t="n">
        <f aca="false">SUMPRODUCT((FC_Clase="Administración")*((FC_Mon="PYG")*AO$175+(FC_Mon&lt;&gt;"PYG"))*((36&gt;Corte)*(36&lt;=Corte+n_Ventana)*ISNUMBER(Detalle_24m!AO$220:AO$244)*Detalle_24m!AO$220:AO$244+(1-(36&gt;Corte)*(36&lt;=Corte+n_Ventana)*ISNUMBER(Detalle_24m!AO$220:AO$244))*FC_V*(1+FC_g)^(AO$173-1)*((FC_Desde=0)*(AO$172+AO$171)+(FC_Desde&gt;=1)*(AO$170&gt;=FC_Desde)*AO$171)))</f>
        <v>23976.3268534247</v>
      </c>
      <c r="AP243" s="48" t="n">
        <f aca="false">SUMPRODUCT((FC_Clase="Administración")*((FC_Mon="PYG")*AP$175+(FC_Mon&lt;&gt;"PYG"))*((37&gt;Corte)*(37&lt;=Corte+n_Ventana)*ISNUMBER(Detalle_24m!AP$220:AP$244)*Detalle_24m!AP$220:AP$244+(1-(37&gt;Corte)*(37&lt;=Corte+n_Ventana)*ISNUMBER(Detalle_24m!AP$220:AP$244))*FC_V*(1+FC_g)^(AP$173-1)*((FC_Desde=0)*(AP$172+AP$171)+(FC_Desde&gt;=1)*(AP$170&gt;=FC_Desde)*AP$171)))</f>
        <v>24542.1790864247</v>
      </c>
      <c r="AQ243" s="48" t="n">
        <f aca="false">SUMPRODUCT((FC_Clase="Administración")*((FC_Mon="PYG")*AQ$175+(FC_Mon&lt;&gt;"PYG"))*((38&gt;Corte)*(38&lt;=Corte+n_Ventana)*ISNUMBER(Detalle_24m!AQ$220:AQ$244)*Detalle_24m!AQ$220:AQ$244+(1-(38&gt;Corte)*(38&lt;=Corte+n_Ventana)*ISNUMBER(Detalle_24m!AQ$220:AQ$244))*FC_V*(1+FC_g)^(AQ$173-1)*((FC_Desde=0)*(AQ$172+AQ$171)+(FC_Desde&gt;=1)*(AQ$170&gt;=FC_Desde)*AQ$171)))</f>
        <v>24542.1790864247</v>
      </c>
      <c r="AR243" s="48" t="n">
        <f aca="false">SUMPRODUCT((FC_Clase="Administración")*((FC_Mon="PYG")*AR$175+(FC_Mon&lt;&gt;"PYG"))*((39&gt;Corte)*(39&lt;=Corte+n_Ventana)*ISNUMBER(Detalle_24m!AR$220:AR$244)*Detalle_24m!AR$220:AR$244+(1-(39&gt;Corte)*(39&lt;=Corte+n_Ventana)*ISNUMBER(Detalle_24m!AR$220:AR$244))*FC_V*(1+FC_g)^(AR$173-1)*((FC_Desde=0)*(AR$172+AR$171)+(FC_Desde&gt;=1)*(AR$170&gt;=FC_Desde)*AR$171)))</f>
        <v>24542.1790864247</v>
      </c>
      <c r="AS243" s="48" t="n">
        <f aca="false">SUMPRODUCT((FC_Clase="Administración")*((FC_Mon="PYG")*AS$175+(FC_Mon&lt;&gt;"PYG"))*((40&gt;Corte)*(40&lt;=Corte+n_Ventana)*ISNUMBER(Detalle_24m!AS$220:AS$244)*Detalle_24m!AS$220:AS$244+(1-(40&gt;Corte)*(40&lt;=Corte+n_Ventana)*ISNUMBER(Detalle_24m!AS$220:AS$244))*FC_V*(1+FC_g)^(AS$173-1)*((FC_Desde=0)*(AS$172+AS$171)+(FC_Desde&gt;=1)*(AS$170&gt;=FC_Desde)*AS$171)))</f>
        <v>24542.1790864247</v>
      </c>
      <c r="AT243" s="48" t="n">
        <f aca="false">SUMPRODUCT((FC_Clase="Administración")*((FC_Mon="PYG")*AT$175+(FC_Mon&lt;&gt;"PYG"))*((41&gt;Corte)*(41&lt;=Corte+n_Ventana)*ISNUMBER(Detalle_24m!AT$220:AT$244)*Detalle_24m!AT$220:AT$244+(1-(41&gt;Corte)*(41&lt;=Corte+n_Ventana)*ISNUMBER(Detalle_24m!AT$220:AT$244))*FC_V*(1+FC_g)^(AT$173-1)*((FC_Desde=0)*(AT$172+AT$171)+(FC_Desde&gt;=1)*(AT$170&gt;=FC_Desde)*AT$171)))</f>
        <v>24542.1790864247</v>
      </c>
      <c r="AU243" s="48" t="n">
        <f aca="false">SUMPRODUCT((FC_Clase="Administración")*((FC_Mon="PYG")*AU$175+(FC_Mon&lt;&gt;"PYG"))*((42&gt;Corte)*(42&lt;=Corte+n_Ventana)*ISNUMBER(Detalle_24m!AU$220:AU$244)*Detalle_24m!AU$220:AU$244+(1-(42&gt;Corte)*(42&lt;=Corte+n_Ventana)*ISNUMBER(Detalle_24m!AU$220:AU$244))*FC_V*(1+FC_g)^(AU$173-1)*((FC_Desde=0)*(AU$172+AU$171)+(FC_Desde&gt;=1)*(AU$170&gt;=FC_Desde)*AU$171)))</f>
        <v>24542.1790864247</v>
      </c>
      <c r="AV243" s="48" t="n">
        <f aca="false">SUMPRODUCT((FC_Clase="Administración")*((FC_Mon="PYG")*AV$175+(FC_Mon&lt;&gt;"PYG"))*((43&gt;Corte)*(43&lt;=Corte+n_Ventana)*ISNUMBER(Detalle_24m!AV$220:AV$244)*Detalle_24m!AV$220:AV$244+(1-(43&gt;Corte)*(43&lt;=Corte+n_Ventana)*ISNUMBER(Detalle_24m!AV$220:AV$244))*FC_V*(1+FC_g)^(AV$173-1)*((FC_Desde=0)*(AV$172+AV$171)+(FC_Desde&gt;=1)*(AV$170&gt;=FC_Desde)*AV$171)))</f>
        <v>24542.1790864247</v>
      </c>
      <c r="AW243" s="48" t="n">
        <f aca="false">SUMPRODUCT((FC_Clase="Administración")*((FC_Mon="PYG")*AW$175+(FC_Mon&lt;&gt;"PYG"))*((44&gt;Corte)*(44&lt;=Corte+n_Ventana)*ISNUMBER(Detalle_24m!AW$220:AW$244)*Detalle_24m!AW$220:AW$244+(1-(44&gt;Corte)*(44&lt;=Corte+n_Ventana)*ISNUMBER(Detalle_24m!AW$220:AW$244))*FC_V*(1+FC_g)^(AW$173-1)*((FC_Desde=0)*(AW$172+AW$171)+(FC_Desde&gt;=1)*(AW$170&gt;=FC_Desde)*AW$171)))</f>
        <v>24542.1790864247</v>
      </c>
      <c r="AX243" s="48" t="n">
        <f aca="false">SUMPRODUCT((FC_Clase="Administración")*((FC_Mon="PYG")*AX$175+(FC_Mon&lt;&gt;"PYG"))*((45&gt;Corte)*(45&lt;=Corte+n_Ventana)*ISNUMBER(Detalle_24m!AX$220:AX$244)*Detalle_24m!AX$220:AX$244+(1-(45&gt;Corte)*(45&lt;=Corte+n_Ventana)*ISNUMBER(Detalle_24m!AX$220:AX$244))*FC_V*(1+FC_g)^(AX$173-1)*((FC_Desde=0)*(AX$172+AX$171)+(FC_Desde&gt;=1)*(AX$170&gt;=FC_Desde)*AX$171)))</f>
        <v>24542.1790864247</v>
      </c>
      <c r="AY243" s="48" t="n">
        <f aca="false">SUMPRODUCT((FC_Clase="Administración")*((FC_Mon="PYG")*AY$175+(FC_Mon&lt;&gt;"PYG"))*((46&gt;Corte)*(46&lt;=Corte+n_Ventana)*ISNUMBER(Detalle_24m!AY$220:AY$244)*Detalle_24m!AY$220:AY$244+(1-(46&gt;Corte)*(46&lt;=Corte+n_Ventana)*ISNUMBER(Detalle_24m!AY$220:AY$244))*FC_V*(1+FC_g)^(AY$173-1)*((FC_Desde=0)*(AY$172+AY$171)+(FC_Desde&gt;=1)*(AY$170&gt;=FC_Desde)*AY$171)))</f>
        <v>24542.1790864247</v>
      </c>
      <c r="AZ243" s="48" t="n">
        <f aca="false">SUMPRODUCT((FC_Clase="Administración")*((FC_Mon="PYG")*AZ$175+(FC_Mon&lt;&gt;"PYG"))*((47&gt;Corte)*(47&lt;=Corte+n_Ventana)*ISNUMBER(Detalle_24m!AZ$220:AZ$244)*Detalle_24m!AZ$220:AZ$244+(1-(47&gt;Corte)*(47&lt;=Corte+n_Ventana)*ISNUMBER(Detalle_24m!AZ$220:AZ$244))*FC_V*(1+FC_g)^(AZ$173-1)*((FC_Desde=0)*(AZ$172+AZ$171)+(FC_Desde&gt;=1)*(AZ$170&gt;=FC_Desde)*AZ$171)))</f>
        <v>24542.1790864247</v>
      </c>
      <c r="BA243" s="48" t="n">
        <f aca="false">SUMPRODUCT((FC_Clase="Administración")*((FC_Mon="PYG")*BA$175+(FC_Mon&lt;&gt;"PYG"))*((48&gt;Corte)*(48&lt;=Corte+n_Ventana)*ISNUMBER(Detalle_24m!BA$220:BA$244)*Detalle_24m!BA$220:BA$244+(1-(48&gt;Corte)*(48&lt;=Corte+n_Ventana)*ISNUMBER(Detalle_24m!BA$220:BA$244))*FC_V*(1+FC_g)^(BA$173-1)*((FC_Desde=0)*(BA$172+BA$171)+(FC_Desde&gt;=1)*(BA$170&gt;=FC_Desde)*BA$171)))</f>
        <v>24542.1790864247</v>
      </c>
      <c r="BB243" s="48" t="n">
        <f aca="false">SUMPRODUCT((FC_Clase="Administración")*((FC_Mon="PYG")*BB$175+(FC_Mon&lt;&gt;"PYG"))*((49&gt;Corte)*(49&lt;=Corte+n_Ventana)*ISNUMBER(Detalle_24m!BB$220:BB$244)*Detalle_24m!BB$220:BB$244+(1-(49&gt;Corte)*(49&lt;=Corte+n_Ventana)*ISNUMBER(Detalle_24m!BB$220:BB$244))*FC_V*(1+FC_g)^(BB$173-1)*((FC_Desde=0)*(BB$172+BB$171)+(FC_Desde&gt;=1)*(BB$170&gt;=FC_Desde)*BB$171)))</f>
        <v>25125.0068864147</v>
      </c>
      <c r="BC243" s="48" t="n">
        <f aca="false">SUMPRODUCT((FC_Clase="Administración")*((FC_Mon="PYG")*BC$175+(FC_Mon&lt;&gt;"PYG"))*((50&gt;Corte)*(50&lt;=Corte+n_Ventana)*ISNUMBER(Detalle_24m!BC$220:BC$244)*Detalle_24m!BC$220:BC$244+(1-(50&gt;Corte)*(50&lt;=Corte+n_Ventana)*ISNUMBER(Detalle_24m!BC$220:BC$244))*FC_V*(1+FC_g)^(BC$173-1)*((FC_Desde=0)*(BC$172+BC$171)+(FC_Desde&gt;=1)*(BC$170&gt;=FC_Desde)*BC$171)))</f>
        <v>25125.0068864147</v>
      </c>
      <c r="BD243" s="48" t="n">
        <f aca="false">SUMPRODUCT((FC_Clase="Administración")*((FC_Mon="PYG")*BD$175+(FC_Mon&lt;&gt;"PYG"))*((51&gt;Corte)*(51&lt;=Corte+n_Ventana)*ISNUMBER(Detalle_24m!BD$220:BD$244)*Detalle_24m!BD$220:BD$244+(1-(51&gt;Corte)*(51&lt;=Corte+n_Ventana)*ISNUMBER(Detalle_24m!BD$220:BD$244))*FC_V*(1+FC_g)^(BD$173-1)*((FC_Desde=0)*(BD$172+BD$171)+(FC_Desde&gt;=1)*(BD$170&gt;=FC_Desde)*BD$171)))</f>
        <v>25125.0068864147</v>
      </c>
      <c r="BE243" s="48" t="n">
        <f aca="false">SUMPRODUCT((FC_Clase="Administración")*((FC_Mon="PYG")*BE$175+(FC_Mon&lt;&gt;"PYG"))*((52&gt;Corte)*(52&lt;=Corte+n_Ventana)*ISNUMBER(Detalle_24m!BE$220:BE$244)*Detalle_24m!BE$220:BE$244+(1-(52&gt;Corte)*(52&lt;=Corte+n_Ventana)*ISNUMBER(Detalle_24m!BE$220:BE$244))*FC_V*(1+FC_g)^(BE$173-1)*((FC_Desde=0)*(BE$172+BE$171)+(FC_Desde&gt;=1)*(BE$170&gt;=FC_Desde)*BE$171)))</f>
        <v>25125.0068864147</v>
      </c>
      <c r="BF243" s="48" t="n">
        <f aca="false">SUMPRODUCT((FC_Clase="Administración")*((FC_Mon="PYG")*BF$175+(FC_Mon&lt;&gt;"PYG"))*((53&gt;Corte)*(53&lt;=Corte+n_Ventana)*ISNUMBER(Detalle_24m!BF$220:BF$244)*Detalle_24m!BF$220:BF$244+(1-(53&gt;Corte)*(53&lt;=Corte+n_Ventana)*ISNUMBER(Detalle_24m!BF$220:BF$244))*FC_V*(1+FC_g)^(BF$173-1)*((FC_Desde=0)*(BF$172+BF$171)+(FC_Desde&gt;=1)*(BF$170&gt;=FC_Desde)*BF$171)))</f>
        <v>25125.0068864147</v>
      </c>
      <c r="BG243" s="48" t="n">
        <f aca="false">SUMPRODUCT((FC_Clase="Administración")*((FC_Mon="PYG")*BG$175+(FC_Mon&lt;&gt;"PYG"))*((54&gt;Corte)*(54&lt;=Corte+n_Ventana)*ISNUMBER(Detalle_24m!BG$220:BG$244)*Detalle_24m!BG$220:BG$244+(1-(54&gt;Corte)*(54&lt;=Corte+n_Ventana)*ISNUMBER(Detalle_24m!BG$220:BG$244))*FC_V*(1+FC_g)^(BG$173-1)*((FC_Desde=0)*(BG$172+BG$171)+(FC_Desde&gt;=1)*(BG$170&gt;=FC_Desde)*BG$171)))</f>
        <v>25125.0068864147</v>
      </c>
      <c r="BH243" s="48" t="n">
        <f aca="false">SUMPRODUCT((FC_Clase="Administración")*((FC_Mon="PYG")*BH$175+(FC_Mon&lt;&gt;"PYG"))*((55&gt;Corte)*(55&lt;=Corte+n_Ventana)*ISNUMBER(Detalle_24m!BH$220:BH$244)*Detalle_24m!BH$220:BH$244+(1-(55&gt;Corte)*(55&lt;=Corte+n_Ventana)*ISNUMBER(Detalle_24m!BH$220:BH$244))*FC_V*(1+FC_g)^(BH$173-1)*((FC_Desde=0)*(BH$172+BH$171)+(FC_Desde&gt;=1)*(BH$170&gt;=FC_Desde)*BH$171)))</f>
        <v>25125.0068864147</v>
      </c>
      <c r="BI243" s="48" t="n">
        <f aca="false">SUMPRODUCT((FC_Clase="Administración")*((FC_Mon="PYG")*BI$175+(FC_Mon&lt;&gt;"PYG"))*((56&gt;Corte)*(56&lt;=Corte+n_Ventana)*ISNUMBER(Detalle_24m!BI$220:BI$244)*Detalle_24m!BI$220:BI$244+(1-(56&gt;Corte)*(56&lt;=Corte+n_Ventana)*ISNUMBER(Detalle_24m!BI$220:BI$244))*FC_V*(1+FC_g)^(BI$173-1)*((FC_Desde=0)*(BI$172+BI$171)+(FC_Desde&gt;=1)*(BI$170&gt;=FC_Desde)*BI$171)))</f>
        <v>25125.0068864147</v>
      </c>
      <c r="BJ243" s="48" t="n">
        <f aca="false">SUMPRODUCT((FC_Clase="Administración")*((FC_Mon="PYG")*BJ$175+(FC_Mon&lt;&gt;"PYG"))*((57&gt;Corte)*(57&lt;=Corte+n_Ventana)*ISNUMBER(Detalle_24m!BJ$220:BJ$244)*Detalle_24m!BJ$220:BJ$244+(1-(57&gt;Corte)*(57&lt;=Corte+n_Ventana)*ISNUMBER(Detalle_24m!BJ$220:BJ$244))*FC_V*(1+FC_g)^(BJ$173-1)*((FC_Desde=0)*(BJ$172+BJ$171)+(FC_Desde&gt;=1)*(BJ$170&gt;=FC_Desde)*BJ$171)))</f>
        <v>25125.0068864147</v>
      </c>
      <c r="BK243" s="48" t="n">
        <f aca="false">SUMPRODUCT((FC_Clase="Administración")*((FC_Mon="PYG")*BK$175+(FC_Mon&lt;&gt;"PYG"))*((58&gt;Corte)*(58&lt;=Corte+n_Ventana)*ISNUMBER(Detalle_24m!BK$220:BK$244)*Detalle_24m!BK$220:BK$244+(1-(58&gt;Corte)*(58&lt;=Corte+n_Ventana)*ISNUMBER(Detalle_24m!BK$220:BK$244))*FC_V*(1+FC_g)^(BK$173-1)*((FC_Desde=0)*(BK$172+BK$171)+(FC_Desde&gt;=1)*(BK$170&gt;=FC_Desde)*BK$171)))</f>
        <v>25125.0068864147</v>
      </c>
      <c r="BL243" s="48" t="n">
        <f aca="false">SUMPRODUCT((FC_Clase="Administración")*((FC_Mon="PYG")*BL$175+(FC_Mon&lt;&gt;"PYG"))*((59&gt;Corte)*(59&lt;=Corte+n_Ventana)*ISNUMBER(Detalle_24m!BL$220:BL$244)*Detalle_24m!BL$220:BL$244+(1-(59&gt;Corte)*(59&lt;=Corte+n_Ventana)*ISNUMBER(Detalle_24m!BL$220:BL$244))*FC_V*(1+FC_g)^(BL$173-1)*((FC_Desde=0)*(BL$172+BL$171)+(FC_Desde&gt;=1)*(BL$170&gt;=FC_Desde)*BL$171)))</f>
        <v>25125.0068864147</v>
      </c>
      <c r="BM243" s="48" t="n">
        <f aca="false">SUMPRODUCT((FC_Clase="Administración")*((FC_Mon="PYG")*BM$175+(FC_Mon&lt;&gt;"PYG"))*((60&gt;Corte)*(60&lt;=Corte+n_Ventana)*ISNUMBER(Detalle_24m!BM$220:BM$244)*Detalle_24m!BM$220:BM$244+(1-(60&gt;Corte)*(60&lt;=Corte+n_Ventana)*ISNUMBER(Detalle_24m!BM$220:BM$244))*FC_V*(1+FC_g)^(BM$173-1)*((FC_Desde=0)*(BM$172+BM$171)+(FC_Desde&gt;=1)*(BM$170&gt;=FC_Desde)*BM$171)))</f>
        <v>25125.0068864147</v>
      </c>
      <c r="BN243" s="48" t="n">
        <f aca="false">SUMPRODUCT((FC_Clase="Administración")*((FC_Mon="PYG")*BN$175+(FC_Mon&lt;&gt;"PYG"))*((61&gt;Corte)*(61&lt;=Corte+n_Ventana)*ISNUMBER(Detalle_24m!BN$220:BN$244)*Detalle_24m!BN$220:BN$244+(1-(61&gt;Corte)*(61&lt;=Corte+n_Ventana)*ISNUMBER(Detalle_24m!BN$220:BN$244))*FC_V*(1+FC_g)^(BN$173-1)*((FC_Desde=0)*(BN$172+BN$171)+(FC_Desde&gt;=1)*(BN$170&gt;=FC_Desde)*BN$171)))</f>
        <v>25725.3195204044</v>
      </c>
      <c r="BO243" s="48" t="n">
        <f aca="false">SUMPRODUCT((FC_Clase="Administración")*((FC_Mon="PYG")*BO$175+(FC_Mon&lt;&gt;"PYG"))*((62&gt;Corte)*(62&lt;=Corte+n_Ventana)*ISNUMBER(Detalle_24m!BO$220:BO$244)*Detalle_24m!BO$220:BO$244+(1-(62&gt;Corte)*(62&lt;=Corte+n_Ventana)*ISNUMBER(Detalle_24m!BO$220:BO$244))*FC_V*(1+FC_g)^(BO$173-1)*((FC_Desde=0)*(BO$172+BO$171)+(FC_Desde&gt;=1)*(BO$170&gt;=FC_Desde)*BO$171)))</f>
        <v>25725.3195204044</v>
      </c>
      <c r="BP243" s="48" t="n">
        <f aca="false">SUMPRODUCT((FC_Clase="Administración")*((FC_Mon="PYG")*BP$175+(FC_Mon&lt;&gt;"PYG"))*((63&gt;Corte)*(63&lt;=Corte+n_Ventana)*ISNUMBER(Detalle_24m!BP$220:BP$244)*Detalle_24m!BP$220:BP$244+(1-(63&gt;Corte)*(63&lt;=Corte+n_Ventana)*ISNUMBER(Detalle_24m!BP$220:BP$244))*FC_V*(1+FC_g)^(BP$173-1)*((FC_Desde=0)*(BP$172+BP$171)+(FC_Desde&gt;=1)*(BP$170&gt;=FC_Desde)*BP$171)))</f>
        <v>25725.3195204044</v>
      </c>
      <c r="BQ243" s="48" t="n">
        <f aca="false">SUMPRODUCT((FC_Clase="Administración")*((FC_Mon="PYG")*BQ$175+(FC_Mon&lt;&gt;"PYG"))*((64&gt;Corte)*(64&lt;=Corte+n_Ventana)*ISNUMBER(Detalle_24m!BQ$220:BQ$244)*Detalle_24m!BQ$220:BQ$244+(1-(64&gt;Corte)*(64&lt;=Corte+n_Ventana)*ISNUMBER(Detalle_24m!BQ$220:BQ$244))*FC_V*(1+FC_g)^(BQ$173-1)*((FC_Desde=0)*(BQ$172+BQ$171)+(FC_Desde&gt;=1)*(BQ$170&gt;=FC_Desde)*BQ$171)))</f>
        <v>25725.3195204044</v>
      </c>
      <c r="BR243" s="48" t="n">
        <f aca="false">SUMPRODUCT((FC_Clase="Administración")*((FC_Mon="PYG")*BR$175+(FC_Mon&lt;&gt;"PYG"))*((65&gt;Corte)*(65&lt;=Corte+n_Ventana)*ISNUMBER(Detalle_24m!BR$220:BR$244)*Detalle_24m!BR$220:BR$244+(1-(65&gt;Corte)*(65&lt;=Corte+n_Ventana)*ISNUMBER(Detalle_24m!BR$220:BR$244))*FC_V*(1+FC_g)^(BR$173-1)*((FC_Desde=0)*(BR$172+BR$171)+(FC_Desde&gt;=1)*(BR$170&gt;=FC_Desde)*BR$171)))</f>
        <v>25725.3195204044</v>
      </c>
      <c r="BS243" s="48" t="n">
        <f aca="false">SUMPRODUCT((FC_Clase="Administración")*((FC_Mon="PYG")*BS$175+(FC_Mon&lt;&gt;"PYG"))*((66&gt;Corte)*(66&lt;=Corte+n_Ventana)*ISNUMBER(Detalle_24m!BS$220:BS$244)*Detalle_24m!BS$220:BS$244+(1-(66&gt;Corte)*(66&lt;=Corte+n_Ventana)*ISNUMBER(Detalle_24m!BS$220:BS$244))*FC_V*(1+FC_g)^(BS$173-1)*((FC_Desde=0)*(BS$172+BS$171)+(FC_Desde&gt;=1)*(BS$170&gt;=FC_Desde)*BS$171)))</f>
        <v>25725.3195204044</v>
      </c>
      <c r="BT243" s="48" t="n">
        <f aca="false">SUMPRODUCT((FC_Clase="Administración")*((FC_Mon="PYG")*BT$175+(FC_Mon&lt;&gt;"PYG"))*((67&gt;Corte)*(67&lt;=Corte+n_Ventana)*ISNUMBER(Detalle_24m!BT$220:BT$244)*Detalle_24m!BT$220:BT$244+(1-(67&gt;Corte)*(67&lt;=Corte+n_Ventana)*ISNUMBER(Detalle_24m!BT$220:BT$244))*FC_V*(1+FC_g)^(BT$173-1)*((FC_Desde=0)*(BT$172+BT$171)+(FC_Desde&gt;=1)*(BT$170&gt;=FC_Desde)*BT$171)))</f>
        <v>25725.3195204044</v>
      </c>
      <c r="BU243" s="48" t="n">
        <f aca="false">SUMPRODUCT((FC_Clase="Administración")*((FC_Mon="PYG")*BU$175+(FC_Mon&lt;&gt;"PYG"))*((68&gt;Corte)*(68&lt;=Corte+n_Ventana)*ISNUMBER(Detalle_24m!BU$220:BU$244)*Detalle_24m!BU$220:BU$244+(1-(68&gt;Corte)*(68&lt;=Corte+n_Ventana)*ISNUMBER(Detalle_24m!BU$220:BU$244))*FC_V*(1+FC_g)^(BU$173-1)*((FC_Desde=0)*(BU$172+BU$171)+(FC_Desde&gt;=1)*(BU$170&gt;=FC_Desde)*BU$171)))</f>
        <v>25725.3195204044</v>
      </c>
      <c r="BV243" s="48" t="n">
        <f aca="false">SUMPRODUCT((FC_Clase="Administración")*((FC_Mon="PYG")*BV$175+(FC_Mon&lt;&gt;"PYG"))*((69&gt;Corte)*(69&lt;=Corte+n_Ventana)*ISNUMBER(Detalle_24m!BV$220:BV$244)*Detalle_24m!BV$220:BV$244+(1-(69&gt;Corte)*(69&lt;=Corte+n_Ventana)*ISNUMBER(Detalle_24m!BV$220:BV$244))*FC_V*(1+FC_g)^(BV$173-1)*((FC_Desde=0)*(BV$172+BV$171)+(FC_Desde&gt;=1)*(BV$170&gt;=FC_Desde)*BV$171)))</f>
        <v>25725.3195204044</v>
      </c>
      <c r="BW243" s="48" t="n">
        <f aca="false">SUMPRODUCT((FC_Clase="Administración")*((FC_Mon="PYG")*BW$175+(FC_Mon&lt;&gt;"PYG"))*((70&gt;Corte)*(70&lt;=Corte+n_Ventana)*ISNUMBER(Detalle_24m!BW$220:BW$244)*Detalle_24m!BW$220:BW$244+(1-(70&gt;Corte)*(70&lt;=Corte+n_Ventana)*ISNUMBER(Detalle_24m!BW$220:BW$244))*FC_V*(1+FC_g)^(BW$173-1)*((FC_Desde=0)*(BW$172+BW$171)+(FC_Desde&gt;=1)*(BW$170&gt;=FC_Desde)*BW$171)))</f>
        <v>25725.3195204044</v>
      </c>
      <c r="BX243" s="48" t="n">
        <f aca="false">SUMPRODUCT((FC_Clase="Administración")*((FC_Mon="PYG")*BX$175+(FC_Mon&lt;&gt;"PYG"))*((71&gt;Corte)*(71&lt;=Corte+n_Ventana)*ISNUMBER(Detalle_24m!BX$220:BX$244)*Detalle_24m!BX$220:BX$244+(1-(71&gt;Corte)*(71&lt;=Corte+n_Ventana)*ISNUMBER(Detalle_24m!BX$220:BX$244))*FC_V*(1+FC_g)^(BX$173-1)*((FC_Desde=0)*(BX$172+BX$171)+(FC_Desde&gt;=1)*(BX$170&gt;=FC_Desde)*BX$171)))</f>
        <v>25725.3195204044</v>
      </c>
      <c r="BY243" s="48" t="n">
        <f aca="false">SUMPRODUCT((FC_Clase="Administración")*((FC_Mon="PYG")*BY$175+(FC_Mon&lt;&gt;"PYG"))*((72&gt;Corte)*(72&lt;=Corte+n_Ventana)*ISNUMBER(Detalle_24m!BY$220:BY$244)*Detalle_24m!BY$220:BY$244+(1-(72&gt;Corte)*(72&lt;=Corte+n_Ventana)*ISNUMBER(Detalle_24m!BY$220:BY$244))*FC_V*(1+FC_g)^(BY$173-1)*((FC_Desde=0)*(BY$172+BY$171)+(FC_Desde&gt;=1)*(BY$170&gt;=FC_Desde)*BY$171)))</f>
        <v>25725.3195204044</v>
      </c>
      <c r="BZ243" s="48" t="n">
        <f aca="false">SUMPRODUCT((FC_Clase="Administración")*((FC_Mon="PYG")*BZ$175+(FC_Mon&lt;&gt;"PYG"))*((73&gt;Corte)*(73&lt;=Corte+n_Ventana)*ISNUMBER(Detalle_24m!BZ$220:BZ$244)*Detalle_24m!BZ$220:BZ$244+(1-(73&gt;Corte)*(73&lt;=Corte+n_Ventana)*ISNUMBER(Detalle_24m!BZ$220:BZ$244))*FC_V*(1+FC_g)^(BZ$173-1)*((FC_Desde=0)*(BZ$172+BZ$171)+(FC_Desde&gt;=1)*(BZ$170&gt;=FC_Desde)*BZ$171)))</f>
        <v>26343.6415334138</v>
      </c>
      <c r="CA243" s="48" t="n">
        <f aca="false">SUMPRODUCT((FC_Clase="Administración")*((FC_Mon="PYG")*CA$175+(FC_Mon&lt;&gt;"PYG"))*((74&gt;Corte)*(74&lt;=Corte+n_Ventana)*ISNUMBER(Detalle_24m!CA$220:CA$244)*Detalle_24m!CA$220:CA$244+(1-(74&gt;Corte)*(74&lt;=Corte+n_Ventana)*ISNUMBER(Detalle_24m!CA$220:CA$244))*FC_V*(1+FC_g)^(CA$173-1)*((FC_Desde=0)*(CA$172+CA$171)+(FC_Desde&gt;=1)*(CA$170&gt;=FC_Desde)*CA$171)))</f>
        <v>26343.6415334138</v>
      </c>
      <c r="CB243" s="48" t="n">
        <f aca="false">SUMPRODUCT((FC_Clase="Administración")*((FC_Mon="PYG")*CB$175+(FC_Mon&lt;&gt;"PYG"))*((75&gt;Corte)*(75&lt;=Corte+n_Ventana)*ISNUMBER(Detalle_24m!CB$220:CB$244)*Detalle_24m!CB$220:CB$244+(1-(75&gt;Corte)*(75&lt;=Corte+n_Ventana)*ISNUMBER(Detalle_24m!CB$220:CB$244))*FC_V*(1+FC_g)^(CB$173-1)*((FC_Desde=0)*(CB$172+CB$171)+(FC_Desde&gt;=1)*(CB$170&gt;=FC_Desde)*CB$171)))</f>
        <v>26343.6415334138</v>
      </c>
      <c r="CC243" s="48" t="n">
        <f aca="false">SUMPRODUCT((FC_Clase="Administración")*((FC_Mon="PYG")*CC$175+(FC_Mon&lt;&gt;"PYG"))*((76&gt;Corte)*(76&lt;=Corte+n_Ventana)*ISNUMBER(Detalle_24m!CC$220:CC$244)*Detalle_24m!CC$220:CC$244+(1-(76&gt;Corte)*(76&lt;=Corte+n_Ventana)*ISNUMBER(Detalle_24m!CC$220:CC$244))*FC_V*(1+FC_g)^(CC$173-1)*((FC_Desde=0)*(CC$172+CC$171)+(FC_Desde&gt;=1)*(CC$170&gt;=FC_Desde)*CC$171)))</f>
        <v>26343.6415334138</v>
      </c>
      <c r="CD243" s="48" t="n">
        <f aca="false">SUMPRODUCT((FC_Clase="Administración")*((FC_Mon="PYG")*CD$175+(FC_Mon&lt;&gt;"PYG"))*((77&gt;Corte)*(77&lt;=Corte+n_Ventana)*ISNUMBER(Detalle_24m!CD$220:CD$244)*Detalle_24m!CD$220:CD$244+(1-(77&gt;Corte)*(77&lt;=Corte+n_Ventana)*ISNUMBER(Detalle_24m!CD$220:CD$244))*FC_V*(1+FC_g)^(CD$173-1)*((FC_Desde=0)*(CD$172+CD$171)+(FC_Desde&gt;=1)*(CD$170&gt;=FC_Desde)*CD$171)))</f>
        <v>26343.6415334138</v>
      </c>
      <c r="CE243" s="48" t="n">
        <f aca="false">SUMPRODUCT((FC_Clase="Administración")*((FC_Mon="PYG")*CE$175+(FC_Mon&lt;&gt;"PYG"))*((78&gt;Corte)*(78&lt;=Corte+n_Ventana)*ISNUMBER(Detalle_24m!CE$220:CE$244)*Detalle_24m!CE$220:CE$244+(1-(78&gt;Corte)*(78&lt;=Corte+n_Ventana)*ISNUMBER(Detalle_24m!CE$220:CE$244))*FC_V*(1+FC_g)^(CE$173-1)*((FC_Desde=0)*(CE$172+CE$171)+(FC_Desde&gt;=1)*(CE$170&gt;=FC_Desde)*CE$171)))</f>
        <v>26343.6415334138</v>
      </c>
      <c r="CF243" s="48" t="n">
        <f aca="false">SUMPRODUCT((FC_Clase="Administración")*((FC_Mon="PYG")*CF$175+(FC_Mon&lt;&gt;"PYG"))*((79&gt;Corte)*(79&lt;=Corte+n_Ventana)*ISNUMBER(Detalle_24m!CF$220:CF$244)*Detalle_24m!CF$220:CF$244+(1-(79&gt;Corte)*(79&lt;=Corte+n_Ventana)*ISNUMBER(Detalle_24m!CF$220:CF$244))*FC_V*(1+FC_g)^(CF$173-1)*((FC_Desde=0)*(CF$172+CF$171)+(FC_Desde&gt;=1)*(CF$170&gt;=FC_Desde)*CF$171)))</f>
        <v>26343.6415334138</v>
      </c>
      <c r="CG243" s="48" t="n">
        <f aca="false">SUMPRODUCT((FC_Clase="Administración")*((FC_Mon="PYG")*CG$175+(FC_Mon&lt;&gt;"PYG"))*((80&gt;Corte)*(80&lt;=Corte+n_Ventana)*ISNUMBER(Detalle_24m!CG$220:CG$244)*Detalle_24m!CG$220:CG$244+(1-(80&gt;Corte)*(80&lt;=Corte+n_Ventana)*ISNUMBER(Detalle_24m!CG$220:CG$244))*FC_V*(1+FC_g)^(CG$173-1)*((FC_Desde=0)*(CG$172+CG$171)+(FC_Desde&gt;=1)*(CG$170&gt;=FC_Desde)*CG$171)))</f>
        <v>26343.6415334138</v>
      </c>
      <c r="CH243" s="48" t="n">
        <f aca="false">SUMPRODUCT((FC_Clase="Administración")*((FC_Mon="PYG")*CH$175+(FC_Mon&lt;&gt;"PYG"))*((81&gt;Corte)*(81&lt;=Corte+n_Ventana)*ISNUMBER(Detalle_24m!CH$220:CH$244)*Detalle_24m!CH$220:CH$244+(1-(81&gt;Corte)*(81&lt;=Corte+n_Ventana)*ISNUMBER(Detalle_24m!CH$220:CH$244))*FC_V*(1+FC_g)^(CH$173-1)*((FC_Desde=0)*(CH$172+CH$171)+(FC_Desde&gt;=1)*(CH$170&gt;=FC_Desde)*CH$171)))</f>
        <v>26343.6415334138</v>
      </c>
      <c r="CI243" s="48" t="n">
        <f aca="false">SUMPRODUCT((FC_Clase="Administración")*((FC_Mon="PYG")*CI$175+(FC_Mon&lt;&gt;"PYG"))*((82&gt;Corte)*(82&lt;=Corte+n_Ventana)*ISNUMBER(Detalle_24m!CI$220:CI$244)*Detalle_24m!CI$220:CI$244+(1-(82&gt;Corte)*(82&lt;=Corte+n_Ventana)*ISNUMBER(Detalle_24m!CI$220:CI$244))*FC_V*(1+FC_g)^(CI$173-1)*((FC_Desde=0)*(CI$172+CI$171)+(FC_Desde&gt;=1)*(CI$170&gt;=FC_Desde)*CI$171)))</f>
        <v>26343.6415334138</v>
      </c>
      <c r="CJ243" s="48" t="n">
        <f aca="false">SUMPRODUCT((FC_Clase="Administración")*((FC_Mon="PYG")*CJ$175+(FC_Mon&lt;&gt;"PYG"))*((83&gt;Corte)*(83&lt;=Corte+n_Ventana)*ISNUMBER(Detalle_24m!CJ$220:CJ$244)*Detalle_24m!CJ$220:CJ$244+(1-(83&gt;Corte)*(83&lt;=Corte+n_Ventana)*ISNUMBER(Detalle_24m!CJ$220:CJ$244))*FC_V*(1+FC_g)^(CJ$173-1)*((FC_Desde=0)*(CJ$172+CJ$171)+(FC_Desde&gt;=1)*(CJ$170&gt;=FC_Desde)*CJ$171)))</f>
        <v>26343.6415334138</v>
      </c>
      <c r="CK243" s="48" t="n">
        <f aca="false">SUMPRODUCT((FC_Clase="Administración")*((FC_Mon="PYG")*CK$175+(FC_Mon&lt;&gt;"PYG"))*((84&gt;Corte)*(84&lt;=Corte+n_Ventana)*ISNUMBER(Detalle_24m!CK$220:CK$244)*Detalle_24m!CK$220:CK$244+(1-(84&gt;Corte)*(84&lt;=Corte+n_Ventana)*ISNUMBER(Detalle_24m!CK$220:CK$244))*FC_V*(1+FC_g)^(CK$173-1)*((FC_Desde=0)*(CK$172+CK$171)+(FC_Desde&gt;=1)*(CK$170&gt;=FC_Desde)*CK$171)))</f>
        <v>26343.6415334138</v>
      </c>
      <c r="CL243" s="48" t="n">
        <f aca="false">SUMPRODUCT((FC_Clase="Administración")*((FC_Mon="PYG")*CL$175+(FC_Mon&lt;&gt;"PYG"))*((85&gt;Corte)*(85&lt;=Corte+n_Ventana)*ISNUMBER(Detalle_24m!CL$220:CL$244)*Detalle_24m!CL$220:CL$244+(1-(85&gt;Corte)*(85&lt;=Corte+n_Ventana)*ISNUMBER(Detalle_24m!CL$220:CL$244))*FC_V*(1+FC_g)^(CL$173-1)*((FC_Desde=0)*(CL$172+CL$171)+(FC_Desde&gt;=1)*(CL$170&gt;=FC_Desde)*CL$171)))</f>
        <v>26980.5132068134</v>
      </c>
      <c r="CM243" s="48" t="n">
        <f aca="false">SUMPRODUCT((FC_Clase="Administración")*((FC_Mon="PYG")*CM$175+(FC_Mon&lt;&gt;"PYG"))*((86&gt;Corte)*(86&lt;=Corte+n_Ventana)*ISNUMBER(Detalle_24m!CM$220:CM$244)*Detalle_24m!CM$220:CM$244+(1-(86&gt;Corte)*(86&lt;=Corte+n_Ventana)*ISNUMBER(Detalle_24m!CM$220:CM$244))*FC_V*(1+FC_g)^(CM$173-1)*((FC_Desde=0)*(CM$172+CM$171)+(FC_Desde&gt;=1)*(CM$170&gt;=FC_Desde)*CM$171)))</f>
        <v>26980.5132068134</v>
      </c>
      <c r="CN243" s="48" t="n">
        <f aca="false">SUMPRODUCT((FC_Clase="Administración")*((FC_Mon="PYG")*CN$175+(FC_Mon&lt;&gt;"PYG"))*((87&gt;Corte)*(87&lt;=Corte+n_Ventana)*ISNUMBER(Detalle_24m!CN$220:CN$244)*Detalle_24m!CN$220:CN$244+(1-(87&gt;Corte)*(87&lt;=Corte+n_Ventana)*ISNUMBER(Detalle_24m!CN$220:CN$244))*FC_V*(1+FC_g)^(CN$173-1)*((FC_Desde=0)*(CN$172+CN$171)+(FC_Desde&gt;=1)*(CN$170&gt;=FC_Desde)*CN$171)))</f>
        <v>26980.5132068134</v>
      </c>
      <c r="CO243" s="48" t="n">
        <f aca="false">SUMPRODUCT((FC_Clase="Administración")*((FC_Mon="PYG")*CO$175+(FC_Mon&lt;&gt;"PYG"))*((88&gt;Corte)*(88&lt;=Corte+n_Ventana)*ISNUMBER(Detalle_24m!CO$220:CO$244)*Detalle_24m!CO$220:CO$244+(1-(88&gt;Corte)*(88&lt;=Corte+n_Ventana)*ISNUMBER(Detalle_24m!CO$220:CO$244))*FC_V*(1+FC_g)^(CO$173-1)*((FC_Desde=0)*(CO$172+CO$171)+(FC_Desde&gt;=1)*(CO$170&gt;=FC_Desde)*CO$171)))</f>
        <v>26980.5132068134</v>
      </c>
      <c r="CP243" s="48" t="n">
        <f aca="false">SUMPRODUCT((FC_Clase="Administración")*((FC_Mon="PYG")*CP$175+(FC_Mon&lt;&gt;"PYG"))*((89&gt;Corte)*(89&lt;=Corte+n_Ventana)*ISNUMBER(Detalle_24m!CP$220:CP$244)*Detalle_24m!CP$220:CP$244+(1-(89&gt;Corte)*(89&lt;=Corte+n_Ventana)*ISNUMBER(Detalle_24m!CP$220:CP$244))*FC_V*(1+FC_g)^(CP$173-1)*((FC_Desde=0)*(CP$172+CP$171)+(FC_Desde&gt;=1)*(CP$170&gt;=FC_Desde)*CP$171)))</f>
        <v>26980.5132068134</v>
      </c>
      <c r="CQ243" s="48" t="n">
        <f aca="false">SUMPRODUCT((FC_Clase="Administración")*((FC_Mon="PYG")*CQ$175+(FC_Mon&lt;&gt;"PYG"))*((90&gt;Corte)*(90&lt;=Corte+n_Ventana)*ISNUMBER(Detalle_24m!CQ$220:CQ$244)*Detalle_24m!CQ$220:CQ$244+(1-(90&gt;Corte)*(90&lt;=Corte+n_Ventana)*ISNUMBER(Detalle_24m!CQ$220:CQ$244))*FC_V*(1+FC_g)^(CQ$173-1)*((FC_Desde=0)*(CQ$172+CQ$171)+(FC_Desde&gt;=1)*(CQ$170&gt;=FC_Desde)*CQ$171)))</f>
        <v>26980.5132068134</v>
      </c>
      <c r="CR243" s="48" t="n">
        <f aca="false">SUMPRODUCT((FC_Clase="Administración")*((FC_Mon="PYG")*CR$175+(FC_Mon&lt;&gt;"PYG"))*((91&gt;Corte)*(91&lt;=Corte+n_Ventana)*ISNUMBER(Detalle_24m!CR$220:CR$244)*Detalle_24m!CR$220:CR$244+(1-(91&gt;Corte)*(91&lt;=Corte+n_Ventana)*ISNUMBER(Detalle_24m!CR$220:CR$244))*FC_V*(1+FC_g)^(CR$173-1)*((FC_Desde=0)*(CR$172+CR$171)+(FC_Desde&gt;=1)*(CR$170&gt;=FC_Desde)*CR$171)))</f>
        <v>26980.5132068134</v>
      </c>
      <c r="CS243" s="48" t="n">
        <f aca="false">SUMPRODUCT((FC_Clase="Administración")*((FC_Mon="PYG")*CS$175+(FC_Mon&lt;&gt;"PYG"))*((92&gt;Corte)*(92&lt;=Corte+n_Ventana)*ISNUMBER(Detalle_24m!CS$220:CS$244)*Detalle_24m!CS$220:CS$244+(1-(92&gt;Corte)*(92&lt;=Corte+n_Ventana)*ISNUMBER(Detalle_24m!CS$220:CS$244))*FC_V*(1+FC_g)^(CS$173-1)*((FC_Desde=0)*(CS$172+CS$171)+(FC_Desde&gt;=1)*(CS$170&gt;=FC_Desde)*CS$171)))</f>
        <v>26980.5132068134</v>
      </c>
      <c r="CT243" s="48" t="n">
        <f aca="false">SUMPRODUCT((FC_Clase="Administración")*((FC_Mon="PYG")*CT$175+(FC_Mon&lt;&gt;"PYG"))*((93&gt;Corte)*(93&lt;=Corte+n_Ventana)*ISNUMBER(Detalle_24m!CT$220:CT$244)*Detalle_24m!CT$220:CT$244+(1-(93&gt;Corte)*(93&lt;=Corte+n_Ventana)*ISNUMBER(Detalle_24m!CT$220:CT$244))*FC_V*(1+FC_g)^(CT$173-1)*((FC_Desde=0)*(CT$172+CT$171)+(FC_Desde&gt;=1)*(CT$170&gt;=FC_Desde)*CT$171)))</f>
        <v>26980.5132068134</v>
      </c>
      <c r="CU243" s="48" t="n">
        <f aca="false">SUMPRODUCT((FC_Clase="Administración")*((FC_Mon="PYG")*CU$175+(FC_Mon&lt;&gt;"PYG"))*((94&gt;Corte)*(94&lt;=Corte+n_Ventana)*ISNUMBER(Detalle_24m!CU$220:CU$244)*Detalle_24m!CU$220:CU$244+(1-(94&gt;Corte)*(94&lt;=Corte+n_Ventana)*ISNUMBER(Detalle_24m!CU$220:CU$244))*FC_V*(1+FC_g)^(CU$173-1)*((FC_Desde=0)*(CU$172+CU$171)+(FC_Desde&gt;=1)*(CU$170&gt;=FC_Desde)*CU$171)))</f>
        <v>26980.5132068134</v>
      </c>
      <c r="CV243" s="48" t="n">
        <f aca="false">SUMPRODUCT((FC_Clase="Administración")*((FC_Mon="PYG")*CV$175+(FC_Mon&lt;&gt;"PYG"))*((95&gt;Corte)*(95&lt;=Corte+n_Ventana)*ISNUMBER(Detalle_24m!CV$220:CV$244)*Detalle_24m!CV$220:CV$244+(1-(95&gt;Corte)*(95&lt;=Corte+n_Ventana)*ISNUMBER(Detalle_24m!CV$220:CV$244))*FC_V*(1+FC_g)^(CV$173-1)*((FC_Desde=0)*(CV$172+CV$171)+(FC_Desde&gt;=1)*(CV$170&gt;=FC_Desde)*CV$171)))</f>
        <v>26980.5132068134</v>
      </c>
      <c r="CW243" s="48" t="n">
        <f aca="false">SUMPRODUCT((FC_Clase="Administración")*((FC_Mon="PYG")*CW$175+(FC_Mon&lt;&gt;"PYG"))*((96&gt;Corte)*(96&lt;=Corte+n_Ventana)*ISNUMBER(Detalle_24m!CW$220:CW$244)*Detalle_24m!CW$220:CW$244+(1-(96&gt;Corte)*(96&lt;=Corte+n_Ventana)*ISNUMBER(Detalle_24m!CW$220:CW$244))*FC_V*(1+FC_g)^(CW$173-1)*((FC_Desde=0)*(CW$172+CW$171)+(FC_Desde&gt;=1)*(CW$170&gt;=FC_Desde)*CW$171)))</f>
        <v>26980.5132068134</v>
      </c>
      <c r="CX243" s="48" t="n">
        <f aca="false">SUMPRODUCT((FC_Clase="Administración")*((FC_Mon="PYG")*CX$175+(FC_Mon&lt;&gt;"PYG"))*((97&gt;Corte)*(97&lt;=Corte+n_Ventana)*ISNUMBER(Detalle_24m!CX$220:CX$244)*Detalle_24m!CX$220:CX$244+(1-(97&gt;Corte)*(97&lt;=Corte+n_Ventana)*ISNUMBER(Detalle_24m!CX$220:CX$244))*FC_V*(1+FC_g)^(CX$173-1)*((FC_Desde=0)*(CX$172+CX$171)+(FC_Desde&gt;=1)*(CX$170&gt;=FC_Desde)*CX$171)))</f>
        <v>27636.4910304151</v>
      </c>
      <c r="CY243" s="48" t="n">
        <f aca="false">SUMPRODUCT((FC_Clase="Administración")*((FC_Mon="PYG")*CY$175+(FC_Mon&lt;&gt;"PYG"))*((98&gt;Corte)*(98&lt;=Corte+n_Ventana)*ISNUMBER(Detalle_24m!CY$220:CY$244)*Detalle_24m!CY$220:CY$244+(1-(98&gt;Corte)*(98&lt;=Corte+n_Ventana)*ISNUMBER(Detalle_24m!CY$220:CY$244))*FC_V*(1+FC_g)^(CY$173-1)*((FC_Desde=0)*(CY$172+CY$171)+(FC_Desde&gt;=1)*(CY$170&gt;=FC_Desde)*CY$171)))</f>
        <v>27636.4910304151</v>
      </c>
      <c r="CZ243" s="48" t="n">
        <f aca="false">SUMPRODUCT((FC_Clase="Administración")*((FC_Mon="PYG")*CZ$175+(FC_Mon&lt;&gt;"PYG"))*((99&gt;Corte)*(99&lt;=Corte+n_Ventana)*ISNUMBER(Detalle_24m!CZ$220:CZ$244)*Detalle_24m!CZ$220:CZ$244+(1-(99&gt;Corte)*(99&lt;=Corte+n_Ventana)*ISNUMBER(Detalle_24m!CZ$220:CZ$244))*FC_V*(1+FC_g)^(CZ$173-1)*((FC_Desde=0)*(CZ$172+CZ$171)+(FC_Desde&gt;=1)*(CZ$170&gt;=FC_Desde)*CZ$171)))</f>
        <v>27636.4910304151</v>
      </c>
      <c r="DA243" s="48" t="n">
        <f aca="false">SUMPRODUCT((FC_Clase="Administración")*((FC_Mon="PYG")*DA$175+(FC_Mon&lt;&gt;"PYG"))*((100&gt;Corte)*(100&lt;=Corte+n_Ventana)*ISNUMBER(Detalle_24m!DA$220:DA$244)*Detalle_24m!DA$220:DA$244+(1-(100&gt;Corte)*(100&lt;=Corte+n_Ventana)*ISNUMBER(Detalle_24m!DA$220:DA$244))*FC_V*(1+FC_g)^(DA$173-1)*((FC_Desde=0)*(DA$172+DA$171)+(FC_Desde&gt;=1)*(DA$170&gt;=FC_Desde)*DA$171)))</f>
        <v>27636.4910304151</v>
      </c>
      <c r="DB243" s="48" t="n">
        <f aca="false">SUMPRODUCT((FC_Clase="Administración")*((FC_Mon="PYG")*DB$175+(FC_Mon&lt;&gt;"PYG"))*((101&gt;Corte)*(101&lt;=Corte+n_Ventana)*ISNUMBER(Detalle_24m!DB$220:DB$244)*Detalle_24m!DB$220:DB$244+(1-(101&gt;Corte)*(101&lt;=Corte+n_Ventana)*ISNUMBER(Detalle_24m!DB$220:DB$244))*FC_V*(1+FC_g)^(DB$173-1)*((FC_Desde=0)*(DB$172+DB$171)+(FC_Desde&gt;=1)*(DB$170&gt;=FC_Desde)*DB$171)))</f>
        <v>27636.4910304151</v>
      </c>
      <c r="DC243" s="48" t="n">
        <f aca="false">SUMPRODUCT((FC_Clase="Administración")*((FC_Mon="PYG")*DC$175+(FC_Mon&lt;&gt;"PYG"))*((102&gt;Corte)*(102&lt;=Corte+n_Ventana)*ISNUMBER(Detalle_24m!DC$220:DC$244)*Detalle_24m!DC$220:DC$244+(1-(102&gt;Corte)*(102&lt;=Corte+n_Ventana)*ISNUMBER(Detalle_24m!DC$220:DC$244))*FC_V*(1+FC_g)^(DC$173-1)*((FC_Desde=0)*(DC$172+DC$171)+(FC_Desde&gt;=1)*(DC$170&gt;=FC_Desde)*DC$171)))</f>
        <v>27636.4910304151</v>
      </c>
      <c r="DD243" s="48" t="n">
        <f aca="false">SUMPRODUCT((FC_Clase="Administración")*((FC_Mon="PYG")*DD$175+(FC_Mon&lt;&gt;"PYG"))*((103&gt;Corte)*(103&lt;=Corte+n_Ventana)*ISNUMBER(Detalle_24m!DD$220:DD$244)*Detalle_24m!DD$220:DD$244+(1-(103&gt;Corte)*(103&lt;=Corte+n_Ventana)*ISNUMBER(Detalle_24m!DD$220:DD$244))*FC_V*(1+FC_g)^(DD$173-1)*((FC_Desde=0)*(DD$172+DD$171)+(FC_Desde&gt;=1)*(DD$170&gt;=FC_Desde)*DD$171)))</f>
        <v>27636.4910304151</v>
      </c>
      <c r="DE243" s="48" t="n">
        <f aca="false">SUMPRODUCT((FC_Clase="Administración")*((FC_Mon="PYG")*DE$175+(FC_Mon&lt;&gt;"PYG"))*((104&gt;Corte)*(104&lt;=Corte+n_Ventana)*ISNUMBER(Detalle_24m!DE$220:DE$244)*Detalle_24m!DE$220:DE$244+(1-(104&gt;Corte)*(104&lt;=Corte+n_Ventana)*ISNUMBER(Detalle_24m!DE$220:DE$244))*FC_V*(1+FC_g)^(DE$173-1)*((FC_Desde=0)*(DE$172+DE$171)+(FC_Desde&gt;=1)*(DE$170&gt;=FC_Desde)*DE$171)))</f>
        <v>27636.4910304151</v>
      </c>
      <c r="DF243" s="48" t="n">
        <f aca="false">SUMPRODUCT((FC_Clase="Administración")*((FC_Mon="PYG")*DF$175+(FC_Mon&lt;&gt;"PYG"))*((105&gt;Corte)*(105&lt;=Corte+n_Ventana)*ISNUMBER(Detalle_24m!DF$220:DF$244)*Detalle_24m!DF$220:DF$244+(1-(105&gt;Corte)*(105&lt;=Corte+n_Ventana)*ISNUMBER(Detalle_24m!DF$220:DF$244))*FC_V*(1+FC_g)^(DF$173-1)*((FC_Desde=0)*(DF$172+DF$171)+(FC_Desde&gt;=1)*(DF$170&gt;=FC_Desde)*DF$171)))</f>
        <v>27636.4910304151</v>
      </c>
      <c r="DG243" s="48" t="n">
        <f aca="false">SUMPRODUCT((FC_Clase="Administración")*((FC_Mon="PYG")*DG$175+(FC_Mon&lt;&gt;"PYG"))*((106&gt;Corte)*(106&lt;=Corte+n_Ventana)*ISNUMBER(Detalle_24m!DG$220:DG$244)*Detalle_24m!DG$220:DG$244+(1-(106&gt;Corte)*(106&lt;=Corte+n_Ventana)*ISNUMBER(Detalle_24m!DG$220:DG$244))*FC_V*(1+FC_g)^(DG$173-1)*((FC_Desde=0)*(DG$172+DG$171)+(FC_Desde&gt;=1)*(DG$170&gt;=FC_Desde)*DG$171)))</f>
        <v>27636.4910304151</v>
      </c>
      <c r="DH243" s="48" t="n">
        <f aca="false">SUMPRODUCT((FC_Clase="Administración")*((FC_Mon="PYG")*DH$175+(FC_Mon&lt;&gt;"PYG"))*((107&gt;Corte)*(107&lt;=Corte+n_Ventana)*ISNUMBER(Detalle_24m!DH$220:DH$244)*Detalle_24m!DH$220:DH$244+(1-(107&gt;Corte)*(107&lt;=Corte+n_Ventana)*ISNUMBER(Detalle_24m!DH$220:DH$244))*FC_V*(1+FC_g)^(DH$173-1)*((FC_Desde=0)*(DH$172+DH$171)+(FC_Desde&gt;=1)*(DH$170&gt;=FC_Desde)*DH$171)))</f>
        <v>27636.4910304151</v>
      </c>
      <c r="DI243" s="48" t="n">
        <f aca="false">SUMPRODUCT((FC_Clase="Administración")*((FC_Mon="PYG")*DI$175+(FC_Mon&lt;&gt;"PYG"))*((108&gt;Corte)*(108&lt;=Corte+n_Ventana)*ISNUMBER(Detalle_24m!DI$220:DI$244)*Detalle_24m!DI$220:DI$244+(1-(108&gt;Corte)*(108&lt;=Corte+n_Ventana)*ISNUMBER(Detalle_24m!DI$220:DI$244))*FC_V*(1+FC_g)^(DI$173-1)*((FC_Desde=0)*(DI$172+DI$171)+(FC_Desde&gt;=1)*(DI$170&gt;=FC_Desde)*DI$171)))</f>
        <v>27636.4910304151</v>
      </c>
      <c r="DJ243" s="48" t="n">
        <f aca="false">SUMPRODUCT((FC_Clase="Administración")*((FC_Mon="PYG")*DJ$175+(FC_Mon&lt;&gt;"PYG"))*((109&gt;Corte)*(109&lt;=Corte+n_Ventana)*ISNUMBER(Detalle_24m!DJ$220:DJ$244)*Detalle_24m!DJ$220:DJ$244+(1-(109&gt;Corte)*(109&lt;=Corte+n_Ventana)*ISNUMBER(Detalle_24m!DJ$220:DJ$244))*FC_V*(1+FC_g)^(DJ$173-1)*((FC_Desde=0)*(DJ$172+DJ$171)+(FC_Desde&gt;=1)*(DJ$170&gt;=FC_Desde)*DJ$171)))</f>
        <v>28312.1481887248</v>
      </c>
      <c r="DK243" s="48" t="n">
        <f aca="false">SUMPRODUCT((FC_Clase="Administración")*((FC_Mon="PYG")*DK$175+(FC_Mon&lt;&gt;"PYG"))*((110&gt;Corte)*(110&lt;=Corte+n_Ventana)*ISNUMBER(Detalle_24m!DK$220:DK$244)*Detalle_24m!DK$220:DK$244+(1-(110&gt;Corte)*(110&lt;=Corte+n_Ventana)*ISNUMBER(Detalle_24m!DK$220:DK$244))*FC_V*(1+FC_g)^(DK$173-1)*((FC_Desde=0)*(DK$172+DK$171)+(FC_Desde&gt;=1)*(DK$170&gt;=FC_Desde)*DK$171)))</f>
        <v>28312.1481887248</v>
      </c>
      <c r="DL243" s="48" t="n">
        <f aca="false">SUMPRODUCT((FC_Clase="Administración")*((FC_Mon="PYG")*DL$175+(FC_Mon&lt;&gt;"PYG"))*((111&gt;Corte)*(111&lt;=Corte+n_Ventana)*ISNUMBER(Detalle_24m!DL$220:DL$244)*Detalle_24m!DL$220:DL$244+(1-(111&gt;Corte)*(111&lt;=Corte+n_Ventana)*ISNUMBER(Detalle_24m!DL$220:DL$244))*FC_V*(1+FC_g)^(DL$173-1)*((FC_Desde=0)*(DL$172+DL$171)+(FC_Desde&gt;=1)*(DL$170&gt;=FC_Desde)*DL$171)))</f>
        <v>28312.1481887248</v>
      </c>
      <c r="DM243" s="48" t="n">
        <f aca="false">SUMPRODUCT((FC_Clase="Administración")*((FC_Mon="PYG")*DM$175+(FC_Mon&lt;&gt;"PYG"))*((112&gt;Corte)*(112&lt;=Corte+n_Ventana)*ISNUMBER(Detalle_24m!DM$220:DM$244)*Detalle_24m!DM$220:DM$244+(1-(112&gt;Corte)*(112&lt;=Corte+n_Ventana)*ISNUMBER(Detalle_24m!DM$220:DM$244))*FC_V*(1+FC_g)^(DM$173-1)*((FC_Desde=0)*(DM$172+DM$171)+(FC_Desde&gt;=1)*(DM$170&gt;=FC_Desde)*DM$171)))</f>
        <v>28312.1481887248</v>
      </c>
      <c r="DN243" s="48" t="n">
        <f aca="false">SUMPRODUCT((FC_Clase="Administración")*((FC_Mon="PYG")*DN$175+(FC_Mon&lt;&gt;"PYG"))*((113&gt;Corte)*(113&lt;=Corte+n_Ventana)*ISNUMBER(Detalle_24m!DN$220:DN$244)*Detalle_24m!DN$220:DN$244+(1-(113&gt;Corte)*(113&lt;=Corte+n_Ventana)*ISNUMBER(Detalle_24m!DN$220:DN$244))*FC_V*(1+FC_g)^(DN$173-1)*((FC_Desde=0)*(DN$172+DN$171)+(FC_Desde&gt;=1)*(DN$170&gt;=FC_Desde)*DN$171)))</f>
        <v>28312.1481887248</v>
      </c>
      <c r="DO243" s="48" t="n">
        <f aca="false">SUMPRODUCT((FC_Clase="Administración")*((FC_Mon="PYG")*DO$175+(FC_Mon&lt;&gt;"PYG"))*((114&gt;Corte)*(114&lt;=Corte+n_Ventana)*ISNUMBER(Detalle_24m!DO$220:DO$244)*Detalle_24m!DO$220:DO$244+(1-(114&gt;Corte)*(114&lt;=Corte+n_Ventana)*ISNUMBER(Detalle_24m!DO$220:DO$244))*FC_V*(1+FC_g)^(DO$173-1)*((FC_Desde=0)*(DO$172+DO$171)+(FC_Desde&gt;=1)*(DO$170&gt;=FC_Desde)*DO$171)))</f>
        <v>28312.1481887248</v>
      </c>
      <c r="DP243" s="48" t="n">
        <f aca="false">SUMPRODUCT((FC_Clase="Administración")*((FC_Mon="PYG")*DP$175+(FC_Mon&lt;&gt;"PYG"))*((115&gt;Corte)*(115&lt;=Corte+n_Ventana)*ISNUMBER(Detalle_24m!DP$220:DP$244)*Detalle_24m!DP$220:DP$244+(1-(115&gt;Corte)*(115&lt;=Corte+n_Ventana)*ISNUMBER(Detalle_24m!DP$220:DP$244))*FC_V*(1+FC_g)^(DP$173-1)*((FC_Desde=0)*(DP$172+DP$171)+(FC_Desde&gt;=1)*(DP$170&gt;=FC_Desde)*DP$171)))</f>
        <v>28312.1481887248</v>
      </c>
      <c r="DQ243" s="48" t="n">
        <f aca="false">SUMPRODUCT((FC_Clase="Administración")*((FC_Mon="PYG")*DQ$175+(FC_Mon&lt;&gt;"PYG"))*((116&gt;Corte)*(116&lt;=Corte+n_Ventana)*ISNUMBER(Detalle_24m!DQ$220:DQ$244)*Detalle_24m!DQ$220:DQ$244+(1-(116&gt;Corte)*(116&lt;=Corte+n_Ventana)*ISNUMBER(Detalle_24m!DQ$220:DQ$244))*FC_V*(1+FC_g)^(DQ$173-1)*((FC_Desde=0)*(DQ$172+DQ$171)+(FC_Desde&gt;=1)*(DQ$170&gt;=FC_Desde)*DQ$171)))</f>
        <v>28312.1481887248</v>
      </c>
      <c r="DR243" s="48" t="n">
        <f aca="false">SUMPRODUCT((FC_Clase="Administración")*((FC_Mon="PYG")*DR$175+(FC_Mon&lt;&gt;"PYG"))*((117&gt;Corte)*(117&lt;=Corte+n_Ventana)*ISNUMBER(Detalle_24m!DR$220:DR$244)*Detalle_24m!DR$220:DR$244+(1-(117&gt;Corte)*(117&lt;=Corte+n_Ventana)*ISNUMBER(Detalle_24m!DR$220:DR$244))*FC_V*(1+FC_g)^(DR$173-1)*((FC_Desde=0)*(DR$172+DR$171)+(FC_Desde&gt;=1)*(DR$170&gt;=FC_Desde)*DR$171)))</f>
        <v>28312.1481887248</v>
      </c>
      <c r="DS243" s="48" t="n">
        <f aca="false">SUMPRODUCT((FC_Clase="Administración")*((FC_Mon="PYG")*DS$175+(FC_Mon&lt;&gt;"PYG"))*((118&gt;Corte)*(118&lt;=Corte+n_Ventana)*ISNUMBER(Detalle_24m!DS$220:DS$244)*Detalle_24m!DS$220:DS$244+(1-(118&gt;Corte)*(118&lt;=Corte+n_Ventana)*ISNUMBER(Detalle_24m!DS$220:DS$244))*FC_V*(1+FC_g)^(DS$173-1)*((FC_Desde=0)*(DS$172+DS$171)+(FC_Desde&gt;=1)*(DS$170&gt;=FC_Desde)*DS$171)))</f>
        <v>28312.1481887248</v>
      </c>
      <c r="DT243" s="48" t="n">
        <f aca="false">SUMPRODUCT((FC_Clase="Administración")*((FC_Mon="PYG")*DT$175+(FC_Mon&lt;&gt;"PYG"))*((119&gt;Corte)*(119&lt;=Corte+n_Ventana)*ISNUMBER(Detalle_24m!DT$220:DT$244)*Detalle_24m!DT$220:DT$244+(1-(119&gt;Corte)*(119&lt;=Corte+n_Ventana)*ISNUMBER(Detalle_24m!DT$220:DT$244))*FC_V*(1+FC_g)^(DT$173-1)*((FC_Desde=0)*(DT$172+DT$171)+(FC_Desde&gt;=1)*(DT$170&gt;=FC_Desde)*DT$171)))</f>
        <v>28312.1481887248</v>
      </c>
      <c r="DU243" s="48" t="n">
        <f aca="false">SUMPRODUCT((FC_Clase="Administración")*((FC_Mon="PYG")*DU$175+(FC_Mon&lt;&gt;"PYG"))*((120&gt;Corte)*(120&lt;=Corte+n_Ventana)*ISNUMBER(Detalle_24m!DU$220:DU$244)*Detalle_24m!DU$220:DU$244+(1-(120&gt;Corte)*(120&lt;=Corte+n_Ventana)*ISNUMBER(Detalle_24m!DU$220:DU$244))*FC_V*(1+FC_g)^(DU$173-1)*((FC_Desde=0)*(DU$172+DU$171)+(FC_Desde&gt;=1)*(DU$170&gt;=FC_Desde)*DU$171)))</f>
        <v>28312.1481887248</v>
      </c>
      <c r="DV243" s="48" t="n">
        <f aca="false">SUMPRODUCT((FC_Clase="Administración")*((FC_Mon="PYG")*DV$175+(FC_Mon&lt;&gt;"PYG"))*((121&gt;Corte)*(121&lt;=Corte+n_Ventana)*ISNUMBER(Detalle_24m!DV$220:DV$244)*Detalle_24m!DV$220:DV$244+(1-(121&gt;Corte)*(121&lt;=Corte+n_Ventana)*ISNUMBER(Detalle_24m!DV$220:DV$244))*FC_V*(1+FC_g)^(DV$173-1)*((FC_Desde=0)*(DV$172+DV$171)+(FC_Desde&gt;=1)*(DV$170&gt;=FC_Desde)*DV$171)))</f>
        <v>0</v>
      </c>
      <c r="DW243" s="48" t="n">
        <f aca="false">SUMPRODUCT((FC_Clase="Administración")*((FC_Mon="PYG")*DW$175+(FC_Mon&lt;&gt;"PYG"))*((122&gt;Corte)*(122&lt;=Corte+n_Ventana)*ISNUMBER(Detalle_24m!DW$220:DW$244)*Detalle_24m!DW$220:DW$244+(1-(122&gt;Corte)*(122&lt;=Corte+n_Ventana)*ISNUMBER(Detalle_24m!DW$220:DW$244))*FC_V*(1+FC_g)^(DW$173-1)*((FC_Desde=0)*(DW$172+DW$171)+(FC_Desde&gt;=1)*(DW$170&gt;=FC_Desde)*DW$171)))</f>
        <v>0</v>
      </c>
      <c r="DX243" s="48" t="n">
        <f aca="false">SUMPRODUCT((FC_Clase="Administración")*((FC_Mon="PYG")*DX$175+(FC_Mon&lt;&gt;"PYG"))*((123&gt;Corte)*(123&lt;=Corte+n_Ventana)*ISNUMBER(Detalle_24m!DX$220:DX$244)*Detalle_24m!DX$220:DX$244+(1-(123&gt;Corte)*(123&lt;=Corte+n_Ventana)*ISNUMBER(Detalle_24m!DX$220:DX$244))*FC_V*(1+FC_g)^(DX$173-1)*((FC_Desde=0)*(DX$172+DX$171)+(FC_Desde&gt;=1)*(DX$170&gt;=FC_Desde)*DX$171)))</f>
        <v>0</v>
      </c>
      <c r="DY243" s="48" t="n">
        <f aca="false">SUMPRODUCT((FC_Clase="Administración")*((FC_Mon="PYG")*DY$175+(FC_Mon&lt;&gt;"PYG"))*((124&gt;Corte)*(124&lt;=Corte+n_Ventana)*ISNUMBER(Detalle_24m!DY$220:DY$244)*Detalle_24m!DY$220:DY$244+(1-(124&gt;Corte)*(124&lt;=Corte+n_Ventana)*ISNUMBER(Detalle_24m!DY$220:DY$244))*FC_V*(1+FC_g)^(DY$173-1)*((FC_Desde=0)*(DY$172+DY$171)+(FC_Desde&gt;=1)*(DY$170&gt;=FC_Desde)*DY$171)))</f>
        <v>0</v>
      </c>
      <c r="DZ243" s="48" t="n">
        <f aca="false">SUMPRODUCT((FC_Clase="Administración")*((FC_Mon="PYG")*DZ$175+(FC_Mon&lt;&gt;"PYG"))*((125&gt;Corte)*(125&lt;=Corte+n_Ventana)*ISNUMBER(Detalle_24m!DZ$220:DZ$244)*Detalle_24m!DZ$220:DZ$244+(1-(125&gt;Corte)*(125&lt;=Corte+n_Ventana)*ISNUMBER(Detalle_24m!DZ$220:DZ$244))*FC_V*(1+FC_g)^(DZ$173-1)*((FC_Desde=0)*(DZ$172+DZ$171)+(FC_Desde&gt;=1)*(DZ$170&gt;=FC_Desde)*DZ$171)))</f>
        <v>0</v>
      </c>
      <c r="EA243" s="48" t="n">
        <f aca="false">SUMPRODUCT((FC_Clase="Administración")*((FC_Mon="PYG")*EA$175+(FC_Mon&lt;&gt;"PYG"))*((126&gt;Corte)*(126&lt;=Corte+n_Ventana)*ISNUMBER(Detalle_24m!EA$220:EA$244)*Detalle_24m!EA$220:EA$244+(1-(126&gt;Corte)*(126&lt;=Corte+n_Ventana)*ISNUMBER(Detalle_24m!EA$220:EA$244))*FC_V*(1+FC_g)^(EA$173-1)*((FC_Desde=0)*(EA$172+EA$171)+(FC_Desde&gt;=1)*(EA$170&gt;=FC_Desde)*EA$171)))</f>
        <v>0</v>
      </c>
      <c r="EB243" s="48" t="n">
        <f aca="false">SUMPRODUCT((FC_Clase="Administración")*((FC_Mon="PYG")*EB$175+(FC_Mon&lt;&gt;"PYG"))*((127&gt;Corte)*(127&lt;=Corte+n_Ventana)*ISNUMBER(Detalle_24m!EB$220:EB$244)*Detalle_24m!EB$220:EB$244+(1-(127&gt;Corte)*(127&lt;=Corte+n_Ventana)*ISNUMBER(Detalle_24m!EB$220:EB$244))*FC_V*(1+FC_g)^(EB$173-1)*((FC_Desde=0)*(EB$172+EB$171)+(FC_Desde&gt;=1)*(EB$170&gt;=FC_Desde)*EB$171)))</f>
        <v>0</v>
      </c>
      <c r="EC243" s="48" t="n">
        <f aca="false">SUMPRODUCT((FC_Clase="Administración")*((FC_Mon="PYG")*EC$175+(FC_Mon&lt;&gt;"PYG"))*((128&gt;Corte)*(128&lt;=Corte+n_Ventana)*ISNUMBER(Detalle_24m!EC$220:EC$244)*Detalle_24m!EC$220:EC$244+(1-(128&gt;Corte)*(128&lt;=Corte+n_Ventana)*ISNUMBER(Detalle_24m!EC$220:EC$244))*FC_V*(1+FC_g)^(EC$173-1)*((FC_Desde=0)*(EC$172+EC$171)+(FC_Desde&gt;=1)*(EC$170&gt;=FC_Desde)*EC$171)))</f>
        <v>0</v>
      </c>
      <c r="ED243" s="48" t="n">
        <f aca="false">SUMPRODUCT((FC_Clase="Administración")*((FC_Mon="PYG")*ED$175+(FC_Mon&lt;&gt;"PYG"))*((129&gt;Corte)*(129&lt;=Corte+n_Ventana)*ISNUMBER(Detalle_24m!ED$220:ED$244)*Detalle_24m!ED$220:ED$244+(1-(129&gt;Corte)*(129&lt;=Corte+n_Ventana)*ISNUMBER(Detalle_24m!ED$220:ED$244))*FC_V*(1+FC_g)^(ED$173-1)*((FC_Desde=0)*(ED$172+ED$171)+(FC_Desde&gt;=1)*(ED$170&gt;=FC_Desde)*ED$171)))</f>
        <v>0</v>
      </c>
      <c r="EE243" s="48" t="n">
        <f aca="false">SUMPRODUCT((FC_Clase="Administración")*((FC_Mon="PYG")*EE$175+(FC_Mon&lt;&gt;"PYG"))*((130&gt;Corte)*(130&lt;=Corte+n_Ventana)*ISNUMBER(Detalle_24m!EE$220:EE$244)*Detalle_24m!EE$220:EE$244+(1-(130&gt;Corte)*(130&lt;=Corte+n_Ventana)*ISNUMBER(Detalle_24m!EE$220:EE$244))*FC_V*(1+FC_g)^(EE$173-1)*((FC_Desde=0)*(EE$172+EE$171)+(FC_Desde&gt;=1)*(EE$170&gt;=FC_Desde)*EE$171)))</f>
        <v>0</v>
      </c>
      <c r="EF243" s="48" t="n">
        <f aca="false">SUMPRODUCT((FC_Clase="Administración")*((FC_Mon="PYG")*EF$175+(FC_Mon&lt;&gt;"PYG"))*((131&gt;Corte)*(131&lt;=Corte+n_Ventana)*ISNUMBER(Detalle_24m!EF$220:EF$244)*Detalle_24m!EF$220:EF$244+(1-(131&gt;Corte)*(131&lt;=Corte+n_Ventana)*ISNUMBER(Detalle_24m!EF$220:EF$244))*FC_V*(1+FC_g)^(EF$173-1)*((FC_Desde=0)*(EF$172+EF$171)+(FC_Desde&gt;=1)*(EF$170&gt;=FC_Desde)*EF$171)))</f>
        <v>0</v>
      </c>
      <c r="EG243" s="48" t="n">
        <f aca="false">SUMPRODUCT((FC_Clase="Administración")*((FC_Mon="PYG")*EG$175+(FC_Mon&lt;&gt;"PYG"))*((132&gt;Corte)*(132&lt;=Corte+n_Ventana)*ISNUMBER(Detalle_24m!EG$220:EG$244)*Detalle_24m!EG$220:EG$244+(1-(132&gt;Corte)*(132&lt;=Corte+n_Ventana)*ISNUMBER(Detalle_24m!EG$220:EG$244))*FC_V*(1+FC_g)^(EG$173-1)*((FC_Desde=0)*(EG$172+EG$171)+(FC_Desde&gt;=1)*(EG$170&gt;=FC_Desde)*EG$171)))</f>
        <v>0</v>
      </c>
      <c r="EH243" s="48" t="n">
        <f aca="false">SUMPRODUCT((FC_Clase="Administración")*((FC_Mon="PYG")*EH$175+(FC_Mon&lt;&gt;"PYG"))*((133&gt;Corte)*(133&lt;=Corte+n_Ventana)*ISNUMBER(Detalle_24m!EH$220:EH$244)*Detalle_24m!EH$220:EH$244+(1-(133&gt;Corte)*(133&lt;=Corte+n_Ventana)*ISNUMBER(Detalle_24m!EH$220:EH$244))*FC_V*(1+FC_g)^(EH$173-1)*((FC_Desde=0)*(EH$172+EH$171)+(FC_Desde&gt;=1)*(EH$170&gt;=FC_Desde)*EH$171)))</f>
        <v>0</v>
      </c>
      <c r="EI243" s="48" t="n">
        <f aca="false">SUMPRODUCT((FC_Clase="Administración")*((FC_Mon="PYG")*EI$175+(FC_Mon&lt;&gt;"PYG"))*((134&gt;Corte)*(134&lt;=Corte+n_Ventana)*ISNUMBER(Detalle_24m!EI$220:EI$244)*Detalle_24m!EI$220:EI$244+(1-(134&gt;Corte)*(134&lt;=Corte+n_Ventana)*ISNUMBER(Detalle_24m!EI$220:EI$244))*FC_V*(1+FC_g)^(EI$173-1)*((FC_Desde=0)*(EI$172+EI$171)+(FC_Desde&gt;=1)*(EI$170&gt;=FC_Desde)*EI$171)))</f>
        <v>0</v>
      </c>
      <c r="EJ243" s="48" t="n">
        <f aca="false">SUMPRODUCT((FC_Clase="Administración")*((FC_Mon="PYG")*EJ$175+(FC_Mon&lt;&gt;"PYG"))*((135&gt;Corte)*(135&lt;=Corte+n_Ventana)*ISNUMBER(Detalle_24m!EJ$220:EJ$244)*Detalle_24m!EJ$220:EJ$244+(1-(135&gt;Corte)*(135&lt;=Corte+n_Ventana)*ISNUMBER(Detalle_24m!EJ$220:EJ$244))*FC_V*(1+FC_g)^(EJ$173-1)*((FC_Desde=0)*(EJ$172+EJ$171)+(FC_Desde&gt;=1)*(EJ$170&gt;=FC_Desde)*EJ$171)))</f>
        <v>0</v>
      </c>
      <c r="EK243" s="48" t="n">
        <f aca="false">SUMPRODUCT((FC_Clase="Administración")*((FC_Mon="PYG")*EK$175+(FC_Mon&lt;&gt;"PYG"))*((136&gt;Corte)*(136&lt;=Corte+n_Ventana)*ISNUMBER(Detalle_24m!EK$220:EK$244)*Detalle_24m!EK$220:EK$244+(1-(136&gt;Corte)*(136&lt;=Corte+n_Ventana)*ISNUMBER(Detalle_24m!EK$220:EK$244))*FC_V*(1+FC_g)^(EK$173-1)*((FC_Desde=0)*(EK$172+EK$171)+(FC_Desde&gt;=1)*(EK$170&gt;=FC_Desde)*EK$171)))</f>
        <v>0</v>
      </c>
      <c r="EL243" s="48" t="n">
        <f aca="false">SUMPRODUCT((FC_Clase="Administración")*((FC_Mon="PYG")*EL$175+(FC_Mon&lt;&gt;"PYG"))*((137&gt;Corte)*(137&lt;=Corte+n_Ventana)*ISNUMBER(Detalle_24m!EL$220:EL$244)*Detalle_24m!EL$220:EL$244+(1-(137&gt;Corte)*(137&lt;=Corte+n_Ventana)*ISNUMBER(Detalle_24m!EL$220:EL$244))*FC_V*(1+FC_g)^(EL$173-1)*((FC_Desde=0)*(EL$172+EL$171)+(FC_Desde&gt;=1)*(EL$170&gt;=FC_Desde)*EL$171)))</f>
        <v>0</v>
      </c>
      <c r="EM243" s="48" t="n">
        <f aca="false">SUMPRODUCT((FC_Clase="Administración")*((FC_Mon="PYG")*EM$175+(FC_Mon&lt;&gt;"PYG"))*((138&gt;Corte)*(138&lt;=Corte+n_Ventana)*ISNUMBER(Detalle_24m!EM$220:EM$244)*Detalle_24m!EM$220:EM$244+(1-(138&gt;Corte)*(138&lt;=Corte+n_Ventana)*ISNUMBER(Detalle_24m!EM$220:EM$244))*FC_V*(1+FC_g)^(EM$173-1)*((FC_Desde=0)*(EM$172+EM$171)+(FC_Desde&gt;=1)*(EM$170&gt;=FC_Desde)*EM$171)))</f>
        <v>0</v>
      </c>
      <c r="EN243" s="48" t="n">
        <f aca="false">SUMPRODUCT((FC_Clase="Administración")*((FC_Mon="PYG")*EN$175+(FC_Mon&lt;&gt;"PYG"))*((139&gt;Corte)*(139&lt;=Corte+n_Ventana)*ISNUMBER(Detalle_24m!EN$220:EN$244)*Detalle_24m!EN$220:EN$244+(1-(139&gt;Corte)*(139&lt;=Corte+n_Ventana)*ISNUMBER(Detalle_24m!EN$220:EN$244))*FC_V*(1+FC_g)^(EN$173-1)*((FC_Desde=0)*(EN$172+EN$171)+(FC_Desde&gt;=1)*(EN$170&gt;=FC_Desde)*EN$171)))</f>
        <v>0</v>
      </c>
      <c r="EO243" s="48" t="n">
        <f aca="false">SUMPRODUCT((FC_Clase="Administración")*((FC_Mon="PYG")*EO$175+(FC_Mon&lt;&gt;"PYG"))*((140&gt;Corte)*(140&lt;=Corte+n_Ventana)*ISNUMBER(Detalle_24m!EO$220:EO$244)*Detalle_24m!EO$220:EO$244+(1-(140&gt;Corte)*(140&lt;=Corte+n_Ventana)*ISNUMBER(Detalle_24m!EO$220:EO$244))*FC_V*(1+FC_g)^(EO$173-1)*((FC_Desde=0)*(EO$172+EO$171)+(FC_Desde&gt;=1)*(EO$170&gt;=FC_Desde)*EO$171)))</f>
        <v>0</v>
      </c>
      <c r="EP243" s="48" t="n">
        <f aca="false">SUMPRODUCT((FC_Clase="Administración")*((FC_Mon="PYG")*EP$175+(FC_Mon&lt;&gt;"PYG"))*((141&gt;Corte)*(141&lt;=Corte+n_Ventana)*ISNUMBER(Detalle_24m!EP$220:EP$244)*Detalle_24m!EP$220:EP$244+(1-(141&gt;Corte)*(141&lt;=Corte+n_Ventana)*ISNUMBER(Detalle_24m!EP$220:EP$244))*FC_V*(1+FC_g)^(EP$173-1)*((FC_Desde=0)*(EP$172+EP$171)+(FC_Desde&gt;=1)*(EP$170&gt;=FC_Desde)*EP$171)))</f>
        <v>0</v>
      </c>
      <c r="EQ243" s="48" t="n">
        <f aca="false">SUMPRODUCT((FC_Clase="Administración")*((FC_Mon="PYG")*EQ$175+(FC_Mon&lt;&gt;"PYG"))*((142&gt;Corte)*(142&lt;=Corte+n_Ventana)*ISNUMBER(Detalle_24m!EQ$220:EQ$244)*Detalle_24m!EQ$220:EQ$244+(1-(142&gt;Corte)*(142&lt;=Corte+n_Ventana)*ISNUMBER(Detalle_24m!EQ$220:EQ$244))*FC_V*(1+FC_g)^(EQ$173-1)*((FC_Desde=0)*(EQ$172+EQ$171)+(FC_Desde&gt;=1)*(EQ$170&gt;=FC_Desde)*EQ$171)))</f>
        <v>0</v>
      </c>
      <c r="ER243" s="48" t="n">
        <f aca="false">SUMPRODUCT((FC_Clase="Administración")*((FC_Mon="PYG")*ER$175+(FC_Mon&lt;&gt;"PYG"))*((143&gt;Corte)*(143&lt;=Corte+n_Ventana)*ISNUMBER(Detalle_24m!ER$220:ER$244)*Detalle_24m!ER$220:ER$244+(1-(143&gt;Corte)*(143&lt;=Corte+n_Ventana)*ISNUMBER(Detalle_24m!ER$220:ER$244))*FC_V*(1+FC_g)^(ER$173-1)*((FC_Desde=0)*(ER$172+ER$171)+(FC_Desde&gt;=1)*(ER$170&gt;=FC_Desde)*ER$171)))</f>
        <v>0</v>
      </c>
      <c r="ES243" s="48" t="n">
        <f aca="false">SUMPRODUCT((FC_Clase="Administración")*((FC_Mon="PYG")*ES$175+(FC_Mon&lt;&gt;"PYG"))*((144&gt;Corte)*(144&lt;=Corte+n_Ventana)*ISNUMBER(Detalle_24m!ES$220:ES$244)*Detalle_24m!ES$220:ES$244+(1-(144&gt;Corte)*(144&lt;=Corte+n_Ventana)*ISNUMBER(Detalle_24m!ES$220:ES$244))*FC_V*(1+FC_g)^(ES$173-1)*((FC_Desde=0)*(ES$172+ES$171)+(FC_Desde&gt;=1)*(ES$170&gt;=FC_Desde)*ES$171)))</f>
        <v>0</v>
      </c>
    </row>
    <row r="244" customFormat="false" ht="15" hidden="false" customHeight="false" outlineLevel="0" collapsed="false">
      <c r="A244" s="11" t="s">
        <v>1366</v>
      </c>
      <c r="B244" s="15" t="s">
        <v>1149</v>
      </c>
      <c r="C244" s="15" t="s">
        <v>508</v>
      </c>
      <c r="E244" s="54" t="n">
        <f aca="false">SUM(F244:ES244)</f>
        <v>613750.290410959</v>
      </c>
      <c r="F244" s="48" t="n">
        <f aca="false">SUMPRODUCT((FC_Clase="Administración")*FC_Base*((FC_Mon="PYG")*F$175+(FC_Mon&lt;&gt;"PYG"))*((1&gt;Corte)*(1&lt;=Corte+n_Ventana)*ISNUMBER(Detalle_24m!F$220:F$244)*Detalle_24m!F$220:F$244+(1-(1&gt;Corte)*(1&lt;=Corte+n_Ventana)*ISNUMBER(Detalle_24m!F$220:F$244))*FC_V*(1+FC_g)^(F$173-1)*((FC_Desde=0)*(F$172+F$171)+(FC_Desde&gt;=1)*(F$170&gt;=FC_Desde)*F$171)))</f>
        <v>5114.58575342466</v>
      </c>
      <c r="G244" s="48" t="n">
        <f aca="false">SUMPRODUCT((FC_Clase="Administración")*FC_Base*((FC_Mon="PYG")*G$175+(FC_Mon&lt;&gt;"PYG"))*((2&gt;Corte)*(2&lt;=Corte+n_Ventana)*ISNUMBER(Detalle_24m!G$220:G$244)*Detalle_24m!G$220:G$244+(1-(2&gt;Corte)*(2&lt;=Corte+n_Ventana)*ISNUMBER(Detalle_24m!G$220:G$244))*FC_V*(1+FC_g)^(G$173-1)*((FC_Desde=0)*(G$172+G$171)+(FC_Desde&gt;=1)*(G$170&gt;=FC_Desde)*G$171)))</f>
        <v>5114.58575342466</v>
      </c>
      <c r="H244" s="48" t="n">
        <f aca="false">SUMPRODUCT((FC_Clase="Administración")*FC_Base*((FC_Mon="PYG")*H$175+(FC_Mon&lt;&gt;"PYG"))*((3&gt;Corte)*(3&lt;=Corte+n_Ventana)*ISNUMBER(Detalle_24m!H$220:H$244)*Detalle_24m!H$220:H$244+(1-(3&gt;Corte)*(3&lt;=Corte+n_Ventana)*ISNUMBER(Detalle_24m!H$220:H$244))*FC_V*(1+FC_g)^(H$173-1)*((FC_Desde=0)*(H$172+H$171)+(FC_Desde&gt;=1)*(H$170&gt;=FC_Desde)*H$171)))</f>
        <v>5114.58575342466</v>
      </c>
      <c r="I244" s="48" t="n">
        <f aca="false">SUMPRODUCT((FC_Clase="Administración")*FC_Base*((FC_Mon="PYG")*I$175+(FC_Mon&lt;&gt;"PYG"))*((4&gt;Corte)*(4&lt;=Corte+n_Ventana)*ISNUMBER(Detalle_24m!I$220:I$244)*Detalle_24m!I$220:I$244+(1-(4&gt;Corte)*(4&lt;=Corte+n_Ventana)*ISNUMBER(Detalle_24m!I$220:I$244))*FC_V*(1+FC_g)^(I$173-1)*((FC_Desde=0)*(I$172+I$171)+(FC_Desde&gt;=1)*(I$170&gt;=FC_Desde)*I$171)))</f>
        <v>5114.58575342466</v>
      </c>
      <c r="J244" s="48" t="n">
        <f aca="false">SUMPRODUCT((FC_Clase="Administración")*FC_Base*((FC_Mon="PYG")*J$175+(FC_Mon&lt;&gt;"PYG"))*((5&gt;Corte)*(5&lt;=Corte+n_Ventana)*ISNUMBER(Detalle_24m!J$220:J$244)*Detalle_24m!J$220:J$244+(1-(5&gt;Corte)*(5&lt;=Corte+n_Ventana)*ISNUMBER(Detalle_24m!J$220:J$244))*FC_V*(1+FC_g)^(J$173-1)*((FC_Desde=0)*(J$172+J$171)+(FC_Desde&gt;=1)*(J$170&gt;=FC_Desde)*J$171)))</f>
        <v>5114.58575342466</v>
      </c>
      <c r="K244" s="48" t="n">
        <f aca="false">SUMPRODUCT((FC_Clase="Administración")*FC_Base*((FC_Mon="PYG")*K$175+(FC_Mon&lt;&gt;"PYG"))*((6&gt;Corte)*(6&lt;=Corte+n_Ventana)*ISNUMBER(Detalle_24m!K$220:K$244)*Detalle_24m!K$220:K$244+(1-(6&gt;Corte)*(6&lt;=Corte+n_Ventana)*ISNUMBER(Detalle_24m!K$220:K$244))*FC_V*(1+FC_g)^(K$173-1)*((FC_Desde=0)*(K$172+K$171)+(FC_Desde&gt;=1)*(K$170&gt;=FC_Desde)*K$171)))</f>
        <v>5114.58575342466</v>
      </c>
      <c r="L244" s="48" t="n">
        <f aca="false">SUMPRODUCT((FC_Clase="Administración")*FC_Base*((FC_Mon="PYG")*L$175+(FC_Mon&lt;&gt;"PYG"))*((7&gt;Corte)*(7&lt;=Corte+n_Ventana)*ISNUMBER(Detalle_24m!L$220:L$244)*Detalle_24m!L$220:L$244+(1-(7&gt;Corte)*(7&lt;=Corte+n_Ventana)*ISNUMBER(Detalle_24m!L$220:L$244))*FC_V*(1+FC_g)^(L$173-1)*((FC_Desde=0)*(L$172+L$171)+(FC_Desde&gt;=1)*(L$170&gt;=FC_Desde)*L$171)))</f>
        <v>5114.58575342466</v>
      </c>
      <c r="M244" s="48" t="n">
        <f aca="false">SUMPRODUCT((FC_Clase="Administración")*FC_Base*((FC_Mon="PYG")*M$175+(FC_Mon&lt;&gt;"PYG"))*((8&gt;Corte)*(8&lt;=Corte+n_Ventana)*ISNUMBER(Detalle_24m!M$220:M$244)*Detalle_24m!M$220:M$244+(1-(8&gt;Corte)*(8&lt;=Corte+n_Ventana)*ISNUMBER(Detalle_24m!M$220:M$244))*FC_V*(1+FC_g)^(M$173-1)*((FC_Desde=0)*(M$172+M$171)+(FC_Desde&gt;=1)*(M$170&gt;=FC_Desde)*M$171)))</f>
        <v>5114.58575342466</v>
      </c>
      <c r="N244" s="48" t="n">
        <f aca="false">SUMPRODUCT((FC_Clase="Administración")*FC_Base*((FC_Mon="PYG")*N$175+(FC_Mon&lt;&gt;"PYG"))*((9&gt;Corte)*(9&lt;=Corte+n_Ventana)*ISNUMBER(Detalle_24m!N$220:N$244)*Detalle_24m!N$220:N$244+(1-(9&gt;Corte)*(9&lt;=Corte+n_Ventana)*ISNUMBER(Detalle_24m!N$220:N$244))*FC_V*(1+FC_g)^(N$173-1)*((FC_Desde=0)*(N$172+N$171)+(FC_Desde&gt;=1)*(N$170&gt;=FC_Desde)*N$171)))</f>
        <v>5114.58575342466</v>
      </c>
      <c r="O244" s="48" t="n">
        <f aca="false">SUMPRODUCT((FC_Clase="Administración")*FC_Base*((FC_Mon="PYG")*O$175+(FC_Mon&lt;&gt;"PYG"))*((10&gt;Corte)*(10&lt;=Corte+n_Ventana)*ISNUMBER(Detalle_24m!O$220:O$244)*Detalle_24m!O$220:O$244+(1-(10&gt;Corte)*(10&lt;=Corte+n_Ventana)*ISNUMBER(Detalle_24m!O$220:O$244))*FC_V*(1+FC_g)^(O$173-1)*((FC_Desde=0)*(O$172+O$171)+(FC_Desde&gt;=1)*(O$170&gt;=FC_Desde)*O$171)))</f>
        <v>5114.58575342466</v>
      </c>
      <c r="P244" s="48" t="n">
        <f aca="false">SUMPRODUCT((FC_Clase="Administración")*FC_Base*((FC_Mon="PYG")*P$175+(FC_Mon&lt;&gt;"PYG"))*((11&gt;Corte)*(11&lt;=Corte+n_Ventana)*ISNUMBER(Detalle_24m!P$220:P$244)*Detalle_24m!P$220:P$244+(1-(11&gt;Corte)*(11&lt;=Corte+n_Ventana)*ISNUMBER(Detalle_24m!P$220:P$244))*FC_V*(1+FC_g)^(P$173-1)*((FC_Desde=0)*(P$172+P$171)+(FC_Desde&gt;=1)*(P$170&gt;=FC_Desde)*P$171)))</f>
        <v>5114.58575342466</v>
      </c>
      <c r="Q244" s="48" t="n">
        <f aca="false">SUMPRODUCT((FC_Clase="Administración")*FC_Base*((FC_Mon="PYG")*Q$175+(FC_Mon&lt;&gt;"PYG"))*((12&gt;Corte)*(12&lt;=Corte+n_Ventana)*ISNUMBER(Detalle_24m!Q$220:Q$244)*Detalle_24m!Q$220:Q$244+(1-(12&gt;Corte)*(12&lt;=Corte+n_Ventana)*ISNUMBER(Detalle_24m!Q$220:Q$244))*FC_V*(1+FC_g)^(Q$173-1)*((FC_Desde=0)*(Q$172+Q$171)+(FC_Desde&gt;=1)*(Q$170&gt;=FC_Desde)*Q$171)))</f>
        <v>5114.58575342466</v>
      </c>
      <c r="R244" s="48" t="n">
        <f aca="false">SUMPRODUCT((FC_Clase="Administración")*FC_Base*((FC_Mon="PYG")*R$175+(FC_Mon&lt;&gt;"PYG"))*((13&gt;Corte)*(13&lt;=Corte+n_Ventana)*ISNUMBER(Detalle_24m!R$220:R$244)*Detalle_24m!R$220:R$244+(1-(13&gt;Corte)*(13&lt;=Corte+n_Ventana)*ISNUMBER(Detalle_24m!R$220:R$244))*FC_V*(1+FC_g)^(R$173-1)*((FC_Desde=0)*(R$172+R$171)+(FC_Desde&gt;=1)*(R$170&gt;=FC_Desde)*R$171)))</f>
        <v>5114.58575342466</v>
      </c>
      <c r="S244" s="48" t="n">
        <f aca="false">SUMPRODUCT((FC_Clase="Administración")*FC_Base*((FC_Mon="PYG")*S$175+(FC_Mon&lt;&gt;"PYG"))*((14&gt;Corte)*(14&lt;=Corte+n_Ventana)*ISNUMBER(Detalle_24m!S$220:S$244)*Detalle_24m!S$220:S$244+(1-(14&gt;Corte)*(14&lt;=Corte+n_Ventana)*ISNUMBER(Detalle_24m!S$220:S$244))*FC_V*(1+FC_g)^(S$173-1)*((FC_Desde=0)*(S$172+S$171)+(FC_Desde&gt;=1)*(S$170&gt;=FC_Desde)*S$171)))</f>
        <v>5114.58575342466</v>
      </c>
      <c r="T244" s="48" t="n">
        <f aca="false">SUMPRODUCT((FC_Clase="Administración")*FC_Base*((FC_Mon="PYG")*T$175+(FC_Mon&lt;&gt;"PYG"))*((15&gt;Corte)*(15&lt;=Corte+n_Ventana)*ISNUMBER(Detalle_24m!T$220:T$244)*Detalle_24m!T$220:T$244+(1-(15&gt;Corte)*(15&lt;=Corte+n_Ventana)*ISNUMBER(Detalle_24m!T$220:T$244))*FC_V*(1+FC_g)^(T$173-1)*((FC_Desde=0)*(T$172+T$171)+(FC_Desde&gt;=1)*(T$170&gt;=FC_Desde)*T$171)))</f>
        <v>5114.58575342466</v>
      </c>
      <c r="U244" s="48" t="n">
        <f aca="false">SUMPRODUCT((FC_Clase="Administración")*FC_Base*((FC_Mon="PYG")*U$175+(FC_Mon&lt;&gt;"PYG"))*((16&gt;Corte)*(16&lt;=Corte+n_Ventana)*ISNUMBER(Detalle_24m!U$220:U$244)*Detalle_24m!U$220:U$244+(1-(16&gt;Corte)*(16&lt;=Corte+n_Ventana)*ISNUMBER(Detalle_24m!U$220:U$244))*FC_V*(1+FC_g)^(U$173-1)*((FC_Desde=0)*(U$172+U$171)+(FC_Desde&gt;=1)*(U$170&gt;=FC_Desde)*U$171)))</f>
        <v>5114.58575342466</v>
      </c>
      <c r="V244" s="48" t="n">
        <f aca="false">SUMPRODUCT((FC_Clase="Administración")*FC_Base*((FC_Mon="PYG")*V$175+(FC_Mon&lt;&gt;"PYG"))*((17&gt;Corte)*(17&lt;=Corte+n_Ventana)*ISNUMBER(Detalle_24m!V$220:V$244)*Detalle_24m!V$220:V$244+(1-(17&gt;Corte)*(17&lt;=Corte+n_Ventana)*ISNUMBER(Detalle_24m!V$220:V$244))*FC_V*(1+FC_g)^(V$173-1)*((FC_Desde=0)*(V$172+V$171)+(FC_Desde&gt;=1)*(V$170&gt;=FC_Desde)*V$171)))</f>
        <v>5114.58575342466</v>
      </c>
      <c r="W244" s="48" t="n">
        <f aca="false">SUMPRODUCT((FC_Clase="Administración")*FC_Base*((FC_Mon="PYG")*W$175+(FC_Mon&lt;&gt;"PYG"))*((18&gt;Corte)*(18&lt;=Corte+n_Ventana)*ISNUMBER(Detalle_24m!W$220:W$244)*Detalle_24m!W$220:W$244+(1-(18&gt;Corte)*(18&lt;=Corte+n_Ventana)*ISNUMBER(Detalle_24m!W$220:W$244))*FC_V*(1+FC_g)^(W$173-1)*((FC_Desde=0)*(W$172+W$171)+(FC_Desde&gt;=1)*(W$170&gt;=FC_Desde)*W$171)))</f>
        <v>5114.58575342466</v>
      </c>
      <c r="X244" s="48" t="n">
        <f aca="false">SUMPRODUCT((FC_Clase="Administración")*FC_Base*((FC_Mon="PYG")*X$175+(FC_Mon&lt;&gt;"PYG"))*((19&gt;Corte)*(19&lt;=Corte+n_Ventana)*ISNUMBER(Detalle_24m!X$220:X$244)*Detalle_24m!X$220:X$244+(1-(19&gt;Corte)*(19&lt;=Corte+n_Ventana)*ISNUMBER(Detalle_24m!X$220:X$244))*FC_V*(1+FC_g)^(X$173-1)*((FC_Desde=0)*(X$172+X$171)+(FC_Desde&gt;=1)*(X$170&gt;=FC_Desde)*X$171)))</f>
        <v>5114.58575342466</v>
      </c>
      <c r="Y244" s="48" t="n">
        <f aca="false">SUMPRODUCT((FC_Clase="Administración")*FC_Base*((FC_Mon="PYG")*Y$175+(FC_Mon&lt;&gt;"PYG"))*((20&gt;Corte)*(20&lt;=Corte+n_Ventana)*ISNUMBER(Detalle_24m!Y$220:Y$244)*Detalle_24m!Y$220:Y$244+(1-(20&gt;Corte)*(20&lt;=Corte+n_Ventana)*ISNUMBER(Detalle_24m!Y$220:Y$244))*FC_V*(1+FC_g)^(Y$173-1)*((FC_Desde=0)*(Y$172+Y$171)+(FC_Desde&gt;=1)*(Y$170&gt;=FC_Desde)*Y$171)))</f>
        <v>5114.58575342466</v>
      </c>
      <c r="Z244" s="48" t="n">
        <f aca="false">SUMPRODUCT((FC_Clase="Administración")*FC_Base*((FC_Mon="PYG")*Z$175+(FC_Mon&lt;&gt;"PYG"))*((21&gt;Corte)*(21&lt;=Corte+n_Ventana)*ISNUMBER(Detalle_24m!Z$220:Z$244)*Detalle_24m!Z$220:Z$244+(1-(21&gt;Corte)*(21&lt;=Corte+n_Ventana)*ISNUMBER(Detalle_24m!Z$220:Z$244))*FC_V*(1+FC_g)^(Z$173-1)*((FC_Desde=0)*(Z$172+Z$171)+(FC_Desde&gt;=1)*(Z$170&gt;=FC_Desde)*Z$171)))</f>
        <v>5114.58575342466</v>
      </c>
      <c r="AA244" s="48" t="n">
        <f aca="false">SUMPRODUCT((FC_Clase="Administración")*FC_Base*((FC_Mon="PYG")*AA$175+(FC_Mon&lt;&gt;"PYG"))*((22&gt;Corte)*(22&lt;=Corte+n_Ventana)*ISNUMBER(Detalle_24m!AA$220:AA$244)*Detalle_24m!AA$220:AA$244+(1-(22&gt;Corte)*(22&lt;=Corte+n_Ventana)*ISNUMBER(Detalle_24m!AA$220:AA$244))*FC_V*(1+FC_g)^(AA$173-1)*((FC_Desde=0)*(AA$172+AA$171)+(FC_Desde&gt;=1)*(AA$170&gt;=FC_Desde)*AA$171)))</f>
        <v>5114.58575342466</v>
      </c>
      <c r="AB244" s="48" t="n">
        <f aca="false">SUMPRODUCT((FC_Clase="Administración")*FC_Base*((FC_Mon="PYG")*AB$175+(FC_Mon&lt;&gt;"PYG"))*((23&gt;Corte)*(23&lt;=Corte+n_Ventana)*ISNUMBER(Detalle_24m!AB$220:AB$244)*Detalle_24m!AB$220:AB$244+(1-(23&gt;Corte)*(23&lt;=Corte+n_Ventana)*ISNUMBER(Detalle_24m!AB$220:AB$244))*FC_V*(1+FC_g)^(AB$173-1)*((FC_Desde=0)*(AB$172+AB$171)+(FC_Desde&gt;=1)*(AB$170&gt;=FC_Desde)*AB$171)))</f>
        <v>5114.58575342466</v>
      </c>
      <c r="AC244" s="48" t="n">
        <f aca="false">SUMPRODUCT((FC_Clase="Administración")*FC_Base*((FC_Mon="PYG")*AC$175+(FC_Mon&lt;&gt;"PYG"))*((24&gt;Corte)*(24&lt;=Corte+n_Ventana)*ISNUMBER(Detalle_24m!AC$220:AC$244)*Detalle_24m!AC$220:AC$244+(1-(24&gt;Corte)*(24&lt;=Corte+n_Ventana)*ISNUMBER(Detalle_24m!AC$220:AC$244))*FC_V*(1+FC_g)^(AC$173-1)*((FC_Desde=0)*(AC$172+AC$171)+(FC_Desde&gt;=1)*(AC$170&gt;=FC_Desde)*AC$171)))</f>
        <v>5114.58575342466</v>
      </c>
      <c r="AD244" s="48" t="n">
        <f aca="false">SUMPRODUCT((FC_Clase="Administración")*FC_Base*((FC_Mon="PYG")*AD$175+(FC_Mon&lt;&gt;"PYG"))*((25&gt;Corte)*(25&lt;=Corte+n_Ventana)*ISNUMBER(Detalle_24m!AD$220:AD$244)*Detalle_24m!AD$220:AD$244+(1-(25&gt;Corte)*(25&lt;=Corte+n_Ventana)*ISNUMBER(Detalle_24m!AD$220:AD$244))*FC_V*(1+FC_g)^(AD$173-1)*((FC_Desde=0)*(AD$172+AD$171)+(FC_Desde&gt;=1)*(AD$170&gt;=FC_Desde)*AD$171)))</f>
        <v>5114.58575342466</v>
      </c>
      <c r="AE244" s="48" t="n">
        <f aca="false">SUMPRODUCT((FC_Clase="Administración")*FC_Base*((FC_Mon="PYG")*AE$175+(FC_Mon&lt;&gt;"PYG"))*((26&gt;Corte)*(26&lt;=Corte+n_Ventana)*ISNUMBER(Detalle_24m!AE$220:AE$244)*Detalle_24m!AE$220:AE$244+(1-(26&gt;Corte)*(26&lt;=Corte+n_Ventana)*ISNUMBER(Detalle_24m!AE$220:AE$244))*FC_V*(1+FC_g)^(AE$173-1)*((FC_Desde=0)*(AE$172+AE$171)+(FC_Desde&gt;=1)*(AE$170&gt;=FC_Desde)*AE$171)))</f>
        <v>5114.58575342466</v>
      </c>
      <c r="AF244" s="48" t="n">
        <f aca="false">SUMPRODUCT((FC_Clase="Administración")*FC_Base*((FC_Mon="PYG")*AF$175+(FC_Mon&lt;&gt;"PYG"))*((27&gt;Corte)*(27&lt;=Corte+n_Ventana)*ISNUMBER(Detalle_24m!AF$220:AF$244)*Detalle_24m!AF$220:AF$244+(1-(27&gt;Corte)*(27&lt;=Corte+n_Ventana)*ISNUMBER(Detalle_24m!AF$220:AF$244))*FC_V*(1+FC_g)^(AF$173-1)*((FC_Desde=0)*(AF$172+AF$171)+(FC_Desde&gt;=1)*(AF$170&gt;=FC_Desde)*AF$171)))</f>
        <v>5114.58575342466</v>
      </c>
      <c r="AG244" s="48" t="n">
        <f aca="false">SUMPRODUCT((FC_Clase="Administración")*FC_Base*((FC_Mon="PYG")*AG$175+(FC_Mon&lt;&gt;"PYG"))*((28&gt;Corte)*(28&lt;=Corte+n_Ventana)*ISNUMBER(Detalle_24m!AG$220:AG$244)*Detalle_24m!AG$220:AG$244+(1-(28&gt;Corte)*(28&lt;=Corte+n_Ventana)*ISNUMBER(Detalle_24m!AG$220:AG$244))*FC_V*(1+FC_g)^(AG$173-1)*((FC_Desde=0)*(AG$172+AG$171)+(FC_Desde&gt;=1)*(AG$170&gt;=FC_Desde)*AG$171)))</f>
        <v>5114.58575342466</v>
      </c>
      <c r="AH244" s="48" t="n">
        <f aca="false">SUMPRODUCT((FC_Clase="Administración")*FC_Base*((FC_Mon="PYG")*AH$175+(FC_Mon&lt;&gt;"PYG"))*((29&gt;Corte)*(29&lt;=Corte+n_Ventana)*ISNUMBER(Detalle_24m!AH$220:AH$244)*Detalle_24m!AH$220:AH$244+(1-(29&gt;Corte)*(29&lt;=Corte+n_Ventana)*ISNUMBER(Detalle_24m!AH$220:AH$244))*FC_V*(1+FC_g)^(AH$173-1)*((FC_Desde=0)*(AH$172+AH$171)+(FC_Desde&gt;=1)*(AH$170&gt;=FC_Desde)*AH$171)))</f>
        <v>5114.58575342466</v>
      </c>
      <c r="AI244" s="48" t="n">
        <f aca="false">SUMPRODUCT((FC_Clase="Administración")*FC_Base*((FC_Mon="PYG")*AI$175+(FC_Mon&lt;&gt;"PYG"))*((30&gt;Corte)*(30&lt;=Corte+n_Ventana)*ISNUMBER(Detalle_24m!AI$220:AI$244)*Detalle_24m!AI$220:AI$244+(1-(30&gt;Corte)*(30&lt;=Corte+n_Ventana)*ISNUMBER(Detalle_24m!AI$220:AI$244))*FC_V*(1+FC_g)^(AI$173-1)*((FC_Desde=0)*(AI$172+AI$171)+(FC_Desde&gt;=1)*(AI$170&gt;=FC_Desde)*AI$171)))</f>
        <v>5114.58575342466</v>
      </c>
      <c r="AJ244" s="48" t="n">
        <f aca="false">SUMPRODUCT((FC_Clase="Administración")*FC_Base*((FC_Mon="PYG")*AJ$175+(FC_Mon&lt;&gt;"PYG"))*((31&gt;Corte)*(31&lt;=Corte+n_Ventana)*ISNUMBER(Detalle_24m!AJ$220:AJ$244)*Detalle_24m!AJ$220:AJ$244+(1-(31&gt;Corte)*(31&lt;=Corte+n_Ventana)*ISNUMBER(Detalle_24m!AJ$220:AJ$244))*FC_V*(1+FC_g)^(AJ$173-1)*((FC_Desde=0)*(AJ$172+AJ$171)+(FC_Desde&gt;=1)*(AJ$170&gt;=FC_Desde)*AJ$171)))</f>
        <v>5114.58575342466</v>
      </c>
      <c r="AK244" s="48" t="n">
        <f aca="false">SUMPRODUCT((FC_Clase="Administración")*FC_Base*((FC_Mon="PYG")*AK$175+(FC_Mon&lt;&gt;"PYG"))*((32&gt;Corte)*(32&lt;=Corte+n_Ventana)*ISNUMBER(Detalle_24m!AK$220:AK$244)*Detalle_24m!AK$220:AK$244+(1-(32&gt;Corte)*(32&lt;=Corte+n_Ventana)*ISNUMBER(Detalle_24m!AK$220:AK$244))*FC_V*(1+FC_g)^(AK$173-1)*((FC_Desde=0)*(AK$172+AK$171)+(FC_Desde&gt;=1)*(AK$170&gt;=FC_Desde)*AK$171)))</f>
        <v>5114.58575342466</v>
      </c>
      <c r="AL244" s="48" t="n">
        <f aca="false">SUMPRODUCT((FC_Clase="Administración")*FC_Base*((FC_Mon="PYG")*AL$175+(FC_Mon&lt;&gt;"PYG"))*((33&gt;Corte)*(33&lt;=Corte+n_Ventana)*ISNUMBER(Detalle_24m!AL$220:AL$244)*Detalle_24m!AL$220:AL$244+(1-(33&gt;Corte)*(33&lt;=Corte+n_Ventana)*ISNUMBER(Detalle_24m!AL$220:AL$244))*FC_V*(1+FC_g)^(AL$173-1)*((FC_Desde=0)*(AL$172+AL$171)+(FC_Desde&gt;=1)*(AL$170&gt;=FC_Desde)*AL$171)))</f>
        <v>5114.58575342466</v>
      </c>
      <c r="AM244" s="48" t="n">
        <f aca="false">SUMPRODUCT((FC_Clase="Administración")*FC_Base*((FC_Mon="PYG")*AM$175+(FC_Mon&lt;&gt;"PYG"))*((34&gt;Corte)*(34&lt;=Corte+n_Ventana)*ISNUMBER(Detalle_24m!AM$220:AM$244)*Detalle_24m!AM$220:AM$244+(1-(34&gt;Corte)*(34&lt;=Corte+n_Ventana)*ISNUMBER(Detalle_24m!AM$220:AM$244))*FC_V*(1+FC_g)^(AM$173-1)*((FC_Desde=0)*(AM$172+AM$171)+(FC_Desde&gt;=1)*(AM$170&gt;=FC_Desde)*AM$171)))</f>
        <v>5114.58575342466</v>
      </c>
      <c r="AN244" s="48" t="n">
        <f aca="false">SUMPRODUCT((FC_Clase="Administración")*FC_Base*((FC_Mon="PYG")*AN$175+(FC_Mon&lt;&gt;"PYG"))*((35&gt;Corte)*(35&lt;=Corte+n_Ventana)*ISNUMBER(Detalle_24m!AN$220:AN$244)*Detalle_24m!AN$220:AN$244+(1-(35&gt;Corte)*(35&lt;=Corte+n_Ventana)*ISNUMBER(Detalle_24m!AN$220:AN$244))*FC_V*(1+FC_g)^(AN$173-1)*((FC_Desde=0)*(AN$172+AN$171)+(FC_Desde&gt;=1)*(AN$170&gt;=FC_Desde)*AN$171)))</f>
        <v>5114.58575342466</v>
      </c>
      <c r="AO244" s="48" t="n">
        <f aca="false">SUMPRODUCT((FC_Clase="Administración")*FC_Base*((FC_Mon="PYG")*AO$175+(FC_Mon&lt;&gt;"PYG"))*((36&gt;Corte)*(36&lt;=Corte+n_Ventana)*ISNUMBER(Detalle_24m!AO$220:AO$244)*Detalle_24m!AO$220:AO$244+(1-(36&gt;Corte)*(36&lt;=Corte+n_Ventana)*ISNUMBER(Detalle_24m!AO$220:AO$244))*FC_V*(1+FC_g)^(AO$173-1)*((FC_Desde=0)*(AO$172+AO$171)+(FC_Desde&gt;=1)*(AO$170&gt;=FC_Desde)*AO$171)))</f>
        <v>5114.58575342466</v>
      </c>
      <c r="AP244" s="48" t="n">
        <f aca="false">SUMPRODUCT((FC_Clase="Administración")*FC_Base*((FC_Mon="PYG")*AP$175+(FC_Mon&lt;&gt;"PYG"))*((37&gt;Corte)*(37&lt;=Corte+n_Ventana)*ISNUMBER(Detalle_24m!AP$220:AP$244)*Detalle_24m!AP$220:AP$244+(1-(37&gt;Corte)*(37&lt;=Corte+n_Ventana)*ISNUMBER(Detalle_24m!AP$220:AP$244))*FC_V*(1+FC_g)^(AP$173-1)*((FC_Desde=0)*(AP$172+AP$171)+(FC_Desde&gt;=1)*(AP$170&gt;=FC_Desde)*AP$171)))</f>
        <v>5114.58575342466</v>
      </c>
      <c r="AQ244" s="48" t="n">
        <f aca="false">SUMPRODUCT((FC_Clase="Administración")*FC_Base*((FC_Mon="PYG")*AQ$175+(FC_Mon&lt;&gt;"PYG"))*((38&gt;Corte)*(38&lt;=Corte+n_Ventana)*ISNUMBER(Detalle_24m!AQ$220:AQ$244)*Detalle_24m!AQ$220:AQ$244+(1-(38&gt;Corte)*(38&lt;=Corte+n_Ventana)*ISNUMBER(Detalle_24m!AQ$220:AQ$244))*FC_V*(1+FC_g)^(AQ$173-1)*((FC_Desde=0)*(AQ$172+AQ$171)+(FC_Desde&gt;=1)*(AQ$170&gt;=FC_Desde)*AQ$171)))</f>
        <v>5114.58575342466</v>
      </c>
      <c r="AR244" s="48" t="n">
        <f aca="false">SUMPRODUCT((FC_Clase="Administración")*FC_Base*((FC_Mon="PYG")*AR$175+(FC_Mon&lt;&gt;"PYG"))*((39&gt;Corte)*(39&lt;=Corte+n_Ventana)*ISNUMBER(Detalle_24m!AR$220:AR$244)*Detalle_24m!AR$220:AR$244+(1-(39&gt;Corte)*(39&lt;=Corte+n_Ventana)*ISNUMBER(Detalle_24m!AR$220:AR$244))*FC_V*(1+FC_g)^(AR$173-1)*((FC_Desde=0)*(AR$172+AR$171)+(FC_Desde&gt;=1)*(AR$170&gt;=FC_Desde)*AR$171)))</f>
        <v>5114.58575342466</v>
      </c>
      <c r="AS244" s="48" t="n">
        <f aca="false">SUMPRODUCT((FC_Clase="Administración")*FC_Base*((FC_Mon="PYG")*AS$175+(FC_Mon&lt;&gt;"PYG"))*((40&gt;Corte)*(40&lt;=Corte+n_Ventana)*ISNUMBER(Detalle_24m!AS$220:AS$244)*Detalle_24m!AS$220:AS$244+(1-(40&gt;Corte)*(40&lt;=Corte+n_Ventana)*ISNUMBER(Detalle_24m!AS$220:AS$244))*FC_V*(1+FC_g)^(AS$173-1)*((FC_Desde=0)*(AS$172+AS$171)+(FC_Desde&gt;=1)*(AS$170&gt;=FC_Desde)*AS$171)))</f>
        <v>5114.58575342466</v>
      </c>
      <c r="AT244" s="48" t="n">
        <f aca="false">SUMPRODUCT((FC_Clase="Administración")*FC_Base*((FC_Mon="PYG")*AT$175+(FC_Mon&lt;&gt;"PYG"))*((41&gt;Corte)*(41&lt;=Corte+n_Ventana)*ISNUMBER(Detalle_24m!AT$220:AT$244)*Detalle_24m!AT$220:AT$244+(1-(41&gt;Corte)*(41&lt;=Corte+n_Ventana)*ISNUMBER(Detalle_24m!AT$220:AT$244))*FC_V*(1+FC_g)^(AT$173-1)*((FC_Desde=0)*(AT$172+AT$171)+(FC_Desde&gt;=1)*(AT$170&gt;=FC_Desde)*AT$171)))</f>
        <v>5114.58575342466</v>
      </c>
      <c r="AU244" s="48" t="n">
        <f aca="false">SUMPRODUCT((FC_Clase="Administración")*FC_Base*((FC_Mon="PYG")*AU$175+(FC_Mon&lt;&gt;"PYG"))*((42&gt;Corte)*(42&lt;=Corte+n_Ventana)*ISNUMBER(Detalle_24m!AU$220:AU$244)*Detalle_24m!AU$220:AU$244+(1-(42&gt;Corte)*(42&lt;=Corte+n_Ventana)*ISNUMBER(Detalle_24m!AU$220:AU$244))*FC_V*(1+FC_g)^(AU$173-1)*((FC_Desde=0)*(AU$172+AU$171)+(FC_Desde&gt;=1)*(AU$170&gt;=FC_Desde)*AU$171)))</f>
        <v>5114.58575342466</v>
      </c>
      <c r="AV244" s="48" t="n">
        <f aca="false">SUMPRODUCT((FC_Clase="Administración")*FC_Base*((FC_Mon="PYG")*AV$175+(FC_Mon&lt;&gt;"PYG"))*((43&gt;Corte)*(43&lt;=Corte+n_Ventana)*ISNUMBER(Detalle_24m!AV$220:AV$244)*Detalle_24m!AV$220:AV$244+(1-(43&gt;Corte)*(43&lt;=Corte+n_Ventana)*ISNUMBER(Detalle_24m!AV$220:AV$244))*FC_V*(1+FC_g)^(AV$173-1)*((FC_Desde=0)*(AV$172+AV$171)+(FC_Desde&gt;=1)*(AV$170&gt;=FC_Desde)*AV$171)))</f>
        <v>5114.58575342466</v>
      </c>
      <c r="AW244" s="48" t="n">
        <f aca="false">SUMPRODUCT((FC_Clase="Administración")*FC_Base*((FC_Mon="PYG")*AW$175+(FC_Mon&lt;&gt;"PYG"))*((44&gt;Corte)*(44&lt;=Corte+n_Ventana)*ISNUMBER(Detalle_24m!AW$220:AW$244)*Detalle_24m!AW$220:AW$244+(1-(44&gt;Corte)*(44&lt;=Corte+n_Ventana)*ISNUMBER(Detalle_24m!AW$220:AW$244))*FC_V*(1+FC_g)^(AW$173-1)*((FC_Desde=0)*(AW$172+AW$171)+(FC_Desde&gt;=1)*(AW$170&gt;=FC_Desde)*AW$171)))</f>
        <v>5114.58575342466</v>
      </c>
      <c r="AX244" s="48" t="n">
        <f aca="false">SUMPRODUCT((FC_Clase="Administración")*FC_Base*((FC_Mon="PYG")*AX$175+(FC_Mon&lt;&gt;"PYG"))*((45&gt;Corte)*(45&lt;=Corte+n_Ventana)*ISNUMBER(Detalle_24m!AX$220:AX$244)*Detalle_24m!AX$220:AX$244+(1-(45&gt;Corte)*(45&lt;=Corte+n_Ventana)*ISNUMBER(Detalle_24m!AX$220:AX$244))*FC_V*(1+FC_g)^(AX$173-1)*((FC_Desde=0)*(AX$172+AX$171)+(FC_Desde&gt;=1)*(AX$170&gt;=FC_Desde)*AX$171)))</f>
        <v>5114.58575342466</v>
      </c>
      <c r="AY244" s="48" t="n">
        <f aca="false">SUMPRODUCT((FC_Clase="Administración")*FC_Base*((FC_Mon="PYG")*AY$175+(FC_Mon&lt;&gt;"PYG"))*((46&gt;Corte)*(46&lt;=Corte+n_Ventana)*ISNUMBER(Detalle_24m!AY$220:AY$244)*Detalle_24m!AY$220:AY$244+(1-(46&gt;Corte)*(46&lt;=Corte+n_Ventana)*ISNUMBER(Detalle_24m!AY$220:AY$244))*FC_V*(1+FC_g)^(AY$173-1)*((FC_Desde=0)*(AY$172+AY$171)+(FC_Desde&gt;=1)*(AY$170&gt;=FC_Desde)*AY$171)))</f>
        <v>5114.58575342466</v>
      </c>
      <c r="AZ244" s="48" t="n">
        <f aca="false">SUMPRODUCT((FC_Clase="Administración")*FC_Base*((FC_Mon="PYG")*AZ$175+(FC_Mon&lt;&gt;"PYG"))*((47&gt;Corte)*(47&lt;=Corte+n_Ventana)*ISNUMBER(Detalle_24m!AZ$220:AZ$244)*Detalle_24m!AZ$220:AZ$244+(1-(47&gt;Corte)*(47&lt;=Corte+n_Ventana)*ISNUMBER(Detalle_24m!AZ$220:AZ$244))*FC_V*(1+FC_g)^(AZ$173-1)*((FC_Desde=0)*(AZ$172+AZ$171)+(FC_Desde&gt;=1)*(AZ$170&gt;=FC_Desde)*AZ$171)))</f>
        <v>5114.58575342466</v>
      </c>
      <c r="BA244" s="48" t="n">
        <f aca="false">SUMPRODUCT((FC_Clase="Administración")*FC_Base*((FC_Mon="PYG")*BA$175+(FC_Mon&lt;&gt;"PYG"))*((48&gt;Corte)*(48&lt;=Corte+n_Ventana)*ISNUMBER(Detalle_24m!BA$220:BA$244)*Detalle_24m!BA$220:BA$244+(1-(48&gt;Corte)*(48&lt;=Corte+n_Ventana)*ISNUMBER(Detalle_24m!BA$220:BA$244))*FC_V*(1+FC_g)^(BA$173-1)*((FC_Desde=0)*(BA$172+BA$171)+(FC_Desde&gt;=1)*(BA$170&gt;=FC_Desde)*BA$171)))</f>
        <v>5114.58575342466</v>
      </c>
      <c r="BB244" s="48" t="n">
        <f aca="false">SUMPRODUCT((FC_Clase="Administración")*FC_Base*((FC_Mon="PYG")*BB$175+(FC_Mon&lt;&gt;"PYG"))*((49&gt;Corte)*(49&lt;=Corte+n_Ventana)*ISNUMBER(Detalle_24m!BB$220:BB$244)*Detalle_24m!BB$220:BB$244+(1-(49&gt;Corte)*(49&lt;=Corte+n_Ventana)*ISNUMBER(Detalle_24m!BB$220:BB$244))*FC_V*(1+FC_g)^(BB$173-1)*((FC_Desde=0)*(BB$172+BB$171)+(FC_Desde&gt;=1)*(BB$170&gt;=FC_Desde)*BB$171)))</f>
        <v>5114.58575342466</v>
      </c>
      <c r="BC244" s="48" t="n">
        <f aca="false">SUMPRODUCT((FC_Clase="Administración")*FC_Base*((FC_Mon="PYG")*BC$175+(FC_Mon&lt;&gt;"PYG"))*((50&gt;Corte)*(50&lt;=Corte+n_Ventana)*ISNUMBER(Detalle_24m!BC$220:BC$244)*Detalle_24m!BC$220:BC$244+(1-(50&gt;Corte)*(50&lt;=Corte+n_Ventana)*ISNUMBER(Detalle_24m!BC$220:BC$244))*FC_V*(1+FC_g)^(BC$173-1)*((FC_Desde=0)*(BC$172+BC$171)+(FC_Desde&gt;=1)*(BC$170&gt;=FC_Desde)*BC$171)))</f>
        <v>5114.58575342466</v>
      </c>
      <c r="BD244" s="48" t="n">
        <f aca="false">SUMPRODUCT((FC_Clase="Administración")*FC_Base*((FC_Mon="PYG")*BD$175+(FC_Mon&lt;&gt;"PYG"))*((51&gt;Corte)*(51&lt;=Corte+n_Ventana)*ISNUMBER(Detalle_24m!BD$220:BD$244)*Detalle_24m!BD$220:BD$244+(1-(51&gt;Corte)*(51&lt;=Corte+n_Ventana)*ISNUMBER(Detalle_24m!BD$220:BD$244))*FC_V*(1+FC_g)^(BD$173-1)*((FC_Desde=0)*(BD$172+BD$171)+(FC_Desde&gt;=1)*(BD$170&gt;=FC_Desde)*BD$171)))</f>
        <v>5114.58575342466</v>
      </c>
      <c r="BE244" s="48" t="n">
        <f aca="false">SUMPRODUCT((FC_Clase="Administración")*FC_Base*((FC_Mon="PYG")*BE$175+(FC_Mon&lt;&gt;"PYG"))*((52&gt;Corte)*(52&lt;=Corte+n_Ventana)*ISNUMBER(Detalle_24m!BE$220:BE$244)*Detalle_24m!BE$220:BE$244+(1-(52&gt;Corte)*(52&lt;=Corte+n_Ventana)*ISNUMBER(Detalle_24m!BE$220:BE$244))*FC_V*(1+FC_g)^(BE$173-1)*((FC_Desde=0)*(BE$172+BE$171)+(FC_Desde&gt;=1)*(BE$170&gt;=FC_Desde)*BE$171)))</f>
        <v>5114.58575342466</v>
      </c>
      <c r="BF244" s="48" t="n">
        <f aca="false">SUMPRODUCT((FC_Clase="Administración")*FC_Base*((FC_Mon="PYG")*BF$175+(FC_Mon&lt;&gt;"PYG"))*((53&gt;Corte)*(53&lt;=Corte+n_Ventana)*ISNUMBER(Detalle_24m!BF$220:BF$244)*Detalle_24m!BF$220:BF$244+(1-(53&gt;Corte)*(53&lt;=Corte+n_Ventana)*ISNUMBER(Detalle_24m!BF$220:BF$244))*FC_V*(1+FC_g)^(BF$173-1)*((FC_Desde=0)*(BF$172+BF$171)+(FC_Desde&gt;=1)*(BF$170&gt;=FC_Desde)*BF$171)))</f>
        <v>5114.58575342466</v>
      </c>
      <c r="BG244" s="48" t="n">
        <f aca="false">SUMPRODUCT((FC_Clase="Administración")*FC_Base*((FC_Mon="PYG")*BG$175+(FC_Mon&lt;&gt;"PYG"))*((54&gt;Corte)*(54&lt;=Corte+n_Ventana)*ISNUMBER(Detalle_24m!BG$220:BG$244)*Detalle_24m!BG$220:BG$244+(1-(54&gt;Corte)*(54&lt;=Corte+n_Ventana)*ISNUMBER(Detalle_24m!BG$220:BG$244))*FC_V*(1+FC_g)^(BG$173-1)*((FC_Desde=0)*(BG$172+BG$171)+(FC_Desde&gt;=1)*(BG$170&gt;=FC_Desde)*BG$171)))</f>
        <v>5114.58575342466</v>
      </c>
      <c r="BH244" s="48" t="n">
        <f aca="false">SUMPRODUCT((FC_Clase="Administración")*FC_Base*((FC_Mon="PYG")*BH$175+(FC_Mon&lt;&gt;"PYG"))*((55&gt;Corte)*(55&lt;=Corte+n_Ventana)*ISNUMBER(Detalle_24m!BH$220:BH$244)*Detalle_24m!BH$220:BH$244+(1-(55&gt;Corte)*(55&lt;=Corte+n_Ventana)*ISNUMBER(Detalle_24m!BH$220:BH$244))*FC_V*(1+FC_g)^(BH$173-1)*((FC_Desde=0)*(BH$172+BH$171)+(FC_Desde&gt;=1)*(BH$170&gt;=FC_Desde)*BH$171)))</f>
        <v>5114.58575342466</v>
      </c>
      <c r="BI244" s="48" t="n">
        <f aca="false">SUMPRODUCT((FC_Clase="Administración")*FC_Base*((FC_Mon="PYG")*BI$175+(FC_Mon&lt;&gt;"PYG"))*((56&gt;Corte)*(56&lt;=Corte+n_Ventana)*ISNUMBER(Detalle_24m!BI$220:BI$244)*Detalle_24m!BI$220:BI$244+(1-(56&gt;Corte)*(56&lt;=Corte+n_Ventana)*ISNUMBER(Detalle_24m!BI$220:BI$244))*FC_V*(1+FC_g)^(BI$173-1)*((FC_Desde=0)*(BI$172+BI$171)+(FC_Desde&gt;=1)*(BI$170&gt;=FC_Desde)*BI$171)))</f>
        <v>5114.58575342466</v>
      </c>
      <c r="BJ244" s="48" t="n">
        <f aca="false">SUMPRODUCT((FC_Clase="Administración")*FC_Base*((FC_Mon="PYG")*BJ$175+(FC_Mon&lt;&gt;"PYG"))*((57&gt;Corte)*(57&lt;=Corte+n_Ventana)*ISNUMBER(Detalle_24m!BJ$220:BJ$244)*Detalle_24m!BJ$220:BJ$244+(1-(57&gt;Corte)*(57&lt;=Corte+n_Ventana)*ISNUMBER(Detalle_24m!BJ$220:BJ$244))*FC_V*(1+FC_g)^(BJ$173-1)*((FC_Desde=0)*(BJ$172+BJ$171)+(FC_Desde&gt;=1)*(BJ$170&gt;=FC_Desde)*BJ$171)))</f>
        <v>5114.58575342466</v>
      </c>
      <c r="BK244" s="48" t="n">
        <f aca="false">SUMPRODUCT((FC_Clase="Administración")*FC_Base*((FC_Mon="PYG")*BK$175+(FC_Mon&lt;&gt;"PYG"))*((58&gt;Corte)*(58&lt;=Corte+n_Ventana)*ISNUMBER(Detalle_24m!BK$220:BK$244)*Detalle_24m!BK$220:BK$244+(1-(58&gt;Corte)*(58&lt;=Corte+n_Ventana)*ISNUMBER(Detalle_24m!BK$220:BK$244))*FC_V*(1+FC_g)^(BK$173-1)*((FC_Desde=0)*(BK$172+BK$171)+(FC_Desde&gt;=1)*(BK$170&gt;=FC_Desde)*BK$171)))</f>
        <v>5114.58575342466</v>
      </c>
      <c r="BL244" s="48" t="n">
        <f aca="false">SUMPRODUCT((FC_Clase="Administración")*FC_Base*((FC_Mon="PYG")*BL$175+(FC_Mon&lt;&gt;"PYG"))*((59&gt;Corte)*(59&lt;=Corte+n_Ventana)*ISNUMBER(Detalle_24m!BL$220:BL$244)*Detalle_24m!BL$220:BL$244+(1-(59&gt;Corte)*(59&lt;=Corte+n_Ventana)*ISNUMBER(Detalle_24m!BL$220:BL$244))*FC_V*(1+FC_g)^(BL$173-1)*((FC_Desde=0)*(BL$172+BL$171)+(FC_Desde&gt;=1)*(BL$170&gt;=FC_Desde)*BL$171)))</f>
        <v>5114.58575342466</v>
      </c>
      <c r="BM244" s="48" t="n">
        <f aca="false">SUMPRODUCT((FC_Clase="Administración")*FC_Base*((FC_Mon="PYG")*BM$175+(FC_Mon&lt;&gt;"PYG"))*((60&gt;Corte)*(60&lt;=Corte+n_Ventana)*ISNUMBER(Detalle_24m!BM$220:BM$244)*Detalle_24m!BM$220:BM$244+(1-(60&gt;Corte)*(60&lt;=Corte+n_Ventana)*ISNUMBER(Detalle_24m!BM$220:BM$244))*FC_V*(1+FC_g)^(BM$173-1)*((FC_Desde=0)*(BM$172+BM$171)+(FC_Desde&gt;=1)*(BM$170&gt;=FC_Desde)*BM$171)))</f>
        <v>5114.58575342466</v>
      </c>
      <c r="BN244" s="48" t="n">
        <f aca="false">SUMPRODUCT((FC_Clase="Administración")*FC_Base*((FC_Mon="PYG")*BN$175+(FC_Mon&lt;&gt;"PYG"))*((61&gt;Corte)*(61&lt;=Corte+n_Ventana)*ISNUMBER(Detalle_24m!BN$220:BN$244)*Detalle_24m!BN$220:BN$244+(1-(61&gt;Corte)*(61&lt;=Corte+n_Ventana)*ISNUMBER(Detalle_24m!BN$220:BN$244))*FC_V*(1+FC_g)^(BN$173-1)*((FC_Desde=0)*(BN$172+BN$171)+(FC_Desde&gt;=1)*(BN$170&gt;=FC_Desde)*BN$171)))</f>
        <v>5114.58575342466</v>
      </c>
      <c r="BO244" s="48" t="n">
        <f aca="false">SUMPRODUCT((FC_Clase="Administración")*FC_Base*((FC_Mon="PYG")*BO$175+(FC_Mon&lt;&gt;"PYG"))*((62&gt;Corte)*(62&lt;=Corte+n_Ventana)*ISNUMBER(Detalle_24m!BO$220:BO$244)*Detalle_24m!BO$220:BO$244+(1-(62&gt;Corte)*(62&lt;=Corte+n_Ventana)*ISNUMBER(Detalle_24m!BO$220:BO$244))*FC_V*(1+FC_g)^(BO$173-1)*((FC_Desde=0)*(BO$172+BO$171)+(FC_Desde&gt;=1)*(BO$170&gt;=FC_Desde)*BO$171)))</f>
        <v>5114.58575342466</v>
      </c>
      <c r="BP244" s="48" t="n">
        <f aca="false">SUMPRODUCT((FC_Clase="Administración")*FC_Base*((FC_Mon="PYG")*BP$175+(FC_Mon&lt;&gt;"PYG"))*((63&gt;Corte)*(63&lt;=Corte+n_Ventana)*ISNUMBER(Detalle_24m!BP$220:BP$244)*Detalle_24m!BP$220:BP$244+(1-(63&gt;Corte)*(63&lt;=Corte+n_Ventana)*ISNUMBER(Detalle_24m!BP$220:BP$244))*FC_V*(1+FC_g)^(BP$173-1)*((FC_Desde=0)*(BP$172+BP$171)+(FC_Desde&gt;=1)*(BP$170&gt;=FC_Desde)*BP$171)))</f>
        <v>5114.58575342466</v>
      </c>
      <c r="BQ244" s="48" t="n">
        <f aca="false">SUMPRODUCT((FC_Clase="Administración")*FC_Base*((FC_Mon="PYG")*BQ$175+(FC_Mon&lt;&gt;"PYG"))*((64&gt;Corte)*(64&lt;=Corte+n_Ventana)*ISNUMBER(Detalle_24m!BQ$220:BQ$244)*Detalle_24m!BQ$220:BQ$244+(1-(64&gt;Corte)*(64&lt;=Corte+n_Ventana)*ISNUMBER(Detalle_24m!BQ$220:BQ$244))*FC_V*(1+FC_g)^(BQ$173-1)*((FC_Desde=0)*(BQ$172+BQ$171)+(FC_Desde&gt;=1)*(BQ$170&gt;=FC_Desde)*BQ$171)))</f>
        <v>5114.58575342466</v>
      </c>
      <c r="BR244" s="48" t="n">
        <f aca="false">SUMPRODUCT((FC_Clase="Administración")*FC_Base*((FC_Mon="PYG")*BR$175+(FC_Mon&lt;&gt;"PYG"))*((65&gt;Corte)*(65&lt;=Corte+n_Ventana)*ISNUMBER(Detalle_24m!BR$220:BR$244)*Detalle_24m!BR$220:BR$244+(1-(65&gt;Corte)*(65&lt;=Corte+n_Ventana)*ISNUMBER(Detalle_24m!BR$220:BR$244))*FC_V*(1+FC_g)^(BR$173-1)*((FC_Desde=0)*(BR$172+BR$171)+(FC_Desde&gt;=1)*(BR$170&gt;=FC_Desde)*BR$171)))</f>
        <v>5114.58575342466</v>
      </c>
      <c r="BS244" s="48" t="n">
        <f aca="false">SUMPRODUCT((FC_Clase="Administración")*FC_Base*((FC_Mon="PYG")*BS$175+(FC_Mon&lt;&gt;"PYG"))*((66&gt;Corte)*(66&lt;=Corte+n_Ventana)*ISNUMBER(Detalle_24m!BS$220:BS$244)*Detalle_24m!BS$220:BS$244+(1-(66&gt;Corte)*(66&lt;=Corte+n_Ventana)*ISNUMBER(Detalle_24m!BS$220:BS$244))*FC_V*(1+FC_g)^(BS$173-1)*((FC_Desde=0)*(BS$172+BS$171)+(FC_Desde&gt;=1)*(BS$170&gt;=FC_Desde)*BS$171)))</f>
        <v>5114.58575342466</v>
      </c>
      <c r="BT244" s="48" t="n">
        <f aca="false">SUMPRODUCT((FC_Clase="Administración")*FC_Base*((FC_Mon="PYG")*BT$175+(FC_Mon&lt;&gt;"PYG"))*((67&gt;Corte)*(67&lt;=Corte+n_Ventana)*ISNUMBER(Detalle_24m!BT$220:BT$244)*Detalle_24m!BT$220:BT$244+(1-(67&gt;Corte)*(67&lt;=Corte+n_Ventana)*ISNUMBER(Detalle_24m!BT$220:BT$244))*FC_V*(1+FC_g)^(BT$173-1)*((FC_Desde=0)*(BT$172+BT$171)+(FC_Desde&gt;=1)*(BT$170&gt;=FC_Desde)*BT$171)))</f>
        <v>5114.58575342466</v>
      </c>
      <c r="BU244" s="48" t="n">
        <f aca="false">SUMPRODUCT((FC_Clase="Administración")*FC_Base*((FC_Mon="PYG")*BU$175+(FC_Mon&lt;&gt;"PYG"))*((68&gt;Corte)*(68&lt;=Corte+n_Ventana)*ISNUMBER(Detalle_24m!BU$220:BU$244)*Detalle_24m!BU$220:BU$244+(1-(68&gt;Corte)*(68&lt;=Corte+n_Ventana)*ISNUMBER(Detalle_24m!BU$220:BU$244))*FC_V*(1+FC_g)^(BU$173-1)*((FC_Desde=0)*(BU$172+BU$171)+(FC_Desde&gt;=1)*(BU$170&gt;=FC_Desde)*BU$171)))</f>
        <v>5114.58575342466</v>
      </c>
      <c r="BV244" s="48" t="n">
        <f aca="false">SUMPRODUCT((FC_Clase="Administración")*FC_Base*((FC_Mon="PYG")*BV$175+(FC_Mon&lt;&gt;"PYG"))*((69&gt;Corte)*(69&lt;=Corte+n_Ventana)*ISNUMBER(Detalle_24m!BV$220:BV$244)*Detalle_24m!BV$220:BV$244+(1-(69&gt;Corte)*(69&lt;=Corte+n_Ventana)*ISNUMBER(Detalle_24m!BV$220:BV$244))*FC_V*(1+FC_g)^(BV$173-1)*((FC_Desde=0)*(BV$172+BV$171)+(FC_Desde&gt;=1)*(BV$170&gt;=FC_Desde)*BV$171)))</f>
        <v>5114.58575342466</v>
      </c>
      <c r="BW244" s="48" t="n">
        <f aca="false">SUMPRODUCT((FC_Clase="Administración")*FC_Base*((FC_Mon="PYG")*BW$175+(FC_Mon&lt;&gt;"PYG"))*((70&gt;Corte)*(70&lt;=Corte+n_Ventana)*ISNUMBER(Detalle_24m!BW$220:BW$244)*Detalle_24m!BW$220:BW$244+(1-(70&gt;Corte)*(70&lt;=Corte+n_Ventana)*ISNUMBER(Detalle_24m!BW$220:BW$244))*FC_V*(1+FC_g)^(BW$173-1)*((FC_Desde=0)*(BW$172+BW$171)+(FC_Desde&gt;=1)*(BW$170&gt;=FC_Desde)*BW$171)))</f>
        <v>5114.58575342466</v>
      </c>
      <c r="BX244" s="48" t="n">
        <f aca="false">SUMPRODUCT((FC_Clase="Administración")*FC_Base*((FC_Mon="PYG")*BX$175+(FC_Mon&lt;&gt;"PYG"))*((71&gt;Corte)*(71&lt;=Corte+n_Ventana)*ISNUMBER(Detalle_24m!BX$220:BX$244)*Detalle_24m!BX$220:BX$244+(1-(71&gt;Corte)*(71&lt;=Corte+n_Ventana)*ISNUMBER(Detalle_24m!BX$220:BX$244))*FC_V*(1+FC_g)^(BX$173-1)*((FC_Desde=0)*(BX$172+BX$171)+(FC_Desde&gt;=1)*(BX$170&gt;=FC_Desde)*BX$171)))</f>
        <v>5114.58575342466</v>
      </c>
      <c r="BY244" s="48" t="n">
        <f aca="false">SUMPRODUCT((FC_Clase="Administración")*FC_Base*((FC_Mon="PYG")*BY$175+(FC_Mon&lt;&gt;"PYG"))*((72&gt;Corte)*(72&lt;=Corte+n_Ventana)*ISNUMBER(Detalle_24m!BY$220:BY$244)*Detalle_24m!BY$220:BY$244+(1-(72&gt;Corte)*(72&lt;=Corte+n_Ventana)*ISNUMBER(Detalle_24m!BY$220:BY$244))*FC_V*(1+FC_g)^(BY$173-1)*((FC_Desde=0)*(BY$172+BY$171)+(FC_Desde&gt;=1)*(BY$170&gt;=FC_Desde)*BY$171)))</f>
        <v>5114.58575342466</v>
      </c>
      <c r="BZ244" s="48" t="n">
        <f aca="false">SUMPRODUCT((FC_Clase="Administración")*FC_Base*((FC_Mon="PYG")*BZ$175+(FC_Mon&lt;&gt;"PYG"))*((73&gt;Corte)*(73&lt;=Corte+n_Ventana)*ISNUMBER(Detalle_24m!BZ$220:BZ$244)*Detalle_24m!BZ$220:BZ$244+(1-(73&gt;Corte)*(73&lt;=Corte+n_Ventana)*ISNUMBER(Detalle_24m!BZ$220:BZ$244))*FC_V*(1+FC_g)^(BZ$173-1)*((FC_Desde=0)*(BZ$172+BZ$171)+(FC_Desde&gt;=1)*(BZ$170&gt;=FC_Desde)*BZ$171)))</f>
        <v>5114.58575342466</v>
      </c>
      <c r="CA244" s="48" t="n">
        <f aca="false">SUMPRODUCT((FC_Clase="Administración")*FC_Base*((FC_Mon="PYG")*CA$175+(FC_Mon&lt;&gt;"PYG"))*((74&gt;Corte)*(74&lt;=Corte+n_Ventana)*ISNUMBER(Detalle_24m!CA$220:CA$244)*Detalle_24m!CA$220:CA$244+(1-(74&gt;Corte)*(74&lt;=Corte+n_Ventana)*ISNUMBER(Detalle_24m!CA$220:CA$244))*FC_V*(1+FC_g)^(CA$173-1)*((FC_Desde=0)*(CA$172+CA$171)+(FC_Desde&gt;=1)*(CA$170&gt;=FC_Desde)*CA$171)))</f>
        <v>5114.58575342466</v>
      </c>
      <c r="CB244" s="48" t="n">
        <f aca="false">SUMPRODUCT((FC_Clase="Administración")*FC_Base*((FC_Mon="PYG")*CB$175+(FC_Mon&lt;&gt;"PYG"))*((75&gt;Corte)*(75&lt;=Corte+n_Ventana)*ISNUMBER(Detalle_24m!CB$220:CB$244)*Detalle_24m!CB$220:CB$244+(1-(75&gt;Corte)*(75&lt;=Corte+n_Ventana)*ISNUMBER(Detalle_24m!CB$220:CB$244))*FC_V*(1+FC_g)^(CB$173-1)*((FC_Desde=0)*(CB$172+CB$171)+(FC_Desde&gt;=1)*(CB$170&gt;=FC_Desde)*CB$171)))</f>
        <v>5114.58575342466</v>
      </c>
      <c r="CC244" s="48" t="n">
        <f aca="false">SUMPRODUCT((FC_Clase="Administración")*FC_Base*((FC_Mon="PYG")*CC$175+(FC_Mon&lt;&gt;"PYG"))*((76&gt;Corte)*(76&lt;=Corte+n_Ventana)*ISNUMBER(Detalle_24m!CC$220:CC$244)*Detalle_24m!CC$220:CC$244+(1-(76&gt;Corte)*(76&lt;=Corte+n_Ventana)*ISNUMBER(Detalle_24m!CC$220:CC$244))*FC_V*(1+FC_g)^(CC$173-1)*((FC_Desde=0)*(CC$172+CC$171)+(FC_Desde&gt;=1)*(CC$170&gt;=FC_Desde)*CC$171)))</f>
        <v>5114.58575342466</v>
      </c>
      <c r="CD244" s="48" t="n">
        <f aca="false">SUMPRODUCT((FC_Clase="Administración")*FC_Base*((FC_Mon="PYG")*CD$175+(FC_Mon&lt;&gt;"PYG"))*((77&gt;Corte)*(77&lt;=Corte+n_Ventana)*ISNUMBER(Detalle_24m!CD$220:CD$244)*Detalle_24m!CD$220:CD$244+(1-(77&gt;Corte)*(77&lt;=Corte+n_Ventana)*ISNUMBER(Detalle_24m!CD$220:CD$244))*FC_V*(1+FC_g)^(CD$173-1)*((FC_Desde=0)*(CD$172+CD$171)+(FC_Desde&gt;=1)*(CD$170&gt;=FC_Desde)*CD$171)))</f>
        <v>5114.58575342466</v>
      </c>
      <c r="CE244" s="48" t="n">
        <f aca="false">SUMPRODUCT((FC_Clase="Administración")*FC_Base*((FC_Mon="PYG")*CE$175+(FC_Mon&lt;&gt;"PYG"))*((78&gt;Corte)*(78&lt;=Corte+n_Ventana)*ISNUMBER(Detalle_24m!CE$220:CE$244)*Detalle_24m!CE$220:CE$244+(1-(78&gt;Corte)*(78&lt;=Corte+n_Ventana)*ISNUMBER(Detalle_24m!CE$220:CE$244))*FC_V*(1+FC_g)^(CE$173-1)*((FC_Desde=0)*(CE$172+CE$171)+(FC_Desde&gt;=1)*(CE$170&gt;=FC_Desde)*CE$171)))</f>
        <v>5114.58575342466</v>
      </c>
      <c r="CF244" s="48" t="n">
        <f aca="false">SUMPRODUCT((FC_Clase="Administración")*FC_Base*((FC_Mon="PYG")*CF$175+(FC_Mon&lt;&gt;"PYG"))*((79&gt;Corte)*(79&lt;=Corte+n_Ventana)*ISNUMBER(Detalle_24m!CF$220:CF$244)*Detalle_24m!CF$220:CF$244+(1-(79&gt;Corte)*(79&lt;=Corte+n_Ventana)*ISNUMBER(Detalle_24m!CF$220:CF$244))*FC_V*(1+FC_g)^(CF$173-1)*((FC_Desde=0)*(CF$172+CF$171)+(FC_Desde&gt;=1)*(CF$170&gt;=FC_Desde)*CF$171)))</f>
        <v>5114.58575342466</v>
      </c>
      <c r="CG244" s="48" t="n">
        <f aca="false">SUMPRODUCT((FC_Clase="Administración")*FC_Base*((FC_Mon="PYG")*CG$175+(FC_Mon&lt;&gt;"PYG"))*((80&gt;Corte)*(80&lt;=Corte+n_Ventana)*ISNUMBER(Detalle_24m!CG$220:CG$244)*Detalle_24m!CG$220:CG$244+(1-(80&gt;Corte)*(80&lt;=Corte+n_Ventana)*ISNUMBER(Detalle_24m!CG$220:CG$244))*FC_V*(1+FC_g)^(CG$173-1)*((FC_Desde=0)*(CG$172+CG$171)+(FC_Desde&gt;=1)*(CG$170&gt;=FC_Desde)*CG$171)))</f>
        <v>5114.58575342466</v>
      </c>
      <c r="CH244" s="48" t="n">
        <f aca="false">SUMPRODUCT((FC_Clase="Administración")*FC_Base*((FC_Mon="PYG")*CH$175+(FC_Mon&lt;&gt;"PYG"))*((81&gt;Corte)*(81&lt;=Corte+n_Ventana)*ISNUMBER(Detalle_24m!CH$220:CH$244)*Detalle_24m!CH$220:CH$244+(1-(81&gt;Corte)*(81&lt;=Corte+n_Ventana)*ISNUMBER(Detalle_24m!CH$220:CH$244))*FC_V*(1+FC_g)^(CH$173-1)*((FC_Desde=0)*(CH$172+CH$171)+(FC_Desde&gt;=1)*(CH$170&gt;=FC_Desde)*CH$171)))</f>
        <v>5114.58575342466</v>
      </c>
      <c r="CI244" s="48" t="n">
        <f aca="false">SUMPRODUCT((FC_Clase="Administración")*FC_Base*((FC_Mon="PYG")*CI$175+(FC_Mon&lt;&gt;"PYG"))*((82&gt;Corte)*(82&lt;=Corte+n_Ventana)*ISNUMBER(Detalle_24m!CI$220:CI$244)*Detalle_24m!CI$220:CI$244+(1-(82&gt;Corte)*(82&lt;=Corte+n_Ventana)*ISNUMBER(Detalle_24m!CI$220:CI$244))*FC_V*(1+FC_g)^(CI$173-1)*((FC_Desde=0)*(CI$172+CI$171)+(FC_Desde&gt;=1)*(CI$170&gt;=FC_Desde)*CI$171)))</f>
        <v>5114.58575342466</v>
      </c>
      <c r="CJ244" s="48" t="n">
        <f aca="false">SUMPRODUCT((FC_Clase="Administración")*FC_Base*((FC_Mon="PYG")*CJ$175+(FC_Mon&lt;&gt;"PYG"))*((83&gt;Corte)*(83&lt;=Corte+n_Ventana)*ISNUMBER(Detalle_24m!CJ$220:CJ$244)*Detalle_24m!CJ$220:CJ$244+(1-(83&gt;Corte)*(83&lt;=Corte+n_Ventana)*ISNUMBER(Detalle_24m!CJ$220:CJ$244))*FC_V*(1+FC_g)^(CJ$173-1)*((FC_Desde=0)*(CJ$172+CJ$171)+(FC_Desde&gt;=1)*(CJ$170&gt;=FC_Desde)*CJ$171)))</f>
        <v>5114.58575342466</v>
      </c>
      <c r="CK244" s="48" t="n">
        <f aca="false">SUMPRODUCT((FC_Clase="Administración")*FC_Base*((FC_Mon="PYG")*CK$175+(FC_Mon&lt;&gt;"PYG"))*((84&gt;Corte)*(84&lt;=Corte+n_Ventana)*ISNUMBER(Detalle_24m!CK$220:CK$244)*Detalle_24m!CK$220:CK$244+(1-(84&gt;Corte)*(84&lt;=Corte+n_Ventana)*ISNUMBER(Detalle_24m!CK$220:CK$244))*FC_V*(1+FC_g)^(CK$173-1)*((FC_Desde=0)*(CK$172+CK$171)+(FC_Desde&gt;=1)*(CK$170&gt;=FC_Desde)*CK$171)))</f>
        <v>5114.58575342466</v>
      </c>
      <c r="CL244" s="48" t="n">
        <f aca="false">SUMPRODUCT((FC_Clase="Administración")*FC_Base*((FC_Mon="PYG")*CL$175+(FC_Mon&lt;&gt;"PYG"))*((85&gt;Corte)*(85&lt;=Corte+n_Ventana)*ISNUMBER(Detalle_24m!CL$220:CL$244)*Detalle_24m!CL$220:CL$244+(1-(85&gt;Corte)*(85&lt;=Corte+n_Ventana)*ISNUMBER(Detalle_24m!CL$220:CL$244))*FC_V*(1+FC_g)^(CL$173-1)*((FC_Desde=0)*(CL$172+CL$171)+(FC_Desde&gt;=1)*(CL$170&gt;=FC_Desde)*CL$171)))</f>
        <v>5114.58575342466</v>
      </c>
      <c r="CM244" s="48" t="n">
        <f aca="false">SUMPRODUCT((FC_Clase="Administración")*FC_Base*((FC_Mon="PYG")*CM$175+(FC_Mon&lt;&gt;"PYG"))*((86&gt;Corte)*(86&lt;=Corte+n_Ventana)*ISNUMBER(Detalle_24m!CM$220:CM$244)*Detalle_24m!CM$220:CM$244+(1-(86&gt;Corte)*(86&lt;=Corte+n_Ventana)*ISNUMBER(Detalle_24m!CM$220:CM$244))*FC_V*(1+FC_g)^(CM$173-1)*((FC_Desde=0)*(CM$172+CM$171)+(FC_Desde&gt;=1)*(CM$170&gt;=FC_Desde)*CM$171)))</f>
        <v>5114.58575342466</v>
      </c>
      <c r="CN244" s="48" t="n">
        <f aca="false">SUMPRODUCT((FC_Clase="Administración")*FC_Base*((FC_Mon="PYG")*CN$175+(FC_Mon&lt;&gt;"PYG"))*((87&gt;Corte)*(87&lt;=Corte+n_Ventana)*ISNUMBER(Detalle_24m!CN$220:CN$244)*Detalle_24m!CN$220:CN$244+(1-(87&gt;Corte)*(87&lt;=Corte+n_Ventana)*ISNUMBER(Detalle_24m!CN$220:CN$244))*FC_V*(1+FC_g)^(CN$173-1)*((FC_Desde=0)*(CN$172+CN$171)+(FC_Desde&gt;=1)*(CN$170&gt;=FC_Desde)*CN$171)))</f>
        <v>5114.58575342466</v>
      </c>
      <c r="CO244" s="48" t="n">
        <f aca="false">SUMPRODUCT((FC_Clase="Administración")*FC_Base*((FC_Mon="PYG")*CO$175+(FC_Mon&lt;&gt;"PYG"))*((88&gt;Corte)*(88&lt;=Corte+n_Ventana)*ISNUMBER(Detalle_24m!CO$220:CO$244)*Detalle_24m!CO$220:CO$244+(1-(88&gt;Corte)*(88&lt;=Corte+n_Ventana)*ISNUMBER(Detalle_24m!CO$220:CO$244))*FC_V*(1+FC_g)^(CO$173-1)*((FC_Desde=0)*(CO$172+CO$171)+(FC_Desde&gt;=1)*(CO$170&gt;=FC_Desde)*CO$171)))</f>
        <v>5114.58575342466</v>
      </c>
      <c r="CP244" s="48" t="n">
        <f aca="false">SUMPRODUCT((FC_Clase="Administración")*FC_Base*((FC_Mon="PYG")*CP$175+(FC_Mon&lt;&gt;"PYG"))*((89&gt;Corte)*(89&lt;=Corte+n_Ventana)*ISNUMBER(Detalle_24m!CP$220:CP$244)*Detalle_24m!CP$220:CP$244+(1-(89&gt;Corte)*(89&lt;=Corte+n_Ventana)*ISNUMBER(Detalle_24m!CP$220:CP$244))*FC_V*(1+FC_g)^(CP$173-1)*((FC_Desde=0)*(CP$172+CP$171)+(FC_Desde&gt;=1)*(CP$170&gt;=FC_Desde)*CP$171)))</f>
        <v>5114.58575342466</v>
      </c>
      <c r="CQ244" s="48" t="n">
        <f aca="false">SUMPRODUCT((FC_Clase="Administración")*FC_Base*((FC_Mon="PYG")*CQ$175+(FC_Mon&lt;&gt;"PYG"))*((90&gt;Corte)*(90&lt;=Corte+n_Ventana)*ISNUMBER(Detalle_24m!CQ$220:CQ$244)*Detalle_24m!CQ$220:CQ$244+(1-(90&gt;Corte)*(90&lt;=Corte+n_Ventana)*ISNUMBER(Detalle_24m!CQ$220:CQ$244))*FC_V*(1+FC_g)^(CQ$173-1)*((FC_Desde=0)*(CQ$172+CQ$171)+(FC_Desde&gt;=1)*(CQ$170&gt;=FC_Desde)*CQ$171)))</f>
        <v>5114.58575342466</v>
      </c>
      <c r="CR244" s="48" t="n">
        <f aca="false">SUMPRODUCT((FC_Clase="Administración")*FC_Base*((FC_Mon="PYG")*CR$175+(FC_Mon&lt;&gt;"PYG"))*((91&gt;Corte)*(91&lt;=Corte+n_Ventana)*ISNUMBER(Detalle_24m!CR$220:CR$244)*Detalle_24m!CR$220:CR$244+(1-(91&gt;Corte)*(91&lt;=Corte+n_Ventana)*ISNUMBER(Detalle_24m!CR$220:CR$244))*FC_V*(1+FC_g)^(CR$173-1)*((FC_Desde=0)*(CR$172+CR$171)+(FC_Desde&gt;=1)*(CR$170&gt;=FC_Desde)*CR$171)))</f>
        <v>5114.58575342466</v>
      </c>
      <c r="CS244" s="48" t="n">
        <f aca="false">SUMPRODUCT((FC_Clase="Administración")*FC_Base*((FC_Mon="PYG")*CS$175+(FC_Mon&lt;&gt;"PYG"))*((92&gt;Corte)*(92&lt;=Corte+n_Ventana)*ISNUMBER(Detalle_24m!CS$220:CS$244)*Detalle_24m!CS$220:CS$244+(1-(92&gt;Corte)*(92&lt;=Corte+n_Ventana)*ISNUMBER(Detalle_24m!CS$220:CS$244))*FC_V*(1+FC_g)^(CS$173-1)*((FC_Desde=0)*(CS$172+CS$171)+(FC_Desde&gt;=1)*(CS$170&gt;=FC_Desde)*CS$171)))</f>
        <v>5114.58575342466</v>
      </c>
      <c r="CT244" s="48" t="n">
        <f aca="false">SUMPRODUCT((FC_Clase="Administración")*FC_Base*((FC_Mon="PYG")*CT$175+(FC_Mon&lt;&gt;"PYG"))*((93&gt;Corte)*(93&lt;=Corte+n_Ventana)*ISNUMBER(Detalle_24m!CT$220:CT$244)*Detalle_24m!CT$220:CT$244+(1-(93&gt;Corte)*(93&lt;=Corte+n_Ventana)*ISNUMBER(Detalle_24m!CT$220:CT$244))*FC_V*(1+FC_g)^(CT$173-1)*((FC_Desde=0)*(CT$172+CT$171)+(FC_Desde&gt;=1)*(CT$170&gt;=FC_Desde)*CT$171)))</f>
        <v>5114.58575342466</v>
      </c>
      <c r="CU244" s="48" t="n">
        <f aca="false">SUMPRODUCT((FC_Clase="Administración")*FC_Base*((FC_Mon="PYG")*CU$175+(FC_Mon&lt;&gt;"PYG"))*((94&gt;Corte)*(94&lt;=Corte+n_Ventana)*ISNUMBER(Detalle_24m!CU$220:CU$244)*Detalle_24m!CU$220:CU$244+(1-(94&gt;Corte)*(94&lt;=Corte+n_Ventana)*ISNUMBER(Detalle_24m!CU$220:CU$244))*FC_V*(1+FC_g)^(CU$173-1)*((FC_Desde=0)*(CU$172+CU$171)+(FC_Desde&gt;=1)*(CU$170&gt;=FC_Desde)*CU$171)))</f>
        <v>5114.58575342466</v>
      </c>
      <c r="CV244" s="48" t="n">
        <f aca="false">SUMPRODUCT((FC_Clase="Administración")*FC_Base*((FC_Mon="PYG")*CV$175+(FC_Mon&lt;&gt;"PYG"))*((95&gt;Corte)*(95&lt;=Corte+n_Ventana)*ISNUMBER(Detalle_24m!CV$220:CV$244)*Detalle_24m!CV$220:CV$244+(1-(95&gt;Corte)*(95&lt;=Corte+n_Ventana)*ISNUMBER(Detalle_24m!CV$220:CV$244))*FC_V*(1+FC_g)^(CV$173-1)*((FC_Desde=0)*(CV$172+CV$171)+(FC_Desde&gt;=1)*(CV$170&gt;=FC_Desde)*CV$171)))</f>
        <v>5114.58575342466</v>
      </c>
      <c r="CW244" s="48" t="n">
        <f aca="false">SUMPRODUCT((FC_Clase="Administración")*FC_Base*((FC_Mon="PYG")*CW$175+(FC_Mon&lt;&gt;"PYG"))*((96&gt;Corte)*(96&lt;=Corte+n_Ventana)*ISNUMBER(Detalle_24m!CW$220:CW$244)*Detalle_24m!CW$220:CW$244+(1-(96&gt;Corte)*(96&lt;=Corte+n_Ventana)*ISNUMBER(Detalle_24m!CW$220:CW$244))*FC_V*(1+FC_g)^(CW$173-1)*((FC_Desde=0)*(CW$172+CW$171)+(FC_Desde&gt;=1)*(CW$170&gt;=FC_Desde)*CW$171)))</f>
        <v>5114.58575342466</v>
      </c>
      <c r="CX244" s="48" t="n">
        <f aca="false">SUMPRODUCT((FC_Clase="Administración")*FC_Base*((FC_Mon="PYG")*CX$175+(FC_Mon&lt;&gt;"PYG"))*((97&gt;Corte)*(97&lt;=Corte+n_Ventana)*ISNUMBER(Detalle_24m!CX$220:CX$244)*Detalle_24m!CX$220:CX$244+(1-(97&gt;Corte)*(97&lt;=Corte+n_Ventana)*ISNUMBER(Detalle_24m!CX$220:CX$244))*FC_V*(1+FC_g)^(CX$173-1)*((FC_Desde=0)*(CX$172+CX$171)+(FC_Desde&gt;=1)*(CX$170&gt;=FC_Desde)*CX$171)))</f>
        <v>5114.58575342466</v>
      </c>
      <c r="CY244" s="48" t="n">
        <f aca="false">SUMPRODUCT((FC_Clase="Administración")*FC_Base*((FC_Mon="PYG")*CY$175+(FC_Mon&lt;&gt;"PYG"))*((98&gt;Corte)*(98&lt;=Corte+n_Ventana)*ISNUMBER(Detalle_24m!CY$220:CY$244)*Detalle_24m!CY$220:CY$244+(1-(98&gt;Corte)*(98&lt;=Corte+n_Ventana)*ISNUMBER(Detalle_24m!CY$220:CY$244))*FC_V*(1+FC_g)^(CY$173-1)*((FC_Desde=0)*(CY$172+CY$171)+(FC_Desde&gt;=1)*(CY$170&gt;=FC_Desde)*CY$171)))</f>
        <v>5114.58575342466</v>
      </c>
      <c r="CZ244" s="48" t="n">
        <f aca="false">SUMPRODUCT((FC_Clase="Administración")*FC_Base*((FC_Mon="PYG")*CZ$175+(FC_Mon&lt;&gt;"PYG"))*((99&gt;Corte)*(99&lt;=Corte+n_Ventana)*ISNUMBER(Detalle_24m!CZ$220:CZ$244)*Detalle_24m!CZ$220:CZ$244+(1-(99&gt;Corte)*(99&lt;=Corte+n_Ventana)*ISNUMBER(Detalle_24m!CZ$220:CZ$244))*FC_V*(1+FC_g)^(CZ$173-1)*((FC_Desde=0)*(CZ$172+CZ$171)+(FC_Desde&gt;=1)*(CZ$170&gt;=FC_Desde)*CZ$171)))</f>
        <v>5114.58575342466</v>
      </c>
      <c r="DA244" s="48" t="n">
        <f aca="false">SUMPRODUCT((FC_Clase="Administración")*FC_Base*((FC_Mon="PYG")*DA$175+(FC_Mon&lt;&gt;"PYG"))*((100&gt;Corte)*(100&lt;=Corte+n_Ventana)*ISNUMBER(Detalle_24m!DA$220:DA$244)*Detalle_24m!DA$220:DA$244+(1-(100&gt;Corte)*(100&lt;=Corte+n_Ventana)*ISNUMBER(Detalle_24m!DA$220:DA$244))*FC_V*(1+FC_g)^(DA$173-1)*((FC_Desde=0)*(DA$172+DA$171)+(FC_Desde&gt;=1)*(DA$170&gt;=FC_Desde)*DA$171)))</f>
        <v>5114.58575342466</v>
      </c>
      <c r="DB244" s="48" t="n">
        <f aca="false">SUMPRODUCT((FC_Clase="Administración")*FC_Base*((FC_Mon="PYG")*DB$175+(FC_Mon&lt;&gt;"PYG"))*((101&gt;Corte)*(101&lt;=Corte+n_Ventana)*ISNUMBER(Detalle_24m!DB$220:DB$244)*Detalle_24m!DB$220:DB$244+(1-(101&gt;Corte)*(101&lt;=Corte+n_Ventana)*ISNUMBER(Detalle_24m!DB$220:DB$244))*FC_V*(1+FC_g)^(DB$173-1)*((FC_Desde=0)*(DB$172+DB$171)+(FC_Desde&gt;=1)*(DB$170&gt;=FC_Desde)*DB$171)))</f>
        <v>5114.58575342466</v>
      </c>
      <c r="DC244" s="48" t="n">
        <f aca="false">SUMPRODUCT((FC_Clase="Administración")*FC_Base*((FC_Mon="PYG")*DC$175+(FC_Mon&lt;&gt;"PYG"))*((102&gt;Corte)*(102&lt;=Corte+n_Ventana)*ISNUMBER(Detalle_24m!DC$220:DC$244)*Detalle_24m!DC$220:DC$244+(1-(102&gt;Corte)*(102&lt;=Corte+n_Ventana)*ISNUMBER(Detalle_24m!DC$220:DC$244))*FC_V*(1+FC_g)^(DC$173-1)*((FC_Desde=0)*(DC$172+DC$171)+(FC_Desde&gt;=1)*(DC$170&gt;=FC_Desde)*DC$171)))</f>
        <v>5114.58575342466</v>
      </c>
      <c r="DD244" s="48" t="n">
        <f aca="false">SUMPRODUCT((FC_Clase="Administración")*FC_Base*((FC_Mon="PYG")*DD$175+(FC_Mon&lt;&gt;"PYG"))*((103&gt;Corte)*(103&lt;=Corte+n_Ventana)*ISNUMBER(Detalle_24m!DD$220:DD$244)*Detalle_24m!DD$220:DD$244+(1-(103&gt;Corte)*(103&lt;=Corte+n_Ventana)*ISNUMBER(Detalle_24m!DD$220:DD$244))*FC_V*(1+FC_g)^(DD$173-1)*((FC_Desde=0)*(DD$172+DD$171)+(FC_Desde&gt;=1)*(DD$170&gt;=FC_Desde)*DD$171)))</f>
        <v>5114.58575342466</v>
      </c>
      <c r="DE244" s="48" t="n">
        <f aca="false">SUMPRODUCT((FC_Clase="Administración")*FC_Base*((FC_Mon="PYG")*DE$175+(FC_Mon&lt;&gt;"PYG"))*((104&gt;Corte)*(104&lt;=Corte+n_Ventana)*ISNUMBER(Detalle_24m!DE$220:DE$244)*Detalle_24m!DE$220:DE$244+(1-(104&gt;Corte)*(104&lt;=Corte+n_Ventana)*ISNUMBER(Detalle_24m!DE$220:DE$244))*FC_V*(1+FC_g)^(DE$173-1)*((FC_Desde=0)*(DE$172+DE$171)+(FC_Desde&gt;=1)*(DE$170&gt;=FC_Desde)*DE$171)))</f>
        <v>5114.58575342466</v>
      </c>
      <c r="DF244" s="48" t="n">
        <f aca="false">SUMPRODUCT((FC_Clase="Administración")*FC_Base*((FC_Mon="PYG")*DF$175+(FC_Mon&lt;&gt;"PYG"))*((105&gt;Corte)*(105&lt;=Corte+n_Ventana)*ISNUMBER(Detalle_24m!DF$220:DF$244)*Detalle_24m!DF$220:DF$244+(1-(105&gt;Corte)*(105&lt;=Corte+n_Ventana)*ISNUMBER(Detalle_24m!DF$220:DF$244))*FC_V*(1+FC_g)^(DF$173-1)*((FC_Desde=0)*(DF$172+DF$171)+(FC_Desde&gt;=1)*(DF$170&gt;=FC_Desde)*DF$171)))</f>
        <v>5114.58575342466</v>
      </c>
      <c r="DG244" s="48" t="n">
        <f aca="false">SUMPRODUCT((FC_Clase="Administración")*FC_Base*((FC_Mon="PYG")*DG$175+(FC_Mon&lt;&gt;"PYG"))*((106&gt;Corte)*(106&lt;=Corte+n_Ventana)*ISNUMBER(Detalle_24m!DG$220:DG$244)*Detalle_24m!DG$220:DG$244+(1-(106&gt;Corte)*(106&lt;=Corte+n_Ventana)*ISNUMBER(Detalle_24m!DG$220:DG$244))*FC_V*(1+FC_g)^(DG$173-1)*((FC_Desde=0)*(DG$172+DG$171)+(FC_Desde&gt;=1)*(DG$170&gt;=FC_Desde)*DG$171)))</f>
        <v>5114.58575342466</v>
      </c>
      <c r="DH244" s="48" t="n">
        <f aca="false">SUMPRODUCT((FC_Clase="Administración")*FC_Base*((FC_Mon="PYG")*DH$175+(FC_Mon&lt;&gt;"PYG"))*((107&gt;Corte)*(107&lt;=Corte+n_Ventana)*ISNUMBER(Detalle_24m!DH$220:DH$244)*Detalle_24m!DH$220:DH$244+(1-(107&gt;Corte)*(107&lt;=Corte+n_Ventana)*ISNUMBER(Detalle_24m!DH$220:DH$244))*FC_V*(1+FC_g)^(DH$173-1)*((FC_Desde=0)*(DH$172+DH$171)+(FC_Desde&gt;=1)*(DH$170&gt;=FC_Desde)*DH$171)))</f>
        <v>5114.58575342466</v>
      </c>
      <c r="DI244" s="48" t="n">
        <f aca="false">SUMPRODUCT((FC_Clase="Administración")*FC_Base*((FC_Mon="PYG")*DI$175+(FC_Mon&lt;&gt;"PYG"))*((108&gt;Corte)*(108&lt;=Corte+n_Ventana)*ISNUMBER(Detalle_24m!DI$220:DI$244)*Detalle_24m!DI$220:DI$244+(1-(108&gt;Corte)*(108&lt;=Corte+n_Ventana)*ISNUMBER(Detalle_24m!DI$220:DI$244))*FC_V*(1+FC_g)^(DI$173-1)*((FC_Desde=0)*(DI$172+DI$171)+(FC_Desde&gt;=1)*(DI$170&gt;=FC_Desde)*DI$171)))</f>
        <v>5114.58575342466</v>
      </c>
      <c r="DJ244" s="48" t="n">
        <f aca="false">SUMPRODUCT((FC_Clase="Administración")*FC_Base*((FC_Mon="PYG")*DJ$175+(FC_Mon&lt;&gt;"PYG"))*((109&gt;Corte)*(109&lt;=Corte+n_Ventana)*ISNUMBER(Detalle_24m!DJ$220:DJ$244)*Detalle_24m!DJ$220:DJ$244+(1-(109&gt;Corte)*(109&lt;=Corte+n_Ventana)*ISNUMBER(Detalle_24m!DJ$220:DJ$244))*FC_V*(1+FC_g)^(DJ$173-1)*((FC_Desde=0)*(DJ$172+DJ$171)+(FC_Desde&gt;=1)*(DJ$170&gt;=FC_Desde)*DJ$171)))</f>
        <v>5114.58575342466</v>
      </c>
      <c r="DK244" s="48" t="n">
        <f aca="false">SUMPRODUCT((FC_Clase="Administración")*FC_Base*((FC_Mon="PYG")*DK$175+(FC_Mon&lt;&gt;"PYG"))*((110&gt;Corte)*(110&lt;=Corte+n_Ventana)*ISNUMBER(Detalle_24m!DK$220:DK$244)*Detalle_24m!DK$220:DK$244+(1-(110&gt;Corte)*(110&lt;=Corte+n_Ventana)*ISNUMBER(Detalle_24m!DK$220:DK$244))*FC_V*(1+FC_g)^(DK$173-1)*((FC_Desde=0)*(DK$172+DK$171)+(FC_Desde&gt;=1)*(DK$170&gt;=FC_Desde)*DK$171)))</f>
        <v>5114.58575342466</v>
      </c>
      <c r="DL244" s="48" t="n">
        <f aca="false">SUMPRODUCT((FC_Clase="Administración")*FC_Base*((FC_Mon="PYG")*DL$175+(FC_Mon&lt;&gt;"PYG"))*((111&gt;Corte)*(111&lt;=Corte+n_Ventana)*ISNUMBER(Detalle_24m!DL$220:DL$244)*Detalle_24m!DL$220:DL$244+(1-(111&gt;Corte)*(111&lt;=Corte+n_Ventana)*ISNUMBER(Detalle_24m!DL$220:DL$244))*FC_V*(1+FC_g)^(DL$173-1)*((FC_Desde=0)*(DL$172+DL$171)+(FC_Desde&gt;=1)*(DL$170&gt;=FC_Desde)*DL$171)))</f>
        <v>5114.58575342466</v>
      </c>
      <c r="DM244" s="48" t="n">
        <f aca="false">SUMPRODUCT((FC_Clase="Administración")*FC_Base*((FC_Mon="PYG")*DM$175+(FC_Mon&lt;&gt;"PYG"))*((112&gt;Corte)*(112&lt;=Corte+n_Ventana)*ISNUMBER(Detalle_24m!DM$220:DM$244)*Detalle_24m!DM$220:DM$244+(1-(112&gt;Corte)*(112&lt;=Corte+n_Ventana)*ISNUMBER(Detalle_24m!DM$220:DM$244))*FC_V*(1+FC_g)^(DM$173-1)*((FC_Desde=0)*(DM$172+DM$171)+(FC_Desde&gt;=1)*(DM$170&gt;=FC_Desde)*DM$171)))</f>
        <v>5114.58575342466</v>
      </c>
      <c r="DN244" s="48" t="n">
        <f aca="false">SUMPRODUCT((FC_Clase="Administración")*FC_Base*((FC_Mon="PYG")*DN$175+(FC_Mon&lt;&gt;"PYG"))*((113&gt;Corte)*(113&lt;=Corte+n_Ventana)*ISNUMBER(Detalle_24m!DN$220:DN$244)*Detalle_24m!DN$220:DN$244+(1-(113&gt;Corte)*(113&lt;=Corte+n_Ventana)*ISNUMBER(Detalle_24m!DN$220:DN$244))*FC_V*(1+FC_g)^(DN$173-1)*((FC_Desde=0)*(DN$172+DN$171)+(FC_Desde&gt;=1)*(DN$170&gt;=FC_Desde)*DN$171)))</f>
        <v>5114.58575342466</v>
      </c>
      <c r="DO244" s="48" t="n">
        <f aca="false">SUMPRODUCT((FC_Clase="Administración")*FC_Base*((FC_Mon="PYG")*DO$175+(FC_Mon&lt;&gt;"PYG"))*((114&gt;Corte)*(114&lt;=Corte+n_Ventana)*ISNUMBER(Detalle_24m!DO$220:DO$244)*Detalle_24m!DO$220:DO$244+(1-(114&gt;Corte)*(114&lt;=Corte+n_Ventana)*ISNUMBER(Detalle_24m!DO$220:DO$244))*FC_V*(1+FC_g)^(DO$173-1)*((FC_Desde=0)*(DO$172+DO$171)+(FC_Desde&gt;=1)*(DO$170&gt;=FC_Desde)*DO$171)))</f>
        <v>5114.58575342466</v>
      </c>
      <c r="DP244" s="48" t="n">
        <f aca="false">SUMPRODUCT((FC_Clase="Administración")*FC_Base*((FC_Mon="PYG")*DP$175+(FC_Mon&lt;&gt;"PYG"))*((115&gt;Corte)*(115&lt;=Corte+n_Ventana)*ISNUMBER(Detalle_24m!DP$220:DP$244)*Detalle_24m!DP$220:DP$244+(1-(115&gt;Corte)*(115&lt;=Corte+n_Ventana)*ISNUMBER(Detalle_24m!DP$220:DP$244))*FC_V*(1+FC_g)^(DP$173-1)*((FC_Desde=0)*(DP$172+DP$171)+(FC_Desde&gt;=1)*(DP$170&gt;=FC_Desde)*DP$171)))</f>
        <v>5114.58575342466</v>
      </c>
      <c r="DQ244" s="48" t="n">
        <f aca="false">SUMPRODUCT((FC_Clase="Administración")*FC_Base*((FC_Mon="PYG")*DQ$175+(FC_Mon&lt;&gt;"PYG"))*((116&gt;Corte)*(116&lt;=Corte+n_Ventana)*ISNUMBER(Detalle_24m!DQ$220:DQ$244)*Detalle_24m!DQ$220:DQ$244+(1-(116&gt;Corte)*(116&lt;=Corte+n_Ventana)*ISNUMBER(Detalle_24m!DQ$220:DQ$244))*FC_V*(1+FC_g)^(DQ$173-1)*((FC_Desde=0)*(DQ$172+DQ$171)+(FC_Desde&gt;=1)*(DQ$170&gt;=FC_Desde)*DQ$171)))</f>
        <v>5114.58575342466</v>
      </c>
      <c r="DR244" s="48" t="n">
        <f aca="false">SUMPRODUCT((FC_Clase="Administración")*FC_Base*((FC_Mon="PYG")*DR$175+(FC_Mon&lt;&gt;"PYG"))*((117&gt;Corte)*(117&lt;=Corte+n_Ventana)*ISNUMBER(Detalle_24m!DR$220:DR$244)*Detalle_24m!DR$220:DR$244+(1-(117&gt;Corte)*(117&lt;=Corte+n_Ventana)*ISNUMBER(Detalle_24m!DR$220:DR$244))*FC_V*(1+FC_g)^(DR$173-1)*((FC_Desde=0)*(DR$172+DR$171)+(FC_Desde&gt;=1)*(DR$170&gt;=FC_Desde)*DR$171)))</f>
        <v>5114.58575342466</v>
      </c>
      <c r="DS244" s="48" t="n">
        <f aca="false">SUMPRODUCT((FC_Clase="Administración")*FC_Base*((FC_Mon="PYG")*DS$175+(FC_Mon&lt;&gt;"PYG"))*((118&gt;Corte)*(118&lt;=Corte+n_Ventana)*ISNUMBER(Detalle_24m!DS$220:DS$244)*Detalle_24m!DS$220:DS$244+(1-(118&gt;Corte)*(118&lt;=Corte+n_Ventana)*ISNUMBER(Detalle_24m!DS$220:DS$244))*FC_V*(1+FC_g)^(DS$173-1)*((FC_Desde=0)*(DS$172+DS$171)+(FC_Desde&gt;=1)*(DS$170&gt;=FC_Desde)*DS$171)))</f>
        <v>5114.58575342466</v>
      </c>
      <c r="DT244" s="48" t="n">
        <f aca="false">SUMPRODUCT((FC_Clase="Administración")*FC_Base*((FC_Mon="PYG")*DT$175+(FC_Mon&lt;&gt;"PYG"))*((119&gt;Corte)*(119&lt;=Corte+n_Ventana)*ISNUMBER(Detalle_24m!DT$220:DT$244)*Detalle_24m!DT$220:DT$244+(1-(119&gt;Corte)*(119&lt;=Corte+n_Ventana)*ISNUMBER(Detalle_24m!DT$220:DT$244))*FC_V*(1+FC_g)^(DT$173-1)*((FC_Desde=0)*(DT$172+DT$171)+(FC_Desde&gt;=1)*(DT$170&gt;=FC_Desde)*DT$171)))</f>
        <v>5114.58575342466</v>
      </c>
      <c r="DU244" s="48" t="n">
        <f aca="false">SUMPRODUCT((FC_Clase="Administración")*FC_Base*((FC_Mon="PYG")*DU$175+(FC_Mon&lt;&gt;"PYG"))*((120&gt;Corte)*(120&lt;=Corte+n_Ventana)*ISNUMBER(Detalle_24m!DU$220:DU$244)*Detalle_24m!DU$220:DU$244+(1-(120&gt;Corte)*(120&lt;=Corte+n_Ventana)*ISNUMBER(Detalle_24m!DU$220:DU$244))*FC_V*(1+FC_g)^(DU$173-1)*((FC_Desde=0)*(DU$172+DU$171)+(FC_Desde&gt;=1)*(DU$170&gt;=FC_Desde)*DU$171)))</f>
        <v>5114.58575342466</v>
      </c>
      <c r="DV244" s="48" t="n">
        <f aca="false">SUMPRODUCT((FC_Clase="Administración")*FC_Base*((FC_Mon="PYG")*DV$175+(FC_Mon&lt;&gt;"PYG"))*((121&gt;Corte)*(121&lt;=Corte+n_Ventana)*ISNUMBER(Detalle_24m!DV$220:DV$244)*Detalle_24m!DV$220:DV$244+(1-(121&gt;Corte)*(121&lt;=Corte+n_Ventana)*ISNUMBER(Detalle_24m!DV$220:DV$244))*FC_V*(1+FC_g)^(DV$173-1)*((FC_Desde=0)*(DV$172+DV$171)+(FC_Desde&gt;=1)*(DV$170&gt;=FC_Desde)*DV$171)))</f>
        <v>0</v>
      </c>
      <c r="DW244" s="48" t="n">
        <f aca="false">SUMPRODUCT((FC_Clase="Administración")*FC_Base*((FC_Mon="PYG")*DW$175+(FC_Mon&lt;&gt;"PYG"))*((122&gt;Corte)*(122&lt;=Corte+n_Ventana)*ISNUMBER(Detalle_24m!DW$220:DW$244)*Detalle_24m!DW$220:DW$244+(1-(122&gt;Corte)*(122&lt;=Corte+n_Ventana)*ISNUMBER(Detalle_24m!DW$220:DW$244))*FC_V*(1+FC_g)^(DW$173-1)*((FC_Desde=0)*(DW$172+DW$171)+(FC_Desde&gt;=1)*(DW$170&gt;=FC_Desde)*DW$171)))</f>
        <v>0</v>
      </c>
      <c r="DX244" s="48" t="n">
        <f aca="false">SUMPRODUCT((FC_Clase="Administración")*FC_Base*((FC_Mon="PYG")*DX$175+(FC_Mon&lt;&gt;"PYG"))*((123&gt;Corte)*(123&lt;=Corte+n_Ventana)*ISNUMBER(Detalle_24m!DX$220:DX$244)*Detalle_24m!DX$220:DX$244+(1-(123&gt;Corte)*(123&lt;=Corte+n_Ventana)*ISNUMBER(Detalle_24m!DX$220:DX$244))*FC_V*(1+FC_g)^(DX$173-1)*((FC_Desde=0)*(DX$172+DX$171)+(FC_Desde&gt;=1)*(DX$170&gt;=FC_Desde)*DX$171)))</f>
        <v>0</v>
      </c>
      <c r="DY244" s="48" t="n">
        <f aca="false">SUMPRODUCT((FC_Clase="Administración")*FC_Base*((FC_Mon="PYG")*DY$175+(FC_Mon&lt;&gt;"PYG"))*((124&gt;Corte)*(124&lt;=Corte+n_Ventana)*ISNUMBER(Detalle_24m!DY$220:DY$244)*Detalle_24m!DY$220:DY$244+(1-(124&gt;Corte)*(124&lt;=Corte+n_Ventana)*ISNUMBER(Detalle_24m!DY$220:DY$244))*FC_V*(1+FC_g)^(DY$173-1)*((FC_Desde=0)*(DY$172+DY$171)+(FC_Desde&gt;=1)*(DY$170&gt;=FC_Desde)*DY$171)))</f>
        <v>0</v>
      </c>
      <c r="DZ244" s="48" t="n">
        <f aca="false">SUMPRODUCT((FC_Clase="Administración")*FC_Base*((FC_Mon="PYG")*DZ$175+(FC_Mon&lt;&gt;"PYG"))*((125&gt;Corte)*(125&lt;=Corte+n_Ventana)*ISNUMBER(Detalle_24m!DZ$220:DZ$244)*Detalle_24m!DZ$220:DZ$244+(1-(125&gt;Corte)*(125&lt;=Corte+n_Ventana)*ISNUMBER(Detalle_24m!DZ$220:DZ$244))*FC_V*(1+FC_g)^(DZ$173-1)*((FC_Desde=0)*(DZ$172+DZ$171)+(FC_Desde&gt;=1)*(DZ$170&gt;=FC_Desde)*DZ$171)))</f>
        <v>0</v>
      </c>
      <c r="EA244" s="48" t="n">
        <f aca="false">SUMPRODUCT((FC_Clase="Administración")*FC_Base*((FC_Mon="PYG")*EA$175+(FC_Mon&lt;&gt;"PYG"))*((126&gt;Corte)*(126&lt;=Corte+n_Ventana)*ISNUMBER(Detalle_24m!EA$220:EA$244)*Detalle_24m!EA$220:EA$244+(1-(126&gt;Corte)*(126&lt;=Corte+n_Ventana)*ISNUMBER(Detalle_24m!EA$220:EA$244))*FC_V*(1+FC_g)^(EA$173-1)*((FC_Desde=0)*(EA$172+EA$171)+(FC_Desde&gt;=1)*(EA$170&gt;=FC_Desde)*EA$171)))</f>
        <v>0</v>
      </c>
      <c r="EB244" s="48" t="n">
        <f aca="false">SUMPRODUCT((FC_Clase="Administración")*FC_Base*((FC_Mon="PYG")*EB$175+(FC_Mon&lt;&gt;"PYG"))*((127&gt;Corte)*(127&lt;=Corte+n_Ventana)*ISNUMBER(Detalle_24m!EB$220:EB$244)*Detalle_24m!EB$220:EB$244+(1-(127&gt;Corte)*(127&lt;=Corte+n_Ventana)*ISNUMBER(Detalle_24m!EB$220:EB$244))*FC_V*(1+FC_g)^(EB$173-1)*((FC_Desde=0)*(EB$172+EB$171)+(FC_Desde&gt;=1)*(EB$170&gt;=FC_Desde)*EB$171)))</f>
        <v>0</v>
      </c>
      <c r="EC244" s="48" t="n">
        <f aca="false">SUMPRODUCT((FC_Clase="Administración")*FC_Base*((FC_Mon="PYG")*EC$175+(FC_Mon&lt;&gt;"PYG"))*((128&gt;Corte)*(128&lt;=Corte+n_Ventana)*ISNUMBER(Detalle_24m!EC$220:EC$244)*Detalle_24m!EC$220:EC$244+(1-(128&gt;Corte)*(128&lt;=Corte+n_Ventana)*ISNUMBER(Detalle_24m!EC$220:EC$244))*FC_V*(1+FC_g)^(EC$173-1)*((FC_Desde=0)*(EC$172+EC$171)+(FC_Desde&gt;=1)*(EC$170&gt;=FC_Desde)*EC$171)))</f>
        <v>0</v>
      </c>
      <c r="ED244" s="48" t="n">
        <f aca="false">SUMPRODUCT((FC_Clase="Administración")*FC_Base*((FC_Mon="PYG")*ED$175+(FC_Mon&lt;&gt;"PYG"))*((129&gt;Corte)*(129&lt;=Corte+n_Ventana)*ISNUMBER(Detalle_24m!ED$220:ED$244)*Detalle_24m!ED$220:ED$244+(1-(129&gt;Corte)*(129&lt;=Corte+n_Ventana)*ISNUMBER(Detalle_24m!ED$220:ED$244))*FC_V*(1+FC_g)^(ED$173-1)*((FC_Desde=0)*(ED$172+ED$171)+(FC_Desde&gt;=1)*(ED$170&gt;=FC_Desde)*ED$171)))</f>
        <v>0</v>
      </c>
      <c r="EE244" s="48" t="n">
        <f aca="false">SUMPRODUCT((FC_Clase="Administración")*FC_Base*((FC_Mon="PYG")*EE$175+(FC_Mon&lt;&gt;"PYG"))*((130&gt;Corte)*(130&lt;=Corte+n_Ventana)*ISNUMBER(Detalle_24m!EE$220:EE$244)*Detalle_24m!EE$220:EE$244+(1-(130&gt;Corte)*(130&lt;=Corte+n_Ventana)*ISNUMBER(Detalle_24m!EE$220:EE$244))*FC_V*(1+FC_g)^(EE$173-1)*((FC_Desde=0)*(EE$172+EE$171)+(FC_Desde&gt;=1)*(EE$170&gt;=FC_Desde)*EE$171)))</f>
        <v>0</v>
      </c>
      <c r="EF244" s="48" t="n">
        <f aca="false">SUMPRODUCT((FC_Clase="Administración")*FC_Base*((FC_Mon="PYG")*EF$175+(FC_Mon&lt;&gt;"PYG"))*((131&gt;Corte)*(131&lt;=Corte+n_Ventana)*ISNUMBER(Detalle_24m!EF$220:EF$244)*Detalle_24m!EF$220:EF$244+(1-(131&gt;Corte)*(131&lt;=Corte+n_Ventana)*ISNUMBER(Detalle_24m!EF$220:EF$244))*FC_V*(1+FC_g)^(EF$173-1)*((FC_Desde=0)*(EF$172+EF$171)+(FC_Desde&gt;=1)*(EF$170&gt;=FC_Desde)*EF$171)))</f>
        <v>0</v>
      </c>
      <c r="EG244" s="48" t="n">
        <f aca="false">SUMPRODUCT((FC_Clase="Administración")*FC_Base*((FC_Mon="PYG")*EG$175+(FC_Mon&lt;&gt;"PYG"))*((132&gt;Corte)*(132&lt;=Corte+n_Ventana)*ISNUMBER(Detalle_24m!EG$220:EG$244)*Detalle_24m!EG$220:EG$244+(1-(132&gt;Corte)*(132&lt;=Corte+n_Ventana)*ISNUMBER(Detalle_24m!EG$220:EG$244))*FC_V*(1+FC_g)^(EG$173-1)*((FC_Desde=0)*(EG$172+EG$171)+(FC_Desde&gt;=1)*(EG$170&gt;=FC_Desde)*EG$171)))</f>
        <v>0</v>
      </c>
      <c r="EH244" s="48" t="n">
        <f aca="false">SUMPRODUCT((FC_Clase="Administración")*FC_Base*((FC_Mon="PYG")*EH$175+(FC_Mon&lt;&gt;"PYG"))*((133&gt;Corte)*(133&lt;=Corte+n_Ventana)*ISNUMBER(Detalle_24m!EH$220:EH$244)*Detalle_24m!EH$220:EH$244+(1-(133&gt;Corte)*(133&lt;=Corte+n_Ventana)*ISNUMBER(Detalle_24m!EH$220:EH$244))*FC_V*(1+FC_g)^(EH$173-1)*((FC_Desde=0)*(EH$172+EH$171)+(FC_Desde&gt;=1)*(EH$170&gt;=FC_Desde)*EH$171)))</f>
        <v>0</v>
      </c>
      <c r="EI244" s="48" t="n">
        <f aca="false">SUMPRODUCT((FC_Clase="Administración")*FC_Base*((FC_Mon="PYG")*EI$175+(FC_Mon&lt;&gt;"PYG"))*((134&gt;Corte)*(134&lt;=Corte+n_Ventana)*ISNUMBER(Detalle_24m!EI$220:EI$244)*Detalle_24m!EI$220:EI$244+(1-(134&gt;Corte)*(134&lt;=Corte+n_Ventana)*ISNUMBER(Detalle_24m!EI$220:EI$244))*FC_V*(1+FC_g)^(EI$173-1)*((FC_Desde=0)*(EI$172+EI$171)+(FC_Desde&gt;=1)*(EI$170&gt;=FC_Desde)*EI$171)))</f>
        <v>0</v>
      </c>
      <c r="EJ244" s="48" t="n">
        <f aca="false">SUMPRODUCT((FC_Clase="Administración")*FC_Base*((FC_Mon="PYG")*EJ$175+(FC_Mon&lt;&gt;"PYG"))*((135&gt;Corte)*(135&lt;=Corte+n_Ventana)*ISNUMBER(Detalle_24m!EJ$220:EJ$244)*Detalle_24m!EJ$220:EJ$244+(1-(135&gt;Corte)*(135&lt;=Corte+n_Ventana)*ISNUMBER(Detalle_24m!EJ$220:EJ$244))*FC_V*(1+FC_g)^(EJ$173-1)*((FC_Desde=0)*(EJ$172+EJ$171)+(FC_Desde&gt;=1)*(EJ$170&gt;=FC_Desde)*EJ$171)))</f>
        <v>0</v>
      </c>
      <c r="EK244" s="48" t="n">
        <f aca="false">SUMPRODUCT((FC_Clase="Administración")*FC_Base*((FC_Mon="PYG")*EK$175+(FC_Mon&lt;&gt;"PYG"))*((136&gt;Corte)*(136&lt;=Corte+n_Ventana)*ISNUMBER(Detalle_24m!EK$220:EK$244)*Detalle_24m!EK$220:EK$244+(1-(136&gt;Corte)*(136&lt;=Corte+n_Ventana)*ISNUMBER(Detalle_24m!EK$220:EK$244))*FC_V*(1+FC_g)^(EK$173-1)*((FC_Desde=0)*(EK$172+EK$171)+(FC_Desde&gt;=1)*(EK$170&gt;=FC_Desde)*EK$171)))</f>
        <v>0</v>
      </c>
      <c r="EL244" s="48" t="n">
        <f aca="false">SUMPRODUCT((FC_Clase="Administración")*FC_Base*((FC_Mon="PYG")*EL$175+(FC_Mon&lt;&gt;"PYG"))*((137&gt;Corte)*(137&lt;=Corte+n_Ventana)*ISNUMBER(Detalle_24m!EL$220:EL$244)*Detalle_24m!EL$220:EL$244+(1-(137&gt;Corte)*(137&lt;=Corte+n_Ventana)*ISNUMBER(Detalle_24m!EL$220:EL$244))*FC_V*(1+FC_g)^(EL$173-1)*((FC_Desde=0)*(EL$172+EL$171)+(FC_Desde&gt;=1)*(EL$170&gt;=FC_Desde)*EL$171)))</f>
        <v>0</v>
      </c>
      <c r="EM244" s="48" t="n">
        <f aca="false">SUMPRODUCT((FC_Clase="Administración")*FC_Base*((FC_Mon="PYG")*EM$175+(FC_Mon&lt;&gt;"PYG"))*((138&gt;Corte)*(138&lt;=Corte+n_Ventana)*ISNUMBER(Detalle_24m!EM$220:EM$244)*Detalle_24m!EM$220:EM$244+(1-(138&gt;Corte)*(138&lt;=Corte+n_Ventana)*ISNUMBER(Detalle_24m!EM$220:EM$244))*FC_V*(1+FC_g)^(EM$173-1)*((FC_Desde=0)*(EM$172+EM$171)+(FC_Desde&gt;=1)*(EM$170&gt;=FC_Desde)*EM$171)))</f>
        <v>0</v>
      </c>
      <c r="EN244" s="48" t="n">
        <f aca="false">SUMPRODUCT((FC_Clase="Administración")*FC_Base*((FC_Mon="PYG")*EN$175+(FC_Mon&lt;&gt;"PYG"))*((139&gt;Corte)*(139&lt;=Corte+n_Ventana)*ISNUMBER(Detalle_24m!EN$220:EN$244)*Detalle_24m!EN$220:EN$244+(1-(139&gt;Corte)*(139&lt;=Corte+n_Ventana)*ISNUMBER(Detalle_24m!EN$220:EN$244))*FC_V*(1+FC_g)^(EN$173-1)*((FC_Desde=0)*(EN$172+EN$171)+(FC_Desde&gt;=1)*(EN$170&gt;=FC_Desde)*EN$171)))</f>
        <v>0</v>
      </c>
      <c r="EO244" s="48" t="n">
        <f aca="false">SUMPRODUCT((FC_Clase="Administración")*FC_Base*((FC_Mon="PYG")*EO$175+(FC_Mon&lt;&gt;"PYG"))*((140&gt;Corte)*(140&lt;=Corte+n_Ventana)*ISNUMBER(Detalle_24m!EO$220:EO$244)*Detalle_24m!EO$220:EO$244+(1-(140&gt;Corte)*(140&lt;=Corte+n_Ventana)*ISNUMBER(Detalle_24m!EO$220:EO$244))*FC_V*(1+FC_g)^(EO$173-1)*((FC_Desde=0)*(EO$172+EO$171)+(FC_Desde&gt;=1)*(EO$170&gt;=FC_Desde)*EO$171)))</f>
        <v>0</v>
      </c>
      <c r="EP244" s="48" t="n">
        <f aca="false">SUMPRODUCT((FC_Clase="Administración")*FC_Base*((FC_Mon="PYG")*EP$175+(FC_Mon&lt;&gt;"PYG"))*((141&gt;Corte)*(141&lt;=Corte+n_Ventana)*ISNUMBER(Detalle_24m!EP$220:EP$244)*Detalle_24m!EP$220:EP$244+(1-(141&gt;Corte)*(141&lt;=Corte+n_Ventana)*ISNUMBER(Detalle_24m!EP$220:EP$244))*FC_V*(1+FC_g)^(EP$173-1)*((FC_Desde=0)*(EP$172+EP$171)+(FC_Desde&gt;=1)*(EP$170&gt;=FC_Desde)*EP$171)))</f>
        <v>0</v>
      </c>
      <c r="EQ244" s="48" t="n">
        <f aca="false">SUMPRODUCT((FC_Clase="Administración")*FC_Base*((FC_Mon="PYG")*EQ$175+(FC_Mon&lt;&gt;"PYG"))*((142&gt;Corte)*(142&lt;=Corte+n_Ventana)*ISNUMBER(Detalle_24m!EQ$220:EQ$244)*Detalle_24m!EQ$220:EQ$244+(1-(142&gt;Corte)*(142&lt;=Corte+n_Ventana)*ISNUMBER(Detalle_24m!EQ$220:EQ$244))*FC_V*(1+FC_g)^(EQ$173-1)*((FC_Desde=0)*(EQ$172+EQ$171)+(FC_Desde&gt;=1)*(EQ$170&gt;=FC_Desde)*EQ$171)))</f>
        <v>0</v>
      </c>
      <c r="ER244" s="48" t="n">
        <f aca="false">SUMPRODUCT((FC_Clase="Administración")*FC_Base*((FC_Mon="PYG")*ER$175+(FC_Mon&lt;&gt;"PYG"))*((143&gt;Corte)*(143&lt;=Corte+n_Ventana)*ISNUMBER(Detalle_24m!ER$220:ER$244)*Detalle_24m!ER$220:ER$244+(1-(143&gt;Corte)*(143&lt;=Corte+n_Ventana)*ISNUMBER(Detalle_24m!ER$220:ER$244))*FC_V*(1+FC_g)^(ER$173-1)*((FC_Desde=0)*(ER$172+ER$171)+(FC_Desde&gt;=1)*(ER$170&gt;=FC_Desde)*ER$171)))</f>
        <v>0</v>
      </c>
      <c r="ES244" s="48" t="n">
        <f aca="false">SUMPRODUCT((FC_Clase="Administración")*FC_Base*((FC_Mon="PYG")*ES$175+(FC_Mon&lt;&gt;"PYG"))*((144&gt;Corte)*(144&lt;=Corte+n_Ventana)*ISNUMBER(Detalle_24m!ES$220:ES$244)*Detalle_24m!ES$220:ES$244+(1-(144&gt;Corte)*(144&lt;=Corte+n_Ventana)*ISNUMBER(Detalle_24m!ES$220:ES$244))*FC_V*(1+FC_g)^(ES$173-1)*((FC_Desde=0)*(ES$172+ES$171)+(FC_Desde&gt;=1)*(ES$170&gt;=FC_Desde)*ES$171)))</f>
        <v>0</v>
      </c>
    </row>
    <row r="245" customFormat="false" ht="15" hidden="false" customHeight="false" outlineLevel="0" collapsed="false">
      <c r="A245" s="11" t="s">
        <v>1367</v>
      </c>
      <c r="B245" s="15" t="s">
        <v>1151</v>
      </c>
      <c r="C245" s="15" t="s">
        <v>508</v>
      </c>
      <c r="E245" s="54" t="n">
        <f aca="false">SUM(F245:ES245)</f>
        <v>2851501.29749091</v>
      </c>
      <c r="F245" s="48" t="n">
        <f aca="false">V_ImpP*(F$229+F$230+F$231+F$232+F$239+F$240+F$234+F$236+F$242)</f>
        <v>15479.5332084976</v>
      </c>
      <c r="G245" s="48" t="n">
        <f aca="false">V_ImpP*(G$229+G$230+G$231+G$232+G$239+G$240+G$234+G$236+G$242)</f>
        <v>15479.5332084976</v>
      </c>
      <c r="H245" s="48" t="n">
        <f aca="false">V_ImpP*(H$229+H$230+H$231+H$232+H$239+H$240+H$234+H$236+H$242)</f>
        <v>15479.5332084976</v>
      </c>
      <c r="I245" s="48" t="n">
        <f aca="false">V_ImpP*(I$229+I$230+I$231+I$232+I$239+I$240+I$234+I$236+I$242)</f>
        <v>15479.5332084976</v>
      </c>
      <c r="J245" s="48" t="n">
        <f aca="false">V_ImpP*(J$229+J$230+J$231+J$232+J$239+J$240+J$234+J$236+J$242)</f>
        <v>15479.5332084976</v>
      </c>
      <c r="K245" s="48" t="n">
        <f aca="false">V_ImpP*(K$229+K$230+K$231+K$232+K$239+K$240+K$234+K$236+K$242)</f>
        <v>15479.5332084976</v>
      </c>
      <c r="L245" s="48" t="n">
        <f aca="false">V_ImpP*(L$229+L$230+L$231+L$232+L$239+L$240+L$234+L$236+L$242)</f>
        <v>15479.5332084976</v>
      </c>
      <c r="M245" s="48" t="n">
        <f aca="false">V_ImpP*(M$229+M$230+M$231+M$232+M$239+M$240+M$234+M$236+M$242)</f>
        <v>15479.5332084976</v>
      </c>
      <c r="N245" s="48" t="n">
        <f aca="false">V_ImpP*(N$229+N$230+N$231+N$232+N$239+N$240+N$234+N$236+N$242)</f>
        <v>15479.5332084976</v>
      </c>
      <c r="O245" s="48" t="n">
        <f aca="false">V_ImpP*(O$229+O$230+O$231+O$232+O$239+O$240+O$234+O$236+O$242)</f>
        <v>15479.5332084976</v>
      </c>
      <c r="P245" s="48" t="n">
        <f aca="false">V_ImpP*(P$229+P$230+P$231+P$232+P$239+P$240+P$234+P$236+P$242)</f>
        <v>15479.5332084976</v>
      </c>
      <c r="Q245" s="48" t="n">
        <f aca="false">V_ImpP*(Q$229+Q$230+Q$231+Q$232+Q$239+Q$240+Q$234+Q$236+Q$242)</f>
        <v>15479.5332084976</v>
      </c>
      <c r="R245" s="48" t="n">
        <f aca="false">V_ImpP*(R$229+R$230+R$231+R$232+R$239+R$240+R$234+R$236+R$242)</f>
        <v>18874.3773742893</v>
      </c>
      <c r="S245" s="48" t="n">
        <f aca="false">V_ImpP*(S$229+S$230+S$231+S$232+S$239+S$240+S$234+S$236+S$242)</f>
        <v>18874.3773742893</v>
      </c>
      <c r="T245" s="48" t="n">
        <f aca="false">V_ImpP*(T$229+T$230+T$231+T$232+T$239+T$240+T$234+T$236+T$242)</f>
        <v>18874.3773742893</v>
      </c>
      <c r="U245" s="48" t="n">
        <f aca="false">V_ImpP*(U$229+U$230+U$231+U$232+U$239+U$240+U$234+U$236+U$242)</f>
        <v>18874.3773742893</v>
      </c>
      <c r="V245" s="48" t="n">
        <f aca="false">V_ImpP*(V$229+V$230+V$231+V$232+V$239+V$240+V$234+V$236+V$242)</f>
        <v>18874.3773742893</v>
      </c>
      <c r="W245" s="48" t="n">
        <f aca="false">V_ImpP*(W$229+W$230+W$231+W$232+W$239+W$240+W$234+W$236+W$242)</f>
        <v>18874.3773742893</v>
      </c>
      <c r="X245" s="48" t="n">
        <f aca="false">V_ImpP*(X$229+X$230+X$231+X$232+X$239+X$240+X$234+X$236+X$242)</f>
        <v>18874.3773742893</v>
      </c>
      <c r="Y245" s="48" t="n">
        <f aca="false">V_ImpP*(Y$229+Y$230+Y$231+Y$232+Y$239+Y$240+Y$234+Y$236+Y$242)</f>
        <v>18874.3773742893</v>
      </c>
      <c r="Z245" s="48" t="n">
        <f aca="false">V_ImpP*(Z$229+Z$230+Z$231+Z$232+Z$239+Z$240+Z$234+Z$236+Z$242)</f>
        <v>18874.3773742893</v>
      </c>
      <c r="AA245" s="48" t="n">
        <f aca="false">V_ImpP*(AA$229+AA$230+AA$231+AA$232+AA$239+AA$240+AA$234+AA$236+AA$242)</f>
        <v>18874.3773742893</v>
      </c>
      <c r="AB245" s="48" t="n">
        <f aca="false">V_ImpP*(AB$229+AB$230+AB$231+AB$232+AB$239+AB$240+AB$234+AB$236+AB$242)</f>
        <v>18874.3773742893</v>
      </c>
      <c r="AC245" s="48" t="n">
        <f aca="false">V_ImpP*(AC$229+AC$230+AC$231+AC$232+AC$239+AC$240+AC$234+AC$236+AC$242)</f>
        <v>18874.3773742893</v>
      </c>
      <c r="AD245" s="48" t="n">
        <f aca="false">V_ImpP*(AD$229+AD$230+AD$231+AD$232+AD$239+AD$240+AD$234+AD$236+AD$242)</f>
        <v>22438.3044470912</v>
      </c>
      <c r="AE245" s="48" t="n">
        <f aca="false">V_ImpP*(AE$229+AE$230+AE$231+AE$232+AE$239+AE$240+AE$234+AE$236+AE$242)</f>
        <v>22438.3044470912</v>
      </c>
      <c r="AF245" s="48" t="n">
        <f aca="false">V_ImpP*(AF$229+AF$230+AF$231+AF$232+AF$239+AF$240+AF$234+AF$236+AF$242)</f>
        <v>22438.3044470912</v>
      </c>
      <c r="AG245" s="48" t="n">
        <f aca="false">V_ImpP*(AG$229+AG$230+AG$231+AG$232+AG$239+AG$240+AG$234+AG$236+AG$242)</f>
        <v>22438.3044470912</v>
      </c>
      <c r="AH245" s="48" t="n">
        <f aca="false">V_ImpP*(AH$229+AH$230+AH$231+AH$232+AH$239+AH$240+AH$234+AH$236+AH$242)</f>
        <v>22438.3044470912</v>
      </c>
      <c r="AI245" s="48" t="n">
        <f aca="false">V_ImpP*(AI$229+AI$230+AI$231+AI$232+AI$239+AI$240+AI$234+AI$236+AI$242)</f>
        <v>22438.3044470912</v>
      </c>
      <c r="AJ245" s="48" t="n">
        <f aca="false">V_ImpP*(AJ$229+AJ$230+AJ$231+AJ$232+AJ$239+AJ$240+AJ$234+AJ$236+AJ$242)</f>
        <v>22438.3044470912</v>
      </c>
      <c r="AK245" s="48" t="n">
        <f aca="false">V_ImpP*(AK$229+AK$230+AK$231+AK$232+AK$239+AK$240+AK$234+AK$236+AK$242)</f>
        <v>22438.3044470912</v>
      </c>
      <c r="AL245" s="48" t="n">
        <f aca="false">V_ImpP*(AL$229+AL$230+AL$231+AL$232+AL$239+AL$240+AL$234+AL$236+AL$242)</f>
        <v>22438.3044470912</v>
      </c>
      <c r="AM245" s="48" t="n">
        <f aca="false">V_ImpP*(AM$229+AM$230+AM$231+AM$232+AM$239+AM$240+AM$234+AM$236+AM$242)</f>
        <v>22438.3044470912</v>
      </c>
      <c r="AN245" s="48" t="n">
        <f aca="false">V_ImpP*(AN$229+AN$230+AN$231+AN$232+AN$239+AN$240+AN$234+AN$236+AN$242)</f>
        <v>22438.3044470912</v>
      </c>
      <c r="AO245" s="48" t="n">
        <f aca="false">V_ImpP*(AO$229+AO$230+AO$231+AO$232+AO$239+AO$240+AO$234+AO$236+AO$242)</f>
        <v>22438.3044470912</v>
      </c>
      <c r="AP245" s="48" t="n">
        <f aca="false">V_ImpP*(AP$229+AP$230+AP$231+AP$232+AP$239+AP$240+AP$234+AP$236+AP$242)</f>
        <v>25354.7196483896</v>
      </c>
      <c r="AQ245" s="48" t="n">
        <f aca="false">V_ImpP*(AQ$229+AQ$230+AQ$231+AQ$232+AQ$239+AQ$240+AQ$234+AQ$236+AQ$242)</f>
        <v>25354.7196483896</v>
      </c>
      <c r="AR245" s="48" t="n">
        <f aca="false">V_ImpP*(AR$229+AR$230+AR$231+AR$232+AR$239+AR$240+AR$234+AR$236+AR$242)</f>
        <v>25354.7196483896</v>
      </c>
      <c r="AS245" s="48" t="n">
        <f aca="false">V_ImpP*(AS$229+AS$230+AS$231+AS$232+AS$239+AS$240+AS$234+AS$236+AS$242)</f>
        <v>25354.7196483896</v>
      </c>
      <c r="AT245" s="48" t="n">
        <f aca="false">V_ImpP*(AT$229+AT$230+AT$231+AT$232+AT$239+AT$240+AT$234+AT$236+AT$242)</f>
        <v>25354.7196483896</v>
      </c>
      <c r="AU245" s="48" t="n">
        <f aca="false">V_ImpP*(AU$229+AU$230+AU$231+AU$232+AU$239+AU$240+AU$234+AU$236+AU$242)</f>
        <v>25354.7196483896</v>
      </c>
      <c r="AV245" s="48" t="n">
        <f aca="false">V_ImpP*(AV$229+AV$230+AV$231+AV$232+AV$239+AV$240+AV$234+AV$236+AV$242)</f>
        <v>25354.7196483896</v>
      </c>
      <c r="AW245" s="48" t="n">
        <f aca="false">V_ImpP*(AW$229+AW$230+AW$231+AW$232+AW$239+AW$240+AW$234+AW$236+AW$242)</f>
        <v>25354.7196483896</v>
      </c>
      <c r="AX245" s="48" t="n">
        <f aca="false">V_ImpP*(AX$229+AX$230+AX$231+AX$232+AX$239+AX$240+AX$234+AX$236+AX$242)</f>
        <v>25354.7196483896</v>
      </c>
      <c r="AY245" s="48" t="n">
        <f aca="false">V_ImpP*(AY$229+AY$230+AY$231+AY$232+AY$239+AY$240+AY$234+AY$236+AY$242)</f>
        <v>25354.7196483896</v>
      </c>
      <c r="AZ245" s="48" t="n">
        <f aca="false">V_ImpP*(AZ$229+AZ$230+AZ$231+AZ$232+AZ$239+AZ$240+AZ$234+AZ$236+AZ$242)</f>
        <v>25354.7196483896</v>
      </c>
      <c r="BA245" s="48" t="n">
        <f aca="false">V_ImpP*(BA$229+BA$230+BA$231+BA$232+BA$239+BA$240+BA$234+BA$236+BA$242)</f>
        <v>25354.7196483896</v>
      </c>
      <c r="BB245" s="48" t="n">
        <f aca="false">V_ImpP*(BB$229+BB$230+BB$231+BB$232+BB$239+BB$240+BB$234+BB$236+BB$242)</f>
        <v>25605.3421761632</v>
      </c>
      <c r="BC245" s="48" t="n">
        <f aca="false">V_ImpP*(BC$229+BC$230+BC$231+BC$232+BC$239+BC$240+BC$234+BC$236+BC$242)</f>
        <v>25605.3421761632</v>
      </c>
      <c r="BD245" s="48" t="n">
        <f aca="false">V_ImpP*(BD$229+BD$230+BD$231+BD$232+BD$239+BD$240+BD$234+BD$236+BD$242)</f>
        <v>25605.3421761632</v>
      </c>
      <c r="BE245" s="48" t="n">
        <f aca="false">V_ImpP*(BE$229+BE$230+BE$231+BE$232+BE$239+BE$240+BE$234+BE$236+BE$242)</f>
        <v>25605.3421761632</v>
      </c>
      <c r="BF245" s="48" t="n">
        <f aca="false">V_ImpP*(BF$229+BF$230+BF$231+BF$232+BF$239+BF$240+BF$234+BF$236+BF$242)</f>
        <v>25605.3421761632</v>
      </c>
      <c r="BG245" s="48" t="n">
        <f aca="false">V_ImpP*(BG$229+BG$230+BG$231+BG$232+BG$239+BG$240+BG$234+BG$236+BG$242)</f>
        <v>25605.3421761632</v>
      </c>
      <c r="BH245" s="48" t="n">
        <f aca="false">V_ImpP*(BH$229+BH$230+BH$231+BH$232+BH$239+BH$240+BH$234+BH$236+BH$242)</f>
        <v>25605.3421761632</v>
      </c>
      <c r="BI245" s="48" t="n">
        <f aca="false">V_ImpP*(BI$229+BI$230+BI$231+BI$232+BI$239+BI$240+BI$234+BI$236+BI$242)</f>
        <v>25605.3421761632</v>
      </c>
      <c r="BJ245" s="48" t="n">
        <f aca="false">V_ImpP*(BJ$229+BJ$230+BJ$231+BJ$232+BJ$239+BJ$240+BJ$234+BJ$236+BJ$242)</f>
        <v>25605.3421761632</v>
      </c>
      <c r="BK245" s="48" t="n">
        <f aca="false">V_ImpP*(BK$229+BK$230+BK$231+BK$232+BK$239+BK$240+BK$234+BK$236+BK$242)</f>
        <v>25605.3421761632</v>
      </c>
      <c r="BL245" s="48" t="n">
        <f aca="false">V_ImpP*(BL$229+BL$230+BL$231+BL$232+BL$239+BL$240+BL$234+BL$236+BL$242)</f>
        <v>25605.3421761632</v>
      </c>
      <c r="BM245" s="48" t="n">
        <f aca="false">V_ImpP*(BM$229+BM$230+BM$231+BM$232+BM$239+BM$240+BM$234+BM$236+BM$242)</f>
        <v>25605.3421761632</v>
      </c>
      <c r="BN245" s="48" t="n">
        <f aca="false">V_ImpP*(BN$229+BN$230+BN$231+BN$232+BN$239+BN$240+BN$234+BN$236+BN$242)</f>
        <v>25726.7493753587</v>
      </c>
      <c r="BO245" s="48" t="n">
        <f aca="false">V_ImpP*(BO$229+BO$230+BO$231+BO$232+BO$239+BO$240+BO$234+BO$236+BO$242)</f>
        <v>25726.7493753587</v>
      </c>
      <c r="BP245" s="48" t="n">
        <f aca="false">V_ImpP*(BP$229+BP$230+BP$231+BP$232+BP$239+BP$240+BP$234+BP$236+BP$242)</f>
        <v>25726.7493753587</v>
      </c>
      <c r="BQ245" s="48" t="n">
        <f aca="false">V_ImpP*(BQ$229+BQ$230+BQ$231+BQ$232+BQ$239+BQ$240+BQ$234+BQ$236+BQ$242)</f>
        <v>25726.7493753587</v>
      </c>
      <c r="BR245" s="48" t="n">
        <f aca="false">V_ImpP*(BR$229+BR$230+BR$231+BR$232+BR$239+BR$240+BR$234+BR$236+BR$242)</f>
        <v>25726.7493753587</v>
      </c>
      <c r="BS245" s="48" t="n">
        <f aca="false">V_ImpP*(BS$229+BS$230+BS$231+BS$232+BS$239+BS$240+BS$234+BS$236+BS$242)</f>
        <v>25726.7493753587</v>
      </c>
      <c r="BT245" s="48" t="n">
        <f aca="false">V_ImpP*(BT$229+BT$230+BT$231+BT$232+BT$239+BT$240+BT$234+BT$236+BT$242)</f>
        <v>25726.7493753587</v>
      </c>
      <c r="BU245" s="48" t="n">
        <f aca="false">V_ImpP*(BU$229+BU$230+BU$231+BU$232+BU$239+BU$240+BU$234+BU$236+BU$242)</f>
        <v>25726.7493753587</v>
      </c>
      <c r="BV245" s="48" t="n">
        <f aca="false">V_ImpP*(BV$229+BV$230+BV$231+BV$232+BV$239+BV$240+BV$234+BV$236+BV$242)</f>
        <v>25726.7493753587</v>
      </c>
      <c r="BW245" s="48" t="n">
        <f aca="false">V_ImpP*(BW$229+BW$230+BW$231+BW$232+BW$239+BW$240+BW$234+BW$236+BW$242)</f>
        <v>25726.7493753587</v>
      </c>
      <c r="BX245" s="48" t="n">
        <f aca="false">V_ImpP*(BX$229+BX$230+BX$231+BX$232+BX$239+BX$240+BX$234+BX$236+BX$242)</f>
        <v>25726.7493753587</v>
      </c>
      <c r="BY245" s="48" t="n">
        <f aca="false">V_ImpP*(BY$229+BY$230+BY$231+BY$232+BY$239+BY$240+BY$234+BY$236+BY$242)</f>
        <v>25726.7493753587</v>
      </c>
      <c r="BZ245" s="48" t="n">
        <f aca="false">V_ImpP*(BZ$229+BZ$230+BZ$231+BZ$232+BZ$239+BZ$240+BZ$234+BZ$236+BZ$242)</f>
        <v>25849.3974439944</v>
      </c>
      <c r="CA245" s="48" t="n">
        <f aca="false">V_ImpP*(CA$229+CA$230+CA$231+CA$232+CA$239+CA$240+CA$234+CA$236+CA$242)</f>
        <v>25849.3974439944</v>
      </c>
      <c r="CB245" s="48" t="n">
        <f aca="false">V_ImpP*(CB$229+CB$230+CB$231+CB$232+CB$239+CB$240+CB$234+CB$236+CB$242)</f>
        <v>25849.3974439944</v>
      </c>
      <c r="CC245" s="48" t="n">
        <f aca="false">V_ImpP*(CC$229+CC$230+CC$231+CC$232+CC$239+CC$240+CC$234+CC$236+CC$242)</f>
        <v>25849.3974439944</v>
      </c>
      <c r="CD245" s="48" t="n">
        <f aca="false">V_ImpP*(CD$229+CD$230+CD$231+CD$232+CD$239+CD$240+CD$234+CD$236+CD$242)</f>
        <v>25849.3974439944</v>
      </c>
      <c r="CE245" s="48" t="n">
        <f aca="false">V_ImpP*(CE$229+CE$230+CE$231+CE$232+CE$239+CE$240+CE$234+CE$236+CE$242)</f>
        <v>25849.3974439944</v>
      </c>
      <c r="CF245" s="48" t="n">
        <f aca="false">V_ImpP*(CF$229+CF$230+CF$231+CF$232+CF$239+CF$240+CF$234+CF$236+CF$242)</f>
        <v>25849.3974439944</v>
      </c>
      <c r="CG245" s="48" t="n">
        <f aca="false">V_ImpP*(CG$229+CG$230+CG$231+CG$232+CG$239+CG$240+CG$234+CG$236+CG$242)</f>
        <v>25849.3974439944</v>
      </c>
      <c r="CH245" s="48" t="n">
        <f aca="false">V_ImpP*(CH$229+CH$230+CH$231+CH$232+CH$239+CH$240+CH$234+CH$236+CH$242)</f>
        <v>25849.3974439944</v>
      </c>
      <c r="CI245" s="48" t="n">
        <f aca="false">V_ImpP*(CI$229+CI$230+CI$231+CI$232+CI$239+CI$240+CI$234+CI$236+CI$242)</f>
        <v>25849.3974439944</v>
      </c>
      <c r="CJ245" s="48" t="n">
        <f aca="false">V_ImpP*(CJ$229+CJ$230+CJ$231+CJ$232+CJ$239+CJ$240+CJ$234+CJ$236+CJ$242)</f>
        <v>25849.3974439944</v>
      </c>
      <c r="CK245" s="48" t="n">
        <f aca="false">V_ImpP*(CK$229+CK$230+CK$231+CK$232+CK$239+CK$240+CK$234+CK$236+CK$242)</f>
        <v>25849.3974439944</v>
      </c>
      <c r="CL245" s="48" t="n">
        <f aca="false">V_ImpP*(CL$229+CL$230+CL$231+CL$232+CL$239+CL$240+CL$234+CL$236+CL$242)</f>
        <v>25973.2993267137</v>
      </c>
      <c r="CM245" s="48" t="n">
        <f aca="false">V_ImpP*(CM$229+CM$230+CM$231+CM$232+CM$239+CM$240+CM$234+CM$236+CM$242)</f>
        <v>25973.2993267137</v>
      </c>
      <c r="CN245" s="48" t="n">
        <f aca="false">V_ImpP*(CN$229+CN$230+CN$231+CN$232+CN$239+CN$240+CN$234+CN$236+CN$242)</f>
        <v>25973.2993267137</v>
      </c>
      <c r="CO245" s="48" t="n">
        <f aca="false">V_ImpP*(CO$229+CO$230+CO$231+CO$232+CO$239+CO$240+CO$234+CO$236+CO$242)</f>
        <v>25973.2993267137</v>
      </c>
      <c r="CP245" s="48" t="n">
        <f aca="false">V_ImpP*(CP$229+CP$230+CP$231+CP$232+CP$239+CP$240+CP$234+CP$236+CP$242)</f>
        <v>25973.2993267137</v>
      </c>
      <c r="CQ245" s="48" t="n">
        <f aca="false">V_ImpP*(CQ$229+CQ$230+CQ$231+CQ$232+CQ$239+CQ$240+CQ$234+CQ$236+CQ$242)</f>
        <v>25973.2993267137</v>
      </c>
      <c r="CR245" s="48" t="n">
        <f aca="false">V_ImpP*(CR$229+CR$230+CR$231+CR$232+CR$239+CR$240+CR$234+CR$236+CR$242)</f>
        <v>25973.2993267137</v>
      </c>
      <c r="CS245" s="48" t="n">
        <f aca="false">V_ImpP*(CS$229+CS$230+CS$231+CS$232+CS$239+CS$240+CS$234+CS$236+CS$242)</f>
        <v>25973.2993267137</v>
      </c>
      <c r="CT245" s="48" t="n">
        <f aca="false">V_ImpP*(CT$229+CT$230+CT$231+CT$232+CT$239+CT$240+CT$234+CT$236+CT$242)</f>
        <v>25973.2993267137</v>
      </c>
      <c r="CU245" s="48" t="n">
        <f aca="false">V_ImpP*(CU$229+CU$230+CU$231+CU$232+CU$239+CU$240+CU$234+CU$236+CU$242)</f>
        <v>25973.2993267137</v>
      </c>
      <c r="CV245" s="48" t="n">
        <f aca="false">V_ImpP*(CV$229+CV$230+CV$231+CV$232+CV$239+CV$240+CV$234+CV$236+CV$242)</f>
        <v>25973.2993267137</v>
      </c>
      <c r="CW245" s="48" t="n">
        <f aca="false">V_ImpP*(CW$229+CW$230+CW$231+CW$232+CW$239+CW$240+CW$234+CW$236+CW$242)</f>
        <v>25973.2993267137</v>
      </c>
      <c r="CX245" s="48" t="n">
        <f aca="false">V_ImpP*(CX$229+CX$230+CX$231+CX$232+CX$239+CX$240+CX$234+CX$236+CX$242)</f>
        <v>26098.4681083253</v>
      </c>
      <c r="CY245" s="48" t="n">
        <f aca="false">V_ImpP*(CY$229+CY$230+CY$231+CY$232+CY$239+CY$240+CY$234+CY$236+CY$242)</f>
        <v>26098.4681083253</v>
      </c>
      <c r="CZ245" s="48" t="n">
        <f aca="false">V_ImpP*(CZ$229+CZ$230+CZ$231+CZ$232+CZ$239+CZ$240+CZ$234+CZ$236+CZ$242)</f>
        <v>26098.4681083253</v>
      </c>
      <c r="DA245" s="48" t="n">
        <f aca="false">V_ImpP*(DA$229+DA$230+DA$231+DA$232+DA$239+DA$240+DA$234+DA$236+DA$242)</f>
        <v>26098.4681083253</v>
      </c>
      <c r="DB245" s="48" t="n">
        <f aca="false">V_ImpP*(DB$229+DB$230+DB$231+DB$232+DB$239+DB$240+DB$234+DB$236+DB$242)</f>
        <v>26098.4681083253</v>
      </c>
      <c r="DC245" s="48" t="n">
        <f aca="false">V_ImpP*(DC$229+DC$230+DC$231+DC$232+DC$239+DC$240+DC$234+DC$236+DC$242)</f>
        <v>26098.4681083253</v>
      </c>
      <c r="DD245" s="48" t="n">
        <f aca="false">V_ImpP*(DD$229+DD$230+DD$231+DD$232+DD$239+DD$240+DD$234+DD$236+DD$242)</f>
        <v>26098.4681083253</v>
      </c>
      <c r="DE245" s="48" t="n">
        <f aca="false">V_ImpP*(DE$229+DE$230+DE$231+DE$232+DE$239+DE$240+DE$234+DE$236+DE$242)</f>
        <v>26098.4681083253</v>
      </c>
      <c r="DF245" s="48" t="n">
        <f aca="false">V_ImpP*(DF$229+DF$230+DF$231+DF$232+DF$239+DF$240+DF$234+DF$236+DF$242)</f>
        <v>26098.4681083253</v>
      </c>
      <c r="DG245" s="48" t="n">
        <f aca="false">V_ImpP*(DG$229+DG$230+DG$231+DG$232+DG$239+DG$240+DG$234+DG$236+DG$242)</f>
        <v>26098.4681083253</v>
      </c>
      <c r="DH245" s="48" t="n">
        <f aca="false">V_ImpP*(DH$229+DH$230+DH$231+DH$232+DH$239+DH$240+DH$234+DH$236+DH$242)</f>
        <v>26098.4681083253</v>
      </c>
      <c r="DI245" s="48" t="n">
        <f aca="false">V_ImpP*(DI$229+DI$230+DI$231+DI$232+DI$239+DI$240+DI$234+DI$236+DI$242)</f>
        <v>26098.4681083253</v>
      </c>
      <c r="DJ245" s="48" t="n">
        <f aca="false">V_ImpP*(DJ$229+DJ$230+DJ$231+DJ$232+DJ$239+DJ$240+DJ$234+DJ$236+DJ$242)</f>
        <v>26224.9170154195</v>
      </c>
      <c r="DK245" s="48" t="n">
        <f aca="false">V_ImpP*(DK$229+DK$230+DK$231+DK$232+DK$239+DK$240+DK$234+DK$236+DK$242)</f>
        <v>26224.9170154195</v>
      </c>
      <c r="DL245" s="48" t="n">
        <f aca="false">V_ImpP*(DL$229+DL$230+DL$231+DL$232+DL$239+DL$240+DL$234+DL$236+DL$242)</f>
        <v>26224.9170154195</v>
      </c>
      <c r="DM245" s="48" t="n">
        <f aca="false">V_ImpP*(DM$229+DM$230+DM$231+DM$232+DM$239+DM$240+DM$234+DM$236+DM$242)</f>
        <v>26224.9170154195</v>
      </c>
      <c r="DN245" s="48" t="n">
        <f aca="false">V_ImpP*(DN$229+DN$230+DN$231+DN$232+DN$239+DN$240+DN$234+DN$236+DN$242)</f>
        <v>26224.9170154195</v>
      </c>
      <c r="DO245" s="48" t="n">
        <f aca="false">V_ImpP*(DO$229+DO$230+DO$231+DO$232+DO$239+DO$240+DO$234+DO$236+DO$242)</f>
        <v>26224.9170154195</v>
      </c>
      <c r="DP245" s="48" t="n">
        <f aca="false">V_ImpP*(DP$229+DP$230+DP$231+DP$232+DP$239+DP$240+DP$234+DP$236+DP$242)</f>
        <v>26224.9170154195</v>
      </c>
      <c r="DQ245" s="48" t="n">
        <f aca="false">V_ImpP*(DQ$229+DQ$230+DQ$231+DQ$232+DQ$239+DQ$240+DQ$234+DQ$236+DQ$242)</f>
        <v>26224.9170154195</v>
      </c>
      <c r="DR245" s="48" t="n">
        <f aca="false">V_ImpP*(DR$229+DR$230+DR$231+DR$232+DR$239+DR$240+DR$234+DR$236+DR$242)</f>
        <v>26224.9170154195</v>
      </c>
      <c r="DS245" s="48" t="n">
        <f aca="false">V_ImpP*(DS$229+DS$230+DS$231+DS$232+DS$239+DS$240+DS$234+DS$236+DS$242)</f>
        <v>26224.9170154195</v>
      </c>
      <c r="DT245" s="48" t="n">
        <f aca="false">V_ImpP*(DT$229+DT$230+DT$231+DT$232+DT$239+DT$240+DT$234+DT$236+DT$242)</f>
        <v>26224.9170154195</v>
      </c>
      <c r="DU245" s="48" t="n">
        <f aca="false">V_ImpP*(DU$229+DU$230+DU$231+DU$232+DU$239+DU$240+DU$234+DU$236+DU$242)</f>
        <v>26224.9170154195</v>
      </c>
      <c r="DV245" s="48" t="n">
        <f aca="false">V_ImpP*(DV$229+DV$230+DV$231+DV$232+DV$239+DV$240+DV$234+DV$236+DV$242)</f>
        <v>0</v>
      </c>
      <c r="DW245" s="48" t="n">
        <f aca="false">V_ImpP*(DW$229+DW$230+DW$231+DW$232+DW$239+DW$240+DW$234+DW$236+DW$242)</f>
        <v>0</v>
      </c>
      <c r="DX245" s="48" t="n">
        <f aca="false">V_ImpP*(DX$229+DX$230+DX$231+DX$232+DX$239+DX$240+DX$234+DX$236+DX$242)</f>
        <v>0</v>
      </c>
      <c r="DY245" s="48" t="n">
        <f aca="false">V_ImpP*(DY$229+DY$230+DY$231+DY$232+DY$239+DY$240+DY$234+DY$236+DY$242)</f>
        <v>0</v>
      </c>
      <c r="DZ245" s="48" t="n">
        <f aca="false">V_ImpP*(DZ$229+DZ$230+DZ$231+DZ$232+DZ$239+DZ$240+DZ$234+DZ$236+DZ$242)</f>
        <v>0</v>
      </c>
      <c r="EA245" s="48" t="n">
        <f aca="false">V_ImpP*(EA$229+EA$230+EA$231+EA$232+EA$239+EA$240+EA$234+EA$236+EA$242)</f>
        <v>0</v>
      </c>
      <c r="EB245" s="48" t="n">
        <f aca="false">V_ImpP*(EB$229+EB$230+EB$231+EB$232+EB$239+EB$240+EB$234+EB$236+EB$242)</f>
        <v>0</v>
      </c>
      <c r="EC245" s="48" t="n">
        <f aca="false">V_ImpP*(EC$229+EC$230+EC$231+EC$232+EC$239+EC$240+EC$234+EC$236+EC$242)</f>
        <v>0</v>
      </c>
      <c r="ED245" s="48" t="n">
        <f aca="false">V_ImpP*(ED$229+ED$230+ED$231+ED$232+ED$239+ED$240+ED$234+ED$236+ED$242)</f>
        <v>0</v>
      </c>
      <c r="EE245" s="48" t="n">
        <f aca="false">V_ImpP*(EE$229+EE$230+EE$231+EE$232+EE$239+EE$240+EE$234+EE$236+EE$242)</f>
        <v>0</v>
      </c>
      <c r="EF245" s="48" t="n">
        <f aca="false">V_ImpP*(EF$229+EF$230+EF$231+EF$232+EF$239+EF$240+EF$234+EF$236+EF$242)</f>
        <v>0</v>
      </c>
      <c r="EG245" s="48" t="n">
        <f aca="false">V_ImpP*(EG$229+EG$230+EG$231+EG$232+EG$239+EG$240+EG$234+EG$236+EG$242)</f>
        <v>0</v>
      </c>
      <c r="EH245" s="48" t="n">
        <f aca="false">V_ImpP*(EH$229+EH$230+EH$231+EH$232+EH$239+EH$240+EH$234+EH$236+EH$242)</f>
        <v>0</v>
      </c>
      <c r="EI245" s="48" t="n">
        <f aca="false">V_ImpP*(EI$229+EI$230+EI$231+EI$232+EI$239+EI$240+EI$234+EI$236+EI$242)</f>
        <v>0</v>
      </c>
      <c r="EJ245" s="48" t="n">
        <f aca="false">V_ImpP*(EJ$229+EJ$230+EJ$231+EJ$232+EJ$239+EJ$240+EJ$234+EJ$236+EJ$242)</f>
        <v>0</v>
      </c>
      <c r="EK245" s="48" t="n">
        <f aca="false">V_ImpP*(EK$229+EK$230+EK$231+EK$232+EK$239+EK$240+EK$234+EK$236+EK$242)</f>
        <v>0</v>
      </c>
      <c r="EL245" s="48" t="n">
        <f aca="false">V_ImpP*(EL$229+EL$230+EL$231+EL$232+EL$239+EL$240+EL$234+EL$236+EL$242)</f>
        <v>0</v>
      </c>
      <c r="EM245" s="48" t="n">
        <f aca="false">V_ImpP*(EM$229+EM$230+EM$231+EM$232+EM$239+EM$240+EM$234+EM$236+EM$242)</f>
        <v>0</v>
      </c>
      <c r="EN245" s="48" t="n">
        <f aca="false">V_ImpP*(EN$229+EN$230+EN$231+EN$232+EN$239+EN$240+EN$234+EN$236+EN$242)</f>
        <v>0</v>
      </c>
      <c r="EO245" s="48" t="n">
        <f aca="false">V_ImpP*(EO$229+EO$230+EO$231+EO$232+EO$239+EO$240+EO$234+EO$236+EO$242)</f>
        <v>0</v>
      </c>
      <c r="EP245" s="48" t="n">
        <f aca="false">V_ImpP*(EP$229+EP$230+EP$231+EP$232+EP$239+EP$240+EP$234+EP$236+EP$242)</f>
        <v>0</v>
      </c>
      <c r="EQ245" s="48" t="n">
        <f aca="false">V_ImpP*(EQ$229+EQ$230+EQ$231+EQ$232+EQ$239+EQ$240+EQ$234+EQ$236+EQ$242)</f>
        <v>0</v>
      </c>
      <c r="ER245" s="48" t="n">
        <f aca="false">V_ImpP*(ER$229+ER$230+ER$231+ER$232+ER$239+ER$240+ER$234+ER$236+ER$242)</f>
        <v>0</v>
      </c>
      <c r="ES245" s="48" t="n">
        <f aca="false">V_ImpP*(ES$229+ES$230+ES$231+ES$232+ES$239+ES$240+ES$234+ES$236+ES$242)</f>
        <v>0</v>
      </c>
    </row>
    <row r="246" customFormat="false" ht="15" hidden="false" customHeight="false" outlineLevel="0" collapsed="false">
      <c r="A246" s="11" t="s">
        <v>1368</v>
      </c>
      <c r="B246" s="15" t="s">
        <v>1153</v>
      </c>
      <c r="C246" s="15" t="s">
        <v>508</v>
      </c>
      <c r="E246" s="54" t="n">
        <f aca="false">SUM(F246:ES246)</f>
        <v>84447.4408340548</v>
      </c>
      <c r="F246" s="48" t="n">
        <f aca="false">V_ImpA*(F$238+F$244)</f>
        <v>703.728673617123</v>
      </c>
      <c r="G246" s="48" t="n">
        <f aca="false">V_ImpA*(G$238+G$244)</f>
        <v>703.728673617123</v>
      </c>
      <c r="H246" s="48" t="n">
        <f aca="false">V_ImpA*(H$238+H$244)</f>
        <v>703.728673617123</v>
      </c>
      <c r="I246" s="48" t="n">
        <f aca="false">V_ImpA*(I$238+I$244)</f>
        <v>703.728673617123</v>
      </c>
      <c r="J246" s="48" t="n">
        <f aca="false">V_ImpA*(J$238+J$244)</f>
        <v>703.728673617123</v>
      </c>
      <c r="K246" s="48" t="n">
        <f aca="false">V_ImpA*(K$238+K$244)</f>
        <v>703.728673617123</v>
      </c>
      <c r="L246" s="48" t="n">
        <f aca="false">V_ImpA*(L$238+L$244)</f>
        <v>703.728673617123</v>
      </c>
      <c r="M246" s="48" t="n">
        <f aca="false">V_ImpA*(M$238+M$244)</f>
        <v>703.728673617123</v>
      </c>
      <c r="N246" s="48" t="n">
        <f aca="false">V_ImpA*(N$238+N$244)</f>
        <v>703.728673617123</v>
      </c>
      <c r="O246" s="48" t="n">
        <f aca="false">V_ImpA*(O$238+O$244)</f>
        <v>703.728673617123</v>
      </c>
      <c r="P246" s="48" t="n">
        <f aca="false">V_ImpA*(P$238+P$244)</f>
        <v>703.728673617123</v>
      </c>
      <c r="Q246" s="48" t="n">
        <f aca="false">V_ImpA*(Q$238+Q$244)</f>
        <v>703.728673617123</v>
      </c>
      <c r="R246" s="48" t="n">
        <f aca="false">V_ImpA*(R$238+R$244)</f>
        <v>703.728673617123</v>
      </c>
      <c r="S246" s="48" t="n">
        <f aca="false">V_ImpA*(S$238+S$244)</f>
        <v>703.728673617123</v>
      </c>
      <c r="T246" s="48" t="n">
        <f aca="false">V_ImpA*(T$238+T$244)</f>
        <v>703.728673617123</v>
      </c>
      <c r="U246" s="48" t="n">
        <f aca="false">V_ImpA*(U$238+U$244)</f>
        <v>703.728673617123</v>
      </c>
      <c r="V246" s="48" t="n">
        <f aca="false">V_ImpA*(V$238+V$244)</f>
        <v>703.728673617123</v>
      </c>
      <c r="W246" s="48" t="n">
        <f aca="false">V_ImpA*(W$238+W$244)</f>
        <v>703.728673617123</v>
      </c>
      <c r="X246" s="48" t="n">
        <f aca="false">V_ImpA*(X$238+X$244)</f>
        <v>703.728673617123</v>
      </c>
      <c r="Y246" s="48" t="n">
        <f aca="false">V_ImpA*(Y$238+Y$244)</f>
        <v>703.728673617123</v>
      </c>
      <c r="Z246" s="48" t="n">
        <f aca="false">V_ImpA*(Z$238+Z$244)</f>
        <v>703.728673617123</v>
      </c>
      <c r="AA246" s="48" t="n">
        <f aca="false">V_ImpA*(AA$238+AA$244)</f>
        <v>703.728673617123</v>
      </c>
      <c r="AB246" s="48" t="n">
        <f aca="false">V_ImpA*(AB$238+AB$244)</f>
        <v>703.728673617123</v>
      </c>
      <c r="AC246" s="48" t="n">
        <f aca="false">V_ImpA*(AC$238+AC$244)</f>
        <v>703.728673617123</v>
      </c>
      <c r="AD246" s="48" t="n">
        <f aca="false">V_ImpA*(AD$238+AD$244)</f>
        <v>703.728673617123</v>
      </c>
      <c r="AE246" s="48" t="n">
        <f aca="false">V_ImpA*(AE$238+AE$244)</f>
        <v>703.728673617123</v>
      </c>
      <c r="AF246" s="48" t="n">
        <f aca="false">V_ImpA*(AF$238+AF$244)</f>
        <v>703.728673617123</v>
      </c>
      <c r="AG246" s="48" t="n">
        <f aca="false">V_ImpA*(AG$238+AG$244)</f>
        <v>703.728673617123</v>
      </c>
      <c r="AH246" s="48" t="n">
        <f aca="false">V_ImpA*(AH$238+AH$244)</f>
        <v>703.728673617123</v>
      </c>
      <c r="AI246" s="48" t="n">
        <f aca="false">V_ImpA*(AI$238+AI$244)</f>
        <v>703.728673617123</v>
      </c>
      <c r="AJ246" s="48" t="n">
        <f aca="false">V_ImpA*(AJ$238+AJ$244)</f>
        <v>703.728673617123</v>
      </c>
      <c r="AK246" s="48" t="n">
        <f aca="false">V_ImpA*(AK$238+AK$244)</f>
        <v>703.728673617123</v>
      </c>
      <c r="AL246" s="48" t="n">
        <f aca="false">V_ImpA*(AL$238+AL$244)</f>
        <v>703.728673617123</v>
      </c>
      <c r="AM246" s="48" t="n">
        <f aca="false">V_ImpA*(AM$238+AM$244)</f>
        <v>703.728673617123</v>
      </c>
      <c r="AN246" s="48" t="n">
        <f aca="false">V_ImpA*(AN$238+AN$244)</f>
        <v>703.728673617123</v>
      </c>
      <c r="AO246" s="48" t="n">
        <f aca="false">V_ImpA*(AO$238+AO$244)</f>
        <v>703.728673617123</v>
      </c>
      <c r="AP246" s="48" t="n">
        <f aca="false">V_ImpA*(AP$238+AP$244)</f>
        <v>703.728673617123</v>
      </c>
      <c r="AQ246" s="48" t="n">
        <f aca="false">V_ImpA*(AQ$238+AQ$244)</f>
        <v>703.728673617123</v>
      </c>
      <c r="AR246" s="48" t="n">
        <f aca="false">V_ImpA*(AR$238+AR$244)</f>
        <v>703.728673617123</v>
      </c>
      <c r="AS246" s="48" t="n">
        <f aca="false">V_ImpA*(AS$238+AS$244)</f>
        <v>703.728673617123</v>
      </c>
      <c r="AT246" s="48" t="n">
        <f aca="false">V_ImpA*(AT$238+AT$244)</f>
        <v>703.728673617123</v>
      </c>
      <c r="AU246" s="48" t="n">
        <f aca="false">V_ImpA*(AU$238+AU$244)</f>
        <v>703.728673617123</v>
      </c>
      <c r="AV246" s="48" t="n">
        <f aca="false">V_ImpA*(AV$238+AV$244)</f>
        <v>703.728673617123</v>
      </c>
      <c r="AW246" s="48" t="n">
        <f aca="false">V_ImpA*(AW$238+AW$244)</f>
        <v>703.728673617123</v>
      </c>
      <c r="AX246" s="48" t="n">
        <f aca="false">V_ImpA*(AX$238+AX$244)</f>
        <v>703.728673617123</v>
      </c>
      <c r="AY246" s="48" t="n">
        <f aca="false">V_ImpA*(AY$238+AY$244)</f>
        <v>703.728673617123</v>
      </c>
      <c r="AZ246" s="48" t="n">
        <f aca="false">V_ImpA*(AZ$238+AZ$244)</f>
        <v>703.728673617123</v>
      </c>
      <c r="BA246" s="48" t="n">
        <f aca="false">V_ImpA*(BA$238+BA$244)</f>
        <v>703.728673617123</v>
      </c>
      <c r="BB246" s="48" t="n">
        <f aca="false">V_ImpA*(BB$238+BB$244)</f>
        <v>703.728673617123</v>
      </c>
      <c r="BC246" s="48" t="n">
        <f aca="false">V_ImpA*(BC$238+BC$244)</f>
        <v>703.728673617123</v>
      </c>
      <c r="BD246" s="48" t="n">
        <f aca="false">V_ImpA*(BD$238+BD$244)</f>
        <v>703.728673617123</v>
      </c>
      <c r="BE246" s="48" t="n">
        <f aca="false">V_ImpA*(BE$238+BE$244)</f>
        <v>703.728673617123</v>
      </c>
      <c r="BF246" s="48" t="n">
        <f aca="false">V_ImpA*(BF$238+BF$244)</f>
        <v>703.728673617123</v>
      </c>
      <c r="BG246" s="48" t="n">
        <f aca="false">V_ImpA*(BG$238+BG$244)</f>
        <v>703.728673617123</v>
      </c>
      <c r="BH246" s="48" t="n">
        <f aca="false">V_ImpA*(BH$238+BH$244)</f>
        <v>703.728673617123</v>
      </c>
      <c r="BI246" s="48" t="n">
        <f aca="false">V_ImpA*(BI$238+BI$244)</f>
        <v>703.728673617123</v>
      </c>
      <c r="BJ246" s="48" t="n">
        <f aca="false">V_ImpA*(BJ$238+BJ$244)</f>
        <v>703.728673617123</v>
      </c>
      <c r="BK246" s="48" t="n">
        <f aca="false">V_ImpA*(BK$238+BK$244)</f>
        <v>703.728673617123</v>
      </c>
      <c r="BL246" s="48" t="n">
        <f aca="false">V_ImpA*(BL$238+BL$244)</f>
        <v>703.728673617123</v>
      </c>
      <c r="BM246" s="48" t="n">
        <f aca="false">V_ImpA*(BM$238+BM$244)</f>
        <v>703.728673617123</v>
      </c>
      <c r="BN246" s="48" t="n">
        <f aca="false">V_ImpA*(BN$238+BN$244)</f>
        <v>703.728673617123</v>
      </c>
      <c r="BO246" s="48" t="n">
        <f aca="false">V_ImpA*(BO$238+BO$244)</f>
        <v>703.728673617123</v>
      </c>
      <c r="BP246" s="48" t="n">
        <f aca="false">V_ImpA*(BP$238+BP$244)</f>
        <v>703.728673617123</v>
      </c>
      <c r="BQ246" s="48" t="n">
        <f aca="false">V_ImpA*(BQ$238+BQ$244)</f>
        <v>703.728673617123</v>
      </c>
      <c r="BR246" s="48" t="n">
        <f aca="false">V_ImpA*(BR$238+BR$244)</f>
        <v>703.728673617123</v>
      </c>
      <c r="BS246" s="48" t="n">
        <f aca="false">V_ImpA*(BS$238+BS$244)</f>
        <v>703.728673617123</v>
      </c>
      <c r="BT246" s="48" t="n">
        <f aca="false">V_ImpA*(BT$238+BT$244)</f>
        <v>703.728673617123</v>
      </c>
      <c r="BU246" s="48" t="n">
        <f aca="false">V_ImpA*(BU$238+BU$244)</f>
        <v>703.728673617123</v>
      </c>
      <c r="BV246" s="48" t="n">
        <f aca="false">V_ImpA*(BV$238+BV$244)</f>
        <v>703.728673617123</v>
      </c>
      <c r="BW246" s="48" t="n">
        <f aca="false">V_ImpA*(BW$238+BW$244)</f>
        <v>703.728673617123</v>
      </c>
      <c r="BX246" s="48" t="n">
        <f aca="false">V_ImpA*(BX$238+BX$244)</f>
        <v>703.728673617123</v>
      </c>
      <c r="BY246" s="48" t="n">
        <f aca="false">V_ImpA*(BY$238+BY$244)</f>
        <v>703.728673617123</v>
      </c>
      <c r="BZ246" s="48" t="n">
        <f aca="false">V_ImpA*(BZ$238+BZ$244)</f>
        <v>703.728673617123</v>
      </c>
      <c r="CA246" s="48" t="n">
        <f aca="false">V_ImpA*(CA$238+CA$244)</f>
        <v>703.728673617123</v>
      </c>
      <c r="CB246" s="48" t="n">
        <f aca="false">V_ImpA*(CB$238+CB$244)</f>
        <v>703.728673617123</v>
      </c>
      <c r="CC246" s="48" t="n">
        <f aca="false">V_ImpA*(CC$238+CC$244)</f>
        <v>703.728673617123</v>
      </c>
      <c r="CD246" s="48" t="n">
        <f aca="false">V_ImpA*(CD$238+CD$244)</f>
        <v>703.728673617123</v>
      </c>
      <c r="CE246" s="48" t="n">
        <f aca="false">V_ImpA*(CE$238+CE$244)</f>
        <v>703.728673617123</v>
      </c>
      <c r="CF246" s="48" t="n">
        <f aca="false">V_ImpA*(CF$238+CF$244)</f>
        <v>703.728673617123</v>
      </c>
      <c r="CG246" s="48" t="n">
        <f aca="false">V_ImpA*(CG$238+CG$244)</f>
        <v>703.728673617123</v>
      </c>
      <c r="CH246" s="48" t="n">
        <f aca="false">V_ImpA*(CH$238+CH$244)</f>
        <v>703.728673617123</v>
      </c>
      <c r="CI246" s="48" t="n">
        <f aca="false">V_ImpA*(CI$238+CI$244)</f>
        <v>703.728673617123</v>
      </c>
      <c r="CJ246" s="48" t="n">
        <f aca="false">V_ImpA*(CJ$238+CJ$244)</f>
        <v>703.728673617123</v>
      </c>
      <c r="CK246" s="48" t="n">
        <f aca="false">V_ImpA*(CK$238+CK$244)</f>
        <v>703.728673617123</v>
      </c>
      <c r="CL246" s="48" t="n">
        <f aca="false">V_ImpA*(CL$238+CL$244)</f>
        <v>703.728673617123</v>
      </c>
      <c r="CM246" s="48" t="n">
        <f aca="false">V_ImpA*(CM$238+CM$244)</f>
        <v>703.728673617123</v>
      </c>
      <c r="CN246" s="48" t="n">
        <f aca="false">V_ImpA*(CN$238+CN$244)</f>
        <v>703.728673617123</v>
      </c>
      <c r="CO246" s="48" t="n">
        <f aca="false">V_ImpA*(CO$238+CO$244)</f>
        <v>703.728673617123</v>
      </c>
      <c r="CP246" s="48" t="n">
        <f aca="false">V_ImpA*(CP$238+CP$244)</f>
        <v>703.728673617123</v>
      </c>
      <c r="CQ246" s="48" t="n">
        <f aca="false">V_ImpA*(CQ$238+CQ$244)</f>
        <v>703.728673617123</v>
      </c>
      <c r="CR246" s="48" t="n">
        <f aca="false">V_ImpA*(CR$238+CR$244)</f>
        <v>703.728673617123</v>
      </c>
      <c r="CS246" s="48" t="n">
        <f aca="false">V_ImpA*(CS$238+CS$244)</f>
        <v>703.728673617123</v>
      </c>
      <c r="CT246" s="48" t="n">
        <f aca="false">V_ImpA*(CT$238+CT$244)</f>
        <v>703.728673617123</v>
      </c>
      <c r="CU246" s="48" t="n">
        <f aca="false">V_ImpA*(CU$238+CU$244)</f>
        <v>703.728673617123</v>
      </c>
      <c r="CV246" s="48" t="n">
        <f aca="false">V_ImpA*(CV$238+CV$244)</f>
        <v>703.728673617123</v>
      </c>
      <c r="CW246" s="48" t="n">
        <f aca="false">V_ImpA*(CW$238+CW$244)</f>
        <v>703.728673617123</v>
      </c>
      <c r="CX246" s="48" t="n">
        <f aca="false">V_ImpA*(CX$238+CX$244)</f>
        <v>703.728673617123</v>
      </c>
      <c r="CY246" s="48" t="n">
        <f aca="false">V_ImpA*(CY$238+CY$244)</f>
        <v>703.728673617123</v>
      </c>
      <c r="CZ246" s="48" t="n">
        <f aca="false">V_ImpA*(CZ$238+CZ$244)</f>
        <v>703.728673617123</v>
      </c>
      <c r="DA246" s="48" t="n">
        <f aca="false">V_ImpA*(DA$238+DA$244)</f>
        <v>703.728673617123</v>
      </c>
      <c r="DB246" s="48" t="n">
        <f aca="false">V_ImpA*(DB$238+DB$244)</f>
        <v>703.728673617123</v>
      </c>
      <c r="DC246" s="48" t="n">
        <f aca="false">V_ImpA*(DC$238+DC$244)</f>
        <v>703.728673617123</v>
      </c>
      <c r="DD246" s="48" t="n">
        <f aca="false">V_ImpA*(DD$238+DD$244)</f>
        <v>703.728673617123</v>
      </c>
      <c r="DE246" s="48" t="n">
        <f aca="false">V_ImpA*(DE$238+DE$244)</f>
        <v>703.728673617123</v>
      </c>
      <c r="DF246" s="48" t="n">
        <f aca="false">V_ImpA*(DF$238+DF$244)</f>
        <v>703.728673617123</v>
      </c>
      <c r="DG246" s="48" t="n">
        <f aca="false">V_ImpA*(DG$238+DG$244)</f>
        <v>703.728673617123</v>
      </c>
      <c r="DH246" s="48" t="n">
        <f aca="false">V_ImpA*(DH$238+DH$244)</f>
        <v>703.728673617123</v>
      </c>
      <c r="DI246" s="48" t="n">
        <f aca="false">V_ImpA*(DI$238+DI$244)</f>
        <v>703.728673617123</v>
      </c>
      <c r="DJ246" s="48" t="n">
        <f aca="false">V_ImpA*(DJ$238+DJ$244)</f>
        <v>703.728673617123</v>
      </c>
      <c r="DK246" s="48" t="n">
        <f aca="false">V_ImpA*(DK$238+DK$244)</f>
        <v>703.728673617123</v>
      </c>
      <c r="DL246" s="48" t="n">
        <f aca="false">V_ImpA*(DL$238+DL$244)</f>
        <v>703.728673617123</v>
      </c>
      <c r="DM246" s="48" t="n">
        <f aca="false">V_ImpA*(DM$238+DM$244)</f>
        <v>703.728673617123</v>
      </c>
      <c r="DN246" s="48" t="n">
        <f aca="false">V_ImpA*(DN$238+DN$244)</f>
        <v>703.728673617123</v>
      </c>
      <c r="DO246" s="48" t="n">
        <f aca="false">V_ImpA*(DO$238+DO$244)</f>
        <v>703.728673617123</v>
      </c>
      <c r="DP246" s="48" t="n">
        <f aca="false">V_ImpA*(DP$238+DP$244)</f>
        <v>703.728673617123</v>
      </c>
      <c r="DQ246" s="48" t="n">
        <f aca="false">V_ImpA*(DQ$238+DQ$244)</f>
        <v>703.728673617123</v>
      </c>
      <c r="DR246" s="48" t="n">
        <f aca="false">V_ImpA*(DR$238+DR$244)</f>
        <v>703.728673617123</v>
      </c>
      <c r="DS246" s="48" t="n">
        <f aca="false">V_ImpA*(DS$238+DS$244)</f>
        <v>703.728673617123</v>
      </c>
      <c r="DT246" s="48" t="n">
        <f aca="false">V_ImpA*(DT$238+DT$244)</f>
        <v>703.728673617123</v>
      </c>
      <c r="DU246" s="48" t="n">
        <f aca="false">V_ImpA*(DU$238+DU$244)</f>
        <v>703.728673617123</v>
      </c>
      <c r="DV246" s="48" t="n">
        <f aca="false">V_ImpA*(DV$238+DV$244)</f>
        <v>0</v>
      </c>
      <c r="DW246" s="48" t="n">
        <f aca="false">V_ImpA*(DW$238+DW$244)</f>
        <v>0</v>
      </c>
      <c r="DX246" s="48" t="n">
        <f aca="false">V_ImpA*(DX$238+DX$244)</f>
        <v>0</v>
      </c>
      <c r="DY246" s="48" t="n">
        <f aca="false">V_ImpA*(DY$238+DY$244)</f>
        <v>0</v>
      </c>
      <c r="DZ246" s="48" t="n">
        <f aca="false">V_ImpA*(DZ$238+DZ$244)</f>
        <v>0</v>
      </c>
      <c r="EA246" s="48" t="n">
        <f aca="false">V_ImpA*(EA$238+EA$244)</f>
        <v>0</v>
      </c>
      <c r="EB246" s="48" t="n">
        <f aca="false">V_ImpA*(EB$238+EB$244)</f>
        <v>0</v>
      </c>
      <c r="EC246" s="48" t="n">
        <f aca="false">V_ImpA*(EC$238+EC$244)</f>
        <v>0</v>
      </c>
      <c r="ED246" s="48" t="n">
        <f aca="false">V_ImpA*(ED$238+ED$244)</f>
        <v>0</v>
      </c>
      <c r="EE246" s="48" t="n">
        <f aca="false">V_ImpA*(EE$238+EE$244)</f>
        <v>0</v>
      </c>
      <c r="EF246" s="48" t="n">
        <f aca="false">V_ImpA*(EF$238+EF$244)</f>
        <v>0</v>
      </c>
      <c r="EG246" s="48" t="n">
        <f aca="false">V_ImpA*(EG$238+EG$244)</f>
        <v>0</v>
      </c>
      <c r="EH246" s="48" t="n">
        <f aca="false">V_ImpA*(EH$238+EH$244)</f>
        <v>0</v>
      </c>
      <c r="EI246" s="48" t="n">
        <f aca="false">V_ImpA*(EI$238+EI$244)</f>
        <v>0</v>
      </c>
      <c r="EJ246" s="48" t="n">
        <f aca="false">V_ImpA*(EJ$238+EJ$244)</f>
        <v>0</v>
      </c>
      <c r="EK246" s="48" t="n">
        <f aca="false">V_ImpA*(EK$238+EK$244)</f>
        <v>0</v>
      </c>
      <c r="EL246" s="48" t="n">
        <f aca="false">V_ImpA*(EL$238+EL$244)</f>
        <v>0</v>
      </c>
      <c r="EM246" s="48" t="n">
        <f aca="false">V_ImpA*(EM$238+EM$244)</f>
        <v>0</v>
      </c>
      <c r="EN246" s="48" t="n">
        <f aca="false">V_ImpA*(EN$238+EN$244)</f>
        <v>0</v>
      </c>
      <c r="EO246" s="48" t="n">
        <f aca="false">V_ImpA*(EO$238+EO$244)</f>
        <v>0</v>
      </c>
      <c r="EP246" s="48" t="n">
        <f aca="false">V_ImpA*(EP$238+EP$244)</f>
        <v>0</v>
      </c>
      <c r="EQ246" s="48" t="n">
        <f aca="false">V_ImpA*(EQ$238+EQ$244)</f>
        <v>0</v>
      </c>
      <c r="ER246" s="48" t="n">
        <f aca="false">V_ImpA*(ER$238+ER$244)</f>
        <v>0</v>
      </c>
      <c r="ES246" s="48" t="n">
        <f aca="false">V_ImpA*(ES$238+ES$244)</f>
        <v>0</v>
      </c>
    </row>
    <row r="247" customFormat="false" ht="15" hidden="false" customHeight="false" outlineLevel="0" collapsed="false">
      <c r="A247" s="11" t="s">
        <v>1369</v>
      </c>
      <c r="B247" s="15" t="s">
        <v>1155</v>
      </c>
      <c r="C247" s="15" t="s">
        <v>508</v>
      </c>
      <c r="E247" s="54" t="n">
        <f aca="false">SUM(F247:ES247)</f>
        <v>212677.888986405</v>
      </c>
      <c r="F247" s="48" t="n">
        <f aca="false">SUMPRODUCT(((FC_Mon="PYG")*F$175+(FC_Mon&lt;&gt;"PYG"))*((1&gt;Corte)*(1&lt;=Corte+n_Ventana)*ISNUMBER(Detalle_24m!F$220:F$244)*Detalle_24m!F$220:F$244+(1-(1&gt;Corte)*(1&lt;=Corte+n_Ventana)*ISNUMBER(Detalle_24m!F$220:F$244))*FC_V*(1+FC_g)^(F$173-1)*((FC_Desde=0)*(F$172+F$171)+(FC_Desde&gt;=1)*(F$170&gt;=FC_Desde)*F$171))*FC_IVA/(1+FC_IVA))</f>
        <v>1546</v>
      </c>
      <c r="G247" s="48" t="n">
        <f aca="false">SUMPRODUCT(((FC_Mon="PYG")*G$175+(FC_Mon&lt;&gt;"PYG"))*((2&gt;Corte)*(2&lt;=Corte+n_Ventana)*ISNUMBER(Detalle_24m!G$220:G$244)*Detalle_24m!G$220:G$244+(1-(2&gt;Corte)*(2&lt;=Corte+n_Ventana)*ISNUMBER(Detalle_24m!G$220:G$244))*FC_V*(1+FC_g)^(G$173-1)*((FC_Desde=0)*(G$172+G$171)+(FC_Desde&gt;=1)*(G$170&gt;=FC_Desde)*G$171))*FC_IVA/(1+FC_IVA))</f>
        <v>1546</v>
      </c>
      <c r="H247" s="48" t="n">
        <f aca="false">SUMPRODUCT(((FC_Mon="PYG")*H$175+(FC_Mon&lt;&gt;"PYG"))*((3&gt;Corte)*(3&lt;=Corte+n_Ventana)*ISNUMBER(Detalle_24m!H$220:H$244)*Detalle_24m!H$220:H$244+(1-(3&gt;Corte)*(3&lt;=Corte+n_Ventana)*ISNUMBER(Detalle_24m!H$220:H$244))*FC_V*(1+FC_g)^(H$173-1)*((FC_Desde=0)*(H$172+H$171)+(FC_Desde&gt;=1)*(H$170&gt;=FC_Desde)*H$171))*FC_IVA/(1+FC_IVA))</f>
        <v>1546</v>
      </c>
      <c r="I247" s="48" t="n">
        <f aca="false">SUMPRODUCT(((FC_Mon="PYG")*I$175+(FC_Mon&lt;&gt;"PYG"))*((4&gt;Corte)*(4&lt;=Corte+n_Ventana)*ISNUMBER(Detalle_24m!I$220:I$244)*Detalle_24m!I$220:I$244+(1-(4&gt;Corte)*(4&lt;=Corte+n_Ventana)*ISNUMBER(Detalle_24m!I$220:I$244))*FC_V*(1+FC_g)^(I$173-1)*((FC_Desde=0)*(I$172+I$171)+(FC_Desde&gt;=1)*(I$170&gt;=FC_Desde)*I$171))*FC_IVA/(1+FC_IVA))</f>
        <v>1546</v>
      </c>
      <c r="J247" s="48" t="n">
        <f aca="false">SUMPRODUCT(((FC_Mon="PYG")*J$175+(FC_Mon&lt;&gt;"PYG"))*((5&gt;Corte)*(5&lt;=Corte+n_Ventana)*ISNUMBER(Detalle_24m!J$220:J$244)*Detalle_24m!J$220:J$244+(1-(5&gt;Corte)*(5&lt;=Corte+n_Ventana)*ISNUMBER(Detalle_24m!J$220:J$244))*FC_V*(1+FC_g)^(J$173-1)*((FC_Desde=0)*(J$172+J$171)+(FC_Desde&gt;=1)*(J$170&gt;=FC_Desde)*J$171))*FC_IVA/(1+FC_IVA))</f>
        <v>1546</v>
      </c>
      <c r="K247" s="48" t="n">
        <f aca="false">SUMPRODUCT(((FC_Mon="PYG")*K$175+(FC_Mon&lt;&gt;"PYG"))*((6&gt;Corte)*(6&lt;=Corte+n_Ventana)*ISNUMBER(Detalle_24m!K$220:K$244)*Detalle_24m!K$220:K$244+(1-(6&gt;Corte)*(6&lt;=Corte+n_Ventana)*ISNUMBER(Detalle_24m!K$220:K$244))*FC_V*(1+FC_g)^(K$173-1)*((FC_Desde=0)*(K$172+K$171)+(FC_Desde&gt;=1)*(K$170&gt;=FC_Desde)*K$171))*FC_IVA/(1+FC_IVA))</f>
        <v>1546</v>
      </c>
      <c r="L247" s="48" t="n">
        <f aca="false">SUMPRODUCT(((FC_Mon="PYG")*L$175+(FC_Mon&lt;&gt;"PYG"))*((7&gt;Corte)*(7&lt;=Corte+n_Ventana)*ISNUMBER(Detalle_24m!L$220:L$244)*Detalle_24m!L$220:L$244+(1-(7&gt;Corte)*(7&lt;=Corte+n_Ventana)*ISNUMBER(Detalle_24m!L$220:L$244))*FC_V*(1+FC_g)^(L$173-1)*((FC_Desde=0)*(L$172+L$171)+(FC_Desde&gt;=1)*(L$170&gt;=FC_Desde)*L$171))*FC_IVA/(1+FC_IVA))</f>
        <v>1546</v>
      </c>
      <c r="M247" s="48" t="n">
        <f aca="false">SUMPRODUCT(((FC_Mon="PYG")*M$175+(FC_Mon&lt;&gt;"PYG"))*((8&gt;Corte)*(8&lt;=Corte+n_Ventana)*ISNUMBER(Detalle_24m!M$220:M$244)*Detalle_24m!M$220:M$244+(1-(8&gt;Corte)*(8&lt;=Corte+n_Ventana)*ISNUMBER(Detalle_24m!M$220:M$244))*FC_V*(1+FC_g)^(M$173-1)*((FC_Desde=0)*(M$172+M$171)+(FC_Desde&gt;=1)*(M$170&gt;=FC_Desde)*M$171))*FC_IVA/(1+FC_IVA))</f>
        <v>1546</v>
      </c>
      <c r="N247" s="48" t="n">
        <f aca="false">SUMPRODUCT(((FC_Mon="PYG")*N$175+(FC_Mon&lt;&gt;"PYG"))*((9&gt;Corte)*(9&lt;=Corte+n_Ventana)*ISNUMBER(Detalle_24m!N$220:N$244)*Detalle_24m!N$220:N$244+(1-(9&gt;Corte)*(9&lt;=Corte+n_Ventana)*ISNUMBER(Detalle_24m!N$220:N$244))*FC_V*(1+FC_g)^(N$173-1)*((FC_Desde=0)*(N$172+N$171)+(FC_Desde&gt;=1)*(N$170&gt;=FC_Desde)*N$171))*FC_IVA/(1+FC_IVA))</f>
        <v>1546</v>
      </c>
      <c r="O247" s="48" t="n">
        <f aca="false">SUMPRODUCT(((FC_Mon="PYG")*O$175+(FC_Mon&lt;&gt;"PYG"))*((10&gt;Corte)*(10&lt;=Corte+n_Ventana)*ISNUMBER(Detalle_24m!O$220:O$244)*Detalle_24m!O$220:O$244+(1-(10&gt;Corte)*(10&lt;=Corte+n_Ventana)*ISNUMBER(Detalle_24m!O$220:O$244))*FC_V*(1+FC_g)^(O$173-1)*((FC_Desde=0)*(O$172+O$171)+(FC_Desde&gt;=1)*(O$170&gt;=FC_Desde)*O$171))*FC_IVA/(1+FC_IVA))</f>
        <v>1546</v>
      </c>
      <c r="P247" s="48" t="n">
        <f aca="false">SUMPRODUCT(((FC_Mon="PYG")*P$175+(FC_Mon&lt;&gt;"PYG"))*((11&gt;Corte)*(11&lt;=Corte+n_Ventana)*ISNUMBER(Detalle_24m!P$220:P$244)*Detalle_24m!P$220:P$244+(1-(11&gt;Corte)*(11&lt;=Corte+n_Ventana)*ISNUMBER(Detalle_24m!P$220:P$244))*FC_V*(1+FC_g)^(P$173-1)*((FC_Desde=0)*(P$172+P$171)+(FC_Desde&gt;=1)*(P$170&gt;=FC_Desde)*P$171))*FC_IVA/(1+FC_IVA))</f>
        <v>1546</v>
      </c>
      <c r="Q247" s="48" t="n">
        <f aca="false">SUMPRODUCT(((FC_Mon="PYG")*Q$175+(FC_Mon&lt;&gt;"PYG"))*((12&gt;Corte)*(12&lt;=Corte+n_Ventana)*ISNUMBER(Detalle_24m!Q$220:Q$244)*Detalle_24m!Q$220:Q$244+(1-(12&gt;Corte)*(12&lt;=Corte+n_Ventana)*ISNUMBER(Detalle_24m!Q$220:Q$244))*FC_V*(1+FC_g)^(Q$173-1)*((FC_Desde=0)*(Q$172+Q$171)+(FC_Desde&gt;=1)*(Q$170&gt;=FC_Desde)*Q$171))*FC_IVA/(1+FC_IVA))</f>
        <v>1546</v>
      </c>
      <c r="R247" s="48" t="n">
        <f aca="false">SUMPRODUCT(((FC_Mon="PYG")*R$175+(FC_Mon&lt;&gt;"PYG"))*((13&gt;Corte)*(13&lt;=Corte+n_Ventana)*ISNUMBER(Detalle_24m!R$220:R$244)*Detalle_24m!R$220:R$244+(1-(13&gt;Corte)*(13&lt;=Corte+n_Ventana)*ISNUMBER(Detalle_24m!R$220:R$244))*FC_V*(1+FC_g)^(R$173-1)*((FC_Desde=0)*(R$172+R$171)+(FC_Desde&gt;=1)*(R$170&gt;=FC_Desde)*R$171))*FC_IVA/(1+FC_IVA))</f>
        <v>1592.38</v>
      </c>
      <c r="S247" s="48" t="n">
        <f aca="false">SUMPRODUCT(((FC_Mon="PYG")*S$175+(FC_Mon&lt;&gt;"PYG"))*((14&gt;Corte)*(14&lt;=Corte+n_Ventana)*ISNUMBER(Detalle_24m!S$220:S$244)*Detalle_24m!S$220:S$244+(1-(14&gt;Corte)*(14&lt;=Corte+n_Ventana)*ISNUMBER(Detalle_24m!S$220:S$244))*FC_V*(1+FC_g)^(S$173-1)*((FC_Desde=0)*(S$172+S$171)+(FC_Desde&gt;=1)*(S$170&gt;=FC_Desde)*S$171))*FC_IVA/(1+FC_IVA))</f>
        <v>1592.38</v>
      </c>
      <c r="T247" s="48" t="n">
        <f aca="false">SUMPRODUCT(((FC_Mon="PYG")*T$175+(FC_Mon&lt;&gt;"PYG"))*((15&gt;Corte)*(15&lt;=Corte+n_Ventana)*ISNUMBER(Detalle_24m!T$220:T$244)*Detalle_24m!T$220:T$244+(1-(15&gt;Corte)*(15&lt;=Corte+n_Ventana)*ISNUMBER(Detalle_24m!T$220:T$244))*FC_V*(1+FC_g)^(T$173-1)*((FC_Desde=0)*(T$172+T$171)+(FC_Desde&gt;=1)*(T$170&gt;=FC_Desde)*T$171))*FC_IVA/(1+FC_IVA))</f>
        <v>1592.38</v>
      </c>
      <c r="U247" s="48" t="n">
        <f aca="false">SUMPRODUCT(((FC_Mon="PYG")*U$175+(FC_Mon&lt;&gt;"PYG"))*((16&gt;Corte)*(16&lt;=Corte+n_Ventana)*ISNUMBER(Detalle_24m!U$220:U$244)*Detalle_24m!U$220:U$244+(1-(16&gt;Corte)*(16&lt;=Corte+n_Ventana)*ISNUMBER(Detalle_24m!U$220:U$244))*FC_V*(1+FC_g)^(U$173-1)*((FC_Desde=0)*(U$172+U$171)+(FC_Desde&gt;=1)*(U$170&gt;=FC_Desde)*U$171))*FC_IVA/(1+FC_IVA))</f>
        <v>1592.38</v>
      </c>
      <c r="V247" s="48" t="n">
        <f aca="false">SUMPRODUCT(((FC_Mon="PYG")*V$175+(FC_Mon&lt;&gt;"PYG"))*((17&gt;Corte)*(17&lt;=Corte+n_Ventana)*ISNUMBER(Detalle_24m!V$220:V$244)*Detalle_24m!V$220:V$244+(1-(17&gt;Corte)*(17&lt;=Corte+n_Ventana)*ISNUMBER(Detalle_24m!V$220:V$244))*FC_V*(1+FC_g)^(V$173-1)*((FC_Desde=0)*(V$172+V$171)+(FC_Desde&gt;=1)*(V$170&gt;=FC_Desde)*V$171))*FC_IVA/(1+FC_IVA))</f>
        <v>1592.38</v>
      </c>
      <c r="W247" s="48" t="n">
        <f aca="false">SUMPRODUCT(((FC_Mon="PYG")*W$175+(FC_Mon&lt;&gt;"PYG"))*((18&gt;Corte)*(18&lt;=Corte+n_Ventana)*ISNUMBER(Detalle_24m!W$220:W$244)*Detalle_24m!W$220:W$244+(1-(18&gt;Corte)*(18&lt;=Corte+n_Ventana)*ISNUMBER(Detalle_24m!W$220:W$244))*FC_V*(1+FC_g)^(W$173-1)*((FC_Desde=0)*(W$172+W$171)+(FC_Desde&gt;=1)*(W$170&gt;=FC_Desde)*W$171))*FC_IVA/(1+FC_IVA))</f>
        <v>1592.38</v>
      </c>
      <c r="X247" s="48" t="n">
        <f aca="false">SUMPRODUCT(((FC_Mon="PYG")*X$175+(FC_Mon&lt;&gt;"PYG"))*((19&gt;Corte)*(19&lt;=Corte+n_Ventana)*ISNUMBER(Detalle_24m!X$220:X$244)*Detalle_24m!X$220:X$244+(1-(19&gt;Corte)*(19&lt;=Corte+n_Ventana)*ISNUMBER(Detalle_24m!X$220:X$244))*FC_V*(1+FC_g)^(X$173-1)*((FC_Desde=0)*(X$172+X$171)+(FC_Desde&gt;=1)*(X$170&gt;=FC_Desde)*X$171))*FC_IVA/(1+FC_IVA))</f>
        <v>1592.38</v>
      </c>
      <c r="Y247" s="48" t="n">
        <f aca="false">SUMPRODUCT(((FC_Mon="PYG")*Y$175+(FC_Mon&lt;&gt;"PYG"))*((20&gt;Corte)*(20&lt;=Corte+n_Ventana)*ISNUMBER(Detalle_24m!Y$220:Y$244)*Detalle_24m!Y$220:Y$244+(1-(20&gt;Corte)*(20&lt;=Corte+n_Ventana)*ISNUMBER(Detalle_24m!Y$220:Y$244))*FC_V*(1+FC_g)^(Y$173-1)*((FC_Desde=0)*(Y$172+Y$171)+(FC_Desde&gt;=1)*(Y$170&gt;=FC_Desde)*Y$171))*FC_IVA/(1+FC_IVA))</f>
        <v>1592.38</v>
      </c>
      <c r="Z247" s="48" t="n">
        <f aca="false">SUMPRODUCT(((FC_Mon="PYG")*Z$175+(FC_Mon&lt;&gt;"PYG"))*((21&gt;Corte)*(21&lt;=Corte+n_Ventana)*ISNUMBER(Detalle_24m!Z$220:Z$244)*Detalle_24m!Z$220:Z$244+(1-(21&gt;Corte)*(21&lt;=Corte+n_Ventana)*ISNUMBER(Detalle_24m!Z$220:Z$244))*FC_V*(1+FC_g)^(Z$173-1)*((FC_Desde=0)*(Z$172+Z$171)+(FC_Desde&gt;=1)*(Z$170&gt;=FC_Desde)*Z$171))*FC_IVA/(1+FC_IVA))</f>
        <v>1592.38</v>
      </c>
      <c r="AA247" s="48" t="n">
        <f aca="false">SUMPRODUCT(((FC_Mon="PYG")*AA$175+(FC_Mon&lt;&gt;"PYG"))*((22&gt;Corte)*(22&lt;=Corte+n_Ventana)*ISNUMBER(Detalle_24m!AA$220:AA$244)*Detalle_24m!AA$220:AA$244+(1-(22&gt;Corte)*(22&lt;=Corte+n_Ventana)*ISNUMBER(Detalle_24m!AA$220:AA$244))*FC_V*(1+FC_g)^(AA$173-1)*((FC_Desde=0)*(AA$172+AA$171)+(FC_Desde&gt;=1)*(AA$170&gt;=FC_Desde)*AA$171))*FC_IVA/(1+FC_IVA))</f>
        <v>1592.38</v>
      </c>
      <c r="AB247" s="48" t="n">
        <f aca="false">SUMPRODUCT(((FC_Mon="PYG")*AB$175+(FC_Mon&lt;&gt;"PYG"))*((23&gt;Corte)*(23&lt;=Corte+n_Ventana)*ISNUMBER(Detalle_24m!AB$220:AB$244)*Detalle_24m!AB$220:AB$244+(1-(23&gt;Corte)*(23&lt;=Corte+n_Ventana)*ISNUMBER(Detalle_24m!AB$220:AB$244))*FC_V*(1+FC_g)^(AB$173-1)*((FC_Desde=0)*(AB$172+AB$171)+(FC_Desde&gt;=1)*(AB$170&gt;=FC_Desde)*AB$171))*FC_IVA/(1+FC_IVA))</f>
        <v>1592.38</v>
      </c>
      <c r="AC247" s="48" t="n">
        <f aca="false">SUMPRODUCT(((FC_Mon="PYG")*AC$175+(FC_Mon&lt;&gt;"PYG"))*((24&gt;Corte)*(24&lt;=Corte+n_Ventana)*ISNUMBER(Detalle_24m!AC$220:AC$244)*Detalle_24m!AC$220:AC$244+(1-(24&gt;Corte)*(24&lt;=Corte+n_Ventana)*ISNUMBER(Detalle_24m!AC$220:AC$244))*FC_V*(1+FC_g)^(AC$173-1)*((FC_Desde=0)*(AC$172+AC$171)+(FC_Desde&gt;=1)*(AC$170&gt;=FC_Desde)*AC$171))*FC_IVA/(1+FC_IVA))</f>
        <v>1592.38</v>
      </c>
      <c r="AD247" s="48" t="n">
        <f aca="false">SUMPRODUCT(((FC_Mon="PYG")*AD$175+(FC_Mon&lt;&gt;"PYG"))*((25&gt;Corte)*(25&lt;=Corte+n_Ventana)*ISNUMBER(Detalle_24m!AD$220:AD$244)*Detalle_24m!AD$220:AD$244+(1-(25&gt;Corte)*(25&lt;=Corte+n_Ventana)*ISNUMBER(Detalle_24m!AD$220:AD$244))*FC_V*(1+FC_g)^(AD$173-1)*((FC_Desde=0)*(AD$172+AD$171)+(FC_Desde&gt;=1)*(AD$170&gt;=FC_Desde)*AD$171))*FC_IVA/(1+FC_IVA))</f>
        <v>1640.1514</v>
      </c>
      <c r="AE247" s="48" t="n">
        <f aca="false">SUMPRODUCT(((FC_Mon="PYG")*AE$175+(FC_Mon&lt;&gt;"PYG"))*((26&gt;Corte)*(26&lt;=Corte+n_Ventana)*ISNUMBER(Detalle_24m!AE$220:AE$244)*Detalle_24m!AE$220:AE$244+(1-(26&gt;Corte)*(26&lt;=Corte+n_Ventana)*ISNUMBER(Detalle_24m!AE$220:AE$244))*FC_V*(1+FC_g)^(AE$173-1)*((FC_Desde=0)*(AE$172+AE$171)+(FC_Desde&gt;=1)*(AE$170&gt;=FC_Desde)*AE$171))*FC_IVA/(1+FC_IVA))</f>
        <v>1640.1514</v>
      </c>
      <c r="AF247" s="48" t="n">
        <f aca="false">SUMPRODUCT(((FC_Mon="PYG")*AF$175+(FC_Mon&lt;&gt;"PYG"))*((27&gt;Corte)*(27&lt;=Corte+n_Ventana)*ISNUMBER(Detalle_24m!AF$220:AF$244)*Detalle_24m!AF$220:AF$244+(1-(27&gt;Corte)*(27&lt;=Corte+n_Ventana)*ISNUMBER(Detalle_24m!AF$220:AF$244))*FC_V*(1+FC_g)^(AF$173-1)*((FC_Desde=0)*(AF$172+AF$171)+(FC_Desde&gt;=1)*(AF$170&gt;=FC_Desde)*AF$171))*FC_IVA/(1+FC_IVA))</f>
        <v>1640.1514</v>
      </c>
      <c r="AG247" s="48" t="n">
        <f aca="false">SUMPRODUCT(((FC_Mon="PYG")*AG$175+(FC_Mon&lt;&gt;"PYG"))*((28&gt;Corte)*(28&lt;=Corte+n_Ventana)*ISNUMBER(Detalle_24m!AG$220:AG$244)*Detalle_24m!AG$220:AG$244+(1-(28&gt;Corte)*(28&lt;=Corte+n_Ventana)*ISNUMBER(Detalle_24m!AG$220:AG$244))*FC_V*(1+FC_g)^(AG$173-1)*((FC_Desde=0)*(AG$172+AG$171)+(FC_Desde&gt;=1)*(AG$170&gt;=FC_Desde)*AG$171))*FC_IVA/(1+FC_IVA))</f>
        <v>1640.1514</v>
      </c>
      <c r="AH247" s="48" t="n">
        <f aca="false">SUMPRODUCT(((FC_Mon="PYG")*AH$175+(FC_Mon&lt;&gt;"PYG"))*((29&gt;Corte)*(29&lt;=Corte+n_Ventana)*ISNUMBER(Detalle_24m!AH$220:AH$244)*Detalle_24m!AH$220:AH$244+(1-(29&gt;Corte)*(29&lt;=Corte+n_Ventana)*ISNUMBER(Detalle_24m!AH$220:AH$244))*FC_V*(1+FC_g)^(AH$173-1)*((FC_Desde=0)*(AH$172+AH$171)+(FC_Desde&gt;=1)*(AH$170&gt;=FC_Desde)*AH$171))*FC_IVA/(1+FC_IVA))</f>
        <v>1640.1514</v>
      </c>
      <c r="AI247" s="48" t="n">
        <f aca="false">SUMPRODUCT(((FC_Mon="PYG")*AI$175+(FC_Mon&lt;&gt;"PYG"))*((30&gt;Corte)*(30&lt;=Corte+n_Ventana)*ISNUMBER(Detalle_24m!AI$220:AI$244)*Detalle_24m!AI$220:AI$244+(1-(30&gt;Corte)*(30&lt;=Corte+n_Ventana)*ISNUMBER(Detalle_24m!AI$220:AI$244))*FC_V*(1+FC_g)^(AI$173-1)*((FC_Desde=0)*(AI$172+AI$171)+(FC_Desde&gt;=1)*(AI$170&gt;=FC_Desde)*AI$171))*FC_IVA/(1+FC_IVA))</f>
        <v>1640.1514</v>
      </c>
      <c r="AJ247" s="48" t="n">
        <f aca="false">SUMPRODUCT(((FC_Mon="PYG")*AJ$175+(FC_Mon&lt;&gt;"PYG"))*((31&gt;Corte)*(31&lt;=Corte+n_Ventana)*ISNUMBER(Detalle_24m!AJ$220:AJ$244)*Detalle_24m!AJ$220:AJ$244+(1-(31&gt;Corte)*(31&lt;=Corte+n_Ventana)*ISNUMBER(Detalle_24m!AJ$220:AJ$244))*FC_V*(1+FC_g)^(AJ$173-1)*((FC_Desde=0)*(AJ$172+AJ$171)+(FC_Desde&gt;=1)*(AJ$170&gt;=FC_Desde)*AJ$171))*FC_IVA/(1+FC_IVA))</f>
        <v>1640.1514</v>
      </c>
      <c r="AK247" s="48" t="n">
        <f aca="false">SUMPRODUCT(((FC_Mon="PYG")*AK$175+(FC_Mon&lt;&gt;"PYG"))*((32&gt;Corte)*(32&lt;=Corte+n_Ventana)*ISNUMBER(Detalle_24m!AK$220:AK$244)*Detalle_24m!AK$220:AK$244+(1-(32&gt;Corte)*(32&lt;=Corte+n_Ventana)*ISNUMBER(Detalle_24m!AK$220:AK$244))*FC_V*(1+FC_g)^(AK$173-1)*((FC_Desde=0)*(AK$172+AK$171)+(FC_Desde&gt;=1)*(AK$170&gt;=FC_Desde)*AK$171))*FC_IVA/(1+FC_IVA))</f>
        <v>1640.1514</v>
      </c>
      <c r="AL247" s="48" t="n">
        <f aca="false">SUMPRODUCT(((FC_Mon="PYG")*AL$175+(FC_Mon&lt;&gt;"PYG"))*((33&gt;Corte)*(33&lt;=Corte+n_Ventana)*ISNUMBER(Detalle_24m!AL$220:AL$244)*Detalle_24m!AL$220:AL$244+(1-(33&gt;Corte)*(33&lt;=Corte+n_Ventana)*ISNUMBER(Detalle_24m!AL$220:AL$244))*FC_V*(1+FC_g)^(AL$173-1)*((FC_Desde=0)*(AL$172+AL$171)+(FC_Desde&gt;=1)*(AL$170&gt;=FC_Desde)*AL$171))*FC_IVA/(1+FC_IVA))</f>
        <v>1640.1514</v>
      </c>
      <c r="AM247" s="48" t="n">
        <f aca="false">SUMPRODUCT(((FC_Mon="PYG")*AM$175+(FC_Mon&lt;&gt;"PYG"))*((34&gt;Corte)*(34&lt;=Corte+n_Ventana)*ISNUMBER(Detalle_24m!AM$220:AM$244)*Detalle_24m!AM$220:AM$244+(1-(34&gt;Corte)*(34&lt;=Corte+n_Ventana)*ISNUMBER(Detalle_24m!AM$220:AM$244))*FC_V*(1+FC_g)^(AM$173-1)*((FC_Desde=0)*(AM$172+AM$171)+(FC_Desde&gt;=1)*(AM$170&gt;=FC_Desde)*AM$171))*FC_IVA/(1+FC_IVA))</f>
        <v>1640.1514</v>
      </c>
      <c r="AN247" s="48" t="n">
        <f aca="false">SUMPRODUCT(((FC_Mon="PYG")*AN$175+(FC_Mon&lt;&gt;"PYG"))*((35&gt;Corte)*(35&lt;=Corte+n_Ventana)*ISNUMBER(Detalle_24m!AN$220:AN$244)*Detalle_24m!AN$220:AN$244+(1-(35&gt;Corte)*(35&lt;=Corte+n_Ventana)*ISNUMBER(Detalle_24m!AN$220:AN$244))*FC_V*(1+FC_g)^(AN$173-1)*((FC_Desde=0)*(AN$172+AN$171)+(FC_Desde&gt;=1)*(AN$170&gt;=FC_Desde)*AN$171))*FC_IVA/(1+FC_IVA))</f>
        <v>1640.1514</v>
      </c>
      <c r="AO247" s="48" t="n">
        <f aca="false">SUMPRODUCT(((FC_Mon="PYG")*AO$175+(FC_Mon&lt;&gt;"PYG"))*((36&gt;Corte)*(36&lt;=Corte+n_Ventana)*ISNUMBER(Detalle_24m!AO$220:AO$244)*Detalle_24m!AO$220:AO$244+(1-(36&gt;Corte)*(36&lt;=Corte+n_Ventana)*ISNUMBER(Detalle_24m!AO$220:AO$244))*FC_V*(1+FC_g)^(AO$173-1)*((FC_Desde=0)*(AO$172+AO$171)+(FC_Desde&gt;=1)*(AO$170&gt;=FC_Desde)*AO$171))*FC_IVA/(1+FC_IVA))</f>
        <v>1640.1514</v>
      </c>
      <c r="AP247" s="48" t="n">
        <f aca="false">SUMPRODUCT(((FC_Mon="PYG")*AP$175+(FC_Mon&lt;&gt;"PYG"))*((37&gt;Corte)*(37&lt;=Corte+n_Ventana)*ISNUMBER(Detalle_24m!AP$220:AP$244)*Detalle_24m!AP$220:AP$244+(1-(37&gt;Corte)*(37&lt;=Corte+n_Ventana)*ISNUMBER(Detalle_24m!AP$220:AP$244))*FC_V*(1+FC_g)^(AP$173-1)*((FC_Desde=0)*(AP$172+AP$171)+(FC_Desde&gt;=1)*(AP$170&gt;=FC_Desde)*AP$171))*FC_IVA/(1+FC_IVA))</f>
        <v>1689.355942</v>
      </c>
      <c r="AQ247" s="48" t="n">
        <f aca="false">SUMPRODUCT(((FC_Mon="PYG")*AQ$175+(FC_Mon&lt;&gt;"PYG"))*((38&gt;Corte)*(38&lt;=Corte+n_Ventana)*ISNUMBER(Detalle_24m!AQ$220:AQ$244)*Detalle_24m!AQ$220:AQ$244+(1-(38&gt;Corte)*(38&lt;=Corte+n_Ventana)*ISNUMBER(Detalle_24m!AQ$220:AQ$244))*FC_V*(1+FC_g)^(AQ$173-1)*((FC_Desde=0)*(AQ$172+AQ$171)+(FC_Desde&gt;=1)*(AQ$170&gt;=FC_Desde)*AQ$171))*FC_IVA/(1+FC_IVA))</f>
        <v>1689.355942</v>
      </c>
      <c r="AR247" s="48" t="n">
        <f aca="false">SUMPRODUCT(((FC_Mon="PYG")*AR$175+(FC_Mon&lt;&gt;"PYG"))*((39&gt;Corte)*(39&lt;=Corte+n_Ventana)*ISNUMBER(Detalle_24m!AR$220:AR$244)*Detalle_24m!AR$220:AR$244+(1-(39&gt;Corte)*(39&lt;=Corte+n_Ventana)*ISNUMBER(Detalle_24m!AR$220:AR$244))*FC_V*(1+FC_g)^(AR$173-1)*((FC_Desde=0)*(AR$172+AR$171)+(FC_Desde&gt;=1)*(AR$170&gt;=FC_Desde)*AR$171))*FC_IVA/(1+FC_IVA))</f>
        <v>1689.355942</v>
      </c>
      <c r="AS247" s="48" t="n">
        <f aca="false">SUMPRODUCT(((FC_Mon="PYG")*AS$175+(FC_Mon&lt;&gt;"PYG"))*((40&gt;Corte)*(40&lt;=Corte+n_Ventana)*ISNUMBER(Detalle_24m!AS$220:AS$244)*Detalle_24m!AS$220:AS$244+(1-(40&gt;Corte)*(40&lt;=Corte+n_Ventana)*ISNUMBER(Detalle_24m!AS$220:AS$244))*FC_V*(1+FC_g)^(AS$173-1)*((FC_Desde=0)*(AS$172+AS$171)+(FC_Desde&gt;=1)*(AS$170&gt;=FC_Desde)*AS$171))*FC_IVA/(1+FC_IVA))</f>
        <v>1689.355942</v>
      </c>
      <c r="AT247" s="48" t="n">
        <f aca="false">SUMPRODUCT(((FC_Mon="PYG")*AT$175+(FC_Mon&lt;&gt;"PYG"))*((41&gt;Corte)*(41&lt;=Corte+n_Ventana)*ISNUMBER(Detalle_24m!AT$220:AT$244)*Detalle_24m!AT$220:AT$244+(1-(41&gt;Corte)*(41&lt;=Corte+n_Ventana)*ISNUMBER(Detalle_24m!AT$220:AT$244))*FC_V*(1+FC_g)^(AT$173-1)*((FC_Desde=0)*(AT$172+AT$171)+(FC_Desde&gt;=1)*(AT$170&gt;=FC_Desde)*AT$171))*FC_IVA/(1+FC_IVA))</f>
        <v>1689.355942</v>
      </c>
      <c r="AU247" s="48" t="n">
        <f aca="false">SUMPRODUCT(((FC_Mon="PYG")*AU$175+(FC_Mon&lt;&gt;"PYG"))*((42&gt;Corte)*(42&lt;=Corte+n_Ventana)*ISNUMBER(Detalle_24m!AU$220:AU$244)*Detalle_24m!AU$220:AU$244+(1-(42&gt;Corte)*(42&lt;=Corte+n_Ventana)*ISNUMBER(Detalle_24m!AU$220:AU$244))*FC_V*(1+FC_g)^(AU$173-1)*((FC_Desde=0)*(AU$172+AU$171)+(FC_Desde&gt;=1)*(AU$170&gt;=FC_Desde)*AU$171))*FC_IVA/(1+FC_IVA))</f>
        <v>1689.355942</v>
      </c>
      <c r="AV247" s="48" t="n">
        <f aca="false">SUMPRODUCT(((FC_Mon="PYG")*AV$175+(FC_Mon&lt;&gt;"PYG"))*((43&gt;Corte)*(43&lt;=Corte+n_Ventana)*ISNUMBER(Detalle_24m!AV$220:AV$244)*Detalle_24m!AV$220:AV$244+(1-(43&gt;Corte)*(43&lt;=Corte+n_Ventana)*ISNUMBER(Detalle_24m!AV$220:AV$244))*FC_V*(1+FC_g)^(AV$173-1)*((FC_Desde=0)*(AV$172+AV$171)+(FC_Desde&gt;=1)*(AV$170&gt;=FC_Desde)*AV$171))*FC_IVA/(1+FC_IVA))</f>
        <v>1689.355942</v>
      </c>
      <c r="AW247" s="48" t="n">
        <f aca="false">SUMPRODUCT(((FC_Mon="PYG")*AW$175+(FC_Mon&lt;&gt;"PYG"))*((44&gt;Corte)*(44&lt;=Corte+n_Ventana)*ISNUMBER(Detalle_24m!AW$220:AW$244)*Detalle_24m!AW$220:AW$244+(1-(44&gt;Corte)*(44&lt;=Corte+n_Ventana)*ISNUMBER(Detalle_24m!AW$220:AW$244))*FC_V*(1+FC_g)^(AW$173-1)*((FC_Desde=0)*(AW$172+AW$171)+(FC_Desde&gt;=1)*(AW$170&gt;=FC_Desde)*AW$171))*FC_IVA/(1+FC_IVA))</f>
        <v>1689.355942</v>
      </c>
      <c r="AX247" s="48" t="n">
        <f aca="false">SUMPRODUCT(((FC_Mon="PYG")*AX$175+(FC_Mon&lt;&gt;"PYG"))*((45&gt;Corte)*(45&lt;=Corte+n_Ventana)*ISNUMBER(Detalle_24m!AX$220:AX$244)*Detalle_24m!AX$220:AX$244+(1-(45&gt;Corte)*(45&lt;=Corte+n_Ventana)*ISNUMBER(Detalle_24m!AX$220:AX$244))*FC_V*(1+FC_g)^(AX$173-1)*((FC_Desde=0)*(AX$172+AX$171)+(FC_Desde&gt;=1)*(AX$170&gt;=FC_Desde)*AX$171))*FC_IVA/(1+FC_IVA))</f>
        <v>1689.355942</v>
      </c>
      <c r="AY247" s="48" t="n">
        <f aca="false">SUMPRODUCT(((FC_Mon="PYG")*AY$175+(FC_Mon&lt;&gt;"PYG"))*((46&gt;Corte)*(46&lt;=Corte+n_Ventana)*ISNUMBER(Detalle_24m!AY$220:AY$244)*Detalle_24m!AY$220:AY$244+(1-(46&gt;Corte)*(46&lt;=Corte+n_Ventana)*ISNUMBER(Detalle_24m!AY$220:AY$244))*FC_V*(1+FC_g)^(AY$173-1)*((FC_Desde=0)*(AY$172+AY$171)+(FC_Desde&gt;=1)*(AY$170&gt;=FC_Desde)*AY$171))*FC_IVA/(1+FC_IVA))</f>
        <v>1689.355942</v>
      </c>
      <c r="AZ247" s="48" t="n">
        <f aca="false">SUMPRODUCT(((FC_Mon="PYG")*AZ$175+(FC_Mon&lt;&gt;"PYG"))*((47&gt;Corte)*(47&lt;=Corte+n_Ventana)*ISNUMBER(Detalle_24m!AZ$220:AZ$244)*Detalle_24m!AZ$220:AZ$244+(1-(47&gt;Corte)*(47&lt;=Corte+n_Ventana)*ISNUMBER(Detalle_24m!AZ$220:AZ$244))*FC_V*(1+FC_g)^(AZ$173-1)*((FC_Desde=0)*(AZ$172+AZ$171)+(FC_Desde&gt;=1)*(AZ$170&gt;=FC_Desde)*AZ$171))*FC_IVA/(1+FC_IVA))</f>
        <v>1689.355942</v>
      </c>
      <c r="BA247" s="48" t="n">
        <f aca="false">SUMPRODUCT(((FC_Mon="PYG")*BA$175+(FC_Mon&lt;&gt;"PYG"))*((48&gt;Corte)*(48&lt;=Corte+n_Ventana)*ISNUMBER(Detalle_24m!BA$220:BA$244)*Detalle_24m!BA$220:BA$244+(1-(48&gt;Corte)*(48&lt;=Corte+n_Ventana)*ISNUMBER(Detalle_24m!BA$220:BA$244))*FC_V*(1+FC_g)^(BA$173-1)*((FC_Desde=0)*(BA$172+BA$171)+(FC_Desde&gt;=1)*(BA$170&gt;=FC_Desde)*BA$171))*FC_IVA/(1+FC_IVA))</f>
        <v>1689.355942</v>
      </c>
      <c r="BB247" s="48" t="n">
        <f aca="false">SUMPRODUCT(((FC_Mon="PYG")*BB$175+(FC_Mon&lt;&gt;"PYG"))*((49&gt;Corte)*(49&lt;=Corte+n_Ventana)*ISNUMBER(Detalle_24m!BB$220:BB$244)*Detalle_24m!BB$220:BB$244+(1-(49&gt;Corte)*(49&lt;=Corte+n_Ventana)*ISNUMBER(Detalle_24m!BB$220:BB$244))*FC_V*(1+FC_g)^(BB$173-1)*((FC_Desde=0)*(BB$172+BB$171)+(FC_Desde&gt;=1)*(BB$170&gt;=FC_Desde)*BB$171))*FC_IVA/(1+FC_IVA))</f>
        <v>1740.03662026</v>
      </c>
      <c r="BC247" s="48" t="n">
        <f aca="false">SUMPRODUCT(((FC_Mon="PYG")*BC$175+(FC_Mon&lt;&gt;"PYG"))*((50&gt;Corte)*(50&lt;=Corte+n_Ventana)*ISNUMBER(Detalle_24m!BC$220:BC$244)*Detalle_24m!BC$220:BC$244+(1-(50&gt;Corte)*(50&lt;=Corte+n_Ventana)*ISNUMBER(Detalle_24m!BC$220:BC$244))*FC_V*(1+FC_g)^(BC$173-1)*((FC_Desde=0)*(BC$172+BC$171)+(FC_Desde&gt;=1)*(BC$170&gt;=FC_Desde)*BC$171))*FC_IVA/(1+FC_IVA))</f>
        <v>1740.03662026</v>
      </c>
      <c r="BD247" s="48" t="n">
        <f aca="false">SUMPRODUCT(((FC_Mon="PYG")*BD$175+(FC_Mon&lt;&gt;"PYG"))*((51&gt;Corte)*(51&lt;=Corte+n_Ventana)*ISNUMBER(Detalle_24m!BD$220:BD$244)*Detalle_24m!BD$220:BD$244+(1-(51&gt;Corte)*(51&lt;=Corte+n_Ventana)*ISNUMBER(Detalle_24m!BD$220:BD$244))*FC_V*(1+FC_g)^(BD$173-1)*((FC_Desde=0)*(BD$172+BD$171)+(FC_Desde&gt;=1)*(BD$170&gt;=FC_Desde)*BD$171))*FC_IVA/(1+FC_IVA))</f>
        <v>1740.03662026</v>
      </c>
      <c r="BE247" s="48" t="n">
        <f aca="false">SUMPRODUCT(((FC_Mon="PYG")*BE$175+(FC_Mon&lt;&gt;"PYG"))*((52&gt;Corte)*(52&lt;=Corte+n_Ventana)*ISNUMBER(Detalle_24m!BE$220:BE$244)*Detalle_24m!BE$220:BE$244+(1-(52&gt;Corte)*(52&lt;=Corte+n_Ventana)*ISNUMBER(Detalle_24m!BE$220:BE$244))*FC_V*(1+FC_g)^(BE$173-1)*((FC_Desde=0)*(BE$172+BE$171)+(FC_Desde&gt;=1)*(BE$170&gt;=FC_Desde)*BE$171))*FC_IVA/(1+FC_IVA))</f>
        <v>1740.03662026</v>
      </c>
      <c r="BF247" s="48" t="n">
        <f aca="false">SUMPRODUCT(((FC_Mon="PYG")*BF$175+(FC_Mon&lt;&gt;"PYG"))*((53&gt;Corte)*(53&lt;=Corte+n_Ventana)*ISNUMBER(Detalle_24m!BF$220:BF$244)*Detalle_24m!BF$220:BF$244+(1-(53&gt;Corte)*(53&lt;=Corte+n_Ventana)*ISNUMBER(Detalle_24m!BF$220:BF$244))*FC_V*(1+FC_g)^(BF$173-1)*((FC_Desde=0)*(BF$172+BF$171)+(FC_Desde&gt;=1)*(BF$170&gt;=FC_Desde)*BF$171))*FC_IVA/(1+FC_IVA))</f>
        <v>1740.03662026</v>
      </c>
      <c r="BG247" s="48" t="n">
        <f aca="false">SUMPRODUCT(((FC_Mon="PYG")*BG$175+(FC_Mon&lt;&gt;"PYG"))*((54&gt;Corte)*(54&lt;=Corte+n_Ventana)*ISNUMBER(Detalle_24m!BG$220:BG$244)*Detalle_24m!BG$220:BG$244+(1-(54&gt;Corte)*(54&lt;=Corte+n_Ventana)*ISNUMBER(Detalle_24m!BG$220:BG$244))*FC_V*(1+FC_g)^(BG$173-1)*((FC_Desde=0)*(BG$172+BG$171)+(FC_Desde&gt;=1)*(BG$170&gt;=FC_Desde)*BG$171))*FC_IVA/(1+FC_IVA))</f>
        <v>1740.03662026</v>
      </c>
      <c r="BH247" s="48" t="n">
        <f aca="false">SUMPRODUCT(((FC_Mon="PYG")*BH$175+(FC_Mon&lt;&gt;"PYG"))*((55&gt;Corte)*(55&lt;=Corte+n_Ventana)*ISNUMBER(Detalle_24m!BH$220:BH$244)*Detalle_24m!BH$220:BH$244+(1-(55&gt;Corte)*(55&lt;=Corte+n_Ventana)*ISNUMBER(Detalle_24m!BH$220:BH$244))*FC_V*(1+FC_g)^(BH$173-1)*((FC_Desde=0)*(BH$172+BH$171)+(FC_Desde&gt;=1)*(BH$170&gt;=FC_Desde)*BH$171))*FC_IVA/(1+FC_IVA))</f>
        <v>1740.03662026</v>
      </c>
      <c r="BI247" s="48" t="n">
        <f aca="false">SUMPRODUCT(((FC_Mon="PYG")*BI$175+(FC_Mon&lt;&gt;"PYG"))*((56&gt;Corte)*(56&lt;=Corte+n_Ventana)*ISNUMBER(Detalle_24m!BI$220:BI$244)*Detalle_24m!BI$220:BI$244+(1-(56&gt;Corte)*(56&lt;=Corte+n_Ventana)*ISNUMBER(Detalle_24m!BI$220:BI$244))*FC_V*(1+FC_g)^(BI$173-1)*((FC_Desde=0)*(BI$172+BI$171)+(FC_Desde&gt;=1)*(BI$170&gt;=FC_Desde)*BI$171))*FC_IVA/(1+FC_IVA))</f>
        <v>1740.03662026</v>
      </c>
      <c r="BJ247" s="48" t="n">
        <f aca="false">SUMPRODUCT(((FC_Mon="PYG")*BJ$175+(FC_Mon&lt;&gt;"PYG"))*((57&gt;Corte)*(57&lt;=Corte+n_Ventana)*ISNUMBER(Detalle_24m!BJ$220:BJ$244)*Detalle_24m!BJ$220:BJ$244+(1-(57&gt;Corte)*(57&lt;=Corte+n_Ventana)*ISNUMBER(Detalle_24m!BJ$220:BJ$244))*FC_V*(1+FC_g)^(BJ$173-1)*((FC_Desde=0)*(BJ$172+BJ$171)+(FC_Desde&gt;=1)*(BJ$170&gt;=FC_Desde)*BJ$171))*FC_IVA/(1+FC_IVA))</f>
        <v>1740.03662026</v>
      </c>
      <c r="BK247" s="48" t="n">
        <f aca="false">SUMPRODUCT(((FC_Mon="PYG")*BK$175+(FC_Mon&lt;&gt;"PYG"))*((58&gt;Corte)*(58&lt;=Corte+n_Ventana)*ISNUMBER(Detalle_24m!BK$220:BK$244)*Detalle_24m!BK$220:BK$244+(1-(58&gt;Corte)*(58&lt;=Corte+n_Ventana)*ISNUMBER(Detalle_24m!BK$220:BK$244))*FC_V*(1+FC_g)^(BK$173-1)*((FC_Desde=0)*(BK$172+BK$171)+(FC_Desde&gt;=1)*(BK$170&gt;=FC_Desde)*BK$171))*FC_IVA/(1+FC_IVA))</f>
        <v>1740.03662026</v>
      </c>
      <c r="BL247" s="48" t="n">
        <f aca="false">SUMPRODUCT(((FC_Mon="PYG")*BL$175+(FC_Mon&lt;&gt;"PYG"))*((59&gt;Corte)*(59&lt;=Corte+n_Ventana)*ISNUMBER(Detalle_24m!BL$220:BL$244)*Detalle_24m!BL$220:BL$244+(1-(59&gt;Corte)*(59&lt;=Corte+n_Ventana)*ISNUMBER(Detalle_24m!BL$220:BL$244))*FC_V*(1+FC_g)^(BL$173-1)*((FC_Desde=0)*(BL$172+BL$171)+(FC_Desde&gt;=1)*(BL$170&gt;=FC_Desde)*BL$171))*FC_IVA/(1+FC_IVA))</f>
        <v>1740.03662026</v>
      </c>
      <c r="BM247" s="48" t="n">
        <f aca="false">SUMPRODUCT(((FC_Mon="PYG")*BM$175+(FC_Mon&lt;&gt;"PYG"))*((60&gt;Corte)*(60&lt;=Corte+n_Ventana)*ISNUMBER(Detalle_24m!BM$220:BM$244)*Detalle_24m!BM$220:BM$244+(1-(60&gt;Corte)*(60&lt;=Corte+n_Ventana)*ISNUMBER(Detalle_24m!BM$220:BM$244))*FC_V*(1+FC_g)^(BM$173-1)*((FC_Desde=0)*(BM$172+BM$171)+(FC_Desde&gt;=1)*(BM$170&gt;=FC_Desde)*BM$171))*FC_IVA/(1+FC_IVA))</f>
        <v>1740.03662026</v>
      </c>
      <c r="BN247" s="48" t="n">
        <f aca="false">SUMPRODUCT(((FC_Mon="PYG")*BN$175+(FC_Mon&lt;&gt;"PYG"))*((61&gt;Corte)*(61&lt;=Corte+n_Ventana)*ISNUMBER(Detalle_24m!BN$220:BN$244)*Detalle_24m!BN$220:BN$244+(1-(61&gt;Corte)*(61&lt;=Corte+n_Ventana)*ISNUMBER(Detalle_24m!BN$220:BN$244))*FC_V*(1+FC_g)^(BN$173-1)*((FC_Desde=0)*(BN$172+BN$171)+(FC_Desde&gt;=1)*(BN$170&gt;=FC_Desde)*BN$171))*FC_IVA/(1+FC_IVA))</f>
        <v>1792.2377188678</v>
      </c>
      <c r="BO247" s="48" t="n">
        <f aca="false">SUMPRODUCT(((FC_Mon="PYG")*BO$175+(FC_Mon&lt;&gt;"PYG"))*((62&gt;Corte)*(62&lt;=Corte+n_Ventana)*ISNUMBER(Detalle_24m!BO$220:BO$244)*Detalle_24m!BO$220:BO$244+(1-(62&gt;Corte)*(62&lt;=Corte+n_Ventana)*ISNUMBER(Detalle_24m!BO$220:BO$244))*FC_V*(1+FC_g)^(BO$173-1)*((FC_Desde=0)*(BO$172+BO$171)+(FC_Desde&gt;=1)*(BO$170&gt;=FC_Desde)*BO$171))*FC_IVA/(1+FC_IVA))</f>
        <v>1792.2377188678</v>
      </c>
      <c r="BP247" s="48" t="n">
        <f aca="false">SUMPRODUCT(((FC_Mon="PYG")*BP$175+(FC_Mon&lt;&gt;"PYG"))*((63&gt;Corte)*(63&lt;=Corte+n_Ventana)*ISNUMBER(Detalle_24m!BP$220:BP$244)*Detalle_24m!BP$220:BP$244+(1-(63&gt;Corte)*(63&lt;=Corte+n_Ventana)*ISNUMBER(Detalle_24m!BP$220:BP$244))*FC_V*(1+FC_g)^(BP$173-1)*((FC_Desde=0)*(BP$172+BP$171)+(FC_Desde&gt;=1)*(BP$170&gt;=FC_Desde)*BP$171))*FC_IVA/(1+FC_IVA))</f>
        <v>1792.2377188678</v>
      </c>
      <c r="BQ247" s="48" t="n">
        <f aca="false">SUMPRODUCT(((FC_Mon="PYG")*BQ$175+(FC_Mon&lt;&gt;"PYG"))*((64&gt;Corte)*(64&lt;=Corte+n_Ventana)*ISNUMBER(Detalle_24m!BQ$220:BQ$244)*Detalle_24m!BQ$220:BQ$244+(1-(64&gt;Corte)*(64&lt;=Corte+n_Ventana)*ISNUMBER(Detalle_24m!BQ$220:BQ$244))*FC_V*(1+FC_g)^(BQ$173-1)*((FC_Desde=0)*(BQ$172+BQ$171)+(FC_Desde&gt;=1)*(BQ$170&gt;=FC_Desde)*BQ$171))*FC_IVA/(1+FC_IVA))</f>
        <v>1792.2377188678</v>
      </c>
      <c r="BR247" s="48" t="n">
        <f aca="false">SUMPRODUCT(((FC_Mon="PYG")*BR$175+(FC_Mon&lt;&gt;"PYG"))*((65&gt;Corte)*(65&lt;=Corte+n_Ventana)*ISNUMBER(Detalle_24m!BR$220:BR$244)*Detalle_24m!BR$220:BR$244+(1-(65&gt;Corte)*(65&lt;=Corte+n_Ventana)*ISNUMBER(Detalle_24m!BR$220:BR$244))*FC_V*(1+FC_g)^(BR$173-1)*((FC_Desde=0)*(BR$172+BR$171)+(FC_Desde&gt;=1)*(BR$170&gt;=FC_Desde)*BR$171))*FC_IVA/(1+FC_IVA))</f>
        <v>1792.2377188678</v>
      </c>
      <c r="BS247" s="48" t="n">
        <f aca="false">SUMPRODUCT(((FC_Mon="PYG")*BS$175+(FC_Mon&lt;&gt;"PYG"))*((66&gt;Corte)*(66&lt;=Corte+n_Ventana)*ISNUMBER(Detalle_24m!BS$220:BS$244)*Detalle_24m!BS$220:BS$244+(1-(66&gt;Corte)*(66&lt;=Corte+n_Ventana)*ISNUMBER(Detalle_24m!BS$220:BS$244))*FC_V*(1+FC_g)^(BS$173-1)*((FC_Desde=0)*(BS$172+BS$171)+(FC_Desde&gt;=1)*(BS$170&gt;=FC_Desde)*BS$171))*FC_IVA/(1+FC_IVA))</f>
        <v>1792.2377188678</v>
      </c>
      <c r="BT247" s="48" t="n">
        <f aca="false">SUMPRODUCT(((FC_Mon="PYG")*BT$175+(FC_Mon&lt;&gt;"PYG"))*((67&gt;Corte)*(67&lt;=Corte+n_Ventana)*ISNUMBER(Detalle_24m!BT$220:BT$244)*Detalle_24m!BT$220:BT$244+(1-(67&gt;Corte)*(67&lt;=Corte+n_Ventana)*ISNUMBER(Detalle_24m!BT$220:BT$244))*FC_V*(1+FC_g)^(BT$173-1)*((FC_Desde=0)*(BT$172+BT$171)+(FC_Desde&gt;=1)*(BT$170&gt;=FC_Desde)*BT$171))*FC_IVA/(1+FC_IVA))</f>
        <v>1792.2377188678</v>
      </c>
      <c r="BU247" s="48" t="n">
        <f aca="false">SUMPRODUCT(((FC_Mon="PYG")*BU$175+(FC_Mon&lt;&gt;"PYG"))*((68&gt;Corte)*(68&lt;=Corte+n_Ventana)*ISNUMBER(Detalle_24m!BU$220:BU$244)*Detalle_24m!BU$220:BU$244+(1-(68&gt;Corte)*(68&lt;=Corte+n_Ventana)*ISNUMBER(Detalle_24m!BU$220:BU$244))*FC_V*(1+FC_g)^(BU$173-1)*((FC_Desde=0)*(BU$172+BU$171)+(FC_Desde&gt;=1)*(BU$170&gt;=FC_Desde)*BU$171))*FC_IVA/(1+FC_IVA))</f>
        <v>1792.2377188678</v>
      </c>
      <c r="BV247" s="48" t="n">
        <f aca="false">SUMPRODUCT(((FC_Mon="PYG")*BV$175+(FC_Mon&lt;&gt;"PYG"))*((69&gt;Corte)*(69&lt;=Corte+n_Ventana)*ISNUMBER(Detalle_24m!BV$220:BV$244)*Detalle_24m!BV$220:BV$244+(1-(69&gt;Corte)*(69&lt;=Corte+n_Ventana)*ISNUMBER(Detalle_24m!BV$220:BV$244))*FC_V*(1+FC_g)^(BV$173-1)*((FC_Desde=0)*(BV$172+BV$171)+(FC_Desde&gt;=1)*(BV$170&gt;=FC_Desde)*BV$171))*FC_IVA/(1+FC_IVA))</f>
        <v>1792.2377188678</v>
      </c>
      <c r="BW247" s="48" t="n">
        <f aca="false">SUMPRODUCT(((FC_Mon="PYG")*BW$175+(FC_Mon&lt;&gt;"PYG"))*((70&gt;Corte)*(70&lt;=Corte+n_Ventana)*ISNUMBER(Detalle_24m!BW$220:BW$244)*Detalle_24m!BW$220:BW$244+(1-(70&gt;Corte)*(70&lt;=Corte+n_Ventana)*ISNUMBER(Detalle_24m!BW$220:BW$244))*FC_V*(1+FC_g)^(BW$173-1)*((FC_Desde=0)*(BW$172+BW$171)+(FC_Desde&gt;=1)*(BW$170&gt;=FC_Desde)*BW$171))*FC_IVA/(1+FC_IVA))</f>
        <v>1792.2377188678</v>
      </c>
      <c r="BX247" s="48" t="n">
        <f aca="false">SUMPRODUCT(((FC_Mon="PYG")*BX$175+(FC_Mon&lt;&gt;"PYG"))*((71&gt;Corte)*(71&lt;=Corte+n_Ventana)*ISNUMBER(Detalle_24m!BX$220:BX$244)*Detalle_24m!BX$220:BX$244+(1-(71&gt;Corte)*(71&lt;=Corte+n_Ventana)*ISNUMBER(Detalle_24m!BX$220:BX$244))*FC_V*(1+FC_g)^(BX$173-1)*((FC_Desde=0)*(BX$172+BX$171)+(FC_Desde&gt;=1)*(BX$170&gt;=FC_Desde)*BX$171))*FC_IVA/(1+FC_IVA))</f>
        <v>1792.2377188678</v>
      </c>
      <c r="BY247" s="48" t="n">
        <f aca="false">SUMPRODUCT(((FC_Mon="PYG")*BY$175+(FC_Mon&lt;&gt;"PYG"))*((72&gt;Corte)*(72&lt;=Corte+n_Ventana)*ISNUMBER(Detalle_24m!BY$220:BY$244)*Detalle_24m!BY$220:BY$244+(1-(72&gt;Corte)*(72&lt;=Corte+n_Ventana)*ISNUMBER(Detalle_24m!BY$220:BY$244))*FC_V*(1+FC_g)^(BY$173-1)*((FC_Desde=0)*(BY$172+BY$171)+(FC_Desde&gt;=1)*(BY$170&gt;=FC_Desde)*BY$171))*FC_IVA/(1+FC_IVA))</f>
        <v>1792.2377188678</v>
      </c>
      <c r="BZ247" s="48" t="n">
        <f aca="false">SUMPRODUCT(((FC_Mon="PYG")*BZ$175+(FC_Mon&lt;&gt;"PYG"))*((73&gt;Corte)*(73&lt;=Corte+n_Ventana)*ISNUMBER(Detalle_24m!BZ$220:BZ$244)*Detalle_24m!BZ$220:BZ$244+(1-(73&gt;Corte)*(73&lt;=Corte+n_Ventana)*ISNUMBER(Detalle_24m!BZ$220:BZ$244))*FC_V*(1+FC_g)^(BZ$173-1)*((FC_Desde=0)*(BZ$172+BZ$171)+(FC_Desde&gt;=1)*(BZ$170&gt;=FC_Desde)*BZ$171))*FC_IVA/(1+FC_IVA))</f>
        <v>1846.00485043383</v>
      </c>
      <c r="CA247" s="48" t="n">
        <f aca="false">SUMPRODUCT(((FC_Mon="PYG")*CA$175+(FC_Mon&lt;&gt;"PYG"))*((74&gt;Corte)*(74&lt;=Corte+n_Ventana)*ISNUMBER(Detalle_24m!CA$220:CA$244)*Detalle_24m!CA$220:CA$244+(1-(74&gt;Corte)*(74&lt;=Corte+n_Ventana)*ISNUMBER(Detalle_24m!CA$220:CA$244))*FC_V*(1+FC_g)^(CA$173-1)*((FC_Desde=0)*(CA$172+CA$171)+(FC_Desde&gt;=1)*(CA$170&gt;=FC_Desde)*CA$171))*FC_IVA/(1+FC_IVA))</f>
        <v>1846.00485043383</v>
      </c>
      <c r="CB247" s="48" t="n">
        <f aca="false">SUMPRODUCT(((FC_Mon="PYG")*CB$175+(FC_Mon&lt;&gt;"PYG"))*((75&gt;Corte)*(75&lt;=Corte+n_Ventana)*ISNUMBER(Detalle_24m!CB$220:CB$244)*Detalle_24m!CB$220:CB$244+(1-(75&gt;Corte)*(75&lt;=Corte+n_Ventana)*ISNUMBER(Detalle_24m!CB$220:CB$244))*FC_V*(1+FC_g)^(CB$173-1)*((FC_Desde=0)*(CB$172+CB$171)+(FC_Desde&gt;=1)*(CB$170&gt;=FC_Desde)*CB$171))*FC_IVA/(1+FC_IVA))</f>
        <v>1846.00485043383</v>
      </c>
      <c r="CC247" s="48" t="n">
        <f aca="false">SUMPRODUCT(((FC_Mon="PYG")*CC$175+(FC_Mon&lt;&gt;"PYG"))*((76&gt;Corte)*(76&lt;=Corte+n_Ventana)*ISNUMBER(Detalle_24m!CC$220:CC$244)*Detalle_24m!CC$220:CC$244+(1-(76&gt;Corte)*(76&lt;=Corte+n_Ventana)*ISNUMBER(Detalle_24m!CC$220:CC$244))*FC_V*(1+FC_g)^(CC$173-1)*((FC_Desde=0)*(CC$172+CC$171)+(FC_Desde&gt;=1)*(CC$170&gt;=FC_Desde)*CC$171))*FC_IVA/(1+FC_IVA))</f>
        <v>1846.00485043383</v>
      </c>
      <c r="CD247" s="48" t="n">
        <f aca="false">SUMPRODUCT(((FC_Mon="PYG")*CD$175+(FC_Mon&lt;&gt;"PYG"))*((77&gt;Corte)*(77&lt;=Corte+n_Ventana)*ISNUMBER(Detalle_24m!CD$220:CD$244)*Detalle_24m!CD$220:CD$244+(1-(77&gt;Corte)*(77&lt;=Corte+n_Ventana)*ISNUMBER(Detalle_24m!CD$220:CD$244))*FC_V*(1+FC_g)^(CD$173-1)*((FC_Desde=0)*(CD$172+CD$171)+(FC_Desde&gt;=1)*(CD$170&gt;=FC_Desde)*CD$171))*FC_IVA/(1+FC_IVA))</f>
        <v>1846.00485043383</v>
      </c>
      <c r="CE247" s="48" t="n">
        <f aca="false">SUMPRODUCT(((FC_Mon="PYG")*CE$175+(FC_Mon&lt;&gt;"PYG"))*((78&gt;Corte)*(78&lt;=Corte+n_Ventana)*ISNUMBER(Detalle_24m!CE$220:CE$244)*Detalle_24m!CE$220:CE$244+(1-(78&gt;Corte)*(78&lt;=Corte+n_Ventana)*ISNUMBER(Detalle_24m!CE$220:CE$244))*FC_V*(1+FC_g)^(CE$173-1)*((FC_Desde=0)*(CE$172+CE$171)+(FC_Desde&gt;=1)*(CE$170&gt;=FC_Desde)*CE$171))*FC_IVA/(1+FC_IVA))</f>
        <v>1846.00485043383</v>
      </c>
      <c r="CF247" s="48" t="n">
        <f aca="false">SUMPRODUCT(((FC_Mon="PYG")*CF$175+(FC_Mon&lt;&gt;"PYG"))*((79&gt;Corte)*(79&lt;=Corte+n_Ventana)*ISNUMBER(Detalle_24m!CF$220:CF$244)*Detalle_24m!CF$220:CF$244+(1-(79&gt;Corte)*(79&lt;=Corte+n_Ventana)*ISNUMBER(Detalle_24m!CF$220:CF$244))*FC_V*(1+FC_g)^(CF$173-1)*((FC_Desde=0)*(CF$172+CF$171)+(FC_Desde&gt;=1)*(CF$170&gt;=FC_Desde)*CF$171))*FC_IVA/(1+FC_IVA))</f>
        <v>1846.00485043383</v>
      </c>
      <c r="CG247" s="48" t="n">
        <f aca="false">SUMPRODUCT(((FC_Mon="PYG")*CG$175+(FC_Mon&lt;&gt;"PYG"))*((80&gt;Corte)*(80&lt;=Corte+n_Ventana)*ISNUMBER(Detalle_24m!CG$220:CG$244)*Detalle_24m!CG$220:CG$244+(1-(80&gt;Corte)*(80&lt;=Corte+n_Ventana)*ISNUMBER(Detalle_24m!CG$220:CG$244))*FC_V*(1+FC_g)^(CG$173-1)*((FC_Desde=0)*(CG$172+CG$171)+(FC_Desde&gt;=1)*(CG$170&gt;=FC_Desde)*CG$171))*FC_IVA/(1+FC_IVA))</f>
        <v>1846.00485043383</v>
      </c>
      <c r="CH247" s="48" t="n">
        <f aca="false">SUMPRODUCT(((FC_Mon="PYG")*CH$175+(FC_Mon&lt;&gt;"PYG"))*((81&gt;Corte)*(81&lt;=Corte+n_Ventana)*ISNUMBER(Detalle_24m!CH$220:CH$244)*Detalle_24m!CH$220:CH$244+(1-(81&gt;Corte)*(81&lt;=Corte+n_Ventana)*ISNUMBER(Detalle_24m!CH$220:CH$244))*FC_V*(1+FC_g)^(CH$173-1)*((FC_Desde=0)*(CH$172+CH$171)+(FC_Desde&gt;=1)*(CH$170&gt;=FC_Desde)*CH$171))*FC_IVA/(1+FC_IVA))</f>
        <v>1846.00485043383</v>
      </c>
      <c r="CI247" s="48" t="n">
        <f aca="false">SUMPRODUCT(((FC_Mon="PYG")*CI$175+(FC_Mon&lt;&gt;"PYG"))*((82&gt;Corte)*(82&lt;=Corte+n_Ventana)*ISNUMBER(Detalle_24m!CI$220:CI$244)*Detalle_24m!CI$220:CI$244+(1-(82&gt;Corte)*(82&lt;=Corte+n_Ventana)*ISNUMBER(Detalle_24m!CI$220:CI$244))*FC_V*(1+FC_g)^(CI$173-1)*((FC_Desde=0)*(CI$172+CI$171)+(FC_Desde&gt;=1)*(CI$170&gt;=FC_Desde)*CI$171))*FC_IVA/(1+FC_IVA))</f>
        <v>1846.00485043383</v>
      </c>
      <c r="CJ247" s="48" t="n">
        <f aca="false">SUMPRODUCT(((FC_Mon="PYG")*CJ$175+(FC_Mon&lt;&gt;"PYG"))*((83&gt;Corte)*(83&lt;=Corte+n_Ventana)*ISNUMBER(Detalle_24m!CJ$220:CJ$244)*Detalle_24m!CJ$220:CJ$244+(1-(83&gt;Corte)*(83&lt;=Corte+n_Ventana)*ISNUMBER(Detalle_24m!CJ$220:CJ$244))*FC_V*(1+FC_g)^(CJ$173-1)*((FC_Desde=0)*(CJ$172+CJ$171)+(FC_Desde&gt;=1)*(CJ$170&gt;=FC_Desde)*CJ$171))*FC_IVA/(1+FC_IVA))</f>
        <v>1846.00485043383</v>
      </c>
      <c r="CK247" s="48" t="n">
        <f aca="false">SUMPRODUCT(((FC_Mon="PYG")*CK$175+(FC_Mon&lt;&gt;"PYG"))*((84&gt;Corte)*(84&lt;=Corte+n_Ventana)*ISNUMBER(Detalle_24m!CK$220:CK$244)*Detalle_24m!CK$220:CK$244+(1-(84&gt;Corte)*(84&lt;=Corte+n_Ventana)*ISNUMBER(Detalle_24m!CK$220:CK$244))*FC_V*(1+FC_g)^(CK$173-1)*((FC_Desde=0)*(CK$172+CK$171)+(FC_Desde&gt;=1)*(CK$170&gt;=FC_Desde)*CK$171))*FC_IVA/(1+FC_IVA))</f>
        <v>1846.00485043383</v>
      </c>
      <c r="CL247" s="48" t="n">
        <f aca="false">SUMPRODUCT(((FC_Mon="PYG")*CL$175+(FC_Mon&lt;&gt;"PYG"))*((85&gt;Corte)*(85&lt;=Corte+n_Ventana)*ISNUMBER(Detalle_24m!CL$220:CL$244)*Detalle_24m!CL$220:CL$244+(1-(85&gt;Corte)*(85&lt;=Corte+n_Ventana)*ISNUMBER(Detalle_24m!CL$220:CL$244))*FC_V*(1+FC_g)^(CL$173-1)*((FC_Desde=0)*(CL$172+CL$171)+(FC_Desde&gt;=1)*(CL$170&gt;=FC_Desde)*CL$171))*FC_IVA/(1+FC_IVA))</f>
        <v>1901.38499594685</v>
      </c>
      <c r="CM247" s="48" t="n">
        <f aca="false">SUMPRODUCT(((FC_Mon="PYG")*CM$175+(FC_Mon&lt;&gt;"PYG"))*((86&gt;Corte)*(86&lt;=Corte+n_Ventana)*ISNUMBER(Detalle_24m!CM$220:CM$244)*Detalle_24m!CM$220:CM$244+(1-(86&gt;Corte)*(86&lt;=Corte+n_Ventana)*ISNUMBER(Detalle_24m!CM$220:CM$244))*FC_V*(1+FC_g)^(CM$173-1)*((FC_Desde=0)*(CM$172+CM$171)+(FC_Desde&gt;=1)*(CM$170&gt;=FC_Desde)*CM$171))*FC_IVA/(1+FC_IVA))</f>
        <v>1901.38499594685</v>
      </c>
      <c r="CN247" s="48" t="n">
        <f aca="false">SUMPRODUCT(((FC_Mon="PYG")*CN$175+(FC_Mon&lt;&gt;"PYG"))*((87&gt;Corte)*(87&lt;=Corte+n_Ventana)*ISNUMBER(Detalle_24m!CN$220:CN$244)*Detalle_24m!CN$220:CN$244+(1-(87&gt;Corte)*(87&lt;=Corte+n_Ventana)*ISNUMBER(Detalle_24m!CN$220:CN$244))*FC_V*(1+FC_g)^(CN$173-1)*((FC_Desde=0)*(CN$172+CN$171)+(FC_Desde&gt;=1)*(CN$170&gt;=FC_Desde)*CN$171))*FC_IVA/(1+FC_IVA))</f>
        <v>1901.38499594685</v>
      </c>
      <c r="CO247" s="48" t="n">
        <f aca="false">SUMPRODUCT(((FC_Mon="PYG")*CO$175+(FC_Mon&lt;&gt;"PYG"))*((88&gt;Corte)*(88&lt;=Corte+n_Ventana)*ISNUMBER(Detalle_24m!CO$220:CO$244)*Detalle_24m!CO$220:CO$244+(1-(88&gt;Corte)*(88&lt;=Corte+n_Ventana)*ISNUMBER(Detalle_24m!CO$220:CO$244))*FC_V*(1+FC_g)^(CO$173-1)*((FC_Desde=0)*(CO$172+CO$171)+(FC_Desde&gt;=1)*(CO$170&gt;=FC_Desde)*CO$171))*FC_IVA/(1+FC_IVA))</f>
        <v>1901.38499594685</v>
      </c>
      <c r="CP247" s="48" t="n">
        <f aca="false">SUMPRODUCT(((FC_Mon="PYG")*CP$175+(FC_Mon&lt;&gt;"PYG"))*((89&gt;Corte)*(89&lt;=Corte+n_Ventana)*ISNUMBER(Detalle_24m!CP$220:CP$244)*Detalle_24m!CP$220:CP$244+(1-(89&gt;Corte)*(89&lt;=Corte+n_Ventana)*ISNUMBER(Detalle_24m!CP$220:CP$244))*FC_V*(1+FC_g)^(CP$173-1)*((FC_Desde=0)*(CP$172+CP$171)+(FC_Desde&gt;=1)*(CP$170&gt;=FC_Desde)*CP$171))*FC_IVA/(1+FC_IVA))</f>
        <v>1901.38499594685</v>
      </c>
      <c r="CQ247" s="48" t="n">
        <f aca="false">SUMPRODUCT(((FC_Mon="PYG")*CQ$175+(FC_Mon&lt;&gt;"PYG"))*((90&gt;Corte)*(90&lt;=Corte+n_Ventana)*ISNUMBER(Detalle_24m!CQ$220:CQ$244)*Detalle_24m!CQ$220:CQ$244+(1-(90&gt;Corte)*(90&lt;=Corte+n_Ventana)*ISNUMBER(Detalle_24m!CQ$220:CQ$244))*FC_V*(1+FC_g)^(CQ$173-1)*((FC_Desde=0)*(CQ$172+CQ$171)+(FC_Desde&gt;=1)*(CQ$170&gt;=FC_Desde)*CQ$171))*FC_IVA/(1+FC_IVA))</f>
        <v>1901.38499594685</v>
      </c>
      <c r="CR247" s="48" t="n">
        <f aca="false">SUMPRODUCT(((FC_Mon="PYG")*CR$175+(FC_Mon&lt;&gt;"PYG"))*((91&gt;Corte)*(91&lt;=Corte+n_Ventana)*ISNUMBER(Detalle_24m!CR$220:CR$244)*Detalle_24m!CR$220:CR$244+(1-(91&gt;Corte)*(91&lt;=Corte+n_Ventana)*ISNUMBER(Detalle_24m!CR$220:CR$244))*FC_V*(1+FC_g)^(CR$173-1)*((FC_Desde=0)*(CR$172+CR$171)+(FC_Desde&gt;=1)*(CR$170&gt;=FC_Desde)*CR$171))*FC_IVA/(1+FC_IVA))</f>
        <v>1901.38499594685</v>
      </c>
      <c r="CS247" s="48" t="n">
        <f aca="false">SUMPRODUCT(((FC_Mon="PYG")*CS$175+(FC_Mon&lt;&gt;"PYG"))*((92&gt;Corte)*(92&lt;=Corte+n_Ventana)*ISNUMBER(Detalle_24m!CS$220:CS$244)*Detalle_24m!CS$220:CS$244+(1-(92&gt;Corte)*(92&lt;=Corte+n_Ventana)*ISNUMBER(Detalle_24m!CS$220:CS$244))*FC_V*(1+FC_g)^(CS$173-1)*((FC_Desde=0)*(CS$172+CS$171)+(FC_Desde&gt;=1)*(CS$170&gt;=FC_Desde)*CS$171))*FC_IVA/(1+FC_IVA))</f>
        <v>1901.38499594685</v>
      </c>
      <c r="CT247" s="48" t="n">
        <f aca="false">SUMPRODUCT(((FC_Mon="PYG")*CT$175+(FC_Mon&lt;&gt;"PYG"))*((93&gt;Corte)*(93&lt;=Corte+n_Ventana)*ISNUMBER(Detalle_24m!CT$220:CT$244)*Detalle_24m!CT$220:CT$244+(1-(93&gt;Corte)*(93&lt;=Corte+n_Ventana)*ISNUMBER(Detalle_24m!CT$220:CT$244))*FC_V*(1+FC_g)^(CT$173-1)*((FC_Desde=0)*(CT$172+CT$171)+(FC_Desde&gt;=1)*(CT$170&gt;=FC_Desde)*CT$171))*FC_IVA/(1+FC_IVA))</f>
        <v>1901.38499594685</v>
      </c>
      <c r="CU247" s="48" t="n">
        <f aca="false">SUMPRODUCT(((FC_Mon="PYG")*CU$175+(FC_Mon&lt;&gt;"PYG"))*((94&gt;Corte)*(94&lt;=Corte+n_Ventana)*ISNUMBER(Detalle_24m!CU$220:CU$244)*Detalle_24m!CU$220:CU$244+(1-(94&gt;Corte)*(94&lt;=Corte+n_Ventana)*ISNUMBER(Detalle_24m!CU$220:CU$244))*FC_V*(1+FC_g)^(CU$173-1)*((FC_Desde=0)*(CU$172+CU$171)+(FC_Desde&gt;=1)*(CU$170&gt;=FC_Desde)*CU$171))*FC_IVA/(1+FC_IVA))</f>
        <v>1901.38499594685</v>
      </c>
      <c r="CV247" s="48" t="n">
        <f aca="false">SUMPRODUCT(((FC_Mon="PYG")*CV$175+(FC_Mon&lt;&gt;"PYG"))*((95&gt;Corte)*(95&lt;=Corte+n_Ventana)*ISNUMBER(Detalle_24m!CV$220:CV$244)*Detalle_24m!CV$220:CV$244+(1-(95&gt;Corte)*(95&lt;=Corte+n_Ventana)*ISNUMBER(Detalle_24m!CV$220:CV$244))*FC_V*(1+FC_g)^(CV$173-1)*((FC_Desde=0)*(CV$172+CV$171)+(FC_Desde&gt;=1)*(CV$170&gt;=FC_Desde)*CV$171))*FC_IVA/(1+FC_IVA))</f>
        <v>1901.38499594685</v>
      </c>
      <c r="CW247" s="48" t="n">
        <f aca="false">SUMPRODUCT(((FC_Mon="PYG")*CW$175+(FC_Mon&lt;&gt;"PYG"))*((96&gt;Corte)*(96&lt;=Corte+n_Ventana)*ISNUMBER(Detalle_24m!CW$220:CW$244)*Detalle_24m!CW$220:CW$244+(1-(96&gt;Corte)*(96&lt;=Corte+n_Ventana)*ISNUMBER(Detalle_24m!CW$220:CW$244))*FC_V*(1+FC_g)^(CW$173-1)*((FC_Desde=0)*(CW$172+CW$171)+(FC_Desde&gt;=1)*(CW$170&gt;=FC_Desde)*CW$171))*FC_IVA/(1+FC_IVA))</f>
        <v>1901.38499594685</v>
      </c>
      <c r="CX247" s="48" t="n">
        <f aca="false">SUMPRODUCT(((FC_Mon="PYG")*CX$175+(FC_Mon&lt;&gt;"PYG"))*((97&gt;Corte)*(97&lt;=Corte+n_Ventana)*ISNUMBER(Detalle_24m!CX$220:CX$244)*Detalle_24m!CX$220:CX$244+(1-(97&gt;Corte)*(97&lt;=Corte+n_Ventana)*ISNUMBER(Detalle_24m!CX$220:CX$244))*FC_V*(1+FC_g)^(CX$173-1)*((FC_Desde=0)*(CX$172+CX$171)+(FC_Desde&gt;=1)*(CX$170&gt;=FC_Desde)*CX$171))*FC_IVA/(1+FC_IVA))</f>
        <v>1958.42654582525</v>
      </c>
      <c r="CY247" s="48" t="n">
        <f aca="false">SUMPRODUCT(((FC_Mon="PYG")*CY$175+(FC_Mon&lt;&gt;"PYG"))*((98&gt;Corte)*(98&lt;=Corte+n_Ventana)*ISNUMBER(Detalle_24m!CY$220:CY$244)*Detalle_24m!CY$220:CY$244+(1-(98&gt;Corte)*(98&lt;=Corte+n_Ventana)*ISNUMBER(Detalle_24m!CY$220:CY$244))*FC_V*(1+FC_g)^(CY$173-1)*((FC_Desde=0)*(CY$172+CY$171)+(FC_Desde&gt;=1)*(CY$170&gt;=FC_Desde)*CY$171))*FC_IVA/(1+FC_IVA))</f>
        <v>1958.42654582525</v>
      </c>
      <c r="CZ247" s="48" t="n">
        <f aca="false">SUMPRODUCT(((FC_Mon="PYG")*CZ$175+(FC_Mon&lt;&gt;"PYG"))*((99&gt;Corte)*(99&lt;=Corte+n_Ventana)*ISNUMBER(Detalle_24m!CZ$220:CZ$244)*Detalle_24m!CZ$220:CZ$244+(1-(99&gt;Corte)*(99&lt;=Corte+n_Ventana)*ISNUMBER(Detalle_24m!CZ$220:CZ$244))*FC_V*(1+FC_g)^(CZ$173-1)*((FC_Desde=0)*(CZ$172+CZ$171)+(FC_Desde&gt;=1)*(CZ$170&gt;=FC_Desde)*CZ$171))*FC_IVA/(1+FC_IVA))</f>
        <v>1958.42654582525</v>
      </c>
      <c r="DA247" s="48" t="n">
        <f aca="false">SUMPRODUCT(((FC_Mon="PYG")*DA$175+(FC_Mon&lt;&gt;"PYG"))*((100&gt;Corte)*(100&lt;=Corte+n_Ventana)*ISNUMBER(Detalle_24m!DA$220:DA$244)*Detalle_24m!DA$220:DA$244+(1-(100&gt;Corte)*(100&lt;=Corte+n_Ventana)*ISNUMBER(Detalle_24m!DA$220:DA$244))*FC_V*(1+FC_g)^(DA$173-1)*((FC_Desde=0)*(DA$172+DA$171)+(FC_Desde&gt;=1)*(DA$170&gt;=FC_Desde)*DA$171))*FC_IVA/(1+FC_IVA))</f>
        <v>1958.42654582525</v>
      </c>
      <c r="DB247" s="48" t="n">
        <f aca="false">SUMPRODUCT(((FC_Mon="PYG")*DB$175+(FC_Mon&lt;&gt;"PYG"))*((101&gt;Corte)*(101&lt;=Corte+n_Ventana)*ISNUMBER(Detalle_24m!DB$220:DB$244)*Detalle_24m!DB$220:DB$244+(1-(101&gt;Corte)*(101&lt;=Corte+n_Ventana)*ISNUMBER(Detalle_24m!DB$220:DB$244))*FC_V*(1+FC_g)^(DB$173-1)*((FC_Desde=0)*(DB$172+DB$171)+(FC_Desde&gt;=1)*(DB$170&gt;=FC_Desde)*DB$171))*FC_IVA/(1+FC_IVA))</f>
        <v>1958.42654582525</v>
      </c>
      <c r="DC247" s="48" t="n">
        <f aca="false">SUMPRODUCT(((FC_Mon="PYG")*DC$175+(FC_Mon&lt;&gt;"PYG"))*((102&gt;Corte)*(102&lt;=Corte+n_Ventana)*ISNUMBER(Detalle_24m!DC$220:DC$244)*Detalle_24m!DC$220:DC$244+(1-(102&gt;Corte)*(102&lt;=Corte+n_Ventana)*ISNUMBER(Detalle_24m!DC$220:DC$244))*FC_V*(1+FC_g)^(DC$173-1)*((FC_Desde=0)*(DC$172+DC$171)+(FC_Desde&gt;=1)*(DC$170&gt;=FC_Desde)*DC$171))*FC_IVA/(1+FC_IVA))</f>
        <v>1958.42654582525</v>
      </c>
      <c r="DD247" s="48" t="n">
        <f aca="false">SUMPRODUCT(((FC_Mon="PYG")*DD$175+(FC_Mon&lt;&gt;"PYG"))*((103&gt;Corte)*(103&lt;=Corte+n_Ventana)*ISNUMBER(Detalle_24m!DD$220:DD$244)*Detalle_24m!DD$220:DD$244+(1-(103&gt;Corte)*(103&lt;=Corte+n_Ventana)*ISNUMBER(Detalle_24m!DD$220:DD$244))*FC_V*(1+FC_g)^(DD$173-1)*((FC_Desde=0)*(DD$172+DD$171)+(FC_Desde&gt;=1)*(DD$170&gt;=FC_Desde)*DD$171))*FC_IVA/(1+FC_IVA))</f>
        <v>1958.42654582525</v>
      </c>
      <c r="DE247" s="48" t="n">
        <f aca="false">SUMPRODUCT(((FC_Mon="PYG")*DE$175+(FC_Mon&lt;&gt;"PYG"))*((104&gt;Corte)*(104&lt;=Corte+n_Ventana)*ISNUMBER(Detalle_24m!DE$220:DE$244)*Detalle_24m!DE$220:DE$244+(1-(104&gt;Corte)*(104&lt;=Corte+n_Ventana)*ISNUMBER(Detalle_24m!DE$220:DE$244))*FC_V*(1+FC_g)^(DE$173-1)*((FC_Desde=0)*(DE$172+DE$171)+(FC_Desde&gt;=1)*(DE$170&gt;=FC_Desde)*DE$171))*FC_IVA/(1+FC_IVA))</f>
        <v>1958.42654582525</v>
      </c>
      <c r="DF247" s="48" t="n">
        <f aca="false">SUMPRODUCT(((FC_Mon="PYG")*DF$175+(FC_Mon&lt;&gt;"PYG"))*((105&gt;Corte)*(105&lt;=Corte+n_Ventana)*ISNUMBER(Detalle_24m!DF$220:DF$244)*Detalle_24m!DF$220:DF$244+(1-(105&gt;Corte)*(105&lt;=Corte+n_Ventana)*ISNUMBER(Detalle_24m!DF$220:DF$244))*FC_V*(1+FC_g)^(DF$173-1)*((FC_Desde=0)*(DF$172+DF$171)+(FC_Desde&gt;=1)*(DF$170&gt;=FC_Desde)*DF$171))*FC_IVA/(1+FC_IVA))</f>
        <v>1958.42654582525</v>
      </c>
      <c r="DG247" s="48" t="n">
        <f aca="false">SUMPRODUCT(((FC_Mon="PYG")*DG$175+(FC_Mon&lt;&gt;"PYG"))*((106&gt;Corte)*(106&lt;=Corte+n_Ventana)*ISNUMBER(Detalle_24m!DG$220:DG$244)*Detalle_24m!DG$220:DG$244+(1-(106&gt;Corte)*(106&lt;=Corte+n_Ventana)*ISNUMBER(Detalle_24m!DG$220:DG$244))*FC_V*(1+FC_g)^(DG$173-1)*((FC_Desde=0)*(DG$172+DG$171)+(FC_Desde&gt;=1)*(DG$170&gt;=FC_Desde)*DG$171))*FC_IVA/(1+FC_IVA))</f>
        <v>1958.42654582525</v>
      </c>
      <c r="DH247" s="48" t="n">
        <f aca="false">SUMPRODUCT(((FC_Mon="PYG")*DH$175+(FC_Mon&lt;&gt;"PYG"))*((107&gt;Corte)*(107&lt;=Corte+n_Ventana)*ISNUMBER(Detalle_24m!DH$220:DH$244)*Detalle_24m!DH$220:DH$244+(1-(107&gt;Corte)*(107&lt;=Corte+n_Ventana)*ISNUMBER(Detalle_24m!DH$220:DH$244))*FC_V*(1+FC_g)^(DH$173-1)*((FC_Desde=0)*(DH$172+DH$171)+(FC_Desde&gt;=1)*(DH$170&gt;=FC_Desde)*DH$171))*FC_IVA/(1+FC_IVA))</f>
        <v>1958.42654582525</v>
      </c>
      <c r="DI247" s="48" t="n">
        <f aca="false">SUMPRODUCT(((FC_Mon="PYG")*DI$175+(FC_Mon&lt;&gt;"PYG"))*((108&gt;Corte)*(108&lt;=Corte+n_Ventana)*ISNUMBER(Detalle_24m!DI$220:DI$244)*Detalle_24m!DI$220:DI$244+(1-(108&gt;Corte)*(108&lt;=Corte+n_Ventana)*ISNUMBER(Detalle_24m!DI$220:DI$244))*FC_V*(1+FC_g)^(DI$173-1)*((FC_Desde=0)*(DI$172+DI$171)+(FC_Desde&gt;=1)*(DI$170&gt;=FC_Desde)*DI$171))*FC_IVA/(1+FC_IVA))</f>
        <v>1958.42654582525</v>
      </c>
      <c r="DJ247" s="48" t="n">
        <f aca="false">SUMPRODUCT(((FC_Mon="PYG")*DJ$175+(FC_Mon&lt;&gt;"PYG"))*((109&gt;Corte)*(109&lt;=Corte+n_Ventana)*ISNUMBER(Detalle_24m!DJ$220:DJ$244)*Detalle_24m!DJ$220:DJ$244+(1-(109&gt;Corte)*(109&lt;=Corte+n_Ventana)*ISNUMBER(Detalle_24m!DJ$220:DJ$244))*FC_V*(1+FC_g)^(DJ$173-1)*((FC_Desde=0)*(DJ$172+DJ$171)+(FC_Desde&gt;=1)*(DJ$170&gt;=FC_Desde)*DJ$171))*FC_IVA/(1+FC_IVA))</f>
        <v>2017.17934220001</v>
      </c>
      <c r="DK247" s="48" t="n">
        <f aca="false">SUMPRODUCT(((FC_Mon="PYG")*DK$175+(FC_Mon&lt;&gt;"PYG"))*((110&gt;Corte)*(110&lt;=Corte+n_Ventana)*ISNUMBER(Detalle_24m!DK$220:DK$244)*Detalle_24m!DK$220:DK$244+(1-(110&gt;Corte)*(110&lt;=Corte+n_Ventana)*ISNUMBER(Detalle_24m!DK$220:DK$244))*FC_V*(1+FC_g)^(DK$173-1)*((FC_Desde=0)*(DK$172+DK$171)+(FC_Desde&gt;=1)*(DK$170&gt;=FC_Desde)*DK$171))*FC_IVA/(1+FC_IVA))</f>
        <v>2017.17934220001</v>
      </c>
      <c r="DL247" s="48" t="n">
        <f aca="false">SUMPRODUCT(((FC_Mon="PYG")*DL$175+(FC_Mon&lt;&gt;"PYG"))*((111&gt;Corte)*(111&lt;=Corte+n_Ventana)*ISNUMBER(Detalle_24m!DL$220:DL$244)*Detalle_24m!DL$220:DL$244+(1-(111&gt;Corte)*(111&lt;=Corte+n_Ventana)*ISNUMBER(Detalle_24m!DL$220:DL$244))*FC_V*(1+FC_g)^(DL$173-1)*((FC_Desde=0)*(DL$172+DL$171)+(FC_Desde&gt;=1)*(DL$170&gt;=FC_Desde)*DL$171))*FC_IVA/(1+FC_IVA))</f>
        <v>2017.17934220001</v>
      </c>
      <c r="DM247" s="48" t="n">
        <f aca="false">SUMPRODUCT(((FC_Mon="PYG")*DM$175+(FC_Mon&lt;&gt;"PYG"))*((112&gt;Corte)*(112&lt;=Corte+n_Ventana)*ISNUMBER(Detalle_24m!DM$220:DM$244)*Detalle_24m!DM$220:DM$244+(1-(112&gt;Corte)*(112&lt;=Corte+n_Ventana)*ISNUMBER(Detalle_24m!DM$220:DM$244))*FC_V*(1+FC_g)^(DM$173-1)*((FC_Desde=0)*(DM$172+DM$171)+(FC_Desde&gt;=1)*(DM$170&gt;=FC_Desde)*DM$171))*FC_IVA/(1+FC_IVA))</f>
        <v>2017.17934220001</v>
      </c>
      <c r="DN247" s="48" t="n">
        <f aca="false">SUMPRODUCT(((FC_Mon="PYG")*DN$175+(FC_Mon&lt;&gt;"PYG"))*((113&gt;Corte)*(113&lt;=Corte+n_Ventana)*ISNUMBER(Detalle_24m!DN$220:DN$244)*Detalle_24m!DN$220:DN$244+(1-(113&gt;Corte)*(113&lt;=Corte+n_Ventana)*ISNUMBER(Detalle_24m!DN$220:DN$244))*FC_V*(1+FC_g)^(DN$173-1)*((FC_Desde=0)*(DN$172+DN$171)+(FC_Desde&gt;=1)*(DN$170&gt;=FC_Desde)*DN$171))*FC_IVA/(1+FC_IVA))</f>
        <v>2017.17934220001</v>
      </c>
      <c r="DO247" s="48" t="n">
        <f aca="false">SUMPRODUCT(((FC_Mon="PYG")*DO$175+(FC_Mon&lt;&gt;"PYG"))*((114&gt;Corte)*(114&lt;=Corte+n_Ventana)*ISNUMBER(Detalle_24m!DO$220:DO$244)*Detalle_24m!DO$220:DO$244+(1-(114&gt;Corte)*(114&lt;=Corte+n_Ventana)*ISNUMBER(Detalle_24m!DO$220:DO$244))*FC_V*(1+FC_g)^(DO$173-1)*((FC_Desde=0)*(DO$172+DO$171)+(FC_Desde&gt;=1)*(DO$170&gt;=FC_Desde)*DO$171))*FC_IVA/(1+FC_IVA))</f>
        <v>2017.17934220001</v>
      </c>
      <c r="DP247" s="48" t="n">
        <f aca="false">SUMPRODUCT(((FC_Mon="PYG")*DP$175+(FC_Mon&lt;&gt;"PYG"))*((115&gt;Corte)*(115&lt;=Corte+n_Ventana)*ISNUMBER(Detalle_24m!DP$220:DP$244)*Detalle_24m!DP$220:DP$244+(1-(115&gt;Corte)*(115&lt;=Corte+n_Ventana)*ISNUMBER(Detalle_24m!DP$220:DP$244))*FC_V*(1+FC_g)^(DP$173-1)*((FC_Desde=0)*(DP$172+DP$171)+(FC_Desde&gt;=1)*(DP$170&gt;=FC_Desde)*DP$171))*FC_IVA/(1+FC_IVA))</f>
        <v>2017.17934220001</v>
      </c>
      <c r="DQ247" s="48" t="n">
        <f aca="false">SUMPRODUCT(((FC_Mon="PYG")*DQ$175+(FC_Mon&lt;&gt;"PYG"))*((116&gt;Corte)*(116&lt;=Corte+n_Ventana)*ISNUMBER(Detalle_24m!DQ$220:DQ$244)*Detalle_24m!DQ$220:DQ$244+(1-(116&gt;Corte)*(116&lt;=Corte+n_Ventana)*ISNUMBER(Detalle_24m!DQ$220:DQ$244))*FC_V*(1+FC_g)^(DQ$173-1)*((FC_Desde=0)*(DQ$172+DQ$171)+(FC_Desde&gt;=1)*(DQ$170&gt;=FC_Desde)*DQ$171))*FC_IVA/(1+FC_IVA))</f>
        <v>2017.17934220001</v>
      </c>
      <c r="DR247" s="48" t="n">
        <f aca="false">SUMPRODUCT(((FC_Mon="PYG")*DR$175+(FC_Mon&lt;&gt;"PYG"))*((117&gt;Corte)*(117&lt;=Corte+n_Ventana)*ISNUMBER(Detalle_24m!DR$220:DR$244)*Detalle_24m!DR$220:DR$244+(1-(117&gt;Corte)*(117&lt;=Corte+n_Ventana)*ISNUMBER(Detalle_24m!DR$220:DR$244))*FC_V*(1+FC_g)^(DR$173-1)*((FC_Desde=0)*(DR$172+DR$171)+(FC_Desde&gt;=1)*(DR$170&gt;=FC_Desde)*DR$171))*FC_IVA/(1+FC_IVA))</f>
        <v>2017.17934220001</v>
      </c>
      <c r="DS247" s="48" t="n">
        <f aca="false">SUMPRODUCT(((FC_Mon="PYG")*DS$175+(FC_Mon&lt;&gt;"PYG"))*((118&gt;Corte)*(118&lt;=Corte+n_Ventana)*ISNUMBER(Detalle_24m!DS$220:DS$244)*Detalle_24m!DS$220:DS$244+(1-(118&gt;Corte)*(118&lt;=Corte+n_Ventana)*ISNUMBER(Detalle_24m!DS$220:DS$244))*FC_V*(1+FC_g)^(DS$173-1)*((FC_Desde=0)*(DS$172+DS$171)+(FC_Desde&gt;=1)*(DS$170&gt;=FC_Desde)*DS$171))*FC_IVA/(1+FC_IVA))</f>
        <v>2017.17934220001</v>
      </c>
      <c r="DT247" s="48" t="n">
        <f aca="false">SUMPRODUCT(((FC_Mon="PYG")*DT$175+(FC_Mon&lt;&gt;"PYG"))*((119&gt;Corte)*(119&lt;=Corte+n_Ventana)*ISNUMBER(Detalle_24m!DT$220:DT$244)*Detalle_24m!DT$220:DT$244+(1-(119&gt;Corte)*(119&lt;=Corte+n_Ventana)*ISNUMBER(Detalle_24m!DT$220:DT$244))*FC_V*(1+FC_g)^(DT$173-1)*((FC_Desde=0)*(DT$172+DT$171)+(FC_Desde&gt;=1)*(DT$170&gt;=FC_Desde)*DT$171))*FC_IVA/(1+FC_IVA))</f>
        <v>2017.17934220001</v>
      </c>
      <c r="DU247" s="48" t="n">
        <f aca="false">SUMPRODUCT(((FC_Mon="PYG")*DU$175+(FC_Mon&lt;&gt;"PYG"))*((120&gt;Corte)*(120&lt;=Corte+n_Ventana)*ISNUMBER(Detalle_24m!DU$220:DU$244)*Detalle_24m!DU$220:DU$244+(1-(120&gt;Corte)*(120&lt;=Corte+n_Ventana)*ISNUMBER(Detalle_24m!DU$220:DU$244))*FC_V*(1+FC_g)^(DU$173-1)*((FC_Desde=0)*(DU$172+DU$171)+(FC_Desde&gt;=1)*(DU$170&gt;=FC_Desde)*DU$171))*FC_IVA/(1+FC_IVA))</f>
        <v>2017.17934220001</v>
      </c>
      <c r="DV247" s="48" t="n">
        <f aca="false">SUMPRODUCT(((FC_Mon="PYG")*DV$175+(FC_Mon&lt;&gt;"PYG"))*((121&gt;Corte)*(121&lt;=Corte+n_Ventana)*ISNUMBER(Detalle_24m!DV$220:DV$244)*Detalle_24m!DV$220:DV$244+(1-(121&gt;Corte)*(121&lt;=Corte+n_Ventana)*ISNUMBER(Detalle_24m!DV$220:DV$244))*FC_V*(1+FC_g)^(DV$173-1)*((FC_Desde=0)*(DV$172+DV$171)+(FC_Desde&gt;=1)*(DV$170&gt;=FC_Desde)*DV$171))*FC_IVA/(1+FC_IVA))</f>
        <v>0</v>
      </c>
      <c r="DW247" s="48" t="n">
        <f aca="false">SUMPRODUCT(((FC_Mon="PYG")*DW$175+(FC_Mon&lt;&gt;"PYG"))*((122&gt;Corte)*(122&lt;=Corte+n_Ventana)*ISNUMBER(Detalle_24m!DW$220:DW$244)*Detalle_24m!DW$220:DW$244+(1-(122&gt;Corte)*(122&lt;=Corte+n_Ventana)*ISNUMBER(Detalle_24m!DW$220:DW$244))*FC_V*(1+FC_g)^(DW$173-1)*((FC_Desde=0)*(DW$172+DW$171)+(FC_Desde&gt;=1)*(DW$170&gt;=FC_Desde)*DW$171))*FC_IVA/(1+FC_IVA))</f>
        <v>0</v>
      </c>
      <c r="DX247" s="48" t="n">
        <f aca="false">SUMPRODUCT(((FC_Mon="PYG")*DX$175+(FC_Mon&lt;&gt;"PYG"))*((123&gt;Corte)*(123&lt;=Corte+n_Ventana)*ISNUMBER(Detalle_24m!DX$220:DX$244)*Detalle_24m!DX$220:DX$244+(1-(123&gt;Corte)*(123&lt;=Corte+n_Ventana)*ISNUMBER(Detalle_24m!DX$220:DX$244))*FC_V*(1+FC_g)^(DX$173-1)*((FC_Desde=0)*(DX$172+DX$171)+(FC_Desde&gt;=1)*(DX$170&gt;=FC_Desde)*DX$171))*FC_IVA/(1+FC_IVA))</f>
        <v>0</v>
      </c>
      <c r="DY247" s="48" t="n">
        <f aca="false">SUMPRODUCT(((FC_Mon="PYG")*DY$175+(FC_Mon&lt;&gt;"PYG"))*((124&gt;Corte)*(124&lt;=Corte+n_Ventana)*ISNUMBER(Detalle_24m!DY$220:DY$244)*Detalle_24m!DY$220:DY$244+(1-(124&gt;Corte)*(124&lt;=Corte+n_Ventana)*ISNUMBER(Detalle_24m!DY$220:DY$244))*FC_V*(1+FC_g)^(DY$173-1)*((FC_Desde=0)*(DY$172+DY$171)+(FC_Desde&gt;=1)*(DY$170&gt;=FC_Desde)*DY$171))*FC_IVA/(1+FC_IVA))</f>
        <v>0</v>
      </c>
      <c r="DZ247" s="48" t="n">
        <f aca="false">SUMPRODUCT(((FC_Mon="PYG")*DZ$175+(FC_Mon&lt;&gt;"PYG"))*((125&gt;Corte)*(125&lt;=Corte+n_Ventana)*ISNUMBER(Detalle_24m!DZ$220:DZ$244)*Detalle_24m!DZ$220:DZ$244+(1-(125&gt;Corte)*(125&lt;=Corte+n_Ventana)*ISNUMBER(Detalle_24m!DZ$220:DZ$244))*FC_V*(1+FC_g)^(DZ$173-1)*((FC_Desde=0)*(DZ$172+DZ$171)+(FC_Desde&gt;=1)*(DZ$170&gt;=FC_Desde)*DZ$171))*FC_IVA/(1+FC_IVA))</f>
        <v>0</v>
      </c>
      <c r="EA247" s="48" t="n">
        <f aca="false">SUMPRODUCT(((FC_Mon="PYG")*EA$175+(FC_Mon&lt;&gt;"PYG"))*((126&gt;Corte)*(126&lt;=Corte+n_Ventana)*ISNUMBER(Detalle_24m!EA$220:EA$244)*Detalle_24m!EA$220:EA$244+(1-(126&gt;Corte)*(126&lt;=Corte+n_Ventana)*ISNUMBER(Detalle_24m!EA$220:EA$244))*FC_V*(1+FC_g)^(EA$173-1)*((FC_Desde=0)*(EA$172+EA$171)+(FC_Desde&gt;=1)*(EA$170&gt;=FC_Desde)*EA$171))*FC_IVA/(1+FC_IVA))</f>
        <v>0</v>
      </c>
      <c r="EB247" s="48" t="n">
        <f aca="false">SUMPRODUCT(((FC_Mon="PYG")*EB$175+(FC_Mon&lt;&gt;"PYG"))*((127&gt;Corte)*(127&lt;=Corte+n_Ventana)*ISNUMBER(Detalle_24m!EB$220:EB$244)*Detalle_24m!EB$220:EB$244+(1-(127&gt;Corte)*(127&lt;=Corte+n_Ventana)*ISNUMBER(Detalle_24m!EB$220:EB$244))*FC_V*(1+FC_g)^(EB$173-1)*((FC_Desde=0)*(EB$172+EB$171)+(FC_Desde&gt;=1)*(EB$170&gt;=FC_Desde)*EB$171))*FC_IVA/(1+FC_IVA))</f>
        <v>0</v>
      </c>
      <c r="EC247" s="48" t="n">
        <f aca="false">SUMPRODUCT(((FC_Mon="PYG")*EC$175+(FC_Mon&lt;&gt;"PYG"))*((128&gt;Corte)*(128&lt;=Corte+n_Ventana)*ISNUMBER(Detalle_24m!EC$220:EC$244)*Detalle_24m!EC$220:EC$244+(1-(128&gt;Corte)*(128&lt;=Corte+n_Ventana)*ISNUMBER(Detalle_24m!EC$220:EC$244))*FC_V*(1+FC_g)^(EC$173-1)*((FC_Desde=0)*(EC$172+EC$171)+(FC_Desde&gt;=1)*(EC$170&gt;=FC_Desde)*EC$171))*FC_IVA/(1+FC_IVA))</f>
        <v>0</v>
      </c>
      <c r="ED247" s="48" t="n">
        <f aca="false">SUMPRODUCT(((FC_Mon="PYG")*ED$175+(FC_Mon&lt;&gt;"PYG"))*((129&gt;Corte)*(129&lt;=Corte+n_Ventana)*ISNUMBER(Detalle_24m!ED$220:ED$244)*Detalle_24m!ED$220:ED$244+(1-(129&gt;Corte)*(129&lt;=Corte+n_Ventana)*ISNUMBER(Detalle_24m!ED$220:ED$244))*FC_V*(1+FC_g)^(ED$173-1)*((FC_Desde=0)*(ED$172+ED$171)+(FC_Desde&gt;=1)*(ED$170&gt;=FC_Desde)*ED$171))*FC_IVA/(1+FC_IVA))</f>
        <v>0</v>
      </c>
      <c r="EE247" s="48" t="n">
        <f aca="false">SUMPRODUCT(((FC_Mon="PYG")*EE$175+(FC_Mon&lt;&gt;"PYG"))*((130&gt;Corte)*(130&lt;=Corte+n_Ventana)*ISNUMBER(Detalle_24m!EE$220:EE$244)*Detalle_24m!EE$220:EE$244+(1-(130&gt;Corte)*(130&lt;=Corte+n_Ventana)*ISNUMBER(Detalle_24m!EE$220:EE$244))*FC_V*(1+FC_g)^(EE$173-1)*((FC_Desde=0)*(EE$172+EE$171)+(FC_Desde&gt;=1)*(EE$170&gt;=FC_Desde)*EE$171))*FC_IVA/(1+FC_IVA))</f>
        <v>0</v>
      </c>
      <c r="EF247" s="48" t="n">
        <f aca="false">SUMPRODUCT(((FC_Mon="PYG")*EF$175+(FC_Mon&lt;&gt;"PYG"))*((131&gt;Corte)*(131&lt;=Corte+n_Ventana)*ISNUMBER(Detalle_24m!EF$220:EF$244)*Detalle_24m!EF$220:EF$244+(1-(131&gt;Corte)*(131&lt;=Corte+n_Ventana)*ISNUMBER(Detalle_24m!EF$220:EF$244))*FC_V*(1+FC_g)^(EF$173-1)*((FC_Desde=0)*(EF$172+EF$171)+(FC_Desde&gt;=1)*(EF$170&gt;=FC_Desde)*EF$171))*FC_IVA/(1+FC_IVA))</f>
        <v>0</v>
      </c>
      <c r="EG247" s="48" t="n">
        <f aca="false">SUMPRODUCT(((FC_Mon="PYG")*EG$175+(FC_Mon&lt;&gt;"PYG"))*((132&gt;Corte)*(132&lt;=Corte+n_Ventana)*ISNUMBER(Detalle_24m!EG$220:EG$244)*Detalle_24m!EG$220:EG$244+(1-(132&gt;Corte)*(132&lt;=Corte+n_Ventana)*ISNUMBER(Detalle_24m!EG$220:EG$244))*FC_V*(1+FC_g)^(EG$173-1)*((FC_Desde=0)*(EG$172+EG$171)+(FC_Desde&gt;=1)*(EG$170&gt;=FC_Desde)*EG$171))*FC_IVA/(1+FC_IVA))</f>
        <v>0</v>
      </c>
      <c r="EH247" s="48" t="n">
        <f aca="false">SUMPRODUCT(((FC_Mon="PYG")*EH$175+(FC_Mon&lt;&gt;"PYG"))*((133&gt;Corte)*(133&lt;=Corte+n_Ventana)*ISNUMBER(Detalle_24m!EH$220:EH$244)*Detalle_24m!EH$220:EH$244+(1-(133&gt;Corte)*(133&lt;=Corte+n_Ventana)*ISNUMBER(Detalle_24m!EH$220:EH$244))*FC_V*(1+FC_g)^(EH$173-1)*((FC_Desde=0)*(EH$172+EH$171)+(FC_Desde&gt;=1)*(EH$170&gt;=FC_Desde)*EH$171))*FC_IVA/(1+FC_IVA))</f>
        <v>0</v>
      </c>
      <c r="EI247" s="48" t="n">
        <f aca="false">SUMPRODUCT(((FC_Mon="PYG")*EI$175+(FC_Mon&lt;&gt;"PYG"))*((134&gt;Corte)*(134&lt;=Corte+n_Ventana)*ISNUMBER(Detalle_24m!EI$220:EI$244)*Detalle_24m!EI$220:EI$244+(1-(134&gt;Corte)*(134&lt;=Corte+n_Ventana)*ISNUMBER(Detalle_24m!EI$220:EI$244))*FC_V*(1+FC_g)^(EI$173-1)*((FC_Desde=0)*(EI$172+EI$171)+(FC_Desde&gt;=1)*(EI$170&gt;=FC_Desde)*EI$171))*FC_IVA/(1+FC_IVA))</f>
        <v>0</v>
      </c>
      <c r="EJ247" s="48" t="n">
        <f aca="false">SUMPRODUCT(((FC_Mon="PYG")*EJ$175+(FC_Mon&lt;&gt;"PYG"))*((135&gt;Corte)*(135&lt;=Corte+n_Ventana)*ISNUMBER(Detalle_24m!EJ$220:EJ$244)*Detalle_24m!EJ$220:EJ$244+(1-(135&gt;Corte)*(135&lt;=Corte+n_Ventana)*ISNUMBER(Detalle_24m!EJ$220:EJ$244))*FC_V*(1+FC_g)^(EJ$173-1)*((FC_Desde=0)*(EJ$172+EJ$171)+(FC_Desde&gt;=1)*(EJ$170&gt;=FC_Desde)*EJ$171))*FC_IVA/(1+FC_IVA))</f>
        <v>0</v>
      </c>
      <c r="EK247" s="48" t="n">
        <f aca="false">SUMPRODUCT(((FC_Mon="PYG")*EK$175+(FC_Mon&lt;&gt;"PYG"))*((136&gt;Corte)*(136&lt;=Corte+n_Ventana)*ISNUMBER(Detalle_24m!EK$220:EK$244)*Detalle_24m!EK$220:EK$244+(1-(136&gt;Corte)*(136&lt;=Corte+n_Ventana)*ISNUMBER(Detalle_24m!EK$220:EK$244))*FC_V*(1+FC_g)^(EK$173-1)*((FC_Desde=0)*(EK$172+EK$171)+(FC_Desde&gt;=1)*(EK$170&gt;=FC_Desde)*EK$171))*FC_IVA/(1+FC_IVA))</f>
        <v>0</v>
      </c>
      <c r="EL247" s="48" t="n">
        <f aca="false">SUMPRODUCT(((FC_Mon="PYG")*EL$175+(FC_Mon&lt;&gt;"PYG"))*((137&gt;Corte)*(137&lt;=Corte+n_Ventana)*ISNUMBER(Detalle_24m!EL$220:EL$244)*Detalle_24m!EL$220:EL$244+(1-(137&gt;Corte)*(137&lt;=Corte+n_Ventana)*ISNUMBER(Detalle_24m!EL$220:EL$244))*FC_V*(1+FC_g)^(EL$173-1)*((FC_Desde=0)*(EL$172+EL$171)+(FC_Desde&gt;=1)*(EL$170&gt;=FC_Desde)*EL$171))*FC_IVA/(1+FC_IVA))</f>
        <v>0</v>
      </c>
      <c r="EM247" s="48" t="n">
        <f aca="false">SUMPRODUCT(((FC_Mon="PYG")*EM$175+(FC_Mon&lt;&gt;"PYG"))*((138&gt;Corte)*(138&lt;=Corte+n_Ventana)*ISNUMBER(Detalle_24m!EM$220:EM$244)*Detalle_24m!EM$220:EM$244+(1-(138&gt;Corte)*(138&lt;=Corte+n_Ventana)*ISNUMBER(Detalle_24m!EM$220:EM$244))*FC_V*(1+FC_g)^(EM$173-1)*((FC_Desde=0)*(EM$172+EM$171)+(FC_Desde&gt;=1)*(EM$170&gt;=FC_Desde)*EM$171))*FC_IVA/(1+FC_IVA))</f>
        <v>0</v>
      </c>
      <c r="EN247" s="48" t="n">
        <f aca="false">SUMPRODUCT(((FC_Mon="PYG")*EN$175+(FC_Mon&lt;&gt;"PYG"))*((139&gt;Corte)*(139&lt;=Corte+n_Ventana)*ISNUMBER(Detalle_24m!EN$220:EN$244)*Detalle_24m!EN$220:EN$244+(1-(139&gt;Corte)*(139&lt;=Corte+n_Ventana)*ISNUMBER(Detalle_24m!EN$220:EN$244))*FC_V*(1+FC_g)^(EN$173-1)*((FC_Desde=0)*(EN$172+EN$171)+(FC_Desde&gt;=1)*(EN$170&gt;=FC_Desde)*EN$171))*FC_IVA/(1+FC_IVA))</f>
        <v>0</v>
      </c>
      <c r="EO247" s="48" t="n">
        <f aca="false">SUMPRODUCT(((FC_Mon="PYG")*EO$175+(FC_Mon&lt;&gt;"PYG"))*((140&gt;Corte)*(140&lt;=Corte+n_Ventana)*ISNUMBER(Detalle_24m!EO$220:EO$244)*Detalle_24m!EO$220:EO$244+(1-(140&gt;Corte)*(140&lt;=Corte+n_Ventana)*ISNUMBER(Detalle_24m!EO$220:EO$244))*FC_V*(1+FC_g)^(EO$173-1)*((FC_Desde=0)*(EO$172+EO$171)+(FC_Desde&gt;=1)*(EO$170&gt;=FC_Desde)*EO$171))*FC_IVA/(1+FC_IVA))</f>
        <v>0</v>
      </c>
      <c r="EP247" s="48" t="n">
        <f aca="false">SUMPRODUCT(((FC_Mon="PYG")*EP$175+(FC_Mon&lt;&gt;"PYG"))*((141&gt;Corte)*(141&lt;=Corte+n_Ventana)*ISNUMBER(Detalle_24m!EP$220:EP$244)*Detalle_24m!EP$220:EP$244+(1-(141&gt;Corte)*(141&lt;=Corte+n_Ventana)*ISNUMBER(Detalle_24m!EP$220:EP$244))*FC_V*(1+FC_g)^(EP$173-1)*((FC_Desde=0)*(EP$172+EP$171)+(FC_Desde&gt;=1)*(EP$170&gt;=FC_Desde)*EP$171))*FC_IVA/(1+FC_IVA))</f>
        <v>0</v>
      </c>
      <c r="EQ247" s="48" t="n">
        <f aca="false">SUMPRODUCT(((FC_Mon="PYG")*EQ$175+(FC_Mon&lt;&gt;"PYG"))*((142&gt;Corte)*(142&lt;=Corte+n_Ventana)*ISNUMBER(Detalle_24m!EQ$220:EQ$244)*Detalle_24m!EQ$220:EQ$244+(1-(142&gt;Corte)*(142&lt;=Corte+n_Ventana)*ISNUMBER(Detalle_24m!EQ$220:EQ$244))*FC_V*(1+FC_g)^(EQ$173-1)*((FC_Desde=0)*(EQ$172+EQ$171)+(FC_Desde&gt;=1)*(EQ$170&gt;=FC_Desde)*EQ$171))*FC_IVA/(1+FC_IVA))</f>
        <v>0</v>
      </c>
      <c r="ER247" s="48" t="n">
        <f aca="false">SUMPRODUCT(((FC_Mon="PYG")*ER$175+(FC_Mon&lt;&gt;"PYG"))*((143&gt;Corte)*(143&lt;=Corte+n_Ventana)*ISNUMBER(Detalle_24m!ER$220:ER$244)*Detalle_24m!ER$220:ER$244+(1-(143&gt;Corte)*(143&lt;=Corte+n_Ventana)*ISNUMBER(Detalle_24m!ER$220:ER$244))*FC_V*(1+FC_g)^(ER$173-1)*((FC_Desde=0)*(ER$172+ER$171)+(FC_Desde&gt;=1)*(ER$170&gt;=FC_Desde)*ER$171))*FC_IVA/(1+FC_IVA))</f>
        <v>0</v>
      </c>
      <c r="ES247" s="48" t="n">
        <f aca="false">SUMPRODUCT(((FC_Mon="PYG")*ES$175+(FC_Mon&lt;&gt;"PYG"))*((144&gt;Corte)*(144&lt;=Corte+n_Ventana)*ISNUMBER(Detalle_24m!ES$220:ES$244)*Detalle_24m!ES$220:ES$244+(1-(144&gt;Corte)*(144&lt;=Corte+n_Ventana)*ISNUMBER(Detalle_24m!ES$220:ES$244))*FC_V*(1+FC_g)^(ES$173-1)*((FC_Desde=0)*(ES$172+ES$171)+(FC_Desde&gt;=1)*(ES$170&gt;=FC_Desde)*ES$171))*FC_IVA/(1+FC_IVA))</f>
        <v>0</v>
      </c>
    </row>
    <row r="248" customFormat="false" ht="15" hidden="false" customHeight="false" outlineLevel="0" collapsed="false">
      <c r="A248" s="13"/>
      <c r="B248" s="12" t="s">
        <v>1156</v>
      </c>
      <c r="C248" s="13"/>
      <c r="D248" s="13"/>
      <c r="E248" s="13"/>
    </row>
    <row r="249" customFormat="false" ht="15" hidden="false" customHeight="false" outlineLevel="0" collapsed="false">
      <c r="A249" s="11" t="s">
        <v>1370</v>
      </c>
      <c r="B249" s="15" t="s">
        <v>1158</v>
      </c>
      <c r="C249" s="15" t="s">
        <v>508</v>
      </c>
      <c r="E249" s="54" t="n">
        <f aca="false">SUM(F249:ES249)</f>
        <v>39318093.38356</v>
      </c>
      <c r="F249" s="48" t="n">
        <f aca="false">IF(F$8=1,IF(Reales!$C$64="PYG",IF(F$10&gt;0,N(Reales!F64)/F$10,0),N(Reales!F64)),F$229+F$230)</f>
        <v>199172.5</v>
      </c>
      <c r="G249" s="48" t="n">
        <f aca="false">IF(G$8=1,IF(Reales!$C$64="PYG",IF(G$10&gt;0,N(Reales!G64)/G$10,0),N(Reales!G64)),G$229+G$230)</f>
        <v>199172.5</v>
      </c>
      <c r="H249" s="48" t="n">
        <f aca="false">IF(H$8=1,IF(Reales!$C$64="PYG",IF(H$10&gt;0,N(Reales!H64)/H$10,0),N(Reales!H64)),H$229+H$230)</f>
        <v>199172.5</v>
      </c>
      <c r="I249" s="48" t="n">
        <f aca="false">IF(I$8=1,IF(Reales!$C$64="PYG",IF(I$10&gt;0,N(Reales!I64)/I$10,0),N(Reales!I64)),I$229+I$230)</f>
        <v>199172.5</v>
      </c>
      <c r="J249" s="48" t="n">
        <f aca="false">IF(J$8=1,IF(Reales!$C$64="PYG",IF(J$10&gt;0,N(Reales!J64)/J$10,0),N(Reales!J64)),J$229+J$230)</f>
        <v>199172.5</v>
      </c>
      <c r="K249" s="48" t="n">
        <f aca="false">IF(K$8=1,IF(Reales!$C$64="PYG",IF(K$10&gt;0,N(Reales!K64)/K$10,0),N(Reales!K64)),K$229+K$230)</f>
        <v>199172.5</v>
      </c>
      <c r="L249" s="48" t="n">
        <f aca="false">IF(L$8=1,IF(Reales!$C$64="PYG",IF(L$10&gt;0,N(Reales!L64)/L$10,0),N(Reales!L64)),L$229+L$230)</f>
        <v>199172.5</v>
      </c>
      <c r="M249" s="48" t="n">
        <f aca="false">IF(M$8=1,IF(Reales!$C$64="PYG",IF(M$10&gt;0,N(Reales!M64)/M$10,0),N(Reales!M64)),M$229+M$230)</f>
        <v>199172.5</v>
      </c>
      <c r="N249" s="48" t="n">
        <f aca="false">IF(N$8=1,IF(Reales!$C$64="PYG",IF(N$10&gt;0,N(Reales!N64)/N$10,0),N(Reales!N64)),N$229+N$230)</f>
        <v>199172.5</v>
      </c>
      <c r="O249" s="48" t="n">
        <f aca="false">IF(O$8=1,IF(Reales!$C$64="PYG",IF(O$10&gt;0,N(Reales!O64)/O$10,0),N(Reales!O64)),O$229+O$230)</f>
        <v>199172.5</v>
      </c>
      <c r="P249" s="48" t="n">
        <f aca="false">IF(P$8=1,IF(Reales!$C$64="PYG",IF(P$10&gt;0,N(Reales!P64)/P$10,0),N(Reales!P64)),P$229+P$230)</f>
        <v>199172.5</v>
      </c>
      <c r="Q249" s="48" t="n">
        <f aca="false">IF(Q$8=1,IF(Reales!$C$64="PYG",IF(Q$10&gt;0,N(Reales!Q64)/Q$10,0),N(Reales!Q64)),Q$229+Q$230)</f>
        <v>199172.5</v>
      </c>
      <c r="R249" s="48" t="n">
        <f aca="false">IF(R$8=1,IF(Reales!$C$64="PYG",IF(R$10&gt;0,N(Reales!R64)/R$10,0),N(Reales!R64)),R$229+R$230)</f>
        <v>253108.875</v>
      </c>
      <c r="S249" s="48" t="n">
        <f aca="false">IF(S$8=1,IF(Reales!$C$64="PYG",IF(S$10&gt;0,N(Reales!S64)/S$10,0),N(Reales!S64)),S$229+S$230)</f>
        <v>253108.875</v>
      </c>
      <c r="T249" s="48" t="n">
        <f aca="false">IF(T$8=1,IF(Reales!$C$64="PYG",IF(T$10&gt;0,N(Reales!T64)/T$10,0),N(Reales!T64)),T$229+T$230)</f>
        <v>253108.875</v>
      </c>
      <c r="U249" s="48" t="n">
        <f aca="false">IF(U$8=1,IF(Reales!$C$64="PYG",IF(U$10&gt;0,N(Reales!U64)/U$10,0),N(Reales!U64)),U$229+U$230)</f>
        <v>253108.875</v>
      </c>
      <c r="V249" s="48" t="n">
        <f aca="false">IF(V$8=1,IF(Reales!$C$64="PYG",IF(V$10&gt;0,N(Reales!V64)/V$10,0),N(Reales!V64)),V$229+V$230)</f>
        <v>253108.875</v>
      </c>
      <c r="W249" s="48" t="n">
        <f aca="false">IF(W$8=1,IF(Reales!$C$64="PYG",IF(W$10&gt;0,N(Reales!W64)/W$10,0),N(Reales!W64)),W$229+W$230)</f>
        <v>253108.875</v>
      </c>
      <c r="X249" s="48" t="n">
        <f aca="false">IF(X$8=1,IF(Reales!$C$64="PYG",IF(X$10&gt;0,N(Reales!X64)/X$10,0),N(Reales!X64)),X$229+X$230)</f>
        <v>253108.875</v>
      </c>
      <c r="Y249" s="48" t="n">
        <f aca="false">IF(Y$8=1,IF(Reales!$C$64="PYG",IF(Y$10&gt;0,N(Reales!Y64)/Y$10,0),N(Reales!Y64)),Y$229+Y$230)</f>
        <v>253108.875</v>
      </c>
      <c r="Z249" s="48" t="n">
        <f aca="false">IF(Z$8=1,IF(Reales!$C$64="PYG",IF(Z$10&gt;0,N(Reales!Z64)/Z$10,0),N(Reales!Z64)),Z$229+Z$230)</f>
        <v>253108.875</v>
      </c>
      <c r="AA249" s="48" t="n">
        <f aca="false">IF(AA$8=1,IF(Reales!$C$64="PYG",IF(AA$10&gt;0,N(Reales!AA64)/AA$10,0),N(Reales!AA64)),AA$229+AA$230)</f>
        <v>253108.875</v>
      </c>
      <c r="AB249" s="48" t="n">
        <f aca="false">IF(AB$8=1,IF(Reales!$C$64="PYG",IF(AB$10&gt;0,N(Reales!AB64)/AB$10,0),N(Reales!AB64)),AB$229+AB$230)</f>
        <v>253108.875</v>
      </c>
      <c r="AC249" s="48" t="n">
        <f aca="false">IF(AC$8=1,IF(Reales!$C$64="PYG",IF(AC$10&gt;0,N(Reales!AC64)/AC$10,0),N(Reales!AC64)),AC$229+AC$230)</f>
        <v>253108.875</v>
      </c>
      <c r="AD249" s="48" t="n">
        <f aca="false">IF(AD$8=1,IF(Reales!$C$64="PYG",IF(AD$10&gt;0,N(Reales!AD64)/AD$10,0),N(Reales!AD64)),AD$229+AD$230)</f>
        <v>307724.69</v>
      </c>
      <c r="AE249" s="48" t="n">
        <f aca="false">IF(AE$8=1,IF(Reales!$C$64="PYG",IF(AE$10&gt;0,N(Reales!AE64)/AE$10,0),N(Reales!AE64)),AE$229+AE$230)</f>
        <v>307724.69</v>
      </c>
      <c r="AF249" s="48" t="n">
        <f aca="false">IF(AF$8=1,IF(Reales!$C$64="PYG",IF(AF$10&gt;0,N(Reales!AF64)/AF$10,0),N(Reales!AF64)),AF$229+AF$230)</f>
        <v>307724.69</v>
      </c>
      <c r="AG249" s="48" t="n">
        <f aca="false">IF(AG$8=1,IF(Reales!$C$64="PYG",IF(AG$10&gt;0,N(Reales!AG64)/AG$10,0),N(Reales!AG64)),AG$229+AG$230)</f>
        <v>307724.69</v>
      </c>
      <c r="AH249" s="48" t="n">
        <f aca="false">IF(AH$8=1,IF(Reales!$C$64="PYG",IF(AH$10&gt;0,N(Reales!AH64)/AH$10,0),N(Reales!AH64)),AH$229+AH$230)</f>
        <v>307724.69</v>
      </c>
      <c r="AI249" s="48" t="n">
        <f aca="false">IF(AI$8=1,IF(Reales!$C$64="PYG",IF(AI$10&gt;0,N(Reales!AI64)/AI$10,0),N(Reales!AI64)),AI$229+AI$230)</f>
        <v>307724.69</v>
      </c>
      <c r="AJ249" s="48" t="n">
        <f aca="false">IF(AJ$8=1,IF(Reales!$C$64="PYG",IF(AJ$10&gt;0,N(Reales!AJ64)/AJ$10,0),N(Reales!AJ64)),AJ$229+AJ$230)</f>
        <v>307724.69</v>
      </c>
      <c r="AK249" s="48" t="n">
        <f aca="false">IF(AK$8=1,IF(Reales!$C$64="PYG",IF(AK$10&gt;0,N(Reales!AK64)/AK$10,0),N(Reales!AK64)),AK$229+AK$230)</f>
        <v>307724.69</v>
      </c>
      <c r="AL249" s="48" t="n">
        <f aca="false">IF(AL$8=1,IF(Reales!$C$64="PYG",IF(AL$10&gt;0,N(Reales!AL64)/AL$10,0),N(Reales!AL64)),AL$229+AL$230)</f>
        <v>307724.69</v>
      </c>
      <c r="AM249" s="48" t="n">
        <f aca="false">IF(AM$8=1,IF(Reales!$C$64="PYG",IF(AM$10&gt;0,N(Reales!AM64)/AM$10,0),N(Reales!AM64)),AM$229+AM$230)</f>
        <v>307724.69</v>
      </c>
      <c r="AN249" s="48" t="n">
        <f aca="false">IF(AN$8=1,IF(Reales!$C$64="PYG",IF(AN$10&gt;0,N(Reales!AN64)/AN$10,0),N(Reales!AN64)),AN$229+AN$230)</f>
        <v>307724.69</v>
      </c>
      <c r="AO249" s="48" t="n">
        <f aca="false">IF(AO$8=1,IF(Reales!$C$64="PYG",IF(AO$10&gt;0,N(Reales!AO64)/AO$10,0),N(Reales!AO64)),AO$229+AO$230)</f>
        <v>307724.69</v>
      </c>
      <c r="AP249" s="48" t="n">
        <f aca="false">IF(AP$8=1,IF(Reales!$C$64="PYG",IF(AP$10&gt;0,N(Reales!AP64)/AP$10,0),N(Reales!AP64)),AP$229+AP$230)</f>
        <v>352625.4649875</v>
      </c>
      <c r="AQ249" s="48" t="n">
        <f aca="false">IF(AQ$8=1,IF(Reales!$C$64="PYG",IF(AQ$10&gt;0,N(Reales!AQ64)/AQ$10,0),N(Reales!AQ64)),AQ$229+AQ$230)</f>
        <v>352625.4649875</v>
      </c>
      <c r="AR249" s="48" t="n">
        <f aca="false">IF(AR$8=1,IF(Reales!$C$64="PYG",IF(AR$10&gt;0,N(Reales!AR64)/AR$10,0),N(Reales!AR64)),AR$229+AR$230)</f>
        <v>352625.4649875</v>
      </c>
      <c r="AS249" s="48" t="n">
        <f aca="false">IF(AS$8=1,IF(Reales!$C$64="PYG",IF(AS$10&gt;0,N(Reales!AS64)/AS$10,0),N(Reales!AS64)),AS$229+AS$230)</f>
        <v>352625.4649875</v>
      </c>
      <c r="AT249" s="48" t="n">
        <f aca="false">IF(AT$8=1,IF(Reales!$C$64="PYG",IF(AT$10&gt;0,N(Reales!AT64)/AT$10,0),N(Reales!AT64)),AT$229+AT$230)</f>
        <v>352625.4649875</v>
      </c>
      <c r="AU249" s="48" t="n">
        <f aca="false">IF(AU$8=1,IF(Reales!$C$64="PYG",IF(AU$10&gt;0,N(Reales!AU64)/AU$10,0),N(Reales!AU64)),AU$229+AU$230)</f>
        <v>352625.4649875</v>
      </c>
      <c r="AV249" s="48" t="n">
        <f aca="false">IF(AV$8=1,IF(Reales!$C$64="PYG",IF(AV$10&gt;0,N(Reales!AV64)/AV$10,0),N(Reales!AV64)),AV$229+AV$230)</f>
        <v>352625.4649875</v>
      </c>
      <c r="AW249" s="48" t="n">
        <f aca="false">IF(AW$8=1,IF(Reales!$C$64="PYG",IF(AW$10&gt;0,N(Reales!AW64)/AW$10,0),N(Reales!AW64)),AW$229+AW$230)</f>
        <v>352625.4649875</v>
      </c>
      <c r="AX249" s="48" t="n">
        <f aca="false">IF(AX$8=1,IF(Reales!$C$64="PYG",IF(AX$10&gt;0,N(Reales!AX64)/AX$10,0),N(Reales!AX64)),AX$229+AX$230)</f>
        <v>352625.4649875</v>
      </c>
      <c r="AY249" s="48" t="n">
        <f aca="false">IF(AY$8=1,IF(Reales!$C$64="PYG",IF(AY$10&gt;0,N(Reales!AY64)/AY$10,0),N(Reales!AY64)),AY$229+AY$230)</f>
        <v>352625.4649875</v>
      </c>
      <c r="AZ249" s="48" t="n">
        <f aca="false">IF(AZ$8=1,IF(Reales!$C$64="PYG",IF(AZ$10&gt;0,N(Reales!AZ64)/AZ$10,0),N(Reales!AZ64)),AZ$229+AZ$230)</f>
        <v>352625.4649875</v>
      </c>
      <c r="BA249" s="48" t="n">
        <f aca="false">IF(BA$8=1,IF(Reales!$C$64="PYG",IF(BA$10&gt;0,N(Reales!BA64)/BA$10,0),N(Reales!BA64)),BA$229+BA$230)</f>
        <v>352625.4649875</v>
      </c>
      <c r="BB249" s="48" t="n">
        <f aca="false">IF(BB$8=1,IF(Reales!$C$64="PYG",IF(BB$10&gt;0,N(Reales!BB64)/BB$10,0),N(Reales!BB64)),BB$229+BB$230)</f>
        <v>354879.119637375</v>
      </c>
      <c r="BC249" s="48" t="n">
        <f aca="false">IF(BC$8=1,IF(Reales!$C$64="PYG",IF(BC$10&gt;0,N(Reales!BC64)/BC$10,0),N(Reales!BC64)),BC$229+BC$230)</f>
        <v>354879.119637375</v>
      </c>
      <c r="BD249" s="48" t="n">
        <f aca="false">IF(BD$8=1,IF(Reales!$C$64="PYG",IF(BD$10&gt;0,N(Reales!BD64)/BD$10,0),N(Reales!BD64)),BD$229+BD$230)</f>
        <v>354879.119637375</v>
      </c>
      <c r="BE249" s="48" t="n">
        <f aca="false">IF(BE$8=1,IF(Reales!$C$64="PYG",IF(BE$10&gt;0,N(Reales!BE64)/BE$10,0),N(Reales!BE64)),BE$229+BE$230)</f>
        <v>354879.119637375</v>
      </c>
      <c r="BF249" s="48" t="n">
        <f aca="false">IF(BF$8=1,IF(Reales!$C$64="PYG",IF(BF$10&gt;0,N(Reales!BF64)/BF$10,0),N(Reales!BF64)),BF$229+BF$230)</f>
        <v>354879.119637375</v>
      </c>
      <c r="BG249" s="48" t="n">
        <f aca="false">IF(BG$8=1,IF(Reales!$C$64="PYG",IF(BG$10&gt;0,N(Reales!BG64)/BG$10,0),N(Reales!BG64)),BG$229+BG$230)</f>
        <v>354879.119637375</v>
      </c>
      <c r="BH249" s="48" t="n">
        <f aca="false">IF(BH$8=1,IF(Reales!$C$64="PYG",IF(BH$10&gt;0,N(Reales!BH64)/BH$10,0),N(Reales!BH64)),BH$229+BH$230)</f>
        <v>354879.119637375</v>
      </c>
      <c r="BI249" s="48" t="n">
        <f aca="false">IF(BI$8=1,IF(Reales!$C$64="PYG",IF(BI$10&gt;0,N(Reales!BI64)/BI$10,0),N(Reales!BI64)),BI$229+BI$230)</f>
        <v>354879.119637375</v>
      </c>
      <c r="BJ249" s="48" t="n">
        <f aca="false">IF(BJ$8=1,IF(Reales!$C$64="PYG",IF(BJ$10&gt;0,N(Reales!BJ64)/BJ$10,0),N(Reales!BJ64)),BJ$229+BJ$230)</f>
        <v>354879.119637375</v>
      </c>
      <c r="BK249" s="48" t="n">
        <f aca="false">IF(BK$8=1,IF(Reales!$C$64="PYG",IF(BK$10&gt;0,N(Reales!BK64)/BK$10,0),N(Reales!BK64)),BK$229+BK$230)</f>
        <v>354879.119637375</v>
      </c>
      <c r="BL249" s="48" t="n">
        <f aca="false">IF(BL$8=1,IF(Reales!$C$64="PYG",IF(BL$10&gt;0,N(Reales!BL64)/BL$10,0),N(Reales!BL64)),BL$229+BL$230)</f>
        <v>354879.119637375</v>
      </c>
      <c r="BM249" s="48" t="n">
        <f aca="false">IF(BM$8=1,IF(Reales!$C$64="PYG",IF(BM$10&gt;0,N(Reales!BM64)/BM$10,0),N(Reales!BM64)),BM$229+BM$230)</f>
        <v>354879.119637375</v>
      </c>
      <c r="BN249" s="48" t="n">
        <f aca="false">IF(BN$8=1,IF(Reales!$C$64="PYG",IF(BN$10&gt;0,N(Reales!BN64)/BN$10,0),N(Reales!BN64)),BN$229+BN$230)</f>
        <v>357155.310833749</v>
      </c>
      <c r="BO249" s="48" t="n">
        <f aca="false">IF(BO$8=1,IF(Reales!$C$64="PYG",IF(BO$10&gt;0,N(Reales!BO64)/BO$10,0),N(Reales!BO64)),BO$229+BO$230)</f>
        <v>357155.310833749</v>
      </c>
      <c r="BP249" s="48" t="n">
        <f aca="false">IF(BP$8=1,IF(Reales!$C$64="PYG",IF(BP$10&gt;0,N(Reales!BP64)/BP$10,0),N(Reales!BP64)),BP$229+BP$230)</f>
        <v>357155.310833749</v>
      </c>
      <c r="BQ249" s="48" t="n">
        <f aca="false">IF(BQ$8=1,IF(Reales!$C$64="PYG",IF(BQ$10&gt;0,N(Reales!BQ64)/BQ$10,0),N(Reales!BQ64)),BQ$229+BQ$230)</f>
        <v>357155.310833749</v>
      </c>
      <c r="BR249" s="48" t="n">
        <f aca="false">IF(BR$8=1,IF(Reales!$C$64="PYG",IF(BR$10&gt;0,N(Reales!BR64)/BR$10,0),N(Reales!BR64)),BR$229+BR$230)</f>
        <v>357155.310833749</v>
      </c>
      <c r="BS249" s="48" t="n">
        <f aca="false">IF(BS$8=1,IF(Reales!$C$64="PYG",IF(BS$10&gt;0,N(Reales!BS64)/BS$10,0),N(Reales!BS64)),BS$229+BS$230)</f>
        <v>357155.310833749</v>
      </c>
      <c r="BT249" s="48" t="n">
        <f aca="false">IF(BT$8=1,IF(Reales!$C$64="PYG",IF(BT$10&gt;0,N(Reales!BT64)/BT$10,0),N(Reales!BT64)),BT$229+BT$230)</f>
        <v>357155.310833749</v>
      </c>
      <c r="BU249" s="48" t="n">
        <f aca="false">IF(BU$8=1,IF(Reales!$C$64="PYG",IF(BU$10&gt;0,N(Reales!BU64)/BU$10,0),N(Reales!BU64)),BU$229+BU$230)</f>
        <v>357155.310833749</v>
      </c>
      <c r="BV249" s="48" t="n">
        <f aca="false">IF(BV$8=1,IF(Reales!$C$64="PYG",IF(BV$10&gt;0,N(Reales!BV64)/BV$10,0),N(Reales!BV64)),BV$229+BV$230)</f>
        <v>357155.310833749</v>
      </c>
      <c r="BW249" s="48" t="n">
        <f aca="false">IF(BW$8=1,IF(Reales!$C$64="PYG",IF(BW$10&gt;0,N(Reales!BW64)/BW$10,0),N(Reales!BW64)),BW$229+BW$230)</f>
        <v>357155.310833749</v>
      </c>
      <c r="BX249" s="48" t="n">
        <f aca="false">IF(BX$8=1,IF(Reales!$C$64="PYG",IF(BX$10&gt;0,N(Reales!BX64)/BX$10,0),N(Reales!BX64)),BX$229+BX$230)</f>
        <v>357155.310833749</v>
      </c>
      <c r="BY249" s="48" t="n">
        <f aca="false">IF(BY$8=1,IF(Reales!$C$64="PYG",IF(BY$10&gt;0,N(Reales!BY64)/BY$10,0),N(Reales!BY64)),BY$229+BY$230)</f>
        <v>357155.310833749</v>
      </c>
      <c r="BZ249" s="48" t="n">
        <f aca="false">IF(BZ$8=1,IF(Reales!$C$64="PYG",IF(BZ$10&gt;0,N(Reales!BZ64)/BZ$10,0),N(Reales!BZ64)),BZ$229+BZ$230)</f>
        <v>359454.263942086</v>
      </c>
      <c r="CA249" s="48" t="n">
        <f aca="false">IF(CA$8=1,IF(Reales!$C$64="PYG",IF(CA$10&gt;0,N(Reales!CA64)/CA$10,0),N(Reales!CA64)),CA$229+CA$230)</f>
        <v>359454.263942086</v>
      </c>
      <c r="CB249" s="48" t="n">
        <f aca="false">IF(CB$8=1,IF(Reales!$C$64="PYG",IF(CB$10&gt;0,N(Reales!CB64)/CB$10,0),N(Reales!CB64)),CB$229+CB$230)</f>
        <v>359454.263942086</v>
      </c>
      <c r="CC249" s="48" t="n">
        <f aca="false">IF(CC$8=1,IF(Reales!$C$64="PYG",IF(CC$10&gt;0,N(Reales!CC64)/CC$10,0),N(Reales!CC64)),CC$229+CC$230)</f>
        <v>359454.263942086</v>
      </c>
      <c r="CD249" s="48" t="n">
        <f aca="false">IF(CD$8=1,IF(Reales!$C$64="PYG",IF(CD$10&gt;0,N(Reales!CD64)/CD$10,0),N(Reales!CD64)),CD$229+CD$230)</f>
        <v>359454.263942086</v>
      </c>
      <c r="CE249" s="48" t="n">
        <f aca="false">IF(CE$8=1,IF(Reales!$C$64="PYG",IF(CE$10&gt;0,N(Reales!CE64)/CE$10,0),N(Reales!CE64)),CE$229+CE$230)</f>
        <v>359454.263942086</v>
      </c>
      <c r="CF249" s="48" t="n">
        <f aca="false">IF(CF$8=1,IF(Reales!$C$64="PYG",IF(CF$10&gt;0,N(Reales!CF64)/CF$10,0),N(Reales!CF64)),CF$229+CF$230)</f>
        <v>359454.263942086</v>
      </c>
      <c r="CG249" s="48" t="n">
        <f aca="false">IF(CG$8=1,IF(Reales!$C$64="PYG",IF(CG$10&gt;0,N(Reales!CG64)/CG$10,0),N(Reales!CG64)),CG$229+CG$230)</f>
        <v>359454.263942086</v>
      </c>
      <c r="CH249" s="48" t="n">
        <f aca="false">IF(CH$8=1,IF(Reales!$C$64="PYG",IF(CH$10&gt;0,N(Reales!CH64)/CH$10,0),N(Reales!CH64)),CH$229+CH$230)</f>
        <v>359454.263942086</v>
      </c>
      <c r="CI249" s="48" t="n">
        <f aca="false">IF(CI$8=1,IF(Reales!$C$64="PYG",IF(CI$10&gt;0,N(Reales!CI64)/CI$10,0),N(Reales!CI64)),CI$229+CI$230)</f>
        <v>359454.263942086</v>
      </c>
      <c r="CJ249" s="48" t="n">
        <f aca="false">IF(CJ$8=1,IF(Reales!$C$64="PYG",IF(CJ$10&gt;0,N(Reales!CJ64)/CJ$10,0),N(Reales!CJ64)),CJ$229+CJ$230)</f>
        <v>359454.263942086</v>
      </c>
      <c r="CK249" s="48" t="n">
        <f aca="false">IF(CK$8=1,IF(Reales!$C$64="PYG",IF(CK$10&gt;0,N(Reales!CK64)/CK$10,0),N(Reales!CK64)),CK$229+CK$230)</f>
        <v>359454.263942086</v>
      </c>
      <c r="CL249" s="48" t="n">
        <f aca="false">IF(CL$8=1,IF(Reales!$C$64="PYG",IF(CL$10&gt;0,N(Reales!CL64)/CL$10,0),N(Reales!CL64)),CL$229+CL$230)</f>
        <v>361776.206581507</v>
      </c>
      <c r="CM249" s="48" t="n">
        <f aca="false">IF(CM$8=1,IF(Reales!$C$64="PYG",IF(CM$10&gt;0,N(Reales!CM64)/CM$10,0),N(Reales!CM64)),CM$229+CM$230)</f>
        <v>361776.206581507</v>
      </c>
      <c r="CN249" s="48" t="n">
        <f aca="false">IF(CN$8=1,IF(Reales!$C$64="PYG",IF(CN$10&gt;0,N(Reales!CN64)/CN$10,0),N(Reales!CN64)),CN$229+CN$230)</f>
        <v>361776.206581507</v>
      </c>
      <c r="CO249" s="48" t="n">
        <f aca="false">IF(CO$8=1,IF(Reales!$C$64="PYG",IF(CO$10&gt;0,N(Reales!CO64)/CO$10,0),N(Reales!CO64)),CO$229+CO$230)</f>
        <v>361776.206581507</v>
      </c>
      <c r="CP249" s="48" t="n">
        <f aca="false">IF(CP$8=1,IF(Reales!$C$64="PYG",IF(CP$10&gt;0,N(Reales!CP64)/CP$10,0),N(Reales!CP64)),CP$229+CP$230)</f>
        <v>361776.206581507</v>
      </c>
      <c r="CQ249" s="48" t="n">
        <f aca="false">IF(CQ$8=1,IF(Reales!$C$64="PYG",IF(CQ$10&gt;0,N(Reales!CQ64)/CQ$10,0),N(Reales!CQ64)),CQ$229+CQ$230)</f>
        <v>361776.206581507</v>
      </c>
      <c r="CR249" s="48" t="n">
        <f aca="false">IF(CR$8=1,IF(Reales!$C$64="PYG",IF(CR$10&gt;0,N(Reales!CR64)/CR$10,0),N(Reales!CR64)),CR$229+CR$230)</f>
        <v>361776.206581507</v>
      </c>
      <c r="CS249" s="48" t="n">
        <f aca="false">IF(CS$8=1,IF(Reales!$C$64="PYG",IF(CS$10&gt;0,N(Reales!CS64)/CS$10,0),N(Reales!CS64)),CS$229+CS$230)</f>
        <v>361776.206581507</v>
      </c>
      <c r="CT249" s="48" t="n">
        <f aca="false">IF(CT$8=1,IF(Reales!$C$64="PYG",IF(CT$10&gt;0,N(Reales!CT64)/CT$10,0),N(Reales!CT64)),CT$229+CT$230)</f>
        <v>361776.206581507</v>
      </c>
      <c r="CU249" s="48" t="n">
        <f aca="false">IF(CU$8=1,IF(Reales!$C$64="PYG",IF(CU$10&gt;0,N(Reales!CU64)/CU$10,0),N(Reales!CU64)),CU$229+CU$230)</f>
        <v>361776.206581507</v>
      </c>
      <c r="CV249" s="48" t="n">
        <f aca="false">IF(CV$8=1,IF(Reales!$C$64="PYG",IF(CV$10&gt;0,N(Reales!CV64)/CV$10,0),N(Reales!CV64)),CV$229+CV$230)</f>
        <v>361776.206581507</v>
      </c>
      <c r="CW249" s="48" t="n">
        <f aca="false">IF(CW$8=1,IF(Reales!$C$64="PYG",IF(CW$10&gt;0,N(Reales!CW64)/CW$10,0),N(Reales!CW64)),CW$229+CW$230)</f>
        <v>361776.206581507</v>
      </c>
      <c r="CX249" s="48" t="n">
        <f aca="false">IF(CX$8=1,IF(Reales!$C$64="PYG",IF(CX$10&gt;0,N(Reales!CX64)/CX$10,0),N(Reales!CX64)),CX$229+CX$230)</f>
        <v>364121.368647322</v>
      </c>
      <c r="CY249" s="48" t="n">
        <f aca="false">IF(CY$8=1,IF(Reales!$C$64="PYG",IF(CY$10&gt;0,N(Reales!CY64)/CY$10,0),N(Reales!CY64)),CY$229+CY$230)</f>
        <v>364121.368647322</v>
      </c>
      <c r="CZ249" s="48" t="n">
        <f aca="false">IF(CZ$8=1,IF(Reales!$C$64="PYG",IF(CZ$10&gt;0,N(Reales!CZ64)/CZ$10,0),N(Reales!CZ64)),CZ$229+CZ$230)</f>
        <v>364121.368647322</v>
      </c>
      <c r="DA249" s="48" t="n">
        <f aca="false">IF(DA$8=1,IF(Reales!$C$64="PYG",IF(DA$10&gt;0,N(Reales!DA64)/DA$10,0),N(Reales!DA64)),DA$229+DA$230)</f>
        <v>364121.368647322</v>
      </c>
      <c r="DB249" s="48" t="n">
        <f aca="false">IF(DB$8=1,IF(Reales!$C$64="PYG",IF(DB$10&gt;0,N(Reales!DB64)/DB$10,0),N(Reales!DB64)),DB$229+DB$230)</f>
        <v>364121.368647322</v>
      </c>
      <c r="DC249" s="48" t="n">
        <f aca="false">IF(DC$8=1,IF(Reales!$C$64="PYG",IF(DC$10&gt;0,N(Reales!DC64)/DC$10,0),N(Reales!DC64)),DC$229+DC$230)</f>
        <v>364121.368647322</v>
      </c>
      <c r="DD249" s="48" t="n">
        <f aca="false">IF(DD$8=1,IF(Reales!$C$64="PYG",IF(DD$10&gt;0,N(Reales!DD64)/DD$10,0),N(Reales!DD64)),DD$229+DD$230)</f>
        <v>364121.368647322</v>
      </c>
      <c r="DE249" s="48" t="n">
        <f aca="false">IF(DE$8=1,IF(Reales!$C$64="PYG",IF(DE$10&gt;0,N(Reales!DE64)/DE$10,0),N(Reales!DE64)),DE$229+DE$230)</f>
        <v>364121.368647322</v>
      </c>
      <c r="DF249" s="48" t="n">
        <f aca="false">IF(DF$8=1,IF(Reales!$C$64="PYG",IF(DF$10&gt;0,N(Reales!DF64)/DF$10,0),N(Reales!DF64)),DF$229+DF$230)</f>
        <v>364121.368647322</v>
      </c>
      <c r="DG249" s="48" t="n">
        <f aca="false">IF(DG$8=1,IF(Reales!$C$64="PYG",IF(DG$10&gt;0,N(Reales!DG64)/DG$10,0),N(Reales!DG64)),DG$229+DG$230)</f>
        <v>364121.368647322</v>
      </c>
      <c r="DH249" s="48" t="n">
        <f aca="false">IF(DH$8=1,IF(Reales!$C$64="PYG",IF(DH$10&gt;0,N(Reales!DH64)/DH$10,0),N(Reales!DH64)),DH$229+DH$230)</f>
        <v>364121.368647322</v>
      </c>
      <c r="DI249" s="48" t="n">
        <f aca="false">IF(DI$8=1,IF(Reales!$C$64="PYG",IF(DI$10&gt;0,N(Reales!DI64)/DI$10,0),N(Reales!DI64)),DI$229+DI$230)</f>
        <v>364121.368647322</v>
      </c>
      <c r="DJ249" s="48" t="n">
        <f aca="false">IF(DJ$8=1,IF(Reales!$C$64="PYG",IF(DJ$10&gt;0,N(Reales!DJ64)/DJ$10,0),N(Reales!DJ64)),DJ$229+DJ$230)</f>
        <v>366489.982333795</v>
      </c>
      <c r="DK249" s="48" t="n">
        <f aca="false">IF(DK$8=1,IF(Reales!$C$64="PYG",IF(DK$10&gt;0,N(Reales!DK64)/DK$10,0),N(Reales!DK64)),DK$229+DK$230)</f>
        <v>366489.982333795</v>
      </c>
      <c r="DL249" s="48" t="n">
        <f aca="false">IF(DL$8=1,IF(Reales!$C$64="PYG",IF(DL$10&gt;0,N(Reales!DL64)/DL$10,0),N(Reales!DL64)),DL$229+DL$230)</f>
        <v>366489.982333795</v>
      </c>
      <c r="DM249" s="48" t="n">
        <f aca="false">IF(DM$8=1,IF(Reales!$C$64="PYG",IF(DM$10&gt;0,N(Reales!DM64)/DM$10,0),N(Reales!DM64)),DM$229+DM$230)</f>
        <v>366489.982333795</v>
      </c>
      <c r="DN249" s="48" t="n">
        <f aca="false">IF(DN$8=1,IF(Reales!$C$64="PYG",IF(DN$10&gt;0,N(Reales!DN64)/DN$10,0),N(Reales!DN64)),DN$229+DN$230)</f>
        <v>366489.982333795</v>
      </c>
      <c r="DO249" s="48" t="n">
        <f aca="false">IF(DO$8=1,IF(Reales!$C$64="PYG",IF(DO$10&gt;0,N(Reales!DO64)/DO$10,0),N(Reales!DO64)),DO$229+DO$230)</f>
        <v>366489.982333795</v>
      </c>
      <c r="DP249" s="48" t="n">
        <f aca="false">IF(DP$8=1,IF(Reales!$C$64="PYG",IF(DP$10&gt;0,N(Reales!DP64)/DP$10,0),N(Reales!DP64)),DP$229+DP$230)</f>
        <v>366489.982333795</v>
      </c>
      <c r="DQ249" s="48" t="n">
        <f aca="false">IF(DQ$8=1,IF(Reales!$C$64="PYG",IF(DQ$10&gt;0,N(Reales!DQ64)/DQ$10,0),N(Reales!DQ64)),DQ$229+DQ$230)</f>
        <v>366489.982333795</v>
      </c>
      <c r="DR249" s="48" t="n">
        <f aca="false">IF(DR$8=1,IF(Reales!$C$64="PYG",IF(DR$10&gt;0,N(Reales!DR64)/DR$10,0),N(Reales!DR64)),DR$229+DR$230)</f>
        <v>366489.982333795</v>
      </c>
      <c r="DS249" s="48" t="n">
        <f aca="false">IF(DS$8=1,IF(Reales!$C$64="PYG",IF(DS$10&gt;0,N(Reales!DS64)/DS$10,0),N(Reales!DS64)),DS$229+DS$230)</f>
        <v>366489.982333795</v>
      </c>
      <c r="DT249" s="48" t="n">
        <f aca="false">IF(DT$8=1,IF(Reales!$C$64="PYG",IF(DT$10&gt;0,N(Reales!DT64)/DT$10,0),N(Reales!DT64)),DT$229+DT$230)</f>
        <v>366489.982333795</v>
      </c>
      <c r="DU249" s="48" t="n">
        <f aca="false">IF(DU$8=1,IF(Reales!$C$64="PYG",IF(DU$10&gt;0,N(Reales!DU64)/DU$10,0),N(Reales!DU64)),DU$229+DU$230)</f>
        <v>366489.982333795</v>
      </c>
      <c r="DV249" s="48" t="n">
        <f aca="false">IF(DV$8=1,IF(Reales!$C$64="PYG",IF(DV$10&gt;0,N(Reales!DV64)/DV$10,0),N(Reales!DV64)),DV$229+DV$230)</f>
        <v>0</v>
      </c>
      <c r="DW249" s="48" t="n">
        <f aca="false">IF(DW$8=1,IF(Reales!$C$64="PYG",IF(DW$10&gt;0,N(Reales!DW64)/DW$10,0),N(Reales!DW64)),DW$229+DW$230)</f>
        <v>0</v>
      </c>
      <c r="DX249" s="48" t="n">
        <f aca="false">IF(DX$8=1,IF(Reales!$C$64="PYG",IF(DX$10&gt;0,N(Reales!DX64)/DX$10,0),N(Reales!DX64)),DX$229+DX$230)</f>
        <v>0</v>
      </c>
      <c r="DY249" s="48" t="n">
        <f aca="false">IF(DY$8=1,IF(Reales!$C$64="PYG",IF(DY$10&gt;0,N(Reales!DY64)/DY$10,0),N(Reales!DY64)),DY$229+DY$230)</f>
        <v>0</v>
      </c>
      <c r="DZ249" s="48" t="n">
        <f aca="false">IF(DZ$8=1,IF(Reales!$C$64="PYG",IF(DZ$10&gt;0,N(Reales!DZ64)/DZ$10,0),N(Reales!DZ64)),DZ$229+DZ$230)</f>
        <v>0</v>
      </c>
      <c r="EA249" s="48" t="n">
        <f aca="false">IF(EA$8=1,IF(Reales!$C$64="PYG",IF(EA$10&gt;0,N(Reales!EA64)/EA$10,0),N(Reales!EA64)),EA$229+EA$230)</f>
        <v>0</v>
      </c>
      <c r="EB249" s="48" t="n">
        <f aca="false">IF(EB$8=1,IF(Reales!$C$64="PYG",IF(EB$10&gt;0,N(Reales!EB64)/EB$10,0),N(Reales!EB64)),EB$229+EB$230)</f>
        <v>0</v>
      </c>
      <c r="EC249" s="48" t="n">
        <f aca="false">IF(EC$8=1,IF(Reales!$C$64="PYG",IF(EC$10&gt;0,N(Reales!EC64)/EC$10,0),N(Reales!EC64)),EC$229+EC$230)</f>
        <v>0</v>
      </c>
      <c r="ED249" s="48" t="n">
        <f aca="false">IF(ED$8=1,IF(Reales!$C$64="PYG",IF(ED$10&gt;0,N(Reales!ED64)/ED$10,0),N(Reales!ED64)),ED$229+ED$230)</f>
        <v>0</v>
      </c>
      <c r="EE249" s="48" t="n">
        <f aca="false">IF(EE$8=1,IF(Reales!$C$64="PYG",IF(EE$10&gt;0,N(Reales!EE64)/EE$10,0),N(Reales!EE64)),EE$229+EE$230)</f>
        <v>0</v>
      </c>
      <c r="EF249" s="48" t="n">
        <f aca="false">IF(EF$8=1,IF(Reales!$C$64="PYG",IF(EF$10&gt;0,N(Reales!EF64)/EF$10,0),N(Reales!EF64)),EF$229+EF$230)</f>
        <v>0</v>
      </c>
      <c r="EG249" s="48" t="n">
        <f aca="false">IF(EG$8=1,IF(Reales!$C$64="PYG",IF(EG$10&gt;0,N(Reales!EG64)/EG$10,0),N(Reales!EG64)),EG$229+EG$230)</f>
        <v>0</v>
      </c>
      <c r="EH249" s="48" t="n">
        <f aca="false">IF(EH$8=1,IF(Reales!$C$64="PYG",IF(EH$10&gt;0,N(Reales!EH64)/EH$10,0),N(Reales!EH64)),EH$229+EH$230)</f>
        <v>0</v>
      </c>
      <c r="EI249" s="48" t="n">
        <f aca="false">IF(EI$8=1,IF(Reales!$C$64="PYG",IF(EI$10&gt;0,N(Reales!EI64)/EI$10,0),N(Reales!EI64)),EI$229+EI$230)</f>
        <v>0</v>
      </c>
      <c r="EJ249" s="48" t="n">
        <f aca="false">IF(EJ$8=1,IF(Reales!$C$64="PYG",IF(EJ$10&gt;0,N(Reales!EJ64)/EJ$10,0),N(Reales!EJ64)),EJ$229+EJ$230)</f>
        <v>0</v>
      </c>
      <c r="EK249" s="48" t="n">
        <f aca="false">IF(EK$8=1,IF(Reales!$C$64="PYG",IF(EK$10&gt;0,N(Reales!EK64)/EK$10,0),N(Reales!EK64)),EK$229+EK$230)</f>
        <v>0</v>
      </c>
      <c r="EL249" s="48" t="n">
        <f aca="false">IF(EL$8=1,IF(Reales!$C$64="PYG",IF(EL$10&gt;0,N(Reales!EL64)/EL$10,0),N(Reales!EL64)),EL$229+EL$230)</f>
        <v>0</v>
      </c>
      <c r="EM249" s="48" t="n">
        <f aca="false">IF(EM$8=1,IF(Reales!$C$64="PYG",IF(EM$10&gt;0,N(Reales!EM64)/EM$10,0),N(Reales!EM64)),EM$229+EM$230)</f>
        <v>0</v>
      </c>
      <c r="EN249" s="48" t="n">
        <f aca="false">IF(EN$8=1,IF(Reales!$C$64="PYG",IF(EN$10&gt;0,N(Reales!EN64)/EN$10,0),N(Reales!EN64)),EN$229+EN$230)</f>
        <v>0</v>
      </c>
      <c r="EO249" s="48" t="n">
        <f aca="false">IF(EO$8=1,IF(Reales!$C$64="PYG",IF(EO$10&gt;0,N(Reales!EO64)/EO$10,0),N(Reales!EO64)),EO$229+EO$230)</f>
        <v>0</v>
      </c>
      <c r="EP249" s="48" t="n">
        <f aca="false">IF(EP$8=1,IF(Reales!$C$64="PYG",IF(EP$10&gt;0,N(Reales!EP64)/EP$10,0),N(Reales!EP64)),EP$229+EP$230)</f>
        <v>0</v>
      </c>
      <c r="EQ249" s="48" t="n">
        <f aca="false">IF(EQ$8=1,IF(Reales!$C$64="PYG",IF(EQ$10&gt;0,N(Reales!EQ64)/EQ$10,0),N(Reales!EQ64)),EQ$229+EQ$230)</f>
        <v>0</v>
      </c>
      <c r="ER249" s="48" t="n">
        <f aca="false">IF(ER$8=1,IF(Reales!$C$64="PYG",IF(ER$10&gt;0,N(Reales!ER64)/ER$10,0),N(Reales!ER64)),ER$229+ER$230)</f>
        <v>0</v>
      </c>
      <c r="ES249" s="48" t="n">
        <f aca="false">IF(ES$8=1,IF(Reales!$C$64="PYG",IF(ES$10&gt;0,N(Reales!ES64)/ES$10,0),N(Reales!ES64)),ES$229+ES$230)</f>
        <v>0</v>
      </c>
    </row>
    <row r="250" customFormat="false" ht="15" hidden="false" customHeight="false" outlineLevel="0" collapsed="false">
      <c r="A250" s="11" t="s">
        <v>1371</v>
      </c>
      <c r="B250" s="15" t="s">
        <v>1160</v>
      </c>
      <c r="C250" s="15" t="s">
        <v>508</v>
      </c>
      <c r="E250" s="54" t="n">
        <f aca="false">SUM(F250:ES250)</f>
        <v>10172052.5275746</v>
      </c>
      <c r="F250" s="48" t="n">
        <f aca="false">IF(F$8=1,IF(Reales!$C$65="PYG",IF(F$10&gt;0,N(Reales!F65)/F$10,0),N(Reales!F65)),F$231+F$232+F$239+F$240)</f>
        <v>52969.9652546379</v>
      </c>
      <c r="G250" s="48" t="n">
        <f aca="false">IF(G$8=1,IF(Reales!$C$65="PYG",IF(G$10&gt;0,N(Reales!G65)/G$10,0),N(Reales!G65)),G$231+G$232+G$239+G$240)</f>
        <v>52969.9652546379</v>
      </c>
      <c r="H250" s="48" t="n">
        <f aca="false">IF(H$8=1,IF(Reales!$C$65="PYG",IF(H$10&gt;0,N(Reales!H65)/H$10,0),N(Reales!H65)),H$231+H$232+H$239+H$240)</f>
        <v>52969.9652546379</v>
      </c>
      <c r="I250" s="48" t="n">
        <f aca="false">IF(I$8=1,IF(Reales!$C$65="PYG",IF(I$10&gt;0,N(Reales!I65)/I$10,0),N(Reales!I65)),I$231+I$232+I$239+I$240)</f>
        <v>52969.9652546379</v>
      </c>
      <c r="J250" s="48" t="n">
        <f aca="false">IF(J$8=1,IF(Reales!$C$65="PYG",IF(J$10&gt;0,N(Reales!J65)/J$10,0),N(Reales!J65)),J$231+J$232+J$239+J$240)</f>
        <v>52969.9652546379</v>
      </c>
      <c r="K250" s="48" t="n">
        <f aca="false">IF(K$8=1,IF(Reales!$C$65="PYG",IF(K$10&gt;0,N(Reales!K65)/K$10,0),N(Reales!K65)),K$231+K$232+K$239+K$240)</f>
        <v>52969.9652546379</v>
      </c>
      <c r="L250" s="48" t="n">
        <f aca="false">IF(L$8=1,IF(Reales!$C$65="PYG",IF(L$10&gt;0,N(Reales!L65)/L$10,0),N(Reales!L65)),L$231+L$232+L$239+L$240)</f>
        <v>52969.9652546379</v>
      </c>
      <c r="M250" s="48" t="n">
        <f aca="false">IF(M$8=1,IF(Reales!$C$65="PYG",IF(M$10&gt;0,N(Reales!M65)/M$10,0),N(Reales!M65)),M$231+M$232+M$239+M$240)</f>
        <v>52969.9652546379</v>
      </c>
      <c r="N250" s="48" t="n">
        <f aca="false">IF(N$8=1,IF(Reales!$C$65="PYG",IF(N$10&gt;0,N(Reales!N65)/N$10,0),N(Reales!N65)),N$231+N$232+N$239+N$240)</f>
        <v>52969.9652546379</v>
      </c>
      <c r="O250" s="48" t="n">
        <f aca="false">IF(O$8=1,IF(Reales!$C$65="PYG",IF(O$10&gt;0,N(Reales!O65)/O$10,0),N(Reales!O65)),O$231+O$232+O$239+O$240)</f>
        <v>52969.9652546379</v>
      </c>
      <c r="P250" s="48" t="n">
        <f aca="false">IF(P$8=1,IF(Reales!$C$65="PYG",IF(P$10&gt;0,N(Reales!P65)/P$10,0),N(Reales!P65)),P$231+P$232+P$239+P$240)</f>
        <v>52969.9652546379</v>
      </c>
      <c r="Q250" s="48" t="n">
        <f aca="false">IF(Q$8=1,IF(Reales!$C$65="PYG",IF(Q$10&gt;0,N(Reales!Q65)/Q$10,0),N(Reales!Q65)),Q$231+Q$232+Q$239+Q$240)</f>
        <v>52969.9652546379</v>
      </c>
      <c r="R250" s="48" t="n">
        <f aca="false">IF(R$8=1,IF(Reales!$C$65="PYG",IF(R$10&gt;0,N(Reales!R65)/R$10,0),N(Reales!R65)),R$231+R$232+R$239+R$240)</f>
        <v>66880.9601704712</v>
      </c>
      <c r="S250" s="48" t="n">
        <f aca="false">IF(S$8=1,IF(Reales!$C$65="PYG",IF(S$10&gt;0,N(Reales!S65)/S$10,0),N(Reales!S65)),S$231+S$232+S$239+S$240)</f>
        <v>66880.9601704712</v>
      </c>
      <c r="T250" s="48" t="n">
        <f aca="false">IF(T$8=1,IF(Reales!$C$65="PYG",IF(T$10&gt;0,N(Reales!T65)/T$10,0),N(Reales!T65)),T$231+T$232+T$239+T$240)</f>
        <v>66880.9601704712</v>
      </c>
      <c r="U250" s="48" t="n">
        <f aca="false">IF(U$8=1,IF(Reales!$C$65="PYG",IF(U$10&gt;0,N(Reales!U65)/U$10,0),N(Reales!U65)),U$231+U$232+U$239+U$240)</f>
        <v>66880.9601704712</v>
      </c>
      <c r="V250" s="48" t="n">
        <f aca="false">IF(V$8=1,IF(Reales!$C$65="PYG",IF(V$10&gt;0,N(Reales!V65)/V$10,0),N(Reales!V65)),V$231+V$232+V$239+V$240)</f>
        <v>66880.9601704712</v>
      </c>
      <c r="W250" s="48" t="n">
        <f aca="false">IF(W$8=1,IF(Reales!$C$65="PYG",IF(W$10&gt;0,N(Reales!W65)/W$10,0),N(Reales!W65)),W$231+W$232+W$239+W$240)</f>
        <v>66880.9601704712</v>
      </c>
      <c r="X250" s="48" t="n">
        <f aca="false">IF(X$8=1,IF(Reales!$C$65="PYG",IF(X$10&gt;0,N(Reales!X65)/X$10,0),N(Reales!X65)),X$231+X$232+X$239+X$240)</f>
        <v>66880.9601704712</v>
      </c>
      <c r="Y250" s="48" t="n">
        <f aca="false">IF(Y$8=1,IF(Reales!$C$65="PYG",IF(Y$10&gt;0,N(Reales!Y65)/Y$10,0),N(Reales!Y65)),Y$231+Y$232+Y$239+Y$240)</f>
        <v>66880.9601704712</v>
      </c>
      <c r="Z250" s="48" t="n">
        <f aca="false">IF(Z$8=1,IF(Reales!$C$65="PYG",IF(Z$10&gt;0,N(Reales!Z65)/Z$10,0),N(Reales!Z65)),Z$231+Z$232+Z$239+Z$240)</f>
        <v>66880.9601704712</v>
      </c>
      <c r="AA250" s="48" t="n">
        <f aca="false">IF(AA$8=1,IF(Reales!$C$65="PYG",IF(AA$10&gt;0,N(Reales!AA65)/AA$10,0),N(Reales!AA65)),AA$231+AA$232+AA$239+AA$240)</f>
        <v>66880.9601704712</v>
      </c>
      <c r="AB250" s="48" t="n">
        <f aca="false">IF(AB$8=1,IF(Reales!$C$65="PYG",IF(AB$10&gt;0,N(Reales!AB65)/AB$10,0),N(Reales!AB65)),AB$231+AB$232+AB$239+AB$240)</f>
        <v>66880.9601704712</v>
      </c>
      <c r="AC250" s="48" t="n">
        <f aca="false">IF(AC$8=1,IF(Reales!$C$65="PYG",IF(AC$10&gt;0,N(Reales!AC65)/AC$10,0),N(Reales!AC65)),AC$231+AC$232+AC$239+AC$240)</f>
        <v>66880.9601704712</v>
      </c>
      <c r="AD250" s="48" t="n">
        <f aca="false">IF(AD$8=1,IF(Reales!$C$65="PYG",IF(AD$10&gt;0,N(Reales!AD65)/AD$10,0),N(Reales!AD65)),AD$231+AD$232+AD$239+AD$240)</f>
        <v>80847.7651147422</v>
      </c>
      <c r="AE250" s="48" t="n">
        <f aca="false">IF(AE$8=1,IF(Reales!$C$65="PYG",IF(AE$10&gt;0,N(Reales!AE65)/AE$10,0),N(Reales!AE65)),AE$231+AE$232+AE$239+AE$240)</f>
        <v>80847.7651147422</v>
      </c>
      <c r="AF250" s="48" t="n">
        <f aca="false">IF(AF$8=1,IF(Reales!$C$65="PYG",IF(AF$10&gt;0,N(Reales!AF65)/AF$10,0),N(Reales!AF65)),AF$231+AF$232+AF$239+AF$240)</f>
        <v>80847.7651147422</v>
      </c>
      <c r="AG250" s="48" t="n">
        <f aca="false">IF(AG$8=1,IF(Reales!$C$65="PYG",IF(AG$10&gt;0,N(Reales!AG65)/AG$10,0),N(Reales!AG65)),AG$231+AG$232+AG$239+AG$240)</f>
        <v>80847.7651147422</v>
      </c>
      <c r="AH250" s="48" t="n">
        <f aca="false">IF(AH$8=1,IF(Reales!$C$65="PYG",IF(AH$10&gt;0,N(Reales!AH65)/AH$10,0),N(Reales!AH65)),AH$231+AH$232+AH$239+AH$240)</f>
        <v>80847.7651147422</v>
      </c>
      <c r="AI250" s="48" t="n">
        <f aca="false">IF(AI$8=1,IF(Reales!$C$65="PYG",IF(AI$10&gt;0,N(Reales!AI65)/AI$10,0),N(Reales!AI65)),AI$231+AI$232+AI$239+AI$240)</f>
        <v>80847.7651147422</v>
      </c>
      <c r="AJ250" s="48" t="n">
        <f aca="false">IF(AJ$8=1,IF(Reales!$C$65="PYG",IF(AJ$10&gt;0,N(Reales!AJ65)/AJ$10,0),N(Reales!AJ65)),AJ$231+AJ$232+AJ$239+AJ$240)</f>
        <v>80847.7651147422</v>
      </c>
      <c r="AK250" s="48" t="n">
        <f aca="false">IF(AK$8=1,IF(Reales!$C$65="PYG",IF(AK$10&gt;0,N(Reales!AK65)/AK$10,0),N(Reales!AK65)),AK$231+AK$232+AK$239+AK$240)</f>
        <v>80847.7651147422</v>
      </c>
      <c r="AL250" s="48" t="n">
        <f aca="false">IF(AL$8=1,IF(Reales!$C$65="PYG",IF(AL$10&gt;0,N(Reales!AL65)/AL$10,0),N(Reales!AL65)),AL$231+AL$232+AL$239+AL$240)</f>
        <v>80847.7651147422</v>
      </c>
      <c r="AM250" s="48" t="n">
        <f aca="false">IF(AM$8=1,IF(Reales!$C$65="PYG",IF(AM$10&gt;0,N(Reales!AM65)/AM$10,0),N(Reales!AM65)),AM$231+AM$232+AM$239+AM$240)</f>
        <v>80847.7651147422</v>
      </c>
      <c r="AN250" s="48" t="n">
        <f aca="false">IF(AN$8=1,IF(Reales!$C$65="PYG",IF(AN$10&gt;0,N(Reales!AN65)/AN$10,0),N(Reales!AN65)),AN$231+AN$232+AN$239+AN$240)</f>
        <v>80847.7651147422</v>
      </c>
      <c r="AO250" s="48" t="n">
        <f aca="false">IF(AO$8=1,IF(Reales!$C$65="PYG",IF(AO$10&gt;0,N(Reales!AO65)/AO$10,0),N(Reales!AO65)),AO$231+AO$232+AO$239+AO$240)</f>
        <v>80847.7651147422</v>
      </c>
      <c r="AP250" s="48" t="n">
        <f aca="false">IF(AP$8=1,IF(Reales!$C$65="PYG",IF(AP$10&gt;0,N(Reales!AP65)/AP$10,0),N(Reales!AP65)),AP$231+AP$232+AP$239+AP$240)</f>
        <v>92105.4112574529</v>
      </c>
      <c r="AQ250" s="48" t="n">
        <f aca="false">IF(AQ$8=1,IF(Reales!$C$65="PYG",IF(AQ$10&gt;0,N(Reales!AQ65)/AQ$10,0),N(Reales!AQ65)),AQ$231+AQ$232+AQ$239+AQ$240)</f>
        <v>92105.4112574529</v>
      </c>
      <c r="AR250" s="48" t="n">
        <f aca="false">IF(AR$8=1,IF(Reales!$C$65="PYG",IF(AR$10&gt;0,N(Reales!AR65)/AR$10,0),N(Reales!AR65)),AR$231+AR$232+AR$239+AR$240)</f>
        <v>92105.4112574529</v>
      </c>
      <c r="AS250" s="48" t="n">
        <f aca="false">IF(AS$8=1,IF(Reales!$C$65="PYG",IF(AS$10&gt;0,N(Reales!AS65)/AS$10,0),N(Reales!AS65)),AS$231+AS$232+AS$239+AS$240)</f>
        <v>92105.4112574529</v>
      </c>
      <c r="AT250" s="48" t="n">
        <f aca="false">IF(AT$8=1,IF(Reales!$C$65="PYG",IF(AT$10&gt;0,N(Reales!AT65)/AT$10,0),N(Reales!AT65)),AT$231+AT$232+AT$239+AT$240)</f>
        <v>92105.4112574529</v>
      </c>
      <c r="AU250" s="48" t="n">
        <f aca="false">IF(AU$8=1,IF(Reales!$C$65="PYG",IF(AU$10&gt;0,N(Reales!AU65)/AU$10,0),N(Reales!AU65)),AU$231+AU$232+AU$239+AU$240)</f>
        <v>92105.4112574529</v>
      </c>
      <c r="AV250" s="48" t="n">
        <f aca="false">IF(AV$8=1,IF(Reales!$C$65="PYG",IF(AV$10&gt;0,N(Reales!AV65)/AV$10,0),N(Reales!AV65)),AV$231+AV$232+AV$239+AV$240)</f>
        <v>92105.4112574529</v>
      </c>
      <c r="AW250" s="48" t="n">
        <f aca="false">IF(AW$8=1,IF(Reales!$C$65="PYG",IF(AW$10&gt;0,N(Reales!AW65)/AW$10,0),N(Reales!AW65)),AW$231+AW$232+AW$239+AW$240)</f>
        <v>92105.4112574529</v>
      </c>
      <c r="AX250" s="48" t="n">
        <f aca="false">IF(AX$8=1,IF(Reales!$C$65="PYG",IF(AX$10&gt;0,N(Reales!AX65)/AX$10,0),N(Reales!AX65)),AX$231+AX$232+AX$239+AX$240)</f>
        <v>92105.4112574529</v>
      </c>
      <c r="AY250" s="48" t="n">
        <f aca="false">IF(AY$8=1,IF(Reales!$C$65="PYG",IF(AY$10&gt;0,N(Reales!AY65)/AY$10,0),N(Reales!AY65)),AY$231+AY$232+AY$239+AY$240)</f>
        <v>92105.4112574529</v>
      </c>
      <c r="AZ250" s="48" t="n">
        <f aca="false">IF(AZ$8=1,IF(Reales!$C$65="PYG",IF(AZ$10&gt;0,N(Reales!AZ65)/AZ$10,0),N(Reales!AZ65)),AZ$231+AZ$232+AZ$239+AZ$240)</f>
        <v>92105.4112574529</v>
      </c>
      <c r="BA250" s="48" t="n">
        <f aca="false">IF(BA$8=1,IF(Reales!$C$65="PYG",IF(BA$10&gt;0,N(Reales!BA65)/BA$10,0),N(Reales!BA65)),BA$231+BA$232+BA$239+BA$240)</f>
        <v>92105.4112574529</v>
      </c>
      <c r="BB250" s="48" t="n">
        <f aca="false">IF(BB$8=1,IF(Reales!$C$65="PYG",IF(BB$10&gt;0,N(Reales!BB65)/BB$10,0),N(Reales!BB65)),BB$231+BB$232+BB$239+BB$240)</f>
        <v>92228.6256826153</v>
      </c>
      <c r="BC250" s="48" t="n">
        <f aca="false">IF(BC$8=1,IF(Reales!$C$65="PYG",IF(BC$10&gt;0,N(Reales!BC65)/BC$10,0),N(Reales!BC65)),BC$231+BC$232+BC$239+BC$240)</f>
        <v>92228.6256826153</v>
      </c>
      <c r="BD250" s="48" t="n">
        <f aca="false">IF(BD$8=1,IF(Reales!$C$65="PYG",IF(BD$10&gt;0,N(Reales!BD65)/BD$10,0),N(Reales!BD65)),BD$231+BD$232+BD$239+BD$240)</f>
        <v>92228.6256826153</v>
      </c>
      <c r="BE250" s="48" t="n">
        <f aca="false">IF(BE$8=1,IF(Reales!$C$65="PYG",IF(BE$10&gt;0,N(Reales!BE65)/BE$10,0),N(Reales!BE65)),BE$231+BE$232+BE$239+BE$240)</f>
        <v>92228.6256826153</v>
      </c>
      <c r="BF250" s="48" t="n">
        <f aca="false">IF(BF$8=1,IF(Reales!$C$65="PYG",IF(BF$10&gt;0,N(Reales!BF65)/BF$10,0),N(Reales!BF65)),BF$231+BF$232+BF$239+BF$240)</f>
        <v>92228.6256826153</v>
      </c>
      <c r="BG250" s="48" t="n">
        <f aca="false">IF(BG$8=1,IF(Reales!$C$65="PYG",IF(BG$10&gt;0,N(Reales!BG65)/BG$10,0),N(Reales!BG65)),BG$231+BG$232+BG$239+BG$240)</f>
        <v>92228.6256826153</v>
      </c>
      <c r="BH250" s="48" t="n">
        <f aca="false">IF(BH$8=1,IF(Reales!$C$65="PYG",IF(BH$10&gt;0,N(Reales!BH65)/BH$10,0),N(Reales!BH65)),BH$231+BH$232+BH$239+BH$240)</f>
        <v>92228.6256826153</v>
      </c>
      <c r="BI250" s="48" t="n">
        <f aca="false">IF(BI$8=1,IF(Reales!$C$65="PYG",IF(BI$10&gt;0,N(Reales!BI65)/BI$10,0),N(Reales!BI65)),BI$231+BI$232+BI$239+BI$240)</f>
        <v>92228.6256826153</v>
      </c>
      <c r="BJ250" s="48" t="n">
        <f aca="false">IF(BJ$8=1,IF(Reales!$C$65="PYG",IF(BJ$10&gt;0,N(Reales!BJ65)/BJ$10,0),N(Reales!BJ65)),BJ$231+BJ$232+BJ$239+BJ$240)</f>
        <v>92228.6256826153</v>
      </c>
      <c r="BK250" s="48" t="n">
        <f aca="false">IF(BK$8=1,IF(Reales!$C$65="PYG",IF(BK$10&gt;0,N(Reales!BK65)/BK$10,0),N(Reales!BK65)),BK$231+BK$232+BK$239+BK$240)</f>
        <v>92228.6256826153</v>
      </c>
      <c r="BL250" s="48" t="n">
        <f aca="false">IF(BL$8=1,IF(Reales!$C$65="PYG",IF(BL$10&gt;0,N(Reales!BL65)/BL$10,0),N(Reales!BL65)),BL$231+BL$232+BL$239+BL$240)</f>
        <v>92228.6256826153</v>
      </c>
      <c r="BM250" s="48" t="n">
        <f aca="false">IF(BM$8=1,IF(Reales!$C$65="PYG",IF(BM$10&gt;0,N(Reales!BM65)/BM$10,0),N(Reales!BM65)),BM$231+BM$232+BM$239+BM$240)</f>
        <v>92228.6256826153</v>
      </c>
      <c r="BN250" s="48" t="n">
        <f aca="false">IF(BN$8=1,IF(Reales!$C$65="PYG",IF(BN$10&gt;0,N(Reales!BN65)/BN$10,0),N(Reales!BN65)),BN$231+BN$232+BN$239+BN$240)</f>
        <v>92326.9835736405</v>
      </c>
      <c r="BO250" s="48" t="n">
        <f aca="false">IF(BO$8=1,IF(Reales!$C$65="PYG",IF(BO$10&gt;0,N(Reales!BO65)/BO$10,0),N(Reales!BO65)),BO$231+BO$232+BO$239+BO$240)</f>
        <v>92326.9835736405</v>
      </c>
      <c r="BP250" s="48" t="n">
        <f aca="false">IF(BP$8=1,IF(Reales!$C$65="PYG",IF(BP$10&gt;0,N(Reales!BP65)/BP$10,0),N(Reales!BP65)),BP$231+BP$232+BP$239+BP$240)</f>
        <v>92326.9835736405</v>
      </c>
      <c r="BQ250" s="48" t="n">
        <f aca="false">IF(BQ$8=1,IF(Reales!$C$65="PYG",IF(BQ$10&gt;0,N(Reales!BQ65)/BQ$10,0),N(Reales!BQ65)),BQ$231+BQ$232+BQ$239+BQ$240)</f>
        <v>92326.9835736405</v>
      </c>
      <c r="BR250" s="48" t="n">
        <f aca="false">IF(BR$8=1,IF(Reales!$C$65="PYG",IF(BR$10&gt;0,N(Reales!BR65)/BR$10,0),N(Reales!BR65)),BR$231+BR$232+BR$239+BR$240)</f>
        <v>92326.9835736405</v>
      </c>
      <c r="BS250" s="48" t="n">
        <f aca="false">IF(BS$8=1,IF(Reales!$C$65="PYG",IF(BS$10&gt;0,N(Reales!BS65)/BS$10,0),N(Reales!BS65)),BS$231+BS$232+BS$239+BS$240)</f>
        <v>92326.9835736405</v>
      </c>
      <c r="BT250" s="48" t="n">
        <f aca="false">IF(BT$8=1,IF(Reales!$C$65="PYG",IF(BT$10&gt;0,N(Reales!BT65)/BT$10,0),N(Reales!BT65)),BT$231+BT$232+BT$239+BT$240)</f>
        <v>92326.9835736405</v>
      </c>
      <c r="BU250" s="48" t="n">
        <f aca="false">IF(BU$8=1,IF(Reales!$C$65="PYG",IF(BU$10&gt;0,N(Reales!BU65)/BU$10,0),N(Reales!BU65)),BU$231+BU$232+BU$239+BU$240)</f>
        <v>92326.9835736405</v>
      </c>
      <c r="BV250" s="48" t="n">
        <f aca="false">IF(BV$8=1,IF(Reales!$C$65="PYG",IF(BV$10&gt;0,N(Reales!BV65)/BV$10,0),N(Reales!BV65)),BV$231+BV$232+BV$239+BV$240)</f>
        <v>92326.9835736405</v>
      </c>
      <c r="BW250" s="48" t="n">
        <f aca="false">IF(BW$8=1,IF(Reales!$C$65="PYG",IF(BW$10&gt;0,N(Reales!BW65)/BW$10,0),N(Reales!BW65)),BW$231+BW$232+BW$239+BW$240)</f>
        <v>92326.9835736405</v>
      </c>
      <c r="BX250" s="48" t="n">
        <f aca="false">IF(BX$8=1,IF(Reales!$C$65="PYG",IF(BX$10&gt;0,N(Reales!BX65)/BX$10,0),N(Reales!BX65)),BX$231+BX$232+BX$239+BX$240)</f>
        <v>92326.9835736405</v>
      </c>
      <c r="BY250" s="48" t="n">
        <f aca="false">IF(BY$8=1,IF(Reales!$C$65="PYG",IF(BY$10&gt;0,N(Reales!BY65)/BY$10,0),N(Reales!BY65)),BY$231+BY$232+BY$239+BY$240)</f>
        <v>92326.9835736405</v>
      </c>
      <c r="BZ250" s="48" t="n">
        <f aca="false">IF(BZ$8=1,IF(Reales!$C$65="PYG",IF(BZ$10&gt;0,N(Reales!BZ65)/BZ$10,0),N(Reales!BZ65)),BZ$231+BZ$232+BZ$239+BZ$240)</f>
        <v>92426.325043576</v>
      </c>
      <c r="CA250" s="48" t="n">
        <f aca="false">IF(CA$8=1,IF(Reales!$C$65="PYG",IF(CA$10&gt;0,N(Reales!CA65)/CA$10,0),N(Reales!CA65)),CA$231+CA$232+CA$239+CA$240)</f>
        <v>92426.325043576</v>
      </c>
      <c r="CB250" s="48" t="n">
        <f aca="false">IF(CB$8=1,IF(Reales!$C$65="PYG",IF(CB$10&gt;0,N(Reales!CB65)/CB$10,0),N(Reales!CB65)),CB$231+CB$232+CB$239+CB$240)</f>
        <v>92426.325043576</v>
      </c>
      <c r="CC250" s="48" t="n">
        <f aca="false">IF(CC$8=1,IF(Reales!$C$65="PYG",IF(CC$10&gt;0,N(Reales!CC65)/CC$10,0),N(Reales!CC65)),CC$231+CC$232+CC$239+CC$240)</f>
        <v>92426.325043576</v>
      </c>
      <c r="CD250" s="48" t="n">
        <f aca="false">IF(CD$8=1,IF(Reales!$C$65="PYG",IF(CD$10&gt;0,N(Reales!CD65)/CD$10,0),N(Reales!CD65)),CD$231+CD$232+CD$239+CD$240)</f>
        <v>92426.325043576</v>
      </c>
      <c r="CE250" s="48" t="n">
        <f aca="false">IF(CE$8=1,IF(Reales!$C$65="PYG",IF(CE$10&gt;0,N(Reales!CE65)/CE$10,0),N(Reales!CE65)),CE$231+CE$232+CE$239+CE$240)</f>
        <v>92426.325043576</v>
      </c>
      <c r="CF250" s="48" t="n">
        <f aca="false">IF(CF$8=1,IF(Reales!$C$65="PYG",IF(CF$10&gt;0,N(Reales!CF65)/CF$10,0),N(Reales!CF65)),CF$231+CF$232+CF$239+CF$240)</f>
        <v>92426.325043576</v>
      </c>
      <c r="CG250" s="48" t="n">
        <f aca="false">IF(CG$8=1,IF(Reales!$C$65="PYG",IF(CG$10&gt;0,N(Reales!CG65)/CG$10,0),N(Reales!CG65)),CG$231+CG$232+CG$239+CG$240)</f>
        <v>92426.325043576</v>
      </c>
      <c r="CH250" s="48" t="n">
        <f aca="false">IF(CH$8=1,IF(Reales!$C$65="PYG",IF(CH$10&gt;0,N(Reales!CH65)/CH$10,0),N(Reales!CH65)),CH$231+CH$232+CH$239+CH$240)</f>
        <v>92426.325043576</v>
      </c>
      <c r="CI250" s="48" t="n">
        <f aca="false">IF(CI$8=1,IF(Reales!$C$65="PYG",IF(CI$10&gt;0,N(Reales!CI65)/CI$10,0),N(Reales!CI65)),CI$231+CI$232+CI$239+CI$240)</f>
        <v>92426.325043576</v>
      </c>
      <c r="CJ250" s="48" t="n">
        <f aca="false">IF(CJ$8=1,IF(Reales!$C$65="PYG",IF(CJ$10&gt;0,N(Reales!CJ65)/CJ$10,0),N(Reales!CJ65)),CJ$231+CJ$232+CJ$239+CJ$240)</f>
        <v>92426.325043576</v>
      </c>
      <c r="CK250" s="48" t="n">
        <f aca="false">IF(CK$8=1,IF(Reales!$C$65="PYG",IF(CK$10&gt;0,N(Reales!CK65)/CK$10,0),N(Reales!CK65)),CK$231+CK$232+CK$239+CK$240)</f>
        <v>92426.325043576</v>
      </c>
      <c r="CL250" s="48" t="n">
        <f aca="false">IF(CL$8=1,IF(Reales!$C$65="PYG",IF(CL$10&gt;0,N(Reales!CL65)/CL$10,0),N(Reales!CL65)),CL$231+CL$232+CL$239+CL$240)</f>
        <v>92526.6599282108</v>
      </c>
      <c r="CM250" s="48" t="n">
        <f aca="false">IF(CM$8=1,IF(Reales!$C$65="PYG",IF(CM$10&gt;0,N(Reales!CM65)/CM$10,0),N(Reales!CM65)),CM$231+CM$232+CM$239+CM$240)</f>
        <v>92526.6599282108</v>
      </c>
      <c r="CN250" s="48" t="n">
        <f aca="false">IF(CN$8=1,IF(Reales!$C$65="PYG",IF(CN$10&gt;0,N(Reales!CN65)/CN$10,0),N(Reales!CN65)),CN$231+CN$232+CN$239+CN$240)</f>
        <v>92526.6599282108</v>
      </c>
      <c r="CO250" s="48" t="n">
        <f aca="false">IF(CO$8=1,IF(Reales!$C$65="PYG",IF(CO$10&gt;0,N(Reales!CO65)/CO$10,0),N(Reales!CO65)),CO$231+CO$232+CO$239+CO$240)</f>
        <v>92526.6599282108</v>
      </c>
      <c r="CP250" s="48" t="n">
        <f aca="false">IF(CP$8=1,IF(Reales!$C$65="PYG",IF(CP$10&gt;0,N(Reales!CP65)/CP$10,0),N(Reales!CP65)),CP$231+CP$232+CP$239+CP$240)</f>
        <v>92526.6599282108</v>
      </c>
      <c r="CQ250" s="48" t="n">
        <f aca="false">IF(CQ$8=1,IF(Reales!$C$65="PYG",IF(CQ$10&gt;0,N(Reales!CQ65)/CQ$10,0),N(Reales!CQ65)),CQ$231+CQ$232+CQ$239+CQ$240)</f>
        <v>92526.6599282108</v>
      </c>
      <c r="CR250" s="48" t="n">
        <f aca="false">IF(CR$8=1,IF(Reales!$C$65="PYG",IF(CR$10&gt;0,N(Reales!CR65)/CR$10,0),N(Reales!CR65)),CR$231+CR$232+CR$239+CR$240)</f>
        <v>92526.6599282108</v>
      </c>
      <c r="CS250" s="48" t="n">
        <f aca="false">IF(CS$8=1,IF(Reales!$C$65="PYG",IF(CS$10&gt;0,N(Reales!CS65)/CS$10,0),N(Reales!CS65)),CS$231+CS$232+CS$239+CS$240)</f>
        <v>92526.6599282108</v>
      </c>
      <c r="CT250" s="48" t="n">
        <f aca="false">IF(CT$8=1,IF(Reales!$C$65="PYG",IF(CT$10&gt;0,N(Reales!CT65)/CT$10,0),N(Reales!CT65)),CT$231+CT$232+CT$239+CT$240)</f>
        <v>92526.6599282108</v>
      </c>
      <c r="CU250" s="48" t="n">
        <f aca="false">IF(CU$8=1,IF(Reales!$C$65="PYG",IF(CU$10&gt;0,N(Reales!CU65)/CU$10,0),N(Reales!CU65)),CU$231+CU$232+CU$239+CU$240)</f>
        <v>92526.6599282108</v>
      </c>
      <c r="CV250" s="48" t="n">
        <f aca="false">IF(CV$8=1,IF(Reales!$C$65="PYG",IF(CV$10&gt;0,N(Reales!CV65)/CV$10,0),N(Reales!CV65)),CV$231+CV$232+CV$239+CV$240)</f>
        <v>92526.6599282108</v>
      </c>
      <c r="CW250" s="48" t="n">
        <f aca="false">IF(CW$8=1,IF(Reales!$C$65="PYG",IF(CW$10&gt;0,N(Reales!CW65)/CW$10,0),N(Reales!CW65)),CW$231+CW$232+CW$239+CW$240)</f>
        <v>92526.6599282108</v>
      </c>
      <c r="CX250" s="48" t="n">
        <f aca="false">IF(CX$8=1,IF(Reales!$C$65="PYG",IF(CX$10&gt;0,N(Reales!CX65)/CX$10,0),N(Reales!CX65)),CX$231+CX$232+CX$239+CX$240)</f>
        <v>92627.998161692</v>
      </c>
      <c r="CY250" s="48" t="n">
        <f aca="false">IF(CY$8=1,IF(Reales!$C$65="PYG",IF(CY$10&gt;0,N(Reales!CY65)/CY$10,0),N(Reales!CY65)),CY$231+CY$232+CY$239+CY$240)</f>
        <v>92627.998161692</v>
      </c>
      <c r="CZ250" s="48" t="n">
        <f aca="false">IF(CZ$8=1,IF(Reales!$C$65="PYG",IF(CZ$10&gt;0,N(Reales!CZ65)/CZ$10,0),N(Reales!CZ65)),CZ$231+CZ$232+CZ$239+CZ$240)</f>
        <v>92627.998161692</v>
      </c>
      <c r="DA250" s="48" t="n">
        <f aca="false">IF(DA$8=1,IF(Reales!$C$65="PYG",IF(DA$10&gt;0,N(Reales!DA65)/DA$10,0),N(Reales!DA65)),DA$231+DA$232+DA$239+DA$240)</f>
        <v>92627.998161692</v>
      </c>
      <c r="DB250" s="48" t="n">
        <f aca="false">IF(DB$8=1,IF(Reales!$C$65="PYG",IF(DB$10&gt;0,N(Reales!DB65)/DB$10,0),N(Reales!DB65)),DB$231+DB$232+DB$239+DB$240)</f>
        <v>92627.998161692</v>
      </c>
      <c r="DC250" s="48" t="n">
        <f aca="false">IF(DC$8=1,IF(Reales!$C$65="PYG",IF(DC$10&gt;0,N(Reales!DC65)/DC$10,0),N(Reales!DC65)),DC$231+DC$232+DC$239+DC$240)</f>
        <v>92627.998161692</v>
      </c>
      <c r="DD250" s="48" t="n">
        <f aca="false">IF(DD$8=1,IF(Reales!$C$65="PYG",IF(DD$10&gt;0,N(Reales!DD65)/DD$10,0),N(Reales!DD65)),DD$231+DD$232+DD$239+DD$240)</f>
        <v>92627.998161692</v>
      </c>
      <c r="DE250" s="48" t="n">
        <f aca="false">IF(DE$8=1,IF(Reales!$C$65="PYG",IF(DE$10&gt;0,N(Reales!DE65)/DE$10,0),N(Reales!DE65)),DE$231+DE$232+DE$239+DE$240)</f>
        <v>92627.998161692</v>
      </c>
      <c r="DF250" s="48" t="n">
        <f aca="false">IF(DF$8=1,IF(Reales!$C$65="PYG",IF(DF$10&gt;0,N(Reales!DF65)/DF$10,0),N(Reales!DF65)),DF$231+DF$232+DF$239+DF$240)</f>
        <v>92627.998161692</v>
      </c>
      <c r="DG250" s="48" t="n">
        <f aca="false">IF(DG$8=1,IF(Reales!$C$65="PYG",IF(DG$10&gt;0,N(Reales!DG65)/DG$10,0),N(Reales!DG65)),DG$231+DG$232+DG$239+DG$240)</f>
        <v>92627.998161692</v>
      </c>
      <c r="DH250" s="48" t="n">
        <f aca="false">IF(DH$8=1,IF(Reales!$C$65="PYG",IF(DH$10&gt;0,N(Reales!DH65)/DH$10,0),N(Reales!DH65)),DH$231+DH$232+DH$239+DH$240)</f>
        <v>92627.998161692</v>
      </c>
      <c r="DI250" s="48" t="n">
        <f aca="false">IF(DI$8=1,IF(Reales!$C$65="PYG",IF(DI$10&gt;0,N(Reales!DI65)/DI$10,0),N(Reales!DI65)),DI$231+DI$232+DI$239+DI$240)</f>
        <v>92627.998161692</v>
      </c>
      <c r="DJ250" s="48" t="n">
        <f aca="false">IF(DJ$8=1,IF(Reales!$C$65="PYG",IF(DJ$10&gt;0,N(Reales!DJ65)/DJ$10,0),N(Reales!DJ65)),DJ$231+DJ$232+DJ$239+DJ$240)</f>
        <v>92730.3497775079</v>
      </c>
      <c r="DK250" s="48" t="n">
        <f aca="false">IF(DK$8=1,IF(Reales!$C$65="PYG",IF(DK$10&gt;0,N(Reales!DK65)/DK$10,0),N(Reales!DK65)),DK$231+DK$232+DK$239+DK$240)</f>
        <v>92730.3497775079</v>
      </c>
      <c r="DL250" s="48" t="n">
        <f aca="false">IF(DL$8=1,IF(Reales!$C$65="PYG",IF(DL$10&gt;0,N(Reales!DL65)/DL$10,0),N(Reales!DL65)),DL$231+DL$232+DL$239+DL$240)</f>
        <v>92730.3497775079</v>
      </c>
      <c r="DM250" s="48" t="n">
        <f aca="false">IF(DM$8=1,IF(Reales!$C$65="PYG",IF(DM$10&gt;0,N(Reales!DM65)/DM$10,0),N(Reales!DM65)),DM$231+DM$232+DM$239+DM$240)</f>
        <v>92730.3497775079</v>
      </c>
      <c r="DN250" s="48" t="n">
        <f aca="false">IF(DN$8=1,IF(Reales!$C$65="PYG",IF(DN$10&gt;0,N(Reales!DN65)/DN$10,0),N(Reales!DN65)),DN$231+DN$232+DN$239+DN$240)</f>
        <v>92730.3497775079</v>
      </c>
      <c r="DO250" s="48" t="n">
        <f aca="false">IF(DO$8=1,IF(Reales!$C$65="PYG",IF(DO$10&gt;0,N(Reales!DO65)/DO$10,0),N(Reales!DO65)),DO$231+DO$232+DO$239+DO$240)</f>
        <v>92730.3497775079</v>
      </c>
      <c r="DP250" s="48" t="n">
        <f aca="false">IF(DP$8=1,IF(Reales!$C$65="PYG",IF(DP$10&gt;0,N(Reales!DP65)/DP$10,0),N(Reales!DP65)),DP$231+DP$232+DP$239+DP$240)</f>
        <v>92730.3497775079</v>
      </c>
      <c r="DQ250" s="48" t="n">
        <f aca="false">IF(DQ$8=1,IF(Reales!$C$65="PYG",IF(DQ$10&gt;0,N(Reales!DQ65)/DQ$10,0),N(Reales!DQ65)),DQ$231+DQ$232+DQ$239+DQ$240)</f>
        <v>92730.3497775079</v>
      </c>
      <c r="DR250" s="48" t="n">
        <f aca="false">IF(DR$8=1,IF(Reales!$C$65="PYG",IF(DR$10&gt;0,N(Reales!DR65)/DR$10,0),N(Reales!DR65)),DR$231+DR$232+DR$239+DR$240)</f>
        <v>92730.3497775079</v>
      </c>
      <c r="DS250" s="48" t="n">
        <f aca="false">IF(DS$8=1,IF(Reales!$C$65="PYG",IF(DS$10&gt;0,N(Reales!DS65)/DS$10,0),N(Reales!DS65)),DS$231+DS$232+DS$239+DS$240)</f>
        <v>92730.3497775079</v>
      </c>
      <c r="DT250" s="48" t="n">
        <f aca="false">IF(DT$8=1,IF(Reales!$C$65="PYG",IF(DT$10&gt;0,N(Reales!DT65)/DT$10,0),N(Reales!DT65)),DT$231+DT$232+DT$239+DT$240)</f>
        <v>92730.3497775079</v>
      </c>
      <c r="DU250" s="48" t="n">
        <f aca="false">IF(DU$8=1,IF(Reales!$C$65="PYG",IF(DU$10&gt;0,N(Reales!DU65)/DU$10,0),N(Reales!DU65)),DU$231+DU$232+DU$239+DU$240)</f>
        <v>92730.3497775079</v>
      </c>
      <c r="DV250" s="48" t="n">
        <f aca="false">IF(DV$8=1,IF(Reales!$C$65="PYG",IF(DV$10&gt;0,N(Reales!DV65)/DV$10,0),N(Reales!DV65)),DV$231+DV$232+DV$239+DV$240)</f>
        <v>0</v>
      </c>
      <c r="DW250" s="48" t="n">
        <f aca="false">IF(DW$8=1,IF(Reales!$C$65="PYG",IF(DW$10&gt;0,N(Reales!DW65)/DW$10,0),N(Reales!DW65)),DW$231+DW$232+DW$239+DW$240)</f>
        <v>0</v>
      </c>
      <c r="DX250" s="48" t="n">
        <f aca="false">IF(DX$8=1,IF(Reales!$C$65="PYG",IF(DX$10&gt;0,N(Reales!DX65)/DX$10,0),N(Reales!DX65)),DX$231+DX$232+DX$239+DX$240)</f>
        <v>0</v>
      </c>
      <c r="DY250" s="48" t="n">
        <f aca="false">IF(DY$8=1,IF(Reales!$C$65="PYG",IF(DY$10&gt;0,N(Reales!DY65)/DY$10,0),N(Reales!DY65)),DY$231+DY$232+DY$239+DY$240)</f>
        <v>0</v>
      </c>
      <c r="DZ250" s="48" t="n">
        <f aca="false">IF(DZ$8=1,IF(Reales!$C$65="PYG",IF(DZ$10&gt;0,N(Reales!DZ65)/DZ$10,0),N(Reales!DZ65)),DZ$231+DZ$232+DZ$239+DZ$240)</f>
        <v>0</v>
      </c>
      <c r="EA250" s="48" t="n">
        <f aca="false">IF(EA$8=1,IF(Reales!$C$65="PYG",IF(EA$10&gt;0,N(Reales!EA65)/EA$10,0),N(Reales!EA65)),EA$231+EA$232+EA$239+EA$240)</f>
        <v>0</v>
      </c>
      <c r="EB250" s="48" t="n">
        <f aca="false">IF(EB$8=1,IF(Reales!$C$65="PYG",IF(EB$10&gt;0,N(Reales!EB65)/EB$10,0),N(Reales!EB65)),EB$231+EB$232+EB$239+EB$240)</f>
        <v>0</v>
      </c>
      <c r="EC250" s="48" t="n">
        <f aca="false">IF(EC$8=1,IF(Reales!$C$65="PYG",IF(EC$10&gt;0,N(Reales!EC65)/EC$10,0),N(Reales!EC65)),EC$231+EC$232+EC$239+EC$240)</f>
        <v>0</v>
      </c>
      <c r="ED250" s="48" t="n">
        <f aca="false">IF(ED$8=1,IF(Reales!$C$65="PYG",IF(ED$10&gt;0,N(Reales!ED65)/ED$10,0),N(Reales!ED65)),ED$231+ED$232+ED$239+ED$240)</f>
        <v>0</v>
      </c>
      <c r="EE250" s="48" t="n">
        <f aca="false">IF(EE$8=1,IF(Reales!$C$65="PYG",IF(EE$10&gt;0,N(Reales!EE65)/EE$10,0),N(Reales!EE65)),EE$231+EE$232+EE$239+EE$240)</f>
        <v>0</v>
      </c>
      <c r="EF250" s="48" t="n">
        <f aca="false">IF(EF$8=1,IF(Reales!$C$65="PYG",IF(EF$10&gt;0,N(Reales!EF65)/EF$10,0),N(Reales!EF65)),EF$231+EF$232+EF$239+EF$240)</f>
        <v>0</v>
      </c>
      <c r="EG250" s="48" t="n">
        <f aca="false">IF(EG$8=1,IF(Reales!$C$65="PYG",IF(EG$10&gt;0,N(Reales!EG65)/EG$10,0),N(Reales!EG65)),EG$231+EG$232+EG$239+EG$240)</f>
        <v>0</v>
      </c>
      <c r="EH250" s="48" t="n">
        <f aca="false">IF(EH$8=1,IF(Reales!$C$65="PYG",IF(EH$10&gt;0,N(Reales!EH65)/EH$10,0),N(Reales!EH65)),EH$231+EH$232+EH$239+EH$240)</f>
        <v>0</v>
      </c>
      <c r="EI250" s="48" t="n">
        <f aca="false">IF(EI$8=1,IF(Reales!$C$65="PYG",IF(EI$10&gt;0,N(Reales!EI65)/EI$10,0),N(Reales!EI65)),EI$231+EI$232+EI$239+EI$240)</f>
        <v>0</v>
      </c>
      <c r="EJ250" s="48" t="n">
        <f aca="false">IF(EJ$8=1,IF(Reales!$C$65="PYG",IF(EJ$10&gt;0,N(Reales!EJ65)/EJ$10,0),N(Reales!EJ65)),EJ$231+EJ$232+EJ$239+EJ$240)</f>
        <v>0</v>
      </c>
      <c r="EK250" s="48" t="n">
        <f aca="false">IF(EK$8=1,IF(Reales!$C$65="PYG",IF(EK$10&gt;0,N(Reales!EK65)/EK$10,0),N(Reales!EK65)),EK$231+EK$232+EK$239+EK$240)</f>
        <v>0</v>
      </c>
      <c r="EL250" s="48" t="n">
        <f aca="false">IF(EL$8=1,IF(Reales!$C$65="PYG",IF(EL$10&gt;0,N(Reales!EL65)/EL$10,0),N(Reales!EL65)),EL$231+EL$232+EL$239+EL$240)</f>
        <v>0</v>
      </c>
      <c r="EM250" s="48" t="n">
        <f aca="false">IF(EM$8=1,IF(Reales!$C$65="PYG",IF(EM$10&gt;0,N(Reales!EM65)/EM$10,0),N(Reales!EM65)),EM$231+EM$232+EM$239+EM$240)</f>
        <v>0</v>
      </c>
      <c r="EN250" s="48" t="n">
        <f aca="false">IF(EN$8=1,IF(Reales!$C$65="PYG",IF(EN$10&gt;0,N(Reales!EN65)/EN$10,0),N(Reales!EN65)),EN$231+EN$232+EN$239+EN$240)</f>
        <v>0</v>
      </c>
      <c r="EO250" s="48" t="n">
        <f aca="false">IF(EO$8=1,IF(Reales!$C$65="PYG",IF(EO$10&gt;0,N(Reales!EO65)/EO$10,0),N(Reales!EO65)),EO$231+EO$232+EO$239+EO$240)</f>
        <v>0</v>
      </c>
      <c r="EP250" s="48" t="n">
        <f aca="false">IF(EP$8=1,IF(Reales!$C$65="PYG",IF(EP$10&gt;0,N(Reales!EP65)/EP$10,0),N(Reales!EP65)),EP$231+EP$232+EP$239+EP$240)</f>
        <v>0</v>
      </c>
      <c r="EQ250" s="48" t="n">
        <f aca="false">IF(EQ$8=1,IF(Reales!$C$65="PYG",IF(EQ$10&gt;0,N(Reales!EQ65)/EQ$10,0),N(Reales!EQ65)),EQ$231+EQ$232+EQ$239+EQ$240)</f>
        <v>0</v>
      </c>
      <c r="ER250" s="48" t="n">
        <f aca="false">IF(ER$8=1,IF(Reales!$C$65="PYG",IF(ER$10&gt;0,N(Reales!ER65)/ER$10,0),N(Reales!ER65)),ER$231+ER$232+ER$239+ER$240)</f>
        <v>0</v>
      </c>
      <c r="ES250" s="48" t="n">
        <f aca="false">IF(ES$8=1,IF(Reales!$C$65="PYG",IF(ES$10&gt;0,N(Reales!ES65)/ES$10,0),N(Reales!ES65)),ES$231+ES$232+ES$239+ES$240)</f>
        <v>0</v>
      </c>
    </row>
    <row r="251" customFormat="false" ht="15" hidden="false" customHeight="false" outlineLevel="0" collapsed="false">
      <c r="A251" s="11" t="s">
        <v>1372</v>
      </c>
      <c r="B251" s="15" t="s">
        <v>1162</v>
      </c>
      <c r="C251" s="15" t="s">
        <v>508</v>
      </c>
      <c r="E251" s="54" t="n">
        <f aca="false">SUM(F251:ES251)</f>
        <v>6984448.30293321</v>
      </c>
      <c r="F251" s="48" t="n">
        <f aca="false">IF(F$8=1,IF(Reales!$C$66="PYG",IF(F$10&gt;0,N(Reales!F66)/F$10,0),N(Reales!F66)),F$234+F$236)</f>
        <v>53054.720696137</v>
      </c>
      <c r="G251" s="48" t="n">
        <f aca="false">IF(G$8=1,IF(Reales!$C$66="PYG",IF(G$10&gt;0,N(Reales!G66)/G$10,0),N(Reales!G66)),G$234+G$236)</f>
        <v>53054.720696137</v>
      </c>
      <c r="H251" s="48" t="n">
        <f aca="false">IF(H$8=1,IF(Reales!$C$66="PYG",IF(H$10&gt;0,N(Reales!H66)/H$10,0),N(Reales!H66)),H$234+H$236)</f>
        <v>53054.720696137</v>
      </c>
      <c r="I251" s="48" t="n">
        <f aca="false">IF(I$8=1,IF(Reales!$C$66="PYG",IF(I$10&gt;0,N(Reales!I66)/I$10,0),N(Reales!I66)),I$234+I$236)</f>
        <v>53054.720696137</v>
      </c>
      <c r="J251" s="48" t="n">
        <f aca="false">IF(J$8=1,IF(Reales!$C$66="PYG",IF(J$10&gt;0,N(Reales!J66)/J$10,0),N(Reales!J66)),J$234+J$236)</f>
        <v>53054.720696137</v>
      </c>
      <c r="K251" s="48" t="n">
        <f aca="false">IF(K$8=1,IF(Reales!$C$66="PYG",IF(K$10&gt;0,N(Reales!K66)/K$10,0),N(Reales!K66)),K$234+K$236)</f>
        <v>53054.720696137</v>
      </c>
      <c r="L251" s="48" t="n">
        <f aca="false">IF(L$8=1,IF(Reales!$C$66="PYG",IF(L$10&gt;0,N(Reales!L66)/L$10,0),N(Reales!L66)),L$234+L$236)</f>
        <v>53054.720696137</v>
      </c>
      <c r="M251" s="48" t="n">
        <f aca="false">IF(M$8=1,IF(Reales!$C$66="PYG",IF(M$10&gt;0,N(Reales!M66)/M$10,0),N(Reales!M66)),M$234+M$236)</f>
        <v>53054.720696137</v>
      </c>
      <c r="N251" s="48" t="n">
        <f aca="false">IF(N$8=1,IF(Reales!$C$66="PYG",IF(N$10&gt;0,N(Reales!N66)/N$10,0),N(Reales!N66)),N$234+N$236)</f>
        <v>53054.720696137</v>
      </c>
      <c r="O251" s="48" t="n">
        <f aca="false">IF(O$8=1,IF(Reales!$C$66="PYG",IF(O$10&gt;0,N(Reales!O66)/O$10,0),N(Reales!O66)),O$234+O$236)</f>
        <v>53054.720696137</v>
      </c>
      <c r="P251" s="48" t="n">
        <f aca="false">IF(P$8=1,IF(Reales!$C$66="PYG",IF(P$10&gt;0,N(Reales!P66)/P$10,0),N(Reales!P66)),P$234+P$236)</f>
        <v>53054.720696137</v>
      </c>
      <c r="Q251" s="48" t="n">
        <f aca="false">IF(Q$8=1,IF(Reales!$C$66="PYG",IF(Q$10&gt;0,N(Reales!Q66)/Q$10,0),N(Reales!Q66)),Q$234+Q$236)</f>
        <v>53054.720696137</v>
      </c>
      <c r="R251" s="48" t="n">
        <f aca="false">IF(R$8=1,IF(Reales!$C$66="PYG",IF(R$10&gt;0,N(Reales!R66)/R$10,0),N(Reales!R66)),R$234+R$236)</f>
        <v>53054.720696137</v>
      </c>
      <c r="S251" s="48" t="n">
        <f aca="false">IF(S$8=1,IF(Reales!$C$66="PYG",IF(S$10&gt;0,N(Reales!S66)/S$10,0),N(Reales!S66)),S$234+S$236)</f>
        <v>53054.720696137</v>
      </c>
      <c r="T251" s="48" t="n">
        <f aca="false">IF(T$8=1,IF(Reales!$C$66="PYG",IF(T$10&gt;0,N(Reales!T66)/T$10,0),N(Reales!T66)),T$234+T$236)</f>
        <v>53054.720696137</v>
      </c>
      <c r="U251" s="48" t="n">
        <f aca="false">IF(U$8=1,IF(Reales!$C$66="PYG",IF(U$10&gt;0,N(Reales!U66)/U$10,0),N(Reales!U66)),U$234+U$236)</f>
        <v>53054.720696137</v>
      </c>
      <c r="V251" s="48" t="n">
        <f aca="false">IF(V$8=1,IF(Reales!$C$66="PYG",IF(V$10&gt;0,N(Reales!V66)/V$10,0),N(Reales!V66)),V$234+V$236)</f>
        <v>53054.720696137</v>
      </c>
      <c r="W251" s="48" t="n">
        <f aca="false">IF(W$8=1,IF(Reales!$C$66="PYG",IF(W$10&gt;0,N(Reales!W66)/W$10,0),N(Reales!W66)),W$234+W$236)</f>
        <v>53054.720696137</v>
      </c>
      <c r="X251" s="48" t="n">
        <f aca="false">IF(X$8=1,IF(Reales!$C$66="PYG",IF(X$10&gt;0,N(Reales!X66)/X$10,0),N(Reales!X66)),X$234+X$236)</f>
        <v>53054.720696137</v>
      </c>
      <c r="Y251" s="48" t="n">
        <f aca="false">IF(Y$8=1,IF(Reales!$C$66="PYG",IF(Y$10&gt;0,N(Reales!Y66)/Y$10,0),N(Reales!Y66)),Y$234+Y$236)</f>
        <v>53054.720696137</v>
      </c>
      <c r="Z251" s="48" t="n">
        <f aca="false">IF(Z$8=1,IF(Reales!$C$66="PYG",IF(Z$10&gt;0,N(Reales!Z66)/Z$10,0),N(Reales!Z66)),Z$234+Z$236)</f>
        <v>53054.720696137</v>
      </c>
      <c r="AA251" s="48" t="n">
        <f aca="false">IF(AA$8=1,IF(Reales!$C$66="PYG",IF(AA$10&gt;0,N(Reales!AA66)/AA$10,0),N(Reales!AA66)),AA$234+AA$236)</f>
        <v>53054.720696137</v>
      </c>
      <c r="AB251" s="48" t="n">
        <f aca="false">IF(AB$8=1,IF(Reales!$C$66="PYG",IF(AB$10&gt;0,N(Reales!AB66)/AB$10,0),N(Reales!AB66)),AB$234+AB$236)</f>
        <v>53054.720696137</v>
      </c>
      <c r="AC251" s="48" t="n">
        <f aca="false">IF(AC$8=1,IF(Reales!$C$66="PYG",IF(AC$10&gt;0,N(Reales!AC66)/AC$10,0),N(Reales!AC66)),AC$234+AC$236)</f>
        <v>53054.720696137</v>
      </c>
      <c r="AD251" s="48" t="n">
        <f aca="false">IF(AD$8=1,IF(Reales!$C$66="PYG",IF(AD$10&gt;0,N(Reales!AD66)/AD$10,0),N(Reales!AD66)),AD$234+AD$236)</f>
        <v>55700.1385399041</v>
      </c>
      <c r="AE251" s="48" t="n">
        <f aca="false">IF(AE$8=1,IF(Reales!$C$66="PYG",IF(AE$10&gt;0,N(Reales!AE66)/AE$10,0),N(Reales!AE66)),AE$234+AE$236)</f>
        <v>55700.1385399041</v>
      </c>
      <c r="AF251" s="48" t="n">
        <f aca="false">IF(AF$8=1,IF(Reales!$C$66="PYG",IF(AF$10&gt;0,N(Reales!AF66)/AF$10,0),N(Reales!AF66)),AF$234+AF$236)</f>
        <v>55700.1385399041</v>
      </c>
      <c r="AG251" s="48" t="n">
        <f aca="false">IF(AG$8=1,IF(Reales!$C$66="PYG",IF(AG$10&gt;0,N(Reales!AG66)/AG$10,0),N(Reales!AG66)),AG$234+AG$236)</f>
        <v>55700.1385399041</v>
      </c>
      <c r="AH251" s="48" t="n">
        <f aca="false">IF(AH$8=1,IF(Reales!$C$66="PYG",IF(AH$10&gt;0,N(Reales!AH66)/AH$10,0),N(Reales!AH66)),AH$234+AH$236)</f>
        <v>55700.1385399041</v>
      </c>
      <c r="AI251" s="48" t="n">
        <f aca="false">IF(AI$8=1,IF(Reales!$C$66="PYG",IF(AI$10&gt;0,N(Reales!AI66)/AI$10,0),N(Reales!AI66)),AI$234+AI$236)</f>
        <v>55700.1385399041</v>
      </c>
      <c r="AJ251" s="48" t="n">
        <f aca="false">IF(AJ$8=1,IF(Reales!$C$66="PYG",IF(AJ$10&gt;0,N(Reales!AJ66)/AJ$10,0),N(Reales!AJ66)),AJ$234+AJ$236)</f>
        <v>55700.1385399041</v>
      </c>
      <c r="AK251" s="48" t="n">
        <f aca="false">IF(AK$8=1,IF(Reales!$C$66="PYG",IF(AK$10&gt;0,N(Reales!AK66)/AK$10,0),N(Reales!AK66)),AK$234+AK$236)</f>
        <v>55700.1385399041</v>
      </c>
      <c r="AL251" s="48" t="n">
        <f aca="false">IF(AL$8=1,IF(Reales!$C$66="PYG",IF(AL$10&gt;0,N(Reales!AL66)/AL$10,0),N(Reales!AL66)),AL$234+AL$236)</f>
        <v>55700.1385399041</v>
      </c>
      <c r="AM251" s="48" t="n">
        <f aca="false">IF(AM$8=1,IF(Reales!$C$66="PYG",IF(AM$10&gt;0,N(Reales!AM66)/AM$10,0),N(Reales!AM66)),AM$234+AM$236)</f>
        <v>55700.1385399041</v>
      </c>
      <c r="AN251" s="48" t="n">
        <f aca="false">IF(AN$8=1,IF(Reales!$C$66="PYG",IF(AN$10&gt;0,N(Reales!AN66)/AN$10,0),N(Reales!AN66)),AN$234+AN$236)</f>
        <v>55700.1385399041</v>
      </c>
      <c r="AO251" s="48" t="n">
        <f aca="false">IF(AO$8=1,IF(Reales!$C$66="PYG",IF(AO$10&gt;0,N(Reales!AO66)/AO$10,0),N(Reales!AO66)),AO$234+AO$236)</f>
        <v>55700.1385399041</v>
      </c>
      <c r="AP251" s="48" t="n">
        <f aca="false">IF(AP$8=1,IF(Reales!$C$66="PYG",IF(AP$10&gt;0,N(Reales!AP66)/AP$10,0),N(Reales!AP66)),AP$234+AP$236)</f>
        <v>57818.5076943014</v>
      </c>
      <c r="AQ251" s="48" t="n">
        <f aca="false">IF(AQ$8=1,IF(Reales!$C$66="PYG",IF(AQ$10&gt;0,N(Reales!AQ66)/AQ$10,0),N(Reales!AQ66)),AQ$234+AQ$236)</f>
        <v>57818.5076943014</v>
      </c>
      <c r="AR251" s="48" t="n">
        <f aca="false">IF(AR$8=1,IF(Reales!$C$66="PYG",IF(AR$10&gt;0,N(Reales!AR66)/AR$10,0),N(Reales!AR66)),AR$234+AR$236)</f>
        <v>57818.5076943014</v>
      </c>
      <c r="AS251" s="48" t="n">
        <f aca="false">IF(AS$8=1,IF(Reales!$C$66="PYG",IF(AS$10&gt;0,N(Reales!AS66)/AS$10,0),N(Reales!AS66)),AS$234+AS$236)</f>
        <v>57818.5076943014</v>
      </c>
      <c r="AT251" s="48" t="n">
        <f aca="false">IF(AT$8=1,IF(Reales!$C$66="PYG",IF(AT$10&gt;0,N(Reales!AT66)/AT$10,0),N(Reales!AT66)),AT$234+AT$236)</f>
        <v>57818.5076943014</v>
      </c>
      <c r="AU251" s="48" t="n">
        <f aca="false">IF(AU$8=1,IF(Reales!$C$66="PYG",IF(AU$10&gt;0,N(Reales!AU66)/AU$10,0),N(Reales!AU66)),AU$234+AU$236)</f>
        <v>57818.5076943014</v>
      </c>
      <c r="AV251" s="48" t="n">
        <f aca="false">IF(AV$8=1,IF(Reales!$C$66="PYG",IF(AV$10&gt;0,N(Reales!AV66)/AV$10,0),N(Reales!AV66)),AV$234+AV$236)</f>
        <v>57818.5076943014</v>
      </c>
      <c r="AW251" s="48" t="n">
        <f aca="false">IF(AW$8=1,IF(Reales!$C$66="PYG",IF(AW$10&gt;0,N(Reales!AW66)/AW$10,0),N(Reales!AW66)),AW$234+AW$236)</f>
        <v>57818.5076943014</v>
      </c>
      <c r="AX251" s="48" t="n">
        <f aca="false">IF(AX$8=1,IF(Reales!$C$66="PYG",IF(AX$10&gt;0,N(Reales!AX66)/AX$10,0),N(Reales!AX66)),AX$234+AX$236)</f>
        <v>57818.5076943014</v>
      </c>
      <c r="AY251" s="48" t="n">
        <f aca="false">IF(AY$8=1,IF(Reales!$C$66="PYG",IF(AY$10&gt;0,N(Reales!AY66)/AY$10,0),N(Reales!AY66)),AY$234+AY$236)</f>
        <v>57818.5076943014</v>
      </c>
      <c r="AZ251" s="48" t="n">
        <f aca="false">IF(AZ$8=1,IF(Reales!$C$66="PYG",IF(AZ$10&gt;0,N(Reales!AZ66)/AZ$10,0),N(Reales!AZ66)),AZ$234+AZ$236)</f>
        <v>57818.5076943014</v>
      </c>
      <c r="BA251" s="48" t="n">
        <f aca="false">IF(BA$8=1,IF(Reales!$C$66="PYG",IF(BA$10&gt;0,N(Reales!BA66)/BA$10,0),N(Reales!BA66)),BA$234+BA$236)</f>
        <v>57818.5076943014</v>
      </c>
      <c r="BB251" s="48" t="n">
        <f aca="false">IF(BB$8=1,IF(Reales!$C$66="PYG",IF(BB$10&gt;0,N(Reales!BB66)/BB$10,0),N(Reales!BB66)),BB$234+BB$236)</f>
        <v>60401.5451585479</v>
      </c>
      <c r="BC251" s="48" t="n">
        <f aca="false">IF(BC$8=1,IF(Reales!$C$66="PYG",IF(BC$10&gt;0,N(Reales!BC66)/BC$10,0),N(Reales!BC66)),BC$234+BC$236)</f>
        <v>60401.5451585479</v>
      </c>
      <c r="BD251" s="48" t="n">
        <f aca="false">IF(BD$8=1,IF(Reales!$C$66="PYG",IF(BD$10&gt;0,N(Reales!BD66)/BD$10,0),N(Reales!BD66)),BD$234+BD$236)</f>
        <v>60401.5451585479</v>
      </c>
      <c r="BE251" s="48" t="n">
        <f aca="false">IF(BE$8=1,IF(Reales!$C$66="PYG",IF(BE$10&gt;0,N(Reales!BE66)/BE$10,0),N(Reales!BE66)),BE$234+BE$236)</f>
        <v>60401.5451585479</v>
      </c>
      <c r="BF251" s="48" t="n">
        <f aca="false">IF(BF$8=1,IF(Reales!$C$66="PYG",IF(BF$10&gt;0,N(Reales!BF66)/BF$10,0),N(Reales!BF66)),BF$234+BF$236)</f>
        <v>60401.5451585479</v>
      </c>
      <c r="BG251" s="48" t="n">
        <f aca="false">IF(BG$8=1,IF(Reales!$C$66="PYG",IF(BG$10&gt;0,N(Reales!BG66)/BG$10,0),N(Reales!BG66)),BG$234+BG$236)</f>
        <v>60401.5451585479</v>
      </c>
      <c r="BH251" s="48" t="n">
        <f aca="false">IF(BH$8=1,IF(Reales!$C$66="PYG",IF(BH$10&gt;0,N(Reales!BH66)/BH$10,0),N(Reales!BH66)),BH$234+BH$236)</f>
        <v>60401.5451585479</v>
      </c>
      <c r="BI251" s="48" t="n">
        <f aca="false">IF(BI$8=1,IF(Reales!$C$66="PYG",IF(BI$10&gt;0,N(Reales!BI66)/BI$10,0),N(Reales!BI66)),BI$234+BI$236)</f>
        <v>60401.5451585479</v>
      </c>
      <c r="BJ251" s="48" t="n">
        <f aca="false">IF(BJ$8=1,IF(Reales!$C$66="PYG",IF(BJ$10&gt;0,N(Reales!BJ66)/BJ$10,0),N(Reales!BJ66)),BJ$234+BJ$236)</f>
        <v>60401.5451585479</v>
      </c>
      <c r="BK251" s="48" t="n">
        <f aca="false">IF(BK$8=1,IF(Reales!$C$66="PYG",IF(BK$10&gt;0,N(Reales!BK66)/BK$10,0),N(Reales!BK66)),BK$234+BK$236)</f>
        <v>60401.5451585479</v>
      </c>
      <c r="BL251" s="48" t="n">
        <f aca="false">IF(BL$8=1,IF(Reales!$C$66="PYG",IF(BL$10&gt;0,N(Reales!BL66)/BL$10,0),N(Reales!BL66)),BL$234+BL$236)</f>
        <v>60401.5451585479</v>
      </c>
      <c r="BM251" s="48" t="n">
        <f aca="false">IF(BM$8=1,IF(Reales!$C$66="PYG",IF(BM$10&gt;0,N(Reales!BM66)/BM$10,0),N(Reales!BM66)),BM$234+BM$236)</f>
        <v>60401.5451585479</v>
      </c>
      <c r="BN251" s="48" t="n">
        <f aca="false">IF(BN$8=1,IF(Reales!$C$66="PYG",IF(BN$10&gt;0,N(Reales!BN66)/BN$10,0),N(Reales!BN66)),BN$234+BN$236)</f>
        <v>60401.5451585479</v>
      </c>
      <c r="BO251" s="48" t="n">
        <f aca="false">IF(BO$8=1,IF(Reales!$C$66="PYG",IF(BO$10&gt;0,N(Reales!BO66)/BO$10,0),N(Reales!BO66)),BO$234+BO$236)</f>
        <v>60401.5451585479</v>
      </c>
      <c r="BP251" s="48" t="n">
        <f aca="false">IF(BP$8=1,IF(Reales!$C$66="PYG",IF(BP$10&gt;0,N(Reales!BP66)/BP$10,0),N(Reales!BP66)),BP$234+BP$236)</f>
        <v>60401.5451585479</v>
      </c>
      <c r="BQ251" s="48" t="n">
        <f aca="false">IF(BQ$8=1,IF(Reales!$C$66="PYG",IF(BQ$10&gt;0,N(Reales!BQ66)/BQ$10,0),N(Reales!BQ66)),BQ$234+BQ$236)</f>
        <v>60401.5451585479</v>
      </c>
      <c r="BR251" s="48" t="n">
        <f aca="false">IF(BR$8=1,IF(Reales!$C$66="PYG",IF(BR$10&gt;0,N(Reales!BR66)/BR$10,0),N(Reales!BR66)),BR$234+BR$236)</f>
        <v>60401.5451585479</v>
      </c>
      <c r="BS251" s="48" t="n">
        <f aca="false">IF(BS$8=1,IF(Reales!$C$66="PYG",IF(BS$10&gt;0,N(Reales!BS66)/BS$10,0),N(Reales!BS66)),BS$234+BS$236)</f>
        <v>60401.5451585479</v>
      </c>
      <c r="BT251" s="48" t="n">
        <f aca="false">IF(BT$8=1,IF(Reales!$C$66="PYG",IF(BT$10&gt;0,N(Reales!BT66)/BT$10,0),N(Reales!BT66)),BT$234+BT$236)</f>
        <v>60401.5451585479</v>
      </c>
      <c r="BU251" s="48" t="n">
        <f aca="false">IF(BU$8=1,IF(Reales!$C$66="PYG",IF(BU$10&gt;0,N(Reales!BU66)/BU$10,0),N(Reales!BU66)),BU$234+BU$236)</f>
        <v>60401.5451585479</v>
      </c>
      <c r="BV251" s="48" t="n">
        <f aca="false">IF(BV$8=1,IF(Reales!$C$66="PYG",IF(BV$10&gt;0,N(Reales!BV66)/BV$10,0),N(Reales!BV66)),BV$234+BV$236)</f>
        <v>60401.5451585479</v>
      </c>
      <c r="BW251" s="48" t="n">
        <f aca="false">IF(BW$8=1,IF(Reales!$C$66="PYG",IF(BW$10&gt;0,N(Reales!BW66)/BW$10,0),N(Reales!BW66)),BW$234+BW$236)</f>
        <v>60401.5451585479</v>
      </c>
      <c r="BX251" s="48" t="n">
        <f aca="false">IF(BX$8=1,IF(Reales!$C$66="PYG",IF(BX$10&gt;0,N(Reales!BX66)/BX$10,0),N(Reales!BX66)),BX$234+BX$236)</f>
        <v>60401.5451585479</v>
      </c>
      <c r="BY251" s="48" t="n">
        <f aca="false">IF(BY$8=1,IF(Reales!$C$66="PYG",IF(BY$10&gt;0,N(Reales!BY66)/BY$10,0),N(Reales!BY66)),BY$234+BY$236)</f>
        <v>60401.5451585479</v>
      </c>
      <c r="BZ251" s="48" t="n">
        <f aca="false">IF(BZ$8=1,IF(Reales!$C$66="PYG",IF(BZ$10&gt;0,N(Reales!BZ66)/BZ$10,0),N(Reales!BZ66)),BZ$234+BZ$236)</f>
        <v>60401.5451585479</v>
      </c>
      <c r="CA251" s="48" t="n">
        <f aca="false">IF(CA$8=1,IF(Reales!$C$66="PYG",IF(CA$10&gt;0,N(Reales!CA66)/CA$10,0),N(Reales!CA66)),CA$234+CA$236)</f>
        <v>60401.5451585479</v>
      </c>
      <c r="CB251" s="48" t="n">
        <f aca="false">IF(CB$8=1,IF(Reales!$C$66="PYG",IF(CB$10&gt;0,N(Reales!CB66)/CB$10,0),N(Reales!CB66)),CB$234+CB$236)</f>
        <v>60401.5451585479</v>
      </c>
      <c r="CC251" s="48" t="n">
        <f aca="false">IF(CC$8=1,IF(Reales!$C$66="PYG",IF(CC$10&gt;0,N(Reales!CC66)/CC$10,0),N(Reales!CC66)),CC$234+CC$236)</f>
        <v>60401.5451585479</v>
      </c>
      <c r="CD251" s="48" t="n">
        <f aca="false">IF(CD$8=1,IF(Reales!$C$66="PYG",IF(CD$10&gt;0,N(Reales!CD66)/CD$10,0),N(Reales!CD66)),CD$234+CD$236)</f>
        <v>60401.5451585479</v>
      </c>
      <c r="CE251" s="48" t="n">
        <f aca="false">IF(CE$8=1,IF(Reales!$C$66="PYG",IF(CE$10&gt;0,N(Reales!CE66)/CE$10,0),N(Reales!CE66)),CE$234+CE$236)</f>
        <v>60401.5451585479</v>
      </c>
      <c r="CF251" s="48" t="n">
        <f aca="false">IF(CF$8=1,IF(Reales!$C$66="PYG",IF(CF$10&gt;0,N(Reales!CF66)/CF$10,0),N(Reales!CF66)),CF$234+CF$236)</f>
        <v>60401.5451585479</v>
      </c>
      <c r="CG251" s="48" t="n">
        <f aca="false">IF(CG$8=1,IF(Reales!$C$66="PYG",IF(CG$10&gt;0,N(Reales!CG66)/CG$10,0),N(Reales!CG66)),CG$234+CG$236)</f>
        <v>60401.5451585479</v>
      </c>
      <c r="CH251" s="48" t="n">
        <f aca="false">IF(CH$8=1,IF(Reales!$C$66="PYG",IF(CH$10&gt;0,N(Reales!CH66)/CH$10,0),N(Reales!CH66)),CH$234+CH$236)</f>
        <v>60401.5451585479</v>
      </c>
      <c r="CI251" s="48" t="n">
        <f aca="false">IF(CI$8=1,IF(Reales!$C$66="PYG",IF(CI$10&gt;0,N(Reales!CI66)/CI$10,0),N(Reales!CI66)),CI$234+CI$236)</f>
        <v>60401.5451585479</v>
      </c>
      <c r="CJ251" s="48" t="n">
        <f aca="false">IF(CJ$8=1,IF(Reales!$C$66="PYG",IF(CJ$10&gt;0,N(Reales!CJ66)/CJ$10,0),N(Reales!CJ66)),CJ$234+CJ$236)</f>
        <v>60401.5451585479</v>
      </c>
      <c r="CK251" s="48" t="n">
        <f aca="false">IF(CK$8=1,IF(Reales!$C$66="PYG",IF(CK$10&gt;0,N(Reales!CK66)/CK$10,0),N(Reales!CK66)),CK$234+CK$236)</f>
        <v>60401.5451585479</v>
      </c>
      <c r="CL251" s="48" t="n">
        <f aca="false">IF(CL$8=1,IF(Reales!$C$66="PYG",IF(CL$10&gt;0,N(Reales!CL66)/CL$10,0),N(Reales!CL66)),CL$234+CL$236)</f>
        <v>60401.5451585479</v>
      </c>
      <c r="CM251" s="48" t="n">
        <f aca="false">IF(CM$8=1,IF(Reales!$C$66="PYG",IF(CM$10&gt;0,N(Reales!CM66)/CM$10,0),N(Reales!CM66)),CM$234+CM$236)</f>
        <v>60401.5451585479</v>
      </c>
      <c r="CN251" s="48" t="n">
        <f aca="false">IF(CN$8=1,IF(Reales!$C$66="PYG",IF(CN$10&gt;0,N(Reales!CN66)/CN$10,0),N(Reales!CN66)),CN$234+CN$236)</f>
        <v>60401.5451585479</v>
      </c>
      <c r="CO251" s="48" t="n">
        <f aca="false">IF(CO$8=1,IF(Reales!$C$66="PYG",IF(CO$10&gt;0,N(Reales!CO66)/CO$10,0),N(Reales!CO66)),CO$234+CO$236)</f>
        <v>60401.5451585479</v>
      </c>
      <c r="CP251" s="48" t="n">
        <f aca="false">IF(CP$8=1,IF(Reales!$C$66="PYG",IF(CP$10&gt;0,N(Reales!CP66)/CP$10,0),N(Reales!CP66)),CP$234+CP$236)</f>
        <v>60401.5451585479</v>
      </c>
      <c r="CQ251" s="48" t="n">
        <f aca="false">IF(CQ$8=1,IF(Reales!$C$66="PYG",IF(CQ$10&gt;0,N(Reales!CQ66)/CQ$10,0),N(Reales!CQ66)),CQ$234+CQ$236)</f>
        <v>60401.5451585479</v>
      </c>
      <c r="CR251" s="48" t="n">
        <f aca="false">IF(CR$8=1,IF(Reales!$C$66="PYG",IF(CR$10&gt;0,N(Reales!CR66)/CR$10,0),N(Reales!CR66)),CR$234+CR$236)</f>
        <v>60401.5451585479</v>
      </c>
      <c r="CS251" s="48" t="n">
        <f aca="false">IF(CS$8=1,IF(Reales!$C$66="PYG",IF(CS$10&gt;0,N(Reales!CS66)/CS$10,0),N(Reales!CS66)),CS$234+CS$236)</f>
        <v>60401.5451585479</v>
      </c>
      <c r="CT251" s="48" t="n">
        <f aca="false">IF(CT$8=1,IF(Reales!$C$66="PYG",IF(CT$10&gt;0,N(Reales!CT66)/CT$10,0),N(Reales!CT66)),CT$234+CT$236)</f>
        <v>60401.5451585479</v>
      </c>
      <c r="CU251" s="48" t="n">
        <f aca="false">IF(CU$8=1,IF(Reales!$C$66="PYG",IF(CU$10&gt;0,N(Reales!CU66)/CU$10,0),N(Reales!CU66)),CU$234+CU$236)</f>
        <v>60401.5451585479</v>
      </c>
      <c r="CV251" s="48" t="n">
        <f aca="false">IF(CV$8=1,IF(Reales!$C$66="PYG",IF(CV$10&gt;0,N(Reales!CV66)/CV$10,0),N(Reales!CV66)),CV$234+CV$236)</f>
        <v>60401.5451585479</v>
      </c>
      <c r="CW251" s="48" t="n">
        <f aca="false">IF(CW$8=1,IF(Reales!$C$66="PYG",IF(CW$10&gt;0,N(Reales!CW66)/CW$10,0),N(Reales!CW66)),CW$234+CW$236)</f>
        <v>60401.5451585479</v>
      </c>
      <c r="CX251" s="48" t="n">
        <f aca="false">IF(CX$8=1,IF(Reales!$C$66="PYG",IF(CX$10&gt;0,N(Reales!CX66)/CX$10,0),N(Reales!CX66)),CX$234+CX$236)</f>
        <v>60401.5451585479</v>
      </c>
      <c r="CY251" s="48" t="n">
        <f aca="false">IF(CY$8=1,IF(Reales!$C$66="PYG",IF(CY$10&gt;0,N(Reales!CY66)/CY$10,0),N(Reales!CY66)),CY$234+CY$236)</f>
        <v>60401.5451585479</v>
      </c>
      <c r="CZ251" s="48" t="n">
        <f aca="false">IF(CZ$8=1,IF(Reales!$C$66="PYG",IF(CZ$10&gt;0,N(Reales!CZ66)/CZ$10,0),N(Reales!CZ66)),CZ$234+CZ$236)</f>
        <v>60401.5451585479</v>
      </c>
      <c r="DA251" s="48" t="n">
        <f aca="false">IF(DA$8=1,IF(Reales!$C$66="PYG",IF(DA$10&gt;0,N(Reales!DA66)/DA$10,0),N(Reales!DA66)),DA$234+DA$236)</f>
        <v>60401.5451585479</v>
      </c>
      <c r="DB251" s="48" t="n">
        <f aca="false">IF(DB$8=1,IF(Reales!$C$66="PYG",IF(DB$10&gt;0,N(Reales!DB66)/DB$10,0),N(Reales!DB66)),DB$234+DB$236)</f>
        <v>60401.5451585479</v>
      </c>
      <c r="DC251" s="48" t="n">
        <f aca="false">IF(DC$8=1,IF(Reales!$C$66="PYG",IF(DC$10&gt;0,N(Reales!DC66)/DC$10,0),N(Reales!DC66)),DC$234+DC$236)</f>
        <v>60401.5451585479</v>
      </c>
      <c r="DD251" s="48" t="n">
        <f aca="false">IF(DD$8=1,IF(Reales!$C$66="PYG",IF(DD$10&gt;0,N(Reales!DD66)/DD$10,0),N(Reales!DD66)),DD$234+DD$236)</f>
        <v>60401.5451585479</v>
      </c>
      <c r="DE251" s="48" t="n">
        <f aca="false">IF(DE$8=1,IF(Reales!$C$66="PYG",IF(DE$10&gt;0,N(Reales!DE66)/DE$10,0),N(Reales!DE66)),DE$234+DE$236)</f>
        <v>60401.5451585479</v>
      </c>
      <c r="DF251" s="48" t="n">
        <f aca="false">IF(DF$8=1,IF(Reales!$C$66="PYG",IF(DF$10&gt;0,N(Reales!DF66)/DF$10,0),N(Reales!DF66)),DF$234+DF$236)</f>
        <v>60401.5451585479</v>
      </c>
      <c r="DG251" s="48" t="n">
        <f aca="false">IF(DG$8=1,IF(Reales!$C$66="PYG",IF(DG$10&gt;0,N(Reales!DG66)/DG$10,0),N(Reales!DG66)),DG$234+DG$236)</f>
        <v>60401.5451585479</v>
      </c>
      <c r="DH251" s="48" t="n">
        <f aca="false">IF(DH$8=1,IF(Reales!$C$66="PYG",IF(DH$10&gt;0,N(Reales!DH66)/DH$10,0),N(Reales!DH66)),DH$234+DH$236)</f>
        <v>60401.5451585479</v>
      </c>
      <c r="DI251" s="48" t="n">
        <f aca="false">IF(DI$8=1,IF(Reales!$C$66="PYG",IF(DI$10&gt;0,N(Reales!DI66)/DI$10,0),N(Reales!DI66)),DI$234+DI$236)</f>
        <v>60401.5451585479</v>
      </c>
      <c r="DJ251" s="48" t="n">
        <f aca="false">IF(DJ$8=1,IF(Reales!$C$66="PYG",IF(DJ$10&gt;0,N(Reales!DJ66)/DJ$10,0),N(Reales!DJ66)),DJ$234+DJ$236)</f>
        <v>60401.5451585479</v>
      </c>
      <c r="DK251" s="48" t="n">
        <f aca="false">IF(DK$8=1,IF(Reales!$C$66="PYG",IF(DK$10&gt;0,N(Reales!DK66)/DK$10,0),N(Reales!DK66)),DK$234+DK$236)</f>
        <v>60401.5451585479</v>
      </c>
      <c r="DL251" s="48" t="n">
        <f aca="false">IF(DL$8=1,IF(Reales!$C$66="PYG",IF(DL$10&gt;0,N(Reales!DL66)/DL$10,0),N(Reales!DL66)),DL$234+DL$236)</f>
        <v>60401.5451585479</v>
      </c>
      <c r="DM251" s="48" t="n">
        <f aca="false">IF(DM$8=1,IF(Reales!$C$66="PYG",IF(DM$10&gt;0,N(Reales!DM66)/DM$10,0),N(Reales!DM66)),DM$234+DM$236)</f>
        <v>60401.5451585479</v>
      </c>
      <c r="DN251" s="48" t="n">
        <f aca="false">IF(DN$8=1,IF(Reales!$C$66="PYG",IF(DN$10&gt;0,N(Reales!DN66)/DN$10,0),N(Reales!DN66)),DN$234+DN$236)</f>
        <v>60401.5451585479</v>
      </c>
      <c r="DO251" s="48" t="n">
        <f aca="false">IF(DO$8=1,IF(Reales!$C$66="PYG",IF(DO$10&gt;0,N(Reales!DO66)/DO$10,0),N(Reales!DO66)),DO$234+DO$236)</f>
        <v>60401.5451585479</v>
      </c>
      <c r="DP251" s="48" t="n">
        <f aca="false">IF(DP$8=1,IF(Reales!$C$66="PYG",IF(DP$10&gt;0,N(Reales!DP66)/DP$10,0),N(Reales!DP66)),DP$234+DP$236)</f>
        <v>60401.5451585479</v>
      </c>
      <c r="DQ251" s="48" t="n">
        <f aca="false">IF(DQ$8=1,IF(Reales!$C$66="PYG",IF(DQ$10&gt;0,N(Reales!DQ66)/DQ$10,0),N(Reales!DQ66)),DQ$234+DQ$236)</f>
        <v>60401.5451585479</v>
      </c>
      <c r="DR251" s="48" t="n">
        <f aca="false">IF(DR$8=1,IF(Reales!$C$66="PYG",IF(DR$10&gt;0,N(Reales!DR66)/DR$10,0),N(Reales!DR66)),DR$234+DR$236)</f>
        <v>60401.5451585479</v>
      </c>
      <c r="DS251" s="48" t="n">
        <f aca="false">IF(DS$8=1,IF(Reales!$C$66="PYG",IF(DS$10&gt;0,N(Reales!DS66)/DS$10,0),N(Reales!DS66)),DS$234+DS$236)</f>
        <v>60401.5451585479</v>
      </c>
      <c r="DT251" s="48" t="n">
        <f aca="false">IF(DT$8=1,IF(Reales!$C$66="PYG",IF(DT$10&gt;0,N(Reales!DT66)/DT$10,0),N(Reales!DT66)),DT$234+DT$236)</f>
        <v>60401.5451585479</v>
      </c>
      <c r="DU251" s="48" t="n">
        <f aca="false">IF(DU$8=1,IF(Reales!$C$66="PYG",IF(DU$10&gt;0,N(Reales!DU66)/DU$10,0),N(Reales!DU66)),DU$234+DU$236)</f>
        <v>60401.5451585479</v>
      </c>
      <c r="DV251" s="48" t="n">
        <f aca="false">IF(DV$8=1,IF(Reales!$C$66="PYG",IF(DV$10&gt;0,N(Reales!DV66)/DV$10,0),N(Reales!DV66)),DV$234+DV$236)</f>
        <v>0</v>
      </c>
      <c r="DW251" s="48" t="n">
        <f aca="false">IF(DW$8=1,IF(Reales!$C$66="PYG",IF(DW$10&gt;0,N(Reales!DW66)/DW$10,0),N(Reales!DW66)),DW$234+DW$236)</f>
        <v>0</v>
      </c>
      <c r="DX251" s="48" t="n">
        <f aca="false">IF(DX$8=1,IF(Reales!$C$66="PYG",IF(DX$10&gt;0,N(Reales!DX66)/DX$10,0),N(Reales!DX66)),DX$234+DX$236)</f>
        <v>0</v>
      </c>
      <c r="DY251" s="48" t="n">
        <f aca="false">IF(DY$8=1,IF(Reales!$C$66="PYG",IF(DY$10&gt;0,N(Reales!DY66)/DY$10,0),N(Reales!DY66)),DY$234+DY$236)</f>
        <v>0</v>
      </c>
      <c r="DZ251" s="48" t="n">
        <f aca="false">IF(DZ$8=1,IF(Reales!$C$66="PYG",IF(DZ$10&gt;0,N(Reales!DZ66)/DZ$10,0),N(Reales!DZ66)),DZ$234+DZ$236)</f>
        <v>0</v>
      </c>
      <c r="EA251" s="48" t="n">
        <f aca="false">IF(EA$8=1,IF(Reales!$C$66="PYG",IF(EA$10&gt;0,N(Reales!EA66)/EA$10,0),N(Reales!EA66)),EA$234+EA$236)</f>
        <v>0</v>
      </c>
      <c r="EB251" s="48" t="n">
        <f aca="false">IF(EB$8=1,IF(Reales!$C$66="PYG",IF(EB$10&gt;0,N(Reales!EB66)/EB$10,0),N(Reales!EB66)),EB$234+EB$236)</f>
        <v>0</v>
      </c>
      <c r="EC251" s="48" t="n">
        <f aca="false">IF(EC$8=1,IF(Reales!$C$66="PYG",IF(EC$10&gt;0,N(Reales!EC66)/EC$10,0),N(Reales!EC66)),EC$234+EC$236)</f>
        <v>0</v>
      </c>
      <c r="ED251" s="48" t="n">
        <f aca="false">IF(ED$8=1,IF(Reales!$C$66="PYG",IF(ED$10&gt;0,N(Reales!ED66)/ED$10,0),N(Reales!ED66)),ED$234+ED$236)</f>
        <v>0</v>
      </c>
      <c r="EE251" s="48" t="n">
        <f aca="false">IF(EE$8=1,IF(Reales!$C$66="PYG",IF(EE$10&gt;0,N(Reales!EE66)/EE$10,0),N(Reales!EE66)),EE$234+EE$236)</f>
        <v>0</v>
      </c>
      <c r="EF251" s="48" t="n">
        <f aca="false">IF(EF$8=1,IF(Reales!$C$66="PYG",IF(EF$10&gt;0,N(Reales!EF66)/EF$10,0),N(Reales!EF66)),EF$234+EF$236)</f>
        <v>0</v>
      </c>
      <c r="EG251" s="48" t="n">
        <f aca="false">IF(EG$8=1,IF(Reales!$C$66="PYG",IF(EG$10&gt;0,N(Reales!EG66)/EG$10,0),N(Reales!EG66)),EG$234+EG$236)</f>
        <v>0</v>
      </c>
      <c r="EH251" s="48" t="n">
        <f aca="false">IF(EH$8=1,IF(Reales!$C$66="PYG",IF(EH$10&gt;0,N(Reales!EH66)/EH$10,0),N(Reales!EH66)),EH$234+EH$236)</f>
        <v>0</v>
      </c>
      <c r="EI251" s="48" t="n">
        <f aca="false">IF(EI$8=1,IF(Reales!$C$66="PYG",IF(EI$10&gt;0,N(Reales!EI66)/EI$10,0),N(Reales!EI66)),EI$234+EI$236)</f>
        <v>0</v>
      </c>
      <c r="EJ251" s="48" t="n">
        <f aca="false">IF(EJ$8=1,IF(Reales!$C$66="PYG",IF(EJ$10&gt;0,N(Reales!EJ66)/EJ$10,0),N(Reales!EJ66)),EJ$234+EJ$236)</f>
        <v>0</v>
      </c>
      <c r="EK251" s="48" t="n">
        <f aca="false">IF(EK$8=1,IF(Reales!$C$66="PYG",IF(EK$10&gt;0,N(Reales!EK66)/EK$10,0),N(Reales!EK66)),EK$234+EK$236)</f>
        <v>0</v>
      </c>
      <c r="EL251" s="48" t="n">
        <f aca="false">IF(EL$8=1,IF(Reales!$C$66="PYG",IF(EL$10&gt;0,N(Reales!EL66)/EL$10,0),N(Reales!EL66)),EL$234+EL$236)</f>
        <v>0</v>
      </c>
      <c r="EM251" s="48" t="n">
        <f aca="false">IF(EM$8=1,IF(Reales!$C$66="PYG",IF(EM$10&gt;0,N(Reales!EM66)/EM$10,0),N(Reales!EM66)),EM$234+EM$236)</f>
        <v>0</v>
      </c>
      <c r="EN251" s="48" t="n">
        <f aca="false">IF(EN$8=1,IF(Reales!$C$66="PYG",IF(EN$10&gt;0,N(Reales!EN66)/EN$10,0),N(Reales!EN66)),EN$234+EN$236)</f>
        <v>0</v>
      </c>
      <c r="EO251" s="48" t="n">
        <f aca="false">IF(EO$8=1,IF(Reales!$C$66="PYG",IF(EO$10&gt;0,N(Reales!EO66)/EO$10,0),N(Reales!EO66)),EO$234+EO$236)</f>
        <v>0</v>
      </c>
      <c r="EP251" s="48" t="n">
        <f aca="false">IF(EP$8=1,IF(Reales!$C$66="PYG",IF(EP$10&gt;0,N(Reales!EP66)/EP$10,0),N(Reales!EP66)),EP$234+EP$236)</f>
        <v>0</v>
      </c>
      <c r="EQ251" s="48" t="n">
        <f aca="false">IF(EQ$8=1,IF(Reales!$C$66="PYG",IF(EQ$10&gt;0,N(Reales!EQ66)/EQ$10,0),N(Reales!EQ66)),EQ$234+EQ$236)</f>
        <v>0</v>
      </c>
      <c r="ER251" s="48" t="n">
        <f aca="false">IF(ER$8=1,IF(Reales!$C$66="PYG",IF(ER$10&gt;0,N(Reales!ER66)/ER$10,0),N(Reales!ER66)),ER$234+ER$236)</f>
        <v>0</v>
      </c>
      <c r="ES251" s="48" t="n">
        <f aca="false">IF(ES$8=1,IF(Reales!$C$66="PYG",IF(ES$10&gt;0,N(Reales!ES66)/ES$10,0),N(Reales!ES66)),ES$234+ES$236)</f>
        <v>0</v>
      </c>
    </row>
    <row r="252" customFormat="false" ht="15" hidden="false" customHeight="false" outlineLevel="0" collapsed="false">
      <c r="A252" s="11" t="s">
        <v>1373</v>
      </c>
      <c r="B252" s="15" t="s">
        <v>1164</v>
      </c>
      <c r="C252" s="15" t="s">
        <v>508</v>
      </c>
      <c r="E252" s="54" t="n">
        <f aca="false">SUM(F252:ES252)</f>
        <v>3406933.03324133</v>
      </c>
      <c r="F252" s="48" t="n">
        <f aca="false">IF(F$8=1,IF(Reales!$C$68="PYG",IF(F$10&gt;0,N(Reales!F68)/F$10,0),N(Reales!F68)),F$242+F$245)</f>
        <v>19873.0114276757</v>
      </c>
      <c r="G252" s="48" t="n">
        <f aca="false">IF(G$8=1,IF(Reales!$C$68="PYG",IF(G$10&gt;0,N(Reales!G68)/G$10,0),N(Reales!G68)),G$242+G$245)</f>
        <v>19873.0114276757</v>
      </c>
      <c r="H252" s="48" t="n">
        <f aca="false">IF(H$8=1,IF(Reales!$C$68="PYG",IF(H$10&gt;0,N(Reales!H68)/H$10,0),N(Reales!H68)),H$242+H$245)</f>
        <v>19873.0114276757</v>
      </c>
      <c r="I252" s="48" t="n">
        <f aca="false">IF(I$8=1,IF(Reales!$C$68="PYG",IF(I$10&gt;0,N(Reales!I68)/I$10,0),N(Reales!I68)),I$242+I$245)</f>
        <v>19873.0114276757</v>
      </c>
      <c r="J252" s="48" t="n">
        <f aca="false">IF(J$8=1,IF(Reales!$C$68="PYG",IF(J$10&gt;0,N(Reales!J68)/J$10,0),N(Reales!J68)),J$242+J$245)</f>
        <v>19873.0114276757</v>
      </c>
      <c r="K252" s="48" t="n">
        <f aca="false">IF(K$8=1,IF(Reales!$C$68="PYG",IF(K$10&gt;0,N(Reales!K68)/K$10,0),N(Reales!K68)),K$242+K$245)</f>
        <v>19873.0114276757</v>
      </c>
      <c r="L252" s="48" t="n">
        <f aca="false">IF(L$8=1,IF(Reales!$C$68="PYG",IF(L$10&gt;0,N(Reales!L68)/L$10,0),N(Reales!L68)),L$242+L$245)</f>
        <v>19873.0114276757</v>
      </c>
      <c r="M252" s="48" t="n">
        <f aca="false">IF(M$8=1,IF(Reales!$C$68="PYG",IF(M$10&gt;0,N(Reales!M68)/M$10,0),N(Reales!M68)),M$242+M$245)</f>
        <v>19873.0114276757</v>
      </c>
      <c r="N252" s="48" t="n">
        <f aca="false">IF(N$8=1,IF(Reales!$C$68="PYG",IF(N$10&gt;0,N(Reales!N68)/N$10,0),N(Reales!N68)),N$242+N$245)</f>
        <v>19873.0114276757</v>
      </c>
      <c r="O252" s="48" t="n">
        <f aca="false">IF(O$8=1,IF(Reales!$C$68="PYG",IF(O$10&gt;0,N(Reales!O68)/O$10,0),N(Reales!O68)),O$242+O$245)</f>
        <v>19873.0114276757</v>
      </c>
      <c r="P252" s="48" t="n">
        <f aca="false">IF(P$8=1,IF(Reales!$C$68="PYG",IF(P$10&gt;0,N(Reales!P68)/P$10,0),N(Reales!P68)),P$242+P$245)</f>
        <v>19873.0114276757</v>
      </c>
      <c r="Q252" s="48" t="n">
        <f aca="false">IF(Q$8=1,IF(Reales!$C$68="PYG",IF(Q$10&gt;0,N(Reales!Q68)/Q$10,0),N(Reales!Q68)),Q$242+Q$245)</f>
        <v>19873.0114276757</v>
      </c>
      <c r="R252" s="48" t="n">
        <f aca="false">IF(R$8=1,IF(Reales!$C$68="PYG",IF(R$10&gt;0,N(Reales!R68)/R$10,0),N(Reales!R68)),R$242+R$245)</f>
        <v>23317.3689934674</v>
      </c>
      <c r="S252" s="48" t="n">
        <f aca="false">IF(S$8=1,IF(Reales!$C$68="PYG",IF(S$10&gt;0,N(Reales!S68)/S$10,0),N(Reales!S68)),S$242+S$245)</f>
        <v>23317.3689934674</v>
      </c>
      <c r="T252" s="48" t="n">
        <f aca="false">IF(T$8=1,IF(Reales!$C$68="PYG",IF(T$10&gt;0,N(Reales!T68)/T$10,0),N(Reales!T68)),T$242+T$245)</f>
        <v>23317.3689934674</v>
      </c>
      <c r="U252" s="48" t="n">
        <f aca="false">IF(U$8=1,IF(Reales!$C$68="PYG",IF(U$10&gt;0,N(Reales!U68)/U$10,0),N(Reales!U68)),U$242+U$245)</f>
        <v>23317.3689934674</v>
      </c>
      <c r="V252" s="48" t="n">
        <f aca="false">IF(V$8=1,IF(Reales!$C$68="PYG",IF(V$10&gt;0,N(Reales!V68)/V$10,0),N(Reales!V68)),V$242+V$245)</f>
        <v>23317.3689934674</v>
      </c>
      <c r="W252" s="48" t="n">
        <f aca="false">IF(W$8=1,IF(Reales!$C$68="PYG",IF(W$10&gt;0,N(Reales!W68)/W$10,0),N(Reales!W68)),W$242+W$245)</f>
        <v>23317.3689934674</v>
      </c>
      <c r="X252" s="48" t="n">
        <f aca="false">IF(X$8=1,IF(Reales!$C$68="PYG",IF(X$10&gt;0,N(Reales!X68)/X$10,0),N(Reales!X68)),X$242+X$245)</f>
        <v>23317.3689934674</v>
      </c>
      <c r="Y252" s="48" t="n">
        <f aca="false">IF(Y$8=1,IF(Reales!$C$68="PYG",IF(Y$10&gt;0,N(Reales!Y68)/Y$10,0),N(Reales!Y68)),Y$242+Y$245)</f>
        <v>23317.3689934674</v>
      </c>
      <c r="Z252" s="48" t="n">
        <f aca="false">IF(Z$8=1,IF(Reales!$C$68="PYG",IF(Z$10&gt;0,N(Reales!Z68)/Z$10,0),N(Reales!Z68)),Z$242+Z$245)</f>
        <v>23317.3689934674</v>
      </c>
      <c r="AA252" s="48" t="n">
        <f aca="false">IF(AA$8=1,IF(Reales!$C$68="PYG",IF(AA$10&gt;0,N(Reales!AA68)/AA$10,0),N(Reales!AA68)),AA$242+AA$245)</f>
        <v>23317.3689934674</v>
      </c>
      <c r="AB252" s="48" t="n">
        <f aca="false">IF(AB$8=1,IF(Reales!$C$68="PYG",IF(AB$10&gt;0,N(Reales!AB68)/AB$10,0),N(Reales!AB68)),AB$242+AB$245)</f>
        <v>23317.3689934674</v>
      </c>
      <c r="AC252" s="48" t="n">
        <f aca="false">IF(AC$8=1,IF(Reales!$C$68="PYG",IF(AC$10&gt;0,N(Reales!AC68)/AC$10,0),N(Reales!AC68)),AC$242+AC$245)</f>
        <v>23317.3689934674</v>
      </c>
      <c r="AD252" s="48" t="n">
        <f aca="false">IF(AD$8=1,IF(Reales!$C$68="PYG",IF(AD$10&gt;0,N(Reales!AD68)/AD$10,0),N(Reales!AD68)),AD$242+AD$245)</f>
        <v>26931.7997342693</v>
      </c>
      <c r="AE252" s="48" t="n">
        <f aca="false">IF(AE$8=1,IF(Reales!$C$68="PYG",IF(AE$10&gt;0,N(Reales!AE68)/AE$10,0),N(Reales!AE68)),AE$242+AE$245)</f>
        <v>26931.7997342693</v>
      </c>
      <c r="AF252" s="48" t="n">
        <f aca="false">IF(AF$8=1,IF(Reales!$C$68="PYG",IF(AF$10&gt;0,N(Reales!AF68)/AF$10,0),N(Reales!AF68)),AF$242+AF$245)</f>
        <v>26931.7997342693</v>
      </c>
      <c r="AG252" s="48" t="n">
        <f aca="false">IF(AG$8=1,IF(Reales!$C$68="PYG",IF(AG$10&gt;0,N(Reales!AG68)/AG$10,0),N(Reales!AG68)),AG$242+AG$245)</f>
        <v>26931.7997342693</v>
      </c>
      <c r="AH252" s="48" t="n">
        <f aca="false">IF(AH$8=1,IF(Reales!$C$68="PYG",IF(AH$10&gt;0,N(Reales!AH68)/AH$10,0),N(Reales!AH68)),AH$242+AH$245)</f>
        <v>26931.7997342693</v>
      </c>
      <c r="AI252" s="48" t="n">
        <f aca="false">IF(AI$8=1,IF(Reales!$C$68="PYG",IF(AI$10&gt;0,N(Reales!AI68)/AI$10,0),N(Reales!AI68)),AI$242+AI$245)</f>
        <v>26931.7997342693</v>
      </c>
      <c r="AJ252" s="48" t="n">
        <f aca="false">IF(AJ$8=1,IF(Reales!$C$68="PYG",IF(AJ$10&gt;0,N(Reales!AJ68)/AJ$10,0),N(Reales!AJ68)),AJ$242+AJ$245)</f>
        <v>26931.7997342693</v>
      </c>
      <c r="AK252" s="48" t="n">
        <f aca="false">IF(AK$8=1,IF(Reales!$C$68="PYG",IF(AK$10&gt;0,N(Reales!AK68)/AK$10,0),N(Reales!AK68)),AK$242+AK$245)</f>
        <v>26931.7997342693</v>
      </c>
      <c r="AL252" s="48" t="n">
        <f aca="false">IF(AL$8=1,IF(Reales!$C$68="PYG",IF(AL$10&gt;0,N(Reales!AL68)/AL$10,0),N(Reales!AL68)),AL$242+AL$245)</f>
        <v>26931.7997342693</v>
      </c>
      <c r="AM252" s="48" t="n">
        <f aca="false">IF(AM$8=1,IF(Reales!$C$68="PYG",IF(AM$10&gt;0,N(Reales!AM68)/AM$10,0),N(Reales!AM68)),AM$242+AM$245)</f>
        <v>26931.7997342693</v>
      </c>
      <c r="AN252" s="48" t="n">
        <f aca="false">IF(AN$8=1,IF(Reales!$C$68="PYG",IF(AN$10&gt;0,N(Reales!AN68)/AN$10,0),N(Reales!AN68)),AN$242+AN$245)</f>
        <v>26931.7997342693</v>
      </c>
      <c r="AO252" s="48" t="n">
        <f aca="false">IF(AO$8=1,IF(Reales!$C$68="PYG",IF(AO$10&gt;0,N(Reales!AO68)/AO$10,0),N(Reales!AO68)),AO$242+AO$245)</f>
        <v>26931.7997342693</v>
      </c>
      <c r="AP252" s="48" t="n">
        <f aca="false">IF(AP$8=1,IF(Reales!$C$68="PYG",IF(AP$10&gt;0,N(Reales!AP68)/AP$10,0),N(Reales!AP68)),AP$242+AP$245)</f>
        <v>29899.7286769277</v>
      </c>
      <c r="AQ252" s="48" t="n">
        <f aca="false">IF(AQ$8=1,IF(Reales!$C$68="PYG",IF(AQ$10&gt;0,N(Reales!AQ68)/AQ$10,0),N(Reales!AQ68)),AQ$242+AQ$245)</f>
        <v>29899.7286769277</v>
      </c>
      <c r="AR252" s="48" t="n">
        <f aca="false">IF(AR$8=1,IF(Reales!$C$68="PYG",IF(AR$10&gt;0,N(Reales!AR68)/AR$10,0),N(Reales!AR68)),AR$242+AR$245)</f>
        <v>29899.7286769277</v>
      </c>
      <c r="AS252" s="48" t="n">
        <f aca="false">IF(AS$8=1,IF(Reales!$C$68="PYG",IF(AS$10&gt;0,N(Reales!AS68)/AS$10,0),N(Reales!AS68)),AS$242+AS$245)</f>
        <v>29899.7286769277</v>
      </c>
      <c r="AT252" s="48" t="n">
        <f aca="false">IF(AT$8=1,IF(Reales!$C$68="PYG",IF(AT$10&gt;0,N(Reales!AT68)/AT$10,0),N(Reales!AT68)),AT$242+AT$245)</f>
        <v>29899.7286769277</v>
      </c>
      <c r="AU252" s="48" t="n">
        <f aca="false">IF(AU$8=1,IF(Reales!$C$68="PYG",IF(AU$10&gt;0,N(Reales!AU68)/AU$10,0),N(Reales!AU68)),AU$242+AU$245)</f>
        <v>29899.7286769277</v>
      </c>
      <c r="AV252" s="48" t="n">
        <f aca="false">IF(AV$8=1,IF(Reales!$C$68="PYG",IF(AV$10&gt;0,N(Reales!AV68)/AV$10,0),N(Reales!AV68)),AV$242+AV$245)</f>
        <v>29899.7286769277</v>
      </c>
      <c r="AW252" s="48" t="n">
        <f aca="false">IF(AW$8=1,IF(Reales!$C$68="PYG",IF(AW$10&gt;0,N(Reales!AW68)/AW$10,0),N(Reales!AW68)),AW$242+AW$245)</f>
        <v>29899.7286769277</v>
      </c>
      <c r="AX252" s="48" t="n">
        <f aca="false">IF(AX$8=1,IF(Reales!$C$68="PYG",IF(AX$10&gt;0,N(Reales!AX68)/AX$10,0),N(Reales!AX68)),AX$242+AX$245)</f>
        <v>29899.7286769277</v>
      </c>
      <c r="AY252" s="48" t="n">
        <f aca="false">IF(AY$8=1,IF(Reales!$C$68="PYG",IF(AY$10&gt;0,N(Reales!AY68)/AY$10,0),N(Reales!AY68)),AY$242+AY$245)</f>
        <v>29899.7286769277</v>
      </c>
      <c r="AZ252" s="48" t="n">
        <f aca="false">IF(AZ$8=1,IF(Reales!$C$68="PYG",IF(AZ$10&gt;0,N(Reales!AZ68)/AZ$10,0),N(Reales!AZ68)),AZ$242+AZ$245)</f>
        <v>29899.7286769277</v>
      </c>
      <c r="BA252" s="48" t="n">
        <f aca="false">IF(BA$8=1,IF(Reales!$C$68="PYG",IF(BA$10&gt;0,N(Reales!BA68)/BA$10,0),N(Reales!BA68)),BA$242+BA$245)</f>
        <v>29899.7286769277</v>
      </c>
      <c r="BB252" s="48" t="n">
        <f aca="false">IF(BB$8=1,IF(Reales!$C$68="PYG",IF(BB$10&gt;0,N(Reales!BB68)/BB$10,0),N(Reales!BB68)),BB$242+BB$245)</f>
        <v>30202.8952208885</v>
      </c>
      <c r="BC252" s="48" t="n">
        <f aca="false">IF(BC$8=1,IF(Reales!$C$68="PYG",IF(BC$10&gt;0,N(Reales!BC68)/BC$10,0),N(Reales!BC68)),BC$242+BC$245)</f>
        <v>30202.8952208885</v>
      </c>
      <c r="BD252" s="48" t="n">
        <f aca="false">IF(BD$8=1,IF(Reales!$C$68="PYG",IF(BD$10&gt;0,N(Reales!BD68)/BD$10,0),N(Reales!BD68)),BD$242+BD$245)</f>
        <v>30202.8952208885</v>
      </c>
      <c r="BE252" s="48" t="n">
        <f aca="false">IF(BE$8=1,IF(Reales!$C$68="PYG",IF(BE$10&gt;0,N(Reales!BE68)/BE$10,0),N(Reales!BE68)),BE$242+BE$245)</f>
        <v>30202.8952208885</v>
      </c>
      <c r="BF252" s="48" t="n">
        <f aca="false">IF(BF$8=1,IF(Reales!$C$68="PYG",IF(BF$10&gt;0,N(Reales!BF68)/BF$10,0),N(Reales!BF68)),BF$242+BF$245)</f>
        <v>30202.8952208885</v>
      </c>
      <c r="BG252" s="48" t="n">
        <f aca="false">IF(BG$8=1,IF(Reales!$C$68="PYG",IF(BG$10&gt;0,N(Reales!BG68)/BG$10,0),N(Reales!BG68)),BG$242+BG$245)</f>
        <v>30202.8952208885</v>
      </c>
      <c r="BH252" s="48" t="n">
        <f aca="false">IF(BH$8=1,IF(Reales!$C$68="PYG",IF(BH$10&gt;0,N(Reales!BH68)/BH$10,0),N(Reales!BH68)),BH$242+BH$245)</f>
        <v>30202.8952208885</v>
      </c>
      <c r="BI252" s="48" t="n">
        <f aca="false">IF(BI$8=1,IF(Reales!$C$68="PYG",IF(BI$10&gt;0,N(Reales!BI68)/BI$10,0),N(Reales!BI68)),BI$242+BI$245)</f>
        <v>30202.8952208885</v>
      </c>
      <c r="BJ252" s="48" t="n">
        <f aca="false">IF(BJ$8=1,IF(Reales!$C$68="PYG",IF(BJ$10&gt;0,N(Reales!BJ68)/BJ$10,0),N(Reales!BJ68)),BJ$242+BJ$245)</f>
        <v>30202.8952208885</v>
      </c>
      <c r="BK252" s="48" t="n">
        <f aca="false">IF(BK$8=1,IF(Reales!$C$68="PYG",IF(BK$10&gt;0,N(Reales!BK68)/BK$10,0),N(Reales!BK68)),BK$242+BK$245)</f>
        <v>30202.8952208885</v>
      </c>
      <c r="BL252" s="48" t="n">
        <f aca="false">IF(BL$8=1,IF(Reales!$C$68="PYG",IF(BL$10&gt;0,N(Reales!BL68)/BL$10,0),N(Reales!BL68)),BL$242+BL$245)</f>
        <v>30202.8952208885</v>
      </c>
      <c r="BM252" s="48" t="n">
        <f aca="false">IF(BM$8=1,IF(Reales!$C$68="PYG",IF(BM$10&gt;0,N(Reales!BM68)/BM$10,0),N(Reales!BM68)),BM$242+BM$245)</f>
        <v>30202.8952208885</v>
      </c>
      <c r="BN252" s="48" t="n">
        <f aca="false">IF(BN$8=1,IF(Reales!$C$68="PYG",IF(BN$10&gt;0,N(Reales!BN68)/BN$10,0),N(Reales!BN68)),BN$242+BN$245)</f>
        <v>30377.8973165949</v>
      </c>
      <c r="BO252" s="48" t="n">
        <f aca="false">IF(BO$8=1,IF(Reales!$C$68="PYG",IF(BO$10&gt;0,N(Reales!BO68)/BO$10,0),N(Reales!BO68)),BO$242+BO$245)</f>
        <v>30377.8973165949</v>
      </c>
      <c r="BP252" s="48" t="n">
        <f aca="false">IF(BP$8=1,IF(Reales!$C$68="PYG",IF(BP$10&gt;0,N(Reales!BP68)/BP$10,0),N(Reales!BP68)),BP$242+BP$245)</f>
        <v>30377.8973165949</v>
      </c>
      <c r="BQ252" s="48" t="n">
        <f aca="false">IF(BQ$8=1,IF(Reales!$C$68="PYG",IF(BQ$10&gt;0,N(Reales!BQ68)/BQ$10,0),N(Reales!BQ68)),BQ$242+BQ$245)</f>
        <v>30377.8973165949</v>
      </c>
      <c r="BR252" s="48" t="n">
        <f aca="false">IF(BR$8=1,IF(Reales!$C$68="PYG",IF(BR$10&gt;0,N(Reales!BR68)/BR$10,0),N(Reales!BR68)),BR$242+BR$245)</f>
        <v>30377.8973165949</v>
      </c>
      <c r="BS252" s="48" t="n">
        <f aca="false">IF(BS$8=1,IF(Reales!$C$68="PYG",IF(BS$10&gt;0,N(Reales!BS68)/BS$10,0),N(Reales!BS68)),BS$242+BS$245)</f>
        <v>30377.8973165949</v>
      </c>
      <c r="BT252" s="48" t="n">
        <f aca="false">IF(BT$8=1,IF(Reales!$C$68="PYG",IF(BT$10&gt;0,N(Reales!BT68)/BT$10,0),N(Reales!BT68)),BT$242+BT$245)</f>
        <v>30377.8973165949</v>
      </c>
      <c r="BU252" s="48" t="n">
        <f aca="false">IF(BU$8=1,IF(Reales!$C$68="PYG",IF(BU$10&gt;0,N(Reales!BU68)/BU$10,0),N(Reales!BU68)),BU$242+BU$245)</f>
        <v>30377.8973165949</v>
      </c>
      <c r="BV252" s="48" t="n">
        <f aca="false">IF(BV$8=1,IF(Reales!$C$68="PYG",IF(BV$10&gt;0,N(Reales!BV68)/BV$10,0),N(Reales!BV68)),BV$242+BV$245)</f>
        <v>30377.8973165949</v>
      </c>
      <c r="BW252" s="48" t="n">
        <f aca="false">IF(BW$8=1,IF(Reales!$C$68="PYG",IF(BW$10&gt;0,N(Reales!BW68)/BW$10,0),N(Reales!BW68)),BW$242+BW$245)</f>
        <v>30377.8973165949</v>
      </c>
      <c r="BX252" s="48" t="n">
        <f aca="false">IF(BX$8=1,IF(Reales!$C$68="PYG",IF(BX$10&gt;0,N(Reales!BX68)/BX$10,0),N(Reales!BX68)),BX$242+BX$245)</f>
        <v>30377.8973165949</v>
      </c>
      <c r="BY252" s="48" t="n">
        <f aca="false">IF(BY$8=1,IF(Reales!$C$68="PYG",IF(BY$10&gt;0,N(Reales!BY68)/BY$10,0),N(Reales!BY68)),BY$242+BY$245)</f>
        <v>30377.8973165949</v>
      </c>
      <c r="BZ252" s="48" t="n">
        <f aca="false">IF(BZ$8=1,IF(Reales!$C$68="PYG",IF(BZ$10&gt;0,N(Reales!BZ68)/BZ$10,0),N(Reales!BZ68)),BZ$242+BZ$245)</f>
        <v>30555.2121796718</v>
      </c>
      <c r="CA252" s="48" t="n">
        <f aca="false">IF(CA$8=1,IF(Reales!$C$68="PYG",IF(CA$10&gt;0,N(Reales!CA68)/CA$10,0),N(Reales!CA68)),CA$242+CA$245)</f>
        <v>30555.2121796718</v>
      </c>
      <c r="CB252" s="48" t="n">
        <f aca="false">IF(CB$8=1,IF(Reales!$C$68="PYG",IF(CB$10&gt;0,N(Reales!CB68)/CB$10,0),N(Reales!CB68)),CB$242+CB$245)</f>
        <v>30555.2121796718</v>
      </c>
      <c r="CC252" s="48" t="n">
        <f aca="false">IF(CC$8=1,IF(Reales!$C$68="PYG",IF(CC$10&gt;0,N(Reales!CC68)/CC$10,0),N(Reales!CC68)),CC$242+CC$245)</f>
        <v>30555.2121796718</v>
      </c>
      <c r="CD252" s="48" t="n">
        <f aca="false">IF(CD$8=1,IF(Reales!$C$68="PYG",IF(CD$10&gt;0,N(Reales!CD68)/CD$10,0),N(Reales!CD68)),CD$242+CD$245)</f>
        <v>30555.2121796718</v>
      </c>
      <c r="CE252" s="48" t="n">
        <f aca="false">IF(CE$8=1,IF(Reales!$C$68="PYG",IF(CE$10&gt;0,N(Reales!CE68)/CE$10,0),N(Reales!CE68)),CE$242+CE$245)</f>
        <v>30555.2121796718</v>
      </c>
      <c r="CF252" s="48" t="n">
        <f aca="false">IF(CF$8=1,IF(Reales!$C$68="PYG",IF(CF$10&gt;0,N(Reales!CF68)/CF$10,0),N(Reales!CF68)),CF$242+CF$245)</f>
        <v>30555.2121796718</v>
      </c>
      <c r="CG252" s="48" t="n">
        <f aca="false">IF(CG$8=1,IF(Reales!$C$68="PYG",IF(CG$10&gt;0,N(Reales!CG68)/CG$10,0),N(Reales!CG68)),CG$242+CG$245)</f>
        <v>30555.2121796718</v>
      </c>
      <c r="CH252" s="48" t="n">
        <f aca="false">IF(CH$8=1,IF(Reales!$C$68="PYG",IF(CH$10&gt;0,N(Reales!CH68)/CH$10,0),N(Reales!CH68)),CH$242+CH$245)</f>
        <v>30555.2121796718</v>
      </c>
      <c r="CI252" s="48" t="n">
        <f aca="false">IF(CI$8=1,IF(Reales!$C$68="PYG",IF(CI$10&gt;0,N(Reales!CI68)/CI$10,0),N(Reales!CI68)),CI$242+CI$245)</f>
        <v>30555.2121796718</v>
      </c>
      <c r="CJ252" s="48" t="n">
        <f aca="false">IF(CJ$8=1,IF(Reales!$C$68="PYG",IF(CJ$10&gt;0,N(Reales!CJ68)/CJ$10,0),N(Reales!CJ68)),CJ$242+CJ$245)</f>
        <v>30555.2121796718</v>
      </c>
      <c r="CK252" s="48" t="n">
        <f aca="false">IF(CK$8=1,IF(Reales!$C$68="PYG",IF(CK$10&gt;0,N(Reales!CK68)/CK$10,0),N(Reales!CK68)),CK$242+CK$245)</f>
        <v>30555.2121796718</v>
      </c>
      <c r="CL252" s="48" t="n">
        <f aca="false">IF(CL$8=1,IF(Reales!$C$68="PYG",IF(CL$10&gt;0,N(Reales!CL68)/CL$10,0),N(Reales!CL68)),CL$242+CL$245)</f>
        <v>30734.874192721</v>
      </c>
      <c r="CM252" s="48" t="n">
        <f aca="false">IF(CM$8=1,IF(Reales!$C$68="PYG",IF(CM$10&gt;0,N(Reales!CM68)/CM$10,0),N(Reales!CM68)),CM$242+CM$245)</f>
        <v>30734.874192721</v>
      </c>
      <c r="CN252" s="48" t="n">
        <f aca="false">IF(CN$8=1,IF(Reales!$C$68="PYG",IF(CN$10&gt;0,N(Reales!CN68)/CN$10,0),N(Reales!CN68)),CN$242+CN$245)</f>
        <v>30734.874192721</v>
      </c>
      <c r="CO252" s="48" t="n">
        <f aca="false">IF(CO$8=1,IF(Reales!$C$68="PYG",IF(CO$10&gt;0,N(Reales!CO68)/CO$10,0),N(Reales!CO68)),CO$242+CO$245)</f>
        <v>30734.874192721</v>
      </c>
      <c r="CP252" s="48" t="n">
        <f aca="false">IF(CP$8=1,IF(Reales!$C$68="PYG",IF(CP$10&gt;0,N(Reales!CP68)/CP$10,0),N(Reales!CP68)),CP$242+CP$245)</f>
        <v>30734.874192721</v>
      </c>
      <c r="CQ252" s="48" t="n">
        <f aca="false">IF(CQ$8=1,IF(Reales!$C$68="PYG",IF(CQ$10&gt;0,N(Reales!CQ68)/CQ$10,0),N(Reales!CQ68)),CQ$242+CQ$245)</f>
        <v>30734.874192721</v>
      </c>
      <c r="CR252" s="48" t="n">
        <f aca="false">IF(CR$8=1,IF(Reales!$C$68="PYG",IF(CR$10&gt;0,N(Reales!CR68)/CR$10,0),N(Reales!CR68)),CR$242+CR$245)</f>
        <v>30734.874192721</v>
      </c>
      <c r="CS252" s="48" t="n">
        <f aca="false">IF(CS$8=1,IF(Reales!$C$68="PYG",IF(CS$10&gt;0,N(Reales!CS68)/CS$10,0),N(Reales!CS68)),CS$242+CS$245)</f>
        <v>30734.874192721</v>
      </c>
      <c r="CT252" s="48" t="n">
        <f aca="false">IF(CT$8=1,IF(Reales!$C$68="PYG",IF(CT$10&gt;0,N(Reales!CT68)/CT$10,0),N(Reales!CT68)),CT$242+CT$245)</f>
        <v>30734.874192721</v>
      </c>
      <c r="CU252" s="48" t="n">
        <f aca="false">IF(CU$8=1,IF(Reales!$C$68="PYG",IF(CU$10&gt;0,N(Reales!CU68)/CU$10,0),N(Reales!CU68)),CU$242+CU$245)</f>
        <v>30734.874192721</v>
      </c>
      <c r="CV252" s="48" t="n">
        <f aca="false">IF(CV$8=1,IF(Reales!$C$68="PYG",IF(CV$10&gt;0,N(Reales!CV68)/CV$10,0),N(Reales!CV68)),CV$242+CV$245)</f>
        <v>30734.874192721</v>
      </c>
      <c r="CW252" s="48" t="n">
        <f aca="false">IF(CW$8=1,IF(Reales!$C$68="PYG",IF(CW$10&gt;0,N(Reales!CW68)/CW$10,0),N(Reales!CW68)),CW$242+CW$245)</f>
        <v>30734.874192721</v>
      </c>
      <c r="CX252" s="48" t="n">
        <f aca="false">IF(CX$8=1,IF(Reales!$C$68="PYG",IF(CX$10&gt;0,N(Reales!CX68)/CX$10,0),N(Reales!CX68)),CX$242+CX$245)</f>
        <v>30916.9183072693</v>
      </c>
      <c r="CY252" s="48" t="n">
        <f aca="false">IF(CY$8=1,IF(Reales!$C$68="PYG",IF(CY$10&gt;0,N(Reales!CY68)/CY$10,0),N(Reales!CY68)),CY$242+CY$245)</f>
        <v>30916.9183072693</v>
      </c>
      <c r="CZ252" s="48" t="n">
        <f aca="false">IF(CZ$8=1,IF(Reales!$C$68="PYG",IF(CZ$10&gt;0,N(Reales!CZ68)/CZ$10,0),N(Reales!CZ68)),CZ$242+CZ$245)</f>
        <v>30916.9183072693</v>
      </c>
      <c r="DA252" s="48" t="n">
        <f aca="false">IF(DA$8=1,IF(Reales!$C$68="PYG",IF(DA$10&gt;0,N(Reales!DA68)/DA$10,0),N(Reales!DA68)),DA$242+DA$245)</f>
        <v>30916.9183072693</v>
      </c>
      <c r="DB252" s="48" t="n">
        <f aca="false">IF(DB$8=1,IF(Reales!$C$68="PYG",IF(DB$10&gt;0,N(Reales!DB68)/DB$10,0),N(Reales!DB68)),DB$242+DB$245)</f>
        <v>30916.9183072693</v>
      </c>
      <c r="DC252" s="48" t="n">
        <f aca="false">IF(DC$8=1,IF(Reales!$C$68="PYG",IF(DC$10&gt;0,N(Reales!DC68)/DC$10,0),N(Reales!DC68)),DC$242+DC$245)</f>
        <v>30916.9183072693</v>
      </c>
      <c r="DD252" s="48" t="n">
        <f aca="false">IF(DD$8=1,IF(Reales!$C$68="PYG",IF(DD$10&gt;0,N(Reales!DD68)/DD$10,0),N(Reales!DD68)),DD$242+DD$245)</f>
        <v>30916.9183072693</v>
      </c>
      <c r="DE252" s="48" t="n">
        <f aca="false">IF(DE$8=1,IF(Reales!$C$68="PYG",IF(DE$10&gt;0,N(Reales!DE68)/DE$10,0),N(Reales!DE68)),DE$242+DE$245)</f>
        <v>30916.9183072693</v>
      </c>
      <c r="DF252" s="48" t="n">
        <f aca="false">IF(DF$8=1,IF(Reales!$C$68="PYG",IF(DF$10&gt;0,N(Reales!DF68)/DF$10,0),N(Reales!DF68)),DF$242+DF$245)</f>
        <v>30916.9183072693</v>
      </c>
      <c r="DG252" s="48" t="n">
        <f aca="false">IF(DG$8=1,IF(Reales!$C$68="PYG",IF(DG$10&gt;0,N(Reales!DG68)/DG$10,0),N(Reales!DG68)),DG$242+DG$245)</f>
        <v>30916.9183072693</v>
      </c>
      <c r="DH252" s="48" t="n">
        <f aca="false">IF(DH$8=1,IF(Reales!$C$68="PYG",IF(DH$10&gt;0,N(Reales!DH68)/DH$10,0),N(Reales!DH68)),DH$242+DH$245)</f>
        <v>30916.9183072693</v>
      </c>
      <c r="DI252" s="48" t="n">
        <f aca="false">IF(DI$8=1,IF(Reales!$C$68="PYG",IF(DI$10&gt;0,N(Reales!DI68)/DI$10,0),N(Reales!DI68)),DI$242+DI$245)</f>
        <v>30916.9183072693</v>
      </c>
      <c r="DJ252" s="48" t="n">
        <f aca="false">IF(DJ$8=1,IF(Reales!$C$68="PYG",IF(DJ$10&gt;0,N(Reales!DJ68)/DJ$10,0),N(Reales!DJ68)),DJ$242+DJ$245)</f>
        <v>31101.3800539588</v>
      </c>
      <c r="DK252" s="48" t="n">
        <f aca="false">IF(DK$8=1,IF(Reales!$C$68="PYG",IF(DK$10&gt;0,N(Reales!DK68)/DK$10,0),N(Reales!DK68)),DK$242+DK$245)</f>
        <v>31101.3800539588</v>
      </c>
      <c r="DL252" s="48" t="n">
        <f aca="false">IF(DL$8=1,IF(Reales!$C$68="PYG",IF(DL$10&gt;0,N(Reales!DL68)/DL$10,0),N(Reales!DL68)),DL$242+DL$245)</f>
        <v>31101.3800539588</v>
      </c>
      <c r="DM252" s="48" t="n">
        <f aca="false">IF(DM$8=1,IF(Reales!$C$68="PYG",IF(DM$10&gt;0,N(Reales!DM68)/DM$10,0),N(Reales!DM68)),DM$242+DM$245)</f>
        <v>31101.3800539588</v>
      </c>
      <c r="DN252" s="48" t="n">
        <f aca="false">IF(DN$8=1,IF(Reales!$C$68="PYG",IF(DN$10&gt;0,N(Reales!DN68)/DN$10,0),N(Reales!DN68)),DN$242+DN$245)</f>
        <v>31101.3800539588</v>
      </c>
      <c r="DO252" s="48" t="n">
        <f aca="false">IF(DO$8=1,IF(Reales!$C$68="PYG",IF(DO$10&gt;0,N(Reales!DO68)/DO$10,0),N(Reales!DO68)),DO$242+DO$245)</f>
        <v>31101.3800539588</v>
      </c>
      <c r="DP252" s="48" t="n">
        <f aca="false">IF(DP$8=1,IF(Reales!$C$68="PYG",IF(DP$10&gt;0,N(Reales!DP68)/DP$10,0),N(Reales!DP68)),DP$242+DP$245)</f>
        <v>31101.3800539588</v>
      </c>
      <c r="DQ252" s="48" t="n">
        <f aca="false">IF(DQ$8=1,IF(Reales!$C$68="PYG",IF(DQ$10&gt;0,N(Reales!DQ68)/DQ$10,0),N(Reales!DQ68)),DQ$242+DQ$245)</f>
        <v>31101.3800539588</v>
      </c>
      <c r="DR252" s="48" t="n">
        <f aca="false">IF(DR$8=1,IF(Reales!$C$68="PYG",IF(DR$10&gt;0,N(Reales!DR68)/DR$10,0),N(Reales!DR68)),DR$242+DR$245)</f>
        <v>31101.3800539588</v>
      </c>
      <c r="DS252" s="48" t="n">
        <f aca="false">IF(DS$8=1,IF(Reales!$C$68="PYG",IF(DS$10&gt;0,N(Reales!DS68)/DS$10,0),N(Reales!DS68)),DS$242+DS$245)</f>
        <v>31101.3800539588</v>
      </c>
      <c r="DT252" s="48" t="n">
        <f aca="false">IF(DT$8=1,IF(Reales!$C$68="PYG",IF(DT$10&gt;0,N(Reales!DT68)/DT$10,0),N(Reales!DT68)),DT$242+DT$245)</f>
        <v>31101.3800539588</v>
      </c>
      <c r="DU252" s="48" t="n">
        <f aca="false">IF(DU$8=1,IF(Reales!$C$68="PYG",IF(DU$10&gt;0,N(Reales!DU68)/DU$10,0),N(Reales!DU68)),DU$242+DU$245)</f>
        <v>31101.3800539588</v>
      </c>
      <c r="DV252" s="48" t="n">
        <f aca="false">IF(DV$8=1,IF(Reales!$C$68="PYG",IF(DV$10&gt;0,N(Reales!DV68)/DV$10,0),N(Reales!DV68)),DV$242+DV$245)</f>
        <v>0</v>
      </c>
      <c r="DW252" s="48" t="n">
        <f aca="false">IF(DW$8=1,IF(Reales!$C$68="PYG",IF(DW$10&gt;0,N(Reales!DW68)/DW$10,0),N(Reales!DW68)),DW$242+DW$245)</f>
        <v>0</v>
      </c>
      <c r="DX252" s="48" t="n">
        <f aca="false">IF(DX$8=1,IF(Reales!$C$68="PYG",IF(DX$10&gt;0,N(Reales!DX68)/DX$10,0),N(Reales!DX68)),DX$242+DX$245)</f>
        <v>0</v>
      </c>
      <c r="DY252" s="48" t="n">
        <f aca="false">IF(DY$8=1,IF(Reales!$C$68="PYG",IF(DY$10&gt;0,N(Reales!DY68)/DY$10,0),N(Reales!DY68)),DY$242+DY$245)</f>
        <v>0</v>
      </c>
      <c r="DZ252" s="48" t="n">
        <f aca="false">IF(DZ$8=1,IF(Reales!$C$68="PYG",IF(DZ$10&gt;0,N(Reales!DZ68)/DZ$10,0),N(Reales!DZ68)),DZ$242+DZ$245)</f>
        <v>0</v>
      </c>
      <c r="EA252" s="48" t="n">
        <f aca="false">IF(EA$8=1,IF(Reales!$C$68="PYG",IF(EA$10&gt;0,N(Reales!EA68)/EA$10,0),N(Reales!EA68)),EA$242+EA$245)</f>
        <v>0</v>
      </c>
      <c r="EB252" s="48" t="n">
        <f aca="false">IF(EB$8=1,IF(Reales!$C$68="PYG",IF(EB$10&gt;0,N(Reales!EB68)/EB$10,0),N(Reales!EB68)),EB$242+EB$245)</f>
        <v>0</v>
      </c>
      <c r="EC252" s="48" t="n">
        <f aca="false">IF(EC$8=1,IF(Reales!$C$68="PYG",IF(EC$10&gt;0,N(Reales!EC68)/EC$10,0),N(Reales!EC68)),EC$242+EC$245)</f>
        <v>0</v>
      </c>
      <c r="ED252" s="48" t="n">
        <f aca="false">IF(ED$8=1,IF(Reales!$C$68="PYG",IF(ED$10&gt;0,N(Reales!ED68)/ED$10,0),N(Reales!ED68)),ED$242+ED$245)</f>
        <v>0</v>
      </c>
      <c r="EE252" s="48" t="n">
        <f aca="false">IF(EE$8=1,IF(Reales!$C$68="PYG",IF(EE$10&gt;0,N(Reales!EE68)/EE$10,0),N(Reales!EE68)),EE$242+EE$245)</f>
        <v>0</v>
      </c>
      <c r="EF252" s="48" t="n">
        <f aca="false">IF(EF$8=1,IF(Reales!$C$68="PYG",IF(EF$10&gt;0,N(Reales!EF68)/EF$10,0),N(Reales!EF68)),EF$242+EF$245)</f>
        <v>0</v>
      </c>
      <c r="EG252" s="48" t="n">
        <f aca="false">IF(EG$8=1,IF(Reales!$C$68="PYG",IF(EG$10&gt;0,N(Reales!EG68)/EG$10,0),N(Reales!EG68)),EG$242+EG$245)</f>
        <v>0</v>
      </c>
      <c r="EH252" s="48" t="n">
        <f aca="false">IF(EH$8=1,IF(Reales!$C$68="PYG",IF(EH$10&gt;0,N(Reales!EH68)/EH$10,0),N(Reales!EH68)),EH$242+EH$245)</f>
        <v>0</v>
      </c>
      <c r="EI252" s="48" t="n">
        <f aca="false">IF(EI$8=1,IF(Reales!$C$68="PYG",IF(EI$10&gt;0,N(Reales!EI68)/EI$10,0),N(Reales!EI68)),EI$242+EI$245)</f>
        <v>0</v>
      </c>
      <c r="EJ252" s="48" t="n">
        <f aca="false">IF(EJ$8=1,IF(Reales!$C$68="PYG",IF(EJ$10&gt;0,N(Reales!EJ68)/EJ$10,0),N(Reales!EJ68)),EJ$242+EJ$245)</f>
        <v>0</v>
      </c>
      <c r="EK252" s="48" t="n">
        <f aca="false">IF(EK$8=1,IF(Reales!$C$68="PYG",IF(EK$10&gt;0,N(Reales!EK68)/EK$10,0),N(Reales!EK68)),EK$242+EK$245)</f>
        <v>0</v>
      </c>
      <c r="EL252" s="48" t="n">
        <f aca="false">IF(EL$8=1,IF(Reales!$C$68="PYG",IF(EL$10&gt;0,N(Reales!EL68)/EL$10,0),N(Reales!EL68)),EL$242+EL$245)</f>
        <v>0</v>
      </c>
      <c r="EM252" s="48" t="n">
        <f aca="false">IF(EM$8=1,IF(Reales!$C$68="PYG",IF(EM$10&gt;0,N(Reales!EM68)/EM$10,0),N(Reales!EM68)),EM$242+EM$245)</f>
        <v>0</v>
      </c>
      <c r="EN252" s="48" t="n">
        <f aca="false">IF(EN$8=1,IF(Reales!$C$68="PYG",IF(EN$10&gt;0,N(Reales!EN68)/EN$10,0),N(Reales!EN68)),EN$242+EN$245)</f>
        <v>0</v>
      </c>
      <c r="EO252" s="48" t="n">
        <f aca="false">IF(EO$8=1,IF(Reales!$C$68="PYG",IF(EO$10&gt;0,N(Reales!EO68)/EO$10,0),N(Reales!EO68)),EO$242+EO$245)</f>
        <v>0</v>
      </c>
      <c r="EP252" s="48" t="n">
        <f aca="false">IF(EP$8=1,IF(Reales!$C$68="PYG",IF(EP$10&gt;0,N(Reales!EP68)/EP$10,0),N(Reales!EP68)),EP$242+EP$245)</f>
        <v>0</v>
      </c>
      <c r="EQ252" s="48" t="n">
        <f aca="false">IF(EQ$8=1,IF(Reales!$C$68="PYG",IF(EQ$10&gt;0,N(Reales!EQ68)/EQ$10,0),N(Reales!EQ68)),EQ$242+EQ$245)</f>
        <v>0</v>
      </c>
      <c r="ER252" s="48" t="n">
        <f aca="false">IF(ER$8=1,IF(Reales!$C$68="PYG",IF(ER$10&gt;0,N(Reales!ER68)/ER$10,0),N(Reales!ER68)),ER$242+ER$245)</f>
        <v>0</v>
      </c>
      <c r="ES252" s="48" t="n">
        <f aca="false">IF(ES$8=1,IF(Reales!$C$68="PYG",IF(ES$10&gt;0,N(Reales!ES68)/ES$10,0),N(Reales!ES68)),ES$242+ES$245)</f>
        <v>0</v>
      </c>
    </row>
    <row r="253" customFormat="false" ht="15" hidden="false" customHeight="false" outlineLevel="0" collapsed="false">
      <c r="A253" s="11" t="s">
        <v>1374</v>
      </c>
      <c r="B253" s="67" t="s">
        <v>1166</v>
      </c>
      <c r="C253" s="15" t="s">
        <v>508</v>
      </c>
      <c r="E253" s="54" t="n">
        <f aca="false">SUM(F253:ES253)</f>
        <v>21340920.4743363</v>
      </c>
      <c r="F253" s="19" t="n">
        <f aca="false">F$227-F$249-F$250-F$251-F$252</f>
        <v>79096.469288216</v>
      </c>
      <c r="G253" s="19" t="n">
        <f aca="false">G$227-G$249-G$250-G$251-G$252</f>
        <v>79096.469288216</v>
      </c>
      <c r="H253" s="19" t="n">
        <f aca="false">H$227-H$249-H$250-H$251-H$252</f>
        <v>79096.469288216</v>
      </c>
      <c r="I253" s="19" t="n">
        <f aca="false">I$227-I$249-I$250-I$251-I$252</f>
        <v>79096.469288216</v>
      </c>
      <c r="J253" s="19" t="n">
        <f aca="false">J$227-J$249-J$250-J$251-J$252</f>
        <v>79096.469288216</v>
      </c>
      <c r="K253" s="19" t="n">
        <f aca="false">K$227-K$249-K$250-K$251-K$252</f>
        <v>79096.469288216</v>
      </c>
      <c r="L253" s="19" t="n">
        <f aca="false">L$227-L$249-L$250-L$251-L$252</f>
        <v>79096.469288216</v>
      </c>
      <c r="M253" s="19" t="n">
        <f aca="false">M$227-M$249-M$250-M$251-M$252</f>
        <v>79096.469288216</v>
      </c>
      <c r="N253" s="19" t="n">
        <f aca="false">N$227-N$249-N$250-N$251-N$252</f>
        <v>79096.469288216</v>
      </c>
      <c r="O253" s="19" t="n">
        <f aca="false">O$227-O$249-O$250-O$251-O$252</f>
        <v>79096.469288216</v>
      </c>
      <c r="P253" s="19" t="n">
        <f aca="false">P$227-P$249-P$250-P$251-P$252</f>
        <v>79096.469288216</v>
      </c>
      <c r="Q253" s="19" t="n">
        <f aca="false">Q$227-Q$249-Q$250-Q$251-Q$252</f>
        <v>79096.469288216</v>
      </c>
      <c r="R253" s="19" t="n">
        <f aca="false">R$227-R$249-R$250-R$251-R$252</f>
        <v>118738.075139924</v>
      </c>
      <c r="S253" s="19" t="n">
        <f aca="false">S$227-S$249-S$250-S$251-S$252</f>
        <v>118738.075139924</v>
      </c>
      <c r="T253" s="19" t="n">
        <f aca="false">T$227-T$249-T$250-T$251-T$252</f>
        <v>118738.075139924</v>
      </c>
      <c r="U253" s="19" t="n">
        <f aca="false">U$227-U$249-U$250-U$251-U$252</f>
        <v>118738.075139924</v>
      </c>
      <c r="V253" s="19" t="n">
        <f aca="false">V$227-V$249-V$250-V$251-V$252</f>
        <v>118738.075139924</v>
      </c>
      <c r="W253" s="19" t="n">
        <f aca="false">W$227-W$249-W$250-W$251-W$252</f>
        <v>118738.075139924</v>
      </c>
      <c r="X253" s="19" t="n">
        <f aca="false">X$227-X$249-X$250-X$251-X$252</f>
        <v>118738.075139924</v>
      </c>
      <c r="Y253" s="19" t="n">
        <f aca="false">Y$227-Y$249-Y$250-Y$251-Y$252</f>
        <v>118738.075139924</v>
      </c>
      <c r="Z253" s="19" t="n">
        <f aca="false">Z$227-Z$249-Z$250-Z$251-Z$252</f>
        <v>118738.075139924</v>
      </c>
      <c r="AA253" s="19" t="n">
        <f aca="false">AA$227-AA$249-AA$250-AA$251-AA$252</f>
        <v>118738.075139924</v>
      </c>
      <c r="AB253" s="19" t="n">
        <f aca="false">AB$227-AB$249-AB$250-AB$251-AB$252</f>
        <v>118738.075139924</v>
      </c>
      <c r="AC253" s="19" t="n">
        <f aca="false">AC$227-AC$249-AC$250-AC$251-AC$252</f>
        <v>118738.075139924</v>
      </c>
      <c r="AD253" s="19" t="n">
        <f aca="false">AD$227-AD$249-AD$250-AD$251-AD$252</f>
        <v>157007.189944418</v>
      </c>
      <c r="AE253" s="19" t="n">
        <f aca="false">AE$227-AE$249-AE$250-AE$251-AE$252</f>
        <v>157007.189944418</v>
      </c>
      <c r="AF253" s="19" t="n">
        <f aca="false">AF$227-AF$249-AF$250-AF$251-AF$252</f>
        <v>157007.189944418</v>
      </c>
      <c r="AG253" s="19" t="n">
        <f aca="false">AG$227-AG$249-AG$250-AG$251-AG$252</f>
        <v>157007.189944418</v>
      </c>
      <c r="AH253" s="19" t="n">
        <f aca="false">AH$227-AH$249-AH$250-AH$251-AH$252</f>
        <v>157007.189944418</v>
      </c>
      <c r="AI253" s="19" t="n">
        <f aca="false">AI$227-AI$249-AI$250-AI$251-AI$252</f>
        <v>157007.189944418</v>
      </c>
      <c r="AJ253" s="19" t="n">
        <f aca="false">AJ$227-AJ$249-AJ$250-AJ$251-AJ$252</f>
        <v>157007.189944418</v>
      </c>
      <c r="AK253" s="19" t="n">
        <f aca="false">AK$227-AK$249-AK$250-AK$251-AK$252</f>
        <v>157007.189944418</v>
      </c>
      <c r="AL253" s="19" t="n">
        <f aca="false">AL$227-AL$249-AL$250-AL$251-AL$252</f>
        <v>157007.189944418</v>
      </c>
      <c r="AM253" s="19" t="n">
        <f aca="false">AM$227-AM$249-AM$250-AM$251-AM$252</f>
        <v>157007.189944418</v>
      </c>
      <c r="AN253" s="19" t="n">
        <f aca="false">AN$227-AN$249-AN$250-AN$251-AN$252</f>
        <v>157007.189944418</v>
      </c>
      <c r="AO253" s="19" t="n">
        <f aca="false">AO$227-AO$249-AO$250-AO$251-AO$252</f>
        <v>157007.189944418</v>
      </c>
      <c r="AP253" s="19" t="n">
        <f aca="false">AP$227-AP$249-AP$250-AP$251-AP$252</f>
        <v>191337.339883818</v>
      </c>
      <c r="AQ253" s="19" t="n">
        <f aca="false">AQ$227-AQ$249-AQ$250-AQ$251-AQ$252</f>
        <v>191337.339883818</v>
      </c>
      <c r="AR253" s="19" t="n">
        <f aca="false">AR$227-AR$249-AR$250-AR$251-AR$252</f>
        <v>191337.339883818</v>
      </c>
      <c r="AS253" s="19" t="n">
        <f aca="false">AS$227-AS$249-AS$250-AS$251-AS$252</f>
        <v>191337.339883818</v>
      </c>
      <c r="AT253" s="19" t="n">
        <f aca="false">AT$227-AT$249-AT$250-AT$251-AT$252</f>
        <v>191337.339883818</v>
      </c>
      <c r="AU253" s="19" t="n">
        <f aca="false">AU$227-AU$249-AU$250-AU$251-AU$252</f>
        <v>191337.339883818</v>
      </c>
      <c r="AV253" s="19" t="n">
        <f aca="false">AV$227-AV$249-AV$250-AV$251-AV$252</f>
        <v>191337.339883818</v>
      </c>
      <c r="AW253" s="19" t="n">
        <f aca="false">AW$227-AW$249-AW$250-AW$251-AW$252</f>
        <v>191337.339883818</v>
      </c>
      <c r="AX253" s="19" t="n">
        <f aca="false">AX$227-AX$249-AX$250-AX$251-AX$252</f>
        <v>191337.339883818</v>
      </c>
      <c r="AY253" s="19" t="n">
        <f aca="false">AY$227-AY$249-AY$250-AY$251-AY$252</f>
        <v>191337.339883818</v>
      </c>
      <c r="AZ253" s="19" t="n">
        <f aca="false">AZ$227-AZ$249-AZ$250-AZ$251-AZ$252</f>
        <v>191337.339883818</v>
      </c>
      <c r="BA253" s="19" t="n">
        <f aca="false">BA$227-BA$249-BA$250-BA$251-BA$252</f>
        <v>191337.339883818</v>
      </c>
      <c r="BB253" s="19" t="n">
        <f aca="false">BB$227-BB$249-BB$250-BB$251-BB$252</f>
        <v>193312.131325573</v>
      </c>
      <c r="BC253" s="19" t="n">
        <f aca="false">BC$227-BC$249-BC$250-BC$251-BC$252</f>
        <v>193312.131325573</v>
      </c>
      <c r="BD253" s="19" t="n">
        <f aca="false">BD$227-BD$249-BD$250-BD$251-BD$252</f>
        <v>193312.131325573</v>
      </c>
      <c r="BE253" s="19" t="n">
        <f aca="false">BE$227-BE$249-BE$250-BE$251-BE$252</f>
        <v>193312.131325573</v>
      </c>
      <c r="BF253" s="19" t="n">
        <f aca="false">BF$227-BF$249-BF$250-BF$251-BF$252</f>
        <v>193312.131325573</v>
      </c>
      <c r="BG253" s="19" t="n">
        <f aca="false">BG$227-BG$249-BG$250-BG$251-BG$252</f>
        <v>193312.131325573</v>
      </c>
      <c r="BH253" s="19" t="n">
        <f aca="false">BH$227-BH$249-BH$250-BH$251-BH$252</f>
        <v>193312.131325573</v>
      </c>
      <c r="BI253" s="19" t="n">
        <f aca="false">BI$227-BI$249-BI$250-BI$251-BI$252</f>
        <v>193312.131325573</v>
      </c>
      <c r="BJ253" s="19" t="n">
        <f aca="false">BJ$227-BJ$249-BJ$250-BJ$251-BJ$252</f>
        <v>193312.131325573</v>
      </c>
      <c r="BK253" s="19" t="n">
        <f aca="false">BK$227-BK$249-BK$250-BK$251-BK$252</f>
        <v>193312.131325573</v>
      </c>
      <c r="BL253" s="19" t="n">
        <f aca="false">BL$227-BL$249-BL$250-BL$251-BL$252</f>
        <v>193312.131325573</v>
      </c>
      <c r="BM253" s="19" t="n">
        <f aca="false">BM$227-BM$249-BM$250-BM$251-BM$252</f>
        <v>193312.131325573</v>
      </c>
      <c r="BN253" s="19" t="n">
        <f aca="false">BN$227-BN$249-BN$250-BN$251-BN$252</f>
        <v>198072.823312718</v>
      </c>
      <c r="BO253" s="19" t="n">
        <f aca="false">BO$227-BO$249-BO$250-BO$251-BO$252</f>
        <v>198072.823312718</v>
      </c>
      <c r="BP253" s="19" t="n">
        <f aca="false">BP$227-BP$249-BP$250-BP$251-BP$252</f>
        <v>198072.823312718</v>
      </c>
      <c r="BQ253" s="19" t="n">
        <f aca="false">BQ$227-BQ$249-BQ$250-BQ$251-BQ$252</f>
        <v>198072.823312718</v>
      </c>
      <c r="BR253" s="19" t="n">
        <f aca="false">BR$227-BR$249-BR$250-BR$251-BR$252</f>
        <v>198072.823312718</v>
      </c>
      <c r="BS253" s="19" t="n">
        <f aca="false">BS$227-BS$249-BS$250-BS$251-BS$252</f>
        <v>198072.823312718</v>
      </c>
      <c r="BT253" s="19" t="n">
        <f aca="false">BT$227-BT$249-BT$250-BT$251-BT$252</f>
        <v>198072.823312718</v>
      </c>
      <c r="BU253" s="19" t="n">
        <f aca="false">BU$227-BU$249-BU$250-BU$251-BU$252</f>
        <v>198072.823312718</v>
      </c>
      <c r="BV253" s="19" t="n">
        <f aca="false">BV$227-BV$249-BV$250-BV$251-BV$252</f>
        <v>198072.823312718</v>
      </c>
      <c r="BW253" s="19" t="n">
        <f aca="false">BW$227-BW$249-BW$250-BW$251-BW$252</f>
        <v>198072.823312718</v>
      </c>
      <c r="BX253" s="19" t="n">
        <f aca="false">BX$227-BX$249-BX$250-BX$251-BX$252</f>
        <v>198072.823312718</v>
      </c>
      <c r="BY253" s="19" t="n">
        <f aca="false">BY$227-BY$249-BY$250-BY$251-BY$252</f>
        <v>198072.823312718</v>
      </c>
      <c r="BZ253" s="19" t="n">
        <f aca="false">BZ$227-BZ$249-BZ$250-BZ$251-BZ$252</f>
        <v>202880.559473321</v>
      </c>
      <c r="CA253" s="19" t="n">
        <f aca="false">CA$227-CA$249-CA$250-CA$251-CA$252</f>
        <v>202880.559473321</v>
      </c>
      <c r="CB253" s="19" t="n">
        <f aca="false">CB$227-CB$249-CB$250-CB$251-CB$252</f>
        <v>202880.559473321</v>
      </c>
      <c r="CC253" s="19" t="n">
        <f aca="false">CC$227-CC$249-CC$250-CC$251-CC$252</f>
        <v>202880.559473321</v>
      </c>
      <c r="CD253" s="19" t="n">
        <f aca="false">CD$227-CD$249-CD$250-CD$251-CD$252</f>
        <v>202880.559473321</v>
      </c>
      <c r="CE253" s="19" t="n">
        <f aca="false">CE$227-CE$249-CE$250-CE$251-CE$252</f>
        <v>202880.559473321</v>
      </c>
      <c r="CF253" s="19" t="n">
        <f aca="false">CF$227-CF$249-CF$250-CF$251-CF$252</f>
        <v>202880.559473321</v>
      </c>
      <c r="CG253" s="19" t="n">
        <f aca="false">CG$227-CG$249-CG$250-CG$251-CG$252</f>
        <v>202880.559473321</v>
      </c>
      <c r="CH253" s="19" t="n">
        <f aca="false">CH$227-CH$249-CH$250-CH$251-CH$252</f>
        <v>202880.559473321</v>
      </c>
      <c r="CI253" s="19" t="n">
        <f aca="false">CI$227-CI$249-CI$250-CI$251-CI$252</f>
        <v>202880.559473321</v>
      </c>
      <c r="CJ253" s="19" t="n">
        <f aca="false">CJ$227-CJ$249-CJ$250-CJ$251-CJ$252</f>
        <v>202880.559473321</v>
      </c>
      <c r="CK253" s="19" t="n">
        <f aca="false">CK$227-CK$249-CK$250-CK$251-CK$252</f>
        <v>202880.559473321</v>
      </c>
      <c r="CL253" s="19" t="n">
        <f aca="false">CL$227-CL$249-CL$250-CL$251-CL$252</f>
        <v>207735.798994188</v>
      </c>
      <c r="CM253" s="19" t="n">
        <f aca="false">CM$227-CM$249-CM$250-CM$251-CM$252</f>
        <v>207735.798994188</v>
      </c>
      <c r="CN253" s="19" t="n">
        <f aca="false">CN$227-CN$249-CN$250-CN$251-CN$252</f>
        <v>207735.798994188</v>
      </c>
      <c r="CO253" s="19" t="n">
        <f aca="false">CO$227-CO$249-CO$250-CO$251-CO$252</f>
        <v>207735.798994188</v>
      </c>
      <c r="CP253" s="19" t="n">
        <f aca="false">CP$227-CP$249-CP$250-CP$251-CP$252</f>
        <v>207735.798994188</v>
      </c>
      <c r="CQ253" s="19" t="n">
        <f aca="false">CQ$227-CQ$249-CQ$250-CQ$251-CQ$252</f>
        <v>207735.798994188</v>
      </c>
      <c r="CR253" s="19" t="n">
        <f aca="false">CR$227-CR$249-CR$250-CR$251-CR$252</f>
        <v>207735.798994188</v>
      </c>
      <c r="CS253" s="19" t="n">
        <f aca="false">CS$227-CS$249-CS$250-CS$251-CS$252</f>
        <v>207735.798994188</v>
      </c>
      <c r="CT253" s="19" t="n">
        <f aca="false">CT$227-CT$249-CT$250-CT$251-CT$252</f>
        <v>207735.798994188</v>
      </c>
      <c r="CU253" s="19" t="n">
        <f aca="false">CU$227-CU$249-CU$250-CU$251-CU$252</f>
        <v>207735.798994188</v>
      </c>
      <c r="CV253" s="19" t="n">
        <f aca="false">CV$227-CV$249-CV$250-CV$251-CV$252</f>
        <v>207735.798994188</v>
      </c>
      <c r="CW253" s="19" t="n">
        <f aca="false">CW$227-CW$249-CW$250-CW$251-CW$252</f>
        <v>207735.798994188</v>
      </c>
      <c r="CX253" s="19" t="n">
        <f aca="false">CX$227-CX$249-CX$250-CX$251-CX$252</f>
        <v>212639.005428895</v>
      </c>
      <c r="CY253" s="19" t="n">
        <f aca="false">CY$227-CY$249-CY$250-CY$251-CY$252</f>
        <v>212639.005428895</v>
      </c>
      <c r="CZ253" s="19" t="n">
        <f aca="false">CZ$227-CZ$249-CZ$250-CZ$251-CZ$252</f>
        <v>212639.005428895</v>
      </c>
      <c r="DA253" s="19" t="n">
        <f aca="false">DA$227-DA$249-DA$250-DA$251-DA$252</f>
        <v>212639.005428895</v>
      </c>
      <c r="DB253" s="19" t="n">
        <f aca="false">DB$227-DB$249-DB$250-DB$251-DB$252</f>
        <v>212639.005428895</v>
      </c>
      <c r="DC253" s="19" t="n">
        <f aca="false">DC$227-DC$249-DC$250-DC$251-DC$252</f>
        <v>212639.005428895</v>
      </c>
      <c r="DD253" s="19" t="n">
        <f aca="false">DD$227-DD$249-DD$250-DD$251-DD$252</f>
        <v>212639.005428895</v>
      </c>
      <c r="DE253" s="19" t="n">
        <f aca="false">DE$227-DE$249-DE$250-DE$251-DE$252</f>
        <v>212639.005428895</v>
      </c>
      <c r="DF253" s="19" t="n">
        <f aca="false">DF$227-DF$249-DF$250-DF$251-DF$252</f>
        <v>212639.005428895</v>
      </c>
      <c r="DG253" s="19" t="n">
        <f aca="false">DG$227-DG$249-DG$250-DG$251-DG$252</f>
        <v>212639.005428895</v>
      </c>
      <c r="DH253" s="19" t="n">
        <f aca="false">DH$227-DH$249-DH$250-DH$251-DH$252</f>
        <v>212639.005428895</v>
      </c>
      <c r="DI253" s="19" t="n">
        <f aca="false">DI$227-DI$249-DI$250-DI$251-DI$252</f>
        <v>212639.005428895</v>
      </c>
      <c r="DJ253" s="19" t="n">
        <f aca="false">DJ$227-DJ$249-DJ$250-DJ$251-DJ$252</f>
        <v>217590.646736953</v>
      </c>
      <c r="DK253" s="19" t="n">
        <f aca="false">DK$227-DK$249-DK$250-DK$251-DK$252</f>
        <v>217590.646736953</v>
      </c>
      <c r="DL253" s="19" t="n">
        <f aca="false">DL$227-DL$249-DL$250-DL$251-DL$252</f>
        <v>217590.646736953</v>
      </c>
      <c r="DM253" s="19" t="n">
        <f aca="false">DM$227-DM$249-DM$250-DM$251-DM$252</f>
        <v>217590.646736953</v>
      </c>
      <c r="DN253" s="19" t="n">
        <f aca="false">DN$227-DN$249-DN$250-DN$251-DN$252</f>
        <v>217590.646736953</v>
      </c>
      <c r="DO253" s="19" t="n">
        <f aca="false">DO$227-DO$249-DO$250-DO$251-DO$252</f>
        <v>217590.646736953</v>
      </c>
      <c r="DP253" s="19" t="n">
        <f aca="false">DP$227-DP$249-DP$250-DP$251-DP$252</f>
        <v>217590.646736953</v>
      </c>
      <c r="DQ253" s="19" t="n">
        <f aca="false">DQ$227-DQ$249-DQ$250-DQ$251-DQ$252</f>
        <v>217590.646736953</v>
      </c>
      <c r="DR253" s="19" t="n">
        <f aca="false">DR$227-DR$249-DR$250-DR$251-DR$252</f>
        <v>217590.646736953</v>
      </c>
      <c r="DS253" s="19" t="n">
        <f aca="false">DS$227-DS$249-DS$250-DS$251-DS$252</f>
        <v>217590.646736953</v>
      </c>
      <c r="DT253" s="19" t="n">
        <f aca="false">DT$227-DT$249-DT$250-DT$251-DT$252</f>
        <v>217590.646736953</v>
      </c>
      <c r="DU253" s="19" t="n">
        <f aca="false">DU$227-DU$249-DU$250-DU$251-DU$252</f>
        <v>217590.646736953</v>
      </c>
      <c r="DV253" s="19" t="n">
        <f aca="false">DV$227-DV$249-DV$250-DV$251-DV$252</f>
        <v>0</v>
      </c>
      <c r="DW253" s="19" t="n">
        <f aca="false">DW$227-DW$249-DW$250-DW$251-DW$252</f>
        <v>0</v>
      </c>
      <c r="DX253" s="19" t="n">
        <f aca="false">DX$227-DX$249-DX$250-DX$251-DX$252</f>
        <v>0</v>
      </c>
      <c r="DY253" s="19" t="n">
        <f aca="false">DY$227-DY$249-DY$250-DY$251-DY$252</f>
        <v>0</v>
      </c>
      <c r="DZ253" s="19" t="n">
        <f aca="false">DZ$227-DZ$249-DZ$250-DZ$251-DZ$252</f>
        <v>0</v>
      </c>
      <c r="EA253" s="19" t="n">
        <f aca="false">EA$227-EA$249-EA$250-EA$251-EA$252</f>
        <v>0</v>
      </c>
      <c r="EB253" s="19" t="n">
        <f aca="false">EB$227-EB$249-EB$250-EB$251-EB$252</f>
        <v>0</v>
      </c>
      <c r="EC253" s="19" t="n">
        <f aca="false">EC$227-EC$249-EC$250-EC$251-EC$252</f>
        <v>0</v>
      </c>
      <c r="ED253" s="19" t="n">
        <f aca="false">ED$227-ED$249-ED$250-ED$251-ED$252</f>
        <v>0</v>
      </c>
      <c r="EE253" s="19" t="n">
        <f aca="false">EE$227-EE$249-EE$250-EE$251-EE$252</f>
        <v>0</v>
      </c>
      <c r="EF253" s="19" t="n">
        <f aca="false">EF$227-EF$249-EF$250-EF$251-EF$252</f>
        <v>0</v>
      </c>
      <c r="EG253" s="19" t="n">
        <f aca="false">EG$227-EG$249-EG$250-EG$251-EG$252</f>
        <v>0</v>
      </c>
      <c r="EH253" s="19" t="n">
        <f aca="false">EH$227-EH$249-EH$250-EH$251-EH$252</f>
        <v>0</v>
      </c>
      <c r="EI253" s="19" t="n">
        <f aca="false">EI$227-EI$249-EI$250-EI$251-EI$252</f>
        <v>0</v>
      </c>
      <c r="EJ253" s="19" t="n">
        <f aca="false">EJ$227-EJ$249-EJ$250-EJ$251-EJ$252</f>
        <v>0</v>
      </c>
      <c r="EK253" s="19" t="n">
        <f aca="false">EK$227-EK$249-EK$250-EK$251-EK$252</f>
        <v>0</v>
      </c>
      <c r="EL253" s="19" t="n">
        <f aca="false">EL$227-EL$249-EL$250-EL$251-EL$252</f>
        <v>0</v>
      </c>
      <c r="EM253" s="19" t="n">
        <f aca="false">EM$227-EM$249-EM$250-EM$251-EM$252</f>
        <v>0</v>
      </c>
      <c r="EN253" s="19" t="n">
        <f aca="false">EN$227-EN$249-EN$250-EN$251-EN$252</f>
        <v>0</v>
      </c>
      <c r="EO253" s="19" t="n">
        <f aca="false">EO$227-EO$249-EO$250-EO$251-EO$252</f>
        <v>0</v>
      </c>
      <c r="EP253" s="19" t="n">
        <f aca="false">EP$227-EP$249-EP$250-EP$251-EP$252</f>
        <v>0</v>
      </c>
      <c r="EQ253" s="19" t="n">
        <f aca="false">EQ$227-EQ$249-EQ$250-EQ$251-EQ$252</f>
        <v>0</v>
      </c>
      <c r="ER253" s="19" t="n">
        <f aca="false">ER$227-ER$249-ER$250-ER$251-ER$252</f>
        <v>0</v>
      </c>
      <c r="ES253" s="19" t="n">
        <f aca="false">ES$227-ES$249-ES$250-ES$251-ES$252</f>
        <v>0</v>
      </c>
    </row>
    <row r="254" customFormat="false" ht="15" hidden="false" customHeight="false" outlineLevel="0" collapsed="false">
      <c r="A254" s="11" t="s">
        <v>1375</v>
      </c>
      <c r="B254" s="15" t="s">
        <v>1168</v>
      </c>
      <c r="C254" s="15" t="s">
        <v>508</v>
      </c>
      <c r="E254" s="54" t="n">
        <f aca="false">SUM(F254:ES254)</f>
        <v>1075198.52627014</v>
      </c>
      <c r="F254" s="48" t="n">
        <f aca="false">IF(F$8=1,IF(Reales!$C$67="PYG",IF(F$10&gt;0,N(Reales!F67)/F$10,0),N(Reales!F67)),F$238)</f>
        <v>8959.98771891781</v>
      </c>
      <c r="G254" s="48" t="n">
        <f aca="false">IF(G$8=1,IF(Reales!$C$67="PYG",IF(G$10&gt;0,N(Reales!G67)/G$10,0),N(Reales!G67)),G$238)</f>
        <v>8959.98771891781</v>
      </c>
      <c r="H254" s="48" t="n">
        <f aca="false">IF(H$8=1,IF(Reales!$C$67="PYG",IF(H$10&gt;0,N(Reales!H67)/H$10,0),N(Reales!H67)),H$238)</f>
        <v>8959.98771891781</v>
      </c>
      <c r="I254" s="48" t="n">
        <f aca="false">IF(I$8=1,IF(Reales!$C$67="PYG",IF(I$10&gt;0,N(Reales!I67)/I$10,0),N(Reales!I67)),I$238)</f>
        <v>8959.98771891781</v>
      </c>
      <c r="J254" s="48" t="n">
        <f aca="false">IF(J$8=1,IF(Reales!$C$67="PYG",IF(J$10&gt;0,N(Reales!J67)/J$10,0),N(Reales!J67)),J$238)</f>
        <v>8959.98771891781</v>
      </c>
      <c r="K254" s="48" t="n">
        <f aca="false">IF(K$8=1,IF(Reales!$C$67="PYG",IF(K$10&gt;0,N(Reales!K67)/K$10,0),N(Reales!K67)),K$238)</f>
        <v>8959.98771891781</v>
      </c>
      <c r="L254" s="48" t="n">
        <f aca="false">IF(L$8=1,IF(Reales!$C$67="PYG",IF(L$10&gt;0,N(Reales!L67)/L$10,0),N(Reales!L67)),L$238)</f>
        <v>8959.98771891781</v>
      </c>
      <c r="M254" s="48" t="n">
        <f aca="false">IF(M$8=1,IF(Reales!$C$67="PYG",IF(M$10&gt;0,N(Reales!M67)/M$10,0),N(Reales!M67)),M$238)</f>
        <v>8959.98771891781</v>
      </c>
      <c r="N254" s="48" t="n">
        <f aca="false">IF(N$8=1,IF(Reales!$C$67="PYG",IF(N$10&gt;0,N(Reales!N67)/N$10,0),N(Reales!N67)),N$238)</f>
        <v>8959.98771891781</v>
      </c>
      <c r="O254" s="48" t="n">
        <f aca="false">IF(O$8=1,IF(Reales!$C$67="PYG",IF(O$10&gt;0,N(Reales!O67)/O$10,0),N(Reales!O67)),O$238)</f>
        <v>8959.98771891781</v>
      </c>
      <c r="P254" s="48" t="n">
        <f aca="false">IF(P$8=1,IF(Reales!$C$67="PYG",IF(P$10&gt;0,N(Reales!P67)/P$10,0),N(Reales!P67)),P$238)</f>
        <v>8959.98771891781</v>
      </c>
      <c r="Q254" s="48" t="n">
        <f aca="false">IF(Q$8=1,IF(Reales!$C$67="PYG",IF(Q$10&gt;0,N(Reales!Q67)/Q$10,0),N(Reales!Q67)),Q$238)</f>
        <v>8959.98771891781</v>
      </c>
      <c r="R254" s="48" t="n">
        <f aca="false">IF(R$8=1,IF(Reales!$C$67="PYG",IF(R$10&gt;0,N(Reales!R67)/R$10,0),N(Reales!R67)),R$238)</f>
        <v>8959.98771891781</v>
      </c>
      <c r="S254" s="48" t="n">
        <f aca="false">IF(S$8=1,IF(Reales!$C$67="PYG",IF(S$10&gt;0,N(Reales!S67)/S$10,0),N(Reales!S67)),S$238)</f>
        <v>8959.98771891781</v>
      </c>
      <c r="T254" s="48" t="n">
        <f aca="false">IF(T$8=1,IF(Reales!$C$67="PYG",IF(T$10&gt;0,N(Reales!T67)/T$10,0),N(Reales!T67)),T$238)</f>
        <v>8959.98771891781</v>
      </c>
      <c r="U254" s="48" t="n">
        <f aca="false">IF(U$8=1,IF(Reales!$C$67="PYG",IF(U$10&gt;0,N(Reales!U67)/U$10,0),N(Reales!U67)),U$238)</f>
        <v>8959.98771891781</v>
      </c>
      <c r="V254" s="48" t="n">
        <f aca="false">IF(V$8=1,IF(Reales!$C$67="PYG",IF(V$10&gt;0,N(Reales!V67)/V$10,0),N(Reales!V67)),V$238)</f>
        <v>8959.98771891781</v>
      </c>
      <c r="W254" s="48" t="n">
        <f aca="false">IF(W$8=1,IF(Reales!$C$67="PYG",IF(W$10&gt;0,N(Reales!W67)/W$10,0),N(Reales!W67)),W$238)</f>
        <v>8959.98771891781</v>
      </c>
      <c r="X254" s="48" t="n">
        <f aca="false">IF(X$8=1,IF(Reales!$C$67="PYG",IF(X$10&gt;0,N(Reales!X67)/X$10,0),N(Reales!X67)),X$238)</f>
        <v>8959.98771891781</v>
      </c>
      <c r="Y254" s="48" t="n">
        <f aca="false">IF(Y$8=1,IF(Reales!$C$67="PYG",IF(Y$10&gt;0,N(Reales!Y67)/Y$10,0),N(Reales!Y67)),Y$238)</f>
        <v>8959.98771891781</v>
      </c>
      <c r="Z254" s="48" t="n">
        <f aca="false">IF(Z$8=1,IF(Reales!$C$67="PYG",IF(Z$10&gt;0,N(Reales!Z67)/Z$10,0),N(Reales!Z67)),Z$238)</f>
        <v>8959.98771891781</v>
      </c>
      <c r="AA254" s="48" t="n">
        <f aca="false">IF(AA$8=1,IF(Reales!$C$67="PYG",IF(AA$10&gt;0,N(Reales!AA67)/AA$10,0),N(Reales!AA67)),AA$238)</f>
        <v>8959.98771891781</v>
      </c>
      <c r="AB254" s="48" t="n">
        <f aca="false">IF(AB$8=1,IF(Reales!$C$67="PYG",IF(AB$10&gt;0,N(Reales!AB67)/AB$10,0),N(Reales!AB67)),AB$238)</f>
        <v>8959.98771891781</v>
      </c>
      <c r="AC254" s="48" t="n">
        <f aca="false">IF(AC$8=1,IF(Reales!$C$67="PYG",IF(AC$10&gt;0,N(Reales!AC67)/AC$10,0),N(Reales!AC67)),AC$238)</f>
        <v>8959.98771891781</v>
      </c>
      <c r="AD254" s="48" t="n">
        <f aca="false">IF(AD$8=1,IF(Reales!$C$67="PYG",IF(AD$10&gt;0,N(Reales!AD67)/AD$10,0),N(Reales!AD67)),AD$238)</f>
        <v>8959.98771891781</v>
      </c>
      <c r="AE254" s="48" t="n">
        <f aca="false">IF(AE$8=1,IF(Reales!$C$67="PYG",IF(AE$10&gt;0,N(Reales!AE67)/AE$10,0),N(Reales!AE67)),AE$238)</f>
        <v>8959.98771891781</v>
      </c>
      <c r="AF254" s="48" t="n">
        <f aca="false">IF(AF$8=1,IF(Reales!$C$67="PYG",IF(AF$10&gt;0,N(Reales!AF67)/AF$10,0),N(Reales!AF67)),AF$238)</f>
        <v>8959.98771891781</v>
      </c>
      <c r="AG254" s="48" t="n">
        <f aca="false">IF(AG$8=1,IF(Reales!$C$67="PYG",IF(AG$10&gt;0,N(Reales!AG67)/AG$10,0),N(Reales!AG67)),AG$238)</f>
        <v>8959.98771891781</v>
      </c>
      <c r="AH254" s="48" t="n">
        <f aca="false">IF(AH$8=1,IF(Reales!$C$67="PYG",IF(AH$10&gt;0,N(Reales!AH67)/AH$10,0),N(Reales!AH67)),AH$238)</f>
        <v>8959.98771891781</v>
      </c>
      <c r="AI254" s="48" t="n">
        <f aca="false">IF(AI$8=1,IF(Reales!$C$67="PYG",IF(AI$10&gt;0,N(Reales!AI67)/AI$10,0),N(Reales!AI67)),AI$238)</f>
        <v>8959.98771891781</v>
      </c>
      <c r="AJ254" s="48" t="n">
        <f aca="false">IF(AJ$8=1,IF(Reales!$C$67="PYG",IF(AJ$10&gt;0,N(Reales!AJ67)/AJ$10,0),N(Reales!AJ67)),AJ$238)</f>
        <v>8959.98771891781</v>
      </c>
      <c r="AK254" s="48" t="n">
        <f aca="false">IF(AK$8=1,IF(Reales!$C$67="PYG",IF(AK$10&gt;0,N(Reales!AK67)/AK$10,0),N(Reales!AK67)),AK$238)</f>
        <v>8959.98771891781</v>
      </c>
      <c r="AL254" s="48" t="n">
        <f aca="false">IF(AL$8=1,IF(Reales!$C$67="PYG",IF(AL$10&gt;0,N(Reales!AL67)/AL$10,0),N(Reales!AL67)),AL$238)</f>
        <v>8959.98771891781</v>
      </c>
      <c r="AM254" s="48" t="n">
        <f aca="false">IF(AM$8=1,IF(Reales!$C$67="PYG",IF(AM$10&gt;0,N(Reales!AM67)/AM$10,0),N(Reales!AM67)),AM$238)</f>
        <v>8959.98771891781</v>
      </c>
      <c r="AN254" s="48" t="n">
        <f aca="false">IF(AN$8=1,IF(Reales!$C$67="PYG",IF(AN$10&gt;0,N(Reales!AN67)/AN$10,0),N(Reales!AN67)),AN$238)</f>
        <v>8959.98771891781</v>
      </c>
      <c r="AO254" s="48" t="n">
        <f aca="false">IF(AO$8=1,IF(Reales!$C$67="PYG",IF(AO$10&gt;0,N(Reales!AO67)/AO$10,0),N(Reales!AO67)),AO$238)</f>
        <v>8959.98771891781</v>
      </c>
      <c r="AP254" s="48" t="n">
        <f aca="false">IF(AP$8=1,IF(Reales!$C$67="PYG",IF(AP$10&gt;0,N(Reales!AP67)/AP$10,0),N(Reales!AP67)),AP$238)</f>
        <v>8959.98771891781</v>
      </c>
      <c r="AQ254" s="48" t="n">
        <f aca="false">IF(AQ$8=1,IF(Reales!$C$67="PYG",IF(AQ$10&gt;0,N(Reales!AQ67)/AQ$10,0),N(Reales!AQ67)),AQ$238)</f>
        <v>8959.98771891781</v>
      </c>
      <c r="AR254" s="48" t="n">
        <f aca="false">IF(AR$8=1,IF(Reales!$C$67="PYG",IF(AR$10&gt;0,N(Reales!AR67)/AR$10,0),N(Reales!AR67)),AR$238)</f>
        <v>8959.98771891781</v>
      </c>
      <c r="AS254" s="48" t="n">
        <f aca="false">IF(AS$8=1,IF(Reales!$C$67="PYG",IF(AS$10&gt;0,N(Reales!AS67)/AS$10,0),N(Reales!AS67)),AS$238)</f>
        <v>8959.98771891781</v>
      </c>
      <c r="AT254" s="48" t="n">
        <f aca="false">IF(AT$8=1,IF(Reales!$C$67="PYG",IF(AT$10&gt;0,N(Reales!AT67)/AT$10,0),N(Reales!AT67)),AT$238)</f>
        <v>8959.98771891781</v>
      </c>
      <c r="AU254" s="48" t="n">
        <f aca="false">IF(AU$8=1,IF(Reales!$C$67="PYG",IF(AU$10&gt;0,N(Reales!AU67)/AU$10,0),N(Reales!AU67)),AU$238)</f>
        <v>8959.98771891781</v>
      </c>
      <c r="AV254" s="48" t="n">
        <f aca="false">IF(AV$8=1,IF(Reales!$C$67="PYG",IF(AV$10&gt;0,N(Reales!AV67)/AV$10,0),N(Reales!AV67)),AV$238)</f>
        <v>8959.98771891781</v>
      </c>
      <c r="AW254" s="48" t="n">
        <f aca="false">IF(AW$8=1,IF(Reales!$C$67="PYG",IF(AW$10&gt;0,N(Reales!AW67)/AW$10,0),N(Reales!AW67)),AW$238)</f>
        <v>8959.98771891781</v>
      </c>
      <c r="AX254" s="48" t="n">
        <f aca="false">IF(AX$8=1,IF(Reales!$C$67="PYG",IF(AX$10&gt;0,N(Reales!AX67)/AX$10,0),N(Reales!AX67)),AX$238)</f>
        <v>8959.98771891781</v>
      </c>
      <c r="AY254" s="48" t="n">
        <f aca="false">IF(AY$8=1,IF(Reales!$C$67="PYG",IF(AY$10&gt;0,N(Reales!AY67)/AY$10,0),N(Reales!AY67)),AY$238)</f>
        <v>8959.98771891781</v>
      </c>
      <c r="AZ254" s="48" t="n">
        <f aca="false">IF(AZ$8=1,IF(Reales!$C$67="PYG",IF(AZ$10&gt;0,N(Reales!AZ67)/AZ$10,0),N(Reales!AZ67)),AZ$238)</f>
        <v>8959.98771891781</v>
      </c>
      <c r="BA254" s="48" t="n">
        <f aca="false">IF(BA$8=1,IF(Reales!$C$67="PYG",IF(BA$10&gt;0,N(Reales!BA67)/BA$10,0),N(Reales!BA67)),BA$238)</f>
        <v>8959.98771891781</v>
      </c>
      <c r="BB254" s="48" t="n">
        <f aca="false">IF(BB$8=1,IF(Reales!$C$67="PYG",IF(BB$10&gt;0,N(Reales!BB67)/BB$10,0),N(Reales!BB67)),BB$238)</f>
        <v>8959.98771891781</v>
      </c>
      <c r="BC254" s="48" t="n">
        <f aca="false">IF(BC$8=1,IF(Reales!$C$67="PYG",IF(BC$10&gt;0,N(Reales!BC67)/BC$10,0),N(Reales!BC67)),BC$238)</f>
        <v>8959.98771891781</v>
      </c>
      <c r="BD254" s="48" t="n">
        <f aca="false">IF(BD$8=1,IF(Reales!$C$67="PYG",IF(BD$10&gt;0,N(Reales!BD67)/BD$10,0),N(Reales!BD67)),BD$238)</f>
        <v>8959.98771891781</v>
      </c>
      <c r="BE254" s="48" t="n">
        <f aca="false">IF(BE$8=1,IF(Reales!$C$67="PYG",IF(BE$10&gt;0,N(Reales!BE67)/BE$10,0),N(Reales!BE67)),BE$238)</f>
        <v>8959.98771891781</v>
      </c>
      <c r="BF254" s="48" t="n">
        <f aca="false">IF(BF$8=1,IF(Reales!$C$67="PYG",IF(BF$10&gt;0,N(Reales!BF67)/BF$10,0),N(Reales!BF67)),BF$238)</f>
        <v>8959.98771891781</v>
      </c>
      <c r="BG254" s="48" t="n">
        <f aca="false">IF(BG$8=1,IF(Reales!$C$67="PYG",IF(BG$10&gt;0,N(Reales!BG67)/BG$10,0),N(Reales!BG67)),BG$238)</f>
        <v>8959.98771891781</v>
      </c>
      <c r="BH254" s="48" t="n">
        <f aca="false">IF(BH$8=1,IF(Reales!$C$67="PYG",IF(BH$10&gt;0,N(Reales!BH67)/BH$10,0),N(Reales!BH67)),BH$238)</f>
        <v>8959.98771891781</v>
      </c>
      <c r="BI254" s="48" t="n">
        <f aca="false">IF(BI$8=1,IF(Reales!$C$67="PYG",IF(BI$10&gt;0,N(Reales!BI67)/BI$10,0),N(Reales!BI67)),BI$238)</f>
        <v>8959.98771891781</v>
      </c>
      <c r="BJ254" s="48" t="n">
        <f aca="false">IF(BJ$8=1,IF(Reales!$C$67="PYG",IF(BJ$10&gt;0,N(Reales!BJ67)/BJ$10,0),N(Reales!BJ67)),BJ$238)</f>
        <v>8959.98771891781</v>
      </c>
      <c r="BK254" s="48" t="n">
        <f aca="false">IF(BK$8=1,IF(Reales!$C$67="PYG",IF(BK$10&gt;0,N(Reales!BK67)/BK$10,0),N(Reales!BK67)),BK$238)</f>
        <v>8959.98771891781</v>
      </c>
      <c r="BL254" s="48" t="n">
        <f aca="false">IF(BL$8=1,IF(Reales!$C$67="PYG",IF(BL$10&gt;0,N(Reales!BL67)/BL$10,0),N(Reales!BL67)),BL$238)</f>
        <v>8959.98771891781</v>
      </c>
      <c r="BM254" s="48" t="n">
        <f aca="false">IF(BM$8=1,IF(Reales!$C$67="PYG",IF(BM$10&gt;0,N(Reales!BM67)/BM$10,0),N(Reales!BM67)),BM$238)</f>
        <v>8959.98771891781</v>
      </c>
      <c r="BN254" s="48" t="n">
        <f aca="false">IF(BN$8=1,IF(Reales!$C$67="PYG",IF(BN$10&gt;0,N(Reales!BN67)/BN$10,0),N(Reales!BN67)),BN$238)</f>
        <v>8959.98771891781</v>
      </c>
      <c r="BO254" s="48" t="n">
        <f aca="false">IF(BO$8=1,IF(Reales!$C$67="PYG",IF(BO$10&gt;0,N(Reales!BO67)/BO$10,0),N(Reales!BO67)),BO$238)</f>
        <v>8959.98771891781</v>
      </c>
      <c r="BP254" s="48" t="n">
        <f aca="false">IF(BP$8=1,IF(Reales!$C$67="PYG",IF(BP$10&gt;0,N(Reales!BP67)/BP$10,0),N(Reales!BP67)),BP$238)</f>
        <v>8959.98771891781</v>
      </c>
      <c r="BQ254" s="48" t="n">
        <f aca="false">IF(BQ$8=1,IF(Reales!$C$67="PYG",IF(BQ$10&gt;0,N(Reales!BQ67)/BQ$10,0),N(Reales!BQ67)),BQ$238)</f>
        <v>8959.98771891781</v>
      </c>
      <c r="BR254" s="48" t="n">
        <f aca="false">IF(BR$8=1,IF(Reales!$C$67="PYG",IF(BR$10&gt;0,N(Reales!BR67)/BR$10,0),N(Reales!BR67)),BR$238)</f>
        <v>8959.98771891781</v>
      </c>
      <c r="BS254" s="48" t="n">
        <f aca="false">IF(BS$8=1,IF(Reales!$C$67="PYG",IF(BS$10&gt;0,N(Reales!BS67)/BS$10,0),N(Reales!BS67)),BS$238)</f>
        <v>8959.98771891781</v>
      </c>
      <c r="BT254" s="48" t="n">
        <f aca="false">IF(BT$8=1,IF(Reales!$C$67="PYG",IF(BT$10&gt;0,N(Reales!BT67)/BT$10,0),N(Reales!BT67)),BT$238)</f>
        <v>8959.98771891781</v>
      </c>
      <c r="BU254" s="48" t="n">
        <f aca="false">IF(BU$8=1,IF(Reales!$C$67="PYG",IF(BU$10&gt;0,N(Reales!BU67)/BU$10,0),N(Reales!BU67)),BU$238)</f>
        <v>8959.98771891781</v>
      </c>
      <c r="BV254" s="48" t="n">
        <f aca="false">IF(BV$8=1,IF(Reales!$C$67="PYG",IF(BV$10&gt;0,N(Reales!BV67)/BV$10,0),N(Reales!BV67)),BV$238)</f>
        <v>8959.98771891781</v>
      </c>
      <c r="BW254" s="48" t="n">
        <f aca="false">IF(BW$8=1,IF(Reales!$C$67="PYG",IF(BW$10&gt;0,N(Reales!BW67)/BW$10,0),N(Reales!BW67)),BW$238)</f>
        <v>8959.98771891781</v>
      </c>
      <c r="BX254" s="48" t="n">
        <f aca="false">IF(BX$8=1,IF(Reales!$C$67="PYG",IF(BX$10&gt;0,N(Reales!BX67)/BX$10,0),N(Reales!BX67)),BX$238)</f>
        <v>8959.98771891781</v>
      </c>
      <c r="BY254" s="48" t="n">
        <f aca="false">IF(BY$8=1,IF(Reales!$C$67="PYG",IF(BY$10&gt;0,N(Reales!BY67)/BY$10,0),N(Reales!BY67)),BY$238)</f>
        <v>8959.98771891781</v>
      </c>
      <c r="BZ254" s="48" t="n">
        <f aca="false">IF(BZ$8=1,IF(Reales!$C$67="PYG",IF(BZ$10&gt;0,N(Reales!BZ67)/BZ$10,0),N(Reales!BZ67)),BZ$238)</f>
        <v>8959.98771891781</v>
      </c>
      <c r="CA254" s="48" t="n">
        <f aca="false">IF(CA$8=1,IF(Reales!$C$67="PYG",IF(CA$10&gt;0,N(Reales!CA67)/CA$10,0),N(Reales!CA67)),CA$238)</f>
        <v>8959.98771891781</v>
      </c>
      <c r="CB254" s="48" t="n">
        <f aca="false">IF(CB$8=1,IF(Reales!$C$67="PYG",IF(CB$10&gt;0,N(Reales!CB67)/CB$10,0),N(Reales!CB67)),CB$238)</f>
        <v>8959.98771891781</v>
      </c>
      <c r="CC254" s="48" t="n">
        <f aca="false">IF(CC$8=1,IF(Reales!$C$67="PYG",IF(CC$10&gt;0,N(Reales!CC67)/CC$10,0),N(Reales!CC67)),CC$238)</f>
        <v>8959.98771891781</v>
      </c>
      <c r="CD254" s="48" t="n">
        <f aca="false">IF(CD$8=1,IF(Reales!$C$67="PYG",IF(CD$10&gt;0,N(Reales!CD67)/CD$10,0),N(Reales!CD67)),CD$238)</f>
        <v>8959.98771891781</v>
      </c>
      <c r="CE254" s="48" t="n">
        <f aca="false">IF(CE$8=1,IF(Reales!$C$67="PYG",IF(CE$10&gt;0,N(Reales!CE67)/CE$10,0),N(Reales!CE67)),CE$238)</f>
        <v>8959.98771891781</v>
      </c>
      <c r="CF254" s="48" t="n">
        <f aca="false">IF(CF$8=1,IF(Reales!$C$67="PYG",IF(CF$10&gt;0,N(Reales!CF67)/CF$10,0),N(Reales!CF67)),CF$238)</f>
        <v>8959.98771891781</v>
      </c>
      <c r="CG254" s="48" t="n">
        <f aca="false">IF(CG$8=1,IF(Reales!$C$67="PYG",IF(CG$10&gt;0,N(Reales!CG67)/CG$10,0),N(Reales!CG67)),CG$238)</f>
        <v>8959.98771891781</v>
      </c>
      <c r="CH254" s="48" t="n">
        <f aca="false">IF(CH$8=1,IF(Reales!$C$67="PYG",IF(CH$10&gt;0,N(Reales!CH67)/CH$10,0),N(Reales!CH67)),CH$238)</f>
        <v>8959.98771891781</v>
      </c>
      <c r="CI254" s="48" t="n">
        <f aca="false">IF(CI$8=1,IF(Reales!$C$67="PYG",IF(CI$10&gt;0,N(Reales!CI67)/CI$10,0),N(Reales!CI67)),CI$238)</f>
        <v>8959.98771891781</v>
      </c>
      <c r="CJ254" s="48" t="n">
        <f aca="false">IF(CJ$8=1,IF(Reales!$C$67="PYG",IF(CJ$10&gt;0,N(Reales!CJ67)/CJ$10,0),N(Reales!CJ67)),CJ$238)</f>
        <v>8959.98771891781</v>
      </c>
      <c r="CK254" s="48" t="n">
        <f aca="false">IF(CK$8=1,IF(Reales!$C$67="PYG",IF(CK$10&gt;0,N(Reales!CK67)/CK$10,0),N(Reales!CK67)),CK$238)</f>
        <v>8959.98771891781</v>
      </c>
      <c r="CL254" s="48" t="n">
        <f aca="false">IF(CL$8=1,IF(Reales!$C$67="PYG",IF(CL$10&gt;0,N(Reales!CL67)/CL$10,0),N(Reales!CL67)),CL$238)</f>
        <v>8959.98771891781</v>
      </c>
      <c r="CM254" s="48" t="n">
        <f aca="false">IF(CM$8=1,IF(Reales!$C$67="PYG",IF(CM$10&gt;0,N(Reales!CM67)/CM$10,0),N(Reales!CM67)),CM$238)</f>
        <v>8959.98771891781</v>
      </c>
      <c r="CN254" s="48" t="n">
        <f aca="false">IF(CN$8=1,IF(Reales!$C$67="PYG",IF(CN$10&gt;0,N(Reales!CN67)/CN$10,0),N(Reales!CN67)),CN$238)</f>
        <v>8959.98771891781</v>
      </c>
      <c r="CO254" s="48" t="n">
        <f aca="false">IF(CO$8=1,IF(Reales!$C$67="PYG",IF(CO$10&gt;0,N(Reales!CO67)/CO$10,0),N(Reales!CO67)),CO$238)</f>
        <v>8959.98771891781</v>
      </c>
      <c r="CP254" s="48" t="n">
        <f aca="false">IF(CP$8=1,IF(Reales!$C$67="PYG",IF(CP$10&gt;0,N(Reales!CP67)/CP$10,0),N(Reales!CP67)),CP$238)</f>
        <v>8959.98771891781</v>
      </c>
      <c r="CQ254" s="48" t="n">
        <f aca="false">IF(CQ$8=1,IF(Reales!$C$67="PYG",IF(CQ$10&gt;0,N(Reales!CQ67)/CQ$10,0),N(Reales!CQ67)),CQ$238)</f>
        <v>8959.98771891781</v>
      </c>
      <c r="CR254" s="48" t="n">
        <f aca="false">IF(CR$8=1,IF(Reales!$C$67="PYG",IF(CR$10&gt;0,N(Reales!CR67)/CR$10,0),N(Reales!CR67)),CR$238)</f>
        <v>8959.98771891781</v>
      </c>
      <c r="CS254" s="48" t="n">
        <f aca="false">IF(CS$8=1,IF(Reales!$C$67="PYG",IF(CS$10&gt;0,N(Reales!CS67)/CS$10,0),N(Reales!CS67)),CS$238)</f>
        <v>8959.98771891781</v>
      </c>
      <c r="CT254" s="48" t="n">
        <f aca="false">IF(CT$8=1,IF(Reales!$C$67="PYG",IF(CT$10&gt;0,N(Reales!CT67)/CT$10,0),N(Reales!CT67)),CT$238)</f>
        <v>8959.98771891781</v>
      </c>
      <c r="CU254" s="48" t="n">
        <f aca="false">IF(CU$8=1,IF(Reales!$C$67="PYG",IF(CU$10&gt;0,N(Reales!CU67)/CU$10,0),N(Reales!CU67)),CU$238)</f>
        <v>8959.98771891781</v>
      </c>
      <c r="CV254" s="48" t="n">
        <f aca="false">IF(CV$8=1,IF(Reales!$C$67="PYG",IF(CV$10&gt;0,N(Reales!CV67)/CV$10,0),N(Reales!CV67)),CV$238)</f>
        <v>8959.98771891781</v>
      </c>
      <c r="CW254" s="48" t="n">
        <f aca="false">IF(CW$8=1,IF(Reales!$C$67="PYG",IF(CW$10&gt;0,N(Reales!CW67)/CW$10,0),N(Reales!CW67)),CW$238)</f>
        <v>8959.98771891781</v>
      </c>
      <c r="CX254" s="48" t="n">
        <f aca="false">IF(CX$8=1,IF(Reales!$C$67="PYG",IF(CX$10&gt;0,N(Reales!CX67)/CX$10,0),N(Reales!CX67)),CX$238)</f>
        <v>8959.98771891781</v>
      </c>
      <c r="CY254" s="48" t="n">
        <f aca="false">IF(CY$8=1,IF(Reales!$C$67="PYG",IF(CY$10&gt;0,N(Reales!CY67)/CY$10,0),N(Reales!CY67)),CY$238)</f>
        <v>8959.98771891781</v>
      </c>
      <c r="CZ254" s="48" t="n">
        <f aca="false">IF(CZ$8=1,IF(Reales!$C$67="PYG",IF(CZ$10&gt;0,N(Reales!CZ67)/CZ$10,0),N(Reales!CZ67)),CZ$238)</f>
        <v>8959.98771891781</v>
      </c>
      <c r="DA254" s="48" t="n">
        <f aca="false">IF(DA$8=1,IF(Reales!$C$67="PYG",IF(DA$10&gt;0,N(Reales!DA67)/DA$10,0),N(Reales!DA67)),DA$238)</f>
        <v>8959.98771891781</v>
      </c>
      <c r="DB254" s="48" t="n">
        <f aca="false">IF(DB$8=1,IF(Reales!$C$67="PYG",IF(DB$10&gt;0,N(Reales!DB67)/DB$10,0),N(Reales!DB67)),DB$238)</f>
        <v>8959.98771891781</v>
      </c>
      <c r="DC254" s="48" t="n">
        <f aca="false">IF(DC$8=1,IF(Reales!$C$67="PYG",IF(DC$10&gt;0,N(Reales!DC67)/DC$10,0),N(Reales!DC67)),DC$238)</f>
        <v>8959.98771891781</v>
      </c>
      <c r="DD254" s="48" t="n">
        <f aca="false">IF(DD$8=1,IF(Reales!$C$67="PYG",IF(DD$10&gt;0,N(Reales!DD67)/DD$10,0),N(Reales!DD67)),DD$238)</f>
        <v>8959.98771891781</v>
      </c>
      <c r="DE254" s="48" t="n">
        <f aca="false">IF(DE$8=1,IF(Reales!$C$67="PYG",IF(DE$10&gt;0,N(Reales!DE67)/DE$10,0),N(Reales!DE67)),DE$238)</f>
        <v>8959.98771891781</v>
      </c>
      <c r="DF254" s="48" t="n">
        <f aca="false">IF(DF$8=1,IF(Reales!$C$67="PYG",IF(DF$10&gt;0,N(Reales!DF67)/DF$10,0),N(Reales!DF67)),DF$238)</f>
        <v>8959.98771891781</v>
      </c>
      <c r="DG254" s="48" t="n">
        <f aca="false">IF(DG$8=1,IF(Reales!$C$67="PYG",IF(DG$10&gt;0,N(Reales!DG67)/DG$10,0),N(Reales!DG67)),DG$238)</f>
        <v>8959.98771891781</v>
      </c>
      <c r="DH254" s="48" t="n">
        <f aca="false">IF(DH$8=1,IF(Reales!$C$67="PYG",IF(DH$10&gt;0,N(Reales!DH67)/DH$10,0),N(Reales!DH67)),DH$238)</f>
        <v>8959.98771891781</v>
      </c>
      <c r="DI254" s="48" t="n">
        <f aca="false">IF(DI$8=1,IF(Reales!$C$67="PYG",IF(DI$10&gt;0,N(Reales!DI67)/DI$10,0),N(Reales!DI67)),DI$238)</f>
        <v>8959.98771891781</v>
      </c>
      <c r="DJ254" s="48" t="n">
        <f aca="false">IF(DJ$8=1,IF(Reales!$C$67="PYG",IF(DJ$10&gt;0,N(Reales!DJ67)/DJ$10,0),N(Reales!DJ67)),DJ$238)</f>
        <v>8959.98771891781</v>
      </c>
      <c r="DK254" s="48" t="n">
        <f aca="false">IF(DK$8=1,IF(Reales!$C$67="PYG",IF(DK$10&gt;0,N(Reales!DK67)/DK$10,0),N(Reales!DK67)),DK$238)</f>
        <v>8959.98771891781</v>
      </c>
      <c r="DL254" s="48" t="n">
        <f aca="false">IF(DL$8=1,IF(Reales!$C$67="PYG",IF(DL$10&gt;0,N(Reales!DL67)/DL$10,0),N(Reales!DL67)),DL$238)</f>
        <v>8959.98771891781</v>
      </c>
      <c r="DM254" s="48" t="n">
        <f aca="false">IF(DM$8=1,IF(Reales!$C$67="PYG",IF(DM$10&gt;0,N(Reales!DM67)/DM$10,0),N(Reales!DM67)),DM$238)</f>
        <v>8959.98771891781</v>
      </c>
      <c r="DN254" s="48" t="n">
        <f aca="false">IF(DN$8=1,IF(Reales!$C$67="PYG",IF(DN$10&gt;0,N(Reales!DN67)/DN$10,0),N(Reales!DN67)),DN$238)</f>
        <v>8959.98771891781</v>
      </c>
      <c r="DO254" s="48" t="n">
        <f aca="false">IF(DO$8=1,IF(Reales!$C$67="PYG",IF(DO$10&gt;0,N(Reales!DO67)/DO$10,0),N(Reales!DO67)),DO$238)</f>
        <v>8959.98771891781</v>
      </c>
      <c r="DP254" s="48" t="n">
        <f aca="false">IF(DP$8=1,IF(Reales!$C$67="PYG",IF(DP$10&gt;0,N(Reales!DP67)/DP$10,0),N(Reales!DP67)),DP$238)</f>
        <v>8959.98771891781</v>
      </c>
      <c r="DQ254" s="48" t="n">
        <f aca="false">IF(DQ$8=1,IF(Reales!$C$67="PYG",IF(DQ$10&gt;0,N(Reales!DQ67)/DQ$10,0),N(Reales!DQ67)),DQ$238)</f>
        <v>8959.98771891781</v>
      </c>
      <c r="DR254" s="48" t="n">
        <f aca="false">IF(DR$8=1,IF(Reales!$C$67="PYG",IF(DR$10&gt;0,N(Reales!DR67)/DR$10,0),N(Reales!DR67)),DR$238)</f>
        <v>8959.98771891781</v>
      </c>
      <c r="DS254" s="48" t="n">
        <f aca="false">IF(DS$8=1,IF(Reales!$C$67="PYG",IF(DS$10&gt;0,N(Reales!DS67)/DS$10,0),N(Reales!DS67)),DS$238)</f>
        <v>8959.98771891781</v>
      </c>
      <c r="DT254" s="48" t="n">
        <f aca="false">IF(DT$8=1,IF(Reales!$C$67="PYG",IF(DT$10&gt;0,N(Reales!DT67)/DT$10,0),N(Reales!DT67)),DT$238)</f>
        <v>8959.98771891781</v>
      </c>
      <c r="DU254" s="48" t="n">
        <f aca="false">IF(DU$8=1,IF(Reales!$C$67="PYG",IF(DU$10&gt;0,N(Reales!DU67)/DU$10,0),N(Reales!DU67)),DU$238)</f>
        <v>8959.98771891781</v>
      </c>
      <c r="DV254" s="48" t="n">
        <f aca="false">IF(DV$8=1,IF(Reales!$C$67="PYG",IF(DV$10&gt;0,N(Reales!DV67)/DV$10,0),N(Reales!DV67)),DV$238)</f>
        <v>0</v>
      </c>
      <c r="DW254" s="48" t="n">
        <f aca="false">IF(DW$8=1,IF(Reales!$C$67="PYG",IF(DW$10&gt;0,N(Reales!DW67)/DW$10,0),N(Reales!DW67)),DW$238)</f>
        <v>0</v>
      </c>
      <c r="DX254" s="48" t="n">
        <f aca="false">IF(DX$8=1,IF(Reales!$C$67="PYG",IF(DX$10&gt;0,N(Reales!DX67)/DX$10,0),N(Reales!DX67)),DX$238)</f>
        <v>0</v>
      </c>
      <c r="DY254" s="48" t="n">
        <f aca="false">IF(DY$8=1,IF(Reales!$C$67="PYG",IF(DY$10&gt;0,N(Reales!DY67)/DY$10,0),N(Reales!DY67)),DY$238)</f>
        <v>0</v>
      </c>
      <c r="DZ254" s="48" t="n">
        <f aca="false">IF(DZ$8=1,IF(Reales!$C$67="PYG",IF(DZ$10&gt;0,N(Reales!DZ67)/DZ$10,0),N(Reales!DZ67)),DZ$238)</f>
        <v>0</v>
      </c>
      <c r="EA254" s="48" t="n">
        <f aca="false">IF(EA$8=1,IF(Reales!$C$67="PYG",IF(EA$10&gt;0,N(Reales!EA67)/EA$10,0),N(Reales!EA67)),EA$238)</f>
        <v>0</v>
      </c>
      <c r="EB254" s="48" t="n">
        <f aca="false">IF(EB$8=1,IF(Reales!$C$67="PYG",IF(EB$10&gt;0,N(Reales!EB67)/EB$10,0),N(Reales!EB67)),EB$238)</f>
        <v>0</v>
      </c>
      <c r="EC254" s="48" t="n">
        <f aca="false">IF(EC$8=1,IF(Reales!$C$67="PYG",IF(EC$10&gt;0,N(Reales!EC67)/EC$10,0),N(Reales!EC67)),EC$238)</f>
        <v>0</v>
      </c>
      <c r="ED254" s="48" t="n">
        <f aca="false">IF(ED$8=1,IF(Reales!$C$67="PYG",IF(ED$10&gt;0,N(Reales!ED67)/ED$10,0),N(Reales!ED67)),ED$238)</f>
        <v>0</v>
      </c>
      <c r="EE254" s="48" t="n">
        <f aca="false">IF(EE$8=1,IF(Reales!$C$67="PYG",IF(EE$10&gt;0,N(Reales!EE67)/EE$10,0),N(Reales!EE67)),EE$238)</f>
        <v>0</v>
      </c>
      <c r="EF254" s="48" t="n">
        <f aca="false">IF(EF$8=1,IF(Reales!$C$67="PYG",IF(EF$10&gt;0,N(Reales!EF67)/EF$10,0),N(Reales!EF67)),EF$238)</f>
        <v>0</v>
      </c>
      <c r="EG254" s="48" t="n">
        <f aca="false">IF(EG$8=1,IF(Reales!$C$67="PYG",IF(EG$10&gt;0,N(Reales!EG67)/EG$10,0),N(Reales!EG67)),EG$238)</f>
        <v>0</v>
      </c>
      <c r="EH254" s="48" t="n">
        <f aca="false">IF(EH$8=1,IF(Reales!$C$67="PYG",IF(EH$10&gt;0,N(Reales!EH67)/EH$10,0),N(Reales!EH67)),EH$238)</f>
        <v>0</v>
      </c>
      <c r="EI254" s="48" t="n">
        <f aca="false">IF(EI$8=1,IF(Reales!$C$67="PYG",IF(EI$10&gt;0,N(Reales!EI67)/EI$10,0),N(Reales!EI67)),EI$238)</f>
        <v>0</v>
      </c>
      <c r="EJ254" s="48" t="n">
        <f aca="false">IF(EJ$8=1,IF(Reales!$C$67="PYG",IF(EJ$10&gt;0,N(Reales!EJ67)/EJ$10,0),N(Reales!EJ67)),EJ$238)</f>
        <v>0</v>
      </c>
      <c r="EK254" s="48" t="n">
        <f aca="false">IF(EK$8=1,IF(Reales!$C$67="PYG",IF(EK$10&gt;0,N(Reales!EK67)/EK$10,0),N(Reales!EK67)),EK$238)</f>
        <v>0</v>
      </c>
      <c r="EL254" s="48" t="n">
        <f aca="false">IF(EL$8=1,IF(Reales!$C$67="PYG",IF(EL$10&gt;0,N(Reales!EL67)/EL$10,0),N(Reales!EL67)),EL$238)</f>
        <v>0</v>
      </c>
      <c r="EM254" s="48" t="n">
        <f aca="false">IF(EM$8=1,IF(Reales!$C$67="PYG",IF(EM$10&gt;0,N(Reales!EM67)/EM$10,0),N(Reales!EM67)),EM$238)</f>
        <v>0</v>
      </c>
      <c r="EN254" s="48" t="n">
        <f aca="false">IF(EN$8=1,IF(Reales!$C$67="PYG",IF(EN$10&gt;0,N(Reales!EN67)/EN$10,0),N(Reales!EN67)),EN$238)</f>
        <v>0</v>
      </c>
      <c r="EO254" s="48" t="n">
        <f aca="false">IF(EO$8=1,IF(Reales!$C$67="PYG",IF(EO$10&gt;0,N(Reales!EO67)/EO$10,0),N(Reales!EO67)),EO$238)</f>
        <v>0</v>
      </c>
      <c r="EP254" s="48" t="n">
        <f aca="false">IF(EP$8=1,IF(Reales!$C$67="PYG",IF(EP$10&gt;0,N(Reales!EP67)/EP$10,0),N(Reales!EP67)),EP$238)</f>
        <v>0</v>
      </c>
      <c r="EQ254" s="48" t="n">
        <f aca="false">IF(EQ$8=1,IF(Reales!$C$67="PYG",IF(EQ$10&gt;0,N(Reales!EQ67)/EQ$10,0),N(Reales!EQ67)),EQ$238)</f>
        <v>0</v>
      </c>
      <c r="ER254" s="48" t="n">
        <f aca="false">IF(ER$8=1,IF(Reales!$C$67="PYG",IF(ER$10&gt;0,N(Reales!ER67)/ER$10,0),N(Reales!ER67)),ER$238)</f>
        <v>0</v>
      </c>
      <c r="ES254" s="48" t="n">
        <f aca="false">IF(ES$8=1,IF(Reales!$C$67="PYG",IF(ES$10&gt;0,N(Reales!ES67)/ES$10,0),N(Reales!ES67)),ES$238)</f>
        <v>0</v>
      </c>
    </row>
    <row r="255" customFormat="false" ht="15" hidden="false" customHeight="false" outlineLevel="0" collapsed="false">
      <c r="A255" s="11" t="s">
        <v>1376</v>
      </c>
      <c r="B255" s="15" t="s">
        <v>1170</v>
      </c>
      <c r="C255" s="15" t="s">
        <v>508</v>
      </c>
      <c r="E255" s="54" t="n">
        <f aca="false">SUM(F255:ES255)</f>
        <v>3143993.45458867</v>
      </c>
      <c r="F255" s="48" t="n">
        <f aca="false">IF(F$8=1,IF(Reales!$C$69="PYG",IF(F$10&gt;0,N(Reales!F69)/F$10,0),N(Reales!F69)),F$243+F$246)</f>
        <v>23597.3144270418</v>
      </c>
      <c r="G255" s="48" t="n">
        <f aca="false">IF(G$8=1,IF(Reales!$C$69="PYG",IF(G$10&gt;0,N(Reales!G69)/G$10,0),N(Reales!G69)),G$243+G$246)</f>
        <v>23597.3144270418</v>
      </c>
      <c r="H255" s="48" t="n">
        <f aca="false">IF(H$8=1,IF(Reales!$C$69="PYG",IF(H$10&gt;0,N(Reales!H69)/H$10,0),N(Reales!H69)),H$243+H$246)</f>
        <v>23597.3144270418</v>
      </c>
      <c r="I255" s="48" t="n">
        <f aca="false">IF(I$8=1,IF(Reales!$C$69="PYG",IF(I$10&gt;0,N(Reales!I69)/I$10,0),N(Reales!I69)),I$243+I$246)</f>
        <v>23597.3144270418</v>
      </c>
      <c r="J255" s="48" t="n">
        <f aca="false">IF(J$8=1,IF(Reales!$C$69="PYG",IF(J$10&gt;0,N(Reales!J69)/J$10,0),N(Reales!J69)),J$243+J$246)</f>
        <v>23597.3144270418</v>
      </c>
      <c r="K255" s="48" t="n">
        <f aca="false">IF(K$8=1,IF(Reales!$C$69="PYG",IF(K$10&gt;0,N(Reales!K69)/K$10,0),N(Reales!K69)),K$243+K$246)</f>
        <v>23597.3144270418</v>
      </c>
      <c r="L255" s="48" t="n">
        <f aca="false">IF(L$8=1,IF(Reales!$C$69="PYG",IF(L$10&gt;0,N(Reales!L69)/L$10,0),N(Reales!L69)),L$243+L$246)</f>
        <v>23597.3144270418</v>
      </c>
      <c r="M255" s="48" t="n">
        <f aca="false">IF(M$8=1,IF(Reales!$C$69="PYG",IF(M$10&gt;0,N(Reales!M69)/M$10,0),N(Reales!M69)),M$243+M$246)</f>
        <v>23597.3144270418</v>
      </c>
      <c r="N255" s="48" t="n">
        <f aca="false">IF(N$8=1,IF(Reales!$C$69="PYG",IF(N$10&gt;0,N(Reales!N69)/N$10,0),N(Reales!N69)),N$243+N$246)</f>
        <v>23597.3144270418</v>
      </c>
      <c r="O255" s="48" t="n">
        <f aca="false">IF(O$8=1,IF(Reales!$C$69="PYG",IF(O$10&gt;0,N(Reales!O69)/O$10,0),N(Reales!O69)),O$243+O$246)</f>
        <v>23597.3144270418</v>
      </c>
      <c r="P255" s="48" t="n">
        <f aca="false">IF(P$8=1,IF(Reales!$C$69="PYG",IF(P$10&gt;0,N(Reales!P69)/P$10,0),N(Reales!P69)),P$243+P$246)</f>
        <v>23597.3144270418</v>
      </c>
      <c r="Q255" s="48" t="n">
        <f aca="false">IF(Q$8=1,IF(Reales!$C$69="PYG",IF(Q$10&gt;0,N(Reales!Q69)/Q$10,0),N(Reales!Q69)),Q$243+Q$246)</f>
        <v>23597.3144270418</v>
      </c>
      <c r="R255" s="48" t="n">
        <f aca="false">IF(R$8=1,IF(Reales!$C$69="PYG",IF(R$10&gt;0,N(Reales!R69)/R$10,0),N(Reales!R69)),R$243+R$246)</f>
        <v>24130.6844270418</v>
      </c>
      <c r="S255" s="48" t="n">
        <f aca="false">IF(S$8=1,IF(Reales!$C$69="PYG",IF(S$10&gt;0,N(Reales!S69)/S$10,0),N(Reales!S69)),S$243+S$246)</f>
        <v>24130.6844270418</v>
      </c>
      <c r="T255" s="48" t="n">
        <f aca="false">IF(T$8=1,IF(Reales!$C$69="PYG",IF(T$10&gt;0,N(Reales!T69)/T$10,0),N(Reales!T69)),T$243+T$246)</f>
        <v>24130.6844270418</v>
      </c>
      <c r="U255" s="48" t="n">
        <f aca="false">IF(U$8=1,IF(Reales!$C$69="PYG",IF(U$10&gt;0,N(Reales!U69)/U$10,0),N(Reales!U69)),U$243+U$246)</f>
        <v>24130.6844270418</v>
      </c>
      <c r="V255" s="48" t="n">
        <f aca="false">IF(V$8=1,IF(Reales!$C$69="PYG",IF(V$10&gt;0,N(Reales!V69)/V$10,0),N(Reales!V69)),V$243+V$246)</f>
        <v>24130.6844270418</v>
      </c>
      <c r="W255" s="48" t="n">
        <f aca="false">IF(W$8=1,IF(Reales!$C$69="PYG",IF(W$10&gt;0,N(Reales!W69)/W$10,0),N(Reales!W69)),W$243+W$246)</f>
        <v>24130.6844270418</v>
      </c>
      <c r="X255" s="48" t="n">
        <f aca="false">IF(X$8=1,IF(Reales!$C$69="PYG",IF(X$10&gt;0,N(Reales!X69)/X$10,0),N(Reales!X69)),X$243+X$246)</f>
        <v>24130.6844270418</v>
      </c>
      <c r="Y255" s="48" t="n">
        <f aca="false">IF(Y$8=1,IF(Reales!$C$69="PYG",IF(Y$10&gt;0,N(Reales!Y69)/Y$10,0),N(Reales!Y69)),Y$243+Y$246)</f>
        <v>24130.6844270418</v>
      </c>
      <c r="Z255" s="48" t="n">
        <f aca="false">IF(Z$8=1,IF(Reales!$C$69="PYG",IF(Z$10&gt;0,N(Reales!Z69)/Z$10,0),N(Reales!Z69)),Z$243+Z$246)</f>
        <v>24130.6844270418</v>
      </c>
      <c r="AA255" s="48" t="n">
        <f aca="false">IF(AA$8=1,IF(Reales!$C$69="PYG",IF(AA$10&gt;0,N(Reales!AA69)/AA$10,0),N(Reales!AA69)),AA$243+AA$246)</f>
        <v>24130.6844270418</v>
      </c>
      <c r="AB255" s="48" t="n">
        <f aca="false">IF(AB$8=1,IF(Reales!$C$69="PYG",IF(AB$10&gt;0,N(Reales!AB69)/AB$10,0),N(Reales!AB69)),AB$243+AB$246)</f>
        <v>24130.6844270418</v>
      </c>
      <c r="AC255" s="48" t="n">
        <f aca="false">IF(AC$8=1,IF(Reales!$C$69="PYG",IF(AC$10&gt;0,N(Reales!AC69)/AC$10,0),N(Reales!AC69)),AC$243+AC$246)</f>
        <v>24130.6844270418</v>
      </c>
      <c r="AD255" s="48" t="n">
        <f aca="false">IF(AD$8=1,IF(Reales!$C$69="PYG",IF(AD$10&gt;0,N(Reales!AD69)/AD$10,0),N(Reales!AD69)),AD$243+AD$246)</f>
        <v>24680.0555270418</v>
      </c>
      <c r="AE255" s="48" t="n">
        <f aca="false">IF(AE$8=1,IF(Reales!$C$69="PYG",IF(AE$10&gt;0,N(Reales!AE69)/AE$10,0),N(Reales!AE69)),AE$243+AE$246)</f>
        <v>24680.0555270418</v>
      </c>
      <c r="AF255" s="48" t="n">
        <f aca="false">IF(AF$8=1,IF(Reales!$C$69="PYG",IF(AF$10&gt;0,N(Reales!AF69)/AF$10,0),N(Reales!AF69)),AF$243+AF$246)</f>
        <v>24680.0555270418</v>
      </c>
      <c r="AG255" s="48" t="n">
        <f aca="false">IF(AG$8=1,IF(Reales!$C$69="PYG",IF(AG$10&gt;0,N(Reales!AG69)/AG$10,0),N(Reales!AG69)),AG$243+AG$246)</f>
        <v>24680.0555270418</v>
      </c>
      <c r="AH255" s="48" t="n">
        <f aca="false">IF(AH$8=1,IF(Reales!$C$69="PYG",IF(AH$10&gt;0,N(Reales!AH69)/AH$10,0),N(Reales!AH69)),AH$243+AH$246)</f>
        <v>24680.0555270418</v>
      </c>
      <c r="AI255" s="48" t="n">
        <f aca="false">IF(AI$8=1,IF(Reales!$C$69="PYG",IF(AI$10&gt;0,N(Reales!AI69)/AI$10,0),N(Reales!AI69)),AI$243+AI$246)</f>
        <v>24680.0555270418</v>
      </c>
      <c r="AJ255" s="48" t="n">
        <f aca="false">IF(AJ$8=1,IF(Reales!$C$69="PYG",IF(AJ$10&gt;0,N(Reales!AJ69)/AJ$10,0),N(Reales!AJ69)),AJ$243+AJ$246)</f>
        <v>24680.0555270418</v>
      </c>
      <c r="AK255" s="48" t="n">
        <f aca="false">IF(AK$8=1,IF(Reales!$C$69="PYG",IF(AK$10&gt;0,N(Reales!AK69)/AK$10,0),N(Reales!AK69)),AK$243+AK$246)</f>
        <v>24680.0555270418</v>
      </c>
      <c r="AL255" s="48" t="n">
        <f aca="false">IF(AL$8=1,IF(Reales!$C$69="PYG",IF(AL$10&gt;0,N(Reales!AL69)/AL$10,0),N(Reales!AL69)),AL$243+AL$246)</f>
        <v>24680.0555270418</v>
      </c>
      <c r="AM255" s="48" t="n">
        <f aca="false">IF(AM$8=1,IF(Reales!$C$69="PYG",IF(AM$10&gt;0,N(Reales!AM69)/AM$10,0),N(Reales!AM69)),AM$243+AM$246)</f>
        <v>24680.0555270418</v>
      </c>
      <c r="AN255" s="48" t="n">
        <f aca="false">IF(AN$8=1,IF(Reales!$C$69="PYG",IF(AN$10&gt;0,N(Reales!AN69)/AN$10,0),N(Reales!AN69)),AN$243+AN$246)</f>
        <v>24680.0555270418</v>
      </c>
      <c r="AO255" s="48" t="n">
        <f aca="false">IF(AO$8=1,IF(Reales!$C$69="PYG",IF(AO$10&gt;0,N(Reales!AO69)/AO$10,0),N(Reales!AO69)),AO$243+AO$246)</f>
        <v>24680.0555270418</v>
      </c>
      <c r="AP255" s="48" t="n">
        <f aca="false">IF(AP$8=1,IF(Reales!$C$69="PYG",IF(AP$10&gt;0,N(Reales!AP69)/AP$10,0),N(Reales!AP69)),AP$243+AP$246)</f>
        <v>25245.9077600418</v>
      </c>
      <c r="AQ255" s="48" t="n">
        <f aca="false">IF(AQ$8=1,IF(Reales!$C$69="PYG",IF(AQ$10&gt;0,N(Reales!AQ69)/AQ$10,0),N(Reales!AQ69)),AQ$243+AQ$246)</f>
        <v>25245.9077600418</v>
      </c>
      <c r="AR255" s="48" t="n">
        <f aca="false">IF(AR$8=1,IF(Reales!$C$69="PYG",IF(AR$10&gt;0,N(Reales!AR69)/AR$10,0),N(Reales!AR69)),AR$243+AR$246)</f>
        <v>25245.9077600418</v>
      </c>
      <c r="AS255" s="48" t="n">
        <f aca="false">IF(AS$8=1,IF(Reales!$C$69="PYG",IF(AS$10&gt;0,N(Reales!AS69)/AS$10,0),N(Reales!AS69)),AS$243+AS$246)</f>
        <v>25245.9077600418</v>
      </c>
      <c r="AT255" s="48" t="n">
        <f aca="false">IF(AT$8=1,IF(Reales!$C$69="PYG",IF(AT$10&gt;0,N(Reales!AT69)/AT$10,0),N(Reales!AT69)),AT$243+AT$246)</f>
        <v>25245.9077600418</v>
      </c>
      <c r="AU255" s="48" t="n">
        <f aca="false">IF(AU$8=1,IF(Reales!$C$69="PYG",IF(AU$10&gt;0,N(Reales!AU69)/AU$10,0),N(Reales!AU69)),AU$243+AU$246)</f>
        <v>25245.9077600418</v>
      </c>
      <c r="AV255" s="48" t="n">
        <f aca="false">IF(AV$8=1,IF(Reales!$C$69="PYG",IF(AV$10&gt;0,N(Reales!AV69)/AV$10,0),N(Reales!AV69)),AV$243+AV$246)</f>
        <v>25245.9077600418</v>
      </c>
      <c r="AW255" s="48" t="n">
        <f aca="false">IF(AW$8=1,IF(Reales!$C$69="PYG",IF(AW$10&gt;0,N(Reales!AW69)/AW$10,0),N(Reales!AW69)),AW$243+AW$246)</f>
        <v>25245.9077600418</v>
      </c>
      <c r="AX255" s="48" t="n">
        <f aca="false">IF(AX$8=1,IF(Reales!$C$69="PYG",IF(AX$10&gt;0,N(Reales!AX69)/AX$10,0),N(Reales!AX69)),AX$243+AX$246)</f>
        <v>25245.9077600418</v>
      </c>
      <c r="AY255" s="48" t="n">
        <f aca="false">IF(AY$8=1,IF(Reales!$C$69="PYG",IF(AY$10&gt;0,N(Reales!AY69)/AY$10,0),N(Reales!AY69)),AY$243+AY$246)</f>
        <v>25245.9077600418</v>
      </c>
      <c r="AZ255" s="48" t="n">
        <f aca="false">IF(AZ$8=1,IF(Reales!$C$69="PYG",IF(AZ$10&gt;0,N(Reales!AZ69)/AZ$10,0),N(Reales!AZ69)),AZ$243+AZ$246)</f>
        <v>25245.9077600418</v>
      </c>
      <c r="BA255" s="48" t="n">
        <f aca="false">IF(BA$8=1,IF(Reales!$C$69="PYG",IF(BA$10&gt;0,N(Reales!BA69)/BA$10,0),N(Reales!BA69)),BA$243+BA$246)</f>
        <v>25245.9077600418</v>
      </c>
      <c r="BB255" s="48" t="n">
        <f aca="false">IF(BB$8=1,IF(Reales!$C$69="PYG",IF(BB$10&gt;0,N(Reales!BB69)/BB$10,0),N(Reales!BB69)),BB$243+BB$246)</f>
        <v>25828.7355600318</v>
      </c>
      <c r="BC255" s="48" t="n">
        <f aca="false">IF(BC$8=1,IF(Reales!$C$69="PYG",IF(BC$10&gt;0,N(Reales!BC69)/BC$10,0),N(Reales!BC69)),BC$243+BC$246)</f>
        <v>25828.7355600318</v>
      </c>
      <c r="BD255" s="48" t="n">
        <f aca="false">IF(BD$8=1,IF(Reales!$C$69="PYG",IF(BD$10&gt;0,N(Reales!BD69)/BD$10,0),N(Reales!BD69)),BD$243+BD$246)</f>
        <v>25828.7355600318</v>
      </c>
      <c r="BE255" s="48" t="n">
        <f aca="false">IF(BE$8=1,IF(Reales!$C$69="PYG",IF(BE$10&gt;0,N(Reales!BE69)/BE$10,0),N(Reales!BE69)),BE$243+BE$246)</f>
        <v>25828.7355600318</v>
      </c>
      <c r="BF255" s="48" t="n">
        <f aca="false">IF(BF$8=1,IF(Reales!$C$69="PYG",IF(BF$10&gt;0,N(Reales!BF69)/BF$10,0),N(Reales!BF69)),BF$243+BF$246)</f>
        <v>25828.7355600318</v>
      </c>
      <c r="BG255" s="48" t="n">
        <f aca="false">IF(BG$8=1,IF(Reales!$C$69="PYG",IF(BG$10&gt;0,N(Reales!BG69)/BG$10,0),N(Reales!BG69)),BG$243+BG$246)</f>
        <v>25828.7355600318</v>
      </c>
      <c r="BH255" s="48" t="n">
        <f aca="false">IF(BH$8=1,IF(Reales!$C$69="PYG",IF(BH$10&gt;0,N(Reales!BH69)/BH$10,0),N(Reales!BH69)),BH$243+BH$246)</f>
        <v>25828.7355600318</v>
      </c>
      <c r="BI255" s="48" t="n">
        <f aca="false">IF(BI$8=1,IF(Reales!$C$69="PYG",IF(BI$10&gt;0,N(Reales!BI69)/BI$10,0),N(Reales!BI69)),BI$243+BI$246)</f>
        <v>25828.7355600318</v>
      </c>
      <c r="BJ255" s="48" t="n">
        <f aca="false">IF(BJ$8=1,IF(Reales!$C$69="PYG",IF(BJ$10&gt;0,N(Reales!BJ69)/BJ$10,0),N(Reales!BJ69)),BJ$243+BJ$246)</f>
        <v>25828.7355600318</v>
      </c>
      <c r="BK255" s="48" t="n">
        <f aca="false">IF(BK$8=1,IF(Reales!$C$69="PYG",IF(BK$10&gt;0,N(Reales!BK69)/BK$10,0),N(Reales!BK69)),BK$243+BK$246)</f>
        <v>25828.7355600318</v>
      </c>
      <c r="BL255" s="48" t="n">
        <f aca="false">IF(BL$8=1,IF(Reales!$C$69="PYG",IF(BL$10&gt;0,N(Reales!BL69)/BL$10,0),N(Reales!BL69)),BL$243+BL$246)</f>
        <v>25828.7355600318</v>
      </c>
      <c r="BM255" s="48" t="n">
        <f aca="false">IF(BM$8=1,IF(Reales!$C$69="PYG",IF(BM$10&gt;0,N(Reales!BM69)/BM$10,0),N(Reales!BM69)),BM$243+BM$246)</f>
        <v>25828.7355600318</v>
      </c>
      <c r="BN255" s="48" t="n">
        <f aca="false">IF(BN$8=1,IF(Reales!$C$69="PYG",IF(BN$10&gt;0,N(Reales!BN69)/BN$10,0),N(Reales!BN69)),BN$243+BN$246)</f>
        <v>26429.0481940215</v>
      </c>
      <c r="BO255" s="48" t="n">
        <f aca="false">IF(BO$8=1,IF(Reales!$C$69="PYG",IF(BO$10&gt;0,N(Reales!BO69)/BO$10,0),N(Reales!BO69)),BO$243+BO$246)</f>
        <v>26429.0481940215</v>
      </c>
      <c r="BP255" s="48" t="n">
        <f aca="false">IF(BP$8=1,IF(Reales!$C$69="PYG",IF(BP$10&gt;0,N(Reales!BP69)/BP$10,0),N(Reales!BP69)),BP$243+BP$246)</f>
        <v>26429.0481940215</v>
      </c>
      <c r="BQ255" s="48" t="n">
        <f aca="false">IF(BQ$8=1,IF(Reales!$C$69="PYG",IF(BQ$10&gt;0,N(Reales!BQ69)/BQ$10,0),N(Reales!BQ69)),BQ$243+BQ$246)</f>
        <v>26429.0481940215</v>
      </c>
      <c r="BR255" s="48" t="n">
        <f aca="false">IF(BR$8=1,IF(Reales!$C$69="PYG",IF(BR$10&gt;0,N(Reales!BR69)/BR$10,0),N(Reales!BR69)),BR$243+BR$246)</f>
        <v>26429.0481940215</v>
      </c>
      <c r="BS255" s="48" t="n">
        <f aca="false">IF(BS$8=1,IF(Reales!$C$69="PYG",IF(BS$10&gt;0,N(Reales!BS69)/BS$10,0),N(Reales!BS69)),BS$243+BS$246)</f>
        <v>26429.0481940215</v>
      </c>
      <c r="BT255" s="48" t="n">
        <f aca="false">IF(BT$8=1,IF(Reales!$C$69="PYG",IF(BT$10&gt;0,N(Reales!BT69)/BT$10,0),N(Reales!BT69)),BT$243+BT$246)</f>
        <v>26429.0481940215</v>
      </c>
      <c r="BU255" s="48" t="n">
        <f aca="false">IF(BU$8=1,IF(Reales!$C$69="PYG",IF(BU$10&gt;0,N(Reales!BU69)/BU$10,0),N(Reales!BU69)),BU$243+BU$246)</f>
        <v>26429.0481940215</v>
      </c>
      <c r="BV255" s="48" t="n">
        <f aca="false">IF(BV$8=1,IF(Reales!$C$69="PYG",IF(BV$10&gt;0,N(Reales!BV69)/BV$10,0),N(Reales!BV69)),BV$243+BV$246)</f>
        <v>26429.0481940215</v>
      </c>
      <c r="BW255" s="48" t="n">
        <f aca="false">IF(BW$8=1,IF(Reales!$C$69="PYG",IF(BW$10&gt;0,N(Reales!BW69)/BW$10,0),N(Reales!BW69)),BW$243+BW$246)</f>
        <v>26429.0481940215</v>
      </c>
      <c r="BX255" s="48" t="n">
        <f aca="false">IF(BX$8=1,IF(Reales!$C$69="PYG",IF(BX$10&gt;0,N(Reales!BX69)/BX$10,0),N(Reales!BX69)),BX$243+BX$246)</f>
        <v>26429.0481940215</v>
      </c>
      <c r="BY255" s="48" t="n">
        <f aca="false">IF(BY$8=1,IF(Reales!$C$69="PYG",IF(BY$10&gt;0,N(Reales!BY69)/BY$10,0),N(Reales!BY69)),BY$243+BY$246)</f>
        <v>26429.0481940215</v>
      </c>
      <c r="BZ255" s="48" t="n">
        <f aca="false">IF(BZ$8=1,IF(Reales!$C$69="PYG",IF(BZ$10&gt;0,N(Reales!BZ69)/BZ$10,0),N(Reales!BZ69)),BZ$243+BZ$246)</f>
        <v>27047.3702070309</v>
      </c>
      <c r="CA255" s="48" t="n">
        <f aca="false">IF(CA$8=1,IF(Reales!$C$69="PYG",IF(CA$10&gt;0,N(Reales!CA69)/CA$10,0),N(Reales!CA69)),CA$243+CA$246)</f>
        <v>27047.3702070309</v>
      </c>
      <c r="CB255" s="48" t="n">
        <f aca="false">IF(CB$8=1,IF(Reales!$C$69="PYG",IF(CB$10&gt;0,N(Reales!CB69)/CB$10,0),N(Reales!CB69)),CB$243+CB$246)</f>
        <v>27047.3702070309</v>
      </c>
      <c r="CC255" s="48" t="n">
        <f aca="false">IF(CC$8=1,IF(Reales!$C$69="PYG",IF(CC$10&gt;0,N(Reales!CC69)/CC$10,0),N(Reales!CC69)),CC$243+CC$246)</f>
        <v>27047.3702070309</v>
      </c>
      <c r="CD255" s="48" t="n">
        <f aca="false">IF(CD$8=1,IF(Reales!$C$69="PYG",IF(CD$10&gt;0,N(Reales!CD69)/CD$10,0),N(Reales!CD69)),CD$243+CD$246)</f>
        <v>27047.3702070309</v>
      </c>
      <c r="CE255" s="48" t="n">
        <f aca="false">IF(CE$8=1,IF(Reales!$C$69="PYG",IF(CE$10&gt;0,N(Reales!CE69)/CE$10,0),N(Reales!CE69)),CE$243+CE$246)</f>
        <v>27047.3702070309</v>
      </c>
      <c r="CF255" s="48" t="n">
        <f aca="false">IF(CF$8=1,IF(Reales!$C$69="PYG",IF(CF$10&gt;0,N(Reales!CF69)/CF$10,0),N(Reales!CF69)),CF$243+CF$246)</f>
        <v>27047.3702070309</v>
      </c>
      <c r="CG255" s="48" t="n">
        <f aca="false">IF(CG$8=1,IF(Reales!$C$69="PYG",IF(CG$10&gt;0,N(Reales!CG69)/CG$10,0),N(Reales!CG69)),CG$243+CG$246)</f>
        <v>27047.3702070309</v>
      </c>
      <c r="CH255" s="48" t="n">
        <f aca="false">IF(CH$8=1,IF(Reales!$C$69="PYG",IF(CH$10&gt;0,N(Reales!CH69)/CH$10,0),N(Reales!CH69)),CH$243+CH$246)</f>
        <v>27047.3702070309</v>
      </c>
      <c r="CI255" s="48" t="n">
        <f aca="false">IF(CI$8=1,IF(Reales!$C$69="PYG",IF(CI$10&gt;0,N(Reales!CI69)/CI$10,0),N(Reales!CI69)),CI$243+CI$246)</f>
        <v>27047.3702070309</v>
      </c>
      <c r="CJ255" s="48" t="n">
        <f aca="false">IF(CJ$8=1,IF(Reales!$C$69="PYG",IF(CJ$10&gt;0,N(Reales!CJ69)/CJ$10,0),N(Reales!CJ69)),CJ$243+CJ$246)</f>
        <v>27047.3702070309</v>
      </c>
      <c r="CK255" s="48" t="n">
        <f aca="false">IF(CK$8=1,IF(Reales!$C$69="PYG",IF(CK$10&gt;0,N(Reales!CK69)/CK$10,0),N(Reales!CK69)),CK$243+CK$246)</f>
        <v>27047.3702070309</v>
      </c>
      <c r="CL255" s="48" t="n">
        <f aca="false">IF(CL$8=1,IF(Reales!$C$69="PYG",IF(CL$10&gt;0,N(Reales!CL69)/CL$10,0),N(Reales!CL69)),CL$243+CL$246)</f>
        <v>27684.2418804306</v>
      </c>
      <c r="CM255" s="48" t="n">
        <f aca="false">IF(CM$8=1,IF(Reales!$C$69="PYG",IF(CM$10&gt;0,N(Reales!CM69)/CM$10,0),N(Reales!CM69)),CM$243+CM$246)</f>
        <v>27684.2418804306</v>
      </c>
      <c r="CN255" s="48" t="n">
        <f aca="false">IF(CN$8=1,IF(Reales!$C$69="PYG",IF(CN$10&gt;0,N(Reales!CN69)/CN$10,0),N(Reales!CN69)),CN$243+CN$246)</f>
        <v>27684.2418804306</v>
      </c>
      <c r="CO255" s="48" t="n">
        <f aca="false">IF(CO$8=1,IF(Reales!$C$69="PYG",IF(CO$10&gt;0,N(Reales!CO69)/CO$10,0),N(Reales!CO69)),CO$243+CO$246)</f>
        <v>27684.2418804306</v>
      </c>
      <c r="CP255" s="48" t="n">
        <f aca="false">IF(CP$8=1,IF(Reales!$C$69="PYG",IF(CP$10&gt;0,N(Reales!CP69)/CP$10,0),N(Reales!CP69)),CP$243+CP$246)</f>
        <v>27684.2418804306</v>
      </c>
      <c r="CQ255" s="48" t="n">
        <f aca="false">IF(CQ$8=1,IF(Reales!$C$69="PYG",IF(CQ$10&gt;0,N(Reales!CQ69)/CQ$10,0),N(Reales!CQ69)),CQ$243+CQ$246)</f>
        <v>27684.2418804306</v>
      </c>
      <c r="CR255" s="48" t="n">
        <f aca="false">IF(CR$8=1,IF(Reales!$C$69="PYG",IF(CR$10&gt;0,N(Reales!CR69)/CR$10,0),N(Reales!CR69)),CR$243+CR$246)</f>
        <v>27684.2418804306</v>
      </c>
      <c r="CS255" s="48" t="n">
        <f aca="false">IF(CS$8=1,IF(Reales!$C$69="PYG",IF(CS$10&gt;0,N(Reales!CS69)/CS$10,0),N(Reales!CS69)),CS$243+CS$246)</f>
        <v>27684.2418804306</v>
      </c>
      <c r="CT255" s="48" t="n">
        <f aca="false">IF(CT$8=1,IF(Reales!$C$69="PYG",IF(CT$10&gt;0,N(Reales!CT69)/CT$10,0),N(Reales!CT69)),CT$243+CT$246)</f>
        <v>27684.2418804306</v>
      </c>
      <c r="CU255" s="48" t="n">
        <f aca="false">IF(CU$8=1,IF(Reales!$C$69="PYG",IF(CU$10&gt;0,N(Reales!CU69)/CU$10,0),N(Reales!CU69)),CU$243+CU$246)</f>
        <v>27684.2418804306</v>
      </c>
      <c r="CV255" s="48" t="n">
        <f aca="false">IF(CV$8=1,IF(Reales!$C$69="PYG",IF(CV$10&gt;0,N(Reales!CV69)/CV$10,0),N(Reales!CV69)),CV$243+CV$246)</f>
        <v>27684.2418804306</v>
      </c>
      <c r="CW255" s="48" t="n">
        <f aca="false">IF(CW$8=1,IF(Reales!$C$69="PYG",IF(CW$10&gt;0,N(Reales!CW69)/CW$10,0),N(Reales!CW69)),CW$243+CW$246)</f>
        <v>27684.2418804306</v>
      </c>
      <c r="CX255" s="48" t="n">
        <f aca="false">IF(CX$8=1,IF(Reales!$C$69="PYG",IF(CX$10&gt;0,N(Reales!CX69)/CX$10,0),N(Reales!CX69)),CX$243+CX$246)</f>
        <v>28340.2197040322</v>
      </c>
      <c r="CY255" s="48" t="n">
        <f aca="false">IF(CY$8=1,IF(Reales!$C$69="PYG",IF(CY$10&gt;0,N(Reales!CY69)/CY$10,0),N(Reales!CY69)),CY$243+CY$246)</f>
        <v>28340.2197040322</v>
      </c>
      <c r="CZ255" s="48" t="n">
        <f aca="false">IF(CZ$8=1,IF(Reales!$C$69="PYG",IF(CZ$10&gt;0,N(Reales!CZ69)/CZ$10,0),N(Reales!CZ69)),CZ$243+CZ$246)</f>
        <v>28340.2197040322</v>
      </c>
      <c r="DA255" s="48" t="n">
        <f aca="false">IF(DA$8=1,IF(Reales!$C$69="PYG",IF(DA$10&gt;0,N(Reales!DA69)/DA$10,0),N(Reales!DA69)),DA$243+DA$246)</f>
        <v>28340.2197040322</v>
      </c>
      <c r="DB255" s="48" t="n">
        <f aca="false">IF(DB$8=1,IF(Reales!$C$69="PYG",IF(DB$10&gt;0,N(Reales!DB69)/DB$10,0),N(Reales!DB69)),DB$243+DB$246)</f>
        <v>28340.2197040322</v>
      </c>
      <c r="DC255" s="48" t="n">
        <f aca="false">IF(DC$8=1,IF(Reales!$C$69="PYG",IF(DC$10&gt;0,N(Reales!DC69)/DC$10,0),N(Reales!DC69)),DC$243+DC$246)</f>
        <v>28340.2197040322</v>
      </c>
      <c r="DD255" s="48" t="n">
        <f aca="false">IF(DD$8=1,IF(Reales!$C$69="PYG",IF(DD$10&gt;0,N(Reales!DD69)/DD$10,0),N(Reales!DD69)),DD$243+DD$246)</f>
        <v>28340.2197040322</v>
      </c>
      <c r="DE255" s="48" t="n">
        <f aca="false">IF(DE$8=1,IF(Reales!$C$69="PYG",IF(DE$10&gt;0,N(Reales!DE69)/DE$10,0),N(Reales!DE69)),DE$243+DE$246)</f>
        <v>28340.2197040322</v>
      </c>
      <c r="DF255" s="48" t="n">
        <f aca="false">IF(DF$8=1,IF(Reales!$C$69="PYG",IF(DF$10&gt;0,N(Reales!DF69)/DF$10,0),N(Reales!DF69)),DF$243+DF$246)</f>
        <v>28340.2197040322</v>
      </c>
      <c r="DG255" s="48" t="n">
        <f aca="false">IF(DG$8=1,IF(Reales!$C$69="PYG",IF(DG$10&gt;0,N(Reales!DG69)/DG$10,0),N(Reales!DG69)),DG$243+DG$246)</f>
        <v>28340.2197040322</v>
      </c>
      <c r="DH255" s="48" t="n">
        <f aca="false">IF(DH$8=1,IF(Reales!$C$69="PYG",IF(DH$10&gt;0,N(Reales!DH69)/DH$10,0),N(Reales!DH69)),DH$243+DH$246)</f>
        <v>28340.2197040322</v>
      </c>
      <c r="DI255" s="48" t="n">
        <f aca="false">IF(DI$8=1,IF(Reales!$C$69="PYG",IF(DI$10&gt;0,N(Reales!DI69)/DI$10,0),N(Reales!DI69)),DI$243+DI$246)</f>
        <v>28340.2197040322</v>
      </c>
      <c r="DJ255" s="48" t="n">
        <f aca="false">IF(DJ$8=1,IF(Reales!$C$69="PYG",IF(DJ$10&gt;0,N(Reales!DJ69)/DJ$10,0),N(Reales!DJ69)),DJ$243+DJ$246)</f>
        <v>29015.8768623419</v>
      </c>
      <c r="DK255" s="48" t="n">
        <f aca="false">IF(DK$8=1,IF(Reales!$C$69="PYG",IF(DK$10&gt;0,N(Reales!DK69)/DK$10,0),N(Reales!DK69)),DK$243+DK$246)</f>
        <v>29015.8768623419</v>
      </c>
      <c r="DL255" s="48" t="n">
        <f aca="false">IF(DL$8=1,IF(Reales!$C$69="PYG",IF(DL$10&gt;0,N(Reales!DL69)/DL$10,0),N(Reales!DL69)),DL$243+DL$246)</f>
        <v>29015.8768623419</v>
      </c>
      <c r="DM255" s="48" t="n">
        <f aca="false">IF(DM$8=1,IF(Reales!$C$69="PYG",IF(DM$10&gt;0,N(Reales!DM69)/DM$10,0),N(Reales!DM69)),DM$243+DM$246)</f>
        <v>29015.8768623419</v>
      </c>
      <c r="DN255" s="48" t="n">
        <f aca="false">IF(DN$8=1,IF(Reales!$C$69="PYG",IF(DN$10&gt;0,N(Reales!DN69)/DN$10,0),N(Reales!DN69)),DN$243+DN$246)</f>
        <v>29015.8768623419</v>
      </c>
      <c r="DO255" s="48" t="n">
        <f aca="false">IF(DO$8=1,IF(Reales!$C$69="PYG",IF(DO$10&gt;0,N(Reales!DO69)/DO$10,0),N(Reales!DO69)),DO$243+DO$246)</f>
        <v>29015.8768623419</v>
      </c>
      <c r="DP255" s="48" t="n">
        <f aca="false">IF(DP$8=1,IF(Reales!$C$69="PYG",IF(DP$10&gt;0,N(Reales!DP69)/DP$10,0),N(Reales!DP69)),DP$243+DP$246)</f>
        <v>29015.8768623419</v>
      </c>
      <c r="DQ255" s="48" t="n">
        <f aca="false">IF(DQ$8=1,IF(Reales!$C$69="PYG",IF(DQ$10&gt;0,N(Reales!DQ69)/DQ$10,0),N(Reales!DQ69)),DQ$243+DQ$246)</f>
        <v>29015.8768623419</v>
      </c>
      <c r="DR255" s="48" t="n">
        <f aca="false">IF(DR$8=1,IF(Reales!$C$69="PYG",IF(DR$10&gt;0,N(Reales!DR69)/DR$10,0),N(Reales!DR69)),DR$243+DR$246)</f>
        <v>29015.8768623419</v>
      </c>
      <c r="DS255" s="48" t="n">
        <f aca="false">IF(DS$8=1,IF(Reales!$C$69="PYG",IF(DS$10&gt;0,N(Reales!DS69)/DS$10,0),N(Reales!DS69)),DS$243+DS$246)</f>
        <v>29015.8768623419</v>
      </c>
      <c r="DT255" s="48" t="n">
        <f aca="false">IF(DT$8=1,IF(Reales!$C$69="PYG",IF(DT$10&gt;0,N(Reales!DT69)/DT$10,0),N(Reales!DT69)),DT$243+DT$246)</f>
        <v>29015.8768623419</v>
      </c>
      <c r="DU255" s="48" t="n">
        <f aca="false">IF(DU$8=1,IF(Reales!$C$69="PYG",IF(DU$10&gt;0,N(Reales!DU69)/DU$10,0),N(Reales!DU69)),DU$243+DU$246)</f>
        <v>29015.8768623419</v>
      </c>
      <c r="DV255" s="48" t="n">
        <f aca="false">IF(DV$8=1,IF(Reales!$C$69="PYG",IF(DV$10&gt;0,N(Reales!DV69)/DV$10,0),N(Reales!DV69)),DV$243+DV$246)</f>
        <v>0</v>
      </c>
      <c r="DW255" s="48" t="n">
        <f aca="false">IF(DW$8=1,IF(Reales!$C$69="PYG",IF(DW$10&gt;0,N(Reales!DW69)/DW$10,0),N(Reales!DW69)),DW$243+DW$246)</f>
        <v>0</v>
      </c>
      <c r="DX255" s="48" t="n">
        <f aca="false">IF(DX$8=1,IF(Reales!$C$69="PYG",IF(DX$10&gt;0,N(Reales!DX69)/DX$10,0),N(Reales!DX69)),DX$243+DX$246)</f>
        <v>0</v>
      </c>
      <c r="DY255" s="48" t="n">
        <f aca="false">IF(DY$8=1,IF(Reales!$C$69="PYG",IF(DY$10&gt;0,N(Reales!DY69)/DY$10,0),N(Reales!DY69)),DY$243+DY$246)</f>
        <v>0</v>
      </c>
      <c r="DZ255" s="48" t="n">
        <f aca="false">IF(DZ$8=1,IF(Reales!$C$69="PYG",IF(DZ$10&gt;0,N(Reales!DZ69)/DZ$10,0),N(Reales!DZ69)),DZ$243+DZ$246)</f>
        <v>0</v>
      </c>
      <c r="EA255" s="48" t="n">
        <f aca="false">IF(EA$8=1,IF(Reales!$C$69="PYG",IF(EA$10&gt;0,N(Reales!EA69)/EA$10,0),N(Reales!EA69)),EA$243+EA$246)</f>
        <v>0</v>
      </c>
      <c r="EB255" s="48" t="n">
        <f aca="false">IF(EB$8=1,IF(Reales!$C$69="PYG",IF(EB$10&gt;0,N(Reales!EB69)/EB$10,0),N(Reales!EB69)),EB$243+EB$246)</f>
        <v>0</v>
      </c>
      <c r="EC255" s="48" t="n">
        <f aca="false">IF(EC$8=1,IF(Reales!$C$69="PYG",IF(EC$10&gt;0,N(Reales!EC69)/EC$10,0),N(Reales!EC69)),EC$243+EC$246)</f>
        <v>0</v>
      </c>
      <c r="ED255" s="48" t="n">
        <f aca="false">IF(ED$8=1,IF(Reales!$C$69="PYG",IF(ED$10&gt;0,N(Reales!ED69)/ED$10,0),N(Reales!ED69)),ED$243+ED$246)</f>
        <v>0</v>
      </c>
      <c r="EE255" s="48" t="n">
        <f aca="false">IF(EE$8=1,IF(Reales!$C$69="PYG",IF(EE$10&gt;0,N(Reales!EE69)/EE$10,0),N(Reales!EE69)),EE$243+EE$246)</f>
        <v>0</v>
      </c>
      <c r="EF255" s="48" t="n">
        <f aca="false">IF(EF$8=1,IF(Reales!$C$69="PYG",IF(EF$10&gt;0,N(Reales!EF69)/EF$10,0),N(Reales!EF69)),EF$243+EF$246)</f>
        <v>0</v>
      </c>
      <c r="EG255" s="48" t="n">
        <f aca="false">IF(EG$8=1,IF(Reales!$C$69="PYG",IF(EG$10&gt;0,N(Reales!EG69)/EG$10,0),N(Reales!EG69)),EG$243+EG$246)</f>
        <v>0</v>
      </c>
      <c r="EH255" s="48" t="n">
        <f aca="false">IF(EH$8=1,IF(Reales!$C$69="PYG",IF(EH$10&gt;0,N(Reales!EH69)/EH$10,0),N(Reales!EH69)),EH$243+EH$246)</f>
        <v>0</v>
      </c>
      <c r="EI255" s="48" t="n">
        <f aca="false">IF(EI$8=1,IF(Reales!$C$69="PYG",IF(EI$10&gt;0,N(Reales!EI69)/EI$10,0),N(Reales!EI69)),EI$243+EI$246)</f>
        <v>0</v>
      </c>
      <c r="EJ255" s="48" t="n">
        <f aca="false">IF(EJ$8=1,IF(Reales!$C$69="PYG",IF(EJ$10&gt;0,N(Reales!EJ69)/EJ$10,0),N(Reales!EJ69)),EJ$243+EJ$246)</f>
        <v>0</v>
      </c>
      <c r="EK255" s="48" t="n">
        <f aca="false">IF(EK$8=1,IF(Reales!$C$69="PYG",IF(EK$10&gt;0,N(Reales!EK69)/EK$10,0),N(Reales!EK69)),EK$243+EK$246)</f>
        <v>0</v>
      </c>
      <c r="EL255" s="48" t="n">
        <f aca="false">IF(EL$8=1,IF(Reales!$C$69="PYG",IF(EL$10&gt;0,N(Reales!EL69)/EL$10,0),N(Reales!EL69)),EL$243+EL$246)</f>
        <v>0</v>
      </c>
      <c r="EM255" s="48" t="n">
        <f aca="false">IF(EM$8=1,IF(Reales!$C$69="PYG",IF(EM$10&gt;0,N(Reales!EM69)/EM$10,0),N(Reales!EM69)),EM$243+EM$246)</f>
        <v>0</v>
      </c>
      <c r="EN255" s="48" t="n">
        <f aca="false">IF(EN$8=1,IF(Reales!$C$69="PYG",IF(EN$10&gt;0,N(Reales!EN69)/EN$10,0),N(Reales!EN69)),EN$243+EN$246)</f>
        <v>0</v>
      </c>
      <c r="EO255" s="48" t="n">
        <f aca="false">IF(EO$8=1,IF(Reales!$C$69="PYG",IF(EO$10&gt;0,N(Reales!EO69)/EO$10,0),N(Reales!EO69)),EO$243+EO$246)</f>
        <v>0</v>
      </c>
      <c r="EP255" s="48" t="n">
        <f aca="false">IF(EP$8=1,IF(Reales!$C$69="PYG",IF(EP$10&gt;0,N(Reales!EP69)/EP$10,0),N(Reales!EP69)),EP$243+EP$246)</f>
        <v>0</v>
      </c>
      <c r="EQ255" s="48" t="n">
        <f aca="false">IF(EQ$8=1,IF(Reales!$C$69="PYG",IF(EQ$10&gt;0,N(Reales!EQ69)/EQ$10,0),N(Reales!EQ69)),EQ$243+EQ$246)</f>
        <v>0</v>
      </c>
      <c r="ER255" s="48" t="n">
        <f aca="false">IF(ER$8=1,IF(Reales!$C$69="PYG",IF(ER$10&gt;0,N(Reales!ER69)/ER$10,0),N(Reales!ER69)),ER$243+ER$246)</f>
        <v>0</v>
      </c>
      <c r="ES255" s="48" t="n">
        <f aca="false">IF(ES$8=1,IF(Reales!$C$69="PYG",IF(ES$10&gt;0,N(Reales!ES69)/ES$10,0),N(Reales!ES69)),ES$243+ES$246)</f>
        <v>0</v>
      </c>
    </row>
    <row r="256" customFormat="false" ht="15" hidden="false" customHeight="false" outlineLevel="0" collapsed="false">
      <c r="A256" s="11" t="s">
        <v>1377</v>
      </c>
      <c r="B256" s="15" t="s">
        <v>1011</v>
      </c>
      <c r="C256" s="15" t="s">
        <v>508</v>
      </c>
      <c r="E256" s="54" t="n">
        <f aca="false">SUM(F256:ES256)</f>
        <v>812224.477216454</v>
      </c>
      <c r="F256" s="48" t="n">
        <f aca="false">IF(F$8=1,IF(Reales!$C$70="PYG",IF(F$10&gt;0,N(Reales!F70)/F$10,0),N(Reales!F70)),F$241)</f>
        <v>4041.66666666667</v>
      </c>
      <c r="G256" s="48" t="n">
        <f aca="false">IF(G$8=1,IF(Reales!$C$70="PYG",IF(G$10&gt;0,N(Reales!G70)/G$10,0),N(Reales!G70)),G$241)</f>
        <v>4041.66666666667</v>
      </c>
      <c r="H256" s="48" t="n">
        <f aca="false">IF(H$8=1,IF(Reales!$C$70="PYG",IF(H$10&gt;0,N(Reales!H70)/H$10,0),N(Reales!H70)),H$241)</f>
        <v>4041.66666666667</v>
      </c>
      <c r="I256" s="48" t="n">
        <f aca="false">IF(I$8=1,IF(Reales!$C$70="PYG",IF(I$10&gt;0,N(Reales!I70)/I$10,0),N(Reales!I70)),I$241)</f>
        <v>4041.66666666667</v>
      </c>
      <c r="J256" s="48" t="n">
        <f aca="false">IF(J$8=1,IF(Reales!$C$70="PYG",IF(J$10&gt;0,N(Reales!J70)/J$10,0),N(Reales!J70)),J$241)</f>
        <v>4041.66666666667</v>
      </c>
      <c r="K256" s="48" t="n">
        <f aca="false">IF(K$8=1,IF(Reales!$C$70="PYG",IF(K$10&gt;0,N(Reales!K70)/K$10,0),N(Reales!K70)),K$241)</f>
        <v>4041.66666666667</v>
      </c>
      <c r="L256" s="48" t="n">
        <f aca="false">IF(L$8=1,IF(Reales!$C$70="PYG",IF(L$10&gt;0,N(Reales!L70)/L$10,0),N(Reales!L70)),L$241)</f>
        <v>4041.66666666667</v>
      </c>
      <c r="M256" s="48" t="n">
        <f aca="false">IF(M$8=1,IF(Reales!$C$70="PYG",IF(M$10&gt;0,N(Reales!M70)/M$10,0),N(Reales!M70)),M$241)</f>
        <v>4041.66666666667</v>
      </c>
      <c r="N256" s="48" t="n">
        <f aca="false">IF(N$8=1,IF(Reales!$C$70="PYG",IF(N$10&gt;0,N(Reales!N70)/N$10,0),N(Reales!N70)),N$241)</f>
        <v>4041.66666666667</v>
      </c>
      <c r="O256" s="48" t="n">
        <f aca="false">IF(O$8=1,IF(Reales!$C$70="PYG",IF(O$10&gt;0,N(Reales!O70)/O$10,0),N(Reales!O70)),O$241)</f>
        <v>4041.66666666667</v>
      </c>
      <c r="P256" s="48" t="n">
        <f aca="false">IF(P$8=1,IF(Reales!$C$70="PYG",IF(P$10&gt;0,N(Reales!P70)/P$10,0),N(Reales!P70)),P$241)</f>
        <v>4041.66666666667</v>
      </c>
      <c r="Q256" s="48" t="n">
        <f aca="false">IF(Q$8=1,IF(Reales!$C$70="PYG",IF(Q$10&gt;0,N(Reales!Q70)/Q$10,0),N(Reales!Q70)),Q$241)</f>
        <v>4041.66666666667</v>
      </c>
      <c r="R256" s="48" t="n">
        <f aca="false">IF(R$8=1,IF(Reales!$C$70="PYG",IF(R$10&gt;0,N(Reales!R70)/R$10,0),N(Reales!R70)),R$241)</f>
        <v>5151</v>
      </c>
      <c r="S256" s="48" t="n">
        <f aca="false">IF(S$8=1,IF(Reales!$C$70="PYG",IF(S$10&gt;0,N(Reales!S70)/S$10,0),N(Reales!S70)),S$241)</f>
        <v>5151</v>
      </c>
      <c r="T256" s="48" t="n">
        <f aca="false">IF(T$8=1,IF(Reales!$C$70="PYG",IF(T$10&gt;0,N(Reales!T70)/T$10,0),N(Reales!T70)),T$241)</f>
        <v>5151</v>
      </c>
      <c r="U256" s="48" t="n">
        <f aca="false">IF(U$8=1,IF(Reales!$C$70="PYG",IF(U$10&gt;0,N(Reales!U70)/U$10,0),N(Reales!U70)),U$241)</f>
        <v>5151</v>
      </c>
      <c r="V256" s="48" t="n">
        <f aca="false">IF(V$8=1,IF(Reales!$C$70="PYG",IF(V$10&gt;0,N(Reales!V70)/V$10,0),N(Reales!V70)),V$241)</f>
        <v>5151</v>
      </c>
      <c r="W256" s="48" t="n">
        <f aca="false">IF(W$8=1,IF(Reales!$C$70="PYG",IF(W$10&gt;0,N(Reales!W70)/W$10,0),N(Reales!W70)),W$241)</f>
        <v>5151</v>
      </c>
      <c r="X256" s="48" t="n">
        <f aca="false">IF(X$8=1,IF(Reales!$C$70="PYG",IF(X$10&gt;0,N(Reales!X70)/X$10,0),N(Reales!X70)),X$241)</f>
        <v>5151</v>
      </c>
      <c r="Y256" s="48" t="n">
        <f aca="false">IF(Y$8=1,IF(Reales!$C$70="PYG",IF(Y$10&gt;0,N(Reales!Y70)/Y$10,0),N(Reales!Y70)),Y$241)</f>
        <v>5151</v>
      </c>
      <c r="Z256" s="48" t="n">
        <f aca="false">IF(Z$8=1,IF(Reales!$C$70="PYG",IF(Z$10&gt;0,N(Reales!Z70)/Z$10,0),N(Reales!Z70)),Z$241)</f>
        <v>5151</v>
      </c>
      <c r="AA256" s="48" t="n">
        <f aca="false">IF(AA$8=1,IF(Reales!$C$70="PYG",IF(AA$10&gt;0,N(Reales!AA70)/AA$10,0),N(Reales!AA70)),AA$241)</f>
        <v>5151</v>
      </c>
      <c r="AB256" s="48" t="n">
        <f aca="false">IF(AB$8=1,IF(Reales!$C$70="PYG",IF(AB$10&gt;0,N(Reales!AB70)/AB$10,0),N(Reales!AB70)),AB$241)</f>
        <v>5151</v>
      </c>
      <c r="AC256" s="48" t="n">
        <f aca="false">IF(AC$8=1,IF(Reales!$C$70="PYG",IF(AC$10&gt;0,N(Reales!AC70)/AC$10,0),N(Reales!AC70)),AC$241)</f>
        <v>5151</v>
      </c>
      <c r="AD256" s="48" t="n">
        <f aca="false">IF(AD$8=1,IF(Reales!$C$70="PYG",IF(AD$10&gt;0,N(Reales!AD70)/AD$10,0),N(Reales!AD70)),AD$241)</f>
        <v>6282.11583333333</v>
      </c>
      <c r="AE256" s="48" t="n">
        <f aca="false">IF(AE$8=1,IF(Reales!$C$70="PYG",IF(AE$10&gt;0,N(Reales!AE70)/AE$10,0),N(Reales!AE70)),AE$241)</f>
        <v>6282.11583333333</v>
      </c>
      <c r="AF256" s="48" t="n">
        <f aca="false">IF(AF$8=1,IF(Reales!$C$70="PYG",IF(AF$10&gt;0,N(Reales!AF70)/AF$10,0),N(Reales!AF70)),AF$241)</f>
        <v>6282.11583333333</v>
      </c>
      <c r="AG256" s="48" t="n">
        <f aca="false">IF(AG$8=1,IF(Reales!$C$70="PYG",IF(AG$10&gt;0,N(Reales!AG70)/AG$10,0),N(Reales!AG70)),AG$241)</f>
        <v>6282.11583333333</v>
      </c>
      <c r="AH256" s="48" t="n">
        <f aca="false">IF(AH$8=1,IF(Reales!$C$70="PYG",IF(AH$10&gt;0,N(Reales!AH70)/AH$10,0),N(Reales!AH70)),AH$241)</f>
        <v>6282.11583333333</v>
      </c>
      <c r="AI256" s="48" t="n">
        <f aca="false">IF(AI$8=1,IF(Reales!$C$70="PYG",IF(AI$10&gt;0,N(Reales!AI70)/AI$10,0),N(Reales!AI70)),AI$241)</f>
        <v>6282.11583333333</v>
      </c>
      <c r="AJ256" s="48" t="n">
        <f aca="false">IF(AJ$8=1,IF(Reales!$C$70="PYG",IF(AJ$10&gt;0,N(Reales!AJ70)/AJ$10,0),N(Reales!AJ70)),AJ$241)</f>
        <v>6282.11583333333</v>
      </c>
      <c r="AK256" s="48" t="n">
        <f aca="false">IF(AK$8=1,IF(Reales!$C$70="PYG",IF(AK$10&gt;0,N(Reales!AK70)/AK$10,0),N(Reales!AK70)),AK$241)</f>
        <v>6282.11583333333</v>
      </c>
      <c r="AL256" s="48" t="n">
        <f aca="false">IF(AL$8=1,IF(Reales!$C$70="PYG",IF(AL$10&gt;0,N(Reales!AL70)/AL$10,0),N(Reales!AL70)),AL$241)</f>
        <v>6282.11583333333</v>
      </c>
      <c r="AM256" s="48" t="n">
        <f aca="false">IF(AM$8=1,IF(Reales!$C$70="PYG",IF(AM$10&gt;0,N(Reales!AM70)/AM$10,0),N(Reales!AM70)),AM$241)</f>
        <v>6282.11583333333</v>
      </c>
      <c r="AN256" s="48" t="n">
        <f aca="false">IF(AN$8=1,IF(Reales!$C$70="PYG",IF(AN$10&gt;0,N(Reales!AN70)/AN$10,0),N(Reales!AN70)),AN$241)</f>
        <v>6282.11583333333</v>
      </c>
      <c r="AO256" s="48" t="n">
        <f aca="false">IF(AO$8=1,IF(Reales!$C$70="PYG",IF(AO$10&gt;0,N(Reales!AO70)/AO$10,0),N(Reales!AO70)),AO$241)</f>
        <v>6282.11583333333</v>
      </c>
      <c r="AP256" s="48" t="n">
        <f aca="false">IF(AP$8=1,IF(Reales!$C$70="PYG",IF(AP$10&gt;0,N(Reales!AP70)/AP$10,0),N(Reales!AP70)),AP$241)</f>
        <v>7237.864525</v>
      </c>
      <c r="AQ256" s="48" t="n">
        <f aca="false">IF(AQ$8=1,IF(Reales!$C$70="PYG",IF(AQ$10&gt;0,N(Reales!AQ70)/AQ$10,0),N(Reales!AQ70)),AQ$241)</f>
        <v>7237.864525</v>
      </c>
      <c r="AR256" s="48" t="n">
        <f aca="false">IF(AR$8=1,IF(Reales!$C$70="PYG",IF(AR$10&gt;0,N(Reales!AR70)/AR$10,0),N(Reales!AR70)),AR$241)</f>
        <v>7237.864525</v>
      </c>
      <c r="AS256" s="48" t="n">
        <f aca="false">IF(AS$8=1,IF(Reales!$C$70="PYG",IF(AS$10&gt;0,N(Reales!AS70)/AS$10,0),N(Reales!AS70)),AS$241)</f>
        <v>7237.864525</v>
      </c>
      <c r="AT256" s="48" t="n">
        <f aca="false">IF(AT$8=1,IF(Reales!$C$70="PYG",IF(AT$10&gt;0,N(Reales!AT70)/AT$10,0),N(Reales!AT70)),AT$241)</f>
        <v>7237.864525</v>
      </c>
      <c r="AU256" s="48" t="n">
        <f aca="false">IF(AU$8=1,IF(Reales!$C$70="PYG",IF(AU$10&gt;0,N(Reales!AU70)/AU$10,0),N(Reales!AU70)),AU$241)</f>
        <v>7237.864525</v>
      </c>
      <c r="AV256" s="48" t="n">
        <f aca="false">IF(AV$8=1,IF(Reales!$C$70="PYG",IF(AV$10&gt;0,N(Reales!AV70)/AV$10,0),N(Reales!AV70)),AV$241)</f>
        <v>7237.864525</v>
      </c>
      <c r="AW256" s="48" t="n">
        <f aca="false">IF(AW$8=1,IF(Reales!$C$70="PYG",IF(AW$10&gt;0,N(Reales!AW70)/AW$10,0),N(Reales!AW70)),AW$241)</f>
        <v>7237.864525</v>
      </c>
      <c r="AX256" s="48" t="n">
        <f aca="false">IF(AX$8=1,IF(Reales!$C$70="PYG",IF(AX$10&gt;0,N(Reales!AX70)/AX$10,0),N(Reales!AX70)),AX$241)</f>
        <v>7237.864525</v>
      </c>
      <c r="AY256" s="48" t="n">
        <f aca="false">IF(AY$8=1,IF(Reales!$C$70="PYG",IF(AY$10&gt;0,N(Reales!AY70)/AY$10,0),N(Reales!AY70)),AY$241)</f>
        <v>7237.864525</v>
      </c>
      <c r="AZ256" s="48" t="n">
        <f aca="false">IF(AZ$8=1,IF(Reales!$C$70="PYG",IF(AZ$10&gt;0,N(Reales!AZ70)/AZ$10,0),N(Reales!AZ70)),AZ$241)</f>
        <v>7237.864525</v>
      </c>
      <c r="BA256" s="48" t="n">
        <f aca="false">IF(BA$8=1,IF(Reales!$C$70="PYG",IF(BA$10&gt;0,N(Reales!BA70)/BA$10,0),N(Reales!BA70)),BA$241)</f>
        <v>7237.864525</v>
      </c>
      <c r="BB256" s="48" t="n">
        <f aca="false">IF(BB$8=1,IF(Reales!$C$70="PYG",IF(BB$10&gt;0,N(Reales!BB70)/BB$10,0),N(Reales!BB70)),BB$241)</f>
        <v>7310.24317025</v>
      </c>
      <c r="BC256" s="48" t="n">
        <f aca="false">IF(BC$8=1,IF(Reales!$C$70="PYG",IF(BC$10&gt;0,N(Reales!BC70)/BC$10,0),N(Reales!BC70)),BC$241)</f>
        <v>7310.24317025</v>
      </c>
      <c r="BD256" s="48" t="n">
        <f aca="false">IF(BD$8=1,IF(Reales!$C$70="PYG",IF(BD$10&gt;0,N(Reales!BD70)/BD$10,0),N(Reales!BD70)),BD$241)</f>
        <v>7310.24317025</v>
      </c>
      <c r="BE256" s="48" t="n">
        <f aca="false">IF(BE$8=1,IF(Reales!$C$70="PYG",IF(BE$10&gt;0,N(Reales!BE70)/BE$10,0),N(Reales!BE70)),BE$241)</f>
        <v>7310.24317025</v>
      </c>
      <c r="BF256" s="48" t="n">
        <f aca="false">IF(BF$8=1,IF(Reales!$C$70="PYG",IF(BF$10&gt;0,N(Reales!BF70)/BF$10,0),N(Reales!BF70)),BF$241)</f>
        <v>7310.24317025</v>
      </c>
      <c r="BG256" s="48" t="n">
        <f aca="false">IF(BG$8=1,IF(Reales!$C$70="PYG",IF(BG$10&gt;0,N(Reales!BG70)/BG$10,0),N(Reales!BG70)),BG$241)</f>
        <v>7310.24317025</v>
      </c>
      <c r="BH256" s="48" t="n">
        <f aca="false">IF(BH$8=1,IF(Reales!$C$70="PYG",IF(BH$10&gt;0,N(Reales!BH70)/BH$10,0),N(Reales!BH70)),BH$241)</f>
        <v>7310.24317025</v>
      </c>
      <c r="BI256" s="48" t="n">
        <f aca="false">IF(BI$8=1,IF(Reales!$C$70="PYG",IF(BI$10&gt;0,N(Reales!BI70)/BI$10,0),N(Reales!BI70)),BI$241)</f>
        <v>7310.24317025</v>
      </c>
      <c r="BJ256" s="48" t="n">
        <f aca="false">IF(BJ$8=1,IF(Reales!$C$70="PYG",IF(BJ$10&gt;0,N(Reales!BJ70)/BJ$10,0),N(Reales!BJ70)),BJ$241)</f>
        <v>7310.24317025</v>
      </c>
      <c r="BK256" s="48" t="n">
        <f aca="false">IF(BK$8=1,IF(Reales!$C$70="PYG",IF(BK$10&gt;0,N(Reales!BK70)/BK$10,0),N(Reales!BK70)),BK$241)</f>
        <v>7310.24317025</v>
      </c>
      <c r="BL256" s="48" t="n">
        <f aca="false">IF(BL$8=1,IF(Reales!$C$70="PYG",IF(BL$10&gt;0,N(Reales!BL70)/BL$10,0),N(Reales!BL70)),BL$241)</f>
        <v>7310.24317025</v>
      </c>
      <c r="BM256" s="48" t="n">
        <f aca="false">IF(BM$8=1,IF(Reales!$C$70="PYG",IF(BM$10&gt;0,N(Reales!BM70)/BM$10,0),N(Reales!BM70)),BM$241)</f>
        <v>7310.24317025</v>
      </c>
      <c r="BN256" s="48" t="n">
        <f aca="false">IF(BN$8=1,IF(Reales!$C$70="PYG",IF(BN$10&gt;0,N(Reales!BN70)/BN$10,0),N(Reales!BN70)),BN$241)</f>
        <v>7383.3456019525</v>
      </c>
      <c r="BO256" s="48" t="n">
        <f aca="false">IF(BO$8=1,IF(Reales!$C$70="PYG",IF(BO$10&gt;0,N(Reales!BO70)/BO$10,0),N(Reales!BO70)),BO$241)</f>
        <v>7383.3456019525</v>
      </c>
      <c r="BP256" s="48" t="n">
        <f aca="false">IF(BP$8=1,IF(Reales!$C$70="PYG",IF(BP$10&gt;0,N(Reales!BP70)/BP$10,0),N(Reales!BP70)),BP$241)</f>
        <v>7383.3456019525</v>
      </c>
      <c r="BQ256" s="48" t="n">
        <f aca="false">IF(BQ$8=1,IF(Reales!$C$70="PYG",IF(BQ$10&gt;0,N(Reales!BQ70)/BQ$10,0),N(Reales!BQ70)),BQ$241)</f>
        <v>7383.3456019525</v>
      </c>
      <c r="BR256" s="48" t="n">
        <f aca="false">IF(BR$8=1,IF(Reales!$C$70="PYG",IF(BR$10&gt;0,N(Reales!BR70)/BR$10,0),N(Reales!BR70)),BR$241)</f>
        <v>7383.3456019525</v>
      </c>
      <c r="BS256" s="48" t="n">
        <f aca="false">IF(BS$8=1,IF(Reales!$C$70="PYG",IF(BS$10&gt;0,N(Reales!BS70)/BS$10,0),N(Reales!BS70)),BS$241)</f>
        <v>7383.3456019525</v>
      </c>
      <c r="BT256" s="48" t="n">
        <f aca="false">IF(BT$8=1,IF(Reales!$C$70="PYG",IF(BT$10&gt;0,N(Reales!BT70)/BT$10,0),N(Reales!BT70)),BT$241)</f>
        <v>7383.3456019525</v>
      </c>
      <c r="BU256" s="48" t="n">
        <f aca="false">IF(BU$8=1,IF(Reales!$C$70="PYG",IF(BU$10&gt;0,N(Reales!BU70)/BU$10,0),N(Reales!BU70)),BU$241)</f>
        <v>7383.3456019525</v>
      </c>
      <c r="BV256" s="48" t="n">
        <f aca="false">IF(BV$8=1,IF(Reales!$C$70="PYG",IF(BV$10&gt;0,N(Reales!BV70)/BV$10,0),N(Reales!BV70)),BV$241)</f>
        <v>7383.3456019525</v>
      </c>
      <c r="BW256" s="48" t="n">
        <f aca="false">IF(BW$8=1,IF(Reales!$C$70="PYG",IF(BW$10&gt;0,N(Reales!BW70)/BW$10,0),N(Reales!BW70)),BW$241)</f>
        <v>7383.3456019525</v>
      </c>
      <c r="BX256" s="48" t="n">
        <f aca="false">IF(BX$8=1,IF(Reales!$C$70="PYG",IF(BX$10&gt;0,N(Reales!BX70)/BX$10,0),N(Reales!BX70)),BX$241)</f>
        <v>7383.3456019525</v>
      </c>
      <c r="BY256" s="48" t="n">
        <f aca="false">IF(BY$8=1,IF(Reales!$C$70="PYG",IF(BY$10&gt;0,N(Reales!BY70)/BY$10,0),N(Reales!BY70)),BY$241)</f>
        <v>7383.3456019525</v>
      </c>
      <c r="BZ256" s="48" t="n">
        <f aca="false">IF(BZ$8=1,IF(Reales!$C$70="PYG",IF(BZ$10&gt;0,N(Reales!BZ70)/BZ$10,0),N(Reales!BZ70)),BZ$241)</f>
        <v>7457.17905797203</v>
      </c>
      <c r="CA256" s="48" t="n">
        <f aca="false">IF(CA$8=1,IF(Reales!$C$70="PYG",IF(CA$10&gt;0,N(Reales!CA70)/CA$10,0),N(Reales!CA70)),CA$241)</f>
        <v>7457.17905797203</v>
      </c>
      <c r="CB256" s="48" t="n">
        <f aca="false">IF(CB$8=1,IF(Reales!$C$70="PYG",IF(CB$10&gt;0,N(Reales!CB70)/CB$10,0),N(Reales!CB70)),CB$241)</f>
        <v>7457.17905797203</v>
      </c>
      <c r="CC256" s="48" t="n">
        <f aca="false">IF(CC$8=1,IF(Reales!$C$70="PYG",IF(CC$10&gt;0,N(Reales!CC70)/CC$10,0),N(Reales!CC70)),CC$241)</f>
        <v>7457.17905797203</v>
      </c>
      <c r="CD256" s="48" t="n">
        <f aca="false">IF(CD$8=1,IF(Reales!$C$70="PYG",IF(CD$10&gt;0,N(Reales!CD70)/CD$10,0),N(Reales!CD70)),CD$241)</f>
        <v>7457.17905797203</v>
      </c>
      <c r="CE256" s="48" t="n">
        <f aca="false">IF(CE$8=1,IF(Reales!$C$70="PYG",IF(CE$10&gt;0,N(Reales!CE70)/CE$10,0),N(Reales!CE70)),CE$241)</f>
        <v>7457.17905797203</v>
      </c>
      <c r="CF256" s="48" t="n">
        <f aca="false">IF(CF$8=1,IF(Reales!$C$70="PYG",IF(CF$10&gt;0,N(Reales!CF70)/CF$10,0),N(Reales!CF70)),CF$241)</f>
        <v>7457.17905797203</v>
      </c>
      <c r="CG256" s="48" t="n">
        <f aca="false">IF(CG$8=1,IF(Reales!$C$70="PYG",IF(CG$10&gt;0,N(Reales!CG70)/CG$10,0),N(Reales!CG70)),CG$241)</f>
        <v>7457.17905797203</v>
      </c>
      <c r="CH256" s="48" t="n">
        <f aca="false">IF(CH$8=1,IF(Reales!$C$70="PYG",IF(CH$10&gt;0,N(Reales!CH70)/CH$10,0),N(Reales!CH70)),CH$241)</f>
        <v>7457.17905797203</v>
      </c>
      <c r="CI256" s="48" t="n">
        <f aca="false">IF(CI$8=1,IF(Reales!$C$70="PYG",IF(CI$10&gt;0,N(Reales!CI70)/CI$10,0),N(Reales!CI70)),CI$241)</f>
        <v>7457.17905797203</v>
      </c>
      <c r="CJ256" s="48" t="n">
        <f aca="false">IF(CJ$8=1,IF(Reales!$C$70="PYG",IF(CJ$10&gt;0,N(Reales!CJ70)/CJ$10,0),N(Reales!CJ70)),CJ$241)</f>
        <v>7457.17905797203</v>
      </c>
      <c r="CK256" s="48" t="n">
        <f aca="false">IF(CK$8=1,IF(Reales!$C$70="PYG",IF(CK$10&gt;0,N(Reales!CK70)/CK$10,0),N(Reales!CK70)),CK$241)</f>
        <v>7457.17905797203</v>
      </c>
      <c r="CL256" s="48" t="n">
        <f aca="false">IF(CL$8=1,IF(Reales!$C$70="PYG",IF(CL$10&gt;0,N(Reales!CL70)/CL$10,0),N(Reales!CL70)),CL$241)</f>
        <v>7531.75084855175</v>
      </c>
      <c r="CM256" s="48" t="n">
        <f aca="false">IF(CM$8=1,IF(Reales!$C$70="PYG",IF(CM$10&gt;0,N(Reales!CM70)/CM$10,0),N(Reales!CM70)),CM$241)</f>
        <v>7531.75084855175</v>
      </c>
      <c r="CN256" s="48" t="n">
        <f aca="false">IF(CN$8=1,IF(Reales!$C$70="PYG",IF(CN$10&gt;0,N(Reales!CN70)/CN$10,0),N(Reales!CN70)),CN$241)</f>
        <v>7531.75084855175</v>
      </c>
      <c r="CO256" s="48" t="n">
        <f aca="false">IF(CO$8=1,IF(Reales!$C$70="PYG",IF(CO$10&gt;0,N(Reales!CO70)/CO$10,0),N(Reales!CO70)),CO$241)</f>
        <v>7531.75084855175</v>
      </c>
      <c r="CP256" s="48" t="n">
        <f aca="false">IF(CP$8=1,IF(Reales!$C$70="PYG",IF(CP$10&gt;0,N(Reales!CP70)/CP$10,0),N(Reales!CP70)),CP$241)</f>
        <v>7531.75084855175</v>
      </c>
      <c r="CQ256" s="48" t="n">
        <f aca="false">IF(CQ$8=1,IF(Reales!$C$70="PYG",IF(CQ$10&gt;0,N(Reales!CQ70)/CQ$10,0),N(Reales!CQ70)),CQ$241)</f>
        <v>7531.75084855175</v>
      </c>
      <c r="CR256" s="48" t="n">
        <f aca="false">IF(CR$8=1,IF(Reales!$C$70="PYG",IF(CR$10&gt;0,N(Reales!CR70)/CR$10,0),N(Reales!CR70)),CR$241)</f>
        <v>7531.75084855175</v>
      </c>
      <c r="CS256" s="48" t="n">
        <f aca="false">IF(CS$8=1,IF(Reales!$C$70="PYG",IF(CS$10&gt;0,N(Reales!CS70)/CS$10,0),N(Reales!CS70)),CS$241)</f>
        <v>7531.75084855175</v>
      </c>
      <c r="CT256" s="48" t="n">
        <f aca="false">IF(CT$8=1,IF(Reales!$C$70="PYG",IF(CT$10&gt;0,N(Reales!CT70)/CT$10,0),N(Reales!CT70)),CT$241)</f>
        <v>7531.75084855175</v>
      </c>
      <c r="CU256" s="48" t="n">
        <f aca="false">IF(CU$8=1,IF(Reales!$C$70="PYG",IF(CU$10&gt;0,N(Reales!CU70)/CU$10,0),N(Reales!CU70)),CU$241)</f>
        <v>7531.75084855175</v>
      </c>
      <c r="CV256" s="48" t="n">
        <f aca="false">IF(CV$8=1,IF(Reales!$C$70="PYG",IF(CV$10&gt;0,N(Reales!CV70)/CV$10,0),N(Reales!CV70)),CV$241)</f>
        <v>7531.75084855175</v>
      </c>
      <c r="CW256" s="48" t="n">
        <f aca="false">IF(CW$8=1,IF(Reales!$C$70="PYG",IF(CW$10&gt;0,N(Reales!CW70)/CW$10,0),N(Reales!CW70)),CW$241)</f>
        <v>7531.75084855175</v>
      </c>
      <c r="CX256" s="48" t="n">
        <f aca="false">IF(CX$8=1,IF(Reales!$C$70="PYG",IF(CX$10&gt;0,N(Reales!CX70)/CX$10,0),N(Reales!CX70)),CX$241)</f>
        <v>7607.06835703726</v>
      </c>
      <c r="CY256" s="48" t="n">
        <f aca="false">IF(CY$8=1,IF(Reales!$C$70="PYG",IF(CY$10&gt;0,N(Reales!CY70)/CY$10,0),N(Reales!CY70)),CY$241)</f>
        <v>7607.06835703726</v>
      </c>
      <c r="CZ256" s="48" t="n">
        <f aca="false">IF(CZ$8=1,IF(Reales!$C$70="PYG",IF(CZ$10&gt;0,N(Reales!CZ70)/CZ$10,0),N(Reales!CZ70)),CZ$241)</f>
        <v>7607.06835703726</v>
      </c>
      <c r="DA256" s="48" t="n">
        <f aca="false">IF(DA$8=1,IF(Reales!$C$70="PYG",IF(DA$10&gt;0,N(Reales!DA70)/DA$10,0),N(Reales!DA70)),DA$241)</f>
        <v>7607.06835703726</v>
      </c>
      <c r="DB256" s="48" t="n">
        <f aca="false">IF(DB$8=1,IF(Reales!$C$70="PYG",IF(DB$10&gt;0,N(Reales!DB70)/DB$10,0),N(Reales!DB70)),DB$241)</f>
        <v>7607.06835703726</v>
      </c>
      <c r="DC256" s="48" t="n">
        <f aca="false">IF(DC$8=1,IF(Reales!$C$70="PYG",IF(DC$10&gt;0,N(Reales!DC70)/DC$10,0),N(Reales!DC70)),DC$241)</f>
        <v>7607.06835703726</v>
      </c>
      <c r="DD256" s="48" t="n">
        <f aca="false">IF(DD$8=1,IF(Reales!$C$70="PYG",IF(DD$10&gt;0,N(Reales!DD70)/DD$10,0),N(Reales!DD70)),DD$241)</f>
        <v>7607.06835703726</v>
      </c>
      <c r="DE256" s="48" t="n">
        <f aca="false">IF(DE$8=1,IF(Reales!$C$70="PYG",IF(DE$10&gt;0,N(Reales!DE70)/DE$10,0),N(Reales!DE70)),DE$241)</f>
        <v>7607.06835703726</v>
      </c>
      <c r="DF256" s="48" t="n">
        <f aca="false">IF(DF$8=1,IF(Reales!$C$70="PYG",IF(DF$10&gt;0,N(Reales!DF70)/DF$10,0),N(Reales!DF70)),DF$241)</f>
        <v>7607.06835703726</v>
      </c>
      <c r="DG256" s="48" t="n">
        <f aca="false">IF(DG$8=1,IF(Reales!$C$70="PYG",IF(DG$10&gt;0,N(Reales!DG70)/DG$10,0),N(Reales!DG70)),DG$241)</f>
        <v>7607.06835703726</v>
      </c>
      <c r="DH256" s="48" t="n">
        <f aca="false">IF(DH$8=1,IF(Reales!$C$70="PYG",IF(DH$10&gt;0,N(Reales!DH70)/DH$10,0),N(Reales!DH70)),DH$241)</f>
        <v>7607.06835703726</v>
      </c>
      <c r="DI256" s="48" t="n">
        <f aca="false">IF(DI$8=1,IF(Reales!$C$70="PYG",IF(DI$10&gt;0,N(Reales!DI70)/DI$10,0),N(Reales!DI70)),DI$241)</f>
        <v>7607.06835703726</v>
      </c>
      <c r="DJ256" s="48" t="n">
        <f aca="false">IF(DJ$8=1,IF(Reales!$C$70="PYG",IF(DJ$10&gt;0,N(Reales!DJ70)/DJ$10,0),N(Reales!DJ70)),DJ$241)</f>
        <v>7683.13904060764</v>
      </c>
      <c r="DK256" s="48" t="n">
        <f aca="false">IF(DK$8=1,IF(Reales!$C$70="PYG",IF(DK$10&gt;0,N(Reales!DK70)/DK$10,0),N(Reales!DK70)),DK$241)</f>
        <v>7683.13904060764</v>
      </c>
      <c r="DL256" s="48" t="n">
        <f aca="false">IF(DL$8=1,IF(Reales!$C$70="PYG",IF(DL$10&gt;0,N(Reales!DL70)/DL$10,0),N(Reales!DL70)),DL$241)</f>
        <v>7683.13904060764</v>
      </c>
      <c r="DM256" s="48" t="n">
        <f aca="false">IF(DM$8=1,IF(Reales!$C$70="PYG",IF(DM$10&gt;0,N(Reales!DM70)/DM$10,0),N(Reales!DM70)),DM$241)</f>
        <v>7683.13904060764</v>
      </c>
      <c r="DN256" s="48" t="n">
        <f aca="false">IF(DN$8=1,IF(Reales!$C$70="PYG",IF(DN$10&gt;0,N(Reales!DN70)/DN$10,0),N(Reales!DN70)),DN$241)</f>
        <v>7683.13904060764</v>
      </c>
      <c r="DO256" s="48" t="n">
        <f aca="false">IF(DO$8=1,IF(Reales!$C$70="PYG",IF(DO$10&gt;0,N(Reales!DO70)/DO$10,0),N(Reales!DO70)),DO$241)</f>
        <v>7683.13904060764</v>
      </c>
      <c r="DP256" s="48" t="n">
        <f aca="false">IF(DP$8=1,IF(Reales!$C$70="PYG",IF(DP$10&gt;0,N(Reales!DP70)/DP$10,0),N(Reales!DP70)),DP$241)</f>
        <v>7683.13904060764</v>
      </c>
      <c r="DQ256" s="48" t="n">
        <f aca="false">IF(DQ$8=1,IF(Reales!$C$70="PYG",IF(DQ$10&gt;0,N(Reales!DQ70)/DQ$10,0),N(Reales!DQ70)),DQ$241)</f>
        <v>7683.13904060764</v>
      </c>
      <c r="DR256" s="48" t="n">
        <f aca="false">IF(DR$8=1,IF(Reales!$C$70="PYG",IF(DR$10&gt;0,N(Reales!DR70)/DR$10,0),N(Reales!DR70)),DR$241)</f>
        <v>7683.13904060764</v>
      </c>
      <c r="DS256" s="48" t="n">
        <f aca="false">IF(DS$8=1,IF(Reales!$C$70="PYG",IF(DS$10&gt;0,N(Reales!DS70)/DS$10,0),N(Reales!DS70)),DS$241)</f>
        <v>7683.13904060764</v>
      </c>
      <c r="DT256" s="48" t="n">
        <f aca="false">IF(DT$8=1,IF(Reales!$C$70="PYG",IF(DT$10&gt;0,N(Reales!DT70)/DT$10,0),N(Reales!DT70)),DT$241)</f>
        <v>7683.13904060764</v>
      </c>
      <c r="DU256" s="48" t="n">
        <f aca="false">IF(DU$8=1,IF(Reales!$C$70="PYG",IF(DU$10&gt;0,N(Reales!DU70)/DU$10,0),N(Reales!DU70)),DU$241)</f>
        <v>7683.13904060764</v>
      </c>
      <c r="DV256" s="48" t="n">
        <f aca="false">IF(DV$8=1,IF(Reales!$C$70="PYG",IF(DV$10&gt;0,N(Reales!DV70)/DV$10,0),N(Reales!DV70)),DV$241)</f>
        <v>0</v>
      </c>
      <c r="DW256" s="48" t="n">
        <f aca="false">IF(DW$8=1,IF(Reales!$C$70="PYG",IF(DW$10&gt;0,N(Reales!DW70)/DW$10,0),N(Reales!DW70)),DW$241)</f>
        <v>0</v>
      </c>
      <c r="DX256" s="48" t="n">
        <f aca="false">IF(DX$8=1,IF(Reales!$C$70="PYG",IF(DX$10&gt;0,N(Reales!DX70)/DX$10,0),N(Reales!DX70)),DX$241)</f>
        <v>0</v>
      </c>
      <c r="DY256" s="48" t="n">
        <f aca="false">IF(DY$8=1,IF(Reales!$C$70="PYG",IF(DY$10&gt;0,N(Reales!DY70)/DY$10,0),N(Reales!DY70)),DY$241)</f>
        <v>0</v>
      </c>
      <c r="DZ256" s="48" t="n">
        <f aca="false">IF(DZ$8=1,IF(Reales!$C$70="PYG",IF(DZ$10&gt;0,N(Reales!DZ70)/DZ$10,0),N(Reales!DZ70)),DZ$241)</f>
        <v>0</v>
      </c>
      <c r="EA256" s="48" t="n">
        <f aca="false">IF(EA$8=1,IF(Reales!$C$70="PYG",IF(EA$10&gt;0,N(Reales!EA70)/EA$10,0),N(Reales!EA70)),EA$241)</f>
        <v>0</v>
      </c>
      <c r="EB256" s="48" t="n">
        <f aca="false">IF(EB$8=1,IF(Reales!$C$70="PYG",IF(EB$10&gt;0,N(Reales!EB70)/EB$10,0),N(Reales!EB70)),EB$241)</f>
        <v>0</v>
      </c>
      <c r="EC256" s="48" t="n">
        <f aca="false">IF(EC$8=1,IF(Reales!$C$70="PYG",IF(EC$10&gt;0,N(Reales!EC70)/EC$10,0),N(Reales!EC70)),EC$241)</f>
        <v>0</v>
      </c>
      <c r="ED256" s="48" t="n">
        <f aca="false">IF(ED$8=1,IF(Reales!$C$70="PYG",IF(ED$10&gt;0,N(Reales!ED70)/ED$10,0),N(Reales!ED70)),ED$241)</f>
        <v>0</v>
      </c>
      <c r="EE256" s="48" t="n">
        <f aca="false">IF(EE$8=1,IF(Reales!$C$70="PYG",IF(EE$10&gt;0,N(Reales!EE70)/EE$10,0),N(Reales!EE70)),EE$241)</f>
        <v>0</v>
      </c>
      <c r="EF256" s="48" t="n">
        <f aca="false">IF(EF$8=1,IF(Reales!$C$70="PYG",IF(EF$10&gt;0,N(Reales!EF70)/EF$10,0),N(Reales!EF70)),EF$241)</f>
        <v>0</v>
      </c>
      <c r="EG256" s="48" t="n">
        <f aca="false">IF(EG$8=1,IF(Reales!$C$70="PYG",IF(EG$10&gt;0,N(Reales!EG70)/EG$10,0),N(Reales!EG70)),EG$241)</f>
        <v>0</v>
      </c>
      <c r="EH256" s="48" t="n">
        <f aca="false">IF(EH$8=1,IF(Reales!$C$70="PYG",IF(EH$10&gt;0,N(Reales!EH70)/EH$10,0),N(Reales!EH70)),EH$241)</f>
        <v>0</v>
      </c>
      <c r="EI256" s="48" t="n">
        <f aca="false">IF(EI$8=1,IF(Reales!$C$70="PYG",IF(EI$10&gt;0,N(Reales!EI70)/EI$10,0),N(Reales!EI70)),EI$241)</f>
        <v>0</v>
      </c>
      <c r="EJ256" s="48" t="n">
        <f aca="false">IF(EJ$8=1,IF(Reales!$C$70="PYG",IF(EJ$10&gt;0,N(Reales!EJ70)/EJ$10,0),N(Reales!EJ70)),EJ$241)</f>
        <v>0</v>
      </c>
      <c r="EK256" s="48" t="n">
        <f aca="false">IF(EK$8=1,IF(Reales!$C$70="PYG",IF(EK$10&gt;0,N(Reales!EK70)/EK$10,0),N(Reales!EK70)),EK$241)</f>
        <v>0</v>
      </c>
      <c r="EL256" s="48" t="n">
        <f aca="false">IF(EL$8=1,IF(Reales!$C$70="PYG",IF(EL$10&gt;0,N(Reales!EL70)/EL$10,0),N(Reales!EL70)),EL$241)</f>
        <v>0</v>
      </c>
      <c r="EM256" s="48" t="n">
        <f aca="false">IF(EM$8=1,IF(Reales!$C$70="PYG",IF(EM$10&gt;0,N(Reales!EM70)/EM$10,0),N(Reales!EM70)),EM$241)</f>
        <v>0</v>
      </c>
      <c r="EN256" s="48" t="n">
        <f aca="false">IF(EN$8=1,IF(Reales!$C$70="PYG",IF(EN$10&gt;0,N(Reales!EN70)/EN$10,0),N(Reales!EN70)),EN$241)</f>
        <v>0</v>
      </c>
      <c r="EO256" s="48" t="n">
        <f aca="false">IF(EO$8=1,IF(Reales!$C$70="PYG",IF(EO$10&gt;0,N(Reales!EO70)/EO$10,0),N(Reales!EO70)),EO$241)</f>
        <v>0</v>
      </c>
      <c r="EP256" s="48" t="n">
        <f aca="false">IF(EP$8=1,IF(Reales!$C$70="PYG",IF(EP$10&gt;0,N(Reales!EP70)/EP$10,0),N(Reales!EP70)),EP$241)</f>
        <v>0</v>
      </c>
      <c r="EQ256" s="48" t="n">
        <f aca="false">IF(EQ$8=1,IF(Reales!$C$70="PYG",IF(EQ$10&gt;0,N(Reales!EQ70)/EQ$10,0),N(Reales!EQ70)),EQ$241)</f>
        <v>0</v>
      </c>
      <c r="ER256" s="48" t="n">
        <f aca="false">IF(ER$8=1,IF(Reales!$C$70="PYG",IF(ER$10&gt;0,N(Reales!ER70)/ER$10,0),N(Reales!ER70)),ER$241)</f>
        <v>0</v>
      </c>
      <c r="ES256" s="48" t="n">
        <f aca="false">IF(ES$8=1,IF(Reales!$C$70="PYG",IF(ES$10&gt;0,N(Reales!ES70)/ES$10,0),N(Reales!ES70)),ES$241)</f>
        <v>0</v>
      </c>
    </row>
    <row r="257" customFormat="false" ht="15" hidden="false" customHeight="false" outlineLevel="0" collapsed="false">
      <c r="A257" s="11" t="s">
        <v>1378</v>
      </c>
      <c r="B257" s="15" t="s">
        <v>1173</v>
      </c>
      <c r="C257" s="15" t="s">
        <v>508</v>
      </c>
      <c r="E257" s="54" t="n">
        <f aca="false">SUM(F257:ES257)</f>
        <v>0</v>
      </c>
      <c r="F257" s="48" t="n">
        <f aca="false">IF(F$8=1,0,F$247*V_IVArec)</f>
        <v>0</v>
      </c>
      <c r="G257" s="48" t="n">
        <f aca="false">IF(G$8=1,0,G$247*V_IVArec)</f>
        <v>0</v>
      </c>
      <c r="H257" s="48" t="n">
        <f aca="false">IF(H$8=1,0,H$247*V_IVArec)</f>
        <v>0</v>
      </c>
      <c r="I257" s="48" t="n">
        <f aca="false">IF(I$8=1,0,I$247*V_IVArec)</f>
        <v>0</v>
      </c>
      <c r="J257" s="48" t="n">
        <f aca="false">IF(J$8=1,0,J$247*V_IVArec)</f>
        <v>0</v>
      </c>
      <c r="K257" s="48" t="n">
        <f aca="false">IF(K$8=1,0,K$247*V_IVArec)</f>
        <v>0</v>
      </c>
      <c r="L257" s="48" t="n">
        <f aca="false">IF(L$8=1,0,L$247*V_IVArec)</f>
        <v>0</v>
      </c>
      <c r="M257" s="48" t="n">
        <f aca="false">IF(M$8=1,0,M$247*V_IVArec)</f>
        <v>0</v>
      </c>
      <c r="N257" s="48" t="n">
        <f aca="false">IF(N$8=1,0,N$247*V_IVArec)</f>
        <v>0</v>
      </c>
      <c r="O257" s="48" t="n">
        <f aca="false">IF(O$8=1,0,O$247*V_IVArec)</f>
        <v>0</v>
      </c>
      <c r="P257" s="48" t="n">
        <f aca="false">IF(P$8=1,0,P$247*V_IVArec)</f>
        <v>0</v>
      </c>
      <c r="Q257" s="48" t="n">
        <f aca="false">IF(Q$8=1,0,Q$247*V_IVArec)</f>
        <v>0</v>
      </c>
      <c r="R257" s="48" t="n">
        <f aca="false">IF(R$8=1,0,R$247*V_IVArec)</f>
        <v>0</v>
      </c>
      <c r="S257" s="48" t="n">
        <f aca="false">IF(S$8=1,0,S$247*V_IVArec)</f>
        <v>0</v>
      </c>
      <c r="T257" s="48" t="n">
        <f aca="false">IF(T$8=1,0,T$247*V_IVArec)</f>
        <v>0</v>
      </c>
      <c r="U257" s="48" t="n">
        <f aca="false">IF(U$8=1,0,U$247*V_IVArec)</f>
        <v>0</v>
      </c>
      <c r="V257" s="48" t="n">
        <f aca="false">IF(V$8=1,0,V$247*V_IVArec)</f>
        <v>0</v>
      </c>
      <c r="W257" s="48" t="n">
        <f aca="false">IF(W$8=1,0,W$247*V_IVArec)</f>
        <v>0</v>
      </c>
      <c r="X257" s="48" t="n">
        <f aca="false">IF(X$8=1,0,X$247*V_IVArec)</f>
        <v>0</v>
      </c>
      <c r="Y257" s="48" t="n">
        <f aca="false">IF(Y$8=1,0,Y$247*V_IVArec)</f>
        <v>0</v>
      </c>
      <c r="Z257" s="48" t="n">
        <f aca="false">IF(Z$8=1,0,Z$247*V_IVArec)</f>
        <v>0</v>
      </c>
      <c r="AA257" s="48" t="n">
        <f aca="false">IF(AA$8=1,0,AA$247*V_IVArec)</f>
        <v>0</v>
      </c>
      <c r="AB257" s="48" t="n">
        <f aca="false">IF(AB$8=1,0,AB$247*V_IVArec)</f>
        <v>0</v>
      </c>
      <c r="AC257" s="48" t="n">
        <f aca="false">IF(AC$8=1,0,AC$247*V_IVArec)</f>
        <v>0</v>
      </c>
      <c r="AD257" s="48" t="n">
        <f aca="false">IF(AD$8=1,0,AD$247*V_IVArec)</f>
        <v>0</v>
      </c>
      <c r="AE257" s="48" t="n">
        <f aca="false">IF(AE$8=1,0,AE$247*V_IVArec)</f>
        <v>0</v>
      </c>
      <c r="AF257" s="48" t="n">
        <f aca="false">IF(AF$8=1,0,AF$247*V_IVArec)</f>
        <v>0</v>
      </c>
      <c r="AG257" s="48" t="n">
        <f aca="false">IF(AG$8=1,0,AG$247*V_IVArec)</f>
        <v>0</v>
      </c>
      <c r="AH257" s="48" t="n">
        <f aca="false">IF(AH$8=1,0,AH$247*V_IVArec)</f>
        <v>0</v>
      </c>
      <c r="AI257" s="48" t="n">
        <f aca="false">IF(AI$8=1,0,AI$247*V_IVArec)</f>
        <v>0</v>
      </c>
      <c r="AJ257" s="48" t="n">
        <f aca="false">IF(AJ$8=1,0,AJ$247*V_IVArec)</f>
        <v>0</v>
      </c>
      <c r="AK257" s="48" t="n">
        <f aca="false">IF(AK$8=1,0,AK$247*V_IVArec)</f>
        <v>0</v>
      </c>
      <c r="AL257" s="48" t="n">
        <f aca="false">IF(AL$8=1,0,AL$247*V_IVArec)</f>
        <v>0</v>
      </c>
      <c r="AM257" s="48" t="n">
        <f aca="false">IF(AM$8=1,0,AM$247*V_IVArec)</f>
        <v>0</v>
      </c>
      <c r="AN257" s="48" t="n">
        <f aca="false">IF(AN$8=1,0,AN$247*V_IVArec)</f>
        <v>0</v>
      </c>
      <c r="AO257" s="48" t="n">
        <f aca="false">IF(AO$8=1,0,AO$247*V_IVArec)</f>
        <v>0</v>
      </c>
      <c r="AP257" s="48" t="n">
        <f aca="false">IF(AP$8=1,0,AP$247*V_IVArec)</f>
        <v>0</v>
      </c>
      <c r="AQ257" s="48" t="n">
        <f aca="false">IF(AQ$8=1,0,AQ$247*V_IVArec)</f>
        <v>0</v>
      </c>
      <c r="AR257" s="48" t="n">
        <f aca="false">IF(AR$8=1,0,AR$247*V_IVArec)</f>
        <v>0</v>
      </c>
      <c r="AS257" s="48" t="n">
        <f aca="false">IF(AS$8=1,0,AS$247*V_IVArec)</f>
        <v>0</v>
      </c>
      <c r="AT257" s="48" t="n">
        <f aca="false">IF(AT$8=1,0,AT$247*V_IVArec)</f>
        <v>0</v>
      </c>
      <c r="AU257" s="48" t="n">
        <f aca="false">IF(AU$8=1,0,AU$247*V_IVArec)</f>
        <v>0</v>
      </c>
      <c r="AV257" s="48" t="n">
        <f aca="false">IF(AV$8=1,0,AV$247*V_IVArec)</f>
        <v>0</v>
      </c>
      <c r="AW257" s="48" t="n">
        <f aca="false">IF(AW$8=1,0,AW$247*V_IVArec)</f>
        <v>0</v>
      </c>
      <c r="AX257" s="48" t="n">
        <f aca="false">IF(AX$8=1,0,AX$247*V_IVArec)</f>
        <v>0</v>
      </c>
      <c r="AY257" s="48" t="n">
        <f aca="false">IF(AY$8=1,0,AY$247*V_IVArec)</f>
        <v>0</v>
      </c>
      <c r="AZ257" s="48" t="n">
        <f aca="false">IF(AZ$8=1,0,AZ$247*V_IVArec)</f>
        <v>0</v>
      </c>
      <c r="BA257" s="48" t="n">
        <f aca="false">IF(BA$8=1,0,BA$247*V_IVArec)</f>
        <v>0</v>
      </c>
      <c r="BB257" s="48" t="n">
        <f aca="false">IF(BB$8=1,0,BB$247*V_IVArec)</f>
        <v>0</v>
      </c>
      <c r="BC257" s="48" t="n">
        <f aca="false">IF(BC$8=1,0,BC$247*V_IVArec)</f>
        <v>0</v>
      </c>
      <c r="BD257" s="48" t="n">
        <f aca="false">IF(BD$8=1,0,BD$247*V_IVArec)</f>
        <v>0</v>
      </c>
      <c r="BE257" s="48" t="n">
        <f aca="false">IF(BE$8=1,0,BE$247*V_IVArec)</f>
        <v>0</v>
      </c>
      <c r="BF257" s="48" t="n">
        <f aca="false">IF(BF$8=1,0,BF$247*V_IVArec)</f>
        <v>0</v>
      </c>
      <c r="BG257" s="48" t="n">
        <f aca="false">IF(BG$8=1,0,BG$247*V_IVArec)</f>
        <v>0</v>
      </c>
      <c r="BH257" s="48" t="n">
        <f aca="false">IF(BH$8=1,0,BH$247*V_IVArec)</f>
        <v>0</v>
      </c>
      <c r="BI257" s="48" t="n">
        <f aca="false">IF(BI$8=1,0,BI$247*V_IVArec)</f>
        <v>0</v>
      </c>
      <c r="BJ257" s="48" t="n">
        <f aca="false">IF(BJ$8=1,0,BJ$247*V_IVArec)</f>
        <v>0</v>
      </c>
      <c r="BK257" s="48" t="n">
        <f aca="false">IF(BK$8=1,0,BK$247*V_IVArec)</f>
        <v>0</v>
      </c>
      <c r="BL257" s="48" t="n">
        <f aca="false">IF(BL$8=1,0,BL$247*V_IVArec)</f>
        <v>0</v>
      </c>
      <c r="BM257" s="48" t="n">
        <f aca="false">IF(BM$8=1,0,BM$247*V_IVArec)</f>
        <v>0</v>
      </c>
      <c r="BN257" s="48" t="n">
        <f aca="false">IF(BN$8=1,0,BN$247*V_IVArec)</f>
        <v>0</v>
      </c>
      <c r="BO257" s="48" t="n">
        <f aca="false">IF(BO$8=1,0,BO$247*V_IVArec)</f>
        <v>0</v>
      </c>
      <c r="BP257" s="48" t="n">
        <f aca="false">IF(BP$8=1,0,BP$247*V_IVArec)</f>
        <v>0</v>
      </c>
      <c r="BQ257" s="48" t="n">
        <f aca="false">IF(BQ$8=1,0,BQ$247*V_IVArec)</f>
        <v>0</v>
      </c>
      <c r="BR257" s="48" t="n">
        <f aca="false">IF(BR$8=1,0,BR$247*V_IVArec)</f>
        <v>0</v>
      </c>
      <c r="BS257" s="48" t="n">
        <f aca="false">IF(BS$8=1,0,BS$247*V_IVArec)</f>
        <v>0</v>
      </c>
      <c r="BT257" s="48" t="n">
        <f aca="false">IF(BT$8=1,0,BT$247*V_IVArec)</f>
        <v>0</v>
      </c>
      <c r="BU257" s="48" t="n">
        <f aca="false">IF(BU$8=1,0,BU$247*V_IVArec)</f>
        <v>0</v>
      </c>
      <c r="BV257" s="48" t="n">
        <f aca="false">IF(BV$8=1,0,BV$247*V_IVArec)</f>
        <v>0</v>
      </c>
      <c r="BW257" s="48" t="n">
        <f aca="false">IF(BW$8=1,0,BW$247*V_IVArec)</f>
        <v>0</v>
      </c>
      <c r="BX257" s="48" t="n">
        <f aca="false">IF(BX$8=1,0,BX$247*V_IVArec)</f>
        <v>0</v>
      </c>
      <c r="BY257" s="48" t="n">
        <f aca="false">IF(BY$8=1,0,BY$247*V_IVArec)</f>
        <v>0</v>
      </c>
      <c r="BZ257" s="48" t="n">
        <f aca="false">IF(BZ$8=1,0,BZ$247*V_IVArec)</f>
        <v>0</v>
      </c>
      <c r="CA257" s="48" t="n">
        <f aca="false">IF(CA$8=1,0,CA$247*V_IVArec)</f>
        <v>0</v>
      </c>
      <c r="CB257" s="48" t="n">
        <f aca="false">IF(CB$8=1,0,CB$247*V_IVArec)</f>
        <v>0</v>
      </c>
      <c r="CC257" s="48" t="n">
        <f aca="false">IF(CC$8=1,0,CC$247*V_IVArec)</f>
        <v>0</v>
      </c>
      <c r="CD257" s="48" t="n">
        <f aca="false">IF(CD$8=1,0,CD$247*V_IVArec)</f>
        <v>0</v>
      </c>
      <c r="CE257" s="48" t="n">
        <f aca="false">IF(CE$8=1,0,CE$247*V_IVArec)</f>
        <v>0</v>
      </c>
      <c r="CF257" s="48" t="n">
        <f aca="false">IF(CF$8=1,0,CF$247*V_IVArec)</f>
        <v>0</v>
      </c>
      <c r="CG257" s="48" t="n">
        <f aca="false">IF(CG$8=1,0,CG$247*V_IVArec)</f>
        <v>0</v>
      </c>
      <c r="CH257" s="48" t="n">
        <f aca="false">IF(CH$8=1,0,CH$247*V_IVArec)</f>
        <v>0</v>
      </c>
      <c r="CI257" s="48" t="n">
        <f aca="false">IF(CI$8=1,0,CI$247*V_IVArec)</f>
        <v>0</v>
      </c>
      <c r="CJ257" s="48" t="n">
        <f aca="false">IF(CJ$8=1,0,CJ$247*V_IVArec)</f>
        <v>0</v>
      </c>
      <c r="CK257" s="48" t="n">
        <f aca="false">IF(CK$8=1,0,CK$247*V_IVArec)</f>
        <v>0</v>
      </c>
      <c r="CL257" s="48" t="n">
        <f aca="false">IF(CL$8=1,0,CL$247*V_IVArec)</f>
        <v>0</v>
      </c>
      <c r="CM257" s="48" t="n">
        <f aca="false">IF(CM$8=1,0,CM$247*V_IVArec)</f>
        <v>0</v>
      </c>
      <c r="CN257" s="48" t="n">
        <f aca="false">IF(CN$8=1,0,CN$247*V_IVArec)</f>
        <v>0</v>
      </c>
      <c r="CO257" s="48" t="n">
        <f aca="false">IF(CO$8=1,0,CO$247*V_IVArec)</f>
        <v>0</v>
      </c>
      <c r="CP257" s="48" t="n">
        <f aca="false">IF(CP$8=1,0,CP$247*V_IVArec)</f>
        <v>0</v>
      </c>
      <c r="CQ257" s="48" t="n">
        <f aca="false">IF(CQ$8=1,0,CQ$247*V_IVArec)</f>
        <v>0</v>
      </c>
      <c r="CR257" s="48" t="n">
        <f aca="false">IF(CR$8=1,0,CR$247*V_IVArec)</f>
        <v>0</v>
      </c>
      <c r="CS257" s="48" t="n">
        <f aca="false">IF(CS$8=1,0,CS$247*V_IVArec)</f>
        <v>0</v>
      </c>
      <c r="CT257" s="48" t="n">
        <f aca="false">IF(CT$8=1,0,CT$247*V_IVArec)</f>
        <v>0</v>
      </c>
      <c r="CU257" s="48" t="n">
        <f aca="false">IF(CU$8=1,0,CU$247*V_IVArec)</f>
        <v>0</v>
      </c>
      <c r="CV257" s="48" t="n">
        <f aca="false">IF(CV$8=1,0,CV$247*V_IVArec)</f>
        <v>0</v>
      </c>
      <c r="CW257" s="48" t="n">
        <f aca="false">IF(CW$8=1,0,CW$247*V_IVArec)</f>
        <v>0</v>
      </c>
      <c r="CX257" s="48" t="n">
        <f aca="false">IF(CX$8=1,0,CX$247*V_IVArec)</f>
        <v>0</v>
      </c>
      <c r="CY257" s="48" t="n">
        <f aca="false">IF(CY$8=1,0,CY$247*V_IVArec)</f>
        <v>0</v>
      </c>
      <c r="CZ257" s="48" t="n">
        <f aca="false">IF(CZ$8=1,0,CZ$247*V_IVArec)</f>
        <v>0</v>
      </c>
      <c r="DA257" s="48" t="n">
        <f aca="false">IF(DA$8=1,0,DA$247*V_IVArec)</f>
        <v>0</v>
      </c>
      <c r="DB257" s="48" t="n">
        <f aca="false">IF(DB$8=1,0,DB$247*V_IVArec)</f>
        <v>0</v>
      </c>
      <c r="DC257" s="48" t="n">
        <f aca="false">IF(DC$8=1,0,DC$247*V_IVArec)</f>
        <v>0</v>
      </c>
      <c r="DD257" s="48" t="n">
        <f aca="false">IF(DD$8=1,0,DD$247*V_IVArec)</f>
        <v>0</v>
      </c>
      <c r="DE257" s="48" t="n">
        <f aca="false">IF(DE$8=1,0,DE$247*V_IVArec)</f>
        <v>0</v>
      </c>
      <c r="DF257" s="48" t="n">
        <f aca="false">IF(DF$8=1,0,DF$247*V_IVArec)</f>
        <v>0</v>
      </c>
      <c r="DG257" s="48" t="n">
        <f aca="false">IF(DG$8=1,0,DG$247*V_IVArec)</f>
        <v>0</v>
      </c>
      <c r="DH257" s="48" t="n">
        <f aca="false">IF(DH$8=1,0,DH$247*V_IVArec)</f>
        <v>0</v>
      </c>
      <c r="DI257" s="48" t="n">
        <f aca="false">IF(DI$8=1,0,DI$247*V_IVArec)</f>
        <v>0</v>
      </c>
      <c r="DJ257" s="48" t="n">
        <f aca="false">IF(DJ$8=1,0,DJ$247*V_IVArec)</f>
        <v>0</v>
      </c>
      <c r="DK257" s="48" t="n">
        <f aca="false">IF(DK$8=1,0,DK$247*V_IVArec)</f>
        <v>0</v>
      </c>
      <c r="DL257" s="48" t="n">
        <f aca="false">IF(DL$8=1,0,DL$247*V_IVArec)</f>
        <v>0</v>
      </c>
      <c r="DM257" s="48" t="n">
        <f aca="false">IF(DM$8=1,0,DM$247*V_IVArec)</f>
        <v>0</v>
      </c>
      <c r="DN257" s="48" t="n">
        <f aca="false">IF(DN$8=1,0,DN$247*V_IVArec)</f>
        <v>0</v>
      </c>
      <c r="DO257" s="48" t="n">
        <f aca="false">IF(DO$8=1,0,DO$247*V_IVArec)</f>
        <v>0</v>
      </c>
      <c r="DP257" s="48" t="n">
        <f aca="false">IF(DP$8=1,0,DP$247*V_IVArec)</f>
        <v>0</v>
      </c>
      <c r="DQ257" s="48" t="n">
        <f aca="false">IF(DQ$8=1,0,DQ$247*V_IVArec)</f>
        <v>0</v>
      </c>
      <c r="DR257" s="48" t="n">
        <f aca="false">IF(DR$8=1,0,DR$247*V_IVArec)</f>
        <v>0</v>
      </c>
      <c r="DS257" s="48" t="n">
        <f aca="false">IF(DS$8=1,0,DS$247*V_IVArec)</f>
        <v>0</v>
      </c>
      <c r="DT257" s="48" t="n">
        <f aca="false">IF(DT$8=1,0,DT$247*V_IVArec)</f>
        <v>0</v>
      </c>
      <c r="DU257" s="48" t="n">
        <f aca="false">IF(DU$8=1,0,DU$247*V_IVArec)</f>
        <v>0</v>
      </c>
      <c r="DV257" s="48" t="n">
        <f aca="false">IF(DV$8=1,0,DV$247*V_IVArec)</f>
        <v>0</v>
      </c>
      <c r="DW257" s="48" t="n">
        <f aca="false">IF(DW$8=1,0,DW$247*V_IVArec)</f>
        <v>0</v>
      </c>
      <c r="DX257" s="48" t="n">
        <f aca="false">IF(DX$8=1,0,DX$247*V_IVArec)</f>
        <v>0</v>
      </c>
      <c r="DY257" s="48" t="n">
        <f aca="false">IF(DY$8=1,0,DY$247*V_IVArec)</f>
        <v>0</v>
      </c>
      <c r="DZ257" s="48" t="n">
        <f aca="false">IF(DZ$8=1,0,DZ$247*V_IVArec)</f>
        <v>0</v>
      </c>
      <c r="EA257" s="48" t="n">
        <f aca="false">IF(EA$8=1,0,EA$247*V_IVArec)</f>
        <v>0</v>
      </c>
      <c r="EB257" s="48" t="n">
        <f aca="false">IF(EB$8=1,0,EB$247*V_IVArec)</f>
        <v>0</v>
      </c>
      <c r="EC257" s="48" t="n">
        <f aca="false">IF(EC$8=1,0,EC$247*V_IVArec)</f>
        <v>0</v>
      </c>
      <c r="ED257" s="48" t="n">
        <f aca="false">IF(ED$8=1,0,ED$247*V_IVArec)</f>
        <v>0</v>
      </c>
      <c r="EE257" s="48" t="n">
        <f aca="false">IF(EE$8=1,0,EE$247*V_IVArec)</f>
        <v>0</v>
      </c>
      <c r="EF257" s="48" t="n">
        <f aca="false">IF(EF$8=1,0,EF$247*V_IVArec)</f>
        <v>0</v>
      </c>
      <c r="EG257" s="48" t="n">
        <f aca="false">IF(EG$8=1,0,EG$247*V_IVArec)</f>
        <v>0</v>
      </c>
      <c r="EH257" s="48" t="n">
        <f aca="false">IF(EH$8=1,0,EH$247*V_IVArec)</f>
        <v>0</v>
      </c>
      <c r="EI257" s="48" t="n">
        <f aca="false">IF(EI$8=1,0,EI$247*V_IVArec)</f>
        <v>0</v>
      </c>
      <c r="EJ257" s="48" t="n">
        <f aca="false">IF(EJ$8=1,0,EJ$247*V_IVArec)</f>
        <v>0</v>
      </c>
      <c r="EK257" s="48" t="n">
        <f aca="false">IF(EK$8=1,0,EK$247*V_IVArec)</f>
        <v>0</v>
      </c>
      <c r="EL257" s="48" t="n">
        <f aca="false">IF(EL$8=1,0,EL$247*V_IVArec)</f>
        <v>0</v>
      </c>
      <c r="EM257" s="48" t="n">
        <f aca="false">IF(EM$8=1,0,EM$247*V_IVArec)</f>
        <v>0</v>
      </c>
      <c r="EN257" s="48" t="n">
        <f aca="false">IF(EN$8=1,0,EN$247*V_IVArec)</f>
        <v>0</v>
      </c>
      <c r="EO257" s="48" t="n">
        <f aca="false">IF(EO$8=1,0,EO$247*V_IVArec)</f>
        <v>0</v>
      </c>
      <c r="EP257" s="48" t="n">
        <f aca="false">IF(EP$8=1,0,EP$247*V_IVArec)</f>
        <v>0</v>
      </c>
      <c r="EQ257" s="48" t="n">
        <f aca="false">IF(EQ$8=1,0,EQ$247*V_IVArec)</f>
        <v>0</v>
      </c>
      <c r="ER257" s="48" t="n">
        <f aca="false">IF(ER$8=1,0,ER$247*V_IVArec)</f>
        <v>0</v>
      </c>
      <c r="ES257" s="48" t="n">
        <f aca="false">IF(ES$8=1,0,ES$247*V_IVArec)</f>
        <v>0</v>
      </c>
    </row>
    <row r="258" customFormat="false" ht="15" hidden="false" customHeight="false" outlineLevel="0" collapsed="false">
      <c r="A258" s="11" t="s">
        <v>1379</v>
      </c>
      <c r="B258" s="67" t="s">
        <v>509</v>
      </c>
      <c r="C258" s="15" t="s">
        <v>508</v>
      </c>
      <c r="E258" s="54" t="n">
        <f aca="false">SUM(F258:ES258)</f>
        <v>16309504.016261</v>
      </c>
      <c r="F258" s="19" t="n">
        <f aca="false">F$253-F$254-F$255-F$256+F$257</f>
        <v>42497.5004755897</v>
      </c>
      <c r="G258" s="19" t="n">
        <f aca="false">G$253-G$254-G$255-G$256+G$257</f>
        <v>42497.5004755897</v>
      </c>
      <c r="H258" s="19" t="n">
        <f aca="false">H$253-H$254-H$255-H$256+H$257</f>
        <v>42497.5004755897</v>
      </c>
      <c r="I258" s="19" t="n">
        <f aca="false">I$253-I$254-I$255-I$256+I$257</f>
        <v>42497.5004755897</v>
      </c>
      <c r="J258" s="19" t="n">
        <f aca="false">J$253-J$254-J$255-J$256+J$257</f>
        <v>42497.5004755897</v>
      </c>
      <c r="K258" s="19" t="n">
        <f aca="false">K$253-K$254-K$255-K$256+K$257</f>
        <v>42497.5004755897</v>
      </c>
      <c r="L258" s="19" t="n">
        <f aca="false">L$253-L$254-L$255-L$256+L$257</f>
        <v>42497.5004755897</v>
      </c>
      <c r="M258" s="19" t="n">
        <f aca="false">M$253-M$254-M$255-M$256+M$257</f>
        <v>42497.5004755897</v>
      </c>
      <c r="N258" s="19" t="n">
        <f aca="false">N$253-N$254-N$255-N$256+N$257</f>
        <v>42497.5004755897</v>
      </c>
      <c r="O258" s="19" t="n">
        <f aca="false">O$253-O$254-O$255-O$256+O$257</f>
        <v>42497.5004755897</v>
      </c>
      <c r="P258" s="19" t="n">
        <f aca="false">P$253-P$254-P$255-P$256+P$257</f>
        <v>42497.5004755897</v>
      </c>
      <c r="Q258" s="19" t="n">
        <f aca="false">Q$253-Q$254-Q$255-Q$256+Q$257</f>
        <v>42497.5004755897</v>
      </c>
      <c r="R258" s="19" t="n">
        <f aca="false">R$253-R$254-R$255-R$256+R$257</f>
        <v>80496.4029939648</v>
      </c>
      <c r="S258" s="19" t="n">
        <f aca="false">S$253-S$254-S$255-S$256+S$257</f>
        <v>80496.4029939648</v>
      </c>
      <c r="T258" s="19" t="n">
        <f aca="false">T$253-T$254-T$255-T$256+T$257</f>
        <v>80496.4029939648</v>
      </c>
      <c r="U258" s="19" t="n">
        <f aca="false">U$253-U$254-U$255-U$256+U$257</f>
        <v>80496.4029939648</v>
      </c>
      <c r="V258" s="19" t="n">
        <f aca="false">V$253-V$254-V$255-V$256+V$257</f>
        <v>80496.4029939648</v>
      </c>
      <c r="W258" s="19" t="n">
        <f aca="false">W$253-W$254-W$255-W$256+W$257</f>
        <v>80496.4029939648</v>
      </c>
      <c r="X258" s="19" t="n">
        <f aca="false">X$253-X$254-X$255-X$256+X$257</f>
        <v>80496.4029939648</v>
      </c>
      <c r="Y258" s="19" t="n">
        <f aca="false">Y$253-Y$254-Y$255-Y$256+Y$257</f>
        <v>80496.4029939648</v>
      </c>
      <c r="Z258" s="19" t="n">
        <f aca="false">Z$253-Z$254-Z$255-Z$256+Z$257</f>
        <v>80496.4029939648</v>
      </c>
      <c r="AA258" s="19" t="n">
        <f aca="false">AA$253-AA$254-AA$255-AA$256+AA$257</f>
        <v>80496.4029939648</v>
      </c>
      <c r="AB258" s="19" t="n">
        <f aca="false">AB$253-AB$254-AB$255-AB$256+AB$257</f>
        <v>80496.4029939648</v>
      </c>
      <c r="AC258" s="19" t="n">
        <f aca="false">AC$253-AC$254-AC$255-AC$256+AC$257</f>
        <v>80496.4029939648</v>
      </c>
      <c r="AD258" s="19" t="n">
        <f aca="false">AD$253-AD$254-AD$255-AD$256+AD$257</f>
        <v>117085.030865125</v>
      </c>
      <c r="AE258" s="19" t="n">
        <f aca="false">AE$253-AE$254-AE$255-AE$256+AE$257</f>
        <v>117085.030865125</v>
      </c>
      <c r="AF258" s="19" t="n">
        <f aca="false">AF$253-AF$254-AF$255-AF$256+AF$257</f>
        <v>117085.030865125</v>
      </c>
      <c r="AG258" s="19" t="n">
        <f aca="false">AG$253-AG$254-AG$255-AG$256+AG$257</f>
        <v>117085.030865125</v>
      </c>
      <c r="AH258" s="19" t="n">
        <f aca="false">AH$253-AH$254-AH$255-AH$256+AH$257</f>
        <v>117085.030865125</v>
      </c>
      <c r="AI258" s="19" t="n">
        <f aca="false">AI$253-AI$254-AI$255-AI$256+AI$257</f>
        <v>117085.030865125</v>
      </c>
      <c r="AJ258" s="19" t="n">
        <f aca="false">AJ$253-AJ$254-AJ$255-AJ$256+AJ$257</f>
        <v>117085.030865125</v>
      </c>
      <c r="AK258" s="19" t="n">
        <f aca="false">AK$253-AK$254-AK$255-AK$256+AK$257</f>
        <v>117085.030865125</v>
      </c>
      <c r="AL258" s="19" t="n">
        <f aca="false">AL$253-AL$254-AL$255-AL$256+AL$257</f>
        <v>117085.030865125</v>
      </c>
      <c r="AM258" s="19" t="n">
        <f aca="false">AM$253-AM$254-AM$255-AM$256+AM$257</f>
        <v>117085.030865125</v>
      </c>
      <c r="AN258" s="19" t="n">
        <f aca="false">AN$253-AN$254-AN$255-AN$256+AN$257</f>
        <v>117085.030865125</v>
      </c>
      <c r="AO258" s="19" t="n">
        <f aca="false">AO$253-AO$254-AO$255-AO$256+AO$257</f>
        <v>117085.030865125</v>
      </c>
      <c r="AP258" s="19" t="n">
        <f aca="false">AP$253-AP$254-AP$255-AP$256+AP$257</f>
        <v>149893.579879858</v>
      </c>
      <c r="AQ258" s="19" t="n">
        <f aca="false">AQ$253-AQ$254-AQ$255-AQ$256+AQ$257</f>
        <v>149893.579879858</v>
      </c>
      <c r="AR258" s="19" t="n">
        <f aca="false">AR$253-AR$254-AR$255-AR$256+AR$257</f>
        <v>149893.579879858</v>
      </c>
      <c r="AS258" s="19" t="n">
        <f aca="false">AS$253-AS$254-AS$255-AS$256+AS$257</f>
        <v>149893.579879858</v>
      </c>
      <c r="AT258" s="19" t="n">
        <f aca="false">AT$253-AT$254-AT$255-AT$256+AT$257</f>
        <v>149893.579879858</v>
      </c>
      <c r="AU258" s="19" t="n">
        <f aca="false">AU$253-AU$254-AU$255-AU$256+AU$257</f>
        <v>149893.579879858</v>
      </c>
      <c r="AV258" s="19" t="n">
        <f aca="false">AV$253-AV$254-AV$255-AV$256+AV$257</f>
        <v>149893.579879858</v>
      </c>
      <c r="AW258" s="19" t="n">
        <f aca="false">AW$253-AW$254-AW$255-AW$256+AW$257</f>
        <v>149893.579879858</v>
      </c>
      <c r="AX258" s="19" t="n">
        <f aca="false">AX$253-AX$254-AX$255-AX$256+AX$257</f>
        <v>149893.579879858</v>
      </c>
      <c r="AY258" s="19" t="n">
        <f aca="false">AY$253-AY$254-AY$255-AY$256+AY$257</f>
        <v>149893.579879858</v>
      </c>
      <c r="AZ258" s="19" t="n">
        <f aca="false">AZ$253-AZ$254-AZ$255-AZ$256+AZ$257</f>
        <v>149893.579879858</v>
      </c>
      <c r="BA258" s="19" t="n">
        <f aca="false">BA$253-BA$254-BA$255-BA$256+BA$257</f>
        <v>149893.579879858</v>
      </c>
      <c r="BB258" s="19" t="n">
        <f aca="false">BB$253-BB$254-BB$255-BB$256+BB$257</f>
        <v>151213.164876374</v>
      </c>
      <c r="BC258" s="19" t="n">
        <f aca="false">BC$253-BC$254-BC$255-BC$256+BC$257</f>
        <v>151213.164876374</v>
      </c>
      <c r="BD258" s="19" t="n">
        <f aca="false">BD$253-BD$254-BD$255-BD$256+BD$257</f>
        <v>151213.164876374</v>
      </c>
      <c r="BE258" s="19" t="n">
        <f aca="false">BE$253-BE$254-BE$255-BE$256+BE$257</f>
        <v>151213.164876374</v>
      </c>
      <c r="BF258" s="19" t="n">
        <f aca="false">BF$253-BF$254-BF$255-BF$256+BF$257</f>
        <v>151213.164876374</v>
      </c>
      <c r="BG258" s="19" t="n">
        <f aca="false">BG$253-BG$254-BG$255-BG$256+BG$257</f>
        <v>151213.164876374</v>
      </c>
      <c r="BH258" s="19" t="n">
        <f aca="false">BH$253-BH$254-BH$255-BH$256+BH$257</f>
        <v>151213.164876374</v>
      </c>
      <c r="BI258" s="19" t="n">
        <f aca="false">BI$253-BI$254-BI$255-BI$256+BI$257</f>
        <v>151213.164876374</v>
      </c>
      <c r="BJ258" s="19" t="n">
        <f aca="false">BJ$253-BJ$254-BJ$255-BJ$256+BJ$257</f>
        <v>151213.164876374</v>
      </c>
      <c r="BK258" s="19" t="n">
        <f aca="false">BK$253-BK$254-BK$255-BK$256+BK$257</f>
        <v>151213.164876374</v>
      </c>
      <c r="BL258" s="19" t="n">
        <f aca="false">BL$253-BL$254-BL$255-BL$256+BL$257</f>
        <v>151213.164876374</v>
      </c>
      <c r="BM258" s="19" t="n">
        <f aca="false">BM$253-BM$254-BM$255-BM$256+BM$257</f>
        <v>151213.164876374</v>
      </c>
      <c r="BN258" s="19" t="n">
        <f aca="false">BN$253-BN$254-BN$255-BN$256+BN$257</f>
        <v>155300.441797826</v>
      </c>
      <c r="BO258" s="19" t="n">
        <f aca="false">BO$253-BO$254-BO$255-BO$256+BO$257</f>
        <v>155300.441797826</v>
      </c>
      <c r="BP258" s="19" t="n">
        <f aca="false">BP$253-BP$254-BP$255-BP$256+BP$257</f>
        <v>155300.441797826</v>
      </c>
      <c r="BQ258" s="19" t="n">
        <f aca="false">BQ$253-BQ$254-BQ$255-BQ$256+BQ$257</f>
        <v>155300.441797826</v>
      </c>
      <c r="BR258" s="19" t="n">
        <f aca="false">BR$253-BR$254-BR$255-BR$256+BR$257</f>
        <v>155300.441797826</v>
      </c>
      <c r="BS258" s="19" t="n">
        <f aca="false">BS$253-BS$254-BS$255-BS$256+BS$257</f>
        <v>155300.441797826</v>
      </c>
      <c r="BT258" s="19" t="n">
        <f aca="false">BT$253-BT$254-BT$255-BT$256+BT$257</f>
        <v>155300.441797826</v>
      </c>
      <c r="BU258" s="19" t="n">
        <f aca="false">BU$253-BU$254-BU$255-BU$256+BU$257</f>
        <v>155300.441797826</v>
      </c>
      <c r="BV258" s="19" t="n">
        <f aca="false">BV$253-BV$254-BV$255-BV$256+BV$257</f>
        <v>155300.441797826</v>
      </c>
      <c r="BW258" s="19" t="n">
        <f aca="false">BW$253-BW$254-BW$255-BW$256+BW$257</f>
        <v>155300.441797826</v>
      </c>
      <c r="BX258" s="19" t="n">
        <f aca="false">BX$253-BX$254-BX$255-BX$256+BX$257</f>
        <v>155300.441797826</v>
      </c>
      <c r="BY258" s="19" t="n">
        <f aca="false">BY$253-BY$254-BY$255-BY$256+BY$257</f>
        <v>155300.441797826</v>
      </c>
      <c r="BZ258" s="19" t="n">
        <f aca="false">BZ$253-BZ$254-BZ$255-BZ$256+BZ$257</f>
        <v>159416.0224894</v>
      </c>
      <c r="CA258" s="19" t="n">
        <f aca="false">CA$253-CA$254-CA$255-CA$256+CA$257</f>
        <v>159416.0224894</v>
      </c>
      <c r="CB258" s="19" t="n">
        <f aca="false">CB$253-CB$254-CB$255-CB$256+CB$257</f>
        <v>159416.0224894</v>
      </c>
      <c r="CC258" s="19" t="n">
        <f aca="false">CC$253-CC$254-CC$255-CC$256+CC$257</f>
        <v>159416.0224894</v>
      </c>
      <c r="CD258" s="19" t="n">
        <f aca="false">CD$253-CD$254-CD$255-CD$256+CD$257</f>
        <v>159416.0224894</v>
      </c>
      <c r="CE258" s="19" t="n">
        <f aca="false">CE$253-CE$254-CE$255-CE$256+CE$257</f>
        <v>159416.0224894</v>
      </c>
      <c r="CF258" s="19" t="n">
        <f aca="false">CF$253-CF$254-CF$255-CF$256+CF$257</f>
        <v>159416.0224894</v>
      </c>
      <c r="CG258" s="19" t="n">
        <f aca="false">CG$253-CG$254-CG$255-CG$256+CG$257</f>
        <v>159416.0224894</v>
      </c>
      <c r="CH258" s="19" t="n">
        <f aca="false">CH$253-CH$254-CH$255-CH$256+CH$257</f>
        <v>159416.0224894</v>
      </c>
      <c r="CI258" s="19" t="n">
        <f aca="false">CI$253-CI$254-CI$255-CI$256+CI$257</f>
        <v>159416.0224894</v>
      </c>
      <c r="CJ258" s="19" t="n">
        <f aca="false">CJ$253-CJ$254-CJ$255-CJ$256+CJ$257</f>
        <v>159416.0224894</v>
      </c>
      <c r="CK258" s="19" t="n">
        <f aca="false">CK$253-CK$254-CK$255-CK$256+CK$257</f>
        <v>159416.0224894</v>
      </c>
      <c r="CL258" s="19" t="n">
        <f aca="false">CL$253-CL$254-CL$255-CL$256+CL$257</f>
        <v>163559.818546287</v>
      </c>
      <c r="CM258" s="19" t="n">
        <f aca="false">CM$253-CM$254-CM$255-CM$256+CM$257</f>
        <v>163559.818546287</v>
      </c>
      <c r="CN258" s="19" t="n">
        <f aca="false">CN$253-CN$254-CN$255-CN$256+CN$257</f>
        <v>163559.818546287</v>
      </c>
      <c r="CO258" s="19" t="n">
        <f aca="false">CO$253-CO$254-CO$255-CO$256+CO$257</f>
        <v>163559.818546287</v>
      </c>
      <c r="CP258" s="19" t="n">
        <f aca="false">CP$253-CP$254-CP$255-CP$256+CP$257</f>
        <v>163559.818546287</v>
      </c>
      <c r="CQ258" s="19" t="n">
        <f aca="false">CQ$253-CQ$254-CQ$255-CQ$256+CQ$257</f>
        <v>163559.818546287</v>
      </c>
      <c r="CR258" s="19" t="n">
        <f aca="false">CR$253-CR$254-CR$255-CR$256+CR$257</f>
        <v>163559.818546287</v>
      </c>
      <c r="CS258" s="19" t="n">
        <f aca="false">CS$253-CS$254-CS$255-CS$256+CS$257</f>
        <v>163559.818546287</v>
      </c>
      <c r="CT258" s="19" t="n">
        <f aca="false">CT$253-CT$254-CT$255-CT$256+CT$257</f>
        <v>163559.818546287</v>
      </c>
      <c r="CU258" s="19" t="n">
        <f aca="false">CU$253-CU$254-CU$255-CU$256+CU$257</f>
        <v>163559.818546287</v>
      </c>
      <c r="CV258" s="19" t="n">
        <f aca="false">CV$253-CV$254-CV$255-CV$256+CV$257</f>
        <v>163559.818546287</v>
      </c>
      <c r="CW258" s="19" t="n">
        <f aca="false">CW$253-CW$254-CW$255-CW$256+CW$257</f>
        <v>163559.818546287</v>
      </c>
      <c r="CX258" s="19" t="n">
        <f aca="false">CX$253-CX$254-CX$255-CX$256+CX$257</f>
        <v>167731.729648908</v>
      </c>
      <c r="CY258" s="19" t="n">
        <f aca="false">CY$253-CY$254-CY$255-CY$256+CY$257</f>
        <v>167731.729648908</v>
      </c>
      <c r="CZ258" s="19" t="n">
        <f aca="false">CZ$253-CZ$254-CZ$255-CZ$256+CZ$257</f>
        <v>167731.729648908</v>
      </c>
      <c r="DA258" s="19" t="n">
        <f aca="false">DA$253-DA$254-DA$255-DA$256+DA$257</f>
        <v>167731.729648908</v>
      </c>
      <c r="DB258" s="19" t="n">
        <f aca="false">DB$253-DB$254-DB$255-DB$256+DB$257</f>
        <v>167731.729648908</v>
      </c>
      <c r="DC258" s="19" t="n">
        <f aca="false">DC$253-DC$254-DC$255-DC$256+DC$257</f>
        <v>167731.729648908</v>
      </c>
      <c r="DD258" s="19" t="n">
        <f aca="false">DD$253-DD$254-DD$255-DD$256+DD$257</f>
        <v>167731.729648908</v>
      </c>
      <c r="DE258" s="19" t="n">
        <f aca="false">DE$253-DE$254-DE$255-DE$256+DE$257</f>
        <v>167731.729648908</v>
      </c>
      <c r="DF258" s="19" t="n">
        <f aca="false">DF$253-DF$254-DF$255-DF$256+DF$257</f>
        <v>167731.729648908</v>
      </c>
      <c r="DG258" s="19" t="n">
        <f aca="false">DG$253-DG$254-DG$255-DG$256+DG$257</f>
        <v>167731.729648908</v>
      </c>
      <c r="DH258" s="19" t="n">
        <f aca="false">DH$253-DH$254-DH$255-DH$256+DH$257</f>
        <v>167731.729648908</v>
      </c>
      <c r="DI258" s="19" t="n">
        <f aca="false">DI$253-DI$254-DI$255-DI$256+DI$257</f>
        <v>167731.729648908</v>
      </c>
      <c r="DJ258" s="19" t="n">
        <f aca="false">DJ$253-DJ$254-DJ$255-DJ$256+DJ$257</f>
        <v>171931.643115086</v>
      </c>
      <c r="DK258" s="19" t="n">
        <f aca="false">DK$253-DK$254-DK$255-DK$256+DK$257</f>
        <v>171931.643115086</v>
      </c>
      <c r="DL258" s="19" t="n">
        <f aca="false">DL$253-DL$254-DL$255-DL$256+DL$257</f>
        <v>171931.643115086</v>
      </c>
      <c r="DM258" s="19" t="n">
        <f aca="false">DM$253-DM$254-DM$255-DM$256+DM$257</f>
        <v>171931.643115086</v>
      </c>
      <c r="DN258" s="19" t="n">
        <f aca="false">DN$253-DN$254-DN$255-DN$256+DN$257</f>
        <v>171931.643115086</v>
      </c>
      <c r="DO258" s="19" t="n">
        <f aca="false">DO$253-DO$254-DO$255-DO$256+DO$257</f>
        <v>171931.643115086</v>
      </c>
      <c r="DP258" s="19" t="n">
        <f aca="false">DP$253-DP$254-DP$255-DP$256+DP$257</f>
        <v>171931.643115086</v>
      </c>
      <c r="DQ258" s="19" t="n">
        <f aca="false">DQ$253-DQ$254-DQ$255-DQ$256+DQ$257</f>
        <v>171931.643115086</v>
      </c>
      <c r="DR258" s="19" t="n">
        <f aca="false">DR$253-DR$254-DR$255-DR$256+DR$257</f>
        <v>171931.643115086</v>
      </c>
      <c r="DS258" s="19" t="n">
        <f aca="false">DS$253-DS$254-DS$255-DS$256+DS$257</f>
        <v>171931.643115086</v>
      </c>
      <c r="DT258" s="19" t="n">
        <f aca="false">DT$253-DT$254-DT$255-DT$256+DT$257</f>
        <v>171931.643115086</v>
      </c>
      <c r="DU258" s="19" t="n">
        <f aca="false">DU$253-DU$254-DU$255-DU$256+DU$257</f>
        <v>171931.643115086</v>
      </c>
      <c r="DV258" s="19" t="n">
        <f aca="false">DV$253-DV$254-DV$255-DV$256+DV$257</f>
        <v>0</v>
      </c>
      <c r="DW258" s="19" t="n">
        <f aca="false">DW$253-DW$254-DW$255-DW$256+DW$257</f>
        <v>0</v>
      </c>
      <c r="DX258" s="19" t="n">
        <f aca="false">DX$253-DX$254-DX$255-DX$256+DX$257</f>
        <v>0</v>
      </c>
      <c r="DY258" s="19" t="n">
        <f aca="false">DY$253-DY$254-DY$255-DY$256+DY$257</f>
        <v>0</v>
      </c>
      <c r="DZ258" s="19" t="n">
        <f aca="false">DZ$253-DZ$254-DZ$255-DZ$256+DZ$257</f>
        <v>0</v>
      </c>
      <c r="EA258" s="19" t="n">
        <f aca="false">EA$253-EA$254-EA$255-EA$256+EA$257</f>
        <v>0</v>
      </c>
      <c r="EB258" s="19" t="n">
        <f aca="false">EB$253-EB$254-EB$255-EB$256+EB$257</f>
        <v>0</v>
      </c>
      <c r="EC258" s="19" t="n">
        <f aca="false">EC$253-EC$254-EC$255-EC$256+EC$257</f>
        <v>0</v>
      </c>
      <c r="ED258" s="19" t="n">
        <f aca="false">ED$253-ED$254-ED$255-ED$256+ED$257</f>
        <v>0</v>
      </c>
      <c r="EE258" s="19" t="n">
        <f aca="false">EE$253-EE$254-EE$255-EE$256+EE$257</f>
        <v>0</v>
      </c>
      <c r="EF258" s="19" t="n">
        <f aca="false">EF$253-EF$254-EF$255-EF$256+EF$257</f>
        <v>0</v>
      </c>
      <c r="EG258" s="19" t="n">
        <f aca="false">EG$253-EG$254-EG$255-EG$256+EG$257</f>
        <v>0</v>
      </c>
      <c r="EH258" s="19" t="n">
        <f aca="false">EH$253-EH$254-EH$255-EH$256+EH$257</f>
        <v>0</v>
      </c>
      <c r="EI258" s="19" t="n">
        <f aca="false">EI$253-EI$254-EI$255-EI$256+EI$257</f>
        <v>0</v>
      </c>
      <c r="EJ258" s="19" t="n">
        <f aca="false">EJ$253-EJ$254-EJ$255-EJ$256+EJ$257</f>
        <v>0</v>
      </c>
      <c r="EK258" s="19" t="n">
        <f aca="false">EK$253-EK$254-EK$255-EK$256+EK$257</f>
        <v>0</v>
      </c>
      <c r="EL258" s="19" t="n">
        <f aca="false">EL$253-EL$254-EL$255-EL$256+EL$257</f>
        <v>0</v>
      </c>
      <c r="EM258" s="19" t="n">
        <f aca="false">EM$253-EM$254-EM$255-EM$256+EM$257</f>
        <v>0</v>
      </c>
      <c r="EN258" s="19" t="n">
        <f aca="false">EN$253-EN$254-EN$255-EN$256+EN$257</f>
        <v>0</v>
      </c>
      <c r="EO258" s="19" t="n">
        <f aca="false">EO$253-EO$254-EO$255-EO$256+EO$257</f>
        <v>0</v>
      </c>
      <c r="EP258" s="19" t="n">
        <f aca="false">EP$253-EP$254-EP$255-EP$256+EP$257</f>
        <v>0</v>
      </c>
      <c r="EQ258" s="19" t="n">
        <f aca="false">EQ$253-EQ$254-EQ$255-EQ$256+EQ$257</f>
        <v>0</v>
      </c>
      <c r="ER258" s="19" t="n">
        <f aca="false">ER$253-ER$254-ER$255-ER$256+ER$257</f>
        <v>0</v>
      </c>
      <c r="ES258" s="19" t="n">
        <f aca="false">ES$253-ES$254-ES$255-ES$256+ES$257</f>
        <v>0</v>
      </c>
    </row>
    <row r="259" customFormat="false" ht="15" hidden="false" customHeight="false" outlineLevel="0" collapsed="false">
      <c r="A259" s="11" t="s">
        <v>1380</v>
      </c>
      <c r="B259" s="15" t="s">
        <v>1176</v>
      </c>
      <c r="C259" s="15" t="s">
        <v>508</v>
      </c>
      <c r="E259" s="54" t="n">
        <f aca="false">SUM(F259:ES259)</f>
        <v>745044.09</v>
      </c>
      <c r="F259" s="48" t="n">
        <f aca="false">SUMPRODUCT((Inv_CF*F$8+Inv_BaseV*(1-F$8))*(Inv_F&gt;0)*(1&gt;=Inv_SvcV)*(1&lt;Inv_SvcV+Inv_F*12)/(Inv_F*12+(Inv_F=0)))*F$9</f>
        <v>5966.01741666667</v>
      </c>
      <c r="G259" s="48" t="n">
        <f aca="false">SUMPRODUCT((Inv_CF*G$8+Inv_BaseV*(1-G$8))*(Inv_F&gt;0)*(2&gt;=Inv_SvcV)*(2&lt;Inv_SvcV+Inv_F*12)/(Inv_F*12+(Inv_F=0)))*G$9</f>
        <v>5966.01741666667</v>
      </c>
      <c r="H259" s="48" t="n">
        <f aca="false">SUMPRODUCT((Inv_CF*H$8+Inv_BaseV*(1-H$8))*(Inv_F&gt;0)*(3&gt;=Inv_SvcV)*(3&lt;Inv_SvcV+Inv_F*12)/(Inv_F*12+(Inv_F=0)))*H$9</f>
        <v>5966.01741666667</v>
      </c>
      <c r="I259" s="48" t="n">
        <f aca="false">SUMPRODUCT((Inv_CF*I$8+Inv_BaseV*(1-I$8))*(Inv_F&gt;0)*(4&gt;=Inv_SvcV)*(4&lt;Inv_SvcV+Inv_F*12)/(Inv_F*12+(Inv_F=0)))*I$9</f>
        <v>5966.01741666667</v>
      </c>
      <c r="J259" s="48" t="n">
        <f aca="false">SUMPRODUCT((Inv_CF*J$8+Inv_BaseV*(1-J$8))*(Inv_F&gt;0)*(5&gt;=Inv_SvcV)*(5&lt;Inv_SvcV+Inv_F*12)/(Inv_F*12+(Inv_F=0)))*J$9</f>
        <v>5966.01741666667</v>
      </c>
      <c r="K259" s="48" t="n">
        <f aca="false">SUMPRODUCT((Inv_CF*K$8+Inv_BaseV*(1-K$8))*(Inv_F&gt;0)*(6&gt;=Inv_SvcV)*(6&lt;Inv_SvcV+Inv_F*12)/(Inv_F*12+(Inv_F=0)))*K$9</f>
        <v>5966.01741666667</v>
      </c>
      <c r="L259" s="48" t="n">
        <f aca="false">SUMPRODUCT((Inv_CF*L$8+Inv_BaseV*(1-L$8))*(Inv_F&gt;0)*(7&gt;=Inv_SvcV)*(7&lt;Inv_SvcV+Inv_F*12)/(Inv_F*12+(Inv_F=0)))*L$9</f>
        <v>5966.01741666667</v>
      </c>
      <c r="M259" s="48" t="n">
        <f aca="false">SUMPRODUCT((Inv_CF*M$8+Inv_BaseV*(1-M$8))*(Inv_F&gt;0)*(8&gt;=Inv_SvcV)*(8&lt;Inv_SvcV+Inv_F*12)/(Inv_F*12+(Inv_F=0)))*M$9</f>
        <v>5966.01741666667</v>
      </c>
      <c r="N259" s="48" t="n">
        <f aca="false">SUMPRODUCT((Inv_CF*N$8+Inv_BaseV*(1-N$8))*(Inv_F&gt;0)*(9&gt;=Inv_SvcV)*(9&lt;Inv_SvcV+Inv_F*12)/(Inv_F*12+(Inv_F=0)))*N$9</f>
        <v>5966.01741666667</v>
      </c>
      <c r="O259" s="48" t="n">
        <f aca="false">SUMPRODUCT((Inv_CF*O$8+Inv_BaseV*(1-O$8))*(Inv_F&gt;0)*(10&gt;=Inv_SvcV)*(10&lt;Inv_SvcV+Inv_F*12)/(Inv_F*12+(Inv_F=0)))*O$9</f>
        <v>5966.01741666667</v>
      </c>
      <c r="P259" s="48" t="n">
        <f aca="false">SUMPRODUCT((Inv_CF*P$8+Inv_BaseV*(1-P$8))*(Inv_F&gt;0)*(11&gt;=Inv_SvcV)*(11&lt;Inv_SvcV+Inv_F*12)/(Inv_F*12+(Inv_F=0)))*P$9</f>
        <v>5966.01741666667</v>
      </c>
      <c r="Q259" s="48" t="n">
        <f aca="false">SUMPRODUCT((Inv_CF*Q$8+Inv_BaseV*(1-Q$8))*(Inv_F&gt;0)*(12&gt;=Inv_SvcV)*(12&lt;Inv_SvcV+Inv_F*12)/(Inv_F*12+(Inv_F=0)))*Q$9</f>
        <v>5966.01741666667</v>
      </c>
      <c r="R259" s="48" t="n">
        <f aca="false">SUMPRODUCT((Inv_CF*R$8+Inv_BaseV*(1-R$8))*(Inv_F&gt;0)*(13&gt;=Inv_SvcV)*(13&lt;Inv_SvcV+Inv_F*12)/(Inv_F*12+(Inv_F=0)))*R$9</f>
        <v>6799.35075</v>
      </c>
      <c r="S259" s="48" t="n">
        <f aca="false">SUMPRODUCT((Inv_CF*S$8+Inv_BaseV*(1-S$8))*(Inv_F&gt;0)*(14&gt;=Inv_SvcV)*(14&lt;Inv_SvcV+Inv_F*12)/(Inv_F*12+(Inv_F=0)))*S$9</f>
        <v>6799.35075</v>
      </c>
      <c r="T259" s="48" t="n">
        <f aca="false">SUMPRODUCT((Inv_CF*T$8+Inv_BaseV*(1-T$8))*(Inv_F&gt;0)*(15&gt;=Inv_SvcV)*(15&lt;Inv_SvcV+Inv_F*12)/(Inv_F*12+(Inv_F=0)))*T$9</f>
        <v>6799.35075</v>
      </c>
      <c r="U259" s="48" t="n">
        <f aca="false">SUMPRODUCT((Inv_CF*U$8+Inv_BaseV*(1-U$8))*(Inv_F&gt;0)*(16&gt;=Inv_SvcV)*(16&lt;Inv_SvcV+Inv_F*12)/(Inv_F*12+(Inv_F=0)))*U$9</f>
        <v>6799.35075</v>
      </c>
      <c r="V259" s="48" t="n">
        <f aca="false">SUMPRODUCT((Inv_CF*V$8+Inv_BaseV*(1-V$8))*(Inv_F&gt;0)*(17&gt;=Inv_SvcV)*(17&lt;Inv_SvcV+Inv_F*12)/(Inv_F*12+(Inv_F=0)))*V$9</f>
        <v>6799.35075</v>
      </c>
      <c r="W259" s="48" t="n">
        <f aca="false">SUMPRODUCT((Inv_CF*W$8+Inv_BaseV*(1-W$8))*(Inv_F&gt;0)*(18&gt;=Inv_SvcV)*(18&lt;Inv_SvcV+Inv_F*12)/(Inv_F*12+(Inv_F=0)))*W$9</f>
        <v>6799.35075</v>
      </c>
      <c r="X259" s="48" t="n">
        <f aca="false">SUMPRODUCT((Inv_CF*X$8+Inv_BaseV*(1-X$8))*(Inv_F&gt;0)*(19&gt;=Inv_SvcV)*(19&lt;Inv_SvcV+Inv_F*12)/(Inv_F*12+(Inv_F=0)))*X$9</f>
        <v>6799.35075</v>
      </c>
      <c r="Y259" s="48" t="n">
        <f aca="false">SUMPRODUCT((Inv_CF*Y$8+Inv_BaseV*(1-Y$8))*(Inv_F&gt;0)*(20&gt;=Inv_SvcV)*(20&lt;Inv_SvcV+Inv_F*12)/(Inv_F*12+(Inv_F=0)))*Y$9</f>
        <v>6799.35075</v>
      </c>
      <c r="Z259" s="48" t="n">
        <f aca="false">SUMPRODUCT((Inv_CF*Z$8+Inv_BaseV*(1-Z$8))*(Inv_F&gt;0)*(21&gt;=Inv_SvcV)*(21&lt;Inv_SvcV+Inv_F*12)/(Inv_F*12+(Inv_F=0)))*Z$9</f>
        <v>6799.35075</v>
      </c>
      <c r="AA259" s="48" t="n">
        <f aca="false">SUMPRODUCT((Inv_CF*AA$8+Inv_BaseV*(1-AA$8))*(Inv_F&gt;0)*(22&gt;=Inv_SvcV)*(22&lt;Inv_SvcV+Inv_F*12)/(Inv_F*12+(Inv_F=0)))*AA$9</f>
        <v>6799.35075</v>
      </c>
      <c r="AB259" s="48" t="n">
        <f aca="false">SUMPRODUCT((Inv_CF*AB$8+Inv_BaseV*(1-AB$8))*(Inv_F&gt;0)*(23&gt;=Inv_SvcV)*(23&lt;Inv_SvcV+Inv_F*12)/(Inv_F*12+(Inv_F=0)))*AB$9</f>
        <v>6799.35075</v>
      </c>
      <c r="AC259" s="48" t="n">
        <f aca="false">SUMPRODUCT((Inv_CF*AC$8+Inv_BaseV*(1-AC$8))*(Inv_F&gt;0)*(24&gt;=Inv_SvcV)*(24&lt;Inv_SvcV+Inv_F*12)/(Inv_F*12+(Inv_F=0)))*AC$9</f>
        <v>6799.35075</v>
      </c>
      <c r="AD259" s="48" t="n">
        <f aca="false">SUMPRODUCT((Inv_CF*AD$8+Inv_BaseV*(1-AD$8))*(Inv_F&gt;0)*(25&gt;=Inv_SvcV)*(25&lt;Inv_SvcV+Inv_F*12)/(Inv_F*12+(Inv_F=0)))*AD$9</f>
        <v>6799.35075</v>
      </c>
      <c r="AE259" s="48" t="n">
        <f aca="false">SUMPRODUCT((Inv_CF*AE$8+Inv_BaseV*(1-AE$8))*(Inv_F&gt;0)*(26&gt;=Inv_SvcV)*(26&lt;Inv_SvcV+Inv_F*12)/(Inv_F*12+(Inv_F=0)))*AE$9</f>
        <v>6799.35075</v>
      </c>
      <c r="AF259" s="48" t="n">
        <f aca="false">SUMPRODUCT((Inv_CF*AF$8+Inv_BaseV*(1-AF$8))*(Inv_F&gt;0)*(27&gt;=Inv_SvcV)*(27&lt;Inv_SvcV+Inv_F*12)/(Inv_F*12+(Inv_F=0)))*AF$9</f>
        <v>6799.35075</v>
      </c>
      <c r="AG259" s="48" t="n">
        <f aca="false">SUMPRODUCT((Inv_CF*AG$8+Inv_BaseV*(1-AG$8))*(Inv_F&gt;0)*(28&gt;=Inv_SvcV)*(28&lt;Inv_SvcV+Inv_F*12)/(Inv_F*12+(Inv_F=0)))*AG$9</f>
        <v>6799.35075</v>
      </c>
      <c r="AH259" s="48" t="n">
        <f aca="false">SUMPRODUCT((Inv_CF*AH$8+Inv_BaseV*(1-AH$8))*(Inv_F&gt;0)*(29&gt;=Inv_SvcV)*(29&lt;Inv_SvcV+Inv_F*12)/(Inv_F*12+(Inv_F=0)))*AH$9</f>
        <v>6799.35075</v>
      </c>
      <c r="AI259" s="48" t="n">
        <f aca="false">SUMPRODUCT((Inv_CF*AI$8+Inv_BaseV*(1-AI$8))*(Inv_F&gt;0)*(30&gt;=Inv_SvcV)*(30&lt;Inv_SvcV+Inv_F*12)/(Inv_F*12+(Inv_F=0)))*AI$9</f>
        <v>6799.35075</v>
      </c>
      <c r="AJ259" s="48" t="n">
        <f aca="false">SUMPRODUCT((Inv_CF*AJ$8+Inv_BaseV*(1-AJ$8))*(Inv_F&gt;0)*(31&gt;=Inv_SvcV)*(31&lt;Inv_SvcV+Inv_F*12)/(Inv_F*12+(Inv_F=0)))*AJ$9</f>
        <v>6799.35075</v>
      </c>
      <c r="AK259" s="48" t="n">
        <f aca="false">SUMPRODUCT((Inv_CF*AK$8+Inv_BaseV*(1-AK$8))*(Inv_F&gt;0)*(32&gt;=Inv_SvcV)*(32&lt;Inv_SvcV+Inv_F*12)/(Inv_F*12+(Inv_F=0)))*AK$9</f>
        <v>6799.35075</v>
      </c>
      <c r="AL259" s="48" t="n">
        <f aca="false">SUMPRODUCT((Inv_CF*AL$8+Inv_BaseV*(1-AL$8))*(Inv_F&gt;0)*(33&gt;=Inv_SvcV)*(33&lt;Inv_SvcV+Inv_F*12)/(Inv_F*12+(Inv_F=0)))*AL$9</f>
        <v>6799.35075</v>
      </c>
      <c r="AM259" s="48" t="n">
        <f aca="false">SUMPRODUCT((Inv_CF*AM$8+Inv_BaseV*(1-AM$8))*(Inv_F&gt;0)*(34&gt;=Inv_SvcV)*(34&lt;Inv_SvcV+Inv_F*12)/(Inv_F*12+(Inv_F=0)))*AM$9</f>
        <v>6799.35075</v>
      </c>
      <c r="AN259" s="48" t="n">
        <f aca="false">SUMPRODUCT((Inv_CF*AN$8+Inv_BaseV*(1-AN$8))*(Inv_F&gt;0)*(35&gt;=Inv_SvcV)*(35&lt;Inv_SvcV+Inv_F*12)/(Inv_F*12+(Inv_F=0)))*AN$9</f>
        <v>6799.35075</v>
      </c>
      <c r="AO259" s="48" t="n">
        <f aca="false">SUMPRODUCT((Inv_CF*AO$8+Inv_BaseV*(1-AO$8))*(Inv_F&gt;0)*(36&gt;=Inv_SvcV)*(36&lt;Inv_SvcV+Inv_F*12)/(Inv_F*12+(Inv_F=0)))*AO$9</f>
        <v>6799.35075</v>
      </c>
      <c r="AP259" s="48" t="n">
        <f aca="false">SUMPRODUCT((Inv_CF*AP$8+Inv_BaseV*(1-AP$8))*(Inv_F&gt;0)*(37&gt;=Inv_SvcV)*(37&lt;Inv_SvcV+Inv_F*12)/(Inv_F*12+(Inv_F=0)))*AP$9</f>
        <v>6799.35075</v>
      </c>
      <c r="AQ259" s="48" t="n">
        <f aca="false">SUMPRODUCT((Inv_CF*AQ$8+Inv_BaseV*(1-AQ$8))*(Inv_F&gt;0)*(38&gt;=Inv_SvcV)*(38&lt;Inv_SvcV+Inv_F*12)/(Inv_F*12+(Inv_F=0)))*AQ$9</f>
        <v>6799.35075</v>
      </c>
      <c r="AR259" s="48" t="n">
        <f aca="false">SUMPRODUCT((Inv_CF*AR$8+Inv_BaseV*(1-AR$8))*(Inv_F&gt;0)*(39&gt;=Inv_SvcV)*(39&lt;Inv_SvcV+Inv_F*12)/(Inv_F*12+(Inv_F=0)))*AR$9</f>
        <v>6799.35075</v>
      </c>
      <c r="AS259" s="48" t="n">
        <f aca="false">SUMPRODUCT((Inv_CF*AS$8+Inv_BaseV*(1-AS$8))*(Inv_F&gt;0)*(40&gt;=Inv_SvcV)*(40&lt;Inv_SvcV+Inv_F*12)/(Inv_F*12+(Inv_F=0)))*AS$9</f>
        <v>6799.35075</v>
      </c>
      <c r="AT259" s="48" t="n">
        <f aca="false">SUMPRODUCT((Inv_CF*AT$8+Inv_BaseV*(1-AT$8))*(Inv_F&gt;0)*(41&gt;=Inv_SvcV)*(41&lt;Inv_SvcV+Inv_F*12)/(Inv_F*12+(Inv_F=0)))*AT$9</f>
        <v>6799.35075</v>
      </c>
      <c r="AU259" s="48" t="n">
        <f aca="false">SUMPRODUCT((Inv_CF*AU$8+Inv_BaseV*(1-AU$8))*(Inv_F&gt;0)*(42&gt;=Inv_SvcV)*(42&lt;Inv_SvcV+Inv_F*12)/(Inv_F*12+(Inv_F=0)))*AU$9</f>
        <v>6799.35075</v>
      </c>
      <c r="AV259" s="48" t="n">
        <f aca="false">SUMPRODUCT((Inv_CF*AV$8+Inv_BaseV*(1-AV$8))*(Inv_F&gt;0)*(43&gt;=Inv_SvcV)*(43&lt;Inv_SvcV+Inv_F*12)/(Inv_F*12+(Inv_F=0)))*AV$9</f>
        <v>6799.35075</v>
      </c>
      <c r="AW259" s="48" t="n">
        <f aca="false">SUMPRODUCT((Inv_CF*AW$8+Inv_BaseV*(1-AW$8))*(Inv_F&gt;0)*(44&gt;=Inv_SvcV)*(44&lt;Inv_SvcV+Inv_F*12)/(Inv_F*12+(Inv_F=0)))*AW$9</f>
        <v>6799.35075</v>
      </c>
      <c r="AX259" s="48" t="n">
        <f aca="false">SUMPRODUCT((Inv_CF*AX$8+Inv_BaseV*(1-AX$8))*(Inv_F&gt;0)*(45&gt;=Inv_SvcV)*(45&lt;Inv_SvcV+Inv_F*12)/(Inv_F*12+(Inv_F=0)))*AX$9</f>
        <v>6799.35075</v>
      </c>
      <c r="AY259" s="48" t="n">
        <f aca="false">SUMPRODUCT((Inv_CF*AY$8+Inv_BaseV*(1-AY$8))*(Inv_F&gt;0)*(46&gt;=Inv_SvcV)*(46&lt;Inv_SvcV+Inv_F*12)/(Inv_F*12+(Inv_F=0)))*AY$9</f>
        <v>6799.35075</v>
      </c>
      <c r="AZ259" s="48" t="n">
        <f aca="false">SUMPRODUCT((Inv_CF*AZ$8+Inv_BaseV*(1-AZ$8))*(Inv_F&gt;0)*(47&gt;=Inv_SvcV)*(47&lt;Inv_SvcV+Inv_F*12)/(Inv_F*12+(Inv_F=0)))*AZ$9</f>
        <v>6799.35075</v>
      </c>
      <c r="BA259" s="48" t="n">
        <f aca="false">SUMPRODUCT((Inv_CF*BA$8+Inv_BaseV*(1-BA$8))*(Inv_F&gt;0)*(48&gt;=Inv_SvcV)*(48&lt;Inv_SvcV+Inv_F*12)/(Inv_F*12+(Inv_F=0)))*BA$9</f>
        <v>6799.35075</v>
      </c>
      <c r="BB259" s="48" t="n">
        <f aca="false">SUMPRODUCT((Inv_CF*BB$8+Inv_BaseV*(1-BB$8))*(Inv_F&gt;0)*(49&gt;=Inv_SvcV)*(49&lt;Inv_SvcV+Inv_F*12)/(Inv_F*12+(Inv_F=0)))*BB$9</f>
        <v>6799.35075</v>
      </c>
      <c r="BC259" s="48" t="n">
        <f aca="false">SUMPRODUCT((Inv_CF*BC$8+Inv_BaseV*(1-BC$8))*(Inv_F&gt;0)*(50&gt;=Inv_SvcV)*(50&lt;Inv_SvcV+Inv_F*12)/(Inv_F*12+(Inv_F=0)))*BC$9</f>
        <v>6799.35075</v>
      </c>
      <c r="BD259" s="48" t="n">
        <f aca="false">SUMPRODUCT((Inv_CF*BD$8+Inv_BaseV*(1-BD$8))*(Inv_F&gt;0)*(51&gt;=Inv_SvcV)*(51&lt;Inv_SvcV+Inv_F*12)/(Inv_F*12+(Inv_F=0)))*BD$9</f>
        <v>6799.35075</v>
      </c>
      <c r="BE259" s="48" t="n">
        <f aca="false">SUMPRODUCT((Inv_CF*BE$8+Inv_BaseV*(1-BE$8))*(Inv_F&gt;0)*(52&gt;=Inv_SvcV)*(52&lt;Inv_SvcV+Inv_F*12)/(Inv_F*12+(Inv_F=0)))*BE$9</f>
        <v>6799.35075</v>
      </c>
      <c r="BF259" s="48" t="n">
        <f aca="false">SUMPRODUCT((Inv_CF*BF$8+Inv_BaseV*(1-BF$8))*(Inv_F&gt;0)*(53&gt;=Inv_SvcV)*(53&lt;Inv_SvcV+Inv_F*12)/(Inv_F*12+(Inv_F=0)))*BF$9</f>
        <v>6799.35075</v>
      </c>
      <c r="BG259" s="48" t="n">
        <f aca="false">SUMPRODUCT((Inv_CF*BG$8+Inv_BaseV*(1-BG$8))*(Inv_F&gt;0)*(54&gt;=Inv_SvcV)*(54&lt;Inv_SvcV+Inv_F*12)/(Inv_F*12+(Inv_F=0)))*BG$9</f>
        <v>6799.35075</v>
      </c>
      <c r="BH259" s="48" t="n">
        <f aca="false">SUMPRODUCT((Inv_CF*BH$8+Inv_BaseV*(1-BH$8))*(Inv_F&gt;0)*(55&gt;=Inv_SvcV)*(55&lt;Inv_SvcV+Inv_F*12)/(Inv_F*12+(Inv_F=0)))*BH$9</f>
        <v>6799.35075</v>
      </c>
      <c r="BI259" s="48" t="n">
        <f aca="false">SUMPRODUCT((Inv_CF*BI$8+Inv_BaseV*(1-BI$8))*(Inv_F&gt;0)*(56&gt;=Inv_SvcV)*(56&lt;Inv_SvcV+Inv_F*12)/(Inv_F*12+(Inv_F=0)))*BI$9</f>
        <v>6799.35075</v>
      </c>
      <c r="BJ259" s="48" t="n">
        <f aca="false">SUMPRODUCT((Inv_CF*BJ$8+Inv_BaseV*(1-BJ$8))*(Inv_F&gt;0)*(57&gt;=Inv_SvcV)*(57&lt;Inv_SvcV+Inv_F*12)/(Inv_F*12+(Inv_F=0)))*BJ$9</f>
        <v>6799.35075</v>
      </c>
      <c r="BK259" s="48" t="n">
        <f aca="false">SUMPRODUCT((Inv_CF*BK$8+Inv_BaseV*(1-BK$8))*(Inv_F&gt;0)*(58&gt;=Inv_SvcV)*(58&lt;Inv_SvcV+Inv_F*12)/(Inv_F*12+(Inv_F=0)))*BK$9</f>
        <v>6799.35075</v>
      </c>
      <c r="BL259" s="48" t="n">
        <f aca="false">SUMPRODUCT((Inv_CF*BL$8+Inv_BaseV*(1-BL$8))*(Inv_F&gt;0)*(59&gt;=Inv_SvcV)*(59&lt;Inv_SvcV+Inv_F*12)/(Inv_F*12+(Inv_F=0)))*BL$9</f>
        <v>6799.35075</v>
      </c>
      <c r="BM259" s="48" t="n">
        <f aca="false">SUMPRODUCT((Inv_CF*BM$8+Inv_BaseV*(1-BM$8))*(Inv_F&gt;0)*(60&gt;=Inv_SvcV)*(60&lt;Inv_SvcV+Inv_F*12)/(Inv_F*12+(Inv_F=0)))*BM$9</f>
        <v>6799.35075</v>
      </c>
      <c r="BN259" s="48" t="n">
        <f aca="false">SUMPRODUCT((Inv_CF*BN$8+Inv_BaseV*(1-BN$8))*(Inv_F&gt;0)*(61&gt;=Inv_SvcV)*(61&lt;Inv_SvcV+Inv_F*12)/(Inv_F*12+(Inv_F=0)))*BN$9</f>
        <v>5784.71741666667</v>
      </c>
      <c r="BO259" s="48" t="n">
        <f aca="false">SUMPRODUCT((Inv_CF*BO$8+Inv_BaseV*(1-BO$8))*(Inv_F&gt;0)*(62&gt;=Inv_SvcV)*(62&lt;Inv_SvcV+Inv_F*12)/(Inv_F*12+(Inv_F=0)))*BO$9</f>
        <v>5784.71741666667</v>
      </c>
      <c r="BP259" s="48" t="n">
        <f aca="false">SUMPRODUCT((Inv_CF*BP$8+Inv_BaseV*(1-BP$8))*(Inv_F&gt;0)*(63&gt;=Inv_SvcV)*(63&lt;Inv_SvcV+Inv_F*12)/(Inv_F*12+(Inv_F=0)))*BP$9</f>
        <v>5784.71741666667</v>
      </c>
      <c r="BQ259" s="48" t="n">
        <f aca="false">SUMPRODUCT((Inv_CF*BQ$8+Inv_BaseV*(1-BQ$8))*(Inv_F&gt;0)*(64&gt;=Inv_SvcV)*(64&lt;Inv_SvcV+Inv_F*12)/(Inv_F*12+(Inv_F=0)))*BQ$9</f>
        <v>5784.71741666667</v>
      </c>
      <c r="BR259" s="48" t="n">
        <f aca="false">SUMPRODUCT((Inv_CF*BR$8+Inv_BaseV*(1-BR$8))*(Inv_F&gt;0)*(65&gt;=Inv_SvcV)*(65&lt;Inv_SvcV+Inv_F*12)/(Inv_F*12+(Inv_F=0)))*BR$9</f>
        <v>5784.71741666667</v>
      </c>
      <c r="BS259" s="48" t="n">
        <f aca="false">SUMPRODUCT((Inv_CF*BS$8+Inv_BaseV*(1-BS$8))*(Inv_F&gt;0)*(66&gt;=Inv_SvcV)*(66&lt;Inv_SvcV+Inv_F*12)/(Inv_F*12+(Inv_F=0)))*BS$9</f>
        <v>5784.71741666667</v>
      </c>
      <c r="BT259" s="48" t="n">
        <f aca="false">SUMPRODUCT((Inv_CF*BT$8+Inv_BaseV*(1-BT$8))*(Inv_F&gt;0)*(67&gt;=Inv_SvcV)*(67&lt;Inv_SvcV+Inv_F*12)/(Inv_F*12+(Inv_F=0)))*BT$9</f>
        <v>5784.71741666667</v>
      </c>
      <c r="BU259" s="48" t="n">
        <f aca="false">SUMPRODUCT((Inv_CF*BU$8+Inv_BaseV*(1-BU$8))*(Inv_F&gt;0)*(68&gt;=Inv_SvcV)*(68&lt;Inv_SvcV+Inv_F*12)/(Inv_F*12+(Inv_F=0)))*BU$9</f>
        <v>5784.71741666667</v>
      </c>
      <c r="BV259" s="48" t="n">
        <f aca="false">SUMPRODUCT((Inv_CF*BV$8+Inv_BaseV*(1-BV$8))*(Inv_F&gt;0)*(69&gt;=Inv_SvcV)*(69&lt;Inv_SvcV+Inv_F*12)/(Inv_F*12+(Inv_F=0)))*BV$9</f>
        <v>5784.71741666667</v>
      </c>
      <c r="BW259" s="48" t="n">
        <f aca="false">SUMPRODUCT((Inv_CF*BW$8+Inv_BaseV*(1-BW$8))*(Inv_F&gt;0)*(70&gt;=Inv_SvcV)*(70&lt;Inv_SvcV+Inv_F*12)/(Inv_F*12+(Inv_F=0)))*BW$9</f>
        <v>5784.71741666667</v>
      </c>
      <c r="BX259" s="48" t="n">
        <f aca="false">SUMPRODUCT((Inv_CF*BX$8+Inv_BaseV*(1-BX$8))*(Inv_F&gt;0)*(71&gt;=Inv_SvcV)*(71&lt;Inv_SvcV+Inv_F*12)/(Inv_F*12+(Inv_F=0)))*BX$9</f>
        <v>5784.71741666667</v>
      </c>
      <c r="BY259" s="48" t="n">
        <f aca="false">SUMPRODUCT((Inv_CF*BY$8+Inv_BaseV*(1-BY$8))*(Inv_F&gt;0)*(72&gt;=Inv_SvcV)*(72&lt;Inv_SvcV+Inv_F*12)/(Inv_F*12+(Inv_F=0)))*BY$9</f>
        <v>5784.71741666667</v>
      </c>
      <c r="BZ259" s="48" t="n">
        <f aca="false">SUMPRODUCT((Inv_CF*BZ$8+Inv_BaseV*(1-BZ$8))*(Inv_F&gt;0)*(73&gt;=Inv_SvcV)*(73&lt;Inv_SvcV+Inv_F*12)/(Inv_F*12+(Inv_F=0)))*BZ$9</f>
        <v>5784.71741666667</v>
      </c>
      <c r="CA259" s="48" t="n">
        <f aca="false">SUMPRODUCT((Inv_CF*CA$8+Inv_BaseV*(1-CA$8))*(Inv_F&gt;0)*(74&gt;=Inv_SvcV)*(74&lt;Inv_SvcV+Inv_F*12)/(Inv_F*12+(Inv_F=0)))*CA$9</f>
        <v>5784.71741666667</v>
      </c>
      <c r="CB259" s="48" t="n">
        <f aca="false">SUMPRODUCT((Inv_CF*CB$8+Inv_BaseV*(1-CB$8))*(Inv_F&gt;0)*(75&gt;=Inv_SvcV)*(75&lt;Inv_SvcV+Inv_F*12)/(Inv_F*12+(Inv_F=0)))*CB$9</f>
        <v>5784.71741666667</v>
      </c>
      <c r="CC259" s="48" t="n">
        <f aca="false">SUMPRODUCT((Inv_CF*CC$8+Inv_BaseV*(1-CC$8))*(Inv_F&gt;0)*(76&gt;=Inv_SvcV)*(76&lt;Inv_SvcV+Inv_F*12)/(Inv_F*12+(Inv_F=0)))*CC$9</f>
        <v>5784.71741666667</v>
      </c>
      <c r="CD259" s="48" t="n">
        <f aca="false">SUMPRODUCT((Inv_CF*CD$8+Inv_BaseV*(1-CD$8))*(Inv_F&gt;0)*(77&gt;=Inv_SvcV)*(77&lt;Inv_SvcV+Inv_F*12)/(Inv_F*12+(Inv_F=0)))*CD$9</f>
        <v>5784.71741666667</v>
      </c>
      <c r="CE259" s="48" t="n">
        <f aca="false">SUMPRODUCT((Inv_CF*CE$8+Inv_BaseV*(1-CE$8))*(Inv_F&gt;0)*(78&gt;=Inv_SvcV)*(78&lt;Inv_SvcV+Inv_F*12)/(Inv_F*12+(Inv_F=0)))*CE$9</f>
        <v>5784.71741666667</v>
      </c>
      <c r="CF259" s="48" t="n">
        <f aca="false">SUMPRODUCT((Inv_CF*CF$8+Inv_BaseV*(1-CF$8))*(Inv_F&gt;0)*(79&gt;=Inv_SvcV)*(79&lt;Inv_SvcV+Inv_F*12)/(Inv_F*12+(Inv_F=0)))*CF$9</f>
        <v>5784.71741666667</v>
      </c>
      <c r="CG259" s="48" t="n">
        <f aca="false">SUMPRODUCT((Inv_CF*CG$8+Inv_BaseV*(1-CG$8))*(Inv_F&gt;0)*(80&gt;=Inv_SvcV)*(80&lt;Inv_SvcV+Inv_F*12)/(Inv_F*12+(Inv_F=0)))*CG$9</f>
        <v>5784.71741666667</v>
      </c>
      <c r="CH259" s="48" t="n">
        <f aca="false">SUMPRODUCT((Inv_CF*CH$8+Inv_BaseV*(1-CH$8))*(Inv_F&gt;0)*(81&gt;=Inv_SvcV)*(81&lt;Inv_SvcV+Inv_F*12)/(Inv_F*12+(Inv_F=0)))*CH$9</f>
        <v>5784.71741666667</v>
      </c>
      <c r="CI259" s="48" t="n">
        <f aca="false">SUMPRODUCT((Inv_CF*CI$8+Inv_BaseV*(1-CI$8))*(Inv_F&gt;0)*(82&gt;=Inv_SvcV)*(82&lt;Inv_SvcV+Inv_F*12)/(Inv_F*12+(Inv_F=0)))*CI$9</f>
        <v>5784.71741666667</v>
      </c>
      <c r="CJ259" s="48" t="n">
        <f aca="false">SUMPRODUCT((Inv_CF*CJ$8+Inv_BaseV*(1-CJ$8))*(Inv_F&gt;0)*(83&gt;=Inv_SvcV)*(83&lt;Inv_SvcV+Inv_F*12)/(Inv_F*12+(Inv_F=0)))*CJ$9</f>
        <v>5784.71741666667</v>
      </c>
      <c r="CK259" s="48" t="n">
        <f aca="false">SUMPRODUCT((Inv_CF*CK$8+Inv_BaseV*(1-CK$8))*(Inv_F&gt;0)*(84&gt;=Inv_SvcV)*(84&lt;Inv_SvcV+Inv_F*12)/(Inv_F*12+(Inv_F=0)))*CK$9</f>
        <v>5784.71741666667</v>
      </c>
      <c r="CL259" s="48" t="n">
        <f aca="false">SUMPRODUCT((Inv_CF*CL$8+Inv_BaseV*(1-CL$8))*(Inv_F&gt;0)*(85&gt;=Inv_SvcV)*(85&lt;Inv_SvcV+Inv_F*12)/(Inv_F*12+(Inv_F=0)))*CL$9</f>
        <v>5784.71741666667</v>
      </c>
      <c r="CM259" s="48" t="n">
        <f aca="false">SUMPRODUCT((Inv_CF*CM$8+Inv_BaseV*(1-CM$8))*(Inv_F&gt;0)*(86&gt;=Inv_SvcV)*(86&lt;Inv_SvcV+Inv_F*12)/(Inv_F*12+(Inv_F=0)))*CM$9</f>
        <v>5784.71741666667</v>
      </c>
      <c r="CN259" s="48" t="n">
        <f aca="false">SUMPRODUCT((Inv_CF*CN$8+Inv_BaseV*(1-CN$8))*(Inv_F&gt;0)*(87&gt;=Inv_SvcV)*(87&lt;Inv_SvcV+Inv_F*12)/(Inv_F*12+(Inv_F=0)))*CN$9</f>
        <v>5784.71741666667</v>
      </c>
      <c r="CO259" s="48" t="n">
        <f aca="false">SUMPRODUCT((Inv_CF*CO$8+Inv_BaseV*(1-CO$8))*(Inv_F&gt;0)*(88&gt;=Inv_SvcV)*(88&lt;Inv_SvcV+Inv_F*12)/(Inv_F*12+(Inv_F=0)))*CO$9</f>
        <v>5784.71741666667</v>
      </c>
      <c r="CP259" s="48" t="n">
        <f aca="false">SUMPRODUCT((Inv_CF*CP$8+Inv_BaseV*(1-CP$8))*(Inv_F&gt;0)*(89&gt;=Inv_SvcV)*(89&lt;Inv_SvcV+Inv_F*12)/(Inv_F*12+(Inv_F=0)))*CP$9</f>
        <v>5784.71741666667</v>
      </c>
      <c r="CQ259" s="48" t="n">
        <f aca="false">SUMPRODUCT((Inv_CF*CQ$8+Inv_BaseV*(1-CQ$8))*(Inv_F&gt;0)*(90&gt;=Inv_SvcV)*(90&lt;Inv_SvcV+Inv_F*12)/(Inv_F*12+(Inv_F=0)))*CQ$9</f>
        <v>5784.71741666667</v>
      </c>
      <c r="CR259" s="48" t="n">
        <f aca="false">SUMPRODUCT((Inv_CF*CR$8+Inv_BaseV*(1-CR$8))*(Inv_F&gt;0)*(91&gt;=Inv_SvcV)*(91&lt;Inv_SvcV+Inv_F*12)/(Inv_F*12+(Inv_F=0)))*CR$9</f>
        <v>5784.71741666667</v>
      </c>
      <c r="CS259" s="48" t="n">
        <f aca="false">SUMPRODUCT((Inv_CF*CS$8+Inv_BaseV*(1-CS$8))*(Inv_F&gt;0)*(92&gt;=Inv_SvcV)*(92&lt;Inv_SvcV+Inv_F*12)/(Inv_F*12+(Inv_F=0)))*CS$9</f>
        <v>5784.71741666667</v>
      </c>
      <c r="CT259" s="48" t="n">
        <f aca="false">SUMPRODUCT((Inv_CF*CT$8+Inv_BaseV*(1-CT$8))*(Inv_F&gt;0)*(93&gt;=Inv_SvcV)*(93&lt;Inv_SvcV+Inv_F*12)/(Inv_F*12+(Inv_F=0)))*CT$9</f>
        <v>5784.71741666667</v>
      </c>
      <c r="CU259" s="48" t="n">
        <f aca="false">SUMPRODUCT((Inv_CF*CU$8+Inv_BaseV*(1-CU$8))*(Inv_F&gt;0)*(94&gt;=Inv_SvcV)*(94&lt;Inv_SvcV+Inv_F*12)/(Inv_F*12+(Inv_F=0)))*CU$9</f>
        <v>5784.71741666667</v>
      </c>
      <c r="CV259" s="48" t="n">
        <f aca="false">SUMPRODUCT((Inv_CF*CV$8+Inv_BaseV*(1-CV$8))*(Inv_F&gt;0)*(95&gt;=Inv_SvcV)*(95&lt;Inv_SvcV+Inv_F*12)/(Inv_F*12+(Inv_F=0)))*CV$9</f>
        <v>5784.71741666667</v>
      </c>
      <c r="CW259" s="48" t="n">
        <f aca="false">SUMPRODUCT((Inv_CF*CW$8+Inv_BaseV*(1-CW$8))*(Inv_F&gt;0)*(96&gt;=Inv_SvcV)*(96&lt;Inv_SvcV+Inv_F*12)/(Inv_F*12+(Inv_F=0)))*CW$9</f>
        <v>5784.71741666667</v>
      </c>
      <c r="CX259" s="48" t="n">
        <f aca="false">SUMPRODUCT((Inv_CF*CX$8+Inv_BaseV*(1-CX$8))*(Inv_F&gt;0)*(97&gt;=Inv_SvcV)*(97&lt;Inv_SvcV+Inv_F*12)/(Inv_F*12+(Inv_F=0)))*CX$9</f>
        <v>5784.71741666667</v>
      </c>
      <c r="CY259" s="48" t="n">
        <f aca="false">SUMPRODUCT((Inv_CF*CY$8+Inv_BaseV*(1-CY$8))*(Inv_F&gt;0)*(98&gt;=Inv_SvcV)*(98&lt;Inv_SvcV+Inv_F*12)/(Inv_F*12+(Inv_F=0)))*CY$9</f>
        <v>5784.71741666667</v>
      </c>
      <c r="CZ259" s="48" t="n">
        <f aca="false">SUMPRODUCT((Inv_CF*CZ$8+Inv_BaseV*(1-CZ$8))*(Inv_F&gt;0)*(99&gt;=Inv_SvcV)*(99&lt;Inv_SvcV+Inv_F*12)/(Inv_F*12+(Inv_F=0)))*CZ$9</f>
        <v>5784.71741666667</v>
      </c>
      <c r="DA259" s="48" t="n">
        <f aca="false">SUMPRODUCT((Inv_CF*DA$8+Inv_BaseV*(1-DA$8))*(Inv_F&gt;0)*(100&gt;=Inv_SvcV)*(100&lt;Inv_SvcV+Inv_F*12)/(Inv_F*12+(Inv_F=0)))*DA$9</f>
        <v>5784.71741666667</v>
      </c>
      <c r="DB259" s="48" t="n">
        <f aca="false">SUMPRODUCT((Inv_CF*DB$8+Inv_BaseV*(1-DB$8))*(Inv_F&gt;0)*(101&gt;=Inv_SvcV)*(101&lt;Inv_SvcV+Inv_F*12)/(Inv_F*12+(Inv_F=0)))*DB$9</f>
        <v>5784.71741666667</v>
      </c>
      <c r="DC259" s="48" t="n">
        <f aca="false">SUMPRODUCT((Inv_CF*DC$8+Inv_BaseV*(1-DC$8))*(Inv_F&gt;0)*(102&gt;=Inv_SvcV)*(102&lt;Inv_SvcV+Inv_F*12)/(Inv_F*12+(Inv_F=0)))*DC$9</f>
        <v>5784.71741666667</v>
      </c>
      <c r="DD259" s="48" t="n">
        <f aca="false">SUMPRODUCT((Inv_CF*DD$8+Inv_BaseV*(1-DD$8))*(Inv_F&gt;0)*(103&gt;=Inv_SvcV)*(103&lt;Inv_SvcV+Inv_F*12)/(Inv_F*12+(Inv_F=0)))*DD$9</f>
        <v>5784.71741666667</v>
      </c>
      <c r="DE259" s="48" t="n">
        <f aca="false">SUMPRODUCT((Inv_CF*DE$8+Inv_BaseV*(1-DE$8))*(Inv_F&gt;0)*(104&gt;=Inv_SvcV)*(104&lt;Inv_SvcV+Inv_F*12)/(Inv_F*12+(Inv_F=0)))*DE$9</f>
        <v>5784.71741666667</v>
      </c>
      <c r="DF259" s="48" t="n">
        <f aca="false">SUMPRODUCT((Inv_CF*DF$8+Inv_BaseV*(1-DF$8))*(Inv_F&gt;0)*(105&gt;=Inv_SvcV)*(105&lt;Inv_SvcV+Inv_F*12)/(Inv_F*12+(Inv_F=0)))*DF$9</f>
        <v>5784.71741666667</v>
      </c>
      <c r="DG259" s="48" t="n">
        <f aca="false">SUMPRODUCT((Inv_CF*DG$8+Inv_BaseV*(1-DG$8))*(Inv_F&gt;0)*(106&gt;=Inv_SvcV)*(106&lt;Inv_SvcV+Inv_F*12)/(Inv_F*12+(Inv_F=0)))*DG$9</f>
        <v>5784.71741666667</v>
      </c>
      <c r="DH259" s="48" t="n">
        <f aca="false">SUMPRODUCT((Inv_CF*DH$8+Inv_BaseV*(1-DH$8))*(Inv_F&gt;0)*(107&gt;=Inv_SvcV)*(107&lt;Inv_SvcV+Inv_F*12)/(Inv_F*12+(Inv_F=0)))*DH$9</f>
        <v>5784.71741666667</v>
      </c>
      <c r="DI259" s="48" t="n">
        <f aca="false">SUMPRODUCT((Inv_CF*DI$8+Inv_BaseV*(1-DI$8))*(Inv_F&gt;0)*(108&gt;=Inv_SvcV)*(108&lt;Inv_SvcV+Inv_F*12)/(Inv_F*12+(Inv_F=0)))*DI$9</f>
        <v>5784.71741666667</v>
      </c>
      <c r="DJ259" s="48" t="n">
        <f aca="false">SUMPRODUCT((Inv_CF*DJ$8+Inv_BaseV*(1-DJ$8))*(Inv_F&gt;0)*(109&gt;=Inv_SvcV)*(109&lt;Inv_SvcV+Inv_F*12)/(Inv_F*12+(Inv_F=0)))*DJ$9</f>
        <v>5784.71741666667</v>
      </c>
      <c r="DK259" s="48" t="n">
        <f aca="false">SUMPRODUCT((Inv_CF*DK$8+Inv_BaseV*(1-DK$8))*(Inv_F&gt;0)*(110&gt;=Inv_SvcV)*(110&lt;Inv_SvcV+Inv_F*12)/(Inv_F*12+(Inv_F=0)))*DK$9</f>
        <v>5784.71741666667</v>
      </c>
      <c r="DL259" s="48" t="n">
        <f aca="false">SUMPRODUCT((Inv_CF*DL$8+Inv_BaseV*(1-DL$8))*(Inv_F&gt;0)*(111&gt;=Inv_SvcV)*(111&lt;Inv_SvcV+Inv_F*12)/(Inv_F*12+(Inv_F=0)))*DL$9</f>
        <v>5784.71741666667</v>
      </c>
      <c r="DM259" s="48" t="n">
        <f aca="false">SUMPRODUCT((Inv_CF*DM$8+Inv_BaseV*(1-DM$8))*(Inv_F&gt;0)*(112&gt;=Inv_SvcV)*(112&lt;Inv_SvcV+Inv_F*12)/(Inv_F*12+(Inv_F=0)))*DM$9</f>
        <v>5784.71741666667</v>
      </c>
      <c r="DN259" s="48" t="n">
        <f aca="false">SUMPRODUCT((Inv_CF*DN$8+Inv_BaseV*(1-DN$8))*(Inv_F&gt;0)*(113&gt;=Inv_SvcV)*(113&lt;Inv_SvcV+Inv_F*12)/(Inv_F*12+(Inv_F=0)))*DN$9</f>
        <v>5784.71741666667</v>
      </c>
      <c r="DO259" s="48" t="n">
        <f aca="false">SUMPRODUCT((Inv_CF*DO$8+Inv_BaseV*(1-DO$8))*(Inv_F&gt;0)*(114&gt;=Inv_SvcV)*(114&lt;Inv_SvcV+Inv_F*12)/(Inv_F*12+(Inv_F=0)))*DO$9</f>
        <v>5784.71741666667</v>
      </c>
      <c r="DP259" s="48" t="n">
        <f aca="false">SUMPRODUCT((Inv_CF*DP$8+Inv_BaseV*(1-DP$8))*(Inv_F&gt;0)*(115&gt;=Inv_SvcV)*(115&lt;Inv_SvcV+Inv_F*12)/(Inv_F*12+(Inv_F=0)))*DP$9</f>
        <v>5784.71741666667</v>
      </c>
      <c r="DQ259" s="48" t="n">
        <f aca="false">SUMPRODUCT((Inv_CF*DQ$8+Inv_BaseV*(1-DQ$8))*(Inv_F&gt;0)*(116&gt;=Inv_SvcV)*(116&lt;Inv_SvcV+Inv_F*12)/(Inv_F*12+(Inv_F=0)))*DQ$9</f>
        <v>5784.71741666667</v>
      </c>
      <c r="DR259" s="48" t="n">
        <f aca="false">SUMPRODUCT((Inv_CF*DR$8+Inv_BaseV*(1-DR$8))*(Inv_F&gt;0)*(117&gt;=Inv_SvcV)*(117&lt;Inv_SvcV+Inv_F*12)/(Inv_F*12+(Inv_F=0)))*DR$9</f>
        <v>5784.71741666667</v>
      </c>
      <c r="DS259" s="48" t="n">
        <f aca="false">SUMPRODUCT((Inv_CF*DS$8+Inv_BaseV*(1-DS$8))*(Inv_F&gt;0)*(118&gt;=Inv_SvcV)*(118&lt;Inv_SvcV+Inv_F*12)/(Inv_F*12+(Inv_F=0)))*DS$9</f>
        <v>5784.71741666667</v>
      </c>
      <c r="DT259" s="48" t="n">
        <f aca="false">SUMPRODUCT((Inv_CF*DT$8+Inv_BaseV*(1-DT$8))*(Inv_F&gt;0)*(119&gt;=Inv_SvcV)*(119&lt;Inv_SvcV+Inv_F*12)/(Inv_F*12+(Inv_F=0)))*DT$9</f>
        <v>5784.71741666667</v>
      </c>
      <c r="DU259" s="48" t="n">
        <f aca="false">SUMPRODUCT((Inv_CF*DU$8+Inv_BaseV*(1-DU$8))*(Inv_F&gt;0)*(120&gt;=Inv_SvcV)*(120&lt;Inv_SvcV+Inv_F*12)/(Inv_F*12+(Inv_F=0)))*DU$9</f>
        <v>5784.71741666667</v>
      </c>
      <c r="DV259" s="48" t="n">
        <f aca="false">SUMPRODUCT((Inv_CF*DV$8+Inv_BaseV*(1-DV$8))*(Inv_F&gt;0)*(121&gt;=Inv_SvcV)*(121&lt;Inv_SvcV+Inv_F*12)/(Inv_F*12+(Inv_F=0)))*DV$9</f>
        <v>0</v>
      </c>
      <c r="DW259" s="48" t="n">
        <f aca="false">SUMPRODUCT((Inv_CF*DW$8+Inv_BaseV*(1-DW$8))*(Inv_F&gt;0)*(122&gt;=Inv_SvcV)*(122&lt;Inv_SvcV+Inv_F*12)/(Inv_F*12+(Inv_F=0)))*DW$9</f>
        <v>0</v>
      </c>
      <c r="DX259" s="48" t="n">
        <f aca="false">SUMPRODUCT((Inv_CF*DX$8+Inv_BaseV*(1-DX$8))*(Inv_F&gt;0)*(123&gt;=Inv_SvcV)*(123&lt;Inv_SvcV+Inv_F*12)/(Inv_F*12+(Inv_F=0)))*DX$9</f>
        <v>0</v>
      </c>
      <c r="DY259" s="48" t="n">
        <f aca="false">SUMPRODUCT((Inv_CF*DY$8+Inv_BaseV*(1-DY$8))*(Inv_F&gt;0)*(124&gt;=Inv_SvcV)*(124&lt;Inv_SvcV+Inv_F*12)/(Inv_F*12+(Inv_F=0)))*DY$9</f>
        <v>0</v>
      </c>
      <c r="DZ259" s="48" t="n">
        <f aca="false">SUMPRODUCT((Inv_CF*DZ$8+Inv_BaseV*(1-DZ$8))*(Inv_F&gt;0)*(125&gt;=Inv_SvcV)*(125&lt;Inv_SvcV+Inv_F*12)/(Inv_F*12+(Inv_F=0)))*DZ$9</f>
        <v>0</v>
      </c>
      <c r="EA259" s="48" t="n">
        <f aca="false">SUMPRODUCT((Inv_CF*EA$8+Inv_BaseV*(1-EA$8))*(Inv_F&gt;0)*(126&gt;=Inv_SvcV)*(126&lt;Inv_SvcV+Inv_F*12)/(Inv_F*12+(Inv_F=0)))*EA$9</f>
        <v>0</v>
      </c>
      <c r="EB259" s="48" t="n">
        <f aca="false">SUMPRODUCT((Inv_CF*EB$8+Inv_BaseV*(1-EB$8))*(Inv_F&gt;0)*(127&gt;=Inv_SvcV)*(127&lt;Inv_SvcV+Inv_F*12)/(Inv_F*12+(Inv_F=0)))*EB$9</f>
        <v>0</v>
      </c>
      <c r="EC259" s="48" t="n">
        <f aca="false">SUMPRODUCT((Inv_CF*EC$8+Inv_BaseV*(1-EC$8))*(Inv_F&gt;0)*(128&gt;=Inv_SvcV)*(128&lt;Inv_SvcV+Inv_F*12)/(Inv_F*12+(Inv_F=0)))*EC$9</f>
        <v>0</v>
      </c>
      <c r="ED259" s="48" t="n">
        <f aca="false">SUMPRODUCT((Inv_CF*ED$8+Inv_BaseV*(1-ED$8))*(Inv_F&gt;0)*(129&gt;=Inv_SvcV)*(129&lt;Inv_SvcV+Inv_F*12)/(Inv_F*12+(Inv_F=0)))*ED$9</f>
        <v>0</v>
      </c>
      <c r="EE259" s="48" t="n">
        <f aca="false">SUMPRODUCT((Inv_CF*EE$8+Inv_BaseV*(1-EE$8))*(Inv_F&gt;0)*(130&gt;=Inv_SvcV)*(130&lt;Inv_SvcV+Inv_F*12)/(Inv_F*12+(Inv_F=0)))*EE$9</f>
        <v>0</v>
      </c>
      <c r="EF259" s="48" t="n">
        <f aca="false">SUMPRODUCT((Inv_CF*EF$8+Inv_BaseV*(1-EF$8))*(Inv_F&gt;0)*(131&gt;=Inv_SvcV)*(131&lt;Inv_SvcV+Inv_F*12)/(Inv_F*12+(Inv_F=0)))*EF$9</f>
        <v>0</v>
      </c>
      <c r="EG259" s="48" t="n">
        <f aca="false">SUMPRODUCT((Inv_CF*EG$8+Inv_BaseV*(1-EG$8))*(Inv_F&gt;0)*(132&gt;=Inv_SvcV)*(132&lt;Inv_SvcV+Inv_F*12)/(Inv_F*12+(Inv_F=0)))*EG$9</f>
        <v>0</v>
      </c>
      <c r="EH259" s="48" t="n">
        <f aca="false">SUMPRODUCT((Inv_CF*EH$8+Inv_BaseV*(1-EH$8))*(Inv_F&gt;0)*(133&gt;=Inv_SvcV)*(133&lt;Inv_SvcV+Inv_F*12)/(Inv_F*12+(Inv_F=0)))*EH$9</f>
        <v>0</v>
      </c>
      <c r="EI259" s="48" t="n">
        <f aca="false">SUMPRODUCT((Inv_CF*EI$8+Inv_BaseV*(1-EI$8))*(Inv_F&gt;0)*(134&gt;=Inv_SvcV)*(134&lt;Inv_SvcV+Inv_F*12)/(Inv_F*12+(Inv_F=0)))*EI$9</f>
        <v>0</v>
      </c>
      <c r="EJ259" s="48" t="n">
        <f aca="false">SUMPRODUCT((Inv_CF*EJ$8+Inv_BaseV*(1-EJ$8))*(Inv_F&gt;0)*(135&gt;=Inv_SvcV)*(135&lt;Inv_SvcV+Inv_F*12)/(Inv_F*12+(Inv_F=0)))*EJ$9</f>
        <v>0</v>
      </c>
      <c r="EK259" s="48" t="n">
        <f aca="false">SUMPRODUCT((Inv_CF*EK$8+Inv_BaseV*(1-EK$8))*(Inv_F&gt;0)*(136&gt;=Inv_SvcV)*(136&lt;Inv_SvcV+Inv_F*12)/(Inv_F*12+(Inv_F=0)))*EK$9</f>
        <v>0</v>
      </c>
      <c r="EL259" s="48" t="n">
        <f aca="false">SUMPRODUCT((Inv_CF*EL$8+Inv_BaseV*(1-EL$8))*(Inv_F&gt;0)*(137&gt;=Inv_SvcV)*(137&lt;Inv_SvcV+Inv_F*12)/(Inv_F*12+(Inv_F=0)))*EL$9</f>
        <v>0</v>
      </c>
      <c r="EM259" s="48" t="n">
        <f aca="false">SUMPRODUCT((Inv_CF*EM$8+Inv_BaseV*(1-EM$8))*(Inv_F&gt;0)*(138&gt;=Inv_SvcV)*(138&lt;Inv_SvcV+Inv_F*12)/(Inv_F*12+(Inv_F=0)))*EM$9</f>
        <v>0</v>
      </c>
      <c r="EN259" s="48" t="n">
        <f aca="false">SUMPRODUCT((Inv_CF*EN$8+Inv_BaseV*(1-EN$8))*(Inv_F&gt;0)*(139&gt;=Inv_SvcV)*(139&lt;Inv_SvcV+Inv_F*12)/(Inv_F*12+(Inv_F=0)))*EN$9</f>
        <v>0</v>
      </c>
      <c r="EO259" s="48" t="n">
        <f aca="false">SUMPRODUCT((Inv_CF*EO$8+Inv_BaseV*(1-EO$8))*(Inv_F&gt;0)*(140&gt;=Inv_SvcV)*(140&lt;Inv_SvcV+Inv_F*12)/(Inv_F*12+(Inv_F=0)))*EO$9</f>
        <v>0</v>
      </c>
      <c r="EP259" s="48" t="n">
        <f aca="false">SUMPRODUCT((Inv_CF*EP$8+Inv_BaseV*(1-EP$8))*(Inv_F&gt;0)*(141&gt;=Inv_SvcV)*(141&lt;Inv_SvcV+Inv_F*12)/(Inv_F*12+(Inv_F=0)))*EP$9</f>
        <v>0</v>
      </c>
      <c r="EQ259" s="48" t="n">
        <f aca="false">SUMPRODUCT((Inv_CF*EQ$8+Inv_BaseV*(1-EQ$8))*(Inv_F&gt;0)*(142&gt;=Inv_SvcV)*(142&lt;Inv_SvcV+Inv_F*12)/(Inv_F*12+(Inv_F=0)))*EQ$9</f>
        <v>0</v>
      </c>
      <c r="ER259" s="48" t="n">
        <f aca="false">SUMPRODUCT((Inv_CF*ER$8+Inv_BaseV*(1-ER$8))*(Inv_F&gt;0)*(143&gt;=Inv_SvcV)*(143&lt;Inv_SvcV+Inv_F*12)/(Inv_F*12+(Inv_F=0)))*ER$9</f>
        <v>0</v>
      </c>
      <c r="ES259" s="48" t="n">
        <f aca="false">SUMPRODUCT((Inv_CF*ES$8+Inv_BaseV*(1-ES$8))*(Inv_F&gt;0)*(144&gt;=Inv_SvcV)*(144&lt;Inv_SvcV+Inv_F*12)/(Inv_F*12+(Inv_F=0)))*ES$9</f>
        <v>0</v>
      </c>
    </row>
    <row r="260" customFormat="false" ht="15" hidden="false" customHeight="false" outlineLevel="0" collapsed="false">
      <c r="A260" s="11" t="s">
        <v>1381</v>
      </c>
      <c r="B260" s="15" t="s">
        <v>1178</v>
      </c>
      <c r="C260" s="15" t="s">
        <v>508</v>
      </c>
      <c r="E260" s="54" t="n">
        <f aca="false">SUM(F260:ES260)</f>
        <v>15564459.926261</v>
      </c>
      <c r="F260" s="48" t="n">
        <f aca="false">F$258-F$259</f>
        <v>36531.4830589231</v>
      </c>
      <c r="G260" s="48" t="n">
        <f aca="false">G$258-G$259</f>
        <v>36531.4830589231</v>
      </c>
      <c r="H260" s="48" t="n">
        <f aca="false">H$258-H$259</f>
        <v>36531.4830589231</v>
      </c>
      <c r="I260" s="48" t="n">
        <f aca="false">I$258-I$259</f>
        <v>36531.4830589231</v>
      </c>
      <c r="J260" s="48" t="n">
        <f aca="false">J$258-J$259</f>
        <v>36531.4830589231</v>
      </c>
      <c r="K260" s="48" t="n">
        <f aca="false">K$258-K$259</f>
        <v>36531.4830589231</v>
      </c>
      <c r="L260" s="48" t="n">
        <f aca="false">L$258-L$259</f>
        <v>36531.4830589231</v>
      </c>
      <c r="M260" s="48" t="n">
        <f aca="false">M$258-M$259</f>
        <v>36531.4830589231</v>
      </c>
      <c r="N260" s="48" t="n">
        <f aca="false">N$258-N$259</f>
        <v>36531.4830589231</v>
      </c>
      <c r="O260" s="48" t="n">
        <f aca="false">O$258-O$259</f>
        <v>36531.4830589231</v>
      </c>
      <c r="P260" s="48" t="n">
        <f aca="false">P$258-P$259</f>
        <v>36531.4830589231</v>
      </c>
      <c r="Q260" s="48" t="n">
        <f aca="false">Q$258-Q$259</f>
        <v>36531.4830589231</v>
      </c>
      <c r="R260" s="48" t="n">
        <f aca="false">R$258-R$259</f>
        <v>73697.0522439648</v>
      </c>
      <c r="S260" s="48" t="n">
        <f aca="false">S$258-S$259</f>
        <v>73697.0522439648</v>
      </c>
      <c r="T260" s="48" t="n">
        <f aca="false">T$258-T$259</f>
        <v>73697.0522439648</v>
      </c>
      <c r="U260" s="48" t="n">
        <f aca="false">U$258-U$259</f>
        <v>73697.0522439648</v>
      </c>
      <c r="V260" s="48" t="n">
        <f aca="false">V$258-V$259</f>
        <v>73697.0522439648</v>
      </c>
      <c r="W260" s="48" t="n">
        <f aca="false">W$258-W$259</f>
        <v>73697.0522439648</v>
      </c>
      <c r="X260" s="48" t="n">
        <f aca="false">X$258-X$259</f>
        <v>73697.0522439648</v>
      </c>
      <c r="Y260" s="48" t="n">
        <f aca="false">Y$258-Y$259</f>
        <v>73697.0522439648</v>
      </c>
      <c r="Z260" s="48" t="n">
        <f aca="false">Z$258-Z$259</f>
        <v>73697.0522439648</v>
      </c>
      <c r="AA260" s="48" t="n">
        <f aca="false">AA$258-AA$259</f>
        <v>73697.0522439648</v>
      </c>
      <c r="AB260" s="48" t="n">
        <f aca="false">AB$258-AB$259</f>
        <v>73697.0522439648</v>
      </c>
      <c r="AC260" s="48" t="n">
        <f aca="false">AC$258-AC$259</f>
        <v>73697.0522439648</v>
      </c>
      <c r="AD260" s="48" t="n">
        <f aca="false">AD$258-AD$259</f>
        <v>110285.680115125</v>
      </c>
      <c r="AE260" s="48" t="n">
        <f aca="false">AE$258-AE$259</f>
        <v>110285.680115125</v>
      </c>
      <c r="AF260" s="48" t="n">
        <f aca="false">AF$258-AF$259</f>
        <v>110285.680115125</v>
      </c>
      <c r="AG260" s="48" t="n">
        <f aca="false">AG$258-AG$259</f>
        <v>110285.680115125</v>
      </c>
      <c r="AH260" s="48" t="n">
        <f aca="false">AH$258-AH$259</f>
        <v>110285.680115125</v>
      </c>
      <c r="AI260" s="48" t="n">
        <f aca="false">AI$258-AI$259</f>
        <v>110285.680115125</v>
      </c>
      <c r="AJ260" s="48" t="n">
        <f aca="false">AJ$258-AJ$259</f>
        <v>110285.680115125</v>
      </c>
      <c r="AK260" s="48" t="n">
        <f aca="false">AK$258-AK$259</f>
        <v>110285.680115125</v>
      </c>
      <c r="AL260" s="48" t="n">
        <f aca="false">AL$258-AL$259</f>
        <v>110285.680115125</v>
      </c>
      <c r="AM260" s="48" t="n">
        <f aca="false">AM$258-AM$259</f>
        <v>110285.680115125</v>
      </c>
      <c r="AN260" s="48" t="n">
        <f aca="false">AN$258-AN$259</f>
        <v>110285.680115125</v>
      </c>
      <c r="AO260" s="48" t="n">
        <f aca="false">AO$258-AO$259</f>
        <v>110285.680115125</v>
      </c>
      <c r="AP260" s="48" t="n">
        <f aca="false">AP$258-AP$259</f>
        <v>143094.229129858</v>
      </c>
      <c r="AQ260" s="48" t="n">
        <f aca="false">AQ$258-AQ$259</f>
        <v>143094.229129858</v>
      </c>
      <c r="AR260" s="48" t="n">
        <f aca="false">AR$258-AR$259</f>
        <v>143094.229129858</v>
      </c>
      <c r="AS260" s="48" t="n">
        <f aca="false">AS$258-AS$259</f>
        <v>143094.229129858</v>
      </c>
      <c r="AT260" s="48" t="n">
        <f aca="false">AT$258-AT$259</f>
        <v>143094.229129858</v>
      </c>
      <c r="AU260" s="48" t="n">
        <f aca="false">AU$258-AU$259</f>
        <v>143094.229129858</v>
      </c>
      <c r="AV260" s="48" t="n">
        <f aca="false">AV$258-AV$259</f>
        <v>143094.229129858</v>
      </c>
      <c r="AW260" s="48" t="n">
        <f aca="false">AW$258-AW$259</f>
        <v>143094.229129858</v>
      </c>
      <c r="AX260" s="48" t="n">
        <f aca="false">AX$258-AX$259</f>
        <v>143094.229129858</v>
      </c>
      <c r="AY260" s="48" t="n">
        <f aca="false">AY$258-AY$259</f>
        <v>143094.229129858</v>
      </c>
      <c r="AZ260" s="48" t="n">
        <f aca="false">AZ$258-AZ$259</f>
        <v>143094.229129858</v>
      </c>
      <c r="BA260" s="48" t="n">
        <f aca="false">BA$258-BA$259</f>
        <v>143094.229129858</v>
      </c>
      <c r="BB260" s="48" t="n">
        <f aca="false">BB$258-BB$259</f>
        <v>144413.814126374</v>
      </c>
      <c r="BC260" s="48" t="n">
        <f aca="false">BC$258-BC$259</f>
        <v>144413.814126374</v>
      </c>
      <c r="BD260" s="48" t="n">
        <f aca="false">BD$258-BD$259</f>
        <v>144413.814126374</v>
      </c>
      <c r="BE260" s="48" t="n">
        <f aca="false">BE$258-BE$259</f>
        <v>144413.814126374</v>
      </c>
      <c r="BF260" s="48" t="n">
        <f aca="false">BF$258-BF$259</f>
        <v>144413.814126374</v>
      </c>
      <c r="BG260" s="48" t="n">
        <f aca="false">BG$258-BG$259</f>
        <v>144413.814126374</v>
      </c>
      <c r="BH260" s="48" t="n">
        <f aca="false">BH$258-BH$259</f>
        <v>144413.814126374</v>
      </c>
      <c r="BI260" s="48" t="n">
        <f aca="false">BI$258-BI$259</f>
        <v>144413.814126374</v>
      </c>
      <c r="BJ260" s="48" t="n">
        <f aca="false">BJ$258-BJ$259</f>
        <v>144413.814126374</v>
      </c>
      <c r="BK260" s="48" t="n">
        <f aca="false">BK$258-BK$259</f>
        <v>144413.814126374</v>
      </c>
      <c r="BL260" s="48" t="n">
        <f aca="false">BL$258-BL$259</f>
        <v>144413.814126374</v>
      </c>
      <c r="BM260" s="48" t="n">
        <f aca="false">BM$258-BM$259</f>
        <v>144413.814126374</v>
      </c>
      <c r="BN260" s="48" t="n">
        <f aca="false">BN$258-BN$259</f>
        <v>149515.724381159</v>
      </c>
      <c r="BO260" s="48" t="n">
        <f aca="false">BO$258-BO$259</f>
        <v>149515.724381159</v>
      </c>
      <c r="BP260" s="48" t="n">
        <f aca="false">BP$258-BP$259</f>
        <v>149515.724381159</v>
      </c>
      <c r="BQ260" s="48" t="n">
        <f aca="false">BQ$258-BQ$259</f>
        <v>149515.724381159</v>
      </c>
      <c r="BR260" s="48" t="n">
        <f aca="false">BR$258-BR$259</f>
        <v>149515.724381159</v>
      </c>
      <c r="BS260" s="48" t="n">
        <f aca="false">BS$258-BS$259</f>
        <v>149515.724381159</v>
      </c>
      <c r="BT260" s="48" t="n">
        <f aca="false">BT$258-BT$259</f>
        <v>149515.724381159</v>
      </c>
      <c r="BU260" s="48" t="n">
        <f aca="false">BU$258-BU$259</f>
        <v>149515.724381159</v>
      </c>
      <c r="BV260" s="48" t="n">
        <f aca="false">BV$258-BV$259</f>
        <v>149515.724381159</v>
      </c>
      <c r="BW260" s="48" t="n">
        <f aca="false">BW$258-BW$259</f>
        <v>149515.724381159</v>
      </c>
      <c r="BX260" s="48" t="n">
        <f aca="false">BX$258-BX$259</f>
        <v>149515.724381159</v>
      </c>
      <c r="BY260" s="48" t="n">
        <f aca="false">BY$258-BY$259</f>
        <v>149515.724381159</v>
      </c>
      <c r="BZ260" s="48" t="n">
        <f aca="false">BZ$258-BZ$259</f>
        <v>153631.305072733</v>
      </c>
      <c r="CA260" s="48" t="n">
        <f aca="false">CA$258-CA$259</f>
        <v>153631.305072733</v>
      </c>
      <c r="CB260" s="48" t="n">
        <f aca="false">CB$258-CB$259</f>
        <v>153631.305072733</v>
      </c>
      <c r="CC260" s="48" t="n">
        <f aca="false">CC$258-CC$259</f>
        <v>153631.305072733</v>
      </c>
      <c r="CD260" s="48" t="n">
        <f aca="false">CD$258-CD$259</f>
        <v>153631.305072733</v>
      </c>
      <c r="CE260" s="48" t="n">
        <f aca="false">CE$258-CE$259</f>
        <v>153631.305072733</v>
      </c>
      <c r="CF260" s="48" t="n">
        <f aca="false">CF$258-CF$259</f>
        <v>153631.305072733</v>
      </c>
      <c r="CG260" s="48" t="n">
        <f aca="false">CG$258-CG$259</f>
        <v>153631.305072733</v>
      </c>
      <c r="CH260" s="48" t="n">
        <f aca="false">CH$258-CH$259</f>
        <v>153631.305072733</v>
      </c>
      <c r="CI260" s="48" t="n">
        <f aca="false">CI$258-CI$259</f>
        <v>153631.305072733</v>
      </c>
      <c r="CJ260" s="48" t="n">
        <f aca="false">CJ$258-CJ$259</f>
        <v>153631.305072733</v>
      </c>
      <c r="CK260" s="48" t="n">
        <f aca="false">CK$258-CK$259</f>
        <v>153631.305072733</v>
      </c>
      <c r="CL260" s="48" t="n">
        <f aca="false">CL$258-CL$259</f>
        <v>157775.101129621</v>
      </c>
      <c r="CM260" s="48" t="n">
        <f aca="false">CM$258-CM$259</f>
        <v>157775.101129621</v>
      </c>
      <c r="CN260" s="48" t="n">
        <f aca="false">CN$258-CN$259</f>
        <v>157775.101129621</v>
      </c>
      <c r="CO260" s="48" t="n">
        <f aca="false">CO$258-CO$259</f>
        <v>157775.101129621</v>
      </c>
      <c r="CP260" s="48" t="n">
        <f aca="false">CP$258-CP$259</f>
        <v>157775.101129621</v>
      </c>
      <c r="CQ260" s="48" t="n">
        <f aca="false">CQ$258-CQ$259</f>
        <v>157775.101129621</v>
      </c>
      <c r="CR260" s="48" t="n">
        <f aca="false">CR$258-CR$259</f>
        <v>157775.101129621</v>
      </c>
      <c r="CS260" s="48" t="n">
        <f aca="false">CS$258-CS$259</f>
        <v>157775.101129621</v>
      </c>
      <c r="CT260" s="48" t="n">
        <f aca="false">CT$258-CT$259</f>
        <v>157775.101129621</v>
      </c>
      <c r="CU260" s="48" t="n">
        <f aca="false">CU$258-CU$259</f>
        <v>157775.101129621</v>
      </c>
      <c r="CV260" s="48" t="n">
        <f aca="false">CV$258-CV$259</f>
        <v>157775.101129621</v>
      </c>
      <c r="CW260" s="48" t="n">
        <f aca="false">CW$258-CW$259</f>
        <v>157775.101129621</v>
      </c>
      <c r="CX260" s="48" t="n">
        <f aca="false">CX$258-CX$259</f>
        <v>161947.012232241</v>
      </c>
      <c r="CY260" s="48" t="n">
        <f aca="false">CY$258-CY$259</f>
        <v>161947.012232241</v>
      </c>
      <c r="CZ260" s="48" t="n">
        <f aca="false">CZ$258-CZ$259</f>
        <v>161947.012232241</v>
      </c>
      <c r="DA260" s="48" t="n">
        <f aca="false">DA$258-DA$259</f>
        <v>161947.012232241</v>
      </c>
      <c r="DB260" s="48" t="n">
        <f aca="false">DB$258-DB$259</f>
        <v>161947.012232241</v>
      </c>
      <c r="DC260" s="48" t="n">
        <f aca="false">DC$258-DC$259</f>
        <v>161947.012232241</v>
      </c>
      <c r="DD260" s="48" t="n">
        <f aca="false">DD$258-DD$259</f>
        <v>161947.012232241</v>
      </c>
      <c r="DE260" s="48" t="n">
        <f aca="false">DE$258-DE$259</f>
        <v>161947.012232241</v>
      </c>
      <c r="DF260" s="48" t="n">
        <f aca="false">DF$258-DF$259</f>
        <v>161947.012232241</v>
      </c>
      <c r="DG260" s="48" t="n">
        <f aca="false">DG$258-DG$259</f>
        <v>161947.012232241</v>
      </c>
      <c r="DH260" s="48" t="n">
        <f aca="false">DH$258-DH$259</f>
        <v>161947.012232241</v>
      </c>
      <c r="DI260" s="48" t="n">
        <f aca="false">DI$258-DI$259</f>
        <v>161947.012232241</v>
      </c>
      <c r="DJ260" s="48" t="n">
        <f aca="false">DJ$258-DJ$259</f>
        <v>166146.925698419</v>
      </c>
      <c r="DK260" s="48" t="n">
        <f aca="false">DK$258-DK$259</f>
        <v>166146.925698419</v>
      </c>
      <c r="DL260" s="48" t="n">
        <f aca="false">DL$258-DL$259</f>
        <v>166146.925698419</v>
      </c>
      <c r="DM260" s="48" t="n">
        <f aca="false">DM$258-DM$259</f>
        <v>166146.925698419</v>
      </c>
      <c r="DN260" s="48" t="n">
        <f aca="false">DN$258-DN$259</f>
        <v>166146.925698419</v>
      </c>
      <c r="DO260" s="48" t="n">
        <f aca="false">DO$258-DO$259</f>
        <v>166146.925698419</v>
      </c>
      <c r="DP260" s="48" t="n">
        <f aca="false">DP$258-DP$259</f>
        <v>166146.925698419</v>
      </c>
      <c r="DQ260" s="48" t="n">
        <f aca="false">DQ$258-DQ$259</f>
        <v>166146.925698419</v>
      </c>
      <c r="DR260" s="48" t="n">
        <f aca="false">DR$258-DR$259</f>
        <v>166146.925698419</v>
      </c>
      <c r="DS260" s="48" t="n">
        <f aca="false">DS$258-DS$259</f>
        <v>166146.925698419</v>
      </c>
      <c r="DT260" s="48" t="n">
        <f aca="false">DT$258-DT$259</f>
        <v>166146.925698419</v>
      </c>
      <c r="DU260" s="48" t="n">
        <f aca="false">DU$258-DU$259</f>
        <v>166146.925698419</v>
      </c>
      <c r="DV260" s="48" t="n">
        <f aca="false">DV$258-DV$259</f>
        <v>0</v>
      </c>
      <c r="DW260" s="48" t="n">
        <f aca="false">DW$258-DW$259</f>
        <v>0</v>
      </c>
      <c r="DX260" s="48" t="n">
        <f aca="false">DX$258-DX$259</f>
        <v>0</v>
      </c>
      <c r="DY260" s="48" t="n">
        <f aca="false">DY$258-DY$259</f>
        <v>0</v>
      </c>
      <c r="DZ260" s="48" t="n">
        <f aca="false">DZ$258-DZ$259</f>
        <v>0</v>
      </c>
      <c r="EA260" s="48" t="n">
        <f aca="false">EA$258-EA$259</f>
        <v>0</v>
      </c>
      <c r="EB260" s="48" t="n">
        <f aca="false">EB$258-EB$259</f>
        <v>0</v>
      </c>
      <c r="EC260" s="48" t="n">
        <f aca="false">EC$258-EC$259</f>
        <v>0</v>
      </c>
      <c r="ED260" s="48" t="n">
        <f aca="false">ED$258-ED$259</f>
        <v>0</v>
      </c>
      <c r="EE260" s="48" t="n">
        <f aca="false">EE$258-EE$259</f>
        <v>0</v>
      </c>
      <c r="EF260" s="48" t="n">
        <f aca="false">EF$258-EF$259</f>
        <v>0</v>
      </c>
      <c r="EG260" s="48" t="n">
        <f aca="false">EG$258-EG$259</f>
        <v>0</v>
      </c>
      <c r="EH260" s="48" t="n">
        <f aca="false">EH$258-EH$259</f>
        <v>0</v>
      </c>
      <c r="EI260" s="48" t="n">
        <f aca="false">EI$258-EI$259</f>
        <v>0</v>
      </c>
      <c r="EJ260" s="48" t="n">
        <f aca="false">EJ$258-EJ$259</f>
        <v>0</v>
      </c>
      <c r="EK260" s="48" t="n">
        <f aca="false">EK$258-EK$259</f>
        <v>0</v>
      </c>
      <c r="EL260" s="48" t="n">
        <f aca="false">EL$258-EL$259</f>
        <v>0</v>
      </c>
      <c r="EM260" s="48" t="n">
        <f aca="false">EM$258-EM$259</f>
        <v>0</v>
      </c>
      <c r="EN260" s="48" t="n">
        <f aca="false">EN$258-EN$259</f>
        <v>0</v>
      </c>
      <c r="EO260" s="48" t="n">
        <f aca="false">EO$258-EO$259</f>
        <v>0</v>
      </c>
      <c r="EP260" s="48" t="n">
        <f aca="false">EP$258-EP$259</f>
        <v>0</v>
      </c>
      <c r="EQ260" s="48" t="n">
        <f aca="false">EQ$258-EQ$259</f>
        <v>0</v>
      </c>
      <c r="ER260" s="48" t="n">
        <f aca="false">ER$258-ER$259</f>
        <v>0</v>
      </c>
      <c r="ES260" s="48" t="n">
        <f aca="false">ES$258-ES$259</f>
        <v>0</v>
      </c>
    </row>
    <row r="261" customFormat="false" ht="15" hidden="false" customHeight="false" outlineLevel="0" collapsed="false">
      <c r="A261" s="11" t="s">
        <v>1382</v>
      </c>
      <c r="B261" s="15" t="s">
        <v>1180</v>
      </c>
      <c r="C261" s="15" t="s">
        <v>508</v>
      </c>
      <c r="E261" s="54" t="n">
        <f aca="false">SUM(F261:ES261)</f>
        <v>813214.128224454</v>
      </c>
      <c r="F261" s="48" t="n">
        <f aca="false">IF(F$8=1,IF(Reales!$C$74="PYG",IF(F$10&gt;0,N(Reales!F74)/F$10,0),N(Reales!F74)),(F$280+F$284+F$288+F$296)*(1+V_IVAint))</f>
        <v>23030.59275</v>
      </c>
      <c r="G261" s="48" t="n">
        <f aca="false">IF(G$8=1,IF(Reales!$C$74="PYG",IF(G$10&gt;0,N(Reales!G74)/G$10,0),N(Reales!G74)),(G$280+G$284+G$288+G$296)*(1+V_IVAint))</f>
        <v>23030.59275</v>
      </c>
      <c r="H261" s="48" t="n">
        <f aca="false">IF(H$8=1,IF(Reales!$C$74="PYG",IF(H$10&gt;0,N(Reales!H74)/H$10,0),N(Reales!H74)),(H$280+H$284+H$288+H$296)*(1+V_IVAint))</f>
        <v>23030.59275</v>
      </c>
      <c r="I261" s="48" t="n">
        <f aca="false">IF(I$8=1,IF(Reales!$C$74="PYG",IF(I$10&gt;0,N(Reales!I74)/I$10,0),N(Reales!I74)),(I$280+I$284+I$288+I$296)*(1+V_IVAint))</f>
        <v>23030.59275</v>
      </c>
      <c r="J261" s="48" t="n">
        <f aca="false">IF(J$8=1,IF(Reales!$C$74="PYG",IF(J$10&gt;0,N(Reales!J74)/J$10,0),N(Reales!J74)),(J$280+J$284+J$288+J$296)*(1+V_IVAint))</f>
        <v>23030.59275</v>
      </c>
      <c r="K261" s="48" t="n">
        <f aca="false">IF(K$8=1,IF(Reales!$C$74="PYG",IF(K$10&gt;0,N(Reales!K74)/K$10,0),N(Reales!K74)),(K$280+K$284+K$288+K$296)*(1+V_IVAint))</f>
        <v>23030.59275</v>
      </c>
      <c r="L261" s="48" t="n">
        <f aca="false">IF(L$8=1,IF(Reales!$C$74="PYG",IF(L$10&gt;0,N(Reales!L74)/L$10,0),N(Reales!L74)),(L$280+L$284+L$288+L$296)*(1+V_IVAint))</f>
        <v>23030.59275</v>
      </c>
      <c r="M261" s="48" t="n">
        <f aca="false">IF(M$8=1,IF(Reales!$C$74="PYG",IF(M$10&gt;0,N(Reales!M74)/M$10,0),N(Reales!M74)),(M$280+M$284+M$288+M$296)*(1+V_IVAint))</f>
        <v>22683.0754912188</v>
      </c>
      <c r="N261" s="48" t="n">
        <f aca="false">IF(N$8=1,IF(Reales!$C$74="PYG",IF(N$10&gt;0,N(Reales!N74)/N$10,0),N(Reales!N74)),(N$280+N$284+N$288+N$296)*(1+V_IVAint))</f>
        <v>22332.9518529968</v>
      </c>
      <c r="O261" s="48" t="n">
        <f aca="false">IF(O$8=1,IF(Reales!$C$74="PYG",IF(O$10&gt;0,N(Reales!O74)/O$10,0),N(Reales!O74)),(O$280+O$284+O$288+O$296)*(1+V_IVAint))</f>
        <v>21980.2022874881</v>
      </c>
      <c r="P261" s="48" t="n">
        <f aca="false">IF(P$8=1,IF(Reales!$C$74="PYG",IF(P$10&gt;0,N(Reales!P74)/P$10,0),N(Reales!P74)),(P$280+P$284+P$288+P$296)*(1+V_IVAint))</f>
        <v>21624.8071002381</v>
      </c>
      <c r="Q261" s="48" t="n">
        <f aca="false">IF(Q$8=1,IF(Reales!$C$74="PYG",IF(Q$10&gt;0,N(Reales!Q74)/Q$10,0),N(Reales!Q74)),(Q$280+Q$284+Q$288+Q$296)*(1+V_IVAint))</f>
        <v>21266.7464490837</v>
      </c>
      <c r="R261" s="48" t="n">
        <f aca="false">IF(R$8=1,IF(Reales!$C$74="PYG",IF(R$10&gt;0,N(Reales!R74)/R$10,0),N(Reales!R74)),(R$280+R$284+R$288+R$296)*(1+V_IVAint))</f>
        <v>20906.0003430457</v>
      </c>
      <c r="S261" s="48" t="n">
        <f aca="false">IF(S$8=1,IF(Reales!$C$74="PYG",IF(S$10&gt;0,N(Reales!S74)/S$10,0),N(Reales!S74)),(S$280+S$284+S$288+S$296)*(1+V_IVAint))</f>
        <v>20542.5486412123</v>
      </c>
      <c r="T261" s="48" t="n">
        <f aca="false">IF(T$8=1,IF(Reales!$C$74="PYG",IF(T$10&gt;0,N(Reales!T74)/T$10,0),N(Reales!T74)),(T$280+T$284+T$288+T$296)*(1+V_IVAint))</f>
        <v>20176.3710516152</v>
      </c>
      <c r="U261" s="48" t="n">
        <f aca="false">IF(U$8=1,IF(Reales!$C$74="PYG",IF(U$10&gt;0,N(Reales!U74)/U$10,0),N(Reales!U74)),(U$280+U$284+U$288+U$296)*(1+V_IVAint))</f>
        <v>19807.4471300962</v>
      </c>
      <c r="V261" s="48" t="n">
        <f aca="false">IF(V$8=1,IF(Reales!$C$74="PYG",IF(V$10&gt;0,N(Reales!V74)/V$10,0),N(Reales!V74)),(V$280+V$284+V$288+V$296)*(1+V_IVAint))</f>
        <v>19435.7562791657</v>
      </c>
      <c r="W261" s="48" t="n">
        <f aca="false">IF(W$8=1,IF(Reales!$C$74="PYG",IF(W$10&gt;0,N(Reales!W74)/W$10,0),N(Reales!W74)),(W$280+W$284+W$288+W$296)*(1+V_IVAint))</f>
        <v>19061.2777468533</v>
      </c>
      <c r="X261" s="48" t="n">
        <f aca="false">IF(X$8=1,IF(Reales!$C$74="PYG",IF(X$10&gt;0,N(Reales!X74)/X$10,0),N(Reales!X74)),(X$280+X$284+X$288+X$296)*(1+V_IVAint))</f>
        <v>18683.9906255485</v>
      </c>
      <c r="Y261" s="48" t="n">
        <f aca="false">IF(Y$8=1,IF(Reales!$C$74="PYG",IF(Y$10&gt;0,N(Reales!Y74)/Y$10,0),N(Reales!Y74)),(Y$280+Y$284+Y$288+Y$296)*(1+V_IVAint))</f>
        <v>18303.873850834</v>
      </c>
      <c r="Z261" s="48" t="n">
        <f aca="false">IF(Z$8=1,IF(Reales!$C$74="PYG",IF(Z$10&gt;0,N(Reales!Z74)/Z$10,0),N(Reales!Z74)),(Z$280+Z$284+Z$288+Z$296)*(1+V_IVAint))</f>
        <v>17920.906200309</v>
      </c>
      <c r="AA261" s="48" t="n">
        <f aca="false">IF(AA$8=1,IF(Reales!$C$74="PYG",IF(AA$10&gt;0,N(Reales!AA74)/AA$10,0),N(Reales!AA74)),(AA$280+AA$284+AA$288+AA$296)*(1+V_IVAint))</f>
        <v>17535.0662924052</v>
      </c>
      <c r="AB261" s="48" t="n">
        <f aca="false">IF(AB$8=1,IF(Reales!$C$74="PYG",IF(AB$10&gt;0,N(Reales!AB74)/AB$10,0),N(Reales!AB74)),(AB$280+AB$284+AB$288+AB$296)*(1+V_IVAint))</f>
        <v>17146.3325851921</v>
      </c>
      <c r="AC261" s="48" t="n">
        <f aca="false">IF(AC$8=1,IF(Reales!$C$74="PYG",IF(AC$10&gt;0,N(Reales!AC74)/AC$10,0),N(Reales!AC74)),(AC$280+AC$284+AC$288+AC$296)*(1+V_IVAint))</f>
        <v>16754.6833751748</v>
      </c>
      <c r="AD261" s="48" t="n">
        <f aca="false">IF(AD$8=1,IF(Reales!$C$74="PYG",IF(AD$10&gt;0,N(Reales!AD74)/AD$10,0),N(Reales!AD74)),(AD$280+AD$284+AD$288+AD$296)*(1+V_IVAint))</f>
        <v>16360.0967960825</v>
      </c>
      <c r="AE261" s="48" t="n">
        <f aca="false">IF(AE$8=1,IF(Reales!$C$74="PYG",IF(AE$10&gt;0,N(Reales!AE74)/AE$10,0),N(Reales!AE74)),(AE$280+AE$284+AE$288+AE$296)*(1+V_IVAint))</f>
        <v>15962.5508176469</v>
      </c>
      <c r="AF261" s="48" t="n">
        <f aca="false">IF(AF$8=1,IF(Reales!$C$74="PYG",IF(AF$10&gt;0,N(Reales!AF74)/AF$10,0),N(Reales!AF74)),(AF$280+AF$284+AF$288+AF$296)*(1+V_IVAint))</f>
        <v>15562.0232443731</v>
      </c>
      <c r="AG261" s="48" t="n">
        <f aca="false">IF(AG$8=1,IF(Reales!$C$74="PYG",IF(AG$10&gt;0,N(Reales!AG74)/AG$10,0),N(Reales!AG74)),(AG$280+AG$284+AG$288+AG$296)*(1+V_IVAint))</f>
        <v>15158.4917142997</v>
      </c>
      <c r="AH261" s="48" t="n">
        <f aca="false">IF(AH$8=1,IF(Reales!$C$74="PYG",IF(AH$10&gt;0,N(Reales!AH74)/AH$10,0),N(Reales!AH74)),(AH$280+AH$284+AH$288+AH$296)*(1+V_IVAint))</f>
        <v>14751.9336977508</v>
      </c>
      <c r="AI261" s="48" t="n">
        <f aca="false">IF(AI$8=1,IF(Reales!$C$74="PYG",IF(AI$10&gt;0,N(Reales!AI74)/AI$10,0),N(Reales!AI74)),(AI$280+AI$284+AI$288+AI$296)*(1+V_IVAint))</f>
        <v>14342.3264960777</v>
      </c>
      <c r="AJ261" s="48" t="n">
        <f aca="false">IF(AJ$8=1,IF(Reales!$C$74="PYG",IF(AJ$10&gt;0,N(Reales!AJ74)/AJ$10,0),N(Reales!AJ74)),(AJ$280+AJ$284+AJ$288+AJ$296)*(1+V_IVAint))</f>
        <v>13929.6472403921</v>
      </c>
      <c r="AK261" s="48" t="n">
        <f aca="false">IF(AK$8=1,IF(Reales!$C$74="PYG",IF(AK$10&gt;0,N(Reales!AK74)/AK$10,0),N(Reales!AK74)),(AK$280+AK$284+AK$288+AK$296)*(1+V_IVAint))</f>
        <v>13513.8728902889</v>
      </c>
      <c r="AL261" s="48" t="n">
        <f aca="false">IF(AL$8=1,IF(Reales!$C$74="PYG",IF(AL$10&gt;0,N(Reales!AL74)/AL$10,0),N(Reales!AL74)),(AL$280+AL$284+AL$288+AL$296)*(1+V_IVAint))</f>
        <v>13094.9802325599</v>
      </c>
      <c r="AM261" s="48" t="n">
        <f aca="false">IF(AM$8=1,IF(Reales!$C$74="PYG",IF(AM$10&gt;0,N(Reales!AM74)/AM$10,0),N(Reales!AM74)),(AM$280+AM$284+AM$288+AM$296)*(1+V_IVAint))</f>
        <v>12672.9458798979</v>
      </c>
      <c r="AN261" s="48" t="n">
        <f aca="false">IF(AN$8=1,IF(Reales!$C$74="PYG",IF(AN$10&gt;0,N(Reales!AN74)/AN$10,0),N(Reales!AN74)),(AN$280+AN$284+AN$288+AN$296)*(1+V_IVAint))</f>
        <v>12247.746269591</v>
      </c>
      <c r="AO261" s="48" t="n">
        <f aca="false">IF(AO$8=1,IF(Reales!$C$74="PYG",IF(AO$10&gt;0,N(Reales!AO74)/AO$10,0),N(Reales!AO74)),(AO$280+AO$284+AO$288+AO$296)*(1+V_IVAint))</f>
        <v>11819.3576622067</v>
      </c>
      <c r="AP261" s="48" t="n">
        <f aca="false">IF(AP$8=1,IF(Reales!$C$74="PYG",IF(AP$10&gt;0,N(Reales!AP74)/AP$10,0),N(Reales!AP74)),(AP$280+AP$284+AP$288+AP$296)*(1+V_IVAint))</f>
        <v>11387.7561402671</v>
      </c>
      <c r="AQ261" s="48" t="n">
        <f aca="false">IF(AQ$8=1,IF(Reales!$C$74="PYG",IF(AQ$10&gt;0,N(Reales!AQ74)/AQ$10,0),N(Reales!AQ74)),(AQ$280+AQ$284+AQ$288+AQ$296)*(1+V_IVAint))</f>
        <v>10952.917606913</v>
      </c>
      <c r="AR261" s="48" t="n">
        <f aca="false">IF(AR$8=1,IF(Reales!$C$74="PYG",IF(AR$10&gt;0,N(Reales!AR74)/AR$10,0),N(Reales!AR74)),(AR$280+AR$284+AR$288+AR$296)*(1+V_IVAint))</f>
        <v>10514.8177845586</v>
      </c>
      <c r="AS261" s="48" t="n">
        <f aca="false">IF(AS$8=1,IF(Reales!$C$74="PYG",IF(AS$10&gt;0,N(Reales!AS74)/AS$10,0),N(Reales!AS74)),(AS$280+AS$284+AS$288+AS$296)*(1+V_IVAint))</f>
        <v>10073.4322135366</v>
      </c>
      <c r="AT261" s="48" t="n">
        <f aca="false">IF(AT$8=1,IF(Reales!$C$74="PYG",IF(AT$10&gt;0,N(Reales!AT74)/AT$10,0),N(Reales!AT74)),(AT$280+AT$284+AT$288+AT$296)*(1+V_IVAint))</f>
        <v>9628.736250732</v>
      </c>
      <c r="AU261" s="48" t="n">
        <f aca="false">IF(AU$8=1,IF(Reales!$C$74="PYG",IF(AU$10&gt;0,N(Reales!AU74)/AU$10,0),N(Reales!AU74)),(AU$280+AU$284+AU$288+AU$296)*(1+V_IVAint))</f>
        <v>9180.70506820631</v>
      </c>
      <c r="AV261" s="48" t="n">
        <f aca="false">IF(AV$8=1,IF(Reales!$C$74="PYG",IF(AV$10&gt;0,N(Reales!AV74)/AV$10,0),N(Reales!AV74)),(AV$280+AV$284+AV$288+AV$296)*(1+V_IVAint))</f>
        <v>8729.31365181168</v>
      </c>
      <c r="AW261" s="48" t="n">
        <f aca="false">IF(AW$8=1,IF(Reales!$C$74="PYG",IF(AW$10&gt;0,N(Reales!AW74)/AW$10,0),N(Reales!AW74)),(AW$280+AW$284+AW$288+AW$296)*(1+V_IVAint))</f>
        <v>8274.5367997941</v>
      </c>
      <c r="AX261" s="48" t="n">
        <f aca="false">IF(AX$8=1,IF(Reales!$C$74="PYG",IF(AX$10&gt;0,N(Reales!AX74)/AX$10,0),N(Reales!AX74)),(AX$280+AX$284+AX$288+AX$296)*(1+V_IVAint))</f>
        <v>7816.34912138638</v>
      </c>
      <c r="AY261" s="48" t="n">
        <f aca="false">IF(AY$8=1,IF(Reales!$C$74="PYG",IF(AY$10&gt;0,N(Reales!AY74)/AY$10,0),N(Reales!AY74)),(AY$280+AY$284+AY$288+AY$296)*(1+V_IVAint))</f>
        <v>7354.7250353906</v>
      </c>
      <c r="AZ261" s="48" t="n">
        <f aca="false">IF(AZ$8=1,IF(Reales!$C$74="PYG",IF(AZ$10&gt;0,N(Reales!AZ74)/AZ$10,0),N(Reales!AZ74)),(AZ$280+AZ$284+AZ$288+AZ$296)*(1+V_IVAint))</f>
        <v>6889.63876874986</v>
      </c>
      <c r="BA261" s="48" t="n">
        <f aca="false">IF(BA$8=1,IF(Reales!$C$74="PYG",IF(BA$10&gt;0,N(Reales!BA74)/BA$10,0),N(Reales!BA74)),(BA$280+BA$284+BA$288+BA$296)*(1+V_IVAint))</f>
        <v>6421.06435510931</v>
      </c>
      <c r="BB261" s="48" t="n">
        <f aca="false">IF(BB$8=1,IF(Reales!$C$74="PYG",IF(BB$10&gt;0,N(Reales!BB74)/BB$10,0),N(Reales!BB74)),(BB$280+BB$284+BB$288+BB$296)*(1+V_IVAint))</f>
        <v>5948.97563336646</v>
      </c>
      <c r="BC261" s="48" t="n">
        <f aca="false">IF(BC$8=1,IF(Reales!$C$74="PYG",IF(BC$10&gt;0,N(Reales!BC74)/BC$10,0),N(Reales!BC74)),(BC$280+BC$284+BC$288+BC$296)*(1+V_IVAint))</f>
        <v>5473.34624621053</v>
      </c>
      <c r="BD261" s="48" t="n">
        <f aca="false">IF(BD$8=1,IF(Reales!$C$74="PYG",IF(BD$10&gt;0,N(Reales!BD74)/BD$10,0),N(Reales!BD74)),(BD$280+BD$284+BD$288+BD$296)*(1+V_IVAint))</f>
        <v>4994.14963865093</v>
      </c>
      <c r="BE261" s="48" t="n">
        <f aca="false">IF(BE$8=1,IF(Reales!$C$74="PYG",IF(BE$10&gt;0,N(Reales!BE74)/BE$10,0),N(Reales!BE74)),(BE$280+BE$284+BE$288+BE$296)*(1+V_IVAint))</f>
        <v>4511.35905653464</v>
      </c>
      <c r="BF261" s="48" t="n">
        <f aca="false">IF(BF$8=1,IF(Reales!$C$74="PYG",IF(BF$10&gt;0,N(Reales!BF74)/BF$10,0),N(Reales!BF74)),(BF$280+BF$284+BF$288+BF$296)*(1+V_IVAint))</f>
        <v>4024.94754505248</v>
      </c>
      <c r="BG261" s="48" t="n">
        <f aca="false">IF(BG$8=1,IF(Reales!$C$74="PYG",IF(BG$10&gt;0,N(Reales!BG74)/BG$10,0),N(Reales!BG74)),(BG$280+BG$284+BG$288+BG$296)*(1+V_IVAint))</f>
        <v>3534.8879472342</v>
      </c>
      <c r="BH261" s="48" t="n">
        <f aca="false">IF(BH$8=1,IF(Reales!$C$74="PYG",IF(BH$10&gt;0,N(Reales!BH74)/BH$10,0),N(Reales!BH74)),(BH$280+BH$284+BH$288+BH$296)*(1+V_IVAint))</f>
        <v>3041.15290243228</v>
      </c>
      <c r="BI261" s="48" t="n">
        <f aca="false">IF(BI$8=1,IF(Reales!$C$74="PYG",IF(BI$10&gt;0,N(Reales!BI74)/BI$10,0),N(Reales!BI74)),(BI$280+BI$284+BI$288+BI$296)*(1+V_IVAint))</f>
        <v>2543.71484479435</v>
      </c>
      <c r="BJ261" s="48" t="n">
        <f aca="false">IF(BJ$8=1,IF(Reales!$C$74="PYG",IF(BJ$10&gt;0,N(Reales!BJ74)/BJ$10,0),N(Reales!BJ74)),(BJ$280+BJ$284+BJ$288+BJ$296)*(1+V_IVAint))</f>
        <v>2042.54600172413</v>
      </c>
      <c r="BK261" s="48" t="n">
        <f aca="false">IF(BK$8=1,IF(Reales!$C$74="PYG",IF(BK$10&gt;0,N(Reales!BK74)/BK$10,0),N(Reales!BK74)),(BK$280+BK$284+BK$288+BK$296)*(1+V_IVAint))</f>
        <v>1537.61839233089</v>
      </c>
      <c r="BL261" s="48" t="n">
        <f aca="false">IF(BL$8=1,IF(Reales!$C$74="PYG",IF(BL$10&gt;0,N(Reales!BL74)/BL$10,0),N(Reales!BL74)),(BL$280+BL$284+BL$288+BL$296)*(1+V_IVAint))</f>
        <v>1028.9038258672</v>
      </c>
      <c r="BM261" s="48" t="n">
        <f aca="false">IF(BM$8=1,IF(Reales!$C$74="PYG",IF(BM$10&gt;0,N(Reales!BM74)/BM$10,0),N(Reales!BM74)),(BM$280+BM$284+BM$288+BM$296)*(1+V_IVAint))</f>
        <v>516.373900155025</v>
      </c>
      <c r="BN261" s="48" t="n">
        <f aca="false">IF(BN$8=1,IF(Reales!$C$74="PYG",IF(BN$10&gt;0,N(Reales!BN74)/BN$10,0),N(Reales!BN74)),(BN$280+BN$284+BN$288+BN$296)*(1+V_IVAint))</f>
        <v>0</v>
      </c>
      <c r="BO261" s="48" t="n">
        <f aca="false">IF(BO$8=1,IF(Reales!$C$74="PYG",IF(BO$10&gt;0,N(Reales!BO74)/BO$10,0),N(Reales!BO74)),(BO$280+BO$284+BO$288+BO$296)*(1+V_IVAint))</f>
        <v>0</v>
      </c>
      <c r="BP261" s="48" t="n">
        <f aca="false">IF(BP$8=1,IF(Reales!$C$74="PYG",IF(BP$10&gt;0,N(Reales!BP74)/BP$10,0),N(Reales!BP74)),(BP$280+BP$284+BP$288+BP$296)*(1+V_IVAint))</f>
        <v>0</v>
      </c>
      <c r="BQ261" s="48" t="n">
        <f aca="false">IF(BQ$8=1,IF(Reales!$C$74="PYG",IF(BQ$10&gt;0,N(Reales!BQ74)/BQ$10,0),N(Reales!BQ74)),(BQ$280+BQ$284+BQ$288+BQ$296)*(1+V_IVAint))</f>
        <v>0</v>
      </c>
      <c r="BR261" s="48" t="n">
        <f aca="false">IF(BR$8=1,IF(Reales!$C$74="PYG",IF(BR$10&gt;0,N(Reales!BR74)/BR$10,0),N(Reales!BR74)),(BR$280+BR$284+BR$288+BR$296)*(1+V_IVAint))</f>
        <v>0</v>
      </c>
      <c r="BS261" s="48" t="n">
        <f aca="false">IF(BS$8=1,IF(Reales!$C$74="PYG",IF(BS$10&gt;0,N(Reales!BS74)/BS$10,0),N(Reales!BS74)),(BS$280+BS$284+BS$288+BS$296)*(1+V_IVAint))</f>
        <v>0</v>
      </c>
      <c r="BT261" s="48" t="n">
        <f aca="false">IF(BT$8=1,IF(Reales!$C$74="PYG",IF(BT$10&gt;0,N(Reales!BT74)/BT$10,0),N(Reales!BT74)),(BT$280+BT$284+BT$288+BT$296)*(1+V_IVAint))</f>
        <v>0</v>
      </c>
      <c r="BU261" s="48" t="n">
        <f aca="false">IF(BU$8=1,IF(Reales!$C$74="PYG",IF(BU$10&gt;0,N(Reales!BU74)/BU$10,0),N(Reales!BU74)),(BU$280+BU$284+BU$288+BU$296)*(1+V_IVAint))</f>
        <v>0</v>
      </c>
      <c r="BV261" s="48" t="n">
        <f aca="false">IF(BV$8=1,IF(Reales!$C$74="PYG",IF(BV$10&gt;0,N(Reales!BV74)/BV$10,0),N(Reales!BV74)),(BV$280+BV$284+BV$288+BV$296)*(1+V_IVAint))</f>
        <v>0</v>
      </c>
      <c r="BW261" s="48" t="n">
        <f aca="false">IF(BW$8=1,IF(Reales!$C$74="PYG",IF(BW$10&gt;0,N(Reales!BW74)/BW$10,0),N(Reales!BW74)),(BW$280+BW$284+BW$288+BW$296)*(1+V_IVAint))</f>
        <v>0</v>
      </c>
      <c r="BX261" s="48" t="n">
        <f aca="false">IF(BX$8=1,IF(Reales!$C$74="PYG",IF(BX$10&gt;0,N(Reales!BX74)/BX$10,0),N(Reales!BX74)),(BX$280+BX$284+BX$288+BX$296)*(1+V_IVAint))</f>
        <v>0</v>
      </c>
      <c r="BY261" s="48" t="n">
        <f aca="false">IF(BY$8=1,IF(Reales!$C$74="PYG",IF(BY$10&gt;0,N(Reales!BY74)/BY$10,0),N(Reales!BY74)),(BY$280+BY$284+BY$288+BY$296)*(1+V_IVAint))</f>
        <v>0</v>
      </c>
      <c r="BZ261" s="48" t="n">
        <f aca="false">IF(BZ$8=1,IF(Reales!$C$74="PYG",IF(BZ$10&gt;0,N(Reales!BZ74)/BZ$10,0),N(Reales!BZ74)),(BZ$280+BZ$284+BZ$288+BZ$296)*(1+V_IVAint))</f>
        <v>0</v>
      </c>
      <c r="CA261" s="48" t="n">
        <f aca="false">IF(CA$8=1,IF(Reales!$C$74="PYG",IF(CA$10&gt;0,N(Reales!CA74)/CA$10,0),N(Reales!CA74)),(CA$280+CA$284+CA$288+CA$296)*(1+V_IVAint))</f>
        <v>0</v>
      </c>
      <c r="CB261" s="48" t="n">
        <f aca="false">IF(CB$8=1,IF(Reales!$C$74="PYG",IF(CB$10&gt;0,N(Reales!CB74)/CB$10,0),N(Reales!CB74)),(CB$280+CB$284+CB$288+CB$296)*(1+V_IVAint))</f>
        <v>0</v>
      </c>
      <c r="CC261" s="48" t="n">
        <f aca="false">IF(CC$8=1,IF(Reales!$C$74="PYG",IF(CC$10&gt;0,N(Reales!CC74)/CC$10,0),N(Reales!CC74)),(CC$280+CC$284+CC$288+CC$296)*(1+V_IVAint))</f>
        <v>0</v>
      </c>
      <c r="CD261" s="48" t="n">
        <f aca="false">IF(CD$8=1,IF(Reales!$C$74="PYG",IF(CD$10&gt;0,N(Reales!CD74)/CD$10,0),N(Reales!CD74)),(CD$280+CD$284+CD$288+CD$296)*(1+V_IVAint))</f>
        <v>0</v>
      </c>
      <c r="CE261" s="48" t="n">
        <f aca="false">IF(CE$8=1,IF(Reales!$C$74="PYG",IF(CE$10&gt;0,N(Reales!CE74)/CE$10,0),N(Reales!CE74)),(CE$280+CE$284+CE$288+CE$296)*(1+V_IVAint))</f>
        <v>0</v>
      </c>
      <c r="CF261" s="48" t="n">
        <f aca="false">IF(CF$8=1,IF(Reales!$C$74="PYG",IF(CF$10&gt;0,N(Reales!CF74)/CF$10,0),N(Reales!CF74)),(CF$280+CF$284+CF$288+CF$296)*(1+V_IVAint))</f>
        <v>0</v>
      </c>
      <c r="CG261" s="48" t="n">
        <f aca="false">IF(CG$8=1,IF(Reales!$C$74="PYG",IF(CG$10&gt;0,N(Reales!CG74)/CG$10,0),N(Reales!CG74)),(CG$280+CG$284+CG$288+CG$296)*(1+V_IVAint))</f>
        <v>0</v>
      </c>
      <c r="CH261" s="48" t="n">
        <f aca="false">IF(CH$8=1,IF(Reales!$C$74="PYG",IF(CH$10&gt;0,N(Reales!CH74)/CH$10,0),N(Reales!CH74)),(CH$280+CH$284+CH$288+CH$296)*(1+V_IVAint))</f>
        <v>0</v>
      </c>
      <c r="CI261" s="48" t="n">
        <f aca="false">IF(CI$8=1,IF(Reales!$C$74="PYG",IF(CI$10&gt;0,N(Reales!CI74)/CI$10,0),N(Reales!CI74)),(CI$280+CI$284+CI$288+CI$296)*(1+V_IVAint))</f>
        <v>0</v>
      </c>
      <c r="CJ261" s="48" t="n">
        <f aca="false">IF(CJ$8=1,IF(Reales!$C$74="PYG",IF(CJ$10&gt;0,N(Reales!CJ74)/CJ$10,0),N(Reales!CJ74)),(CJ$280+CJ$284+CJ$288+CJ$296)*(1+V_IVAint))</f>
        <v>0</v>
      </c>
      <c r="CK261" s="48" t="n">
        <f aca="false">IF(CK$8=1,IF(Reales!$C$74="PYG",IF(CK$10&gt;0,N(Reales!CK74)/CK$10,0),N(Reales!CK74)),(CK$280+CK$284+CK$288+CK$296)*(1+V_IVAint))</f>
        <v>0</v>
      </c>
      <c r="CL261" s="48" t="n">
        <f aca="false">IF(CL$8=1,IF(Reales!$C$74="PYG",IF(CL$10&gt;0,N(Reales!CL74)/CL$10,0),N(Reales!CL74)),(CL$280+CL$284+CL$288+CL$296)*(1+V_IVAint))</f>
        <v>0</v>
      </c>
      <c r="CM261" s="48" t="n">
        <f aca="false">IF(CM$8=1,IF(Reales!$C$74="PYG",IF(CM$10&gt;0,N(Reales!CM74)/CM$10,0),N(Reales!CM74)),(CM$280+CM$284+CM$288+CM$296)*(1+V_IVAint))</f>
        <v>0</v>
      </c>
      <c r="CN261" s="48" t="n">
        <f aca="false">IF(CN$8=1,IF(Reales!$C$74="PYG",IF(CN$10&gt;0,N(Reales!CN74)/CN$10,0),N(Reales!CN74)),(CN$280+CN$284+CN$288+CN$296)*(1+V_IVAint))</f>
        <v>0</v>
      </c>
      <c r="CO261" s="48" t="n">
        <f aca="false">IF(CO$8=1,IF(Reales!$C$74="PYG",IF(CO$10&gt;0,N(Reales!CO74)/CO$10,0),N(Reales!CO74)),(CO$280+CO$284+CO$288+CO$296)*(1+V_IVAint))</f>
        <v>0</v>
      </c>
      <c r="CP261" s="48" t="n">
        <f aca="false">IF(CP$8=1,IF(Reales!$C$74="PYG",IF(CP$10&gt;0,N(Reales!CP74)/CP$10,0),N(Reales!CP74)),(CP$280+CP$284+CP$288+CP$296)*(1+V_IVAint))</f>
        <v>0</v>
      </c>
      <c r="CQ261" s="48" t="n">
        <f aca="false">IF(CQ$8=1,IF(Reales!$C$74="PYG",IF(CQ$10&gt;0,N(Reales!CQ74)/CQ$10,0),N(Reales!CQ74)),(CQ$280+CQ$284+CQ$288+CQ$296)*(1+V_IVAint))</f>
        <v>0</v>
      </c>
      <c r="CR261" s="48" t="n">
        <f aca="false">IF(CR$8=1,IF(Reales!$C$74="PYG",IF(CR$10&gt;0,N(Reales!CR74)/CR$10,0),N(Reales!CR74)),(CR$280+CR$284+CR$288+CR$296)*(1+V_IVAint))</f>
        <v>0</v>
      </c>
      <c r="CS261" s="48" t="n">
        <f aca="false">IF(CS$8=1,IF(Reales!$C$74="PYG",IF(CS$10&gt;0,N(Reales!CS74)/CS$10,0),N(Reales!CS74)),(CS$280+CS$284+CS$288+CS$296)*(1+V_IVAint))</f>
        <v>0</v>
      </c>
      <c r="CT261" s="48" t="n">
        <f aca="false">IF(CT$8=1,IF(Reales!$C$74="PYG",IF(CT$10&gt;0,N(Reales!CT74)/CT$10,0),N(Reales!CT74)),(CT$280+CT$284+CT$288+CT$296)*(1+V_IVAint))</f>
        <v>0</v>
      </c>
      <c r="CU261" s="48" t="n">
        <f aca="false">IF(CU$8=1,IF(Reales!$C$74="PYG",IF(CU$10&gt;0,N(Reales!CU74)/CU$10,0),N(Reales!CU74)),(CU$280+CU$284+CU$288+CU$296)*(1+V_IVAint))</f>
        <v>0</v>
      </c>
      <c r="CV261" s="48" t="n">
        <f aca="false">IF(CV$8=1,IF(Reales!$C$74="PYG",IF(CV$10&gt;0,N(Reales!CV74)/CV$10,0),N(Reales!CV74)),(CV$280+CV$284+CV$288+CV$296)*(1+V_IVAint))</f>
        <v>0</v>
      </c>
      <c r="CW261" s="48" t="n">
        <f aca="false">IF(CW$8=1,IF(Reales!$C$74="PYG",IF(CW$10&gt;0,N(Reales!CW74)/CW$10,0),N(Reales!CW74)),(CW$280+CW$284+CW$288+CW$296)*(1+V_IVAint))</f>
        <v>0</v>
      </c>
      <c r="CX261" s="48" t="n">
        <f aca="false">IF(CX$8=1,IF(Reales!$C$74="PYG",IF(CX$10&gt;0,N(Reales!CX74)/CX$10,0),N(Reales!CX74)),(CX$280+CX$284+CX$288+CX$296)*(1+V_IVAint))</f>
        <v>0</v>
      </c>
      <c r="CY261" s="48" t="n">
        <f aca="false">IF(CY$8=1,IF(Reales!$C$74="PYG",IF(CY$10&gt;0,N(Reales!CY74)/CY$10,0),N(Reales!CY74)),(CY$280+CY$284+CY$288+CY$296)*(1+V_IVAint))</f>
        <v>0</v>
      </c>
      <c r="CZ261" s="48" t="n">
        <f aca="false">IF(CZ$8=1,IF(Reales!$C$74="PYG",IF(CZ$10&gt;0,N(Reales!CZ74)/CZ$10,0),N(Reales!CZ74)),(CZ$280+CZ$284+CZ$288+CZ$296)*(1+V_IVAint))</f>
        <v>0</v>
      </c>
      <c r="DA261" s="48" t="n">
        <f aca="false">IF(DA$8=1,IF(Reales!$C$74="PYG",IF(DA$10&gt;0,N(Reales!DA74)/DA$10,0),N(Reales!DA74)),(DA$280+DA$284+DA$288+DA$296)*(1+V_IVAint))</f>
        <v>0</v>
      </c>
      <c r="DB261" s="48" t="n">
        <f aca="false">IF(DB$8=1,IF(Reales!$C$74="PYG",IF(DB$10&gt;0,N(Reales!DB74)/DB$10,0),N(Reales!DB74)),(DB$280+DB$284+DB$288+DB$296)*(1+V_IVAint))</f>
        <v>0</v>
      </c>
      <c r="DC261" s="48" t="n">
        <f aca="false">IF(DC$8=1,IF(Reales!$C$74="PYG",IF(DC$10&gt;0,N(Reales!DC74)/DC$10,0),N(Reales!DC74)),(DC$280+DC$284+DC$288+DC$296)*(1+V_IVAint))</f>
        <v>0</v>
      </c>
      <c r="DD261" s="48" t="n">
        <f aca="false">IF(DD$8=1,IF(Reales!$C$74="PYG",IF(DD$10&gt;0,N(Reales!DD74)/DD$10,0),N(Reales!DD74)),(DD$280+DD$284+DD$288+DD$296)*(1+V_IVAint))</f>
        <v>0</v>
      </c>
      <c r="DE261" s="48" t="n">
        <f aca="false">IF(DE$8=1,IF(Reales!$C$74="PYG",IF(DE$10&gt;0,N(Reales!DE74)/DE$10,0),N(Reales!DE74)),(DE$280+DE$284+DE$288+DE$296)*(1+V_IVAint))</f>
        <v>0</v>
      </c>
      <c r="DF261" s="48" t="n">
        <f aca="false">IF(DF$8=1,IF(Reales!$C$74="PYG",IF(DF$10&gt;0,N(Reales!DF74)/DF$10,0),N(Reales!DF74)),(DF$280+DF$284+DF$288+DF$296)*(1+V_IVAint))</f>
        <v>0</v>
      </c>
      <c r="DG261" s="48" t="n">
        <f aca="false">IF(DG$8=1,IF(Reales!$C$74="PYG",IF(DG$10&gt;0,N(Reales!DG74)/DG$10,0),N(Reales!DG74)),(DG$280+DG$284+DG$288+DG$296)*(1+V_IVAint))</f>
        <v>0</v>
      </c>
      <c r="DH261" s="48" t="n">
        <f aca="false">IF(DH$8=1,IF(Reales!$C$74="PYG",IF(DH$10&gt;0,N(Reales!DH74)/DH$10,0),N(Reales!DH74)),(DH$280+DH$284+DH$288+DH$296)*(1+V_IVAint))</f>
        <v>0</v>
      </c>
      <c r="DI261" s="48" t="n">
        <f aca="false">IF(DI$8=1,IF(Reales!$C$74="PYG",IF(DI$10&gt;0,N(Reales!DI74)/DI$10,0),N(Reales!DI74)),(DI$280+DI$284+DI$288+DI$296)*(1+V_IVAint))</f>
        <v>0</v>
      </c>
      <c r="DJ261" s="48" t="n">
        <f aca="false">IF(DJ$8=1,IF(Reales!$C$74="PYG",IF(DJ$10&gt;0,N(Reales!DJ74)/DJ$10,0),N(Reales!DJ74)),(DJ$280+DJ$284+DJ$288+DJ$296)*(1+V_IVAint))</f>
        <v>0</v>
      </c>
      <c r="DK261" s="48" t="n">
        <f aca="false">IF(DK$8=1,IF(Reales!$C$74="PYG",IF(DK$10&gt;0,N(Reales!DK74)/DK$10,0),N(Reales!DK74)),(DK$280+DK$284+DK$288+DK$296)*(1+V_IVAint))</f>
        <v>0</v>
      </c>
      <c r="DL261" s="48" t="n">
        <f aca="false">IF(DL$8=1,IF(Reales!$C$74="PYG",IF(DL$10&gt;0,N(Reales!DL74)/DL$10,0),N(Reales!DL74)),(DL$280+DL$284+DL$288+DL$296)*(1+V_IVAint))</f>
        <v>0</v>
      </c>
      <c r="DM261" s="48" t="n">
        <f aca="false">IF(DM$8=1,IF(Reales!$C$74="PYG",IF(DM$10&gt;0,N(Reales!DM74)/DM$10,0),N(Reales!DM74)),(DM$280+DM$284+DM$288+DM$296)*(1+V_IVAint))</f>
        <v>0</v>
      </c>
      <c r="DN261" s="48" t="n">
        <f aca="false">IF(DN$8=1,IF(Reales!$C$74="PYG",IF(DN$10&gt;0,N(Reales!DN74)/DN$10,0),N(Reales!DN74)),(DN$280+DN$284+DN$288+DN$296)*(1+V_IVAint))</f>
        <v>0</v>
      </c>
      <c r="DO261" s="48" t="n">
        <f aca="false">IF(DO$8=1,IF(Reales!$C$74="PYG",IF(DO$10&gt;0,N(Reales!DO74)/DO$10,0),N(Reales!DO74)),(DO$280+DO$284+DO$288+DO$296)*(1+V_IVAint))</f>
        <v>0</v>
      </c>
      <c r="DP261" s="48" t="n">
        <f aca="false">IF(DP$8=1,IF(Reales!$C$74="PYG",IF(DP$10&gt;0,N(Reales!DP74)/DP$10,0),N(Reales!DP74)),(DP$280+DP$284+DP$288+DP$296)*(1+V_IVAint))</f>
        <v>0</v>
      </c>
      <c r="DQ261" s="48" t="n">
        <f aca="false">IF(DQ$8=1,IF(Reales!$C$74="PYG",IF(DQ$10&gt;0,N(Reales!DQ74)/DQ$10,0),N(Reales!DQ74)),(DQ$280+DQ$284+DQ$288+DQ$296)*(1+V_IVAint))</f>
        <v>0</v>
      </c>
      <c r="DR261" s="48" t="n">
        <f aca="false">IF(DR$8=1,IF(Reales!$C$74="PYG",IF(DR$10&gt;0,N(Reales!DR74)/DR$10,0),N(Reales!DR74)),(DR$280+DR$284+DR$288+DR$296)*(1+V_IVAint))</f>
        <v>0</v>
      </c>
      <c r="DS261" s="48" t="n">
        <f aca="false">IF(DS$8=1,IF(Reales!$C$74="PYG",IF(DS$10&gt;0,N(Reales!DS74)/DS$10,0),N(Reales!DS74)),(DS$280+DS$284+DS$288+DS$296)*(1+V_IVAint))</f>
        <v>0</v>
      </c>
      <c r="DT261" s="48" t="n">
        <f aca="false">IF(DT$8=1,IF(Reales!$C$74="PYG",IF(DT$10&gt;0,N(Reales!DT74)/DT$10,0),N(Reales!DT74)),(DT$280+DT$284+DT$288+DT$296)*(1+V_IVAint))</f>
        <v>0</v>
      </c>
      <c r="DU261" s="48" t="n">
        <f aca="false">IF(DU$8=1,IF(Reales!$C$74="PYG",IF(DU$10&gt;0,N(Reales!DU74)/DU$10,0),N(Reales!DU74)),(DU$280+DU$284+DU$288+DU$296)*(1+V_IVAint))</f>
        <v>0</v>
      </c>
      <c r="DV261" s="48" t="n">
        <f aca="false">IF(DV$8=1,IF(Reales!$C$74="PYG",IF(DV$10&gt;0,N(Reales!DV74)/DV$10,0),N(Reales!DV74)),(DV$280+DV$284+DV$288+DV$296)*(1+V_IVAint))</f>
        <v>0</v>
      </c>
      <c r="DW261" s="48" t="n">
        <f aca="false">IF(DW$8=1,IF(Reales!$C$74="PYG",IF(DW$10&gt;0,N(Reales!DW74)/DW$10,0),N(Reales!DW74)),(DW$280+DW$284+DW$288+DW$296)*(1+V_IVAint))</f>
        <v>0</v>
      </c>
      <c r="DX261" s="48" t="n">
        <f aca="false">IF(DX$8=1,IF(Reales!$C$74="PYG",IF(DX$10&gt;0,N(Reales!DX74)/DX$10,0),N(Reales!DX74)),(DX$280+DX$284+DX$288+DX$296)*(1+V_IVAint))</f>
        <v>0</v>
      </c>
      <c r="DY261" s="48" t="n">
        <f aca="false">IF(DY$8=1,IF(Reales!$C$74="PYG",IF(DY$10&gt;0,N(Reales!DY74)/DY$10,0),N(Reales!DY74)),(DY$280+DY$284+DY$288+DY$296)*(1+V_IVAint))</f>
        <v>0</v>
      </c>
      <c r="DZ261" s="48" t="n">
        <f aca="false">IF(DZ$8=1,IF(Reales!$C$74="PYG",IF(DZ$10&gt;0,N(Reales!DZ74)/DZ$10,0),N(Reales!DZ74)),(DZ$280+DZ$284+DZ$288+DZ$296)*(1+V_IVAint))</f>
        <v>0</v>
      </c>
      <c r="EA261" s="48" t="n">
        <f aca="false">IF(EA$8=1,IF(Reales!$C$74="PYG",IF(EA$10&gt;0,N(Reales!EA74)/EA$10,0),N(Reales!EA74)),(EA$280+EA$284+EA$288+EA$296)*(1+V_IVAint))</f>
        <v>0</v>
      </c>
      <c r="EB261" s="48" t="n">
        <f aca="false">IF(EB$8=1,IF(Reales!$C$74="PYG",IF(EB$10&gt;0,N(Reales!EB74)/EB$10,0),N(Reales!EB74)),(EB$280+EB$284+EB$288+EB$296)*(1+V_IVAint))</f>
        <v>0</v>
      </c>
      <c r="EC261" s="48" t="n">
        <f aca="false">IF(EC$8=1,IF(Reales!$C$74="PYG",IF(EC$10&gt;0,N(Reales!EC74)/EC$10,0),N(Reales!EC74)),(EC$280+EC$284+EC$288+EC$296)*(1+V_IVAint))</f>
        <v>0</v>
      </c>
      <c r="ED261" s="48" t="n">
        <f aca="false">IF(ED$8=1,IF(Reales!$C$74="PYG",IF(ED$10&gt;0,N(Reales!ED74)/ED$10,0),N(Reales!ED74)),(ED$280+ED$284+ED$288+ED$296)*(1+V_IVAint))</f>
        <v>0</v>
      </c>
      <c r="EE261" s="48" t="n">
        <f aca="false">IF(EE$8=1,IF(Reales!$C$74="PYG",IF(EE$10&gt;0,N(Reales!EE74)/EE$10,0),N(Reales!EE74)),(EE$280+EE$284+EE$288+EE$296)*(1+V_IVAint))</f>
        <v>0</v>
      </c>
      <c r="EF261" s="48" t="n">
        <f aca="false">IF(EF$8=1,IF(Reales!$C$74="PYG",IF(EF$10&gt;0,N(Reales!EF74)/EF$10,0),N(Reales!EF74)),(EF$280+EF$284+EF$288+EF$296)*(1+V_IVAint))</f>
        <v>0</v>
      </c>
      <c r="EG261" s="48" t="n">
        <f aca="false">IF(EG$8=1,IF(Reales!$C$74="PYG",IF(EG$10&gt;0,N(Reales!EG74)/EG$10,0),N(Reales!EG74)),(EG$280+EG$284+EG$288+EG$296)*(1+V_IVAint))</f>
        <v>0</v>
      </c>
      <c r="EH261" s="48" t="n">
        <f aca="false">IF(EH$8=1,IF(Reales!$C$74="PYG",IF(EH$10&gt;0,N(Reales!EH74)/EH$10,0),N(Reales!EH74)),(EH$280+EH$284+EH$288+EH$296)*(1+V_IVAint))</f>
        <v>0</v>
      </c>
      <c r="EI261" s="48" t="n">
        <f aca="false">IF(EI$8=1,IF(Reales!$C$74="PYG",IF(EI$10&gt;0,N(Reales!EI74)/EI$10,0),N(Reales!EI74)),(EI$280+EI$284+EI$288+EI$296)*(1+V_IVAint))</f>
        <v>0</v>
      </c>
      <c r="EJ261" s="48" t="n">
        <f aca="false">IF(EJ$8=1,IF(Reales!$C$74="PYG",IF(EJ$10&gt;0,N(Reales!EJ74)/EJ$10,0),N(Reales!EJ74)),(EJ$280+EJ$284+EJ$288+EJ$296)*(1+V_IVAint))</f>
        <v>0</v>
      </c>
      <c r="EK261" s="48" t="n">
        <f aca="false">IF(EK$8=1,IF(Reales!$C$74="PYG",IF(EK$10&gt;0,N(Reales!EK74)/EK$10,0),N(Reales!EK74)),(EK$280+EK$284+EK$288+EK$296)*(1+V_IVAint))</f>
        <v>0</v>
      </c>
      <c r="EL261" s="48" t="n">
        <f aca="false">IF(EL$8=1,IF(Reales!$C$74="PYG",IF(EL$10&gt;0,N(Reales!EL74)/EL$10,0),N(Reales!EL74)),(EL$280+EL$284+EL$288+EL$296)*(1+V_IVAint))</f>
        <v>0</v>
      </c>
      <c r="EM261" s="48" t="n">
        <f aca="false">IF(EM$8=1,IF(Reales!$C$74="PYG",IF(EM$10&gt;0,N(Reales!EM74)/EM$10,0),N(Reales!EM74)),(EM$280+EM$284+EM$288+EM$296)*(1+V_IVAint))</f>
        <v>0</v>
      </c>
      <c r="EN261" s="48" t="n">
        <f aca="false">IF(EN$8=1,IF(Reales!$C$74="PYG",IF(EN$10&gt;0,N(Reales!EN74)/EN$10,0),N(Reales!EN74)),(EN$280+EN$284+EN$288+EN$296)*(1+V_IVAint))</f>
        <v>0</v>
      </c>
      <c r="EO261" s="48" t="n">
        <f aca="false">IF(EO$8=1,IF(Reales!$C$74="PYG",IF(EO$10&gt;0,N(Reales!EO74)/EO$10,0),N(Reales!EO74)),(EO$280+EO$284+EO$288+EO$296)*(1+V_IVAint))</f>
        <v>0</v>
      </c>
      <c r="EP261" s="48" t="n">
        <f aca="false">IF(EP$8=1,IF(Reales!$C$74="PYG",IF(EP$10&gt;0,N(Reales!EP74)/EP$10,0),N(Reales!EP74)),(EP$280+EP$284+EP$288+EP$296)*(1+V_IVAint))</f>
        <v>0</v>
      </c>
      <c r="EQ261" s="48" t="n">
        <f aca="false">IF(EQ$8=1,IF(Reales!$C$74="PYG",IF(EQ$10&gt;0,N(Reales!EQ74)/EQ$10,0),N(Reales!EQ74)),(EQ$280+EQ$284+EQ$288+EQ$296)*(1+V_IVAint))</f>
        <v>0</v>
      </c>
      <c r="ER261" s="48" t="n">
        <f aca="false">IF(ER$8=1,IF(Reales!$C$74="PYG",IF(ER$10&gt;0,N(Reales!ER74)/ER$10,0),N(Reales!ER74)),(ER$280+ER$284+ER$288+ER$296)*(1+V_IVAint))</f>
        <v>0</v>
      </c>
      <c r="ES261" s="48" t="n">
        <f aca="false">IF(ES$8=1,IF(Reales!$C$74="PYG",IF(ES$10&gt;0,N(Reales!ES74)/ES$10,0),N(Reales!ES74)),(ES$280+ES$284+ES$288+ES$296)*(1+V_IVAint))</f>
        <v>0</v>
      </c>
    </row>
    <row r="262" customFormat="false" ht="15" hidden="false" customHeight="false" outlineLevel="0" collapsed="false">
      <c r="A262" s="11" t="s">
        <v>1383</v>
      </c>
      <c r="B262" s="15" t="s">
        <v>1182</v>
      </c>
      <c r="C262" s="15" t="s">
        <v>508</v>
      </c>
      <c r="E262" s="54" t="n">
        <f aca="false">SUM(F262:ES262)</f>
        <v>0</v>
      </c>
      <c r="F262" s="48" t="n">
        <f aca="false">V_IRE*(F$260-F$261)</f>
        <v>0</v>
      </c>
      <c r="G262" s="48" t="n">
        <f aca="false">V_IRE*(G$260-G$261)</f>
        <v>0</v>
      </c>
      <c r="H262" s="48" t="n">
        <f aca="false">V_IRE*(H$260-H$261)</f>
        <v>0</v>
      </c>
      <c r="I262" s="48" t="n">
        <f aca="false">V_IRE*(I$260-I$261)</f>
        <v>0</v>
      </c>
      <c r="J262" s="48" t="n">
        <f aca="false">V_IRE*(J$260-J$261)</f>
        <v>0</v>
      </c>
      <c r="K262" s="48" t="n">
        <f aca="false">V_IRE*(K$260-K$261)</f>
        <v>0</v>
      </c>
      <c r="L262" s="48" t="n">
        <f aca="false">V_IRE*(L$260-L$261)</f>
        <v>0</v>
      </c>
      <c r="M262" s="48" t="n">
        <f aca="false">V_IRE*(M$260-M$261)</f>
        <v>0</v>
      </c>
      <c r="N262" s="48" t="n">
        <f aca="false">V_IRE*(N$260-N$261)</f>
        <v>0</v>
      </c>
      <c r="O262" s="48" t="n">
        <f aca="false">V_IRE*(O$260-O$261)</f>
        <v>0</v>
      </c>
      <c r="P262" s="48" t="n">
        <f aca="false">V_IRE*(P$260-P$261)</f>
        <v>0</v>
      </c>
      <c r="Q262" s="48" t="n">
        <f aca="false">V_IRE*(Q$260-Q$261)</f>
        <v>0</v>
      </c>
      <c r="R262" s="48" t="n">
        <f aca="false">V_IRE*(R$260-R$261)</f>
        <v>0</v>
      </c>
      <c r="S262" s="48" t="n">
        <f aca="false">V_IRE*(S$260-S$261)</f>
        <v>0</v>
      </c>
      <c r="T262" s="48" t="n">
        <f aca="false">V_IRE*(T$260-T$261)</f>
        <v>0</v>
      </c>
      <c r="U262" s="48" t="n">
        <f aca="false">V_IRE*(U$260-U$261)</f>
        <v>0</v>
      </c>
      <c r="V262" s="48" t="n">
        <f aca="false">V_IRE*(V$260-V$261)</f>
        <v>0</v>
      </c>
      <c r="W262" s="48" t="n">
        <f aca="false">V_IRE*(W$260-W$261)</f>
        <v>0</v>
      </c>
      <c r="X262" s="48" t="n">
        <f aca="false">V_IRE*(X$260-X$261)</f>
        <v>0</v>
      </c>
      <c r="Y262" s="48" t="n">
        <f aca="false">V_IRE*(Y$260-Y$261)</f>
        <v>0</v>
      </c>
      <c r="Z262" s="48" t="n">
        <f aca="false">V_IRE*(Z$260-Z$261)</f>
        <v>0</v>
      </c>
      <c r="AA262" s="48" t="n">
        <f aca="false">V_IRE*(AA$260-AA$261)</f>
        <v>0</v>
      </c>
      <c r="AB262" s="48" t="n">
        <f aca="false">V_IRE*(AB$260-AB$261)</f>
        <v>0</v>
      </c>
      <c r="AC262" s="48" t="n">
        <f aca="false">V_IRE*(AC$260-AC$261)</f>
        <v>0</v>
      </c>
      <c r="AD262" s="48" t="n">
        <f aca="false">V_IRE*(AD$260-AD$261)</f>
        <v>0</v>
      </c>
      <c r="AE262" s="48" t="n">
        <f aca="false">V_IRE*(AE$260-AE$261)</f>
        <v>0</v>
      </c>
      <c r="AF262" s="48" t="n">
        <f aca="false">V_IRE*(AF$260-AF$261)</f>
        <v>0</v>
      </c>
      <c r="AG262" s="48" t="n">
        <f aca="false">V_IRE*(AG$260-AG$261)</f>
        <v>0</v>
      </c>
      <c r="AH262" s="48" t="n">
        <f aca="false">V_IRE*(AH$260-AH$261)</f>
        <v>0</v>
      </c>
      <c r="AI262" s="48" t="n">
        <f aca="false">V_IRE*(AI$260-AI$261)</f>
        <v>0</v>
      </c>
      <c r="AJ262" s="48" t="n">
        <f aca="false">V_IRE*(AJ$260-AJ$261)</f>
        <v>0</v>
      </c>
      <c r="AK262" s="48" t="n">
        <f aca="false">V_IRE*(AK$260-AK$261)</f>
        <v>0</v>
      </c>
      <c r="AL262" s="48" t="n">
        <f aca="false">V_IRE*(AL$260-AL$261)</f>
        <v>0</v>
      </c>
      <c r="AM262" s="48" t="n">
        <f aca="false">V_IRE*(AM$260-AM$261)</f>
        <v>0</v>
      </c>
      <c r="AN262" s="48" t="n">
        <f aca="false">V_IRE*(AN$260-AN$261)</f>
        <v>0</v>
      </c>
      <c r="AO262" s="48" t="n">
        <f aca="false">V_IRE*(AO$260-AO$261)</f>
        <v>0</v>
      </c>
      <c r="AP262" s="48" t="n">
        <f aca="false">V_IRE*(AP$260-AP$261)</f>
        <v>0</v>
      </c>
      <c r="AQ262" s="48" t="n">
        <f aca="false">V_IRE*(AQ$260-AQ$261)</f>
        <v>0</v>
      </c>
      <c r="AR262" s="48" t="n">
        <f aca="false">V_IRE*(AR$260-AR$261)</f>
        <v>0</v>
      </c>
      <c r="AS262" s="48" t="n">
        <f aca="false">V_IRE*(AS$260-AS$261)</f>
        <v>0</v>
      </c>
      <c r="AT262" s="48" t="n">
        <f aca="false">V_IRE*(AT$260-AT$261)</f>
        <v>0</v>
      </c>
      <c r="AU262" s="48" t="n">
        <f aca="false">V_IRE*(AU$260-AU$261)</f>
        <v>0</v>
      </c>
      <c r="AV262" s="48" t="n">
        <f aca="false">V_IRE*(AV$260-AV$261)</f>
        <v>0</v>
      </c>
      <c r="AW262" s="48" t="n">
        <f aca="false">V_IRE*(AW$260-AW$261)</f>
        <v>0</v>
      </c>
      <c r="AX262" s="48" t="n">
        <f aca="false">V_IRE*(AX$260-AX$261)</f>
        <v>0</v>
      </c>
      <c r="AY262" s="48" t="n">
        <f aca="false">V_IRE*(AY$260-AY$261)</f>
        <v>0</v>
      </c>
      <c r="AZ262" s="48" t="n">
        <f aca="false">V_IRE*(AZ$260-AZ$261)</f>
        <v>0</v>
      </c>
      <c r="BA262" s="48" t="n">
        <f aca="false">V_IRE*(BA$260-BA$261)</f>
        <v>0</v>
      </c>
      <c r="BB262" s="48" t="n">
        <f aca="false">V_IRE*(BB$260-BB$261)</f>
        <v>0</v>
      </c>
      <c r="BC262" s="48" t="n">
        <f aca="false">V_IRE*(BC$260-BC$261)</f>
        <v>0</v>
      </c>
      <c r="BD262" s="48" t="n">
        <f aca="false">V_IRE*(BD$260-BD$261)</f>
        <v>0</v>
      </c>
      <c r="BE262" s="48" t="n">
        <f aca="false">V_IRE*(BE$260-BE$261)</f>
        <v>0</v>
      </c>
      <c r="BF262" s="48" t="n">
        <f aca="false">V_IRE*(BF$260-BF$261)</f>
        <v>0</v>
      </c>
      <c r="BG262" s="48" t="n">
        <f aca="false">V_IRE*(BG$260-BG$261)</f>
        <v>0</v>
      </c>
      <c r="BH262" s="48" t="n">
        <f aca="false">V_IRE*(BH$260-BH$261)</f>
        <v>0</v>
      </c>
      <c r="BI262" s="48" t="n">
        <f aca="false">V_IRE*(BI$260-BI$261)</f>
        <v>0</v>
      </c>
      <c r="BJ262" s="48" t="n">
        <f aca="false">V_IRE*(BJ$260-BJ$261)</f>
        <v>0</v>
      </c>
      <c r="BK262" s="48" t="n">
        <f aca="false">V_IRE*(BK$260-BK$261)</f>
        <v>0</v>
      </c>
      <c r="BL262" s="48" t="n">
        <f aca="false">V_IRE*(BL$260-BL$261)</f>
        <v>0</v>
      </c>
      <c r="BM262" s="48" t="n">
        <f aca="false">V_IRE*(BM$260-BM$261)</f>
        <v>0</v>
      </c>
      <c r="BN262" s="48" t="n">
        <f aca="false">V_IRE*(BN$260-BN$261)</f>
        <v>0</v>
      </c>
      <c r="BO262" s="48" t="n">
        <f aca="false">V_IRE*(BO$260-BO$261)</f>
        <v>0</v>
      </c>
      <c r="BP262" s="48" t="n">
        <f aca="false">V_IRE*(BP$260-BP$261)</f>
        <v>0</v>
      </c>
      <c r="BQ262" s="48" t="n">
        <f aca="false">V_IRE*(BQ$260-BQ$261)</f>
        <v>0</v>
      </c>
      <c r="BR262" s="48" t="n">
        <f aca="false">V_IRE*(BR$260-BR$261)</f>
        <v>0</v>
      </c>
      <c r="BS262" s="48" t="n">
        <f aca="false">V_IRE*(BS$260-BS$261)</f>
        <v>0</v>
      </c>
      <c r="BT262" s="48" t="n">
        <f aca="false">V_IRE*(BT$260-BT$261)</f>
        <v>0</v>
      </c>
      <c r="BU262" s="48" t="n">
        <f aca="false">V_IRE*(BU$260-BU$261)</f>
        <v>0</v>
      </c>
      <c r="BV262" s="48" t="n">
        <f aca="false">V_IRE*(BV$260-BV$261)</f>
        <v>0</v>
      </c>
      <c r="BW262" s="48" t="n">
        <f aca="false">V_IRE*(BW$260-BW$261)</f>
        <v>0</v>
      </c>
      <c r="BX262" s="48" t="n">
        <f aca="false">V_IRE*(BX$260-BX$261)</f>
        <v>0</v>
      </c>
      <c r="BY262" s="48" t="n">
        <f aca="false">V_IRE*(BY$260-BY$261)</f>
        <v>0</v>
      </c>
      <c r="BZ262" s="48" t="n">
        <f aca="false">V_IRE*(BZ$260-BZ$261)</f>
        <v>0</v>
      </c>
      <c r="CA262" s="48" t="n">
        <f aca="false">V_IRE*(CA$260-CA$261)</f>
        <v>0</v>
      </c>
      <c r="CB262" s="48" t="n">
        <f aca="false">V_IRE*(CB$260-CB$261)</f>
        <v>0</v>
      </c>
      <c r="CC262" s="48" t="n">
        <f aca="false">V_IRE*(CC$260-CC$261)</f>
        <v>0</v>
      </c>
      <c r="CD262" s="48" t="n">
        <f aca="false">V_IRE*(CD$260-CD$261)</f>
        <v>0</v>
      </c>
      <c r="CE262" s="48" t="n">
        <f aca="false">V_IRE*(CE$260-CE$261)</f>
        <v>0</v>
      </c>
      <c r="CF262" s="48" t="n">
        <f aca="false">V_IRE*(CF$260-CF$261)</f>
        <v>0</v>
      </c>
      <c r="CG262" s="48" t="n">
        <f aca="false">V_IRE*(CG$260-CG$261)</f>
        <v>0</v>
      </c>
      <c r="CH262" s="48" t="n">
        <f aca="false">V_IRE*(CH$260-CH$261)</f>
        <v>0</v>
      </c>
      <c r="CI262" s="48" t="n">
        <f aca="false">V_IRE*(CI$260-CI$261)</f>
        <v>0</v>
      </c>
      <c r="CJ262" s="48" t="n">
        <f aca="false">V_IRE*(CJ$260-CJ$261)</f>
        <v>0</v>
      </c>
      <c r="CK262" s="48" t="n">
        <f aca="false">V_IRE*(CK$260-CK$261)</f>
        <v>0</v>
      </c>
      <c r="CL262" s="48" t="n">
        <f aca="false">V_IRE*(CL$260-CL$261)</f>
        <v>0</v>
      </c>
      <c r="CM262" s="48" t="n">
        <f aca="false">V_IRE*(CM$260-CM$261)</f>
        <v>0</v>
      </c>
      <c r="CN262" s="48" t="n">
        <f aca="false">V_IRE*(CN$260-CN$261)</f>
        <v>0</v>
      </c>
      <c r="CO262" s="48" t="n">
        <f aca="false">V_IRE*(CO$260-CO$261)</f>
        <v>0</v>
      </c>
      <c r="CP262" s="48" t="n">
        <f aca="false">V_IRE*(CP$260-CP$261)</f>
        <v>0</v>
      </c>
      <c r="CQ262" s="48" t="n">
        <f aca="false">V_IRE*(CQ$260-CQ$261)</f>
        <v>0</v>
      </c>
      <c r="CR262" s="48" t="n">
        <f aca="false">V_IRE*(CR$260-CR$261)</f>
        <v>0</v>
      </c>
      <c r="CS262" s="48" t="n">
        <f aca="false">V_IRE*(CS$260-CS$261)</f>
        <v>0</v>
      </c>
      <c r="CT262" s="48" t="n">
        <f aca="false">V_IRE*(CT$260-CT$261)</f>
        <v>0</v>
      </c>
      <c r="CU262" s="48" t="n">
        <f aca="false">V_IRE*(CU$260-CU$261)</f>
        <v>0</v>
      </c>
      <c r="CV262" s="48" t="n">
        <f aca="false">V_IRE*(CV$260-CV$261)</f>
        <v>0</v>
      </c>
      <c r="CW262" s="48" t="n">
        <f aca="false">V_IRE*(CW$260-CW$261)</f>
        <v>0</v>
      </c>
      <c r="CX262" s="48" t="n">
        <f aca="false">V_IRE*(CX$260-CX$261)</f>
        <v>0</v>
      </c>
      <c r="CY262" s="48" t="n">
        <f aca="false">V_IRE*(CY$260-CY$261)</f>
        <v>0</v>
      </c>
      <c r="CZ262" s="48" t="n">
        <f aca="false">V_IRE*(CZ$260-CZ$261)</f>
        <v>0</v>
      </c>
      <c r="DA262" s="48" t="n">
        <f aca="false">V_IRE*(DA$260-DA$261)</f>
        <v>0</v>
      </c>
      <c r="DB262" s="48" t="n">
        <f aca="false">V_IRE*(DB$260-DB$261)</f>
        <v>0</v>
      </c>
      <c r="DC262" s="48" t="n">
        <f aca="false">V_IRE*(DC$260-DC$261)</f>
        <v>0</v>
      </c>
      <c r="DD262" s="48" t="n">
        <f aca="false">V_IRE*(DD$260-DD$261)</f>
        <v>0</v>
      </c>
      <c r="DE262" s="48" t="n">
        <f aca="false">V_IRE*(DE$260-DE$261)</f>
        <v>0</v>
      </c>
      <c r="DF262" s="48" t="n">
        <f aca="false">V_IRE*(DF$260-DF$261)</f>
        <v>0</v>
      </c>
      <c r="DG262" s="48" t="n">
        <f aca="false">V_IRE*(DG$260-DG$261)</f>
        <v>0</v>
      </c>
      <c r="DH262" s="48" t="n">
        <f aca="false">V_IRE*(DH$260-DH$261)</f>
        <v>0</v>
      </c>
      <c r="DI262" s="48" t="n">
        <f aca="false">V_IRE*(DI$260-DI$261)</f>
        <v>0</v>
      </c>
      <c r="DJ262" s="48" t="n">
        <f aca="false">V_IRE*(DJ$260-DJ$261)</f>
        <v>0</v>
      </c>
      <c r="DK262" s="48" t="n">
        <f aca="false">V_IRE*(DK$260-DK$261)</f>
        <v>0</v>
      </c>
      <c r="DL262" s="48" t="n">
        <f aca="false">V_IRE*(DL$260-DL$261)</f>
        <v>0</v>
      </c>
      <c r="DM262" s="48" t="n">
        <f aca="false">V_IRE*(DM$260-DM$261)</f>
        <v>0</v>
      </c>
      <c r="DN262" s="48" t="n">
        <f aca="false">V_IRE*(DN$260-DN$261)</f>
        <v>0</v>
      </c>
      <c r="DO262" s="48" t="n">
        <f aca="false">V_IRE*(DO$260-DO$261)</f>
        <v>0</v>
      </c>
      <c r="DP262" s="48" t="n">
        <f aca="false">V_IRE*(DP$260-DP$261)</f>
        <v>0</v>
      </c>
      <c r="DQ262" s="48" t="n">
        <f aca="false">V_IRE*(DQ$260-DQ$261)</f>
        <v>0</v>
      </c>
      <c r="DR262" s="48" t="n">
        <f aca="false">V_IRE*(DR$260-DR$261)</f>
        <v>0</v>
      </c>
      <c r="DS262" s="48" t="n">
        <f aca="false">V_IRE*(DS$260-DS$261)</f>
        <v>0</v>
      </c>
      <c r="DT262" s="48" t="n">
        <f aca="false">V_IRE*(DT$260-DT$261)</f>
        <v>0</v>
      </c>
      <c r="DU262" s="48" t="n">
        <f aca="false">V_IRE*(DU$260-DU$261)</f>
        <v>0</v>
      </c>
      <c r="DV262" s="48" t="n">
        <f aca="false">V_IRE*(DV$260-DV$261)</f>
        <v>0</v>
      </c>
      <c r="DW262" s="48" t="n">
        <f aca="false">V_IRE*(DW$260-DW$261)</f>
        <v>0</v>
      </c>
      <c r="DX262" s="48" t="n">
        <f aca="false">V_IRE*(DX$260-DX$261)</f>
        <v>0</v>
      </c>
      <c r="DY262" s="48" t="n">
        <f aca="false">V_IRE*(DY$260-DY$261)</f>
        <v>0</v>
      </c>
      <c r="DZ262" s="48" t="n">
        <f aca="false">V_IRE*(DZ$260-DZ$261)</f>
        <v>0</v>
      </c>
      <c r="EA262" s="48" t="n">
        <f aca="false">V_IRE*(EA$260-EA$261)</f>
        <v>0</v>
      </c>
      <c r="EB262" s="48" t="n">
        <f aca="false">V_IRE*(EB$260-EB$261)</f>
        <v>0</v>
      </c>
      <c r="EC262" s="48" t="n">
        <f aca="false">V_IRE*(EC$260-EC$261)</f>
        <v>0</v>
      </c>
      <c r="ED262" s="48" t="n">
        <f aca="false">V_IRE*(ED$260-ED$261)</f>
        <v>0</v>
      </c>
      <c r="EE262" s="48" t="n">
        <f aca="false">V_IRE*(EE$260-EE$261)</f>
        <v>0</v>
      </c>
      <c r="EF262" s="48" t="n">
        <f aca="false">V_IRE*(EF$260-EF$261)</f>
        <v>0</v>
      </c>
      <c r="EG262" s="48" t="n">
        <f aca="false">V_IRE*(EG$260-EG$261)</f>
        <v>0</v>
      </c>
      <c r="EH262" s="48" t="n">
        <f aca="false">V_IRE*(EH$260-EH$261)</f>
        <v>0</v>
      </c>
      <c r="EI262" s="48" t="n">
        <f aca="false">V_IRE*(EI$260-EI$261)</f>
        <v>0</v>
      </c>
      <c r="EJ262" s="48" t="n">
        <f aca="false">V_IRE*(EJ$260-EJ$261)</f>
        <v>0</v>
      </c>
      <c r="EK262" s="48" t="n">
        <f aca="false">V_IRE*(EK$260-EK$261)</f>
        <v>0</v>
      </c>
      <c r="EL262" s="48" t="n">
        <f aca="false">V_IRE*(EL$260-EL$261)</f>
        <v>0</v>
      </c>
      <c r="EM262" s="48" t="n">
        <f aca="false">V_IRE*(EM$260-EM$261)</f>
        <v>0</v>
      </c>
      <c r="EN262" s="48" t="n">
        <f aca="false">V_IRE*(EN$260-EN$261)</f>
        <v>0</v>
      </c>
      <c r="EO262" s="48" t="n">
        <f aca="false">V_IRE*(EO$260-EO$261)</f>
        <v>0</v>
      </c>
      <c r="EP262" s="48" t="n">
        <f aca="false">V_IRE*(EP$260-EP$261)</f>
        <v>0</v>
      </c>
      <c r="EQ262" s="48" t="n">
        <f aca="false">V_IRE*(EQ$260-EQ$261)</f>
        <v>0</v>
      </c>
      <c r="ER262" s="48" t="n">
        <f aca="false">V_IRE*(ER$260-ER$261)</f>
        <v>0</v>
      </c>
      <c r="ES262" s="48" t="n">
        <f aca="false">V_IRE*(ES$260-ES$261)</f>
        <v>0</v>
      </c>
    </row>
    <row r="263" customFormat="false" ht="15" hidden="false" customHeight="false" outlineLevel="0" collapsed="false">
      <c r="A263" s="11" t="s">
        <v>1384</v>
      </c>
      <c r="B263" s="67" t="s">
        <v>1184</v>
      </c>
      <c r="C263" s="15" t="s">
        <v>508</v>
      </c>
      <c r="E263" s="54" t="n">
        <f aca="false">SUM(F263:ES263)</f>
        <v>14751245.7980366</v>
      </c>
      <c r="F263" s="19" t="n">
        <f aca="false">F$260-F$261-F$262</f>
        <v>13500.8903089231</v>
      </c>
      <c r="G263" s="19" t="n">
        <f aca="false">G$260-G$261-G$262</f>
        <v>13500.8903089231</v>
      </c>
      <c r="H263" s="19" t="n">
        <f aca="false">H$260-H$261-H$262</f>
        <v>13500.8903089231</v>
      </c>
      <c r="I263" s="19" t="n">
        <f aca="false">I$260-I$261-I$262</f>
        <v>13500.8903089231</v>
      </c>
      <c r="J263" s="19" t="n">
        <f aca="false">J$260-J$261-J$262</f>
        <v>13500.8903089231</v>
      </c>
      <c r="K263" s="19" t="n">
        <f aca="false">K$260-K$261-K$262</f>
        <v>13500.8903089231</v>
      </c>
      <c r="L263" s="19" t="n">
        <f aca="false">L$260-L$261-L$262</f>
        <v>13500.8903089231</v>
      </c>
      <c r="M263" s="19" t="n">
        <f aca="false">M$260-M$261-M$262</f>
        <v>13848.4075677042</v>
      </c>
      <c r="N263" s="19" t="n">
        <f aca="false">N$260-N$261-N$262</f>
        <v>14198.5312059263</v>
      </c>
      <c r="O263" s="19" t="n">
        <f aca="false">O$260-O$261-O$262</f>
        <v>14551.280771435</v>
      </c>
      <c r="P263" s="19" t="n">
        <f aca="false">P$260-P$261-P$262</f>
        <v>14906.675958685</v>
      </c>
      <c r="Q263" s="19" t="n">
        <f aca="false">Q$260-Q$261-Q$262</f>
        <v>15264.7366098394</v>
      </c>
      <c r="R263" s="19" t="n">
        <f aca="false">R$260-R$261-R$262</f>
        <v>52791.0519009191</v>
      </c>
      <c r="S263" s="19" t="n">
        <f aca="false">S$260-S$261-S$262</f>
        <v>53154.5036027525</v>
      </c>
      <c r="T263" s="19" t="n">
        <f aca="false">T$260-T$261-T$262</f>
        <v>53520.6811923496</v>
      </c>
      <c r="U263" s="19" t="n">
        <f aca="false">U$260-U$261-U$262</f>
        <v>53889.6051138686</v>
      </c>
      <c r="V263" s="19" t="n">
        <f aca="false">V$260-V$261-V$262</f>
        <v>54261.2959647991</v>
      </c>
      <c r="W263" s="19" t="n">
        <f aca="false">W$260-W$261-W$262</f>
        <v>54635.7744971115</v>
      </c>
      <c r="X263" s="19" t="n">
        <f aca="false">X$260-X$261-X$262</f>
        <v>55013.0616184163</v>
      </c>
      <c r="Y263" s="19" t="n">
        <f aca="false">Y$260-Y$261-Y$262</f>
        <v>55393.1783931308</v>
      </c>
      <c r="Z263" s="19" t="n">
        <f aca="false">Z$260-Z$261-Z$262</f>
        <v>55776.1460436557</v>
      </c>
      <c r="AA263" s="19" t="n">
        <f aca="false">AA$260-AA$261-AA$262</f>
        <v>56161.9859515596</v>
      </c>
      <c r="AB263" s="19" t="n">
        <f aca="false">AB$260-AB$261-AB$262</f>
        <v>56550.7196587727</v>
      </c>
      <c r="AC263" s="19" t="n">
        <f aca="false">AC$260-AC$261-AC$262</f>
        <v>56942.36886879</v>
      </c>
      <c r="AD263" s="19" t="n">
        <f aca="false">AD$260-AD$261-AD$262</f>
        <v>93925.5833190423</v>
      </c>
      <c r="AE263" s="19" t="n">
        <f aca="false">AE$260-AE$261-AE$262</f>
        <v>94323.1292974779</v>
      </c>
      <c r="AF263" s="19" t="n">
        <f aca="false">AF$260-AF$261-AF$262</f>
        <v>94723.6568707517</v>
      </c>
      <c r="AG263" s="19" t="n">
        <f aca="false">AG$260-AG$261-AG$262</f>
        <v>95127.1884008251</v>
      </c>
      <c r="AH263" s="19" t="n">
        <f aca="false">AH$260-AH$261-AH$262</f>
        <v>95533.746417374</v>
      </c>
      <c r="AI263" s="19" t="n">
        <f aca="false">AI$260-AI$261-AI$262</f>
        <v>95943.3536190471</v>
      </c>
      <c r="AJ263" s="19" t="n">
        <f aca="false">AJ$260-AJ$261-AJ$262</f>
        <v>96356.0328747327</v>
      </c>
      <c r="AK263" s="19" t="n">
        <f aca="false">AK$260-AK$261-AK$262</f>
        <v>96771.8072248359</v>
      </c>
      <c r="AL263" s="19" t="n">
        <f aca="false">AL$260-AL$261-AL$262</f>
        <v>97190.6998825649</v>
      </c>
      <c r="AM263" s="19" t="n">
        <f aca="false">AM$260-AM$261-AM$262</f>
        <v>97612.7342352269</v>
      </c>
      <c r="AN263" s="19" t="n">
        <f aca="false">AN$260-AN$261-AN$262</f>
        <v>98037.9338455338</v>
      </c>
      <c r="AO263" s="19" t="n">
        <f aca="false">AO$260-AO$261-AO$262</f>
        <v>98466.322452918</v>
      </c>
      <c r="AP263" s="19" t="n">
        <f aca="false">AP$260-AP$261-AP$262</f>
        <v>131706.472989591</v>
      </c>
      <c r="AQ263" s="19" t="n">
        <f aca="false">AQ$260-AQ$261-AQ$262</f>
        <v>132141.311522945</v>
      </c>
      <c r="AR263" s="19" t="n">
        <f aca="false">AR$260-AR$261-AR$262</f>
        <v>132579.4113453</v>
      </c>
      <c r="AS263" s="19" t="n">
        <f aca="false">AS$260-AS$261-AS$262</f>
        <v>133020.796916322</v>
      </c>
      <c r="AT263" s="19" t="n">
        <f aca="false">AT$260-AT$261-AT$262</f>
        <v>133465.492879126</v>
      </c>
      <c r="AU263" s="19" t="n">
        <f aca="false">AU$260-AU$261-AU$262</f>
        <v>133913.524061652</v>
      </c>
      <c r="AV263" s="19" t="n">
        <f aca="false">AV$260-AV$261-AV$262</f>
        <v>134364.915478047</v>
      </c>
      <c r="AW263" s="19" t="n">
        <f aca="false">AW$260-AW$261-AW$262</f>
        <v>134819.692330064</v>
      </c>
      <c r="AX263" s="19" t="n">
        <f aca="false">AX$260-AX$261-AX$262</f>
        <v>135277.880008472</v>
      </c>
      <c r="AY263" s="19" t="n">
        <f aca="false">AY$260-AY$261-AY$262</f>
        <v>135739.504094468</v>
      </c>
      <c r="AZ263" s="19" t="n">
        <f aca="false">AZ$260-AZ$261-AZ$262</f>
        <v>136204.590361108</v>
      </c>
      <c r="BA263" s="19" t="n">
        <f aca="false">BA$260-BA$261-BA$262</f>
        <v>136673.164774749</v>
      </c>
      <c r="BB263" s="19" t="n">
        <f aca="false">BB$260-BB$261-BB$262</f>
        <v>138464.838493007</v>
      </c>
      <c r="BC263" s="19" t="n">
        <f aca="false">BC$260-BC$261-BC$262</f>
        <v>138940.467880163</v>
      </c>
      <c r="BD263" s="19" t="n">
        <f aca="false">BD$260-BD$261-BD$262</f>
        <v>139419.664487723</v>
      </c>
      <c r="BE263" s="19" t="n">
        <f aca="false">BE$260-BE$261-BE$262</f>
        <v>139902.455069839</v>
      </c>
      <c r="BF263" s="19" t="n">
        <f aca="false">BF$260-BF$261-BF$262</f>
        <v>140388.866581321</v>
      </c>
      <c r="BG263" s="19" t="n">
        <f aca="false">BG$260-BG$261-BG$262</f>
        <v>140878.92617914</v>
      </c>
      <c r="BH263" s="19" t="n">
        <f aca="false">BH$260-BH$261-BH$262</f>
        <v>141372.661223942</v>
      </c>
      <c r="BI263" s="19" t="n">
        <f aca="false">BI$260-BI$261-BI$262</f>
        <v>141870.099281579</v>
      </c>
      <c r="BJ263" s="19" t="n">
        <f aca="false">BJ$260-BJ$261-BJ$262</f>
        <v>142371.26812465</v>
      </c>
      <c r="BK263" s="19" t="n">
        <f aca="false">BK$260-BK$261-BK$262</f>
        <v>142876.195734043</v>
      </c>
      <c r="BL263" s="19" t="n">
        <f aca="false">BL$260-BL$261-BL$262</f>
        <v>143384.910300507</v>
      </c>
      <c r="BM263" s="19" t="n">
        <f aca="false">BM$260-BM$261-BM$262</f>
        <v>143897.440226219</v>
      </c>
      <c r="BN263" s="19" t="n">
        <f aca="false">BN$260-BN$261-BN$262</f>
        <v>149515.724381159</v>
      </c>
      <c r="BO263" s="19" t="n">
        <f aca="false">BO$260-BO$261-BO$262</f>
        <v>149515.724381159</v>
      </c>
      <c r="BP263" s="19" t="n">
        <f aca="false">BP$260-BP$261-BP$262</f>
        <v>149515.724381159</v>
      </c>
      <c r="BQ263" s="19" t="n">
        <f aca="false">BQ$260-BQ$261-BQ$262</f>
        <v>149515.724381159</v>
      </c>
      <c r="BR263" s="19" t="n">
        <f aca="false">BR$260-BR$261-BR$262</f>
        <v>149515.724381159</v>
      </c>
      <c r="BS263" s="19" t="n">
        <f aca="false">BS$260-BS$261-BS$262</f>
        <v>149515.724381159</v>
      </c>
      <c r="BT263" s="19" t="n">
        <f aca="false">BT$260-BT$261-BT$262</f>
        <v>149515.724381159</v>
      </c>
      <c r="BU263" s="19" t="n">
        <f aca="false">BU$260-BU$261-BU$262</f>
        <v>149515.724381159</v>
      </c>
      <c r="BV263" s="19" t="n">
        <f aca="false">BV$260-BV$261-BV$262</f>
        <v>149515.724381159</v>
      </c>
      <c r="BW263" s="19" t="n">
        <f aca="false">BW$260-BW$261-BW$262</f>
        <v>149515.724381159</v>
      </c>
      <c r="BX263" s="19" t="n">
        <f aca="false">BX$260-BX$261-BX$262</f>
        <v>149515.724381159</v>
      </c>
      <c r="BY263" s="19" t="n">
        <f aca="false">BY$260-BY$261-BY$262</f>
        <v>149515.724381159</v>
      </c>
      <c r="BZ263" s="19" t="n">
        <f aca="false">BZ$260-BZ$261-BZ$262</f>
        <v>153631.305072733</v>
      </c>
      <c r="CA263" s="19" t="n">
        <f aca="false">CA$260-CA$261-CA$262</f>
        <v>153631.305072733</v>
      </c>
      <c r="CB263" s="19" t="n">
        <f aca="false">CB$260-CB$261-CB$262</f>
        <v>153631.305072733</v>
      </c>
      <c r="CC263" s="19" t="n">
        <f aca="false">CC$260-CC$261-CC$262</f>
        <v>153631.305072733</v>
      </c>
      <c r="CD263" s="19" t="n">
        <f aca="false">CD$260-CD$261-CD$262</f>
        <v>153631.305072733</v>
      </c>
      <c r="CE263" s="19" t="n">
        <f aca="false">CE$260-CE$261-CE$262</f>
        <v>153631.305072733</v>
      </c>
      <c r="CF263" s="19" t="n">
        <f aca="false">CF$260-CF$261-CF$262</f>
        <v>153631.305072733</v>
      </c>
      <c r="CG263" s="19" t="n">
        <f aca="false">CG$260-CG$261-CG$262</f>
        <v>153631.305072733</v>
      </c>
      <c r="CH263" s="19" t="n">
        <f aca="false">CH$260-CH$261-CH$262</f>
        <v>153631.305072733</v>
      </c>
      <c r="CI263" s="19" t="n">
        <f aca="false">CI$260-CI$261-CI$262</f>
        <v>153631.305072733</v>
      </c>
      <c r="CJ263" s="19" t="n">
        <f aca="false">CJ$260-CJ$261-CJ$262</f>
        <v>153631.305072733</v>
      </c>
      <c r="CK263" s="19" t="n">
        <f aca="false">CK$260-CK$261-CK$262</f>
        <v>153631.305072733</v>
      </c>
      <c r="CL263" s="19" t="n">
        <f aca="false">CL$260-CL$261-CL$262</f>
        <v>157775.101129621</v>
      </c>
      <c r="CM263" s="19" t="n">
        <f aca="false">CM$260-CM$261-CM$262</f>
        <v>157775.101129621</v>
      </c>
      <c r="CN263" s="19" t="n">
        <f aca="false">CN$260-CN$261-CN$262</f>
        <v>157775.101129621</v>
      </c>
      <c r="CO263" s="19" t="n">
        <f aca="false">CO$260-CO$261-CO$262</f>
        <v>157775.101129621</v>
      </c>
      <c r="CP263" s="19" t="n">
        <f aca="false">CP$260-CP$261-CP$262</f>
        <v>157775.101129621</v>
      </c>
      <c r="CQ263" s="19" t="n">
        <f aca="false">CQ$260-CQ$261-CQ$262</f>
        <v>157775.101129621</v>
      </c>
      <c r="CR263" s="19" t="n">
        <f aca="false">CR$260-CR$261-CR$262</f>
        <v>157775.101129621</v>
      </c>
      <c r="CS263" s="19" t="n">
        <f aca="false">CS$260-CS$261-CS$262</f>
        <v>157775.101129621</v>
      </c>
      <c r="CT263" s="19" t="n">
        <f aca="false">CT$260-CT$261-CT$262</f>
        <v>157775.101129621</v>
      </c>
      <c r="CU263" s="19" t="n">
        <f aca="false">CU$260-CU$261-CU$262</f>
        <v>157775.101129621</v>
      </c>
      <c r="CV263" s="19" t="n">
        <f aca="false">CV$260-CV$261-CV$262</f>
        <v>157775.101129621</v>
      </c>
      <c r="CW263" s="19" t="n">
        <f aca="false">CW$260-CW$261-CW$262</f>
        <v>157775.101129621</v>
      </c>
      <c r="CX263" s="19" t="n">
        <f aca="false">CX$260-CX$261-CX$262</f>
        <v>161947.012232241</v>
      </c>
      <c r="CY263" s="19" t="n">
        <f aca="false">CY$260-CY$261-CY$262</f>
        <v>161947.012232241</v>
      </c>
      <c r="CZ263" s="19" t="n">
        <f aca="false">CZ$260-CZ$261-CZ$262</f>
        <v>161947.012232241</v>
      </c>
      <c r="DA263" s="19" t="n">
        <f aca="false">DA$260-DA$261-DA$262</f>
        <v>161947.012232241</v>
      </c>
      <c r="DB263" s="19" t="n">
        <f aca="false">DB$260-DB$261-DB$262</f>
        <v>161947.012232241</v>
      </c>
      <c r="DC263" s="19" t="n">
        <f aca="false">DC$260-DC$261-DC$262</f>
        <v>161947.012232241</v>
      </c>
      <c r="DD263" s="19" t="n">
        <f aca="false">DD$260-DD$261-DD$262</f>
        <v>161947.012232241</v>
      </c>
      <c r="DE263" s="19" t="n">
        <f aca="false">DE$260-DE$261-DE$262</f>
        <v>161947.012232241</v>
      </c>
      <c r="DF263" s="19" t="n">
        <f aca="false">DF$260-DF$261-DF$262</f>
        <v>161947.012232241</v>
      </c>
      <c r="DG263" s="19" t="n">
        <f aca="false">DG$260-DG$261-DG$262</f>
        <v>161947.012232241</v>
      </c>
      <c r="DH263" s="19" t="n">
        <f aca="false">DH$260-DH$261-DH$262</f>
        <v>161947.012232241</v>
      </c>
      <c r="DI263" s="19" t="n">
        <f aca="false">DI$260-DI$261-DI$262</f>
        <v>161947.012232241</v>
      </c>
      <c r="DJ263" s="19" t="n">
        <f aca="false">DJ$260-DJ$261-DJ$262</f>
        <v>166146.925698419</v>
      </c>
      <c r="DK263" s="19" t="n">
        <f aca="false">DK$260-DK$261-DK$262</f>
        <v>166146.925698419</v>
      </c>
      <c r="DL263" s="19" t="n">
        <f aca="false">DL$260-DL$261-DL$262</f>
        <v>166146.925698419</v>
      </c>
      <c r="DM263" s="19" t="n">
        <f aca="false">DM$260-DM$261-DM$262</f>
        <v>166146.925698419</v>
      </c>
      <c r="DN263" s="19" t="n">
        <f aca="false">DN$260-DN$261-DN$262</f>
        <v>166146.925698419</v>
      </c>
      <c r="DO263" s="19" t="n">
        <f aca="false">DO$260-DO$261-DO$262</f>
        <v>166146.925698419</v>
      </c>
      <c r="DP263" s="19" t="n">
        <f aca="false">DP$260-DP$261-DP$262</f>
        <v>166146.925698419</v>
      </c>
      <c r="DQ263" s="19" t="n">
        <f aca="false">DQ$260-DQ$261-DQ$262</f>
        <v>166146.925698419</v>
      </c>
      <c r="DR263" s="19" t="n">
        <f aca="false">DR$260-DR$261-DR$262</f>
        <v>166146.925698419</v>
      </c>
      <c r="DS263" s="19" t="n">
        <f aca="false">DS$260-DS$261-DS$262</f>
        <v>166146.925698419</v>
      </c>
      <c r="DT263" s="19" t="n">
        <f aca="false">DT$260-DT$261-DT$262</f>
        <v>166146.925698419</v>
      </c>
      <c r="DU263" s="19" t="n">
        <f aca="false">DU$260-DU$261-DU$262</f>
        <v>166146.925698419</v>
      </c>
      <c r="DV263" s="19" t="n">
        <f aca="false">DV$260-DV$261-DV$262</f>
        <v>0</v>
      </c>
      <c r="DW263" s="19" t="n">
        <f aca="false">DW$260-DW$261-DW$262</f>
        <v>0</v>
      </c>
      <c r="DX263" s="19" t="n">
        <f aca="false">DX$260-DX$261-DX$262</f>
        <v>0</v>
      </c>
      <c r="DY263" s="19" t="n">
        <f aca="false">DY$260-DY$261-DY$262</f>
        <v>0</v>
      </c>
      <c r="DZ263" s="19" t="n">
        <f aca="false">DZ$260-DZ$261-DZ$262</f>
        <v>0</v>
      </c>
      <c r="EA263" s="19" t="n">
        <f aca="false">EA$260-EA$261-EA$262</f>
        <v>0</v>
      </c>
      <c r="EB263" s="19" t="n">
        <f aca="false">EB$260-EB$261-EB$262</f>
        <v>0</v>
      </c>
      <c r="EC263" s="19" t="n">
        <f aca="false">EC$260-EC$261-EC$262</f>
        <v>0</v>
      </c>
      <c r="ED263" s="19" t="n">
        <f aca="false">ED$260-ED$261-ED$262</f>
        <v>0</v>
      </c>
      <c r="EE263" s="19" t="n">
        <f aca="false">EE$260-EE$261-EE$262</f>
        <v>0</v>
      </c>
      <c r="EF263" s="19" t="n">
        <f aca="false">EF$260-EF$261-EF$262</f>
        <v>0</v>
      </c>
      <c r="EG263" s="19" t="n">
        <f aca="false">EG$260-EG$261-EG$262</f>
        <v>0</v>
      </c>
      <c r="EH263" s="19" t="n">
        <f aca="false">EH$260-EH$261-EH$262</f>
        <v>0</v>
      </c>
      <c r="EI263" s="19" t="n">
        <f aca="false">EI$260-EI$261-EI$262</f>
        <v>0</v>
      </c>
      <c r="EJ263" s="19" t="n">
        <f aca="false">EJ$260-EJ$261-EJ$262</f>
        <v>0</v>
      </c>
      <c r="EK263" s="19" t="n">
        <f aca="false">EK$260-EK$261-EK$262</f>
        <v>0</v>
      </c>
      <c r="EL263" s="19" t="n">
        <f aca="false">EL$260-EL$261-EL$262</f>
        <v>0</v>
      </c>
      <c r="EM263" s="19" t="n">
        <f aca="false">EM$260-EM$261-EM$262</f>
        <v>0</v>
      </c>
      <c r="EN263" s="19" t="n">
        <f aca="false">EN$260-EN$261-EN$262</f>
        <v>0</v>
      </c>
      <c r="EO263" s="19" t="n">
        <f aca="false">EO$260-EO$261-EO$262</f>
        <v>0</v>
      </c>
      <c r="EP263" s="19" t="n">
        <f aca="false">EP$260-EP$261-EP$262</f>
        <v>0</v>
      </c>
      <c r="EQ263" s="19" t="n">
        <f aca="false">EQ$260-EQ$261-EQ$262</f>
        <v>0</v>
      </c>
      <c r="ER263" s="19" t="n">
        <f aca="false">ER$260-ER$261-ER$262</f>
        <v>0</v>
      </c>
      <c r="ES263" s="19" t="n">
        <f aca="false">ES$260-ES$261-ES$262</f>
        <v>0</v>
      </c>
    </row>
    <row r="264" customFormat="false" ht="15" hidden="false" customHeight="false" outlineLevel="0" collapsed="false">
      <c r="A264" s="13"/>
      <c r="B264" s="12" t="s">
        <v>1185</v>
      </c>
      <c r="C264" s="13"/>
      <c r="D264" s="13"/>
      <c r="E264" s="13"/>
    </row>
    <row r="265" customFormat="false" ht="15" hidden="false" customHeight="false" outlineLevel="0" collapsed="false">
      <c r="A265" s="11" t="s">
        <v>1385</v>
      </c>
      <c r="B265" s="15" t="s">
        <v>1187</v>
      </c>
      <c r="C265" s="15" t="s">
        <v>508</v>
      </c>
      <c r="E265" s="54" t="n">
        <f aca="false">INDEX(F265:ES265,1,MIN(144,Fin))</f>
        <v>3031156.22423972</v>
      </c>
      <c r="F265" s="48" t="n">
        <f aca="false">IF(1&gt;Fin,0,IF(AND(F$8=1,ISNUMBER(Reales!F80)),IF(Reales!$C$80="PYG",IF(F$10&gt;0,N(Reales!F80)/F$10,0),N(Reales!F80)),F$227*IF(F$8=1,N(vg_DSO),V_DSO)/DiasMes))</f>
        <v>1594520.54794521</v>
      </c>
      <c r="G265" s="48" t="n">
        <f aca="false">IF(2&gt;Fin,F$265,IF(AND(G$8=1,ISNUMBER(Reales!G80)),IF(Reales!$C$80="PYG",IF(G$10&gt;0,N(Reales!G80)/G$10,0),N(Reales!G80)),G$227*IF(G$8=1,N(vg_DSO),V_DSO)/DiasMes))</f>
        <v>1594520.54794521</v>
      </c>
      <c r="H265" s="48" t="n">
        <f aca="false">IF(3&gt;Fin,G$265,IF(AND(H$8=1,ISNUMBER(Reales!H80)),IF(Reales!$C$80="PYG",IF(H$10&gt;0,N(Reales!H80)/H$10,0),N(Reales!H80)),H$227*IF(H$8=1,N(vg_DSO),V_DSO)/DiasMes))</f>
        <v>1594520.54794521</v>
      </c>
      <c r="I265" s="48" t="n">
        <f aca="false">IF(4&gt;Fin,H$265,IF(AND(I$8=1,ISNUMBER(Reales!I80)),IF(Reales!$C$80="PYG",IF(I$10&gt;0,N(Reales!I80)/I$10,0),N(Reales!I80)),I$227*IF(I$8=1,N(vg_DSO),V_DSO)/DiasMes))</f>
        <v>1594520.54794521</v>
      </c>
      <c r="J265" s="48" t="n">
        <f aca="false">IF(5&gt;Fin,I$265,IF(AND(J$8=1,ISNUMBER(Reales!J80)),IF(Reales!$C$80="PYG",IF(J$10&gt;0,N(Reales!J80)/J$10,0),N(Reales!J80)),J$227*IF(J$8=1,N(vg_DSO),V_DSO)/DiasMes))</f>
        <v>1594520.54794521</v>
      </c>
      <c r="K265" s="48" t="n">
        <f aca="false">IF(6&gt;Fin,J$265,IF(AND(K$8=1,ISNUMBER(Reales!K80)),IF(Reales!$C$80="PYG",IF(K$10&gt;0,N(Reales!K80)/K$10,0),N(Reales!K80)),K$227*IF(K$8=1,N(vg_DSO),V_DSO)/DiasMes))</f>
        <v>1594520.54794521</v>
      </c>
      <c r="L265" s="48" t="n">
        <f aca="false">IF(7&gt;Fin,K$265,IF(AND(L$8=1,ISNUMBER(Reales!L80)),IF(Reales!$C$80="PYG",IF(L$10&gt;0,N(Reales!L80)/L$10,0),N(Reales!L80)),L$227*IF(L$8=1,N(vg_DSO),V_DSO)/DiasMes))</f>
        <v>1594520.54794521</v>
      </c>
      <c r="M265" s="48" t="n">
        <f aca="false">IF(8&gt;Fin,L$265,IF(AND(M$8=1,ISNUMBER(Reales!M80)),IF(Reales!$C$80="PYG",IF(M$10&gt;0,N(Reales!M80)/M$10,0),N(Reales!M80)),M$227*IF(M$8=1,N(vg_DSO),V_DSO)/DiasMes))</f>
        <v>1594520.54794521</v>
      </c>
      <c r="N265" s="48" t="n">
        <f aca="false">IF(9&gt;Fin,M$265,IF(AND(N$8=1,ISNUMBER(Reales!N80)),IF(Reales!$C$80="PYG",IF(N$10&gt;0,N(Reales!N80)/N$10,0),N(Reales!N80)),N$227*IF(N$8=1,N(vg_DSO),V_DSO)/DiasMes))</f>
        <v>1594520.54794521</v>
      </c>
      <c r="O265" s="48" t="n">
        <f aca="false">IF(10&gt;Fin,N$265,IF(AND(O$8=1,ISNUMBER(Reales!O80)),IF(Reales!$C$80="PYG",IF(O$10&gt;0,N(Reales!O80)/O$10,0),N(Reales!O80)),O$227*IF(O$8=1,N(vg_DSO),V_DSO)/DiasMes))</f>
        <v>1594520.54794521</v>
      </c>
      <c r="P265" s="48" t="n">
        <f aca="false">IF(11&gt;Fin,O$265,IF(AND(P$8=1,ISNUMBER(Reales!P80)),IF(Reales!$C$80="PYG",IF(P$10&gt;0,N(Reales!P80)/P$10,0),N(Reales!P80)),P$227*IF(P$8=1,N(vg_DSO),V_DSO)/DiasMes))</f>
        <v>1594520.54794521</v>
      </c>
      <c r="Q265" s="48" t="n">
        <f aca="false">IF(12&gt;Fin,P$265,IF(AND(Q$8=1,ISNUMBER(Reales!Q80)),IF(Reales!$C$80="PYG",IF(Q$10&gt;0,N(Reales!Q80)/Q$10,0),N(Reales!Q80)),Q$227*IF(Q$8=1,N(vg_DSO),V_DSO)/DiasMes))</f>
        <v>1594520.54794521</v>
      </c>
      <c r="R265" s="48" t="n">
        <f aca="false">IF(13&gt;Fin,Q$265,IF(AND(R$8=1,ISNUMBER(Reales!R80)),IF(Reales!$C$80="PYG",IF(R$10&gt;0,N(Reales!R80)/R$10,0),N(Reales!R80)),R$227*IF(R$8=1,N(vg_DSO),V_DSO)/DiasMes))</f>
        <v>2032175.34246575</v>
      </c>
      <c r="S265" s="48" t="n">
        <f aca="false">IF(14&gt;Fin,R$265,IF(AND(S$8=1,ISNUMBER(Reales!S80)),IF(Reales!$C$80="PYG",IF(S$10&gt;0,N(Reales!S80)/S$10,0),N(Reales!S80)),S$227*IF(S$8=1,N(vg_DSO),V_DSO)/DiasMes))</f>
        <v>2032175.34246575</v>
      </c>
      <c r="T265" s="48" t="n">
        <f aca="false">IF(15&gt;Fin,S$265,IF(AND(T$8=1,ISNUMBER(Reales!T80)),IF(Reales!$C$80="PYG",IF(T$10&gt;0,N(Reales!T80)/T$10,0),N(Reales!T80)),T$227*IF(T$8=1,N(vg_DSO),V_DSO)/DiasMes))</f>
        <v>2032175.34246575</v>
      </c>
      <c r="U265" s="48" t="n">
        <f aca="false">IF(16&gt;Fin,T$265,IF(AND(U$8=1,ISNUMBER(Reales!U80)),IF(Reales!$C$80="PYG",IF(U$10&gt;0,N(Reales!U80)/U$10,0),N(Reales!U80)),U$227*IF(U$8=1,N(vg_DSO),V_DSO)/DiasMes))</f>
        <v>2032175.34246575</v>
      </c>
      <c r="V265" s="48" t="n">
        <f aca="false">IF(17&gt;Fin,U$265,IF(AND(V$8=1,ISNUMBER(Reales!V80)),IF(Reales!$C$80="PYG",IF(V$10&gt;0,N(Reales!V80)/V$10,0),N(Reales!V80)),V$227*IF(V$8=1,N(vg_DSO),V_DSO)/DiasMes))</f>
        <v>2032175.34246575</v>
      </c>
      <c r="W265" s="48" t="n">
        <f aca="false">IF(18&gt;Fin,V$265,IF(AND(W$8=1,ISNUMBER(Reales!W80)),IF(Reales!$C$80="PYG",IF(W$10&gt;0,N(Reales!W80)/W$10,0),N(Reales!W80)),W$227*IF(W$8=1,N(vg_DSO),V_DSO)/DiasMes))</f>
        <v>2032175.34246575</v>
      </c>
      <c r="X265" s="48" t="n">
        <f aca="false">IF(19&gt;Fin,W$265,IF(AND(X$8=1,ISNUMBER(Reales!X80)),IF(Reales!$C$80="PYG",IF(X$10&gt;0,N(Reales!X80)/X$10,0),N(Reales!X80)),X$227*IF(X$8=1,N(vg_DSO),V_DSO)/DiasMes))</f>
        <v>2032175.34246575</v>
      </c>
      <c r="Y265" s="48" t="n">
        <f aca="false">IF(20&gt;Fin,X$265,IF(AND(Y$8=1,ISNUMBER(Reales!Y80)),IF(Reales!$C$80="PYG",IF(Y$10&gt;0,N(Reales!Y80)/Y$10,0),N(Reales!Y80)),Y$227*IF(Y$8=1,N(vg_DSO),V_DSO)/DiasMes))</f>
        <v>2032175.34246575</v>
      </c>
      <c r="Z265" s="48" t="n">
        <f aca="false">IF(21&gt;Fin,Y$265,IF(AND(Z$8=1,ISNUMBER(Reales!Z80)),IF(Reales!$C$80="PYG",IF(Z$10&gt;0,N(Reales!Z80)/Z$10,0),N(Reales!Z80)),Z$227*IF(Z$8=1,N(vg_DSO),V_DSO)/DiasMes))</f>
        <v>2032175.34246575</v>
      </c>
      <c r="AA265" s="48" t="n">
        <f aca="false">IF(22&gt;Fin,Z$265,IF(AND(AA$8=1,ISNUMBER(Reales!AA80)),IF(Reales!$C$80="PYG",IF(AA$10&gt;0,N(Reales!AA80)/AA$10,0),N(Reales!AA80)),AA$227*IF(AA$8=1,N(vg_DSO),V_DSO)/DiasMes))</f>
        <v>2032175.34246575</v>
      </c>
      <c r="AB265" s="48" t="n">
        <f aca="false">IF(23&gt;Fin,AA$265,IF(AND(AB$8=1,ISNUMBER(Reales!AB80)),IF(Reales!$C$80="PYG",IF(AB$10&gt;0,N(Reales!AB80)/AB$10,0),N(Reales!AB80)),AB$227*IF(AB$8=1,N(vg_DSO),V_DSO)/DiasMes))</f>
        <v>2032175.34246575</v>
      </c>
      <c r="AC265" s="48" t="n">
        <f aca="false">IF(24&gt;Fin,AB$265,IF(AND(AC$8=1,ISNUMBER(Reales!AC80)),IF(Reales!$C$80="PYG",IF(AC$10&gt;0,N(Reales!AC80)/AC$10,0),N(Reales!AC80)),AC$227*IF(AC$8=1,N(vg_DSO),V_DSO)/DiasMes))</f>
        <v>2032175.34246575</v>
      </c>
      <c r="AD265" s="48" t="n">
        <f aca="false">IF(25&gt;Fin,AC$265,IF(AND(AD$8=1,ISNUMBER(Reales!AD80)),IF(Reales!$C$80="PYG",IF(AD$10&gt;0,N(Reales!AD80)/AD$10,0),N(Reales!AD80)),AD$227*IF(AD$8=1,N(vg_DSO),V_DSO)/DiasMes))</f>
        <v>2478423.78082192</v>
      </c>
      <c r="AE265" s="48" t="n">
        <f aca="false">IF(26&gt;Fin,AD$265,IF(AND(AE$8=1,ISNUMBER(Reales!AE80)),IF(Reales!$C$80="PYG",IF(AE$10&gt;0,N(Reales!AE80)/AE$10,0),N(Reales!AE80)),AE$227*IF(AE$8=1,N(vg_DSO),V_DSO)/DiasMes))</f>
        <v>2478423.78082192</v>
      </c>
      <c r="AF265" s="48" t="n">
        <f aca="false">IF(27&gt;Fin,AE$265,IF(AND(AF$8=1,ISNUMBER(Reales!AF80)),IF(Reales!$C$80="PYG",IF(AF$10&gt;0,N(Reales!AF80)/AF$10,0),N(Reales!AF80)),AF$227*IF(AF$8=1,N(vg_DSO),V_DSO)/DiasMes))</f>
        <v>2478423.78082192</v>
      </c>
      <c r="AG265" s="48" t="n">
        <f aca="false">IF(28&gt;Fin,AF$265,IF(AND(AG$8=1,ISNUMBER(Reales!AG80)),IF(Reales!$C$80="PYG",IF(AG$10&gt;0,N(Reales!AG80)/AG$10,0),N(Reales!AG80)),AG$227*IF(AG$8=1,N(vg_DSO),V_DSO)/DiasMes))</f>
        <v>2478423.78082192</v>
      </c>
      <c r="AH265" s="48" t="n">
        <f aca="false">IF(29&gt;Fin,AG$265,IF(AND(AH$8=1,ISNUMBER(Reales!AH80)),IF(Reales!$C$80="PYG",IF(AH$10&gt;0,N(Reales!AH80)/AH$10,0),N(Reales!AH80)),AH$227*IF(AH$8=1,N(vg_DSO),V_DSO)/DiasMes))</f>
        <v>2478423.78082192</v>
      </c>
      <c r="AI265" s="48" t="n">
        <f aca="false">IF(30&gt;Fin,AH$265,IF(AND(AI$8=1,ISNUMBER(Reales!AI80)),IF(Reales!$C$80="PYG",IF(AI$10&gt;0,N(Reales!AI80)/AI$10,0),N(Reales!AI80)),AI$227*IF(AI$8=1,N(vg_DSO),V_DSO)/DiasMes))</f>
        <v>2478423.78082192</v>
      </c>
      <c r="AJ265" s="48" t="n">
        <f aca="false">IF(31&gt;Fin,AI$265,IF(AND(AJ$8=1,ISNUMBER(Reales!AJ80)),IF(Reales!$C$80="PYG",IF(AJ$10&gt;0,N(Reales!AJ80)/AJ$10,0),N(Reales!AJ80)),AJ$227*IF(AJ$8=1,N(vg_DSO),V_DSO)/DiasMes))</f>
        <v>2478423.78082192</v>
      </c>
      <c r="AK265" s="48" t="n">
        <f aca="false">IF(32&gt;Fin,AJ$265,IF(AND(AK$8=1,ISNUMBER(Reales!AK80)),IF(Reales!$C$80="PYG",IF(AK$10&gt;0,N(Reales!AK80)/AK$10,0),N(Reales!AK80)),AK$227*IF(AK$8=1,N(vg_DSO),V_DSO)/DiasMes))</f>
        <v>2478423.78082192</v>
      </c>
      <c r="AL265" s="48" t="n">
        <f aca="false">IF(33&gt;Fin,AK$265,IF(AND(AL$8=1,ISNUMBER(Reales!AL80)),IF(Reales!$C$80="PYG",IF(AL$10&gt;0,N(Reales!AL80)/AL$10,0),N(Reales!AL80)),AL$227*IF(AL$8=1,N(vg_DSO),V_DSO)/DiasMes))</f>
        <v>2478423.78082192</v>
      </c>
      <c r="AM265" s="48" t="n">
        <f aca="false">IF(34&gt;Fin,AL$265,IF(AND(AM$8=1,ISNUMBER(Reales!AM80)),IF(Reales!$C$80="PYG",IF(AM$10&gt;0,N(Reales!AM80)/AM$10,0),N(Reales!AM80)),AM$227*IF(AM$8=1,N(vg_DSO),V_DSO)/DiasMes))</f>
        <v>2478423.78082192</v>
      </c>
      <c r="AN265" s="48" t="n">
        <f aca="false">IF(35&gt;Fin,AM$265,IF(AND(AN$8=1,ISNUMBER(Reales!AN80)),IF(Reales!$C$80="PYG",IF(AN$10&gt;0,N(Reales!AN80)/AN$10,0),N(Reales!AN80)),AN$227*IF(AN$8=1,N(vg_DSO),V_DSO)/DiasMes))</f>
        <v>2478423.78082192</v>
      </c>
      <c r="AO265" s="48" t="n">
        <f aca="false">IF(36&gt;Fin,AN$265,IF(AND(AO$8=1,ISNUMBER(Reales!AO80)),IF(Reales!$C$80="PYG",IF(AO$10&gt;0,N(Reales!AO80)/AO$10,0),N(Reales!AO80)),AO$227*IF(AO$8=1,N(vg_DSO),V_DSO)/DiasMes))</f>
        <v>2478423.78082192</v>
      </c>
      <c r="AP265" s="48" t="n">
        <f aca="false">IF(37&gt;Fin,AO$265,IF(AND(AP$8=1,ISNUMBER(Reales!AP80)),IF(Reales!$C$80="PYG",IF(AP$10&gt;0,N(Reales!AP80)/AP$10,0),N(Reales!AP80)),AP$227*IF(AP$8=1,N(vg_DSO),V_DSO)/DiasMes))</f>
        <v>2855486.27835616</v>
      </c>
      <c r="AQ265" s="48" t="n">
        <f aca="false">IF(38&gt;Fin,AP$265,IF(AND(AQ$8=1,ISNUMBER(Reales!AQ80)),IF(Reales!$C$80="PYG",IF(AQ$10&gt;0,N(Reales!AQ80)/AQ$10,0),N(Reales!AQ80)),AQ$227*IF(AQ$8=1,N(vg_DSO),V_DSO)/DiasMes))</f>
        <v>2855486.27835616</v>
      </c>
      <c r="AR265" s="48" t="n">
        <f aca="false">IF(39&gt;Fin,AQ$265,IF(AND(AR$8=1,ISNUMBER(Reales!AR80)),IF(Reales!$C$80="PYG",IF(AR$10&gt;0,N(Reales!AR80)/AR$10,0),N(Reales!AR80)),AR$227*IF(AR$8=1,N(vg_DSO),V_DSO)/DiasMes))</f>
        <v>2855486.27835616</v>
      </c>
      <c r="AS265" s="48" t="n">
        <f aca="false">IF(40&gt;Fin,AR$265,IF(AND(AS$8=1,ISNUMBER(Reales!AS80)),IF(Reales!$C$80="PYG",IF(AS$10&gt;0,N(Reales!AS80)/AS$10,0),N(Reales!AS80)),AS$227*IF(AS$8=1,N(vg_DSO),V_DSO)/DiasMes))</f>
        <v>2855486.27835616</v>
      </c>
      <c r="AT265" s="48" t="n">
        <f aca="false">IF(41&gt;Fin,AS$265,IF(AND(AT$8=1,ISNUMBER(Reales!AT80)),IF(Reales!$C$80="PYG",IF(AT$10&gt;0,N(Reales!AT80)/AT$10,0),N(Reales!AT80)),AT$227*IF(AT$8=1,N(vg_DSO),V_DSO)/DiasMes))</f>
        <v>2855486.27835616</v>
      </c>
      <c r="AU265" s="48" t="n">
        <f aca="false">IF(42&gt;Fin,AT$265,IF(AND(AU$8=1,ISNUMBER(Reales!AU80)),IF(Reales!$C$80="PYG",IF(AU$10&gt;0,N(Reales!AU80)/AU$10,0),N(Reales!AU80)),AU$227*IF(AU$8=1,N(vg_DSO),V_DSO)/DiasMes))</f>
        <v>2855486.27835616</v>
      </c>
      <c r="AV265" s="48" t="n">
        <f aca="false">IF(43&gt;Fin,AU$265,IF(AND(AV$8=1,ISNUMBER(Reales!AV80)),IF(Reales!$C$80="PYG",IF(AV$10&gt;0,N(Reales!AV80)/AV$10,0),N(Reales!AV80)),AV$227*IF(AV$8=1,N(vg_DSO),V_DSO)/DiasMes))</f>
        <v>2855486.27835616</v>
      </c>
      <c r="AW265" s="48" t="n">
        <f aca="false">IF(44&gt;Fin,AV$265,IF(AND(AW$8=1,ISNUMBER(Reales!AW80)),IF(Reales!$C$80="PYG",IF(AW$10&gt;0,N(Reales!AW80)/AW$10,0),N(Reales!AW80)),AW$227*IF(AW$8=1,N(vg_DSO),V_DSO)/DiasMes))</f>
        <v>2855486.27835616</v>
      </c>
      <c r="AX265" s="48" t="n">
        <f aca="false">IF(45&gt;Fin,AW$265,IF(AND(AX$8=1,ISNUMBER(Reales!AX80)),IF(Reales!$C$80="PYG",IF(AX$10&gt;0,N(Reales!AX80)/AX$10,0),N(Reales!AX80)),AX$227*IF(AX$8=1,N(vg_DSO),V_DSO)/DiasMes))</f>
        <v>2855486.27835616</v>
      </c>
      <c r="AY265" s="48" t="n">
        <f aca="false">IF(46&gt;Fin,AX$265,IF(AND(AY$8=1,ISNUMBER(Reales!AY80)),IF(Reales!$C$80="PYG",IF(AY$10&gt;0,N(Reales!AY80)/AY$10,0),N(Reales!AY80)),AY$227*IF(AY$8=1,N(vg_DSO),V_DSO)/DiasMes))</f>
        <v>2855486.27835616</v>
      </c>
      <c r="AZ265" s="48" t="n">
        <f aca="false">IF(47&gt;Fin,AY$265,IF(AND(AZ$8=1,ISNUMBER(Reales!AZ80)),IF(Reales!$C$80="PYG",IF(AZ$10&gt;0,N(Reales!AZ80)/AZ$10,0),N(Reales!AZ80)),AZ$227*IF(AZ$8=1,N(vg_DSO),V_DSO)/DiasMes))</f>
        <v>2855486.27835616</v>
      </c>
      <c r="BA265" s="48" t="n">
        <f aca="false">IF(48&gt;Fin,AZ$265,IF(AND(BA$8=1,ISNUMBER(Reales!BA80)),IF(Reales!$C$80="PYG",IF(BA$10&gt;0,N(Reales!BA80)/BA$10,0),N(Reales!BA80)),BA$227*IF(BA$8=1,N(vg_DSO),V_DSO)/DiasMes))</f>
        <v>2855486.27835616</v>
      </c>
      <c r="BB265" s="48" t="n">
        <f aca="false">IF(49&gt;Fin,BA$265,IF(AND(BB$8=1,ISNUMBER(Reales!BB80)),IF(Reales!$C$80="PYG",IF(BB$10&gt;0,N(Reales!BB80)/BB$10,0),N(Reales!BB80)),BB$227*IF(BB$8=1,N(vg_DSO),V_DSO)/DiasMes))</f>
        <v>2884041.14113973</v>
      </c>
      <c r="BC265" s="48" t="n">
        <f aca="false">IF(50&gt;Fin,BB$265,IF(AND(BC$8=1,ISNUMBER(Reales!BC80)),IF(Reales!$C$80="PYG",IF(BC$10&gt;0,N(Reales!BC80)/BC$10,0),N(Reales!BC80)),BC$227*IF(BC$8=1,N(vg_DSO),V_DSO)/DiasMes))</f>
        <v>2884041.14113973</v>
      </c>
      <c r="BD265" s="48" t="n">
        <f aca="false">IF(51&gt;Fin,BC$265,IF(AND(BD$8=1,ISNUMBER(Reales!BD80)),IF(Reales!$C$80="PYG",IF(BD$10&gt;0,N(Reales!BD80)/BD$10,0),N(Reales!BD80)),BD$227*IF(BD$8=1,N(vg_DSO),V_DSO)/DiasMes))</f>
        <v>2884041.14113973</v>
      </c>
      <c r="BE265" s="48" t="n">
        <f aca="false">IF(52&gt;Fin,BD$265,IF(AND(BE$8=1,ISNUMBER(Reales!BE80)),IF(Reales!$C$80="PYG",IF(BE$10&gt;0,N(Reales!BE80)/BE$10,0),N(Reales!BE80)),BE$227*IF(BE$8=1,N(vg_DSO),V_DSO)/DiasMes))</f>
        <v>2884041.14113973</v>
      </c>
      <c r="BF265" s="48" t="n">
        <f aca="false">IF(53&gt;Fin,BE$265,IF(AND(BF$8=1,ISNUMBER(Reales!BF80)),IF(Reales!$C$80="PYG",IF(BF$10&gt;0,N(Reales!BF80)/BF$10,0),N(Reales!BF80)),BF$227*IF(BF$8=1,N(vg_DSO),V_DSO)/DiasMes))</f>
        <v>2884041.14113973</v>
      </c>
      <c r="BG265" s="48" t="n">
        <f aca="false">IF(54&gt;Fin,BF$265,IF(AND(BG$8=1,ISNUMBER(Reales!BG80)),IF(Reales!$C$80="PYG",IF(BG$10&gt;0,N(Reales!BG80)/BG$10,0),N(Reales!BG80)),BG$227*IF(BG$8=1,N(vg_DSO),V_DSO)/DiasMes))</f>
        <v>2884041.14113973</v>
      </c>
      <c r="BH265" s="48" t="n">
        <f aca="false">IF(55&gt;Fin,BG$265,IF(AND(BH$8=1,ISNUMBER(Reales!BH80)),IF(Reales!$C$80="PYG",IF(BH$10&gt;0,N(Reales!BH80)/BH$10,0),N(Reales!BH80)),BH$227*IF(BH$8=1,N(vg_DSO),V_DSO)/DiasMes))</f>
        <v>2884041.14113973</v>
      </c>
      <c r="BI265" s="48" t="n">
        <f aca="false">IF(56&gt;Fin,BH$265,IF(AND(BI$8=1,ISNUMBER(Reales!BI80)),IF(Reales!$C$80="PYG",IF(BI$10&gt;0,N(Reales!BI80)/BI$10,0),N(Reales!BI80)),BI$227*IF(BI$8=1,N(vg_DSO),V_DSO)/DiasMes))</f>
        <v>2884041.14113973</v>
      </c>
      <c r="BJ265" s="48" t="n">
        <f aca="false">IF(57&gt;Fin,BI$265,IF(AND(BJ$8=1,ISNUMBER(Reales!BJ80)),IF(Reales!$C$80="PYG",IF(BJ$10&gt;0,N(Reales!BJ80)/BJ$10,0),N(Reales!BJ80)),BJ$227*IF(BJ$8=1,N(vg_DSO),V_DSO)/DiasMes))</f>
        <v>2884041.14113973</v>
      </c>
      <c r="BK265" s="48" t="n">
        <f aca="false">IF(58&gt;Fin,BJ$265,IF(AND(BK$8=1,ISNUMBER(Reales!BK80)),IF(Reales!$C$80="PYG",IF(BK$10&gt;0,N(Reales!BK80)/BK$10,0),N(Reales!BK80)),BK$227*IF(BK$8=1,N(vg_DSO),V_DSO)/DiasMes))</f>
        <v>2884041.14113973</v>
      </c>
      <c r="BL265" s="48" t="n">
        <f aca="false">IF(59&gt;Fin,BK$265,IF(AND(BL$8=1,ISNUMBER(Reales!BL80)),IF(Reales!$C$80="PYG",IF(BL$10&gt;0,N(Reales!BL80)/BL$10,0),N(Reales!BL80)),BL$227*IF(BL$8=1,N(vg_DSO),V_DSO)/DiasMes))</f>
        <v>2884041.14113973</v>
      </c>
      <c r="BM265" s="48" t="n">
        <f aca="false">IF(60&gt;Fin,BL$265,IF(AND(BM$8=1,ISNUMBER(Reales!BM80)),IF(Reales!$C$80="PYG",IF(BM$10&gt;0,N(Reales!BM80)/BM$10,0),N(Reales!BM80)),BM$227*IF(BM$8=1,N(vg_DSO),V_DSO)/DiasMes))</f>
        <v>2884041.14113973</v>
      </c>
      <c r="BN265" s="48" t="n">
        <f aca="false">IF(61&gt;Fin,BM$265,IF(AND(BN$8=1,ISNUMBER(Reales!BN80)),IF(Reales!$C$80="PYG",IF(BN$10&gt;0,N(Reales!BN80)/BN$10,0),N(Reales!BN80)),BN$227*IF(BN$8=1,N(vg_DSO),V_DSO)/DiasMes))</f>
        <v>2912881.55255112</v>
      </c>
      <c r="BO265" s="48" t="n">
        <f aca="false">IF(62&gt;Fin,BN$265,IF(AND(BO$8=1,ISNUMBER(Reales!BO80)),IF(Reales!$C$80="PYG",IF(BO$10&gt;0,N(Reales!BO80)/BO$10,0),N(Reales!BO80)),BO$227*IF(BO$8=1,N(vg_DSO),V_DSO)/DiasMes))</f>
        <v>2912881.55255112</v>
      </c>
      <c r="BP265" s="48" t="n">
        <f aca="false">IF(63&gt;Fin,BO$265,IF(AND(BP$8=1,ISNUMBER(Reales!BP80)),IF(Reales!$C$80="PYG",IF(BP$10&gt;0,N(Reales!BP80)/BP$10,0),N(Reales!BP80)),BP$227*IF(BP$8=1,N(vg_DSO),V_DSO)/DiasMes))</f>
        <v>2912881.55255112</v>
      </c>
      <c r="BQ265" s="48" t="n">
        <f aca="false">IF(64&gt;Fin,BP$265,IF(AND(BQ$8=1,ISNUMBER(Reales!BQ80)),IF(Reales!$C$80="PYG",IF(BQ$10&gt;0,N(Reales!BQ80)/BQ$10,0),N(Reales!BQ80)),BQ$227*IF(BQ$8=1,N(vg_DSO),V_DSO)/DiasMes))</f>
        <v>2912881.55255112</v>
      </c>
      <c r="BR265" s="48" t="n">
        <f aca="false">IF(65&gt;Fin,BQ$265,IF(AND(BR$8=1,ISNUMBER(Reales!BR80)),IF(Reales!$C$80="PYG",IF(BR$10&gt;0,N(Reales!BR80)/BR$10,0),N(Reales!BR80)),BR$227*IF(BR$8=1,N(vg_DSO),V_DSO)/DiasMes))</f>
        <v>2912881.55255112</v>
      </c>
      <c r="BS265" s="48" t="n">
        <f aca="false">IF(66&gt;Fin,BR$265,IF(AND(BS$8=1,ISNUMBER(Reales!BS80)),IF(Reales!$C$80="PYG",IF(BS$10&gt;0,N(Reales!BS80)/BS$10,0),N(Reales!BS80)),BS$227*IF(BS$8=1,N(vg_DSO),V_DSO)/DiasMes))</f>
        <v>2912881.55255112</v>
      </c>
      <c r="BT265" s="48" t="n">
        <f aca="false">IF(67&gt;Fin,BS$265,IF(AND(BT$8=1,ISNUMBER(Reales!BT80)),IF(Reales!$C$80="PYG",IF(BT$10&gt;0,N(Reales!BT80)/BT$10,0),N(Reales!BT80)),BT$227*IF(BT$8=1,N(vg_DSO),V_DSO)/DiasMes))</f>
        <v>2912881.55255112</v>
      </c>
      <c r="BU265" s="48" t="n">
        <f aca="false">IF(68&gt;Fin,BT$265,IF(AND(BU$8=1,ISNUMBER(Reales!BU80)),IF(Reales!$C$80="PYG",IF(BU$10&gt;0,N(Reales!BU80)/BU$10,0),N(Reales!BU80)),BU$227*IF(BU$8=1,N(vg_DSO),V_DSO)/DiasMes))</f>
        <v>2912881.55255112</v>
      </c>
      <c r="BV265" s="48" t="n">
        <f aca="false">IF(69&gt;Fin,BU$265,IF(AND(BV$8=1,ISNUMBER(Reales!BV80)),IF(Reales!$C$80="PYG",IF(BV$10&gt;0,N(Reales!BV80)/BV$10,0),N(Reales!BV80)),BV$227*IF(BV$8=1,N(vg_DSO),V_DSO)/DiasMes))</f>
        <v>2912881.55255112</v>
      </c>
      <c r="BW265" s="48" t="n">
        <f aca="false">IF(70&gt;Fin,BV$265,IF(AND(BW$8=1,ISNUMBER(Reales!BW80)),IF(Reales!$C$80="PYG",IF(BW$10&gt;0,N(Reales!BW80)/BW$10,0),N(Reales!BW80)),BW$227*IF(BW$8=1,N(vg_DSO),V_DSO)/DiasMes))</f>
        <v>2912881.55255112</v>
      </c>
      <c r="BX265" s="48" t="n">
        <f aca="false">IF(71&gt;Fin,BW$265,IF(AND(BX$8=1,ISNUMBER(Reales!BX80)),IF(Reales!$C$80="PYG",IF(BX$10&gt;0,N(Reales!BX80)/BX$10,0),N(Reales!BX80)),BX$227*IF(BX$8=1,N(vg_DSO),V_DSO)/DiasMes))</f>
        <v>2912881.55255112</v>
      </c>
      <c r="BY265" s="48" t="n">
        <f aca="false">IF(72&gt;Fin,BX$265,IF(AND(BY$8=1,ISNUMBER(Reales!BY80)),IF(Reales!$C$80="PYG",IF(BY$10&gt;0,N(Reales!BY80)/BY$10,0),N(Reales!BY80)),BY$227*IF(BY$8=1,N(vg_DSO),V_DSO)/DiasMes))</f>
        <v>2912881.55255112</v>
      </c>
      <c r="BZ265" s="48" t="n">
        <f aca="false">IF(73&gt;Fin,BY$265,IF(AND(BZ$8=1,ISNUMBER(Reales!BZ80)),IF(Reales!$C$80="PYG",IF(BZ$10&gt;0,N(Reales!BZ80)/BZ$10,0),N(Reales!BZ80)),BZ$227*IF(BZ$8=1,N(vg_DSO),V_DSO)/DiasMes))</f>
        <v>2942010.36807663</v>
      </c>
      <c r="CA265" s="48" t="n">
        <f aca="false">IF(74&gt;Fin,BZ$265,IF(AND(CA$8=1,ISNUMBER(Reales!CA80)),IF(Reales!$C$80="PYG",IF(CA$10&gt;0,N(Reales!CA80)/CA$10,0),N(Reales!CA80)),CA$227*IF(CA$8=1,N(vg_DSO),V_DSO)/DiasMes))</f>
        <v>2942010.36807663</v>
      </c>
      <c r="CB265" s="48" t="n">
        <f aca="false">IF(75&gt;Fin,CA$265,IF(AND(CB$8=1,ISNUMBER(Reales!CB80)),IF(Reales!$C$80="PYG",IF(CB$10&gt;0,N(Reales!CB80)/CB$10,0),N(Reales!CB80)),CB$227*IF(CB$8=1,N(vg_DSO),V_DSO)/DiasMes))</f>
        <v>2942010.36807663</v>
      </c>
      <c r="CC265" s="48" t="n">
        <f aca="false">IF(76&gt;Fin,CB$265,IF(AND(CC$8=1,ISNUMBER(Reales!CC80)),IF(Reales!$C$80="PYG",IF(CC$10&gt;0,N(Reales!CC80)/CC$10,0),N(Reales!CC80)),CC$227*IF(CC$8=1,N(vg_DSO),V_DSO)/DiasMes))</f>
        <v>2942010.36807663</v>
      </c>
      <c r="CD265" s="48" t="n">
        <f aca="false">IF(77&gt;Fin,CC$265,IF(AND(CD$8=1,ISNUMBER(Reales!CD80)),IF(Reales!$C$80="PYG",IF(CD$10&gt;0,N(Reales!CD80)/CD$10,0),N(Reales!CD80)),CD$227*IF(CD$8=1,N(vg_DSO),V_DSO)/DiasMes))</f>
        <v>2942010.36807663</v>
      </c>
      <c r="CE265" s="48" t="n">
        <f aca="false">IF(78&gt;Fin,CD$265,IF(AND(CE$8=1,ISNUMBER(Reales!CE80)),IF(Reales!$C$80="PYG",IF(CE$10&gt;0,N(Reales!CE80)/CE$10,0),N(Reales!CE80)),CE$227*IF(CE$8=1,N(vg_DSO),V_DSO)/DiasMes))</f>
        <v>2942010.36807663</v>
      </c>
      <c r="CF265" s="48" t="n">
        <f aca="false">IF(79&gt;Fin,CE$265,IF(AND(CF$8=1,ISNUMBER(Reales!CF80)),IF(Reales!$C$80="PYG",IF(CF$10&gt;0,N(Reales!CF80)/CF$10,0),N(Reales!CF80)),CF$227*IF(CF$8=1,N(vg_DSO),V_DSO)/DiasMes))</f>
        <v>2942010.36807663</v>
      </c>
      <c r="CG265" s="48" t="n">
        <f aca="false">IF(80&gt;Fin,CF$265,IF(AND(CG$8=1,ISNUMBER(Reales!CG80)),IF(Reales!$C$80="PYG",IF(CG$10&gt;0,N(Reales!CG80)/CG$10,0),N(Reales!CG80)),CG$227*IF(CG$8=1,N(vg_DSO),V_DSO)/DiasMes))</f>
        <v>2942010.36807663</v>
      </c>
      <c r="CH265" s="48" t="n">
        <f aca="false">IF(81&gt;Fin,CG$265,IF(AND(CH$8=1,ISNUMBER(Reales!CH80)),IF(Reales!$C$80="PYG",IF(CH$10&gt;0,N(Reales!CH80)/CH$10,0),N(Reales!CH80)),CH$227*IF(CH$8=1,N(vg_DSO),V_DSO)/DiasMes))</f>
        <v>2942010.36807663</v>
      </c>
      <c r="CI265" s="48" t="n">
        <f aca="false">IF(82&gt;Fin,CH$265,IF(AND(CI$8=1,ISNUMBER(Reales!CI80)),IF(Reales!$C$80="PYG",IF(CI$10&gt;0,N(Reales!CI80)/CI$10,0),N(Reales!CI80)),CI$227*IF(CI$8=1,N(vg_DSO),V_DSO)/DiasMes))</f>
        <v>2942010.36807663</v>
      </c>
      <c r="CJ265" s="48" t="n">
        <f aca="false">IF(83&gt;Fin,CI$265,IF(AND(CJ$8=1,ISNUMBER(Reales!CJ80)),IF(Reales!$C$80="PYG",IF(CJ$10&gt;0,N(Reales!CJ80)/CJ$10,0),N(Reales!CJ80)),CJ$227*IF(CJ$8=1,N(vg_DSO),V_DSO)/DiasMes))</f>
        <v>2942010.36807663</v>
      </c>
      <c r="CK265" s="48" t="n">
        <f aca="false">IF(84&gt;Fin,CJ$265,IF(AND(CK$8=1,ISNUMBER(Reales!CK80)),IF(Reales!$C$80="PYG",IF(CK$10&gt;0,N(Reales!CK80)/CK$10,0),N(Reales!CK80)),CK$227*IF(CK$8=1,N(vg_DSO),V_DSO)/DiasMes))</f>
        <v>2942010.36807663</v>
      </c>
      <c r="CL265" s="48" t="n">
        <f aca="false">IF(85&gt;Fin,CK$265,IF(AND(CL$8=1,ISNUMBER(Reales!CL80)),IF(Reales!$C$80="PYG",IF(CL$10&gt;0,N(Reales!CL80)/CL$10,0),N(Reales!CL80)),CL$227*IF(CL$8=1,N(vg_DSO),V_DSO)/DiasMes))</f>
        <v>2971430.4717574</v>
      </c>
      <c r="CM265" s="48" t="n">
        <f aca="false">IF(86&gt;Fin,CL$265,IF(AND(CM$8=1,ISNUMBER(Reales!CM80)),IF(Reales!$C$80="PYG",IF(CM$10&gt;0,N(Reales!CM80)/CM$10,0),N(Reales!CM80)),CM$227*IF(CM$8=1,N(vg_DSO),V_DSO)/DiasMes))</f>
        <v>2971430.4717574</v>
      </c>
      <c r="CN265" s="48" t="n">
        <f aca="false">IF(87&gt;Fin,CM$265,IF(AND(CN$8=1,ISNUMBER(Reales!CN80)),IF(Reales!$C$80="PYG",IF(CN$10&gt;0,N(Reales!CN80)/CN$10,0),N(Reales!CN80)),CN$227*IF(CN$8=1,N(vg_DSO),V_DSO)/DiasMes))</f>
        <v>2971430.4717574</v>
      </c>
      <c r="CO265" s="48" t="n">
        <f aca="false">IF(88&gt;Fin,CN$265,IF(AND(CO$8=1,ISNUMBER(Reales!CO80)),IF(Reales!$C$80="PYG",IF(CO$10&gt;0,N(Reales!CO80)/CO$10,0),N(Reales!CO80)),CO$227*IF(CO$8=1,N(vg_DSO),V_DSO)/DiasMes))</f>
        <v>2971430.4717574</v>
      </c>
      <c r="CP265" s="48" t="n">
        <f aca="false">IF(89&gt;Fin,CO$265,IF(AND(CP$8=1,ISNUMBER(Reales!CP80)),IF(Reales!$C$80="PYG",IF(CP$10&gt;0,N(Reales!CP80)/CP$10,0),N(Reales!CP80)),CP$227*IF(CP$8=1,N(vg_DSO),V_DSO)/DiasMes))</f>
        <v>2971430.4717574</v>
      </c>
      <c r="CQ265" s="48" t="n">
        <f aca="false">IF(90&gt;Fin,CP$265,IF(AND(CQ$8=1,ISNUMBER(Reales!CQ80)),IF(Reales!$C$80="PYG",IF(CQ$10&gt;0,N(Reales!CQ80)/CQ$10,0),N(Reales!CQ80)),CQ$227*IF(CQ$8=1,N(vg_DSO),V_DSO)/DiasMes))</f>
        <v>2971430.4717574</v>
      </c>
      <c r="CR265" s="48" t="n">
        <f aca="false">IF(91&gt;Fin,CQ$265,IF(AND(CR$8=1,ISNUMBER(Reales!CR80)),IF(Reales!$C$80="PYG",IF(CR$10&gt;0,N(Reales!CR80)/CR$10,0),N(Reales!CR80)),CR$227*IF(CR$8=1,N(vg_DSO),V_DSO)/DiasMes))</f>
        <v>2971430.4717574</v>
      </c>
      <c r="CS265" s="48" t="n">
        <f aca="false">IF(92&gt;Fin,CR$265,IF(AND(CS$8=1,ISNUMBER(Reales!CS80)),IF(Reales!$C$80="PYG",IF(CS$10&gt;0,N(Reales!CS80)/CS$10,0),N(Reales!CS80)),CS$227*IF(CS$8=1,N(vg_DSO),V_DSO)/DiasMes))</f>
        <v>2971430.4717574</v>
      </c>
      <c r="CT265" s="48" t="n">
        <f aca="false">IF(93&gt;Fin,CS$265,IF(AND(CT$8=1,ISNUMBER(Reales!CT80)),IF(Reales!$C$80="PYG",IF(CT$10&gt;0,N(Reales!CT80)/CT$10,0),N(Reales!CT80)),CT$227*IF(CT$8=1,N(vg_DSO),V_DSO)/DiasMes))</f>
        <v>2971430.4717574</v>
      </c>
      <c r="CU265" s="48" t="n">
        <f aca="false">IF(94&gt;Fin,CT$265,IF(AND(CU$8=1,ISNUMBER(Reales!CU80)),IF(Reales!$C$80="PYG",IF(CU$10&gt;0,N(Reales!CU80)/CU$10,0),N(Reales!CU80)),CU$227*IF(CU$8=1,N(vg_DSO),V_DSO)/DiasMes))</f>
        <v>2971430.4717574</v>
      </c>
      <c r="CV265" s="48" t="n">
        <f aca="false">IF(95&gt;Fin,CU$265,IF(AND(CV$8=1,ISNUMBER(Reales!CV80)),IF(Reales!$C$80="PYG",IF(CV$10&gt;0,N(Reales!CV80)/CV$10,0),N(Reales!CV80)),CV$227*IF(CV$8=1,N(vg_DSO),V_DSO)/DiasMes))</f>
        <v>2971430.4717574</v>
      </c>
      <c r="CW265" s="48" t="n">
        <f aca="false">IF(96&gt;Fin,CV$265,IF(AND(CW$8=1,ISNUMBER(Reales!CW80)),IF(Reales!$C$80="PYG",IF(CW$10&gt;0,N(Reales!CW80)/CW$10,0),N(Reales!CW80)),CW$227*IF(CW$8=1,N(vg_DSO),V_DSO)/DiasMes))</f>
        <v>2971430.4717574</v>
      </c>
      <c r="CX265" s="48" t="n">
        <f aca="false">IF(97&gt;Fin,CW$265,IF(AND(CX$8=1,ISNUMBER(Reales!CX80)),IF(Reales!$C$80="PYG",IF(CX$10&gt;0,N(Reales!CX80)/CX$10,0),N(Reales!CX80)),CX$227*IF(CX$8=1,N(vg_DSO),V_DSO)/DiasMes))</f>
        <v>3001144.77647497</v>
      </c>
      <c r="CY265" s="48" t="n">
        <f aca="false">IF(98&gt;Fin,CX$265,IF(AND(CY$8=1,ISNUMBER(Reales!CY80)),IF(Reales!$C$80="PYG",IF(CY$10&gt;0,N(Reales!CY80)/CY$10,0),N(Reales!CY80)),CY$227*IF(CY$8=1,N(vg_DSO),V_DSO)/DiasMes))</f>
        <v>3001144.77647497</v>
      </c>
      <c r="CZ265" s="48" t="n">
        <f aca="false">IF(99&gt;Fin,CY$265,IF(AND(CZ$8=1,ISNUMBER(Reales!CZ80)),IF(Reales!$C$80="PYG",IF(CZ$10&gt;0,N(Reales!CZ80)/CZ$10,0),N(Reales!CZ80)),CZ$227*IF(CZ$8=1,N(vg_DSO),V_DSO)/DiasMes))</f>
        <v>3001144.77647497</v>
      </c>
      <c r="DA265" s="48" t="n">
        <f aca="false">IF(100&gt;Fin,CZ$265,IF(AND(DA$8=1,ISNUMBER(Reales!DA80)),IF(Reales!$C$80="PYG",IF(DA$10&gt;0,N(Reales!DA80)/DA$10,0),N(Reales!DA80)),DA$227*IF(DA$8=1,N(vg_DSO),V_DSO)/DiasMes))</f>
        <v>3001144.77647497</v>
      </c>
      <c r="DB265" s="48" t="n">
        <f aca="false">IF(101&gt;Fin,DA$265,IF(AND(DB$8=1,ISNUMBER(Reales!DB80)),IF(Reales!$C$80="PYG",IF(DB$10&gt;0,N(Reales!DB80)/DB$10,0),N(Reales!DB80)),DB$227*IF(DB$8=1,N(vg_DSO),V_DSO)/DiasMes))</f>
        <v>3001144.77647497</v>
      </c>
      <c r="DC265" s="48" t="n">
        <f aca="false">IF(102&gt;Fin,DB$265,IF(AND(DC$8=1,ISNUMBER(Reales!DC80)),IF(Reales!$C$80="PYG",IF(DC$10&gt;0,N(Reales!DC80)/DC$10,0),N(Reales!DC80)),DC$227*IF(DC$8=1,N(vg_DSO),V_DSO)/DiasMes))</f>
        <v>3001144.77647497</v>
      </c>
      <c r="DD265" s="48" t="n">
        <f aca="false">IF(103&gt;Fin,DC$265,IF(AND(DD$8=1,ISNUMBER(Reales!DD80)),IF(Reales!$C$80="PYG",IF(DD$10&gt;0,N(Reales!DD80)/DD$10,0),N(Reales!DD80)),DD$227*IF(DD$8=1,N(vg_DSO),V_DSO)/DiasMes))</f>
        <v>3001144.77647497</v>
      </c>
      <c r="DE265" s="48" t="n">
        <f aca="false">IF(104&gt;Fin,DD$265,IF(AND(DE$8=1,ISNUMBER(Reales!DE80)),IF(Reales!$C$80="PYG",IF(DE$10&gt;0,N(Reales!DE80)/DE$10,0),N(Reales!DE80)),DE$227*IF(DE$8=1,N(vg_DSO),V_DSO)/DiasMes))</f>
        <v>3001144.77647497</v>
      </c>
      <c r="DF265" s="48" t="n">
        <f aca="false">IF(105&gt;Fin,DE$265,IF(AND(DF$8=1,ISNUMBER(Reales!DF80)),IF(Reales!$C$80="PYG",IF(DF$10&gt;0,N(Reales!DF80)/DF$10,0),N(Reales!DF80)),DF$227*IF(DF$8=1,N(vg_DSO),V_DSO)/DiasMes))</f>
        <v>3001144.77647497</v>
      </c>
      <c r="DG265" s="48" t="n">
        <f aca="false">IF(106&gt;Fin,DF$265,IF(AND(DG$8=1,ISNUMBER(Reales!DG80)),IF(Reales!$C$80="PYG",IF(DG$10&gt;0,N(Reales!DG80)/DG$10,0),N(Reales!DG80)),DG$227*IF(DG$8=1,N(vg_DSO),V_DSO)/DiasMes))</f>
        <v>3001144.77647497</v>
      </c>
      <c r="DH265" s="48" t="n">
        <f aca="false">IF(107&gt;Fin,DG$265,IF(AND(DH$8=1,ISNUMBER(Reales!DH80)),IF(Reales!$C$80="PYG",IF(DH$10&gt;0,N(Reales!DH80)/DH$10,0),N(Reales!DH80)),DH$227*IF(DH$8=1,N(vg_DSO),V_DSO)/DiasMes))</f>
        <v>3001144.77647497</v>
      </c>
      <c r="DI265" s="48" t="n">
        <f aca="false">IF(108&gt;Fin,DH$265,IF(AND(DI$8=1,ISNUMBER(Reales!DI80)),IF(Reales!$C$80="PYG",IF(DI$10&gt;0,N(Reales!DI80)/DI$10,0),N(Reales!DI80)),DI$227*IF(DI$8=1,N(vg_DSO),V_DSO)/DiasMes))</f>
        <v>3001144.77647497</v>
      </c>
      <c r="DJ265" s="48" t="n">
        <f aca="false">IF(109&gt;Fin,DI$265,IF(AND(DJ$8=1,ISNUMBER(Reales!DJ80)),IF(Reales!$C$80="PYG",IF(DJ$10&gt;0,N(Reales!DJ80)/DJ$10,0),N(Reales!DJ80)),DJ$227*IF(DJ$8=1,N(vg_DSO),V_DSO)/DiasMes))</f>
        <v>3031156.22423972</v>
      </c>
      <c r="DK265" s="48" t="n">
        <f aca="false">IF(110&gt;Fin,DJ$265,IF(AND(DK$8=1,ISNUMBER(Reales!DK80)),IF(Reales!$C$80="PYG",IF(DK$10&gt;0,N(Reales!DK80)/DK$10,0),N(Reales!DK80)),DK$227*IF(DK$8=1,N(vg_DSO),V_DSO)/DiasMes))</f>
        <v>3031156.22423972</v>
      </c>
      <c r="DL265" s="48" t="n">
        <f aca="false">IF(111&gt;Fin,DK$265,IF(AND(DL$8=1,ISNUMBER(Reales!DL80)),IF(Reales!$C$80="PYG",IF(DL$10&gt;0,N(Reales!DL80)/DL$10,0),N(Reales!DL80)),DL$227*IF(DL$8=1,N(vg_DSO),V_DSO)/DiasMes))</f>
        <v>3031156.22423972</v>
      </c>
      <c r="DM265" s="48" t="n">
        <f aca="false">IF(112&gt;Fin,DL$265,IF(AND(DM$8=1,ISNUMBER(Reales!DM80)),IF(Reales!$C$80="PYG",IF(DM$10&gt;0,N(Reales!DM80)/DM$10,0),N(Reales!DM80)),DM$227*IF(DM$8=1,N(vg_DSO),V_DSO)/DiasMes))</f>
        <v>3031156.22423972</v>
      </c>
      <c r="DN265" s="48" t="n">
        <f aca="false">IF(113&gt;Fin,DM$265,IF(AND(DN$8=1,ISNUMBER(Reales!DN80)),IF(Reales!$C$80="PYG",IF(DN$10&gt;0,N(Reales!DN80)/DN$10,0),N(Reales!DN80)),DN$227*IF(DN$8=1,N(vg_DSO),V_DSO)/DiasMes))</f>
        <v>3031156.22423972</v>
      </c>
      <c r="DO265" s="48" t="n">
        <f aca="false">IF(114&gt;Fin,DN$265,IF(AND(DO$8=1,ISNUMBER(Reales!DO80)),IF(Reales!$C$80="PYG",IF(DO$10&gt;0,N(Reales!DO80)/DO$10,0),N(Reales!DO80)),DO$227*IF(DO$8=1,N(vg_DSO),V_DSO)/DiasMes))</f>
        <v>3031156.22423972</v>
      </c>
      <c r="DP265" s="48" t="n">
        <f aca="false">IF(115&gt;Fin,DO$265,IF(AND(DP$8=1,ISNUMBER(Reales!DP80)),IF(Reales!$C$80="PYG",IF(DP$10&gt;0,N(Reales!DP80)/DP$10,0),N(Reales!DP80)),DP$227*IF(DP$8=1,N(vg_DSO),V_DSO)/DiasMes))</f>
        <v>3031156.22423972</v>
      </c>
      <c r="DQ265" s="48" t="n">
        <f aca="false">IF(116&gt;Fin,DP$265,IF(AND(DQ$8=1,ISNUMBER(Reales!DQ80)),IF(Reales!$C$80="PYG",IF(DQ$10&gt;0,N(Reales!DQ80)/DQ$10,0),N(Reales!DQ80)),DQ$227*IF(DQ$8=1,N(vg_DSO),V_DSO)/DiasMes))</f>
        <v>3031156.22423972</v>
      </c>
      <c r="DR265" s="48" t="n">
        <f aca="false">IF(117&gt;Fin,DQ$265,IF(AND(DR$8=1,ISNUMBER(Reales!DR80)),IF(Reales!$C$80="PYG",IF(DR$10&gt;0,N(Reales!DR80)/DR$10,0),N(Reales!DR80)),DR$227*IF(DR$8=1,N(vg_DSO),V_DSO)/DiasMes))</f>
        <v>3031156.22423972</v>
      </c>
      <c r="DS265" s="48" t="n">
        <f aca="false">IF(118&gt;Fin,DR$265,IF(AND(DS$8=1,ISNUMBER(Reales!DS80)),IF(Reales!$C$80="PYG",IF(DS$10&gt;0,N(Reales!DS80)/DS$10,0),N(Reales!DS80)),DS$227*IF(DS$8=1,N(vg_DSO),V_DSO)/DiasMes))</f>
        <v>3031156.22423972</v>
      </c>
      <c r="DT265" s="48" t="n">
        <f aca="false">IF(119&gt;Fin,DS$265,IF(AND(DT$8=1,ISNUMBER(Reales!DT80)),IF(Reales!$C$80="PYG",IF(DT$10&gt;0,N(Reales!DT80)/DT$10,0),N(Reales!DT80)),DT$227*IF(DT$8=1,N(vg_DSO),V_DSO)/DiasMes))</f>
        <v>3031156.22423972</v>
      </c>
      <c r="DU265" s="48" t="n">
        <f aca="false">IF(120&gt;Fin,DT$265,IF(AND(DU$8=1,ISNUMBER(Reales!DU80)),IF(Reales!$C$80="PYG",IF(DU$10&gt;0,N(Reales!DU80)/DU$10,0),N(Reales!DU80)),DU$227*IF(DU$8=1,N(vg_DSO),V_DSO)/DiasMes))</f>
        <v>3031156.22423972</v>
      </c>
      <c r="DV265" s="48" t="n">
        <f aca="false">IF(121&gt;Fin,DU$265,IF(AND(DV$8=1,ISNUMBER(Reales!DV80)),IF(Reales!$C$80="PYG",IF(DV$10&gt;0,N(Reales!DV80)/DV$10,0),N(Reales!DV80)),DV$227*IF(DV$8=1,N(vg_DSO),V_DSO)/DiasMes))</f>
        <v>3031156.22423972</v>
      </c>
      <c r="DW265" s="48" t="n">
        <f aca="false">IF(122&gt;Fin,DV$265,IF(AND(DW$8=1,ISNUMBER(Reales!DW80)),IF(Reales!$C$80="PYG",IF(DW$10&gt;0,N(Reales!DW80)/DW$10,0),N(Reales!DW80)),DW$227*IF(DW$8=1,N(vg_DSO),V_DSO)/DiasMes))</f>
        <v>3031156.22423972</v>
      </c>
      <c r="DX265" s="48" t="n">
        <f aca="false">IF(123&gt;Fin,DW$265,IF(AND(DX$8=1,ISNUMBER(Reales!DX80)),IF(Reales!$C$80="PYG",IF(DX$10&gt;0,N(Reales!DX80)/DX$10,0),N(Reales!DX80)),DX$227*IF(DX$8=1,N(vg_DSO),V_DSO)/DiasMes))</f>
        <v>3031156.22423972</v>
      </c>
      <c r="DY265" s="48" t="n">
        <f aca="false">IF(124&gt;Fin,DX$265,IF(AND(DY$8=1,ISNUMBER(Reales!DY80)),IF(Reales!$C$80="PYG",IF(DY$10&gt;0,N(Reales!DY80)/DY$10,0),N(Reales!DY80)),DY$227*IF(DY$8=1,N(vg_DSO),V_DSO)/DiasMes))</f>
        <v>3031156.22423972</v>
      </c>
      <c r="DZ265" s="48" t="n">
        <f aca="false">IF(125&gt;Fin,DY$265,IF(AND(DZ$8=1,ISNUMBER(Reales!DZ80)),IF(Reales!$C$80="PYG",IF(DZ$10&gt;0,N(Reales!DZ80)/DZ$10,0),N(Reales!DZ80)),DZ$227*IF(DZ$8=1,N(vg_DSO),V_DSO)/DiasMes))</f>
        <v>3031156.22423972</v>
      </c>
      <c r="EA265" s="48" t="n">
        <f aca="false">IF(126&gt;Fin,DZ$265,IF(AND(EA$8=1,ISNUMBER(Reales!EA80)),IF(Reales!$C$80="PYG",IF(EA$10&gt;0,N(Reales!EA80)/EA$10,0),N(Reales!EA80)),EA$227*IF(EA$8=1,N(vg_DSO),V_DSO)/DiasMes))</f>
        <v>3031156.22423972</v>
      </c>
      <c r="EB265" s="48" t="n">
        <f aca="false">IF(127&gt;Fin,EA$265,IF(AND(EB$8=1,ISNUMBER(Reales!EB80)),IF(Reales!$C$80="PYG",IF(EB$10&gt;0,N(Reales!EB80)/EB$10,0),N(Reales!EB80)),EB$227*IF(EB$8=1,N(vg_DSO),V_DSO)/DiasMes))</f>
        <v>3031156.22423972</v>
      </c>
      <c r="EC265" s="48" t="n">
        <f aca="false">IF(128&gt;Fin,EB$265,IF(AND(EC$8=1,ISNUMBER(Reales!EC80)),IF(Reales!$C$80="PYG",IF(EC$10&gt;0,N(Reales!EC80)/EC$10,0),N(Reales!EC80)),EC$227*IF(EC$8=1,N(vg_DSO),V_DSO)/DiasMes))</f>
        <v>3031156.22423972</v>
      </c>
      <c r="ED265" s="48" t="n">
        <f aca="false">IF(129&gt;Fin,EC$265,IF(AND(ED$8=1,ISNUMBER(Reales!ED80)),IF(Reales!$C$80="PYG",IF(ED$10&gt;0,N(Reales!ED80)/ED$10,0),N(Reales!ED80)),ED$227*IF(ED$8=1,N(vg_DSO),V_DSO)/DiasMes))</f>
        <v>3031156.22423972</v>
      </c>
      <c r="EE265" s="48" t="n">
        <f aca="false">IF(130&gt;Fin,ED$265,IF(AND(EE$8=1,ISNUMBER(Reales!EE80)),IF(Reales!$C$80="PYG",IF(EE$10&gt;0,N(Reales!EE80)/EE$10,0),N(Reales!EE80)),EE$227*IF(EE$8=1,N(vg_DSO),V_DSO)/DiasMes))</f>
        <v>3031156.22423972</v>
      </c>
      <c r="EF265" s="48" t="n">
        <f aca="false">IF(131&gt;Fin,EE$265,IF(AND(EF$8=1,ISNUMBER(Reales!EF80)),IF(Reales!$C$80="PYG",IF(EF$10&gt;0,N(Reales!EF80)/EF$10,0),N(Reales!EF80)),EF$227*IF(EF$8=1,N(vg_DSO),V_DSO)/DiasMes))</f>
        <v>3031156.22423972</v>
      </c>
      <c r="EG265" s="48" t="n">
        <f aca="false">IF(132&gt;Fin,EF$265,IF(AND(EG$8=1,ISNUMBER(Reales!EG80)),IF(Reales!$C$80="PYG",IF(EG$10&gt;0,N(Reales!EG80)/EG$10,0),N(Reales!EG80)),EG$227*IF(EG$8=1,N(vg_DSO),V_DSO)/DiasMes))</f>
        <v>3031156.22423972</v>
      </c>
      <c r="EH265" s="48" t="n">
        <f aca="false">IF(133&gt;Fin,EG$265,IF(AND(EH$8=1,ISNUMBER(Reales!EH80)),IF(Reales!$C$80="PYG",IF(EH$10&gt;0,N(Reales!EH80)/EH$10,0),N(Reales!EH80)),EH$227*IF(EH$8=1,N(vg_DSO),V_DSO)/DiasMes))</f>
        <v>3031156.22423972</v>
      </c>
      <c r="EI265" s="48" t="n">
        <f aca="false">IF(134&gt;Fin,EH$265,IF(AND(EI$8=1,ISNUMBER(Reales!EI80)),IF(Reales!$C$80="PYG",IF(EI$10&gt;0,N(Reales!EI80)/EI$10,0),N(Reales!EI80)),EI$227*IF(EI$8=1,N(vg_DSO),V_DSO)/DiasMes))</f>
        <v>3031156.22423972</v>
      </c>
      <c r="EJ265" s="48" t="n">
        <f aca="false">IF(135&gt;Fin,EI$265,IF(AND(EJ$8=1,ISNUMBER(Reales!EJ80)),IF(Reales!$C$80="PYG",IF(EJ$10&gt;0,N(Reales!EJ80)/EJ$10,0),N(Reales!EJ80)),EJ$227*IF(EJ$8=1,N(vg_DSO),V_DSO)/DiasMes))</f>
        <v>3031156.22423972</v>
      </c>
      <c r="EK265" s="48" t="n">
        <f aca="false">IF(136&gt;Fin,EJ$265,IF(AND(EK$8=1,ISNUMBER(Reales!EK80)),IF(Reales!$C$80="PYG",IF(EK$10&gt;0,N(Reales!EK80)/EK$10,0),N(Reales!EK80)),EK$227*IF(EK$8=1,N(vg_DSO),V_DSO)/DiasMes))</f>
        <v>3031156.22423972</v>
      </c>
      <c r="EL265" s="48" t="n">
        <f aca="false">IF(137&gt;Fin,EK$265,IF(AND(EL$8=1,ISNUMBER(Reales!EL80)),IF(Reales!$C$80="PYG",IF(EL$10&gt;0,N(Reales!EL80)/EL$10,0),N(Reales!EL80)),EL$227*IF(EL$8=1,N(vg_DSO),V_DSO)/DiasMes))</f>
        <v>3031156.22423972</v>
      </c>
      <c r="EM265" s="48" t="n">
        <f aca="false">IF(138&gt;Fin,EL$265,IF(AND(EM$8=1,ISNUMBER(Reales!EM80)),IF(Reales!$C$80="PYG",IF(EM$10&gt;0,N(Reales!EM80)/EM$10,0),N(Reales!EM80)),EM$227*IF(EM$8=1,N(vg_DSO),V_DSO)/DiasMes))</f>
        <v>3031156.22423972</v>
      </c>
      <c r="EN265" s="48" t="n">
        <f aca="false">IF(139&gt;Fin,EM$265,IF(AND(EN$8=1,ISNUMBER(Reales!EN80)),IF(Reales!$C$80="PYG",IF(EN$10&gt;0,N(Reales!EN80)/EN$10,0),N(Reales!EN80)),EN$227*IF(EN$8=1,N(vg_DSO),V_DSO)/DiasMes))</f>
        <v>3031156.22423972</v>
      </c>
      <c r="EO265" s="48" t="n">
        <f aca="false">IF(140&gt;Fin,EN$265,IF(AND(EO$8=1,ISNUMBER(Reales!EO80)),IF(Reales!$C$80="PYG",IF(EO$10&gt;0,N(Reales!EO80)/EO$10,0),N(Reales!EO80)),EO$227*IF(EO$8=1,N(vg_DSO),V_DSO)/DiasMes))</f>
        <v>3031156.22423972</v>
      </c>
      <c r="EP265" s="48" t="n">
        <f aca="false">IF(141&gt;Fin,EO$265,IF(AND(EP$8=1,ISNUMBER(Reales!EP80)),IF(Reales!$C$80="PYG",IF(EP$10&gt;0,N(Reales!EP80)/EP$10,0),N(Reales!EP80)),EP$227*IF(EP$8=1,N(vg_DSO),V_DSO)/DiasMes))</f>
        <v>3031156.22423972</v>
      </c>
      <c r="EQ265" s="48" t="n">
        <f aca="false">IF(142&gt;Fin,EP$265,IF(AND(EQ$8=1,ISNUMBER(Reales!EQ80)),IF(Reales!$C$80="PYG",IF(EQ$10&gt;0,N(Reales!EQ80)/EQ$10,0),N(Reales!EQ80)),EQ$227*IF(EQ$8=1,N(vg_DSO),V_DSO)/DiasMes))</f>
        <v>3031156.22423972</v>
      </c>
      <c r="ER265" s="48" t="n">
        <f aca="false">IF(143&gt;Fin,EQ$265,IF(AND(ER$8=1,ISNUMBER(Reales!ER80)),IF(Reales!$C$80="PYG",IF(ER$10&gt;0,N(Reales!ER80)/ER$10,0),N(Reales!ER80)),ER$227*IF(ER$8=1,N(vg_DSO),V_DSO)/DiasMes))</f>
        <v>3031156.22423972</v>
      </c>
      <c r="ES265" s="48" t="n">
        <f aca="false">IF(144&gt;Fin,ER$265,IF(AND(ES$8=1,ISNUMBER(Reales!ES80)),IF(Reales!$C$80="PYG",IF(ES$10&gt;0,N(Reales!ES80)/ES$10,0),N(Reales!ES80)),ES$227*IF(ES$8=1,N(vg_DSO),V_DSO)/DiasMes))</f>
        <v>3031156.22423972</v>
      </c>
    </row>
    <row r="266" customFormat="false" ht="15" hidden="false" customHeight="false" outlineLevel="0" collapsed="false">
      <c r="A266" s="11" t="s">
        <v>1386</v>
      </c>
      <c r="B266" s="15" t="s">
        <v>1031</v>
      </c>
      <c r="C266" s="15" t="s">
        <v>508</v>
      </c>
      <c r="E266" s="54" t="n">
        <f aca="false">INDEX(F266:ES266,1,MIN(144,Fin))</f>
        <v>1626937.98750554</v>
      </c>
      <c r="F266" s="48" t="n">
        <f aca="false">IF(1&gt;Fin,0,IF(AND(F$8=1,ISNUMBER(Reales!F81)),IF(Reales!$C$81="PYG",IF(F$10&gt;0,N(Reales!F81)/F$10,0),N(Reales!F81)),F$249*IF(F$8=1,N(vg_DInv),V_DInv)/DiasMes+(F$249+F$250+F$251+F$252)*V_DPT/DiasMes))</f>
        <v>892648.832014833</v>
      </c>
      <c r="G266" s="48" t="n">
        <f aca="false">IF(2&gt;Fin,F$266,IF(AND(G$8=1,ISNUMBER(Reales!G81)),IF(Reales!$C$81="PYG",IF(G$10&gt;0,N(Reales!G81)/G$10,0),N(Reales!G81)),G$249*IF(G$8=1,N(vg_DInv),V_DInv)/DiasMes+(G$249+G$250+G$251+G$252)*V_DPT/DiasMes))</f>
        <v>892648.832014833</v>
      </c>
      <c r="H266" s="48" t="n">
        <f aca="false">IF(3&gt;Fin,G$266,IF(AND(H$8=1,ISNUMBER(Reales!H81)),IF(Reales!$C$81="PYG",IF(H$10&gt;0,N(Reales!H81)/H$10,0),N(Reales!H81)),H$249*IF(H$8=1,N(vg_DInv),V_DInv)/DiasMes+(H$249+H$250+H$251+H$252)*V_DPT/DiasMes))</f>
        <v>892648.832014833</v>
      </c>
      <c r="I266" s="48" t="n">
        <f aca="false">IF(4&gt;Fin,H$266,IF(AND(I$8=1,ISNUMBER(Reales!I81)),IF(Reales!$C$81="PYG",IF(I$10&gt;0,N(Reales!I81)/I$10,0),N(Reales!I81)),I$249*IF(I$8=1,N(vg_DInv),V_DInv)/DiasMes+(I$249+I$250+I$251+I$252)*V_DPT/DiasMes))</f>
        <v>892648.832014833</v>
      </c>
      <c r="J266" s="48" t="n">
        <f aca="false">IF(5&gt;Fin,I$266,IF(AND(J$8=1,ISNUMBER(Reales!J81)),IF(Reales!$C$81="PYG",IF(J$10&gt;0,N(Reales!J81)/J$10,0),N(Reales!J81)),J$249*IF(J$8=1,N(vg_DInv),V_DInv)/DiasMes+(J$249+J$250+J$251+J$252)*V_DPT/DiasMes))</f>
        <v>892648.832014833</v>
      </c>
      <c r="K266" s="48" t="n">
        <f aca="false">IF(6&gt;Fin,J$266,IF(AND(K$8=1,ISNUMBER(Reales!K81)),IF(Reales!$C$81="PYG",IF(K$10&gt;0,N(Reales!K81)/K$10,0),N(Reales!K81)),K$249*IF(K$8=1,N(vg_DInv),V_DInv)/DiasMes+(K$249+K$250+K$251+K$252)*V_DPT/DiasMes))</f>
        <v>892648.832014833</v>
      </c>
      <c r="L266" s="48" t="n">
        <f aca="false">IF(7&gt;Fin,K$266,IF(AND(L$8=1,ISNUMBER(Reales!L81)),IF(Reales!$C$81="PYG",IF(L$10&gt;0,N(Reales!L81)/L$10,0),N(Reales!L81)),L$249*IF(L$8=1,N(vg_DInv),V_DInv)/DiasMes+(L$249+L$250+L$251+L$252)*V_DPT/DiasMes))</f>
        <v>892648.832014833</v>
      </c>
      <c r="M266" s="48" t="n">
        <f aca="false">IF(8&gt;Fin,L$266,IF(AND(M$8=1,ISNUMBER(Reales!M81)),IF(Reales!$C$81="PYG",IF(M$10&gt;0,N(Reales!M81)/M$10,0),N(Reales!M81)),M$249*IF(M$8=1,N(vg_DInv),V_DInv)/DiasMes+(M$249+M$250+M$251+M$252)*V_DPT/DiasMes))</f>
        <v>892648.832014833</v>
      </c>
      <c r="N266" s="48" t="n">
        <f aca="false">IF(9&gt;Fin,M$266,IF(AND(N$8=1,ISNUMBER(Reales!N81)),IF(Reales!$C$81="PYG",IF(N$10&gt;0,N(Reales!N81)/N$10,0),N(Reales!N81)),N$249*IF(N$8=1,N(vg_DInv),V_DInv)/DiasMes+(N$249+N$250+N$251+N$252)*V_DPT/DiasMes))</f>
        <v>892648.832014833</v>
      </c>
      <c r="O266" s="48" t="n">
        <f aca="false">IF(10&gt;Fin,N$266,IF(AND(O$8=1,ISNUMBER(Reales!O81)),IF(Reales!$C$81="PYG",IF(O$10&gt;0,N(Reales!O81)/O$10,0),N(Reales!O81)),O$249*IF(O$8=1,N(vg_DInv),V_DInv)/DiasMes+(O$249+O$250+O$251+O$252)*V_DPT/DiasMes))</f>
        <v>892648.832014833</v>
      </c>
      <c r="P266" s="48" t="n">
        <f aca="false">IF(11&gt;Fin,O$266,IF(AND(P$8=1,ISNUMBER(Reales!P81)),IF(Reales!$C$81="PYG",IF(P$10&gt;0,N(Reales!P81)/P$10,0),N(Reales!P81)),P$249*IF(P$8=1,N(vg_DInv),V_DInv)/DiasMes+(P$249+P$250+P$251+P$252)*V_DPT/DiasMes))</f>
        <v>892648.832014833</v>
      </c>
      <c r="Q266" s="48" t="n">
        <f aca="false">IF(12&gt;Fin,P$266,IF(AND(Q$8=1,ISNUMBER(Reales!Q81)),IF(Reales!$C$81="PYG",IF(Q$10&gt;0,N(Reales!Q81)/Q$10,0),N(Reales!Q81)),Q$249*IF(Q$8=1,N(vg_DInv),V_DInv)/DiasMes+(Q$249+Q$250+Q$251+Q$252)*V_DPT/DiasMes))</f>
        <v>892648.832014833</v>
      </c>
      <c r="R266" s="48" t="n">
        <f aca="false">IF(13&gt;Fin,Q$266,IF(AND(R$8=1,ISNUMBER(Reales!R81)),IF(Reales!$C$81="PYG",IF(R$10&gt;0,N(Reales!R81)/R$10,0),N(Reales!R81)),R$249*IF(R$8=1,N(vg_DInv),V_DInv)/DiasMes+(R$249+R$250+R$251+R$252)*V_DPT/DiasMes))</f>
        <v>1128877.29036496</v>
      </c>
      <c r="S266" s="48" t="n">
        <f aca="false">IF(14&gt;Fin,R$266,IF(AND(S$8=1,ISNUMBER(Reales!S81)),IF(Reales!$C$81="PYG",IF(S$10&gt;0,N(Reales!S81)/S$10,0),N(Reales!S81)),S$249*IF(S$8=1,N(vg_DInv),V_DInv)/DiasMes+(S$249+S$250+S$251+S$252)*V_DPT/DiasMes))</f>
        <v>1128877.29036496</v>
      </c>
      <c r="T266" s="48" t="n">
        <f aca="false">IF(15&gt;Fin,S$266,IF(AND(T$8=1,ISNUMBER(Reales!T81)),IF(Reales!$C$81="PYG",IF(T$10&gt;0,N(Reales!T81)/T$10,0),N(Reales!T81)),T$249*IF(T$8=1,N(vg_DInv),V_DInv)/DiasMes+(T$249+T$250+T$251+T$252)*V_DPT/DiasMes))</f>
        <v>1128877.29036496</v>
      </c>
      <c r="U266" s="48" t="n">
        <f aca="false">IF(16&gt;Fin,T$266,IF(AND(U$8=1,ISNUMBER(Reales!U81)),IF(Reales!$C$81="PYG",IF(U$10&gt;0,N(Reales!U81)/U$10,0),N(Reales!U81)),U$249*IF(U$8=1,N(vg_DInv),V_DInv)/DiasMes+(U$249+U$250+U$251+U$252)*V_DPT/DiasMes))</f>
        <v>1128877.29036496</v>
      </c>
      <c r="V266" s="48" t="n">
        <f aca="false">IF(17&gt;Fin,U$266,IF(AND(V$8=1,ISNUMBER(Reales!V81)),IF(Reales!$C$81="PYG",IF(V$10&gt;0,N(Reales!V81)/V$10,0),N(Reales!V81)),V$249*IF(V$8=1,N(vg_DInv),V_DInv)/DiasMes+(V$249+V$250+V$251+V$252)*V_DPT/DiasMes))</f>
        <v>1128877.29036496</v>
      </c>
      <c r="W266" s="48" t="n">
        <f aca="false">IF(18&gt;Fin,V$266,IF(AND(W$8=1,ISNUMBER(Reales!W81)),IF(Reales!$C$81="PYG",IF(W$10&gt;0,N(Reales!W81)/W$10,0),N(Reales!W81)),W$249*IF(W$8=1,N(vg_DInv),V_DInv)/DiasMes+(W$249+W$250+W$251+W$252)*V_DPT/DiasMes))</f>
        <v>1128877.29036496</v>
      </c>
      <c r="X266" s="48" t="n">
        <f aca="false">IF(19&gt;Fin,W$266,IF(AND(X$8=1,ISNUMBER(Reales!X81)),IF(Reales!$C$81="PYG",IF(X$10&gt;0,N(Reales!X81)/X$10,0),N(Reales!X81)),X$249*IF(X$8=1,N(vg_DInv),V_DInv)/DiasMes+(X$249+X$250+X$251+X$252)*V_DPT/DiasMes))</f>
        <v>1128877.29036496</v>
      </c>
      <c r="Y266" s="48" t="n">
        <f aca="false">IF(20&gt;Fin,X$266,IF(AND(Y$8=1,ISNUMBER(Reales!Y81)),IF(Reales!$C$81="PYG",IF(Y$10&gt;0,N(Reales!Y81)/Y$10,0),N(Reales!Y81)),Y$249*IF(Y$8=1,N(vg_DInv),V_DInv)/DiasMes+(Y$249+Y$250+Y$251+Y$252)*V_DPT/DiasMes))</f>
        <v>1128877.29036496</v>
      </c>
      <c r="Z266" s="48" t="n">
        <f aca="false">IF(21&gt;Fin,Y$266,IF(AND(Z$8=1,ISNUMBER(Reales!Z81)),IF(Reales!$C$81="PYG",IF(Z$10&gt;0,N(Reales!Z81)/Z$10,0),N(Reales!Z81)),Z$249*IF(Z$8=1,N(vg_DInv),V_DInv)/DiasMes+(Z$249+Z$250+Z$251+Z$252)*V_DPT/DiasMes))</f>
        <v>1128877.29036496</v>
      </c>
      <c r="AA266" s="48" t="n">
        <f aca="false">IF(22&gt;Fin,Z$266,IF(AND(AA$8=1,ISNUMBER(Reales!AA81)),IF(Reales!$C$81="PYG",IF(AA$10&gt;0,N(Reales!AA81)/AA$10,0),N(Reales!AA81)),AA$249*IF(AA$8=1,N(vg_DInv),V_DInv)/DiasMes+(AA$249+AA$250+AA$251+AA$252)*V_DPT/DiasMes))</f>
        <v>1128877.29036496</v>
      </c>
      <c r="AB266" s="48" t="n">
        <f aca="false">IF(23&gt;Fin,AA$266,IF(AND(AB$8=1,ISNUMBER(Reales!AB81)),IF(Reales!$C$81="PYG",IF(AB$10&gt;0,N(Reales!AB81)/AB$10,0),N(Reales!AB81)),AB$249*IF(AB$8=1,N(vg_DInv),V_DInv)/DiasMes+(AB$249+AB$250+AB$251+AB$252)*V_DPT/DiasMes))</f>
        <v>1128877.29036496</v>
      </c>
      <c r="AC266" s="48" t="n">
        <f aca="false">IF(24&gt;Fin,AB$266,IF(AND(AC$8=1,ISNUMBER(Reales!AC81)),IF(Reales!$C$81="PYG",IF(AC$10&gt;0,N(Reales!AC81)/AC$10,0),N(Reales!AC81)),AC$249*IF(AC$8=1,N(vg_DInv),V_DInv)/DiasMes+(AC$249+AC$250+AC$251+AC$252)*V_DPT/DiasMes))</f>
        <v>1128877.29036496</v>
      </c>
      <c r="AD266" s="48" t="n">
        <f aca="false">IF(25&gt;Fin,AC$266,IF(AND(AD$8=1,ISNUMBER(Reales!AD81)),IF(Reales!$C$81="PYG",IF(AD$10&gt;0,N(Reales!AD81)/AD$10,0),N(Reales!AD81)),AD$249*IF(AD$8=1,N(vg_DInv),V_DInv)/DiasMes+(AD$249+AD$250+AD$251+AD$252)*V_DPT/DiasMes))</f>
        <v>1368953.64604567</v>
      </c>
      <c r="AE266" s="48" t="n">
        <f aca="false">IF(26&gt;Fin,AD$266,IF(AND(AE$8=1,ISNUMBER(Reales!AE81)),IF(Reales!$C$81="PYG",IF(AE$10&gt;0,N(Reales!AE81)/AE$10,0),N(Reales!AE81)),AE$249*IF(AE$8=1,N(vg_DInv),V_DInv)/DiasMes+(AE$249+AE$250+AE$251+AE$252)*V_DPT/DiasMes))</f>
        <v>1368953.64604567</v>
      </c>
      <c r="AF266" s="48" t="n">
        <f aca="false">IF(27&gt;Fin,AE$266,IF(AND(AF$8=1,ISNUMBER(Reales!AF81)),IF(Reales!$C$81="PYG",IF(AF$10&gt;0,N(Reales!AF81)/AF$10,0),N(Reales!AF81)),AF$249*IF(AF$8=1,N(vg_DInv),V_DInv)/DiasMes+(AF$249+AF$250+AF$251+AF$252)*V_DPT/DiasMes))</f>
        <v>1368953.64604567</v>
      </c>
      <c r="AG266" s="48" t="n">
        <f aca="false">IF(28&gt;Fin,AF$266,IF(AND(AG$8=1,ISNUMBER(Reales!AG81)),IF(Reales!$C$81="PYG",IF(AG$10&gt;0,N(Reales!AG81)/AG$10,0),N(Reales!AG81)),AG$249*IF(AG$8=1,N(vg_DInv),V_DInv)/DiasMes+(AG$249+AG$250+AG$251+AG$252)*V_DPT/DiasMes))</f>
        <v>1368953.64604567</v>
      </c>
      <c r="AH266" s="48" t="n">
        <f aca="false">IF(29&gt;Fin,AG$266,IF(AND(AH$8=1,ISNUMBER(Reales!AH81)),IF(Reales!$C$81="PYG",IF(AH$10&gt;0,N(Reales!AH81)/AH$10,0),N(Reales!AH81)),AH$249*IF(AH$8=1,N(vg_DInv),V_DInv)/DiasMes+(AH$249+AH$250+AH$251+AH$252)*V_DPT/DiasMes))</f>
        <v>1368953.64604567</v>
      </c>
      <c r="AI266" s="48" t="n">
        <f aca="false">IF(30&gt;Fin,AH$266,IF(AND(AI$8=1,ISNUMBER(Reales!AI81)),IF(Reales!$C$81="PYG",IF(AI$10&gt;0,N(Reales!AI81)/AI$10,0),N(Reales!AI81)),AI$249*IF(AI$8=1,N(vg_DInv),V_DInv)/DiasMes+(AI$249+AI$250+AI$251+AI$252)*V_DPT/DiasMes))</f>
        <v>1368953.64604567</v>
      </c>
      <c r="AJ266" s="48" t="n">
        <f aca="false">IF(31&gt;Fin,AI$266,IF(AND(AJ$8=1,ISNUMBER(Reales!AJ81)),IF(Reales!$C$81="PYG",IF(AJ$10&gt;0,N(Reales!AJ81)/AJ$10,0),N(Reales!AJ81)),AJ$249*IF(AJ$8=1,N(vg_DInv),V_DInv)/DiasMes+(AJ$249+AJ$250+AJ$251+AJ$252)*V_DPT/DiasMes))</f>
        <v>1368953.64604567</v>
      </c>
      <c r="AK266" s="48" t="n">
        <f aca="false">IF(32&gt;Fin,AJ$266,IF(AND(AK$8=1,ISNUMBER(Reales!AK81)),IF(Reales!$C$81="PYG",IF(AK$10&gt;0,N(Reales!AK81)/AK$10,0),N(Reales!AK81)),AK$249*IF(AK$8=1,N(vg_DInv),V_DInv)/DiasMes+(AK$249+AK$250+AK$251+AK$252)*V_DPT/DiasMes))</f>
        <v>1368953.64604567</v>
      </c>
      <c r="AL266" s="48" t="n">
        <f aca="false">IF(33&gt;Fin,AK$266,IF(AND(AL$8=1,ISNUMBER(Reales!AL81)),IF(Reales!$C$81="PYG",IF(AL$10&gt;0,N(Reales!AL81)/AL$10,0),N(Reales!AL81)),AL$249*IF(AL$8=1,N(vg_DInv),V_DInv)/DiasMes+(AL$249+AL$250+AL$251+AL$252)*V_DPT/DiasMes))</f>
        <v>1368953.64604567</v>
      </c>
      <c r="AM266" s="48" t="n">
        <f aca="false">IF(34&gt;Fin,AL$266,IF(AND(AM$8=1,ISNUMBER(Reales!AM81)),IF(Reales!$C$81="PYG",IF(AM$10&gt;0,N(Reales!AM81)/AM$10,0),N(Reales!AM81)),AM$249*IF(AM$8=1,N(vg_DInv),V_DInv)/DiasMes+(AM$249+AM$250+AM$251+AM$252)*V_DPT/DiasMes))</f>
        <v>1368953.64604567</v>
      </c>
      <c r="AN266" s="48" t="n">
        <f aca="false">IF(35&gt;Fin,AM$266,IF(AND(AN$8=1,ISNUMBER(Reales!AN81)),IF(Reales!$C$81="PYG",IF(AN$10&gt;0,N(Reales!AN81)/AN$10,0),N(Reales!AN81)),AN$249*IF(AN$8=1,N(vg_DInv),V_DInv)/DiasMes+(AN$249+AN$250+AN$251+AN$252)*V_DPT/DiasMes))</f>
        <v>1368953.64604567</v>
      </c>
      <c r="AO266" s="48" t="n">
        <f aca="false">IF(36&gt;Fin,AN$266,IF(AND(AO$8=1,ISNUMBER(Reales!AO81)),IF(Reales!$C$81="PYG",IF(AO$10&gt;0,N(Reales!AO81)/AO$10,0),N(Reales!AO81)),AO$249*IF(AO$8=1,N(vg_DInv),V_DInv)/DiasMes+(AO$249+AO$250+AO$251+AO$252)*V_DPT/DiasMes))</f>
        <v>1368953.64604567</v>
      </c>
      <c r="AP266" s="48" t="n">
        <f aca="false">IF(37&gt;Fin,AO$266,IF(AND(AP$8=1,ISNUMBER(Reales!AP81)),IF(Reales!$C$81="PYG",IF(AP$10&gt;0,N(Reales!AP81)/AP$10,0),N(Reales!AP81)),AP$249*IF(AP$8=1,N(vg_DInv),V_DInv)/DiasMes+(AP$249+AP$250+AP$251+AP$252)*V_DPT/DiasMes))</f>
        <v>1566231.67971491</v>
      </c>
      <c r="AQ266" s="48" t="n">
        <f aca="false">IF(38&gt;Fin,AP$266,IF(AND(AQ$8=1,ISNUMBER(Reales!AQ81)),IF(Reales!$C$81="PYG",IF(AQ$10&gt;0,N(Reales!AQ81)/AQ$10,0),N(Reales!AQ81)),AQ$249*IF(AQ$8=1,N(vg_DInv),V_DInv)/DiasMes+(AQ$249+AQ$250+AQ$251+AQ$252)*V_DPT/DiasMes))</f>
        <v>1566231.67971491</v>
      </c>
      <c r="AR266" s="48" t="n">
        <f aca="false">IF(39&gt;Fin,AQ$266,IF(AND(AR$8=1,ISNUMBER(Reales!AR81)),IF(Reales!$C$81="PYG",IF(AR$10&gt;0,N(Reales!AR81)/AR$10,0),N(Reales!AR81)),AR$249*IF(AR$8=1,N(vg_DInv),V_DInv)/DiasMes+(AR$249+AR$250+AR$251+AR$252)*V_DPT/DiasMes))</f>
        <v>1566231.67971491</v>
      </c>
      <c r="AS266" s="48" t="n">
        <f aca="false">IF(40&gt;Fin,AR$266,IF(AND(AS$8=1,ISNUMBER(Reales!AS81)),IF(Reales!$C$81="PYG",IF(AS$10&gt;0,N(Reales!AS81)/AS$10,0),N(Reales!AS81)),AS$249*IF(AS$8=1,N(vg_DInv),V_DInv)/DiasMes+(AS$249+AS$250+AS$251+AS$252)*V_DPT/DiasMes))</f>
        <v>1566231.67971491</v>
      </c>
      <c r="AT266" s="48" t="n">
        <f aca="false">IF(41&gt;Fin,AS$266,IF(AND(AT$8=1,ISNUMBER(Reales!AT81)),IF(Reales!$C$81="PYG",IF(AT$10&gt;0,N(Reales!AT81)/AT$10,0),N(Reales!AT81)),AT$249*IF(AT$8=1,N(vg_DInv),V_DInv)/DiasMes+(AT$249+AT$250+AT$251+AT$252)*V_DPT/DiasMes))</f>
        <v>1566231.67971491</v>
      </c>
      <c r="AU266" s="48" t="n">
        <f aca="false">IF(42&gt;Fin,AT$266,IF(AND(AU$8=1,ISNUMBER(Reales!AU81)),IF(Reales!$C$81="PYG",IF(AU$10&gt;0,N(Reales!AU81)/AU$10,0),N(Reales!AU81)),AU$249*IF(AU$8=1,N(vg_DInv),V_DInv)/DiasMes+(AU$249+AU$250+AU$251+AU$252)*V_DPT/DiasMes))</f>
        <v>1566231.67971491</v>
      </c>
      <c r="AV266" s="48" t="n">
        <f aca="false">IF(43&gt;Fin,AU$266,IF(AND(AV$8=1,ISNUMBER(Reales!AV81)),IF(Reales!$C$81="PYG",IF(AV$10&gt;0,N(Reales!AV81)/AV$10,0),N(Reales!AV81)),AV$249*IF(AV$8=1,N(vg_DInv),V_DInv)/DiasMes+(AV$249+AV$250+AV$251+AV$252)*V_DPT/DiasMes))</f>
        <v>1566231.67971491</v>
      </c>
      <c r="AW266" s="48" t="n">
        <f aca="false">IF(44&gt;Fin,AV$266,IF(AND(AW$8=1,ISNUMBER(Reales!AW81)),IF(Reales!$C$81="PYG",IF(AW$10&gt;0,N(Reales!AW81)/AW$10,0),N(Reales!AW81)),AW$249*IF(AW$8=1,N(vg_DInv),V_DInv)/DiasMes+(AW$249+AW$250+AW$251+AW$252)*V_DPT/DiasMes))</f>
        <v>1566231.67971491</v>
      </c>
      <c r="AX266" s="48" t="n">
        <f aca="false">IF(45&gt;Fin,AW$266,IF(AND(AX$8=1,ISNUMBER(Reales!AX81)),IF(Reales!$C$81="PYG",IF(AX$10&gt;0,N(Reales!AX81)/AX$10,0),N(Reales!AX81)),AX$249*IF(AX$8=1,N(vg_DInv),V_DInv)/DiasMes+(AX$249+AX$250+AX$251+AX$252)*V_DPT/DiasMes))</f>
        <v>1566231.67971491</v>
      </c>
      <c r="AY266" s="48" t="n">
        <f aca="false">IF(46&gt;Fin,AX$266,IF(AND(AY$8=1,ISNUMBER(Reales!AY81)),IF(Reales!$C$81="PYG",IF(AY$10&gt;0,N(Reales!AY81)/AY$10,0),N(Reales!AY81)),AY$249*IF(AY$8=1,N(vg_DInv),V_DInv)/DiasMes+(AY$249+AY$250+AY$251+AY$252)*V_DPT/DiasMes))</f>
        <v>1566231.67971491</v>
      </c>
      <c r="AZ266" s="48" t="n">
        <f aca="false">IF(47&gt;Fin,AY$266,IF(AND(AZ$8=1,ISNUMBER(Reales!AZ81)),IF(Reales!$C$81="PYG",IF(AZ$10&gt;0,N(Reales!AZ81)/AZ$10,0),N(Reales!AZ81)),AZ$249*IF(AZ$8=1,N(vg_DInv),V_DInv)/DiasMes+(AZ$249+AZ$250+AZ$251+AZ$252)*V_DPT/DiasMes))</f>
        <v>1566231.67971491</v>
      </c>
      <c r="BA266" s="48" t="n">
        <f aca="false">IF(48&gt;Fin,AZ$266,IF(AND(BA$8=1,ISNUMBER(Reales!BA81)),IF(Reales!$C$81="PYG",IF(BA$10&gt;0,N(Reales!BA81)/BA$10,0),N(Reales!BA81)),BA$249*IF(BA$8=1,N(vg_DInv),V_DInv)/DiasMes+(BA$249+BA$250+BA$251+BA$252)*V_DPT/DiasMes))</f>
        <v>1566231.67971491</v>
      </c>
      <c r="BB266" s="48" t="n">
        <f aca="false">IF(49&gt;Fin,BA$266,IF(AND(BB$8=1,ISNUMBER(Reales!BB81)),IF(Reales!$C$81="PYG",IF(BB$10&gt;0,N(Reales!BB81)/BB$10,0),N(Reales!BB81)),BB$249*IF(BB$8=1,N(vg_DInv),V_DInv)/DiasMes+(BB$249+BB$250+BB$251+BB$252)*V_DPT/DiasMes))</f>
        <v>1576853.13578562</v>
      </c>
      <c r="BC266" s="48" t="n">
        <f aca="false">IF(50&gt;Fin,BB$266,IF(AND(BC$8=1,ISNUMBER(Reales!BC81)),IF(Reales!$C$81="PYG",IF(BC$10&gt;0,N(Reales!BC81)/BC$10,0),N(Reales!BC81)),BC$249*IF(BC$8=1,N(vg_DInv),V_DInv)/DiasMes+(BC$249+BC$250+BC$251+BC$252)*V_DPT/DiasMes))</f>
        <v>1576853.13578562</v>
      </c>
      <c r="BD266" s="48" t="n">
        <f aca="false">IF(51&gt;Fin,BC$266,IF(AND(BD$8=1,ISNUMBER(Reales!BD81)),IF(Reales!$C$81="PYG",IF(BD$10&gt;0,N(Reales!BD81)/BD$10,0),N(Reales!BD81)),BD$249*IF(BD$8=1,N(vg_DInv),V_DInv)/DiasMes+(BD$249+BD$250+BD$251+BD$252)*V_DPT/DiasMes))</f>
        <v>1576853.13578562</v>
      </c>
      <c r="BE266" s="48" t="n">
        <f aca="false">IF(52&gt;Fin,BD$266,IF(AND(BE$8=1,ISNUMBER(Reales!BE81)),IF(Reales!$C$81="PYG",IF(BE$10&gt;0,N(Reales!BE81)/BE$10,0),N(Reales!BE81)),BE$249*IF(BE$8=1,N(vg_DInv),V_DInv)/DiasMes+(BE$249+BE$250+BE$251+BE$252)*V_DPT/DiasMes))</f>
        <v>1576853.13578562</v>
      </c>
      <c r="BF266" s="48" t="n">
        <f aca="false">IF(53&gt;Fin,BE$266,IF(AND(BF$8=1,ISNUMBER(Reales!BF81)),IF(Reales!$C$81="PYG",IF(BF$10&gt;0,N(Reales!BF81)/BF$10,0),N(Reales!BF81)),BF$249*IF(BF$8=1,N(vg_DInv),V_DInv)/DiasMes+(BF$249+BF$250+BF$251+BF$252)*V_DPT/DiasMes))</f>
        <v>1576853.13578562</v>
      </c>
      <c r="BG266" s="48" t="n">
        <f aca="false">IF(54&gt;Fin,BF$266,IF(AND(BG$8=1,ISNUMBER(Reales!BG81)),IF(Reales!$C$81="PYG",IF(BG$10&gt;0,N(Reales!BG81)/BG$10,0),N(Reales!BG81)),BG$249*IF(BG$8=1,N(vg_DInv),V_DInv)/DiasMes+(BG$249+BG$250+BG$251+BG$252)*V_DPT/DiasMes))</f>
        <v>1576853.13578562</v>
      </c>
      <c r="BH266" s="48" t="n">
        <f aca="false">IF(55&gt;Fin,BG$266,IF(AND(BH$8=1,ISNUMBER(Reales!BH81)),IF(Reales!$C$81="PYG",IF(BH$10&gt;0,N(Reales!BH81)/BH$10,0),N(Reales!BH81)),BH$249*IF(BH$8=1,N(vg_DInv),V_DInv)/DiasMes+(BH$249+BH$250+BH$251+BH$252)*V_DPT/DiasMes))</f>
        <v>1576853.13578562</v>
      </c>
      <c r="BI266" s="48" t="n">
        <f aca="false">IF(56&gt;Fin,BH$266,IF(AND(BI$8=1,ISNUMBER(Reales!BI81)),IF(Reales!$C$81="PYG",IF(BI$10&gt;0,N(Reales!BI81)/BI$10,0),N(Reales!BI81)),BI$249*IF(BI$8=1,N(vg_DInv),V_DInv)/DiasMes+(BI$249+BI$250+BI$251+BI$252)*V_DPT/DiasMes))</f>
        <v>1576853.13578562</v>
      </c>
      <c r="BJ266" s="48" t="n">
        <f aca="false">IF(57&gt;Fin,BI$266,IF(AND(BJ$8=1,ISNUMBER(Reales!BJ81)),IF(Reales!$C$81="PYG",IF(BJ$10&gt;0,N(Reales!BJ81)/BJ$10,0),N(Reales!BJ81)),BJ$249*IF(BJ$8=1,N(vg_DInv),V_DInv)/DiasMes+(BJ$249+BJ$250+BJ$251+BJ$252)*V_DPT/DiasMes))</f>
        <v>1576853.13578562</v>
      </c>
      <c r="BK266" s="48" t="n">
        <f aca="false">IF(58&gt;Fin,BJ$266,IF(AND(BK$8=1,ISNUMBER(Reales!BK81)),IF(Reales!$C$81="PYG",IF(BK$10&gt;0,N(Reales!BK81)/BK$10,0),N(Reales!BK81)),BK$249*IF(BK$8=1,N(vg_DInv),V_DInv)/DiasMes+(BK$249+BK$250+BK$251+BK$252)*V_DPT/DiasMes))</f>
        <v>1576853.13578562</v>
      </c>
      <c r="BL266" s="48" t="n">
        <f aca="false">IF(59&gt;Fin,BK$266,IF(AND(BL$8=1,ISNUMBER(Reales!BL81)),IF(Reales!$C$81="PYG",IF(BL$10&gt;0,N(Reales!BL81)/BL$10,0),N(Reales!BL81)),BL$249*IF(BL$8=1,N(vg_DInv),V_DInv)/DiasMes+(BL$249+BL$250+BL$251+BL$252)*V_DPT/DiasMes))</f>
        <v>1576853.13578562</v>
      </c>
      <c r="BM266" s="48" t="n">
        <f aca="false">IF(60&gt;Fin,BL$266,IF(AND(BM$8=1,ISNUMBER(Reales!BM81)),IF(Reales!$C$81="PYG",IF(BM$10&gt;0,N(Reales!BM81)/BM$10,0),N(Reales!BM81)),BM$249*IF(BM$8=1,N(vg_DInv),V_DInv)/DiasMes+(BM$249+BM$250+BM$251+BM$252)*V_DPT/DiasMes))</f>
        <v>1576853.13578562</v>
      </c>
      <c r="BN266" s="48" t="n">
        <f aca="false">IF(61&gt;Fin,BM$266,IF(AND(BN$8=1,ISNUMBER(Reales!BN81)),IF(Reales!$C$81="PYG",IF(BN$10&gt;0,N(Reales!BN81)/BN$10,0),N(Reales!BN81)),BN$249*IF(BN$8=1,N(vg_DInv),V_DInv)/DiasMes+(BN$249+BN$250+BN$251+BN$252)*V_DPT/DiasMes))</f>
        <v>1586671.38637398</v>
      </c>
      <c r="BO266" s="48" t="n">
        <f aca="false">IF(62&gt;Fin,BN$266,IF(AND(BO$8=1,ISNUMBER(Reales!BO81)),IF(Reales!$C$81="PYG",IF(BO$10&gt;0,N(Reales!BO81)/BO$10,0),N(Reales!BO81)),BO$249*IF(BO$8=1,N(vg_DInv),V_DInv)/DiasMes+(BO$249+BO$250+BO$251+BO$252)*V_DPT/DiasMes))</f>
        <v>1586671.38637398</v>
      </c>
      <c r="BP266" s="48" t="n">
        <f aca="false">IF(63&gt;Fin,BO$266,IF(AND(BP$8=1,ISNUMBER(Reales!BP81)),IF(Reales!$C$81="PYG",IF(BP$10&gt;0,N(Reales!BP81)/BP$10,0),N(Reales!BP81)),BP$249*IF(BP$8=1,N(vg_DInv),V_DInv)/DiasMes+(BP$249+BP$250+BP$251+BP$252)*V_DPT/DiasMes))</f>
        <v>1586671.38637398</v>
      </c>
      <c r="BQ266" s="48" t="n">
        <f aca="false">IF(64&gt;Fin,BP$266,IF(AND(BQ$8=1,ISNUMBER(Reales!BQ81)),IF(Reales!$C$81="PYG",IF(BQ$10&gt;0,N(Reales!BQ81)/BQ$10,0),N(Reales!BQ81)),BQ$249*IF(BQ$8=1,N(vg_DInv),V_DInv)/DiasMes+(BQ$249+BQ$250+BQ$251+BQ$252)*V_DPT/DiasMes))</f>
        <v>1586671.38637398</v>
      </c>
      <c r="BR266" s="48" t="n">
        <f aca="false">IF(65&gt;Fin,BQ$266,IF(AND(BR$8=1,ISNUMBER(Reales!BR81)),IF(Reales!$C$81="PYG",IF(BR$10&gt;0,N(Reales!BR81)/BR$10,0),N(Reales!BR81)),BR$249*IF(BR$8=1,N(vg_DInv),V_DInv)/DiasMes+(BR$249+BR$250+BR$251+BR$252)*V_DPT/DiasMes))</f>
        <v>1586671.38637398</v>
      </c>
      <c r="BS266" s="48" t="n">
        <f aca="false">IF(66&gt;Fin,BR$266,IF(AND(BS$8=1,ISNUMBER(Reales!BS81)),IF(Reales!$C$81="PYG",IF(BS$10&gt;0,N(Reales!BS81)/BS$10,0),N(Reales!BS81)),BS$249*IF(BS$8=1,N(vg_DInv),V_DInv)/DiasMes+(BS$249+BS$250+BS$251+BS$252)*V_DPT/DiasMes))</f>
        <v>1586671.38637398</v>
      </c>
      <c r="BT266" s="48" t="n">
        <f aca="false">IF(67&gt;Fin,BS$266,IF(AND(BT$8=1,ISNUMBER(Reales!BT81)),IF(Reales!$C$81="PYG",IF(BT$10&gt;0,N(Reales!BT81)/BT$10,0),N(Reales!BT81)),BT$249*IF(BT$8=1,N(vg_DInv),V_DInv)/DiasMes+(BT$249+BT$250+BT$251+BT$252)*V_DPT/DiasMes))</f>
        <v>1586671.38637398</v>
      </c>
      <c r="BU266" s="48" t="n">
        <f aca="false">IF(68&gt;Fin,BT$266,IF(AND(BU$8=1,ISNUMBER(Reales!BU81)),IF(Reales!$C$81="PYG",IF(BU$10&gt;0,N(Reales!BU81)/BU$10,0),N(Reales!BU81)),BU$249*IF(BU$8=1,N(vg_DInv),V_DInv)/DiasMes+(BU$249+BU$250+BU$251+BU$252)*V_DPT/DiasMes))</f>
        <v>1586671.38637398</v>
      </c>
      <c r="BV266" s="48" t="n">
        <f aca="false">IF(69&gt;Fin,BU$266,IF(AND(BV$8=1,ISNUMBER(Reales!BV81)),IF(Reales!$C$81="PYG",IF(BV$10&gt;0,N(Reales!BV81)/BV$10,0),N(Reales!BV81)),BV$249*IF(BV$8=1,N(vg_DInv),V_DInv)/DiasMes+(BV$249+BV$250+BV$251+BV$252)*V_DPT/DiasMes))</f>
        <v>1586671.38637398</v>
      </c>
      <c r="BW266" s="48" t="n">
        <f aca="false">IF(70&gt;Fin,BV$266,IF(AND(BW$8=1,ISNUMBER(Reales!BW81)),IF(Reales!$C$81="PYG",IF(BW$10&gt;0,N(Reales!BW81)/BW$10,0),N(Reales!BW81)),BW$249*IF(BW$8=1,N(vg_DInv),V_DInv)/DiasMes+(BW$249+BW$250+BW$251+BW$252)*V_DPT/DiasMes))</f>
        <v>1586671.38637398</v>
      </c>
      <c r="BX266" s="48" t="n">
        <f aca="false">IF(71&gt;Fin,BW$266,IF(AND(BX$8=1,ISNUMBER(Reales!BX81)),IF(Reales!$C$81="PYG",IF(BX$10&gt;0,N(Reales!BX81)/BX$10,0),N(Reales!BX81)),BX$249*IF(BX$8=1,N(vg_DInv),V_DInv)/DiasMes+(BX$249+BX$250+BX$251+BX$252)*V_DPT/DiasMes))</f>
        <v>1586671.38637398</v>
      </c>
      <c r="BY266" s="48" t="n">
        <f aca="false">IF(72&gt;Fin,BX$266,IF(AND(BY$8=1,ISNUMBER(Reales!BY81)),IF(Reales!$C$81="PYG",IF(BY$10&gt;0,N(Reales!BY81)/BY$10,0),N(Reales!BY81)),BY$249*IF(BY$8=1,N(vg_DInv),V_DInv)/DiasMes+(BY$249+BY$250+BY$251+BY$252)*V_DPT/DiasMes))</f>
        <v>1586671.38637398</v>
      </c>
      <c r="BZ266" s="48" t="n">
        <f aca="false">IF(73&gt;Fin,BY$266,IF(AND(BZ$8=1,ISNUMBER(Reales!BZ81)),IF(Reales!$C$81="PYG",IF(BZ$10&gt;0,N(Reales!BZ81)/BZ$10,0),N(Reales!BZ81)),BZ$249*IF(BZ$8=1,N(vg_DInv),V_DInv)/DiasMes+(BZ$249+BZ$250+BZ$251+BZ$252)*V_DPT/DiasMes))</f>
        <v>1596588.00448074</v>
      </c>
      <c r="CA266" s="48" t="n">
        <f aca="false">IF(74&gt;Fin,BZ$266,IF(AND(CA$8=1,ISNUMBER(Reales!CA81)),IF(Reales!$C$81="PYG",IF(CA$10&gt;0,N(Reales!CA81)/CA$10,0),N(Reales!CA81)),CA$249*IF(CA$8=1,N(vg_DInv),V_DInv)/DiasMes+(CA$249+CA$250+CA$251+CA$252)*V_DPT/DiasMes))</f>
        <v>1596588.00448074</v>
      </c>
      <c r="CB266" s="48" t="n">
        <f aca="false">IF(75&gt;Fin,CA$266,IF(AND(CB$8=1,ISNUMBER(Reales!CB81)),IF(Reales!$C$81="PYG",IF(CB$10&gt;0,N(Reales!CB81)/CB$10,0),N(Reales!CB81)),CB$249*IF(CB$8=1,N(vg_DInv),V_DInv)/DiasMes+(CB$249+CB$250+CB$251+CB$252)*V_DPT/DiasMes))</f>
        <v>1596588.00448074</v>
      </c>
      <c r="CC266" s="48" t="n">
        <f aca="false">IF(76&gt;Fin,CB$266,IF(AND(CC$8=1,ISNUMBER(Reales!CC81)),IF(Reales!$C$81="PYG",IF(CC$10&gt;0,N(Reales!CC81)/CC$10,0),N(Reales!CC81)),CC$249*IF(CC$8=1,N(vg_DInv),V_DInv)/DiasMes+(CC$249+CC$250+CC$251+CC$252)*V_DPT/DiasMes))</f>
        <v>1596588.00448074</v>
      </c>
      <c r="CD266" s="48" t="n">
        <f aca="false">IF(77&gt;Fin,CC$266,IF(AND(CD$8=1,ISNUMBER(Reales!CD81)),IF(Reales!$C$81="PYG",IF(CD$10&gt;0,N(Reales!CD81)/CD$10,0),N(Reales!CD81)),CD$249*IF(CD$8=1,N(vg_DInv),V_DInv)/DiasMes+(CD$249+CD$250+CD$251+CD$252)*V_DPT/DiasMes))</f>
        <v>1596588.00448074</v>
      </c>
      <c r="CE266" s="48" t="n">
        <f aca="false">IF(78&gt;Fin,CD$266,IF(AND(CE$8=1,ISNUMBER(Reales!CE81)),IF(Reales!$C$81="PYG",IF(CE$10&gt;0,N(Reales!CE81)/CE$10,0),N(Reales!CE81)),CE$249*IF(CE$8=1,N(vg_DInv),V_DInv)/DiasMes+(CE$249+CE$250+CE$251+CE$252)*V_DPT/DiasMes))</f>
        <v>1596588.00448074</v>
      </c>
      <c r="CF266" s="48" t="n">
        <f aca="false">IF(79&gt;Fin,CE$266,IF(AND(CF$8=1,ISNUMBER(Reales!CF81)),IF(Reales!$C$81="PYG",IF(CF$10&gt;0,N(Reales!CF81)/CF$10,0),N(Reales!CF81)),CF$249*IF(CF$8=1,N(vg_DInv),V_DInv)/DiasMes+(CF$249+CF$250+CF$251+CF$252)*V_DPT/DiasMes))</f>
        <v>1596588.00448074</v>
      </c>
      <c r="CG266" s="48" t="n">
        <f aca="false">IF(80&gt;Fin,CF$266,IF(AND(CG$8=1,ISNUMBER(Reales!CG81)),IF(Reales!$C$81="PYG",IF(CG$10&gt;0,N(Reales!CG81)/CG$10,0),N(Reales!CG81)),CG$249*IF(CG$8=1,N(vg_DInv),V_DInv)/DiasMes+(CG$249+CG$250+CG$251+CG$252)*V_DPT/DiasMes))</f>
        <v>1596588.00448074</v>
      </c>
      <c r="CH266" s="48" t="n">
        <f aca="false">IF(81&gt;Fin,CG$266,IF(AND(CH$8=1,ISNUMBER(Reales!CH81)),IF(Reales!$C$81="PYG",IF(CH$10&gt;0,N(Reales!CH81)/CH$10,0),N(Reales!CH81)),CH$249*IF(CH$8=1,N(vg_DInv),V_DInv)/DiasMes+(CH$249+CH$250+CH$251+CH$252)*V_DPT/DiasMes))</f>
        <v>1596588.00448074</v>
      </c>
      <c r="CI266" s="48" t="n">
        <f aca="false">IF(82&gt;Fin,CH$266,IF(AND(CI$8=1,ISNUMBER(Reales!CI81)),IF(Reales!$C$81="PYG",IF(CI$10&gt;0,N(Reales!CI81)/CI$10,0),N(Reales!CI81)),CI$249*IF(CI$8=1,N(vg_DInv),V_DInv)/DiasMes+(CI$249+CI$250+CI$251+CI$252)*V_DPT/DiasMes))</f>
        <v>1596588.00448074</v>
      </c>
      <c r="CJ266" s="48" t="n">
        <f aca="false">IF(83&gt;Fin,CI$266,IF(AND(CJ$8=1,ISNUMBER(Reales!CJ81)),IF(Reales!$C$81="PYG",IF(CJ$10&gt;0,N(Reales!CJ81)/CJ$10,0),N(Reales!CJ81)),CJ$249*IF(CJ$8=1,N(vg_DInv),V_DInv)/DiasMes+(CJ$249+CJ$250+CJ$251+CJ$252)*V_DPT/DiasMes))</f>
        <v>1596588.00448074</v>
      </c>
      <c r="CK266" s="48" t="n">
        <f aca="false">IF(84&gt;Fin,CJ$266,IF(AND(CK$8=1,ISNUMBER(Reales!CK81)),IF(Reales!$C$81="PYG",IF(CK$10&gt;0,N(Reales!CK81)/CK$10,0),N(Reales!CK81)),CK$249*IF(CK$8=1,N(vg_DInv),V_DInv)/DiasMes+(CK$249+CK$250+CK$251+CK$252)*V_DPT/DiasMes))</f>
        <v>1596588.00448074</v>
      </c>
      <c r="CL266" s="48" t="n">
        <f aca="false">IF(85&gt;Fin,CK$266,IF(AND(CL$8=1,ISNUMBER(Reales!CL81)),IF(Reales!$C$81="PYG",IF(CL$10&gt;0,N(Reales!CL81)/CL$10,0),N(Reales!CL81)),CL$249*IF(CL$8=1,N(vg_DInv),V_DInv)/DiasMes+(CL$249+CL$250+CL$251+CL$252)*V_DPT/DiasMes))</f>
        <v>1606603.97748134</v>
      </c>
      <c r="CM266" s="48" t="n">
        <f aca="false">IF(86&gt;Fin,CL$266,IF(AND(CM$8=1,ISNUMBER(Reales!CM81)),IF(Reales!$C$81="PYG",IF(CM$10&gt;0,N(Reales!CM81)/CM$10,0),N(Reales!CM81)),CM$249*IF(CM$8=1,N(vg_DInv),V_DInv)/DiasMes+(CM$249+CM$250+CM$251+CM$252)*V_DPT/DiasMes))</f>
        <v>1606603.97748134</v>
      </c>
      <c r="CN266" s="48" t="n">
        <f aca="false">IF(87&gt;Fin,CM$266,IF(AND(CN$8=1,ISNUMBER(Reales!CN81)),IF(Reales!$C$81="PYG",IF(CN$10&gt;0,N(Reales!CN81)/CN$10,0),N(Reales!CN81)),CN$249*IF(CN$8=1,N(vg_DInv),V_DInv)/DiasMes+(CN$249+CN$250+CN$251+CN$252)*V_DPT/DiasMes))</f>
        <v>1606603.97748134</v>
      </c>
      <c r="CO266" s="48" t="n">
        <f aca="false">IF(88&gt;Fin,CN$266,IF(AND(CO$8=1,ISNUMBER(Reales!CO81)),IF(Reales!$C$81="PYG",IF(CO$10&gt;0,N(Reales!CO81)/CO$10,0),N(Reales!CO81)),CO$249*IF(CO$8=1,N(vg_DInv),V_DInv)/DiasMes+(CO$249+CO$250+CO$251+CO$252)*V_DPT/DiasMes))</f>
        <v>1606603.97748134</v>
      </c>
      <c r="CP266" s="48" t="n">
        <f aca="false">IF(89&gt;Fin,CO$266,IF(AND(CP$8=1,ISNUMBER(Reales!CP81)),IF(Reales!$C$81="PYG",IF(CP$10&gt;0,N(Reales!CP81)/CP$10,0),N(Reales!CP81)),CP$249*IF(CP$8=1,N(vg_DInv),V_DInv)/DiasMes+(CP$249+CP$250+CP$251+CP$252)*V_DPT/DiasMes))</f>
        <v>1606603.97748134</v>
      </c>
      <c r="CQ266" s="48" t="n">
        <f aca="false">IF(90&gt;Fin,CP$266,IF(AND(CQ$8=1,ISNUMBER(Reales!CQ81)),IF(Reales!$C$81="PYG",IF(CQ$10&gt;0,N(Reales!CQ81)/CQ$10,0),N(Reales!CQ81)),CQ$249*IF(CQ$8=1,N(vg_DInv),V_DInv)/DiasMes+(CQ$249+CQ$250+CQ$251+CQ$252)*V_DPT/DiasMes))</f>
        <v>1606603.97748134</v>
      </c>
      <c r="CR266" s="48" t="n">
        <f aca="false">IF(91&gt;Fin,CQ$266,IF(AND(CR$8=1,ISNUMBER(Reales!CR81)),IF(Reales!$C$81="PYG",IF(CR$10&gt;0,N(Reales!CR81)/CR$10,0),N(Reales!CR81)),CR$249*IF(CR$8=1,N(vg_DInv),V_DInv)/DiasMes+(CR$249+CR$250+CR$251+CR$252)*V_DPT/DiasMes))</f>
        <v>1606603.97748134</v>
      </c>
      <c r="CS266" s="48" t="n">
        <f aca="false">IF(92&gt;Fin,CR$266,IF(AND(CS$8=1,ISNUMBER(Reales!CS81)),IF(Reales!$C$81="PYG",IF(CS$10&gt;0,N(Reales!CS81)/CS$10,0),N(Reales!CS81)),CS$249*IF(CS$8=1,N(vg_DInv),V_DInv)/DiasMes+(CS$249+CS$250+CS$251+CS$252)*V_DPT/DiasMes))</f>
        <v>1606603.97748134</v>
      </c>
      <c r="CT266" s="48" t="n">
        <f aca="false">IF(93&gt;Fin,CS$266,IF(AND(CT$8=1,ISNUMBER(Reales!CT81)),IF(Reales!$C$81="PYG",IF(CT$10&gt;0,N(Reales!CT81)/CT$10,0),N(Reales!CT81)),CT$249*IF(CT$8=1,N(vg_DInv),V_DInv)/DiasMes+(CT$249+CT$250+CT$251+CT$252)*V_DPT/DiasMes))</f>
        <v>1606603.97748134</v>
      </c>
      <c r="CU266" s="48" t="n">
        <f aca="false">IF(94&gt;Fin,CT$266,IF(AND(CU$8=1,ISNUMBER(Reales!CU81)),IF(Reales!$C$81="PYG",IF(CU$10&gt;0,N(Reales!CU81)/CU$10,0),N(Reales!CU81)),CU$249*IF(CU$8=1,N(vg_DInv),V_DInv)/DiasMes+(CU$249+CU$250+CU$251+CU$252)*V_DPT/DiasMes))</f>
        <v>1606603.97748134</v>
      </c>
      <c r="CV266" s="48" t="n">
        <f aca="false">IF(95&gt;Fin,CU$266,IF(AND(CV$8=1,ISNUMBER(Reales!CV81)),IF(Reales!$C$81="PYG",IF(CV$10&gt;0,N(Reales!CV81)/CV$10,0),N(Reales!CV81)),CV$249*IF(CV$8=1,N(vg_DInv),V_DInv)/DiasMes+(CV$249+CV$250+CV$251+CV$252)*V_DPT/DiasMes))</f>
        <v>1606603.97748134</v>
      </c>
      <c r="CW266" s="48" t="n">
        <f aca="false">IF(96&gt;Fin,CV$266,IF(AND(CW$8=1,ISNUMBER(Reales!CW81)),IF(Reales!$C$81="PYG",IF(CW$10&gt;0,N(Reales!CW81)/CW$10,0),N(Reales!CW81)),CW$249*IF(CW$8=1,N(vg_DInv),V_DInv)/DiasMes+(CW$249+CW$250+CW$251+CW$252)*V_DPT/DiasMes))</f>
        <v>1606603.97748134</v>
      </c>
      <c r="CX266" s="48" t="n">
        <f aca="false">IF(97&gt;Fin,CW$266,IF(AND(CX$8=1,ISNUMBER(Reales!CX81)),IF(Reales!$C$81="PYG",IF(CX$10&gt;0,N(Reales!CX81)/CX$10,0),N(Reales!CX81)),CX$249*IF(CX$8=1,N(vg_DInv),V_DInv)/DiasMes+(CX$249+CX$250+CX$251+CX$252)*V_DPT/DiasMes))</f>
        <v>1616720.30269897</v>
      </c>
      <c r="CY266" s="48" t="n">
        <f aca="false">IF(98&gt;Fin,CX$266,IF(AND(CY$8=1,ISNUMBER(Reales!CY81)),IF(Reales!$C$81="PYG",IF(CY$10&gt;0,N(Reales!CY81)/CY$10,0),N(Reales!CY81)),CY$249*IF(CY$8=1,N(vg_DInv),V_DInv)/DiasMes+(CY$249+CY$250+CY$251+CY$252)*V_DPT/DiasMes))</f>
        <v>1616720.30269897</v>
      </c>
      <c r="CZ266" s="48" t="n">
        <f aca="false">IF(99&gt;Fin,CY$266,IF(AND(CZ$8=1,ISNUMBER(Reales!CZ81)),IF(Reales!$C$81="PYG",IF(CZ$10&gt;0,N(Reales!CZ81)/CZ$10,0),N(Reales!CZ81)),CZ$249*IF(CZ$8=1,N(vg_DInv),V_DInv)/DiasMes+(CZ$249+CZ$250+CZ$251+CZ$252)*V_DPT/DiasMes))</f>
        <v>1616720.30269897</v>
      </c>
      <c r="DA266" s="48" t="n">
        <f aca="false">IF(100&gt;Fin,CZ$266,IF(AND(DA$8=1,ISNUMBER(Reales!DA81)),IF(Reales!$C$81="PYG",IF(DA$10&gt;0,N(Reales!DA81)/DA$10,0),N(Reales!DA81)),DA$249*IF(DA$8=1,N(vg_DInv),V_DInv)/DiasMes+(DA$249+DA$250+DA$251+DA$252)*V_DPT/DiasMes))</f>
        <v>1616720.30269897</v>
      </c>
      <c r="DB266" s="48" t="n">
        <f aca="false">IF(101&gt;Fin,DA$266,IF(AND(DB$8=1,ISNUMBER(Reales!DB81)),IF(Reales!$C$81="PYG",IF(DB$10&gt;0,N(Reales!DB81)/DB$10,0),N(Reales!DB81)),DB$249*IF(DB$8=1,N(vg_DInv),V_DInv)/DiasMes+(DB$249+DB$250+DB$251+DB$252)*V_DPT/DiasMes))</f>
        <v>1616720.30269897</v>
      </c>
      <c r="DC266" s="48" t="n">
        <f aca="false">IF(102&gt;Fin,DB$266,IF(AND(DC$8=1,ISNUMBER(Reales!DC81)),IF(Reales!$C$81="PYG",IF(DC$10&gt;0,N(Reales!DC81)/DC$10,0),N(Reales!DC81)),DC$249*IF(DC$8=1,N(vg_DInv),V_DInv)/DiasMes+(DC$249+DC$250+DC$251+DC$252)*V_DPT/DiasMes))</f>
        <v>1616720.30269897</v>
      </c>
      <c r="DD266" s="48" t="n">
        <f aca="false">IF(103&gt;Fin,DC$266,IF(AND(DD$8=1,ISNUMBER(Reales!DD81)),IF(Reales!$C$81="PYG",IF(DD$10&gt;0,N(Reales!DD81)/DD$10,0),N(Reales!DD81)),DD$249*IF(DD$8=1,N(vg_DInv),V_DInv)/DiasMes+(DD$249+DD$250+DD$251+DD$252)*V_DPT/DiasMes))</f>
        <v>1616720.30269897</v>
      </c>
      <c r="DE266" s="48" t="n">
        <f aca="false">IF(104&gt;Fin,DD$266,IF(AND(DE$8=1,ISNUMBER(Reales!DE81)),IF(Reales!$C$81="PYG",IF(DE$10&gt;0,N(Reales!DE81)/DE$10,0),N(Reales!DE81)),DE$249*IF(DE$8=1,N(vg_DInv),V_DInv)/DiasMes+(DE$249+DE$250+DE$251+DE$252)*V_DPT/DiasMes))</f>
        <v>1616720.30269897</v>
      </c>
      <c r="DF266" s="48" t="n">
        <f aca="false">IF(105&gt;Fin,DE$266,IF(AND(DF$8=1,ISNUMBER(Reales!DF81)),IF(Reales!$C$81="PYG",IF(DF$10&gt;0,N(Reales!DF81)/DF$10,0),N(Reales!DF81)),DF$249*IF(DF$8=1,N(vg_DInv),V_DInv)/DiasMes+(DF$249+DF$250+DF$251+DF$252)*V_DPT/DiasMes))</f>
        <v>1616720.30269897</v>
      </c>
      <c r="DG266" s="48" t="n">
        <f aca="false">IF(106&gt;Fin,DF$266,IF(AND(DG$8=1,ISNUMBER(Reales!DG81)),IF(Reales!$C$81="PYG",IF(DG$10&gt;0,N(Reales!DG81)/DG$10,0),N(Reales!DG81)),DG$249*IF(DG$8=1,N(vg_DInv),V_DInv)/DiasMes+(DG$249+DG$250+DG$251+DG$252)*V_DPT/DiasMes))</f>
        <v>1616720.30269897</v>
      </c>
      <c r="DH266" s="48" t="n">
        <f aca="false">IF(107&gt;Fin,DG$266,IF(AND(DH$8=1,ISNUMBER(Reales!DH81)),IF(Reales!$C$81="PYG",IF(DH$10&gt;0,N(Reales!DH81)/DH$10,0),N(Reales!DH81)),DH$249*IF(DH$8=1,N(vg_DInv),V_DInv)/DiasMes+(DH$249+DH$250+DH$251+DH$252)*V_DPT/DiasMes))</f>
        <v>1616720.30269897</v>
      </c>
      <c r="DI266" s="48" t="n">
        <f aca="false">IF(108&gt;Fin,DH$266,IF(AND(DI$8=1,ISNUMBER(Reales!DI81)),IF(Reales!$C$81="PYG",IF(DI$10&gt;0,N(Reales!DI81)/DI$10,0),N(Reales!DI81)),DI$249*IF(DI$8=1,N(vg_DInv),V_DInv)/DiasMes+(DI$249+DI$250+DI$251+DI$252)*V_DPT/DiasMes))</f>
        <v>1616720.30269897</v>
      </c>
      <c r="DJ266" s="48" t="n">
        <f aca="false">IF(109&gt;Fin,DI$266,IF(AND(DJ$8=1,ISNUMBER(Reales!DJ81)),IF(Reales!$C$81="PYG",IF(DJ$10&gt;0,N(Reales!DJ81)/DJ$10,0),N(Reales!DJ81)),DJ$249*IF(DJ$8=1,N(vg_DInv),V_DInv)/DiasMes+(DJ$249+DJ$250+DJ$251+DJ$252)*V_DPT/DiasMes))</f>
        <v>1626937.98750554</v>
      </c>
      <c r="DK266" s="48" t="n">
        <f aca="false">IF(110&gt;Fin,DJ$266,IF(AND(DK$8=1,ISNUMBER(Reales!DK81)),IF(Reales!$C$81="PYG",IF(DK$10&gt;0,N(Reales!DK81)/DK$10,0),N(Reales!DK81)),DK$249*IF(DK$8=1,N(vg_DInv),V_DInv)/DiasMes+(DK$249+DK$250+DK$251+DK$252)*V_DPT/DiasMes))</f>
        <v>1626937.98750554</v>
      </c>
      <c r="DL266" s="48" t="n">
        <f aca="false">IF(111&gt;Fin,DK$266,IF(AND(DL$8=1,ISNUMBER(Reales!DL81)),IF(Reales!$C$81="PYG",IF(DL$10&gt;0,N(Reales!DL81)/DL$10,0),N(Reales!DL81)),DL$249*IF(DL$8=1,N(vg_DInv),V_DInv)/DiasMes+(DL$249+DL$250+DL$251+DL$252)*V_DPT/DiasMes))</f>
        <v>1626937.98750554</v>
      </c>
      <c r="DM266" s="48" t="n">
        <f aca="false">IF(112&gt;Fin,DL$266,IF(AND(DM$8=1,ISNUMBER(Reales!DM81)),IF(Reales!$C$81="PYG",IF(DM$10&gt;0,N(Reales!DM81)/DM$10,0),N(Reales!DM81)),DM$249*IF(DM$8=1,N(vg_DInv),V_DInv)/DiasMes+(DM$249+DM$250+DM$251+DM$252)*V_DPT/DiasMes))</f>
        <v>1626937.98750554</v>
      </c>
      <c r="DN266" s="48" t="n">
        <f aca="false">IF(113&gt;Fin,DM$266,IF(AND(DN$8=1,ISNUMBER(Reales!DN81)),IF(Reales!$C$81="PYG",IF(DN$10&gt;0,N(Reales!DN81)/DN$10,0),N(Reales!DN81)),DN$249*IF(DN$8=1,N(vg_DInv),V_DInv)/DiasMes+(DN$249+DN$250+DN$251+DN$252)*V_DPT/DiasMes))</f>
        <v>1626937.98750554</v>
      </c>
      <c r="DO266" s="48" t="n">
        <f aca="false">IF(114&gt;Fin,DN$266,IF(AND(DO$8=1,ISNUMBER(Reales!DO81)),IF(Reales!$C$81="PYG",IF(DO$10&gt;0,N(Reales!DO81)/DO$10,0),N(Reales!DO81)),DO$249*IF(DO$8=1,N(vg_DInv),V_DInv)/DiasMes+(DO$249+DO$250+DO$251+DO$252)*V_DPT/DiasMes))</f>
        <v>1626937.98750554</v>
      </c>
      <c r="DP266" s="48" t="n">
        <f aca="false">IF(115&gt;Fin,DO$266,IF(AND(DP$8=1,ISNUMBER(Reales!DP81)),IF(Reales!$C$81="PYG",IF(DP$10&gt;0,N(Reales!DP81)/DP$10,0),N(Reales!DP81)),DP$249*IF(DP$8=1,N(vg_DInv),V_DInv)/DiasMes+(DP$249+DP$250+DP$251+DP$252)*V_DPT/DiasMes))</f>
        <v>1626937.98750554</v>
      </c>
      <c r="DQ266" s="48" t="n">
        <f aca="false">IF(116&gt;Fin,DP$266,IF(AND(DQ$8=1,ISNUMBER(Reales!DQ81)),IF(Reales!$C$81="PYG",IF(DQ$10&gt;0,N(Reales!DQ81)/DQ$10,0),N(Reales!DQ81)),DQ$249*IF(DQ$8=1,N(vg_DInv),V_DInv)/DiasMes+(DQ$249+DQ$250+DQ$251+DQ$252)*V_DPT/DiasMes))</f>
        <v>1626937.98750554</v>
      </c>
      <c r="DR266" s="48" t="n">
        <f aca="false">IF(117&gt;Fin,DQ$266,IF(AND(DR$8=1,ISNUMBER(Reales!DR81)),IF(Reales!$C$81="PYG",IF(DR$10&gt;0,N(Reales!DR81)/DR$10,0),N(Reales!DR81)),DR$249*IF(DR$8=1,N(vg_DInv),V_DInv)/DiasMes+(DR$249+DR$250+DR$251+DR$252)*V_DPT/DiasMes))</f>
        <v>1626937.98750554</v>
      </c>
      <c r="DS266" s="48" t="n">
        <f aca="false">IF(118&gt;Fin,DR$266,IF(AND(DS$8=1,ISNUMBER(Reales!DS81)),IF(Reales!$C$81="PYG",IF(DS$10&gt;0,N(Reales!DS81)/DS$10,0),N(Reales!DS81)),DS$249*IF(DS$8=1,N(vg_DInv),V_DInv)/DiasMes+(DS$249+DS$250+DS$251+DS$252)*V_DPT/DiasMes))</f>
        <v>1626937.98750554</v>
      </c>
      <c r="DT266" s="48" t="n">
        <f aca="false">IF(119&gt;Fin,DS$266,IF(AND(DT$8=1,ISNUMBER(Reales!DT81)),IF(Reales!$C$81="PYG",IF(DT$10&gt;0,N(Reales!DT81)/DT$10,0),N(Reales!DT81)),DT$249*IF(DT$8=1,N(vg_DInv),V_DInv)/DiasMes+(DT$249+DT$250+DT$251+DT$252)*V_DPT/DiasMes))</f>
        <v>1626937.98750554</v>
      </c>
      <c r="DU266" s="48" t="n">
        <f aca="false">IF(120&gt;Fin,DT$266,IF(AND(DU$8=1,ISNUMBER(Reales!DU81)),IF(Reales!$C$81="PYG",IF(DU$10&gt;0,N(Reales!DU81)/DU$10,0),N(Reales!DU81)),DU$249*IF(DU$8=1,N(vg_DInv),V_DInv)/DiasMes+(DU$249+DU$250+DU$251+DU$252)*V_DPT/DiasMes))</f>
        <v>1626937.98750554</v>
      </c>
      <c r="DV266" s="48" t="n">
        <f aca="false">IF(121&gt;Fin,DU$266,IF(AND(DV$8=1,ISNUMBER(Reales!DV81)),IF(Reales!$C$81="PYG",IF(DV$10&gt;0,N(Reales!DV81)/DV$10,0),N(Reales!DV81)),DV$249*IF(DV$8=1,N(vg_DInv),V_DInv)/DiasMes+(DV$249+DV$250+DV$251+DV$252)*V_DPT/DiasMes))</f>
        <v>1626937.98750554</v>
      </c>
      <c r="DW266" s="48" t="n">
        <f aca="false">IF(122&gt;Fin,DV$266,IF(AND(DW$8=1,ISNUMBER(Reales!DW81)),IF(Reales!$C$81="PYG",IF(DW$10&gt;0,N(Reales!DW81)/DW$10,0),N(Reales!DW81)),DW$249*IF(DW$8=1,N(vg_DInv),V_DInv)/DiasMes+(DW$249+DW$250+DW$251+DW$252)*V_DPT/DiasMes))</f>
        <v>1626937.98750554</v>
      </c>
      <c r="DX266" s="48" t="n">
        <f aca="false">IF(123&gt;Fin,DW$266,IF(AND(DX$8=1,ISNUMBER(Reales!DX81)),IF(Reales!$C$81="PYG",IF(DX$10&gt;0,N(Reales!DX81)/DX$10,0),N(Reales!DX81)),DX$249*IF(DX$8=1,N(vg_DInv),V_DInv)/DiasMes+(DX$249+DX$250+DX$251+DX$252)*V_DPT/DiasMes))</f>
        <v>1626937.98750554</v>
      </c>
      <c r="DY266" s="48" t="n">
        <f aca="false">IF(124&gt;Fin,DX$266,IF(AND(DY$8=1,ISNUMBER(Reales!DY81)),IF(Reales!$C$81="PYG",IF(DY$10&gt;0,N(Reales!DY81)/DY$10,0),N(Reales!DY81)),DY$249*IF(DY$8=1,N(vg_DInv),V_DInv)/DiasMes+(DY$249+DY$250+DY$251+DY$252)*V_DPT/DiasMes))</f>
        <v>1626937.98750554</v>
      </c>
      <c r="DZ266" s="48" t="n">
        <f aca="false">IF(125&gt;Fin,DY$266,IF(AND(DZ$8=1,ISNUMBER(Reales!DZ81)),IF(Reales!$C$81="PYG",IF(DZ$10&gt;0,N(Reales!DZ81)/DZ$10,0),N(Reales!DZ81)),DZ$249*IF(DZ$8=1,N(vg_DInv),V_DInv)/DiasMes+(DZ$249+DZ$250+DZ$251+DZ$252)*V_DPT/DiasMes))</f>
        <v>1626937.98750554</v>
      </c>
      <c r="EA266" s="48" t="n">
        <f aca="false">IF(126&gt;Fin,DZ$266,IF(AND(EA$8=1,ISNUMBER(Reales!EA81)),IF(Reales!$C$81="PYG",IF(EA$10&gt;0,N(Reales!EA81)/EA$10,0),N(Reales!EA81)),EA$249*IF(EA$8=1,N(vg_DInv),V_DInv)/DiasMes+(EA$249+EA$250+EA$251+EA$252)*V_DPT/DiasMes))</f>
        <v>1626937.98750554</v>
      </c>
      <c r="EB266" s="48" t="n">
        <f aca="false">IF(127&gt;Fin,EA$266,IF(AND(EB$8=1,ISNUMBER(Reales!EB81)),IF(Reales!$C$81="PYG",IF(EB$10&gt;0,N(Reales!EB81)/EB$10,0),N(Reales!EB81)),EB$249*IF(EB$8=1,N(vg_DInv),V_DInv)/DiasMes+(EB$249+EB$250+EB$251+EB$252)*V_DPT/DiasMes))</f>
        <v>1626937.98750554</v>
      </c>
      <c r="EC266" s="48" t="n">
        <f aca="false">IF(128&gt;Fin,EB$266,IF(AND(EC$8=1,ISNUMBER(Reales!EC81)),IF(Reales!$C$81="PYG",IF(EC$10&gt;0,N(Reales!EC81)/EC$10,0),N(Reales!EC81)),EC$249*IF(EC$8=1,N(vg_DInv),V_DInv)/DiasMes+(EC$249+EC$250+EC$251+EC$252)*V_DPT/DiasMes))</f>
        <v>1626937.98750554</v>
      </c>
      <c r="ED266" s="48" t="n">
        <f aca="false">IF(129&gt;Fin,EC$266,IF(AND(ED$8=1,ISNUMBER(Reales!ED81)),IF(Reales!$C$81="PYG",IF(ED$10&gt;0,N(Reales!ED81)/ED$10,0),N(Reales!ED81)),ED$249*IF(ED$8=1,N(vg_DInv),V_DInv)/DiasMes+(ED$249+ED$250+ED$251+ED$252)*V_DPT/DiasMes))</f>
        <v>1626937.98750554</v>
      </c>
      <c r="EE266" s="48" t="n">
        <f aca="false">IF(130&gt;Fin,ED$266,IF(AND(EE$8=1,ISNUMBER(Reales!EE81)),IF(Reales!$C$81="PYG",IF(EE$10&gt;0,N(Reales!EE81)/EE$10,0),N(Reales!EE81)),EE$249*IF(EE$8=1,N(vg_DInv),V_DInv)/DiasMes+(EE$249+EE$250+EE$251+EE$252)*V_DPT/DiasMes))</f>
        <v>1626937.98750554</v>
      </c>
      <c r="EF266" s="48" t="n">
        <f aca="false">IF(131&gt;Fin,EE$266,IF(AND(EF$8=1,ISNUMBER(Reales!EF81)),IF(Reales!$C$81="PYG",IF(EF$10&gt;0,N(Reales!EF81)/EF$10,0),N(Reales!EF81)),EF$249*IF(EF$8=1,N(vg_DInv),V_DInv)/DiasMes+(EF$249+EF$250+EF$251+EF$252)*V_DPT/DiasMes))</f>
        <v>1626937.98750554</v>
      </c>
      <c r="EG266" s="48" t="n">
        <f aca="false">IF(132&gt;Fin,EF$266,IF(AND(EG$8=1,ISNUMBER(Reales!EG81)),IF(Reales!$C$81="PYG",IF(EG$10&gt;0,N(Reales!EG81)/EG$10,0),N(Reales!EG81)),EG$249*IF(EG$8=1,N(vg_DInv),V_DInv)/DiasMes+(EG$249+EG$250+EG$251+EG$252)*V_DPT/DiasMes))</f>
        <v>1626937.98750554</v>
      </c>
      <c r="EH266" s="48" t="n">
        <f aca="false">IF(133&gt;Fin,EG$266,IF(AND(EH$8=1,ISNUMBER(Reales!EH81)),IF(Reales!$C$81="PYG",IF(EH$10&gt;0,N(Reales!EH81)/EH$10,0),N(Reales!EH81)),EH$249*IF(EH$8=1,N(vg_DInv),V_DInv)/DiasMes+(EH$249+EH$250+EH$251+EH$252)*V_DPT/DiasMes))</f>
        <v>1626937.98750554</v>
      </c>
      <c r="EI266" s="48" t="n">
        <f aca="false">IF(134&gt;Fin,EH$266,IF(AND(EI$8=1,ISNUMBER(Reales!EI81)),IF(Reales!$C$81="PYG",IF(EI$10&gt;0,N(Reales!EI81)/EI$10,0),N(Reales!EI81)),EI$249*IF(EI$8=1,N(vg_DInv),V_DInv)/DiasMes+(EI$249+EI$250+EI$251+EI$252)*V_DPT/DiasMes))</f>
        <v>1626937.98750554</v>
      </c>
      <c r="EJ266" s="48" t="n">
        <f aca="false">IF(135&gt;Fin,EI$266,IF(AND(EJ$8=1,ISNUMBER(Reales!EJ81)),IF(Reales!$C$81="PYG",IF(EJ$10&gt;0,N(Reales!EJ81)/EJ$10,0),N(Reales!EJ81)),EJ$249*IF(EJ$8=1,N(vg_DInv),V_DInv)/DiasMes+(EJ$249+EJ$250+EJ$251+EJ$252)*V_DPT/DiasMes))</f>
        <v>1626937.98750554</v>
      </c>
      <c r="EK266" s="48" t="n">
        <f aca="false">IF(136&gt;Fin,EJ$266,IF(AND(EK$8=1,ISNUMBER(Reales!EK81)),IF(Reales!$C$81="PYG",IF(EK$10&gt;0,N(Reales!EK81)/EK$10,0),N(Reales!EK81)),EK$249*IF(EK$8=1,N(vg_DInv),V_DInv)/DiasMes+(EK$249+EK$250+EK$251+EK$252)*V_DPT/DiasMes))</f>
        <v>1626937.98750554</v>
      </c>
      <c r="EL266" s="48" t="n">
        <f aca="false">IF(137&gt;Fin,EK$266,IF(AND(EL$8=1,ISNUMBER(Reales!EL81)),IF(Reales!$C$81="PYG",IF(EL$10&gt;0,N(Reales!EL81)/EL$10,0),N(Reales!EL81)),EL$249*IF(EL$8=1,N(vg_DInv),V_DInv)/DiasMes+(EL$249+EL$250+EL$251+EL$252)*V_DPT/DiasMes))</f>
        <v>1626937.98750554</v>
      </c>
      <c r="EM266" s="48" t="n">
        <f aca="false">IF(138&gt;Fin,EL$266,IF(AND(EM$8=1,ISNUMBER(Reales!EM81)),IF(Reales!$C$81="PYG",IF(EM$10&gt;0,N(Reales!EM81)/EM$10,0),N(Reales!EM81)),EM$249*IF(EM$8=1,N(vg_DInv),V_DInv)/DiasMes+(EM$249+EM$250+EM$251+EM$252)*V_DPT/DiasMes))</f>
        <v>1626937.98750554</v>
      </c>
      <c r="EN266" s="48" t="n">
        <f aca="false">IF(139&gt;Fin,EM$266,IF(AND(EN$8=1,ISNUMBER(Reales!EN81)),IF(Reales!$C$81="PYG",IF(EN$10&gt;0,N(Reales!EN81)/EN$10,0),N(Reales!EN81)),EN$249*IF(EN$8=1,N(vg_DInv),V_DInv)/DiasMes+(EN$249+EN$250+EN$251+EN$252)*V_DPT/DiasMes))</f>
        <v>1626937.98750554</v>
      </c>
      <c r="EO266" s="48" t="n">
        <f aca="false">IF(140&gt;Fin,EN$266,IF(AND(EO$8=1,ISNUMBER(Reales!EO81)),IF(Reales!$C$81="PYG",IF(EO$10&gt;0,N(Reales!EO81)/EO$10,0),N(Reales!EO81)),EO$249*IF(EO$8=1,N(vg_DInv),V_DInv)/DiasMes+(EO$249+EO$250+EO$251+EO$252)*V_DPT/DiasMes))</f>
        <v>1626937.98750554</v>
      </c>
      <c r="EP266" s="48" t="n">
        <f aca="false">IF(141&gt;Fin,EO$266,IF(AND(EP$8=1,ISNUMBER(Reales!EP81)),IF(Reales!$C$81="PYG",IF(EP$10&gt;0,N(Reales!EP81)/EP$10,0),N(Reales!EP81)),EP$249*IF(EP$8=1,N(vg_DInv),V_DInv)/DiasMes+(EP$249+EP$250+EP$251+EP$252)*V_DPT/DiasMes))</f>
        <v>1626937.98750554</v>
      </c>
      <c r="EQ266" s="48" t="n">
        <f aca="false">IF(142&gt;Fin,EP$266,IF(AND(EQ$8=1,ISNUMBER(Reales!EQ81)),IF(Reales!$C$81="PYG",IF(EQ$10&gt;0,N(Reales!EQ81)/EQ$10,0),N(Reales!EQ81)),EQ$249*IF(EQ$8=1,N(vg_DInv),V_DInv)/DiasMes+(EQ$249+EQ$250+EQ$251+EQ$252)*V_DPT/DiasMes))</f>
        <v>1626937.98750554</v>
      </c>
      <c r="ER266" s="48" t="n">
        <f aca="false">IF(143&gt;Fin,EQ$266,IF(AND(ER$8=1,ISNUMBER(Reales!ER81)),IF(Reales!$C$81="PYG",IF(ER$10&gt;0,N(Reales!ER81)/ER$10,0),N(Reales!ER81)),ER$249*IF(ER$8=1,N(vg_DInv),V_DInv)/DiasMes+(ER$249+ER$250+ER$251+ER$252)*V_DPT/DiasMes))</f>
        <v>1626937.98750554</v>
      </c>
      <c r="ES266" s="48" t="n">
        <f aca="false">IF(144&gt;Fin,ER$266,IF(AND(ES$8=1,ISNUMBER(Reales!ES81)),IF(Reales!$C$81="PYG",IF(ES$10&gt;0,N(Reales!ES81)/ES$10,0),N(Reales!ES81)),ES$249*IF(ES$8=1,N(vg_DInv),V_DInv)/DiasMes+(ES$249+ES$250+ES$251+ES$252)*V_DPT/DiasMes))</f>
        <v>1626937.98750554</v>
      </c>
    </row>
    <row r="267" customFormat="false" ht="15" hidden="false" customHeight="false" outlineLevel="0" collapsed="false">
      <c r="A267" s="11" t="s">
        <v>1387</v>
      </c>
      <c r="B267" s="15" t="s">
        <v>1190</v>
      </c>
      <c r="C267" s="15" t="s">
        <v>508</v>
      </c>
      <c r="E267" s="54" t="n">
        <f aca="false">INDEX(F267:ES267,1,MIN(144,Fin))</f>
        <v>0</v>
      </c>
      <c r="F267" s="48" t="n">
        <f aca="false">IF(1&gt;Fin,0,IF(AND(F$8=1,ISNUMBER(Reales!F82)),IF(Reales!$C$82="PYG",IF(F$10&gt;0,N(Reales!F82)/F$10,0),N(Reales!F82)),F$257*V_IVAmeses))</f>
        <v>0</v>
      </c>
      <c r="G267" s="48" t="n">
        <f aca="false">IF(2&gt;Fin,F$267,IF(AND(G$8=1,ISNUMBER(Reales!G82)),IF(Reales!$C$82="PYG",IF(G$10&gt;0,N(Reales!G82)/G$10,0),N(Reales!G82)),G$257*V_IVAmeses))</f>
        <v>0</v>
      </c>
      <c r="H267" s="48" t="n">
        <f aca="false">IF(3&gt;Fin,G$267,IF(AND(H$8=1,ISNUMBER(Reales!H82)),IF(Reales!$C$82="PYG",IF(H$10&gt;0,N(Reales!H82)/H$10,0),N(Reales!H82)),H$257*V_IVAmeses))</f>
        <v>0</v>
      </c>
      <c r="I267" s="48" t="n">
        <f aca="false">IF(4&gt;Fin,H$267,IF(AND(I$8=1,ISNUMBER(Reales!I82)),IF(Reales!$C$82="PYG",IF(I$10&gt;0,N(Reales!I82)/I$10,0),N(Reales!I82)),I$257*V_IVAmeses))</f>
        <v>0</v>
      </c>
      <c r="J267" s="48" t="n">
        <f aca="false">IF(5&gt;Fin,I$267,IF(AND(J$8=1,ISNUMBER(Reales!J82)),IF(Reales!$C$82="PYG",IF(J$10&gt;0,N(Reales!J82)/J$10,0),N(Reales!J82)),J$257*V_IVAmeses))</f>
        <v>0</v>
      </c>
      <c r="K267" s="48" t="n">
        <f aca="false">IF(6&gt;Fin,J$267,IF(AND(K$8=1,ISNUMBER(Reales!K82)),IF(Reales!$C$82="PYG",IF(K$10&gt;0,N(Reales!K82)/K$10,0),N(Reales!K82)),K$257*V_IVAmeses))</f>
        <v>0</v>
      </c>
      <c r="L267" s="48" t="n">
        <f aca="false">IF(7&gt;Fin,K$267,IF(AND(L$8=1,ISNUMBER(Reales!L82)),IF(Reales!$C$82="PYG",IF(L$10&gt;0,N(Reales!L82)/L$10,0),N(Reales!L82)),L$257*V_IVAmeses))</f>
        <v>0</v>
      </c>
      <c r="M267" s="48" t="n">
        <f aca="false">IF(8&gt;Fin,L$267,IF(AND(M$8=1,ISNUMBER(Reales!M82)),IF(Reales!$C$82="PYG",IF(M$10&gt;0,N(Reales!M82)/M$10,0),N(Reales!M82)),M$257*V_IVAmeses))</f>
        <v>0</v>
      </c>
      <c r="N267" s="48" t="n">
        <f aca="false">IF(9&gt;Fin,M$267,IF(AND(N$8=1,ISNUMBER(Reales!N82)),IF(Reales!$C$82="PYG",IF(N$10&gt;0,N(Reales!N82)/N$10,0),N(Reales!N82)),N$257*V_IVAmeses))</f>
        <v>0</v>
      </c>
      <c r="O267" s="48" t="n">
        <f aca="false">IF(10&gt;Fin,N$267,IF(AND(O$8=1,ISNUMBER(Reales!O82)),IF(Reales!$C$82="PYG",IF(O$10&gt;0,N(Reales!O82)/O$10,0),N(Reales!O82)),O$257*V_IVAmeses))</f>
        <v>0</v>
      </c>
      <c r="P267" s="48" t="n">
        <f aca="false">IF(11&gt;Fin,O$267,IF(AND(P$8=1,ISNUMBER(Reales!P82)),IF(Reales!$C$82="PYG",IF(P$10&gt;0,N(Reales!P82)/P$10,0),N(Reales!P82)),P$257*V_IVAmeses))</f>
        <v>0</v>
      </c>
      <c r="Q267" s="48" t="n">
        <f aca="false">IF(12&gt;Fin,P$267,IF(AND(Q$8=1,ISNUMBER(Reales!Q82)),IF(Reales!$C$82="PYG",IF(Q$10&gt;0,N(Reales!Q82)/Q$10,0),N(Reales!Q82)),Q$257*V_IVAmeses))</f>
        <v>0</v>
      </c>
      <c r="R267" s="48" t="n">
        <f aca="false">IF(13&gt;Fin,Q$267,IF(AND(R$8=1,ISNUMBER(Reales!R82)),IF(Reales!$C$82="PYG",IF(R$10&gt;0,N(Reales!R82)/R$10,0),N(Reales!R82)),R$257*V_IVAmeses))</f>
        <v>0</v>
      </c>
      <c r="S267" s="48" t="n">
        <f aca="false">IF(14&gt;Fin,R$267,IF(AND(S$8=1,ISNUMBER(Reales!S82)),IF(Reales!$C$82="PYG",IF(S$10&gt;0,N(Reales!S82)/S$10,0),N(Reales!S82)),S$257*V_IVAmeses))</f>
        <v>0</v>
      </c>
      <c r="T267" s="48" t="n">
        <f aca="false">IF(15&gt;Fin,S$267,IF(AND(T$8=1,ISNUMBER(Reales!T82)),IF(Reales!$C$82="PYG",IF(T$10&gt;0,N(Reales!T82)/T$10,0),N(Reales!T82)),T$257*V_IVAmeses))</f>
        <v>0</v>
      </c>
      <c r="U267" s="48" t="n">
        <f aca="false">IF(16&gt;Fin,T$267,IF(AND(U$8=1,ISNUMBER(Reales!U82)),IF(Reales!$C$82="PYG",IF(U$10&gt;0,N(Reales!U82)/U$10,0),N(Reales!U82)),U$257*V_IVAmeses))</f>
        <v>0</v>
      </c>
      <c r="V267" s="48" t="n">
        <f aca="false">IF(17&gt;Fin,U$267,IF(AND(V$8=1,ISNUMBER(Reales!V82)),IF(Reales!$C$82="PYG",IF(V$10&gt;0,N(Reales!V82)/V$10,0),N(Reales!V82)),V$257*V_IVAmeses))</f>
        <v>0</v>
      </c>
      <c r="W267" s="48" t="n">
        <f aca="false">IF(18&gt;Fin,V$267,IF(AND(W$8=1,ISNUMBER(Reales!W82)),IF(Reales!$C$82="PYG",IF(W$10&gt;0,N(Reales!W82)/W$10,0),N(Reales!W82)),W$257*V_IVAmeses))</f>
        <v>0</v>
      </c>
      <c r="X267" s="48" t="n">
        <f aca="false">IF(19&gt;Fin,W$267,IF(AND(X$8=1,ISNUMBER(Reales!X82)),IF(Reales!$C$82="PYG",IF(X$10&gt;0,N(Reales!X82)/X$10,0),N(Reales!X82)),X$257*V_IVAmeses))</f>
        <v>0</v>
      </c>
      <c r="Y267" s="48" t="n">
        <f aca="false">IF(20&gt;Fin,X$267,IF(AND(Y$8=1,ISNUMBER(Reales!Y82)),IF(Reales!$C$82="PYG",IF(Y$10&gt;0,N(Reales!Y82)/Y$10,0),N(Reales!Y82)),Y$257*V_IVAmeses))</f>
        <v>0</v>
      </c>
      <c r="Z267" s="48" t="n">
        <f aca="false">IF(21&gt;Fin,Y$267,IF(AND(Z$8=1,ISNUMBER(Reales!Z82)),IF(Reales!$C$82="PYG",IF(Z$10&gt;0,N(Reales!Z82)/Z$10,0),N(Reales!Z82)),Z$257*V_IVAmeses))</f>
        <v>0</v>
      </c>
      <c r="AA267" s="48" t="n">
        <f aca="false">IF(22&gt;Fin,Z$267,IF(AND(AA$8=1,ISNUMBER(Reales!AA82)),IF(Reales!$C$82="PYG",IF(AA$10&gt;0,N(Reales!AA82)/AA$10,0),N(Reales!AA82)),AA$257*V_IVAmeses))</f>
        <v>0</v>
      </c>
      <c r="AB267" s="48" t="n">
        <f aca="false">IF(23&gt;Fin,AA$267,IF(AND(AB$8=1,ISNUMBER(Reales!AB82)),IF(Reales!$C$82="PYG",IF(AB$10&gt;0,N(Reales!AB82)/AB$10,0),N(Reales!AB82)),AB$257*V_IVAmeses))</f>
        <v>0</v>
      </c>
      <c r="AC267" s="48" t="n">
        <f aca="false">IF(24&gt;Fin,AB$267,IF(AND(AC$8=1,ISNUMBER(Reales!AC82)),IF(Reales!$C$82="PYG",IF(AC$10&gt;0,N(Reales!AC82)/AC$10,0),N(Reales!AC82)),AC$257*V_IVAmeses))</f>
        <v>0</v>
      </c>
      <c r="AD267" s="48" t="n">
        <f aca="false">IF(25&gt;Fin,AC$267,IF(AND(AD$8=1,ISNUMBER(Reales!AD82)),IF(Reales!$C$82="PYG",IF(AD$10&gt;0,N(Reales!AD82)/AD$10,0),N(Reales!AD82)),AD$257*V_IVAmeses))</f>
        <v>0</v>
      </c>
      <c r="AE267" s="48" t="n">
        <f aca="false">IF(26&gt;Fin,AD$267,IF(AND(AE$8=1,ISNUMBER(Reales!AE82)),IF(Reales!$C$82="PYG",IF(AE$10&gt;0,N(Reales!AE82)/AE$10,0),N(Reales!AE82)),AE$257*V_IVAmeses))</f>
        <v>0</v>
      </c>
      <c r="AF267" s="48" t="n">
        <f aca="false">IF(27&gt;Fin,AE$267,IF(AND(AF$8=1,ISNUMBER(Reales!AF82)),IF(Reales!$C$82="PYG",IF(AF$10&gt;0,N(Reales!AF82)/AF$10,0),N(Reales!AF82)),AF$257*V_IVAmeses))</f>
        <v>0</v>
      </c>
      <c r="AG267" s="48" t="n">
        <f aca="false">IF(28&gt;Fin,AF$267,IF(AND(AG$8=1,ISNUMBER(Reales!AG82)),IF(Reales!$C$82="PYG",IF(AG$10&gt;0,N(Reales!AG82)/AG$10,0),N(Reales!AG82)),AG$257*V_IVAmeses))</f>
        <v>0</v>
      </c>
      <c r="AH267" s="48" t="n">
        <f aca="false">IF(29&gt;Fin,AG$267,IF(AND(AH$8=1,ISNUMBER(Reales!AH82)),IF(Reales!$C$82="PYG",IF(AH$10&gt;0,N(Reales!AH82)/AH$10,0),N(Reales!AH82)),AH$257*V_IVAmeses))</f>
        <v>0</v>
      </c>
      <c r="AI267" s="48" t="n">
        <f aca="false">IF(30&gt;Fin,AH$267,IF(AND(AI$8=1,ISNUMBER(Reales!AI82)),IF(Reales!$C$82="PYG",IF(AI$10&gt;0,N(Reales!AI82)/AI$10,0),N(Reales!AI82)),AI$257*V_IVAmeses))</f>
        <v>0</v>
      </c>
      <c r="AJ267" s="48" t="n">
        <f aca="false">IF(31&gt;Fin,AI$267,IF(AND(AJ$8=1,ISNUMBER(Reales!AJ82)),IF(Reales!$C$82="PYG",IF(AJ$10&gt;0,N(Reales!AJ82)/AJ$10,0),N(Reales!AJ82)),AJ$257*V_IVAmeses))</f>
        <v>0</v>
      </c>
      <c r="AK267" s="48" t="n">
        <f aca="false">IF(32&gt;Fin,AJ$267,IF(AND(AK$8=1,ISNUMBER(Reales!AK82)),IF(Reales!$C$82="PYG",IF(AK$10&gt;0,N(Reales!AK82)/AK$10,0),N(Reales!AK82)),AK$257*V_IVAmeses))</f>
        <v>0</v>
      </c>
      <c r="AL267" s="48" t="n">
        <f aca="false">IF(33&gt;Fin,AK$267,IF(AND(AL$8=1,ISNUMBER(Reales!AL82)),IF(Reales!$C$82="PYG",IF(AL$10&gt;0,N(Reales!AL82)/AL$10,0),N(Reales!AL82)),AL$257*V_IVAmeses))</f>
        <v>0</v>
      </c>
      <c r="AM267" s="48" t="n">
        <f aca="false">IF(34&gt;Fin,AL$267,IF(AND(AM$8=1,ISNUMBER(Reales!AM82)),IF(Reales!$C$82="PYG",IF(AM$10&gt;0,N(Reales!AM82)/AM$10,0),N(Reales!AM82)),AM$257*V_IVAmeses))</f>
        <v>0</v>
      </c>
      <c r="AN267" s="48" t="n">
        <f aca="false">IF(35&gt;Fin,AM$267,IF(AND(AN$8=1,ISNUMBER(Reales!AN82)),IF(Reales!$C$82="PYG",IF(AN$10&gt;0,N(Reales!AN82)/AN$10,0),N(Reales!AN82)),AN$257*V_IVAmeses))</f>
        <v>0</v>
      </c>
      <c r="AO267" s="48" t="n">
        <f aca="false">IF(36&gt;Fin,AN$267,IF(AND(AO$8=1,ISNUMBER(Reales!AO82)),IF(Reales!$C$82="PYG",IF(AO$10&gt;0,N(Reales!AO82)/AO$10,0),N(Reales!AO82)),AO$257*V_IVAmeses))</f>
        <v>0</v>
      </c>
      <c r="AP267" s="48" t="n">
        <f aca="false">IF(37&gt;Fin,AO$267,IF(AND(AP$8=1,ISNUMBER(Reales!AP82)),IF(Reales!$C$82="PYG",IF(AP$10&gt;0,N(Reales!AP82)/AP$10,0),N(Reales!AP82)),AP$257*V_IVAmeses))</f>
        <v>0</v>
      </c>
      <c r="AQ267" s="48" t="n">
        <f aca="false">IF(38&gt;Fin,AP$267,IF(AND(AQ$8=1,ISNUMBER(Reales!AQ82)),IF(Reales!$C$82="PYG",IF(AQ$10&gt;0,N(Reales!AQ82)/AQ$10,0),N(Reales!AQ82)),AQ$257*V_IVAmeses))</f>
        <v>0</v>
      </c>
      <c r="AR267" s="48" t="n">
        <f aca="false">IF(39&gt;Fin,AQ$267,IF(AND(AR$8=1,ISNUMBER(Reales!AR82)),IF(Reales!$C$82="PYG",IF(AR$10&gt;0,N(Reales!AR82)/AR$10,0),N(Reales!AR82)),AR$257*V_IVAmeses))</f>
        <v>0</v>
      </c>
      <c r="AS267" s="48" t="n">
        <f aca="false">IF(40&gt;Fin,AR$267,IF(AND(AS$8=1,ISNUMBER(Reales!AS82)),IF(Reales!$C$82="PYG",IF(AS$10&gt;0,N(Reales!AS82)/AS$10,0),N(Reales!AS82)),AS$257*V_IVAmeses))</f>
        <v>0</v>
      </c>
      <c r="AT267" s="48" t="n">
        <f aca="false">IF(41&gt;Fin,AS$267,IF(AND(AT$8=1,ISNUMBER(Reales!AT82)),IF(Reales!$C$82="PYG",IF(AT$10&gt;0,N(Reales!AT82)/AT$10,0),N(Reales!AT82)),AT$257*V_IVAmeses))</f>
        <v>0</v>
      </c>
      <c r="AU267" s="48" t="n">
        <f aca="false">IF(42&gt;Fin,AT$267,IF(AND(AU$8=1,ISNUMBER(Reales!AU82)),IF(Reales!$C$82="PYG",IF(AU$10&gt;0,N(Reales!AU82)/AU$10,0),N(Reales!AU82)),AU$257*V_IVAmeses))</f>
        <v>0</v>
      </c>
      <c r="AV267" s="48" t="n">
        <f aca="false">IF(43&gt;Fin,AU$267,IF(AND(AV$8=1,ISNUMBER(Reales!AV82)),IF(Reales!$C$82="PYG",IF(AV$10&gt;0,N(Reales!AV82)/AV$10,0),N(Reales!AV82)),AV$257*V_IVAmeses))</f>
        <v>0</v>
      </c>
      <c r="AW267" s="48" t="n">
        <f aca="false">IF(44&gt;Fin,AV$267,IF(AND(AW$8=1,ISNUMBER(Reales!AW82)),IF(Reales!$C$82="PYG",IF(AW$10&gt;0,N(Reales!AW82)/AW$10,0),N(Reales!AW82)),AW$257*V_IVAmeses))</f>
        <v>0</v>
      </c>
      <c r="AX267" s="48" t="n">
        <f aca="false">IF(45&gt;Fin,AW$267,IF(AND(AX$8=1,ISNUMBER(Reales!AX82)),IF(Reales!$C$82="PYG",IF(AX$10&gt;0,N(Reales!AX82)/AX$10,0),N(Reales!AX82)),AX$257*V_IVAmeses))</f>
        <v>0</v>
      </c>
      <c r="AY267" s="48" t="n">
        <f aca="false">IF(46&gt;Fin,AX$267,IF(AND(AY$8=1,ISNUMBER(Reales!AY82)),IF(Reales!$C$82="PYG",IF(AY$10&gt;0,N(Reales!AY82)/AY$10,0),N(Reales!AY82)),AY$257*V_IVAmeses))</f>
        <v>0</v>
      </c>
      <c r="AZ267" s="48" t="n">
        <f aca="false">IF(47&gt;Fin,AY$267,IF(AND(AZ$8=1,ISNUMBER(Reales!AZ82)),IF(Reales!$C$82="PYG",IF(AZ$10&gt;0,N(Reales!AZ82)/AZ$10,0),N(Reales!AZ82)),AZ$257*V_IVAmeses))</f>
        <v>0</v>
      </c>
      <c r="BA267" s="48" t="n">
        <f aca="false">IF(48&gt;Fin,AZ$267,IF(AND(BA$8=1,ISNUMBER(Reales!BA82)),IF(Reales!$C$82="PYG",IF(BA$10&gt;0,N(Reales!BA82)/BA$10,0),N(Reales!BA82)),BA$257*V_IVAmeses))</f>
        <v>0</v>
      </c>
      <c r="BB267" s="48" t="n">
        <f aca="false">IF(49&gt;Fin,BA$267,IF(AND(BB$8=1,ISNUMBER(Reales!BB82)),IF(Reales!$C$82="PYG",IF(BB$10&gt;0,N(Reales!BB82)/BB$10,0),N(Reales!BB82)),BB$257*V_IVAmeses))</f>
        <v>0</v>
      </c>
      <c r="BC267" s="48" t="n">
        <f aca="false">IF(50&gt;Fin,BB$267,IF(AND(BC$8=1,ISNUMBER(Reales!BC82)),IF(Reales!$C$82="PYG",IF(BC$10&gt;0,N(Reales!BC82)/BC$10,0),N(Reales!BC82)),BC$257*V_IVAmeses))</f>
        <v>0</v>
      </c>
      <c r="BD267" s="48" t="n">
        <f aca="false">IF(51&gt;Fin,BC$267,IF(AND(BD$8=1,ISNUMBER(Reales!BD82)),IF(Reales!$C$82="PYG",IF(BD$10&gt;0,N(Reales!BD82)/BD$10,0),N(Reales!BD82)),BD$257*V_IVAmeses))</f>
        <v>0</v>
      </c>
      <c r="BE267" s="48" t="n">
        <f aca="false">IF(52&gt;Fin,BD$267,IF(AND(BE$8=1,ISNUMBER(Reales!BE82)),IF(Reales!$C$82="PYG",IF(BE$10&gt;0,N(Reales!BE82)/BE$10,0),N(Reales!BE82)),BE$257*V_IVAmeses))</f>
        <v>0</v>
      </c>
      <c r="BF267" s="48" t="n">
        <f aca="false">IF(53&gt;Fin,BE$267,IF(AND(BF$8=1,ISNUMBER(Reales!BF82)),IF(Reales!$C$82="PYG",IF(BF$10&gt;0,N(Reales!BF82)/BF$10,0),N(Reales!BF82)),BF$257*V_IVAmeses))</f>
        <v>0</v>
      </c>
      <c r="BG267" s="48" t="n">
        <f aca="false">IF(54&gt;Fin,BF$267,IF(AND(BG$8=1,ISNUMBER(Reales!BG82)),IF(Reales!$C$82="PYG",IF(BG$10&gt;0,N(Reales!BG82)/BG$10,0),N(Reales!BG82)),BG$257*V_IVAmeses))</f>
        <v>0</v>
      </c>
      <c r="BH267" s="48" t="n">
        <f aca="false">IF(55&gt;Fin,BG$267,IF(AND(BH$8=1,ISNUMBER(Reales!BH82)),IF(Reales!$C$82="PYG",IF(BH$10&gt;0,N(Reales!BH82)/BH$10,0),N(Reales!BH82)),BH$257*V_IVAmeses))</f>
        <v>0</v>
      </c>
      <c r="BI267" s="48" t="n">
        <f aca="false">IF(56&gt;Fin,BH$267,IF(AND(BI$8=1,ISNUMBER(Reales!BI82)),IF(Reales!$C$82="PYG",IF(BI$10&gt;0,N(Reales!BI82)/BI$10,0),N(Reales!BI82)),BI$257*V_IVAmeses))</f>
        <v>0</v>
      </c>
      <c r="BJ267" s="48" t="n">
        <f aca="false">IF(57&gt;Fin,BI$267,IF(AND(BJ$8=1,ISNUMBER(Reales!BJ82)),IF(Reales!$C$82="PYG",IF(BJ$10&gt;0,N(Reales!BJ82)/BJ$10,0),N(Reales!BJ82)),BJ$257*V_IVAmeses))</f>
        <v>0</v>
      </c>
      <c r="BK267" s="48" t="n">
        <f aca="false">IF(58&gt;Fin,BJ$267,IF(AND(BK$8=1,ISNUMBER(Reales!BK82)),IF(Reales!$C$82="PYG",IF(BK$10&gt;0,N(Reales!BK82)/BK$10,0),N(Reales!BK82)),BK$257*V_IVAmeses))</f>
        <v>0</v>
      </c>
      <c r="BL267" s="48" t="n">
        <f aca="false">IF(59&gt;Fin,BK$267,IF(AND(BL$8=1,ISNUMBER(Reales!BL82)),IF(Reales!$C$82="PYG",IF(BL$10&gt;0,N(Reales!BL82)/BL$10,0),N(Reales!BL82)),BL$257*V_IVAmeses))</f>
        <v>0</v>
      </c>
      <c r="BM267" s="48" t="n">
        <f aca="false">IF(60&gt;Fin,BL$267,IF(AND(BM$8=1,ISNUMBER(Reales!BM82)),IF(Reales!$C$82="PYG",IF(BM$10&gt;0,N(Reales!BM82)/BM$10,0),N(Reales!BM82)),BM$257*V_IVAmeses))</f>
        <v>0</v>
      </c>
      <c r="BN267" s="48" t="n">
        <f aca="false">IF(61&gt;Fin,BM$267,IF(AND(BN$8=1,ISNUMBER(Reales!BN82)),IF(Reales!$C$82="PYG",IF(BN$10&gt;0,N(Reales!BN82)/BN$10,0),N(Reales!BN82)),BN$257*V_IVAmeses))</f>
        <v>0</v>
      </c>
      <c r="BO267" s="48" t="n">
        <f aca="false">IF(62&gt;Fin,BN$267,IF(AND(BO$8=1,ISNUMBER(Reales!BO82)),IF(Reales!$C$82="PYG",IF(BO$10&gt;0,N(Reales!BO82)/BO$10,0),N(Reales!BO82)),BO$257*V_IVAmeses))</f>
        <v>0</v>
      </c>
      <c r="BP267" s="48" t="n">
        <f aca="false">IF(63&gt;Fin,BO$267,IF(AND(BP$8=1,ISNUMBER(Reales!BP82)),IF(Reales!$C$82="PYG",IF(BP$10&gt;0,N(Reales!BP82)/BP$10,0),N(Reales!BP82)),BP$257*V_IVAmeses))</f>
        <v>0</v>
      </c>
      <c r="BQ267" s="48" t="n">
        <f aca="false">IF(64&gt;Fin,BP$267,IF(AND(BQ$8=1,ISNUMBER(Reales!BQ82)),IF(Reales!$C$82="PYG",IF(BQ$10&gt;0,N(Reales!BQ82)/BQ$10,0),N(Reales!BQ82)),BQ$257*V_IVAmeses))</f>
        <v>0</v>
      </c>
      <c r="BR267" s="48" t="n">
        <f aca="false">IF(65&gt;Fin,BQ$267,IF(AND(BR$8=1,ISNUMBER(Reales!BR82)),IF(Reales!$C$82="PYG",IF(BR$10&gt;0,N(Reales!BR82)/BR$10,0),N(Reales!BR82)),BR$257*V_IVAmeses))</f>
        <v>0</v>
      </c>
      <c r="BS267" s="48" t="n">
        <f aca="false">IF(66&gt;Fin,BR$267,IF(AND(BS$8=1,ISNUMBER(Reales!BS82)),IF(Reales!$C$82="PYG",IF(BS$10&gt;0,N(Reales!BS82)/BS$10,0),N(Reales!BS82)),BS$257*V_IVAmeses))</f>
        <v>0</v>
      </c>
      <c r="BT267" s="48" t="n">
        <f aca="false">IF(67&gt;Fin,BS$267,IF(AND(BT$8=1,ISNUMBER(Reales!BT82)),IF(Reales!$C$82="PYG",IF(BT$10&gt;0,N(Reales!BT82)/BT$10,0),N(Reales!BT82)),BT$257*V_IVAmeses))</f>
        <v>0</v>
      </c>
      <c r="BU267" s="48" t="n">
        <f aca="false">IF(68&gt;Fin,BT$267,IF(AND(BU$8=1,ISNUMBER(Reales!BU82)),IF(Reales!$C$82="PYG",IF(BU$10&gt;0,N(Reales!BU82)/BU$10,0),N(Reales!BU82)),BU$257*V_IVAmeses))</f>
        <v>0</v>
      </c>
      <c r="BV267" s="48" t="n">
        <f aca="false">IF(69&gt;Fin,BU$267,IF(AND(BV$8=1,ISNUMBER(Reales!BV82)),IF(Reales!$C$82="PYG",IF(BV$10&gt;0,N(Reales!BV82)/BV$10,0),N(Reales!BV82)),BV$257*V_IVAmeses))</f>
        <v>0</v>
      </c>
      <c r="BW267" s="48" t="n">
        <f aca="false">IF(70&gt;Fin,BV$267,IF(AND(BW$8=1,ISNUMBER(Reales!BW82)),IF(Reales!$C$82="PYG",IF(BW$10&gt;0,N(Reales!BW82)/BW$10,0),N(Reales!BW82)),BW$257*V_IVAmeses))</f>
        <v>0</v>
      </c>
      <c r="BX267" s="48" t="n">
        <f aca="false">IF(71&gt;Fin,BW$267,IF(AND(BX$8=1,ISNUMBER(Reales!BX82)),IF(Reales!$C$82="PYG",IF(BX$10&gt;0,N(Reales!BX82)/BX$10,0),N(Reales!BX82)),BX$257*V_IVAmeses))</f>
        <v>0</v>
      </c>
      <c r="BY267" s="48" t="n">
        <f aca="false">IF(72&gt;Fin,BX$267,IF(AND(BY$8=1,ISNUMBER(Reales!BY82)),IF(Reales!$C$82="PYG",IF(BY$10&gt;0,N(Reales!BY82)/BY$10,0),N(Reales!BY82)),BY$257*V_IVAmeses))</f>
        <v>0</v>
      </c>
      <c r="BZ267" s="48" t="n">
        <f aca="false">IF(73&gt;Fin,BY$267,IF(AND(BZ$8=1,ISNUMBER(Reales!BZ82)),IF(Reales!$C$82="PYG",IF(BZ$10&gt;0,N(Reales!BZ82)/BZ$10,0),N(Reales!BZ82)),BZ$257*V_IVAmeses))</f>
        <v>0</v>
      </c>
      <c r="CA267" s="48" t="n">
        <f aca="false">IF(74&gt;Fin,BZ$267,IF(AND(CA$8=1,ISNUMBER(Reales!CA82)),IF(Reales!$C$82="PYG",IF(CA$10&gt;0,N(Reales!CA82)/CA$10,0),N(Reales!CA82)),CA$257*V_IVAmeses))</f>
        <v>0</v>
      </c>
      <c r="CB267" s="48" t="n">
        <f aca="false">IF(75&gt;Fin,CA$267,IF(AND(CB$8=1,ISNUMBER(Reales!CB82)),IF(Reales!$C$82="PYG",IF(CB$10&gt;0,N(Reales!CB82)/CB$10,0),N(Reales!CB82)),CB$257*V_IVAmeses))</f>
        <v>0</v>
      </c>
      <c r="CC267" s="48" t="n">
        <f aca="false">IF(76&gt;Fin,CB$267,IF(AND(CC$8=1,ISNUMBER(Reales!CC82)),IF(Reales!$C$82="PYG",IF(CC$10&gt;0,N(Reales!CC82)/CC$10,0),N(Reales!CC82)),CC$257*V_IVAmeses))</f>
        <v>0</v>
      </c>
      <c r="CD267" s="48" t="n">
        <f aca="false">IF(77&gt;Fin,CC$267,IF(AND(CD$8=1,ISNUMBER(Reales!CD82)),IF(Reales!$C$82="PYG",IF(CD$10&gt;0,N(Reales!CD82)/CD$10,0),N(Reales!CD82)),CD$257*V_IVAmeses))</f>
        <v>0</v>
      </c>
      <c r="CE267" s="48" t="n">
        <f aca="false">IF(78&gt;Fin,CD$267,IF(AND(CE$8=1,ISNUMBER(Reales!CE82)),IF(Reales!$C$82="PYG",IF(CE$10&gt;0,N(Reales!CE82)/CE$10,0),N(Reales!CE82)),CE$257*V_IVAmeses))</f>
        <v>0</v>
      </c>
      <c r="CF267" s="48" t="n">
        <f aca="false">IF(79&gt;Fin,CE$267,IF(AND(CF$8=1,ISNUMBER(Reales!CF82)),IF(Reales!$C$82="PYG",IF(CF$10&gt;0,N(Reales!CF82)/CF$10,0),N(Reales!CF82)),CF$257*V_IVAmeses))</f>
        <v>0</v>
      </c>
      <c r="CG267" s="48" t="n">
        <f aca="false">IF(80&gt;Fin,CF$267,IF(AND(CG$8=1,ISNUMBER(Reales!CG82)),IF(Reales!$C$82="PYG",IF(CG$10&gt;0,N(Reales!CG82)/CG$10,0),N(Reales!CG82)),CG$257*V_IVAmeses))</f>
        <v>0</v>
      </c>
      <c r="CH267" s="48" t="n">
        <f aca="false">IF(81&gt;Fin,CG$267,IF(AND(CH$8=1,ISNUMBER(Reales!CH82)),IF(Reales!$C$82="PYG",IF(CH$10&gt;0,N(Reales!CH82)/CH$10,0),N(Reales!CH82)),CH$257*V_IVAmeses))</f>
        <v>0</v>
      </c>
      <c r="CI267" s="48" t="n">
        <f aca="false">IF(82&gt;Fin,CH$267,IF(AND(CI$8=1,ISNUMBER(Reales!CI82)),IF(Reales!$C$82="PYG",IF(CI$10&gt;0,N(Reales!CI82)/CI$10,0),N(Reales!CI82)),CI$257*V_IVAmeses))</f>
        <v>0</v>
      </c>
      <c r="CJ267" s="48" t="n">
        <f aca="false">IF(83&gt;Fin,CI$267,IF(AND(CJ$8=1,ISNUMBER(Reales!CJ82)),IF(Reales!$C$82="PYG",IF(CJ$10&gt;0,N(Reales!CJ82)/CJ$10,0),N(Reales!CJ82)),CJ$257*V_IVAmeses))</f>
        <v>0</v>
      </c>
      <c r="CK267" s="48" t="n">
        <f aca="false">IF(84&gt;Fin,CJ$267,IF(AND(CK$8=1,ISNUMBER(Reales!CK82)),IF(Reales!$C$82="PYG",IF(CK$10&gt;0,N(Reales!CK82)/CK$10,0),N(Reales!CK82)),CK$257*V_IVAmeses))</f>
        <v>0</v>
      </c>
      <c r="CL267" s="48" t="n">
        <f aca="false">IF(85&gt;Fin,CK$267,IF(AND(CL$8=1,ISNUMBER(Reales!CL82)),IF(Reales!$C$82="PYG",IF(CL$10&gt;0,N(Reales!CL82)/CL$10,0),N(Reales!CL82)),CL$257*V_IVAmeses))</f>
        <v>0</v>
      </c>
      <c r="CM267" s="48" t="n">
        <f aca="false">IF(86&gt;Fin,CL$267,IF(AND(CM$8=1,ISNUMBER(Reales!CM82)),IF(Reales!$C$82="PYG",IF(CM$10&gt;0,N(Reales!CM82)/CM$10,0),N(Reales!CM82)),CM$257*V_IVAmeses))</f>
        <v>0</v>
      </c>
      <c r="CN267" s="48" t="n">
        <f aca="false">IF(87&gt;Fin,CM$267,IF(AND(CN$8=1,ISNUMBER(Reales!CN82)),IF(Reales!$C$82="PYG",IF(CN$10&gt;0,N(Reales!CN82)/CN$10,0),N(Reales!CN82)),CN$257*V_IVAmeses))</f>
        <v>0</v>
      </c>
      <c r="CO267" s="48" t="n">
        <f aca="false">IF(88&gt;Fin,CN$267,IF(AND(CO$8=1,ISNUMBER(Reales!CO82)),IF(Reales!$C$82="PYG",IF(CO$10&gt;0,N(Reales!CO82)/CO$10,0),N(Reales!CO82)),CO$257*V_IVAmeses))</f>
        <v>0</v>
      </c>
      <c r="CP267" s="48" t="n">
        <f aca="false">IF(89&gt;Fin,CO$267,IF(AND(CP$8=1,ISNUMBER(Reales!CP82)),IF(Reales!$C$82="PYG",IF(CP$10&gt;0,N(Reales!CP82)/CP$10,0),N(Reales!CP82)),CP$257*V_IVAmeses))</f>
        <v>0</v>
      </c>
      <c r="CQ267" s="48" t="n">
        <f aca="false">IF(90&gt;Fin,CP$267,IF(AND(CQ$8=1,ISNUMBER(Reales!CQ82)),IF(Reales!$C$82="PYG",IF(CQ$10&gt;0,N(Reales!CQ82)/CQ$10,0),N(Reales!CQ82)),CQ$257*V_IVAmeses))</f>
        <v>0</v>
      </c>
      <c r="CR267" s="48" t="n">
        <f aca="false">IF(91&gt;Fin,CQ$267,IF(AND(CR$8=1,ISNUMBER(Reales!CR82)),IF(Reales!$C$82="PYG",IF(CR$10&gt;0,N(Reales!CR82)/CR$10,0),N(Reales!CR82)),CR$257*V_IVAmeses))</f>
        <v>0</v>
      </c>
      <c r="CS267" s="48" t="n">
        <f aca="false">IF(92&gt;Fin,CR$267,IF(AND(CS$8=1,ISNUMBER(Reales!CS82)),IF(Reales!$C$82="PYG",IF(CS$10&gt;0,N(Reales!CS82)/CS$10,0),N(Reales!CS82)),CS$257*V_IVAmeses))</f>
        <v>0</v>
      </c>
      <c r="CT267" s="48" t="n">
        <f aca="false">IF(93&gt;Fin,CS$267,IF(AND(CT$8=1,ISNUMBER(Reales!CT82)),IF(Reales!$C$82="PYG",IF(CT$10&gt;0,N(Reales!CT82)/CT$10,0),N(Reales!CT82)),CT$257*V_IVAmeses))</f>
        <v>0</v>
      </c>
      <c r="CU267" s="48" t="n">
        <f aca="false">IF(94&gt;Fin,CT$267,IF(AND(CU$8=1,ISNUMBER(Reales!CU82)),IF(Reales!$C$82="PYG",IF(CU$10&gt;0,N(Reales!CU82)/CU$10,0),N(Reales!CU82)),CU$257*V_IVAmeses))</f>
        <v>0</v>
      </c>
      <c r="CV267" s="48" t="n">
        <f aca="false">IF(95&gt;Fin,CU$267,IF(AND(CV$8=1,ISNUMBER(Reales!CV82)),IF(Reales!$C$82="PYG",IF(CV$10&gt;0,N(Reales!CV82)/CV$10,0),N(Reales!CV82)),CV$257*V_IVAmeses))</f>
        <v>0</v>
      </c>
      <c r="CW267" s="48" t="n">
        <f aca="false">IF(96&gt;Fin,CV$267,IF(AND(CW$8=1,ISNUMBER(Reales!CW82)),IF(Reales!$C$82="PYG",IF(CW$10&gt;0,N(Reales!CW82)/CW$10,0),N(Reales!CW82)),CW$257*V_IVAmeses))</f>
        <v>0</v>
      </c>
      <c r="CX267" s="48" t="n">
        <f aca="false">IF(97&gt;Fin,CW$267,IF(AND(CX$8=1,ISNUMBER(Reales!CX82)),IF(Reales!$C$82="PYG",IF(CX$10&gt;0,N(Reales!CX82)/CX$10,0),N(Reales!CX82)),CX$257*V_IVAmeses))</f>
        <v>0</v>
      </c>
      <c r="CY267" s="48" t="n">
        <f aca="false">IF(98&gt;Fin,CX$267,IF(AND(CY$8=1,ISNUMBER(Reales!CY82)),IF(Reales!$C$82="PYG",IF(CY$10&gt;0,N(Reales!CY82)/CY$10,0),N(Reales!CY82)),CY$257*V_IVAmeses))</f>
        <v>0</v>
      </c>
      <c r="CZ267" s="48" t="n">
        <f aca="false">IF(99&gt;Fin,CY$267,IF(AND(CZ$8=1,ISNUMBER(Reales!CZ82)),IF(Reales!$C$82="PYG",IF(CZ$10&gt;0,N(Reales!CZ82)/CZ$10,0),N(Reales!CZ82)),CZ$257*V_IVAmeses))</f>
        <v>0</v>
      </c>
      <c r="DA267" s="48" t="n">
        <f aca="false">IF(100&gt;Fin,CZ$267,IF(AND(DA$8=1,ISNUMBER(Reales!DA82)),IF(Reales!$C$82="PYG",IF(DA$10&gt;0,N(Reales!DA82)/DA$10,0),N(Reales!DA82)),DA$257*V_IVAmeses))</f>
        <v>0</v>
      </c>
      <c r="DB267" s="48" t="n">
        <f aca="false">IF(101&gt;Fin,DA$267,IF(AND(DB$8=1,ISNUMBER(Reales!DB82)),IF(Reales!$C$82="PYG",IF(DB$10&gt;0,N(Reales!DB82)/DB$10,0),N(Reales!DB82)),DB$257*V_IVAmeses))</f>
        <v>0</v>
      </c>
      <c r="DC267" s="48" t="n">
        <f aca="false">IF(102&gt;Fin,DB$267,IF(AND(DC$8=1,ISNUMBER(Reales!DC82)),IF(Reales!$C$82="PYG",IF(DC$10&gt;0,N(Reales!DC82)/DC$10,0),N(Reales!DC82)),DC$257*V_IVAmeses))</f>
        <v>0</v>
      </c>
      <c r="DD267" s="48" t="n">
        <f aca="false">IF(103&gt;Fin,DC$267,IF(AND(DD$8=1,ISNUMBER(Reales!DD82)),IF(Reales!$C$82="PYG",IF(DD$10&gt;0,N(Reales!DD82)/DD$10,0),N(Reales!DD82)),DD$257*V_IVAmeses))</f>
        <v>0</v>
      </c>
      <c r="DE267" s="48" t="n">
        <f aca="false">IF(104&gt;Fin,DD$267,IF(AND(DE$8=1,ISNUMBER(Reales!DE82)),IF(Reales!$C$82="PYG",IF(DE$10&gt;0,N(Reales!DE82)/DE$10,0),N(Reales!DE82)),DE$257*V_IVAmeses))</f>
        <v>0</v>
      </c>
      <c r="DF267" s="48" t="n">
        <f aca="false">IF(105&gt;Fin,DE$267,IF(AND(DF$8=1,ISNUMBER(Reales!DF82)),IF(Reales!$C$82="PYG",IF(DF$10&gt;0,N(Reales!DF82)/DF$10,0),N(Reales!DF82)),DF$257*V_IVAmeses))</f>
        <v>0</v>
      </c>
      <c r="DG267" s="48" t="n">
        <f aca="false">IF(106&gt;Fin,DF$267,IF(AND(DG$8=1,ISNUMBER(Reales!DG82)),IF(Reales!$C$82="PYG",IF(DG$10&gt;0,N(Reales!DG82)/DG$10,0),N(Reales!DG82)),DG$257*V_IVAmeses))</f>
        <v>0</v>
      </c>
      <c r="DH267" s="48" t="n">
        <f aca="false">IF(107&gt;Fin,DG$267,IF(AND(DH$8=1,ISNUMBER(Reales!DH82)),IF(Reales!$C$82="PYG",IF(DH$10&gt;0,N(Reales!DH82)/DH$10,0),N(Reales!DH82)),DH$257*V_IVAmeses))</f>
        <v>0</v>
      </c>
      <c r="DI267" s="48" t="n">
        <f aca="false">IF(108&gt;Fin,DH$267,IF(AND(DI$8=1,ISNUMBER(Reales!DI82)),IF(Reales!$C$82="PYG",IF(DI$10&gt;0,N(Reales!DI82)/DI$10,0),N(Reales!DI82)),DI$257*V_IVAmeses))</f>
        <v>0</v>
      </c>
      <c r="DJ267" s="48" t="n">
        <f aca="false">IF(109&gt;Fin,DI$267,IF(AND(DJ$8=1,ISNUMBER(Reales!DJ82)),IF(Reales!$C$82="PYG",IF(DJ$10&gt;0,N(Reales!DJ82)/DJ$10,0),N(Reales!DJ82)),DJ$257*V_IVAmeses))</f>
        <v>0</v>
      </c>
      <c r="DK267" s="48" t="n">
        <f aca="false">IF(110&gt;Fin,DJ$267,IF(AND(DK$8=1,ISNUMBER(Reales!DK82)),IF(Reales!$C$82="PYG",IF(DK$10&gt;0,N(Reales!DK82)/DK$10,0),N(Reales!DK82)),DK$257*V_IVAmeses))</f>
        <v>0</v>
      </c>
      <c r="DL267" s="48" t="n">
        <f aca="false">IF(111&gt;Fin,DK$267,IF(AND(DL$8=1,ISNUMBER(Reales!DL82)),IF(Reales!$C$82="PYG",IF(DL$10&gt;0,N(Reales!DL82)/DL$10,0),N(Reales!DL82)),DL$257*V_IVAmeses))</f>
        <v>0</v>
      </c>
      <c r="DM267" s="48" t="n">
        <f aca="false">IF(112&gt;Fin,DL$267,IF(AND(DM$8=1,ISNUMBER(Reales!DM82)),IF(Reales!$C$82="PYG",IF(DM$10&gt;0,N(Reales!DM82)/DM$10,0),N(Reales!DM82)),DM$257*V_IVAmeses))</f>
        <v>0</v>
      </c>
      <c r="DN267" s="48" t="n">
        <f aca="false">IF(113&gt;Fin,DM$267,IF(AND(DN$8=1,ISNUMBER(Reales!DN82)),IF(Reales!$C$82="PYG",IF(DN$10&gt;0,N(Reales!DN82)/DN$10,0),N(Reales!DN82)),DN$257*V_IVAmeses))</f>
        <v>0</v>
      </c>
      <c r="DO267" s="48" t="n">
        <f aca="false">IF(114&gt;Fin,DN$267,IF(AND(DO$8=1,ISNUMBER(Reales!DO82)),IF(Reales!$C$82="PYG",IF(DO$10&gt;0,N(Reales!DO82)/DO$10,0),N(Reales!DO82)),DO$257*V_IVAmeses))</f>
        <v>0</v>
      </c>
      <c r="DP267" s="48" t="n">
        <f aca="false">IF(115&gt;Fin,DO$267,IF(AND(DP$8=1,ISNUMBER(Reales!DP82)),IF(Reales!$C$82="PYG",IF(DP$10&gt;0,N(Reales!DP82)/DP$10,0),N(Reales!DP82)),DP$257*V_IVAmeses))</f>
        <v>0</v>
      </c>
      <c r="DQ267" s="48" t="n">
        <f aca="false">IF(116&gt;Fin,DP$267,IF(AND(DQ$8=1,ISNUMBER(Reales!DQ82)),IF(Reales!$C$82="PYG",IF(DQ$10&gt;0,N(Reales!DQ82)/DQ$10,0),N(Reales!DQ82)),DQ$257*V_IVAmeses))</f>
        <v>0</v>
      </c>
      <c r="DR267" s="48" t="n">
        <f aca="false">IF(117&gt;Fin,DQ$267,IF(AND(DR$8=1,ISNUMBER(Reales!DR82)),IF(Reales!$C$82="PYG",IF(DR$10&gt;0,N(Reales!DR82)/DR$10,0),N(Reales!DR82)),DR$257*V_IVAmeses))</f>
        <v>0</v>
      </c>
      <c r="DS267" s="48" t="n">
        <f aca="false">IF(118&gt;Fin,DR$267,IF(AND(DS$8=1,ISNUMBER(Reales!DS82)),IF(Reales!$C$82="PYG",IF(DS$10&gt;0,N(Reales!DS82)/DS$10,0),N(Reales!DS82)),DS$257*V_IVAmeses))</f>
        <v>0</v>
      </c>
      <c r="DT267" s="48" t="n">
        <f aca="false">IF(119&gt;Fin,DS$267,IF(AND(DT$8=1,ISNUMBER(Reales!DT82)),IF(Reales!$C$82="PYG",IF(DT$10&gt;0,N(Reales!DT82)/DT$10,0),N(Reales!DT82)),DT$257*V_IVAmeses))</f>
        <v>0</v>
      </c>
      <c r="DU267" s="48" t="n">
        <f aca="false">IF(120&gt;Fin,DT$267,IF(AND(DU$8=1,ISNUMBER(Reales!DU82)),IF(Reales!$C$82="PYG",IF(DU$10&gt;0,N(Reales!DU82)/DU$10,0),N(Reales!DU82)),DU$257*V_IVAmeses))</f>
        <v>0</v>
      </c>
      <c r="DV267" s="48" t="n">
        <f aca="false">IF(121&gt;Fin,DU$267,IF(AND(DV$8=1,ISNUMBER(Reales!DV82)),IF(Reales!$C$82="PYG",IF(DV$10&gt;0,N(Reales!DV82)/DV$10,0),N(Reales!DV82)),DV$257*V_IVAmeses))</f>
        <v>0</v>
      </c>
      <c r="DW267" s="48" t="n">
        <f aca="false">IF(122&gt;Fin,DV$267,IF(AND(DW$8=1,ISNUMBER(Reales!DW82)),IF(Reales!$C$82="PYG",IF(DW$10&gt;0,N(Reales!DW82)/DW$10,0),N(Reales!DW82)),DW$257*V_IVAmeses))</f>
        <v>0</v>
      </c>
      <c r="DX267" s="48" t="n">
        <f aca="false">IF(123&gt;Fin,DW$267,IF(AND(DX$8=1,ISNUMBER(Reales!DX82)),IF(Reales!$C$82="PYG",IF(DX$10&gt;0,N(Reales!DX82)/DX$10,0),N(Reales!DX82)),DX$257*V_IVAmeses))</f>
        <v>0</v>
      </c>
      <c r="DY267" s="48" t="n">
        <f aca="false">IF(124&gt;Fin,DX$267,IF(AND(DY$8=1,ISNUMBER(Reales!DY82)),IF(Reales!$C$82="PYG",IF(DY$10&gt;0,N(Reales!DY82)/DY$10,0),N(Reales!DY82)),DY$257*V_IVAmeses))</f>
        <v>0</v>
      </c>
      <c r="DZ267" s="48" t="n">
        <f aca="false">IF(125&gt;Fin,DY$267,IF(AND(DZ$8=1,ISNUMBER(Reales!DZ82)),IF(Reales!$C$82="PYG",IF(DZ$10&gt;0,N(Reales!DZ82)/DZ$10,0),N(Reales!DZ82)),DZ$257*V_IVAmeses))</f>
        <v>0</v>
      </c>
      <c r="EA267" s="48" t="n">
        <f aca="false">IF(126&gt;Fin,DZ$267,IF(AND(EA$8=1,ISNUMBER(Reales!EA82)),IF(Reales!$C$82="PYG",IF(EA$10&gt;0,N(Reales!EA82)/EA$10,0),N(Reales!EA82)),EA$257*V_IVAmeses))</f>
        <v>0</v>
      </c>
      <c r="EB267" s="48" t="n">
        <f aca="false">IF(127&gt;Fin,EA$267,IF(AND(EB$8=1,ISNUMBER(Reales!EB82)),IF(Reales!$C$82="PYG",IF(EB$10&gt;0,N(Reales!EB82)/EB$10,0),N(Reales!EB82)),EB$257*V_IVAmeses))</f>
        <v>0</v>
      </c>
      <c r="EC267" s="48" t="n">
        <f aca="false">IF(128&gt;Fin,EB$267,IF(AND(EC$8=1,ISNUMBER(Reales!EC82)),IF(Reales!$C$82="PYG",IF(EC$10&gt;0,N(Reales!EC82)/EC$10,0),N(Reales!EC82)),EC$257*V_IVAmeses))</f>
        <v>0</v>
      </c>
      <c r="ED267" s="48" t="n">
        <f aca="false">IF(129&gt;Fin,EC$267,IF(AND(ED$8=1,ISNUMBER(Reales!ED82)),IF(Reales!$C$82="PYG",IF(ED$10&gt;0,N(Reales!ED82)/ED$10,0),N(Reales!ED82)),ED$257*V_IVAmeses))</f>
        <v>0</v>
      </c>
      <c r="EE267" s="48" t="n">
        <f aca="false">IF(130&gt;Fin,ED$267,IF(AND(EE$8=1,ISNUMBER(Reales!EE82)),IF(Reales!$C$82="PYG",IF(EE$10&gt;0,N(Reales!EE82)/EE$10,0),N(Reales!EE82)),EE$257*V_IVAmeses))</f>
        <v>0</v>
      </c>
      <c r="EF267" s="48" t="n">
        <f aca="false">IF(131&gt;Fin,EE$267,IF(AND(EF$8=1,ISNUMBER(Reales!EF82)),IF(Reales!$C$82="PYG",IF(EF$10&gt;0,N(Reales!EF82)/EF$10,0),N(Reales!EF82)),EF$257*V_IVAmeses))</f>
        <v>0</v>
      </c>
      <c r="EG267" s="48" t="n">
        <f aca="false">IF(132&gt;Fin,EF$267,IF(AND(EG$8=1,ISNUMBER(Reales!EG82)),IF(Reales!$C$82="PYG",IF(EG$10&gt;0,N(Reales!EG82)/EG$10,0),N(Reales!EG82)),EG$257*V_IVAmeses))</f>
        <v>0</v>
      </c>
      <c r="EH267" s="48" t="n">
        <f aca="false">IF(133&gt;Fin,EG$267,IF(AND(EH$8=1,ISNUMBER(Reales!EH82)),IF(Reales!$C$82="PYG",IF(EH$10&gt;0,N(Reales!EH82)/EH$10,0),N(Reales!EH82)),EH$257*V_IVAmeses))</f>
        <v>0</v>
      </c>
      <c r="EI267" s="48" t="n">
        <f aca="false">IF(134&gt;Fin,EH$267,IF(AND(EI$8=1,ISNUMBER(Reales!EI82)),IF(Reales!$C$82="PYG",IF(EI$10&gt;0,N(Reales!EI82)/EI$10,0),N(Reales!EI82)),EI$257*V_IVAmeses))</f>
        <v>0</v>
      </c>
      <c r="EJ267" s="48" t="n">
        <f aca="false">IF(135&gt;Fin,EI$267,IF(AND(EJ$8=1,ISNUMBER(Reales!EJ82)),IF(Reales!$C$82="PYG",IF(EJ$10&gt;0,N(Reales!EJ82)/EJ$10,0),N(Reales!EJ82)),EJ$257*V_IVAmeses))</f>
        <v>0</v>
      </c>
      <c r="EK267" s="48" t="n">
        <f aca="false">IF(136&gt;Fin,EJ$267,IF(AND(EK$8=1,ISNUMBER(Reales!EK82)),IF(Reales!$C$82="PYG",IF(EK$10&gt;0,N(Reales!EK82)/EK$10,0),N(Reales!EK82)),EK$257*V_IVAmeses))</f>
        <v>0</v>
      </c>
      <c r="EL267" s="48" t="n">
        <f aca="false">IF(137&gt;Fin,EK$267,IF(AND(EL$8=1,ISNUMBER(Reales!EL82)),IF(Reales!$C$82="PYG",IF(EL$10&gt;0,N(Reales!EL82)/EL$10,0),N(Reales!EL82)),EL$257*V_IVAmeses))</f>
        <v>0</v>
      </c>
      <c r="EM267" s="48" t="n">
        <f aca="false">IF(138&gt;Fin,EL$267,IF(AND(EM$8=1,ISNUMBER(Reales!EM82)),IF(Reales!$C$82="PYG",IF(EM$10&gt;0,N(Reales!EM82)/EM$10,0),N(Reales!EM82)),EM$257*V_IVAmeses))</f>
        <v>0</v>
      </c>
      <c r="EN267" s="48" t="n">
        <f aca="false">IF(139&gt;Fin,EM$267,IF(AND(EN$8=1,ISNUMBER(Reales!EN82)),IF(Reales!$C$82="PYG",IF(EN$10&gt;0,N(Reales!EN82)/EN$10,0),N(Reales!EN82)),EN$257*V_IVAmeses))</f>
        <v>0</v>
      </c>
      <c r="EO267" s="48" t="n">
        <f aca="false">IF(140&gt;Fin,EN$267,IF(AND(EO$8=1,ISNUMBER(Reales!EO82)),IF(Reales!$C$82="PYG",IF(EO$10&gt;0,N(Reales!EO82)/EO$10,0),N(Reales!EO82)),EO$257*V_IVAmeses))</f>
        <v>0</v>
      </c>
      <c r="EP267" s="48" t="n">
        <f aca="false">IF(141&gt;Fin,EO$267,IF(AND(EP$8=1,ISNUMBER(Reales!EP82)),IF(Reales!$C$82="PYG",IF(EP$10&gt;0,N(Reales!EP82)/EP$10,0),N(Reales!EP82)),EP$257*V_IVAmeses))</f>
        <v>0</v>
      </c>
      <c r="EQ267" s="48" t="n">
        <f aca="false">IF(142&gt;Fin,EP$267,IF(AND(EQ$8=1,ISNUMBER(Reales!EQ82)),IF(Reales!$C$82="PYG",IF(EQ$10&gt;0,N(Reales!EQ82)/EQ$10,0),N(Reales!EQ82)),EQ$257*V_IVAmeses))</f>
        <v>0</v>
      </c>
      <c r="ER267" s="48" t="n">
        <f aca="false">IF(143&gt;Fin,EQ$267,IF(AND(ER$8=1,ISNUMBER(Reales!ER82)),IF(Reales!$C$82="PYG",IF(ER$10&gt;0,N(Reales!ER82)/ER$10,0),N(Reales!ER82)),ER$257*V_IVAmeses))</f>
        <v>0</v>
      </c>
      <c r="ES267" s="48" t="n">
        <f aca="false">IF(144&gt;Fin,ER$267,IF(AND(ES$8=1,ISNUMBER(Reales!ES82)),IF(Reales!$C$82="PYG",IF(ES$10&gt;0,N(Reales!ES82)/ES$10,0),N(Reales!ES82)),ES$257*V_IVAmeses))</f>
        <v>0</v>
      </c>
    </row>
    <row r="268" customFormat="false" ht="15" hidden="false" customHeight="false" outlineLevel="0" collapsed="false">
      <c r="A268" s="11" t="s">
        <v>1388</v>
      </c>
      <c r="B268" s="15" t="s">
        <v>1192</v>
      </c>
      <c r="C268" s="15" t="s">
        <v>508</v>
      </c>
      <c r="E268" s="54" t="n">
        <f aca="false">INDEX(F268:ES268,1,MIN(144,Fin))</f>
        <v>158331.694422986</v>
      </c>
      <c r="F268" s="48" t="n">
        <f aca="false">IF(1&gt;Fin,0,IF(AND(F$8=1,ISNUMBER(Reales!F83)),IF(Reales!$C$83="PYG",IF(F$10&gt;0,N(Reales!F83)/F$10,0),N(Reales!F83)),F$249*V_DPOmp/DiasMes+(F$250+F$252+F$255+F$256)*V_DPOot/DiasMes))</f>
        <v>99105.4926010081</v>
      </c>
      <c r="G268" s="48" t="n">
        <f aca="false">IF(2&gt;Fin,F$268,IF(AND(G$8=1,ISNUMBER(Reales!G83)),IF(Reales!$C$83="PYG",IF(G$10&gt;0,N(Reales!G83)/G$10,0),N(Reales!G83)),G$249*V_DPOmp/DiasMes+(G$250+G$252+G$255+G$256)*V_DPOot/DiasMes))</f>
        <v>99105.4926010081</v>
      </c>
      <c r="H268" s="48" t="n">
        <f aca="false">IF(3&gt;Fin,G$268,IF(AND(H$8=1,ISNUMBER(Reales!H83)),IF(Reales!$C$83="PYG",IF(H$10&gt;0,N(Reales!H83)/H$10,0),N(Reales!H83)),H$249*V_DPOmp/DiasMes+(H$250+H$252+H$255+H$256)*V_DPOot/DiasMes))</f>
        <v>99105.4926010081</v>
      </c>
      <c r="I268" s="48" t="n">
        <f aca="false">IF(4&gt;Fin,H$268,IF(AND(I$8=1,ISNUMBER(Reales!I83)),IF(Reales!$C$83="PYG",IF(I$10&gt;0,N(Reales!I83)/I$10,0),N(Reales!I83)),I$249*V_DPOmp/DiasMes+(I$250+I$252+I$255+I$256)*V_DPOot/DiasMes))</f>
        <v>99105.4926010081</v>
      </c>
      <c r="J268" s="48" t="n">
        <f aca="false">IF(5&gt;Fin,I$268,IF(AND(J$8=1,ISNUMBER(Reales!J83)),IF(Reales!$C$83="PYG",IF(J$10&gt;0,N(Reales!J83)/J$10,0),N(Reales!J83)),J$249*V_DPOmp/DiasMes+(J$250+J$252+J$255+J$256)*V_DPOot/DiasMes))</f>
        <v>99105.4926010081</v>
      </c>
      <c r="K268" s="48" t="n">
        <f aca="false">IF(6&gt;Fin,J$268,IF(AND(K$8=1,ISNUMBER(Reales!K83)),IF(Reales!$C$83="PYG",IF(K$10&gt;0,N(Reales!K83)/K$10,0),N(Reales!K83)),K$249*V_DPOmp/DiasMes+(K$250+K$252+K$255+K$256)*V_DPOot/DiasMes))</f>
        <v>99105.4926010081</v>
      </c>
      <c r="L268" s="48" t="n">
        <f aca="false">IF(7&gt;Fin,K$268,IF(AND(L$8=1,ISNUMBER(Reales!L83)),IF(Reales!$C$83="PYG",IF(L$10&gt;0,N(Reales!L83)/L$10,0),N(Reales!L83)),L$249*V_DPOmp/DiasMes+(L$250+L$252+L$255+L$256)*V_DPOot/DiasMes))</f>
        <v>99105.4926010081</v>
      </c>
      <c r="M268" s="48" t="n">
        <f aca="false">IF(8&gt;Fin,L$268,IF(AND(M$8=1,ISNUMBER(Reales!M83)),IF(Reales!$C$83="PYG",IF(M$10&gt;0,N(Reales!M83)/M$10,0),N(Reales!M83)),M$249*V_DPOmp/DiasMes+(M$250+M$252+M$255+M$256)*V_DPOot/DiasMes))</f>
        <v>99105.4926010081</v>
      </c>
      <c r="N268" s="48" t="n">
        <f aca="false">IF(9&gt;Fin,M$268,IF(AND(N$8=1,ISNUMBER(Reales!N83)),IF(Reales!$C$83="PYG",IF(N$10&gt;0,N(Reales!N83)/N$10,0),N(Reales!N83)),N$249*V_DPOmp/DiasMes+(N$250+N$252+N$255+N$256)*V_DPOot/DiasMes))</f>
        <v>99105.4926010081</v>
      </c>
      <c r="O268" s="48" t="n">
        <f aca="false">IF(10&gt;Fin,N$268,IF(AND(O$8=1,ISNUMBER(Reales!O83)),IF(Reales!$C$83="PYG",IF(O$10&gt;0,N(Reales!O83)/O$10,0),N(Reales!O83)),O$249*V_DPOmp/DiasMes+(O$250+O$252+O$255+O$256)*V_DPOot/DiasMes))</f>
        <v>99105.4926010081</v>
      </c>
      <c r="P268" s="48" t="n">
        <f aca="false">IF(11&gt;Fin,O$268,IF(AND(P$8=1,ISNUMBER(Reales!P83)),IF(Reales!$C$83="PYG",IF(P$10&gt;0,N(Reales!P83)/P$10,0),N(Reales!P83)),P$249*V_DPOmp/DiasMes+(P$250+P$252+P$255+P$256)*V_DPOot/DiasMes))</f>
        <v>99105.4926010081</v>
      </c>
      <c r="Q268" s="48" t="n">
        <f aca="false">IF(12&gt;Fin,P$268,IF(AND(Q$8=1,ISNUMBER(Reales!Q83)),IF(Reales!$C$83="PYG",IF(Q$10&gt;0,N(Reales!Q83)/Q$10,0),N(Reales!Q83)),Q$249*V_DPOmp/DiasMes+(Q$250+Q$252+Q$255+Q$256)*V_DPOot/DiasMes))</f>
        <v>99105.4926010081</v>
      </c>
      <c r="R268" s="48" t="n">
        <f aca="false">IF(13&gt;Fin,Q$268,IF(AND(R$8=1,ISNUMBER(Reales!R83)),IF(Reales!$C$83="PYG",IF(R$10&gt;0,N(Reales!R83)/R$10,0),N(Reales!R83)),R$249*V_DPOmp/DiasMes+(R$250+R$252+R$255+R$256)*V_DPOot/DiasMes))</f>
        <v>117843.301076035</v>
      </c>
      <c r="S268" s="48" t="n">
        <f aca="false">IF(14&gt;Fin,R$268,IF(AND(S$8=1,ISNUMBER(Reales!S83)),IF(Reales!$C$83="PYG",IF(S$10&gt;0,N(Reales!S83)/S$10,0),N(Reales!S83)),S$249*V_DPOmp/DiasMes+(S$250+S$252+S$255+S$256)*V_DPOot/DiasMes))</f>
        <v>117843.301076035</v>
      </c>
      <c r="T268" s="48" t="n">
        <f aca="false">IF(15&gt;Fin,S$268,IF(AND(T$8=1,ISNUMBER(Reales!T83)),IF(Reales!$C$83="PYG",IF(T$10&gt;0,N(Reales!T83)/T$10,0),N(Reales!T83)),T$249*V_DPOmp/DiasMes+(T$250+T$252+T$255+T$256)*V_DPOot/DiasMes))</f>
        <v>117843.301076035</v>
      </c>
      <c r="U268" s="48" t="n">
        <f aca="false">IF(16&gt;Fin,T$268,IF(AND(U$8=1,ISNUMBER(Reales!U83)),IF(Reales!$C$83="PYG",IF(U$10&gt;0,N(Reales!U83)/U$10,0),N(Reales!U83)),U$249*V_DPOmp/DiasMes+(U$250+U$252+U$255+U$256)*V_DPOot/DiasMes))</f>
        <v>117843.301076035</v>
      </c>
      <c r="V268" s="48" t="n">
        <f aca="false">IF(17&gt;Fin,U$268,IF(AND(V$8=1,ISNUMBER(Reales!V83)),IF(Reales!$C$83="PYG",IF(V$10&gt;0,N(Reales!V83)/V$10,0),N(Reales!V83)),V$249*V_DPOmp/DiasMes+(V$250+V$252+V$255+V$256)*V_DPOot/DiasMes))</f>
        <v>117843.301076035</v>
      </c>
      <c r="W268" s="48" t="n">
        <f aca="false">IF(18&gt;Fin,V$268,IF(AND(W$8=1,ISNUMBER(Reales!W83)),IF(Reales!$C$83="PYG",IF(W$10&gt;0,N(Reales!W83)/W$10,0),N(Reales!W83)),W$249*V_DPOmp/DiasMes+(W$250+W$252+W$255+W$256)*V_DPOot/DiasMes))</f>
        <v>117843.301076035</v>
      </c>
      <c r="X268" s="48" t="n">
        <f aca="false">IF(19&gt;Fin,W$268,IF(AND(X$8=1,ISNUMBER(Reales!X83)),IF(Reales!$C$83="PYG",IF(X$10&gt;0,N(Reales!X83)/X$10,0),N(Reales!X83)),X$249*V_DPOmp/DiasMes+(X$250+X$252+X$255+X$256)*V_DPOot/DiasMes))</f>
        <v>117843.301076035</v>
      </c>
      <c r="Y268" s="48" t="n">
        <f aca="false">IF(20&gt;Fin,X$268,IF(AND(Y$8=1,ISNUMBER(Reales!Y83)),IF(Reales!$C$83="PYG",IF(Y$10&gt;0,N(Reales!Y83)/Y$10,0),N(Reales!Y83)),Y$249*V_DPOmp/DiasMes+(Y$250+Y$252+Y$255+Y$256)*V_DPOot/DiasMes))</f>
        <v>117843.301076035</v>
      </c>
      <c r="Z268" s="48" t="n">
        <f aca="false">IF(21&gt;Fin,Y$268,IF(AND(Z$8=1,ISNUMBER(Reales!Z83)),IF(Reales!$C$83="PYG",IF(Z$10&gt;0,N(Reales!Z83)/Z$10,0),N(Reales!Z83)),Z$249*V_DPOmp/DiasMes+(Z$250+Z$252+Z$255+Z$256)*V_DPOot/DiasMes))</f>
        <v>117843.301076035</v>
      </c>
      <c r="AA268" s="48" t="n">
        <f aca="false">IF(22&gt;Fin,Z$268,IF(AND(AA$8=1,ISNUMBER(Reales!AA83)),IF(Reales!$C$83="PYG",IF(AA$10&gt;0,N(Reales!AA83)/AA$10,0),N(Reales!AA83)),AA$249*V_DPOmp/DiasMes+(AA$250+AA$252+AA$255+AA$256)*V_DPOot/DiasMes))</f>
        <v>117843.301076035</v>
      </c>
      <c r="AB268" s="48" t="n">
        <f aca="false">IF(23&gt;Fin,AA$268,IF(AND(AB$8=1,ISNUMBER(Reales!AB83)),IF(Reales!$C$83="PYG",IF(AB$10&gt;0,N(Reales!AB83)/AB$10,0),N(Reales!AB83)),AB$249*V_DPOmp/DiasMes+(AB$250+AB$252+AB$255+AB$256)*V_DPOot/DiasMes))</f>
        <v>117843.301076035</v>
      </c>
      <c r="AC268" s="48" t="n">
        <f aca="false">IF(24&gt;Fin,AB$268,IF(AND(AC$8=1,ISNUMBER(Reales!AC83)),IF(Reales!$C$83="PYG",IF(AC$10&gt;0,N(Reales!AC83)/AC$10,0),N(Reales!AC83)),AC$249*V_DPOmp/DiasMes+(AC$250+AC$252+AC$255+AC$256)*V_DPOot/DiasMes))</f>
        <v>117843.301076035</v>
      </c>
      <c r="AD268" s="48" t="n">
        <f aca="false">IF(25&gt;Fin,AC$268,IF(AND(AD$8=1,ISNUMBER(Reales!AD83)),IF(Reales!$C$83="PYG",IF(AD$10&gt;0,N(Reales!AD83)/AD$10,0),N(Reales!AD83)),AD$249*V_DPOmp/DiasMes+(AD$250+AD$252+AD$255+AD$256)*V_DPOot/DiasMes))</f>
        <v>136841.164480491</v>
      </c>
      <c r="AE268" s="48" t="n">
        <f aca="false">IF(26&gt;Fin,AD$268,IF(AND(AE$8=1,ISNUMBER(Reales!AE83)),IF(Reales!$C$83="PYG",IF(AE$10&gt;0,N(Reales!AE83)/AE$10,0),N(Reales!AE83)),AE$249*V_DPOmp/DiasMes+(AE$250+AE$252+AE$255+AE$256)*V_DPOot/DiasMes))</f>
        <v>136841.164480491</v>
      </c>
      <c r="AF268" s="48" t="n">
        <f aca="false">IF(27&gt;Fin,AE$268,IF(AND(AF$8=1,ISNUMBER(Reales!AF83)),IF(Reales!$C$83="PYG",IF(AF$10&gt;0,N(Reales!AF83)/AF$10,0),N(Reales!AF83)),AF$249*V_DPOmp/DiasMes+(AF$250+AF$252+AF$255+AF$256)*V_DPOot/DiasMes))</f>
        <v>136841.164480491</v>
      </c>
      <c r="AG268" s="48" t="n">
        <f aca="false">IF(28&gt;Fin,AF$268,IF(AND(AG$8=1,ISNUMBER(Reales!AG83)),IF(Reales!$C$83="PYG",IF(AG$10&gt;0,N(Reales!AG83)/AG$10,0),N(Reales!AG83)),AG$249*V_DPOmp/DiasMes+(AG$250+AG$252+AG$255+AG$256)*V_DPOot/DiasMes))</f>
        <v>136841.164480491</v>
      </c>
      <c r="AH268" s="48" t="n">
        <f aca="false">IF(29&gt;Fin,AG$268,IF(AND(AH$8=1,ISNUMBER(Reales!AH83)),IF(Reales!$C$83="PYG",IF(AH$10&gt;0,N(Reales!AH83)/AH$10,0),N(Reales!AH83)),AH$249*V_DPOmp/DiasMes+(AH$250+AH$252+AH$255+AH$256)*V_DPOot/DiasMes))</f>
        <v>136841.164480491</v>
      </c>
      <c r="AI268" s="48" t="n">
        <f aca="false">IF(30&gt;Fin,AH$268,IF(AND(AI$8=1,ISNUMBER(Reales!AI83)),IF(Reales!$C$83="PYG",IF(AI$10&gt;0,N(Reales!AI83)/AI$10,0),N(Reales!AI83)),AI$249*V_DPOmp/DiasMes+(AI$250+AI$252+AI$255+AI$256)*V_DPOot/DiasMes))</f>
        <v>136841.164480491</v>
      </c>
      <c r="AJ268" s="48" t="n">
        <f aca="false">IF(31&gt;Fin,AI$268,IF(AND(AJ$8=1,ISNUMBER(Reales!AJ83)),IF(Reales!$C$83="PYG",IF(AJ$10&gt;0,N(Reales!AJ83)/AJ$10,0),N(Reales!AJ83)),AJ$249*V_DPOmp/DiasMes+(AJ$250+AJ$252+AJ$255+AJ$256)*V_DPOot/DiasMes))</f>
        <v>136841.164480491</v>
      </c>
      <c r="AK268" s="48" t="n">
        <f aca="false">IF(32&gt;Fin,AJ$268,IF(AND(AK$8=1,ISNUMBER(Reales!AK83)),IF(Reales!$C$83="PYG",IF(AK$10&gt;0,N(Reales!AK83)/AK$10,0),N(Reales!AK83)),AK$249*V_DPOmp/DiasMes+(AK$250+AK$252+AK$255+AK$256)*V_DPOot/DiasMes))</f>
        <v>136841.164480491</v>
      </c>
      <c r="AL268" s="48" t="n">
        <f aca="false">IF(33&gt;Fin,AK$268,IF(AND(AL$8=1,ISNUMBER(Reales!AL83)),IF(Reales!$C$83="PYG",IF(AL$10&gt;0,N(Reales!AL83)/AL$10,0),N(Reales!AL83)),AL$249*V_DPOmp/DiasMes+(AL$250+AL$252+AL$255+AL$256)*V_DPOot/DiasMes))</f>
        <v>136841.164480491</v>
      </c>
      <c r="AM268" s="48" t="n">
        <f aca="false">IF(34&gt;Fin,AL$268,IF(AND(AM$8=1,ISNUMBER(Reales!AM83)),IF(Reales!$C$83="PYG",IF(AM$10&gt;0,N(Reales!AM83)/AM$10,0),N(Reales!AM83)),AM$249*V_DPOmp/DiasMes+(AM$250+AM$252+AM$255+AM$256)*V_DPOot/DiasMes))</f>
        <v>136841.164480491</v>
      </c>
      <c r="AN268" s="48" t="n">
        <f aca="false">IF(35&gt;Fin,AM$268,IF(AND(AN$8=1,ISNUMBER(Reales!AN83)),IF(Reales!$C$83="PYG",IF(AN$10&gt;0,N(Reales!AN83)/AN$10,0),N(Reales!AN83)),AN$249*V_DPOmp/DiasMes+(AN$250+AN$252+AN$255+AN$256)*V_DPOot/DiasMes))</f>
        <v>136841.164480491</v>
      </c>
      <c r="AO268" s="48" t="n">
        <f aca="false">IF(36&gt;Fin,AN$268,IF(AND(AO$8=1,ISNUMBER(Reales!AO83)),IF(Reales!$C$83="PYG",IF(AO$10&gt;0,N(Reales!AO83)/AO$10,0),N(Reales!AO83)),AO$249*V_DPOmp/DiasMes+(AO$250+AO$252+AO$255+AO$256)*V_DPOot/DiasMes))</f>
        <v>136841.164480491</v>
      </c>
      <c r="AP268" s="48" t="n">
        <f aca="false">IF(37&gt;Fin,AO$268,IF(AND(AP$8=1,ISNUMBER(Reales!AP83)),IF(Reales!$C$83="PYG",IF(AP$10&gt;0,N(Reales!AP83)/AP$10,0),N(Reales!AP83)),AP$249*V_DPOmp/DiasMes+(AP$250+AP$252+AP$255+AP$256)*V_DPOot/DiasMes))</f>
        <v>152372.625750663</v>
      </c>
      <c r="AQ268" s="48" t="n">
        <f aca="false">IF(38&gt;Fin,AP$268,IF(AND(AQ$8=1,ISNUMBER(Reales!AQ83)),IF(Reales!$C$83="PYG",IF(AQ$10&gt;0,N(Reales!AQ83)/AQ$10,0),N(Reales!AQ83)),AQ$249*V_DPOmp/DiasMes+(AQ$250+AQ$252+AQ$255+AQ$256)*V_DPOot/DiasMes))</f>
        <v>152372.625750663</v>
      </c>
      <c r="AR268" s="48" t="n">
        <f aca="false">IF(39&gt;Fin,AQ$268,IF(AND(AR$8=1,ISNUMBER(Reales!AR83)),IF(Reales!$C$83="PYG",IF(AR$10&gt;0,N(Reales!AR83)/AR$10,0),N(Reales!AR83)),AR$249*V_DPOmp/DiasMes+(AR$250+AR$252+AR$255+AR$256)*V_DPOot/DiasMes))</f>
        <v>152372.625750663</v>
      </c>
      <c r="AS268" s="48" t="n">
        <f aca="false">IF(40&gt;Fin,AR$268,IF(AND(AS$8=1,ISNUMBER(Reales!AS83)),IF(Reales!$C$83="PYG",IF(AS$10&gt;0,N(Reales!AS83)/AS$10,0),N(Reales!AS83)),AS$249*V_DPOmp/DiasMes+(AS$250+AS$252+AS$255+AS$256)*V_DPOot/DiasMes))</f>
        <v>152372.625750663</v>
      </c>
      <c r="AT268" s="48" t="n">
        <f aca="false">IF(41&gt;Fin,AS$268,IF(AND(AT$8=1,ISNUMBER(Reales!AT83)),IF(Reales!$C$83="PYG",IF(AT$10&gt;0,N(Reales!AT83)/AT$10,0),N(Reales!AT83)),AT$249*V_DPOmp/DiasMes+(AT$250+AT$252+AT$255+AT$256)*V_DPOot/DiasMes))</f>
        <v>152372.625750663</v>
      </c>
      <c r="AU268" s="48" t="n">
        <f aca="false">IF(42&gt;Fin,AT$268,IF(AND(AU$8=1,ISNUMBER(Reales!AU83)),IF(Reales!$C$83="PYG",IF(AU$10&gt;0,N(Reales!AU83)/AU$10,0),N(Reales!AU83)),AU$249*V_DPOmp/DiasMes+(AU$250+AU$252+AU$255+AU$256)*V_DPOot/DiasMes))</f>
        <v>152372.625750663</v>
      </c>
      <c r="AV268" s="48" t="n">
        <f aca="false">IF(43&gt;Fin,AU$268,IF(AND(AV$8=1,ISNUMBER(Reales!AV83)),IF(Reales!$C$83="PYG",IF(AV$10&gt;0,N(Reales!AV83)/AV$10,0),N(Reales!AV83)),AV$249*V_DPOmp/DiasMes+(AV$250+AV$252+AV$255+AV$256)*V_DPOot/DiasMes))</f>
        <v>152372.625750663</v>
      </c>
      <c r="AW268" s="48" t="n">
        <f aca="false">IF(44&gt;Fin,AV$268,IF(AND(AW$8=1,ISNUMBER(Reales!AW83)),IF(Reales!$C$83="PYG",IF(AW$10&gt;0,N(Reales!AW83)/AW$10,0),N(Reales!AW83)),AW$249*V_DPOmp/DiasMes+(AW$250+AW$252+AW$255+AW$256)*V_DPOot/DiasMes))</f>
        <v>152372.625750663</v>
      </c>
      <c r="AX268" s="48" t="n">
        <f aca="false">IF(45&gt;Fin,AW$268,IF(AND(AX$8=1,ISNUMBER(Reales!AX83)),IF(Reales!$C$83="PYG",IF(AX$10&gt;0,N(Reales!AX83)/AX$10,0),N(Reales!AX83)),AX$249*V_DPOmp/DiasMes+(AX$250+AX$252+AX$255+AX$256)*V_DPOot/DiasMes))</f>
        <v>152372.625750663</v>
      </c>
      <c r="AY268" s="48" t="n">
        <f aca="false">IF(46&gt;Fin,AX$268,IF(AND(AY$8=1,ISNUMBER(Reales!AY83)),IF(Reales!$C$83="PYG",IF(AY$10&gt;0,N(Reales!AY83)/AY$10,0),N(Reales!AY83)),AY$249*V_DPOmp/DiasMes+(AY$250+AY$252+AY$255+AY$256)*V_DPOot/DiasMes))</f>
        <v>152372.625750663</v>
      </c>
      <c r="AZ268" s="48" t="n">
        <f aca="false">IF(47&gt;Fin,AY$268,IF(AND(AZ$8=1,ISNUMBER(Reales!AZ83)),IF(Reales!$C$83="PYG",IF(AZ$10&gt;0,N(Reales!AZ83)/AZ$10,0),N(Reales!AZ83)),AZ$249*V_DPOmp/DiasMes+(AZ$250+AZ$252+AZ$255+AZ$256)*V_DPOot/DiasMes))</f>
        <v>152372.625750663</v>
      </c>
      <c r="BA268" s="48" t="n">
        <f aca="false">IF(48&gt;Fin,AZ$268,IF(AND(BA$8=1,ISNUMBER(Reales!BA83)),IF(Reales!$C$83="PYG",IF(BA$10&gt;0,N(Reales!BA83)/BA$10,0),N(Reales!BA83)),BA$249*V_DPOmp/DiasMes+(BA$250+BA$252+BA$255+BA$256)*V_DPOot/DiasMes))</f>
        <v>152372.625750663</v>
      </c>
      <c r="BB268" s="48" t="n">
        <f aca="false">IF(49&gt;Fin,BA$268,IF(AND(BB$8=1,ISNUMBER(Reales!BB83)),IF(Reales!$C$83="PYG",IF(BB$10&gt;0,N(Reales!BB83)/BB$10,0),N(Reales!BB83)),BB$249*V_DPOmp/DiasMes+(BB$250+BB$252+BB$255+BB$256)*V_DPOot/DiasMes))</f>
        <v>153439.396899076</v>
      </c>
      <c r="BC268" s="48" t="n">
        <f aca="false">IF(50&gt;Fin,BB$268,IF(AND(BC$8=1,ISNUMBER(Reales!BC83)),IF(Reales!$C$83="PYG",IF(BC$10&gt;0,N(Reales!BC83)/BC$10,0),N(Reales!BC83)),BC$249*V_DPOmp/DiasMes+(BC$250+BC$252+BC$255+BC$256)*V_DPOot/DiasMes))</f>
        <v>153439.396899076</v>
      </c>
      <c r="BD268" s="48" t="n">
        <f aca="false">IF(51&gt;Fin,BC$268,IF(AND(BD$8=1,ISNUMBER(Reales!BD83)),IF(Reales!$C$83="PYG",IF(BD$10&gt;0,N(Reales!BD83)/BD$10,0),N(Reales!BD83)),BD$249*V_DPOmp/DiasMes+(BD$250+BD$252+BD$255+BD$256)*V_DPOot/DiasMes))</f>
        <v>153439.396899076</v>
      </c>
      <c r="BE268" s="48" t="n">
        <f aca="false">IF(52&gt;Fin,BD$268,IF(AND(BE$8=1,ISNUMBER(Reales!BE83)),IF(Reales!$C$83="PYG",IF(BE$10&gt;0,N(Reales!BE83)/BE$10,0),N(Reales!BE83)),BE$249*V_DPOmp/DiasMes+(BE$250+BE$252+BE$255+BE$256)*V_DPOot/DiasMes))</f>
        <v>153439.396899076</v>
      </c>
      <c r="BF268" s="48" t="n">
        <f aca="false">IF(53&gt;Fin,BE$268,IF(AND(BF$8=1,ISNUMBER(Reales!BF83)),IF(Reales!$C$83="PYG",IF(BF$10&gt;0,N(Reales!BF83)/BF$10,0),N(Reales!BF83)),BF$249*V_DPOmp/DiasMes+(BF$250+BF$252+BF$255+BF$256)*V_DPOot/DiasMes))</f>
        <v>153439.396899076</v>
      </c>
      <c r="BG268" s="48" t="n">
        <f aca="false">IF(54&gt;Fin,BF$268,IF(AND(BG$8=1,ISNUMBER(Reales!BG83)),IF(Reales!$C$83="PYG",IF(BG$10&gt;0,N(Reales!BG83)/BG$10,0),N(Reales!BG83)),BG$249*V_DPOmp/DiasMes+(BG$250+BG$252+BG$255+BG$256)*V_DPOot/DiasMes))</f>
        <v>153439.396899076</v>
      </c>
      <c r="BH268" s="48" t="n">
        <f aca="false">IF(55&gt;Fin,BG$268,IF(AND(BH$8=1,ISNUMBER(Reales!BH83)),IF(Reales!$C$83="PYG",IF(BH$10&gt;0,N(Reales!BH83)/BH$10,0),N(Reales!BH83)),BH$249*V_DPOmp/DiasMes+(BH$250+BH$252+BH$255+BH$256)*V_DPOot/DiasMes))</f>
        <v>153439.396899076</v>
      </c>
      <c r="BI268" s="48" t="n">
        <f aca="false">IF(56&gt;Fin,BH$268,IF(AND(BI$8=1,ISNUMBER(Reales!BI83)),IF(Reales!$C$83="PYG",IF(BI$10&gt;0,N(Reales!BI83)/BI$10,0),N(Reales!BI83)),BI$249*V_DPOmp/DiasMes+(BI$250+BI$252+BI$255+BI$256)*V_DPOot/DiasMes))</f>
        <v>153439.396899076</v>
      </c>
      <c r="BJ268" s="48" t="n">
        <f aca="false">IF(57&gt;Fin,BI$268,IF(AND(BJ$8=1,ISNUMBER(Reales!BJ83)),IF(Reales!$C$83="PYG",IF(BJ$10&gt;0,N(Reales!BJ83)/BJ$10,0),N(Reales!BJ83)),BJ$249*V_DPOmp/DiasMes+(BJ$250+BJ$252+BJ$255+BJ$256)*V_DPOot/DiasMes))</f>
        <v>153439.396899076</v>
      </c>
      <c r="BK268" s="48" t="n">
        <f aca="false">IF(58&gt;Fin,BJ$268,IF(AND(BK$8=1,ISNUMBER(Reales!BK83)),IF(Reales!$C$83="PYG",IF(BK$10&gt;0,N(Reales!BK83)/BK$10,0),N(Reales!BK83)),BK$249*V_DPOmp/DiasMes+(BK$250+BK$252+BK$255+BK$256)*V_DPOot/DiasMes))</f>
        <v>153439.396899076</v>
      </c>
      <c r="BL268" s="48" t="n">
        <f aca="false">IF(59&gt;Fin,BK$268,IF(AND(BL$8=1,ISNUMBER(Reales!BL83)),IF(Reales!$C$83="PYG",IF(BL$10&gt;0,N(Reales!BL83)/BL$10,0),N(Reales!BL83)),BL$249*V_DPOmp/DiasMes+(BL$250+BL$252+BL$255+BL$256)*V_DPOot/DiasMes))</f>
        <v>153439.396899076</v>
      </c>
      <c r="BM268" s="48" t="n">
        <f aca="false">IF(60&gt;Fin,BL$268,IF(AND(BM$8=1,ISNUMBER(Reales!BM83)),IF(Reales!$C$83="PYG",IF(BM$10&gt;0,N(Reales!BM83)/BM$10,0),N(Reales!BM83)),BM$249*V_DPOmp/DiasMes+(BM$250+BM$252+BM$255+BM$256)*V_DPOot/DiasMes))</f>
        <v>153439.396899076</v>
      </c>
      <c r="BN268" s="48" t="n">
        <f aca="false">IF(61&gt;Fin,BM$268,IF(AND(BN$8=1,ISNUMBER(Reales!BN83)),IF(Reales!$C$83="PYG",IF(BN$10&gt;0,N(Reales!BN83)/BN$10,0),N(Reales!BN83)),BN$249*V_DPOmp/DiasMes+(BN$250+BN$252+BN$255+BN$256)*V_DPOot/DiasMes))</f>
        <v>154373.202430234</v>
      </c>
      <c r="BO268" s="48" t="n">
        <f aca="false">IF(62&gt;Fin,BN$268,IF(AND(BO$8=1,ISNUMBER(Reales!BO83)),IF(Reales!$C$83="PYG",IF(BO$10&gt;0,N(Reales!BO83)/BO$10,0),N(Reales!BO83)),BO$249*V_DPOmp/DiasMes+(BO$250+BO$252+BO$255+BO$256)*V_DPOot/DiasMes))</f>
        <v>154373.202430234</v>
      </c>
      <c r="BP268" s="48" t="n">
        <f aca="false">IF(63&gt;Fin,BO$268,IF(AND(BP$8=1,ISNUMBER(Reales!BP83)),IF(Reales!$C$83="PYG",IF(BP$10&gt;0,N(Reales!BP83)/BP$10,0),N(Reales!BP83)),BP$249*V_DPOmp/DiasMes+(BP$250+BP$252+BP$255+BP$256)*V_DPOot/DiasMes))</f>
        <v>154373.202430234</v>
      </c>
      <c r="BQ268" s="48" t="n">
        <f aca="false">IF(64&gt;Fin,BP$268,IF(AND(BQ$8=1,ISNUMBER(Reales!BQ83)),IF(Reales!$C$83="PYG",IF(BQ$10&gt;0,N(Reales!BQ83)/BQ$10,0),N(Reales!BQ83)),BQ$249*V_DPOmp/DiasMes+(BQ$250+BQ$252+BQ$255+BQ$256)*V_DPOot/DiasMes))</f>
        <v>154373.202430234</v>
      </c>
      <c r="BR268" s="48" t="n">
        <f aca="false">IF(65&gt;Fin,BQ$268,IF(AND(BR$8=1,ISNUMBER(Reales!BR83)),IF(Reales!$C$83="PYG",IF(BR$10&gt;0,N(Reales!BR83)/BR$10,0),N(Reales!BR83)),BR$249*V_DPOmp/DiasMes+(BR$250+BR$252+BR$255+BR$256)*V_DPOot/DiasMes))</f>
        <v>154373.202430234</v>
      </c>
      <c r="BS268" s="48" t="n">
        <f aca="false">IF(66&gt;Fin,BR$268,IF(AND(BS$8=1,ISNUMBER(Reales!BS83)),IF(Reales!$C$83="PYG",IF(BS$10&gt;0,N(Reales!BS83)/BS$10,0),N(Reales!BS83)),BS$249*V_DPOmp/DiasMes+(BS$250+BS$252+BS$255+BS$256)*V_DPOot/DiasMes))</f>
        <v>154373.202430234</v>
      </c>
      <c r="BT268" s="48" t="n">
        <f aca="false">IF(67&gt;Fin,BS$268,IF(AND(BT$8=1,ISNUMBER(Reales!BT83)),IF(Reales!$C$83="PYG",IF(BT$10&gt;0,N(Reales!BT83)/BT$10,0),N(Reales!BT83)),BT$249*V_DPOmp/DiasMes+(BT$250+BT$252+BT$255+BT$256)*V_DPOot/DiasMes))</f>
        <v>154373.202430234</v>
      </c>
      <c r="BU268" s="48" t="n">
        <f aca="false">IF(68&gt;Fin,BT$268,IF(AND(BU$8=1,ISNUMBER(Reales!BU83)),IF(Reales!$C$83="PYG",IF(BU$10&gt;0,N(Reales!BU83)/BU$10,0),N(Reales!BU83)),BU$249*V_DPOmp/DiasMes+(BU$250+BU$252+BU$255+BU$256)*V_DPOot/DiasMes))</f>
        <v>154373.202430234</v>
      </c>
      <c r="BV268" s="48" t="n">
        <f aca="false">IF(69&gt;Fin,BU$268,IF(AND(BV$8=1,ISNUMBER(Reales!BV83)),IF(Reales!$C$83="PYG",IF(BV$10&gt;0,N(Reales!BV83)/BV$10,0),N(Reales!BV83)),BV$249*V_DPOmp/DiasMes+(BV$250+BV$252+BV$255+BV$256)*V_DPOot/DiasMes))</f>
        <v>154373.202430234</v>
      </c>
      <c r="BW268" s="48" t="n">
        <f aca="false">IF(70&gt;Fin,BV$268,IF(AND(BW$8=1,ISNUMBER(Reales!BW83)),IF(Reales!$C$83="PYG",IF(BW$10&gt;0,N(Reales!BW83)/BW$10,0),N(Reales!BW83)),BW$249*V_DPOmp/DiasMes+(BW$250+BW$252+BW$255+BW$256)*V_DPOot/DiasMes))</f>
        <v>154373.202430234</v>
      </c>
      <c r="BX268" s="48" t="n">
        <f aca="false">IF(71&gt;Fin,BW$268,IF(AND(BX$8=1,ISNUMBER(Reales!BX83)),IF(Reales!$C$83="PYG",IF(BX$10&gt;0,N(Reales!BX83)/BX$10,0),N(Reales!BX83)),BX$249*V_DPOmp/DiasMes+(BX$250+BX$252+BX$255+BX$256)*V_DPOot/DiasMes))</f>
        <v>154373.202430234</v>
      </c>
      <c r="BY268" s="48" t="n">
        <f aca="false">IF(72&gt;Fin,BX$268,IF(AND(BY$8=1,ISNUMBER(Reales!BY83)),IF(Reales!$C$83="PYG",IF(BY$10&gt;0,N(Reales!BY83)/BY$10,0),N(Reales!BY83)),BY$249*V_DPOmp/DiasMes+(BY$250+BY$252+BY$255+BY$256)*V_DPOot/DiasMes))</f>
        <v>154373.202430234</v>
      </c>
      <c r="BZ268" s="48" t="n">
        <f aca="false">IF(73&gt;Fin,BY$268,IF(AND(BZ$8=1,ISNUMBER(Reales!BZ83)),IF(Reales!$C$83="PYG",IF(BZ$10&gt;0,N(Reales!BZ83)/BZ$10,0),N(Reales!BZ83)),BZ$249*V_DPOmp/DiasMes+(BZ$250+BZ$252+BZ$255+BZ$256)*V_DPOot/DiasMes))</f>
        <v>155328.742837727</v>
      </c>
      <c r="CA268" s="48" t="n">
        <f aca="false">IF(74&gt;Fin,BZ$268,IF(AND(CA$8=1,ISNUMBER(Reales!CA83)),IF(Reales!$C$83="PYG",IF(CA$10&gt;0,N(Reales!CA83)/CA$10,0),N(Reales!CA83)),CA$249*V_DPOmp/DiasMes+(CA$250+CA$252+CA$255+CA$256)*V_DPOot/DiasMes))</f>
        <v>155328.742837727</v>
      </c>
      <c r="CB268" s="48" t="n">
        <f aca="false">IF(75&gt;Fin,CA$268,IF(AND(CB$8=1,ISNUMBER(Reales!CB83)),IF(Reales!$C$83="PYG",IF(CB$10&gt;0,N(Reales!CB83)/CB$10,0),N(Reales!CB83)),CB$249*V_DPOmp/DiasMes+(CB$250+CB$252+CB$255+CB$256)*V_DPOot/DiasMes))</f>
        <v>155328.742837727</v>
      </c>
      <c r="CC268" s="48" t="n">
        <f aca="false">IF(76&gt;Fin,CB$268,IF(AND(CC$8=1,ISNUMBER(Reales!CC83)),IF(Reales!$C$83="PYG",IF(CC$10&gt;0,N(Reales!CC83)/CC$10,0),N(Reales!CC83)),CC$249*V_DPOmp/DiasMes+(CC$250+CC$252+CC$255+CC$256)*V_DPOot/DiasMes))</f>
        <v>155328.742837727</v>
      </c>
      <c r="CD268" s="48" t="n">
        <f aca="false">IF(77&gt;Fin,CC$268,IF(AND(CD$8=1,ISNUMBER(Reales!CD83)),IF(Reales!$C$83="PYG",IF(CD$10&gt;0,N(Reales!CD83)/CD$10,0),N(Reales!CD83)),CD$249*V_DPOmp/DiasMes+(CD$250+CD$252+CD$255+CD$256)*V_DPOot/DiasMes))</f>
        <v>155328.742837727</v>
      </c>
      <c r="CE268" s="48" t="n">
        <f aca="false">IF(78&gt;Fin,CD$268,IF(AND(CE$8=1,ISNUMBER(Reales!CE83)),IF(Reales!$C$83="PYG",IF(CE$10&gt;0,N(Reales!CE83)/CE$10,0),N(Reales!CE83)),CE$249*V_DPOmp/DiasMes+(CE$250+CE$252+CE$255+CE$256)*V_DPOot/DiasMes))</f>
        <v>155328.742837727</v>
      </c>
      <c r="CF268" s="48" t="n">
        <f aca="false">IF(79&gt;Fin,CE$268,IF(AND(CF$8=1,ISNUMBER(Reales!CF83)),IF(Reales!$C$83="PYG",IF(CF$10&gt;0,N(Reales!CF83)/CF$10,0),N(Reales!CF83)),CF$249*V_DPOmp/DiasMes+(CF$250+CF$252+CF$255+CF$256)*V_DPOot/DiasMes))</f>
        <v>155328.742837727</v>
      </c>
      <c r="CG268" s="48" t="n">
        <f aca="false">IF(80&gt;Fin,CF$268,IF(AND(CG$8=1,ISNUMBER(Reales!CG83)),IF(Reales!$C$83="PYG",IF(CG$10&gt;0,N(Reales!CG83)/CG$10,0),N(Reales!CG83)),CG$249*V_DPOmp/DiasMes+(CG$250+CG$252+CG$255+CG$256)*V_DPOot/DiasMes))</f>
        <v>155328.742837727</v>
      </c>
      <c r="CH268" s="48" t="n">
        <f aca="false">IF(81&gt;Fin,CG$268,IF(AND(CH$8=1,ISNUMBER(Reales!CH83)),IF(Reales!$C$83="PYG",IF(CH$10&gt;0,N(Reales!CH83)/CH$10,0),N(Reales!CH83)),CH$249*V_DPOmp/DiasMes+(CH$250+CH$252+CH$255+CH$256)*V_DPOot/DiasMes))</f>
        <v>155328.742837727</v>
      </c>
      <c r="CI268" s="48" t="n">
        <f aca="false">IF(82&gt;Fin,CH$268,IF(AND(CI$8=1,ISNUMBER(Reales!CI83)),IF(Reales!$C$83="PYG",IF(CI$10&gt;0,N(Reales!CI83)/CI$10,0),N(Reales!CI83)),CI$249*V_DPOmp/DiasMes+(CI$250+CI$252+CI$255+CI$256)*V_DPOot/DiasMes))</f>
        <v>155328.742837727</v>
      </c>
      <c r="CJ268" s="48" t="n">
        <f aca="false">IF(83&gt;Fin,CI$268,IF(AND(CJ$8=1,ISNUMBER(Reales!CJ83)),IF(Reales!$C$83="PYG",IF(CJ$10&gt;0,N(Reales!CJ83)/CJ$10,0),N(Reales!CJ83)),CJ$249*V_DPOmp/DiasMes+(CJ$250+CJ$252+CJ$255+CJ$256)*V_DPOot/DiasMes))</f>
        <v>155328.742837727</v>
      </c>
      <c r="CK268" s="48" t="n">
        <f aca="false">IF(84&gt;Fin,CJ$268,IF(AND(CK$8=1,ISNUMBER(Reales!CK83)),IF(Reales!$C$83="PYG",IF(CK$10&gt;0,N(Reales!CK83)/CK$10,0),N(Reales!CK83)),CK$249*V_DPOmp/DiasMes+(CK$250+CK$252+CK$255+CK$256)*V_DPOot/DiasMes))</f>
        <v>155328.742837727</v>
      </c>
      <c r="CL268" s="48" t="n">
        <f aca="false">IF(85&gt;Fin,CK$268,IF(AND(CL$8=1,ISNUMBER(Reales!CL83)),IF(Reales!$C$83="PYG",IF(CL$10&gt;0,N(Reales!CL83)/CL$10,0),N(Reales!CL83)),CL$249*V_DPOmp/DiasMes+(CL$250+CL$252+CL$255+CL$256)*V_DPOot/DiasMes))</f>
        <v>156306.601824573</v>
      </c>
      <c r="CM268" s="48" t="n">
        <f aca="false">IF(86&gt;Fin,CL$268,IF(AND(CM$8=1,ISNUMBER(Reales!CM83)),IF(Reales!$C$83="PYG",IF(CM$10&gt;0,N(Reales!CM83)/CM$10,0),N(Reales!CM83)),CM$249*V_DPOmp/DiasMes+(CM$250+CM$252+CM$255+CM$256)*V_DPOot/DiasMes))</f>
        <v>156306.601824573</v>
      </c>
      <c r="CN268" s="48" t="n">
        <f aca="false">IF(87&gt;Fin,CM$268,IF(AND(CN$8=1,ISNUMBER(Reales!CN83)),IF(Reales!$C$83="PYG",IF(CN$10&gt;0,N(Reales!CN83)/CN$10,0),N(Reales!CN83)),CN$249*V_DPOmp/DiasMes+(CN$250+CN$252+CN$255+CN$256)*V_DPOot/DiasMes))</f>
        <v>156306.601824573</v>
      </c>
      <c r="CO268" s="48" t="n">
        <f aca="false">IF(88&gt;Fin,CN$268,IF(AND(CO$8=1,ISNUMBER(Reales!CO83)),IF(Reales!$C$83="PYG",IF(CO$10&gt;0,N(Reales!CO83)/CO$10,0),N(Reales!CO83)),CO$249*V_DPOmp/DiasMes+(CO$250+CO$252+CO$255+CO$256)*V_DPOot/DiasMes))</f>
        <v>156306.601824573</v>
      </c>
      <c r="CP268" s="48" t="n">
        <f aca="false">IF(89&gt;Fin,CO$268,IF(AND(CP$8=1,ISNUMBER(Reales!CP83)),IF(Reales!$C$83="PYG",IF(CP$10&gt;0,N(Reales!CP83)/CP$10,0),N(Reales!CP83)),CP$249*V_DPOmp/DiasMes+(CP$250+CP$252+CP$255+CP$256)*V_DPOot/DiasMes))</f>
        <v>156306.601824573</v>
      </c>
      <c r="CQ268" s="48" t="n">
        <f aca="false">IF(90&gt;Fin,CP$268,IF(AND(CQ$8=1,ISNUMBER(Reales!CQ83)),IF(Reales!$C$83="PYG",IF(CQ$10&gt;0,N(Reales!CQ83)/CQ$10,0),N(Reales!CQ83)),CQ$249*V_DPOmp/DiasMes+(CQ$250+CQ$252+CQ$255+CQ$256)*V_DPOot/DiasMes))</f>
        <v>156306.601824573</v>
      </c>
      <c r="CR268" s="48" t="n">
        <f aca="false">IF(91&gt;Fin,CQ$268,IF(AND(CR$8=1,ISNUMBER(Reales!CR83)),IF(Reales!$C$83="PYG",IF(CR$10&gt;0,N(Reales!CR83)/CR$10,0),N(Reales!CR83)),CR$249*V_DPOmp/DiasMes+(CR$250+CR$252+CR$255+CR$256)*V_DPOot/DiasMes))</f>
        <v>156306.601824573</v>
      </c>
      <c r="CS268" s="48" t="n">
        <f aca="false">IF(92&gt;Fin,CR$268,IF(AND(CS$8=1,ISNUMBER(Reales!CS83)),IF(Reales!$C$83="PYG",IF(CS$10&gt;0,N(Reales!CS83)/CS$10,0),N(Reales!CS83)),CS$249*V_DPOmp/DiasMes+(CS$250+CS$252+CS$255+CS$256)*V_DPOot/DiasMes))</f>
        <v>156306.601824573</v>
      </c>
      <c r="CT268" s="48" t="n">
        <f aca="false">IF(93&gt;Fin,CS$268,IF(AND(CT$8=1,ISNUMBER(Reales!CT83)),IF(Reales!$C$83="PYG",IF(CT$10&gt;0,N(Reales!CT83)/CT$10,0),N(Reales!CT83)),CT$249*V_DPOmp/DiasMes+(CT$250+CT$252+CT$255+CT$256)*V_DPOot/DiasMes))</f>
        <v>156306.601824573</v>
      </c>
      <c r="CU268" s="48" t="n">
        <f aca="false">IF(94&gt;Fin,CT$268,IF(AND(CU$8=1,ISNUMBER(Reales!CU83)),IF(Reales!$C$83="PYG",IF(CU$10&gt;0,N(Reales!CU83)/CU$10,0),N(Reales!CU83)),CU$249*V_DPOmp/DiasMes+(CU$250+CU$252+CU$255+CU$256)*V_DPOot/DiasMes))</f>
        <v>156306.601824573</v>
      </c>
      <c r="CV268" s="48" t="n">
        <f aca="false">IF(95&gt;Fin,CU$268,IF(AND(CV$8=1,ISNUMBER(Reales!CV83)),IF(Reales!$C$83="PYG",IF(CV$10&gt;0,N(Reales!CV83)/CV$10,0),N(Reales!CV83)),CV$249*V_DPOmp/DiasMes+(CV$250+CV$252+CV$255+CV$256)*V_DPOot/DiasMes))</f>
        <v>156306.601824573</v>
      </c>
      <c r="CW268" s="48" t="n">
        <f aca="false">IF(96&gt;Fin,CV$268,IF(AND(CW$8=1,ISNUMBER(Reales!CW83)),IF(Reales!$C$83="PYG",IF(CW$10&gt;0,N(Reales!CW83)/CW$10,0),N(Reales!CW83)),CW$249*V_DPOmp/DiasMes+(CW$250+CW$252+CW$255+CW$256)*V_DPOot/DiasMes))</f>
        <v>156306.601824573</v>
      </c>
      <c r="CX268" s="48" t="n">
        <f aca="false">IF(97&gt;Fin,CW$268,IF(AND(CX$8=1,ISNUMBER(Reales!CX83)),IF(Reales!$C$83="PYG",IF(CX$10&gt;0,N(Reales!CX83)/CX$10,0),N(Reales!CX83)),CX$249*V_DPOmp/DiasMes+(CX$250+CX$252+CX$255+CX$256)*V_DPOot/DiasMes))</f>
        <v>157307.379810441</v>
      </c>
      <c r="CY268" s="48" t="n">
        <f aca="false">IF(98&gt;Fin,CX$268,IF(AND(CY$8=1,ISNUMBER(Reales!CY83)),IF(Reales!$C$83="PYG",IF(CY$10&gt;0,N(Reales!CY83)/CY$10,0),N(Reales!CY83)),CY$249*V_DPOmp/DiasMes+(CY$250+CY$252+CY$255+CY$256)*V_DPOot/DiasMes))</f>
        <v>157307.379810441</v>
      </c>
      <c r="CZ268" s="48" t="n">
        <f aca="false">IF(99&gt;Fin,CY$268,IF(AND(CZ$8=1,ISNUMBER(Reales!CZ83)),IF(Reales!$C$83="PYG",IF(CZ$10&gt;0,N(Reales!CZ83)/CZ$10,0),N(Reales!CZ83)),CZ$249*V_DPOmp/DiasMes+(CZ$250+CZ$252+CZ$255+CZ$256)*V_DPOot/DiasMes))</f>
        <v>157307.379810441</v>
      </c>
      <c r="DA268" s="48" t="n">
        <f aca="false">IF(100&gt;Fin,CZ$268,IF(AND(DA$8=1,ISNUMBER(Reales!DA83)),IF(Reales!$C$83="PYG",IF(DA$10&gt;0,N(Reales!DA83)/DA$10,0),N(Reales!DA83)),DA$249*V_DPOmp/DiasMes+(DA$250+DA$252+DA$255+DA$256)*V_DPOot/DiasMes))</f>
        <v>157307.379810441</v>
      </c>
      <c r="DB268" s="48" t="n">
        <f aca="false">IF(101&gt;Fin,DA$268,IF(AND(DB$8=1,ISNUMBER(Reales!DB83)),IF(Reales!$C$83="PYG",IF(DB$10&gt;0,N(Reales!DB83)/DB$10,0),N(Reales!DB83)),DB$249*V_DPOmp/DiasMes+(DB$250+DB$252+DB$255+DB$256)*V_DPOot/DiasMes))</f>
        <v>157307.379810441</v>
      </c>
      <c r="DC268" s="48" t="n">
        <f aca="false">IF(102&gt;Fin,DB$268,IF(AND(DC$8=1,ISNUMBER(Reales!DC83)),IF(Reales!$C$83="PYG",IF(DC$10&gt;0,N(Reales!DC83)/DC$10,0),N(Reales!DC83)),DC$249*V_DPOmp/DiasMes+(DC$250+DC$252+DC$255+DC$256)*V_DPOot/DiasMes))</f>
        <v>157307.379810441</v>
      </c>
      <c r="DD268" s="48" t="n">
        <f aca="false">IF(103&gt;Fin,DC$268,IF(AND(DD$8=1,ISNUMBER(Reales!DD83)),IF(Reales!$C$83="PYG",IF(DD$10&gt;0,N(Reales!DD83)/DD$10,0),N(Reales!DD83)),DD$249*V_DPOmp/DiasMes+(DD$250+DD$252+DD$255+DD$256)*V_DPOot/DiasMes))</f>
        <v>157307.379810441</v>
      </c>
      <c r="DE268" s="48" t="n">
        <f aca="false">IF(104&gt;Fin,DD$268,IF(AND(DE$8=1,ISNUMBER(Reales!DE83)),IF(Reales!$C$83="PYG",IF(DE$10&gt;0,N(Reales!DE83)/DE$10,0),N(Reales!DE83)),DE$249*V_DPOmp/DiasMes+(DE$250+DE$252+DE$255+DE$256)*V_DPOot/DiasMes))</f>
        <v>157307.379810441</v>
      </c>
      <c r="DF268" s="48" t="n">
        <f aca="false">IF(105&gt;Fin,DE$268,IF(AND(DF$8=1,ISNUMBER(Reales!DF83)),IF(Reales!$C$83="PYG",IF(DF$10&gt;0,N(Reales!DF83)/DF$10,0),N(Reales!DF83)),DF$249*V_DPOmp/DiasMes+(DF$250+DF$252+DF$255+DF$256)*V_DPOot/DiasMes))</f>
        <v>157307.379810441</v>
      </c>
      <c r="DG268" s="48" t="n">
        <f aca="false">IF(106&gt;Fin,DF$268,IF(AND(DG$8=1,ISNUMBER(Reales!DG83)),IF(Reales!$C$83="PYG",IF(DG$10&gt;0,N(Reales!DG83)/DG$10,0),N(Reales!DG83)),DG$249*V_DPOmp/DiasMes+(DG$250+DG$252+DG$255+DG$256)*V_DPOot/DiasMes))</f>
        <v>157307.379810441</v>
      </c>
      <c r="DH268" s="48" t="n">
        <f aca="false">IF(107&gt;Fin,DG$268,IF(AND(DH$8=1,ISNUMBER(Reales!DH83)),IF(Reales!$C$83="PYG",IF(DH$10&gt;0,N(Reales!DH83)/DH$10,0),N(Reales!DH83)),DH$249*V_DPOmp/DiasMes+(DH$250+DH$252+DH$255+DH$256)*V_DPOot/DiasMes))</f>
        <v>157307.379810441</v>
      </c>
      <c r="DI268" s="48" t="n">
        <f aca="false">IF(108&gt;Fin,DH$268,IF(AND(DI$8=1,ISNUMBER(Reales!DI83)),IF(Reales!$C$83="PYG",IF(DI$10&gt;0,N(Reales!DI83)/DI$10,0),N(Reales!DI83)),DI$249*V_DPOmp/DiasMes+(DI$250+DI$252+DI$255+DI$256)*V_DPOot/DiasMes))</f>
        <v>157307.379810441</v>
      </c>
      <c r="DJ268" s="48" t="n">
        <f aca="false">IF(109&gt;Fin,DI$268,IF(AND(DJ$8=1,ISNUMBER(Reales!DJ83)),IF(Reales!$C$83="PYG",IF(DJ$10&gt;0,N(Reales!DJ83)/DJ$10,0),N(Reales!DJ83)),DJ$249*V_DPOmp/DiasMes+(DJ$250+DJ$252+DJ$255+DJ$256)*V_DPOot/DiasMes))</f>
        <v>158331.694422986</v>
      </c>
      <c r="DK268" s="48" t="n">
        <f aca="false">IF(110&gt;Fin,DJ$268,IF(AND(DK$8=1,ISNUMBER(Reales!DK83)),IF(Reales!$C$83="PYG",IF(DK$10&gt;0,N(Reales!DK83)/DK$10,0),N(Reales!DK83)),DK$249*V_DPOmp/DiasMes+(DK$250+DK$252+DK$255+DK$256)*V_DPOot/DiasMes))</f>
        <v>158331.694422986</v>
      </c>
      <c r="DL268" s="48" t="n">
        <f aca="false">IF(111&gt;Fin,DK$268,IF(AND(DL$8=1,ISNUMBER(Reales!DL83)),IF(Reales!$C$83="PYG",IF(DL$10&gt;0,N(Reales!DL83)/DL$10,0),N(Reales!DL83)),DL$249*V_DPOmp/DiasMes+(DL$250+DL$252+DL$255+DL$256)*V_DPOot/DiasMes))</f>
        <v>158331.694422986</v>
      </c>
      <c r="DM268" s="48" t="n">
        <f aca="false">IF(112&gt;Fin,DL$268,IF(AND(DM$8=1,ISNUMBER(Reales!DM83)),IF(Reales!$C$83="PYG",IF(DM$10&gt;0,N(Reales!DM83)/DM$10,0),N(Reales!DM83)),DM$249*V_DPOmp/DiasMes+(DM$250+DM$252+DM$255+DM$256)*V_DPOot/DiasMes))</f>
        <v>158331.694422986</v>
      </c>
      <c r="DN268" s="48" t="n">
        <f aca="false">IF(113&gt;Fin,DM$268,IF(AND(DN$8=1,ISNUMBER(Reales!DN83)),IF(Reales!$C$83="PYG",IF(DN$10&gt;0,N(Reales!DN83)/DN$10,0),N(Reales!DN83)),DN$249*V_DPOmp/DiasMes+(DN$250+DN$252+DN$255+DN$256)*V_DPOot/DiasMes))</f>
        <v>158331.694422986</v>
      </c>
      <c r="DO268" s="48" t="n">
        <f aca="false">IF(114&gt;Fin,DN$268,IF(AND(DO$8=1,ISNUMBER(Reales!DO83)),IF(Reales!$C$83="PYG",IF(DO$10&gt;0,N(Reales!DO83)/DO$10,0),N(Reales!DO83)),DO$249*V_DPOmp/DiasMes+(DO$250+DO$252+DO$255+DO$256)*V_DPOot/DiasMes))</f>
        <v>158331.694422986</v>
      </c>
      <c r="DP268" s="48" t="n">
        <f aca="false">IF(115&gt;Fin,DO$268,IF(AND(DP$8=1,ISNUMBER(Reales!DP83)),IF(Reales!$C$83="PYG",IF(DP$10&gt;0,N(Reales!DP83)/DP$10,0),N(Reales!DP83)),DP$249*V_DPOmp/DiasMes+(DP$250+DP$252+DP$255+DP$256)*V_DPOot/DiasMes))</f>
        <v>158331.694422986</v>
      </c>
      <c r="DQ268" s="48" t="n">
        <f aca="false">IF(116&gt;Fin,DP$268,IF(AND(DQ$8=1,ISNUMBER(Reales!DQ83)),IF(Reales!$C$83="PYG",IF(DQ$10&gt;0,N(Reales!DQ83)/DQ$10,0),N(Reales!DQ83)),DQ$249*V_DPOmp/DiasMes+(DQ$250+DQ$252+DQ$255+DQ$256)*V_DPOot/DiasMes))</f>
        <v>158331.694422986</v>
      </c>
      <c r="DR268" s="48" t="n">
        <f aca="false">IF(117&gt;Fin,DQ$268,IF(AND(DR$8=1,ISNUMBER(Reales!DR83)),IF(Reales!$C$83="PYG",IF(DR$10&gt;0,N(Reales!DR83)/DR$10,0),N(Reales!DR83)),DR$249*V_DPOmp/DiasMes+(DR$250+DR$252+DR$255+DR$256)*V_DPOot/DiasMes))</f>
        <v>158331.694422986</v>
      </c>
      <c r="DS268" s="48" t="n">
        <f aca="false">IF(118&gt;Fin,DR$268,IF(AND(DS$8=1,ISNUMBER(Reales!DS83)),IF(Reales!$C$83="PYG",IF(DS$10&gt;0,N(Reales!DS83)/DS$10,0),N(Reales!DS83)),DS$249*V_DPOmp/DiasMes+(DS$250+DS$252+DS$255+DS$256)*V_DPOot/DiasMes))</f>
        <v>158331.694422986</v>
      </c>
      <c r="DT268" s="48" t="n">
        <f aca="false">IF(119&gt;Fin,DS$268,IF(AND(DT$8=1,ISNUMBER(Reales!DT83)),IF(Reales!$C$83="PYG",IF(DT$10&gt;0,N(Reales!DT83)/DT$10,0),N(Reales!DT83)),DT$249*V_DPOmp/DiasMes+(DT$250+DT$252+DT$255+DT$256)*V_DPOot/DiasMes))</f>
        <v>158331.694422986</v>
      </c>
      <c r="DU268" s="48" t="n">
        <f aca="false">IF(120&gt;Fin,DT$268,IF(AND(DU$8=1,ISNUMBER(Reales!DU83)),IF(Reales!$C$83="PYG",IF(DU$10&gt;0,N(Reales!DU83)/DU$10,0),N(Reales!DU83)),DU$249*V_DPOmp/DiasMes+(DU$250+DU$252+DU$255+DU$256)*V_DPOot/DiasMes))</f>
        <v>158331.694422986</v>
      </c>
      <c r="DV268" s="48" t="n">
        <f aca="false">IF(121&gt;Fin,DU$268,IF(AND(DV$8=1,ISNUMBER(Reales!DV83)),IF(Reales!$C$83="PYG",IF(DV$10&gt;0,N(Reales!DV83)/DV$10,0),N(Reales!DV83)),DV$249*V_DPOmp/DiasMes+(DV$250+DV$252+DV$255+DV$256)*V_DPOot/DiasMes))</f>
        <v>158331.694422986</v>
      </c>
      <c r="DW268" s="48" t="n">
        <f aca="false">IF(122&gt;Fin,DV$268,IF(AND(DW$8=1,ISNUMBER(Reales!DW83)),IF(Reales!$C$83="PYG",IF(DW$10&gt;0,N(Reales!DW83)/DW$10,0),N(Reales!DW83)),DW$249*V_DPOmp/DiasMes+(DW$250+DW$252+DW$255+DW$256)*V_DPOot/DiasMes))</f>
        <v>158331.694422986</v>
      </c>
      <c r="DX268" s="48" t="n">
        <f aca="false">IF(123&gt;Fin,DW$268,IF(AND(DX$8=1,ISNUMBER(Reales!DX83)),IF(Reales!$C$83="PYG",IF(DX$10&gt;0,N(Reales!DX83)/DX$10,0),N(Reales!DX83)),DX$249*V_DPOmp/DiasMes+(DX$250+DX$252+DX$255+DX$256)*V_DPOot/DiasMes))</f>
        <v>158331.694422986</v>
      </c>
      <c r="DY268" s="48" t="n">
        <f aca="false">IF(124&gt;Fin,DX$268,IF(AND(DY$8=1,ISNUMBER(Reales!DY83)),IF(Reales!$C$83="PYG",IF(DY$10&gt;0,N(Reales!DY83)/DY$10,0),N(Reales!DY83)),DY$249*V_DPOmp/DiasMes+(DY$250+DY$252+DY$255+DY$256)*V_DPOot/DiasMes))</f>
        <v>158331.694422986</v>
      </c>
      <c r="DZ268" s="48" t="n">
        <f aca="false">IF(125&gt;Fin,DY$268,IF(AND(DZ$8=1,ISNUMBER(Reales!DZ83)),IF(Reales!$C$83="PYG",IF(DZ$10&gt;0,N(Reales!DZ83)/DZ$10,0),N(Reales!DZ83)),DZ$249*V_DPOmp/DiasMes+(DZ$250+DZ$252+DZ$255+DZ$256)*V_DPOot/DiasMes))</f>
        <v>158331.694422986</v>
      </c>
      <c r="EA268" s="48" t="n">
        <f aca="false">IF(126&gt;Fin,DZ$268,IF(AND(EA$8=1,ISNUMBER(Reales!EA83)),IF(Reales!$C$83="PYG",IF(EA$10&gt;0,N(Reales!EA83)/EA$10,0),N(Reales!EA83)),EA$249*V_DPOmp/DiasMes+(EA$250+EA$252+EA$255+EA$256)*V_DPOot/DiasMes))</f>
        <v>158331.694422986</v>
      </c>
      <c r="EB268" s="48" t="n">
        <f aca="false">IF(127&gt;Fin,EA$268,IF(AND(EB$8=1,ISNUMBER(Reales!EB83)),IF(Reales!$C$83="PYG",IF(EB$10&gt;0,N(Reales!EB83)/EB$10,0),N(Reales!EB83)),EB$249*V_DPOmp/DiasMes+(EB$250+EB$252+EB$255+EB$256)*V_DPOot/DiasMes))</f>
        <v>158331.694422986</v>
      </c>
      <c r="EC268" s="48" t="n">
        <f aca="false">IF(128&gt;Fin,EB$268,IF(AND(EC$8=1,ISNUMBER(Reales!EC83)),IF(Reales!$C$83="PYG",IF(EC$10&gt;0,N(Reales!EC83)/EC$10,0),N(Reales!EC83)),EC$249*V_DPOmp/DiasMes+(EC$250+EC$252+EC$255+EC$256)*V_DPOot/DiasMes))</f>
        <v>158331.694422986</v>
      </c>
      <c r="ED268" s="48" t="n">
        <f aca="false">IF(129&gt;Fin,EC$268,IF(AND(ED$8=1,ISNUMBER(Reales!ED83)),IF(Reales!$C$83="PYG",IF(ED$10&gt;0,N(Reales!ED83)/ED$10,0),N(Reales!ED83)),ED$249*V_DPOmp/DiasMes+(ED$250+ED$252+ED$255+ED$256)*V_DPOot/DiasMes))</f>
        <v>158331.694422986</v>
      </c>
      <c r="EE268" s="48" t="n">
        <f aca="false">IF(130&gt;Fin,ED$268,IF(AND(EE$8=1,ISNUMBER(Reales!EE83)),IF(Reales!$C$83="PYG",IF(EE$10&gt;0,N(Reales!EE83)/EE$10,0),N(Reales!EE83)),EE$249*V_DPOmp/DiasMes+(EE$250+EE$252+EE$255+EE$256)*V_DPOot/DiasMes))</f>
        <v>158331.694422986</v>
      </c>
      <c r="EF268" s="48" t="n">
        <f aca="false">IF(131&gt;Fin,EE$268,IF(AND(EF$8=1,ISNUMBER(Reales!EF83)),IF(Reales!$C$83="PYG",IF(EF$10&gt;0,N(Reales!EF83)/EF$10,0),N(Reales!EF83)),EF$249*V_DPOmp/DiasMes+(EF$250+EF$252+EF$255+EF$256)*V_DPOot/DiasMes))</f>
        <v>158331.694422986</v>
      </c>
      <c r="EG268" s="48" t="n">
        <f aca="false">IF(132&gt;Fin,EF$268,IF(AND(EG$8=1,ISNUMBER(Reales!EG83)),IF(Reales!$C$83="PYG",IF(EG$10&gt;0,N(Reales!EG83)/EG$10,0),N(Reales!EG83)),EG$249*V_DPOmp/DiasMes+(EG$250+EG$252+EG$255+EG$256)*V_DPOot/DiasMes))</f>
        <v>158331.694422986</v>
      </c>
      <c r="EH268" s="48" t="n">
        <f aca="false">IF(133&gt;Fin,EG$268,IF(AND(EH$8=1,ISNUMBER(Reales!EH83)),IF(Reales!$C$83="PYG",IF(EH$10&gt;0,N(Reales!EH83)/EH$10,0),N(Reales!EH83)),EH$249*V_DPOmp/DiasMes+(EH$250+EH$252+EH$255+EH$256)*V_DPOot/DiasMes))</f>
        <v>158331.694422986</v>
      </c>
      <c r="EI268" s="48" t="n">
        <f aca="false">IF(134&gt;Fin,EH$268,IF(AND(EI$8=1,ISNUMBER(Reales!EI83)),IF(Reales!$C$83="PYG",IF(EI$10&gt;0,N(Reales!EI83)/EI$10,0),N(Reales!EI83)),EI$249*V_DPOmp/DiasMes+(EI$250+EI$252+EI$255+EI$256)*V_DPOot/DiasMes))</f>
        <v>158331.694422986</v>
      </c>
      <c r="EJ268" s="48" t="n">
        <f aca="false">IF(135&gt;Fin,EI$268,IF(AND(EJ$8=1,ISNUMBER(Reales!EJ83)),IF(Reales!$C$83="PYG",IF(EJ$10&gt;0,N(Reales!EJ83)/EJ$10,0),N(Reales!EJ83)),EJ$249*V_DPOmp/DiasMes+(EJ$250+EJ$252+EJ$255+EJ$256)*V_DPOot/DiasMes))</f>
        <v>158331.694422986</v>
      </c>
      <c r="EK268" s="48" t="n">
        <f aca="false">IF(136&gt;Fin,EJ$268,IF(AND(EK$8=1,ISNUMBER(Reales!EK83)),IF(Reales!$C$83="PYG",IF(EK$10&gt;0,N(Reales!EK83)/EK$10,0),N(Reales!EK83)),EK$249*V_DPOmp/DiasMes+(EK$250+EK$252+EK$255+EK$256)*V_DPOot/DiasMes))</f>
        <v>158331.694422986</v>
      </c>
      <c r="EL268" s="48" t="n">
        <f aca="false">IF(137&gt;Fin,EK$268,IF(AND(EL$8=1,ISNUMBER(Reales!EL83)),IF(Reales!$C$83="PYG",IF(EL$10&gt;0,N(Reales!EL83)/EL$10,0),N(Reales!EL83)),EL$249*V_DPOmp/DiasMes+(EL$250+EL$252+EL$255+EL$256)*V_DPOot/DiasMes))</f>
        <v>158331.694422986</v>
      </c>
      <c r="EM268" s="48" t="n">
        <f aca="false">IF(138&gt;Fin,EL$268,IF(AND(EM$8=1,ISNUMBER(Reales!EM83)),IF(Reales!$C$83="PYG",IF(EM$10&gt;0,N(Reales!EM83)/EM$10,0),N(Reales!EM83)),EM$249*V_DPOmp/DiasMes+(EM$250+EM$252+EM$255+EM$256)*V_DPOot/DiasMes))</f>
        <v>158331.694422986</v>
      </c>
      <c r="EN268" s="48" t="n">
        <f aca="false">IF(139&gt;Fin,EM$268,IF(AND(EN$8=1,ISNUMBER(Reales!EN83)),IF(Reales!$C$83="PYG",IF(EN$10&gt;0,N(Reales!EN83)/EN$10,0),N(Reales!EN83)),EN$249*V_DPOmp/DiasMes+(EN$250+EN$252+EN$255+EN$256)*V_DPOot/DiasMes))</f>
        <v>158331.694422986</v>
      </c>
      <c r="EO268" s="48" t="n">
        <f aca="false">IF(140&gt;Fin,EN$268,IF(AND(EO$8=1,ISNUMBER(Reales!EO83)),IF(Reales!$C$83="PYG",IF(EO$10&gt;0,N(Reales!EO83)/EO$10,0),N(Reales!EO83)),EO$249*V_DPOmp/DiasMes+(EO$250+EO$252+EO$255+EO$256)*V_DPOot/DiasMes))</f>
        <v>158331.694422986</v>
      </c>
      <c r="EP268" s="48" t="n">
        <f aca="false">IF(141&gt;Fin,EO$268,IF(AND(EP$8=1,ISNUMBER(Reales!EP83)),IF(Reales!$C$83="PYG",IF(EP$10&gt;0,N(Reales!EP83)/EP$10,0),N(Reales!EP83)),EP$249*V_DPOmp/DiasMes+(EP$250+EP$252+EP$255+EP$256)*V_DPOot/DiasMes))</f>
        <v>158331.694422986</v>
      </c>
      <c r="EQ268" s="48" t="n">
        <f aca="false">IF(142&gt;Fin,EP$268,IF(AND(EQ$8=1,ISNUMBER(Reales!EQ83)),IF(Reales!$C$83="PYG",IF(EQ$10&gt;0,N(Reales!EQ83)/EQ$10,0),N(Reales!EQ83)),EQ$249*V_DPOmp/DiasMes+(EQ$250+EQ$252+EQ$255+EQ$256)*V_DPOot/DiasMes))</f>
        <v>158331.694422986</v>
      </c>
      <c r="ER268" s="48" t="n">
        <f aca="false">IF(143&gt;Fin,EQ$268,IF(AND(ER$8=1,ISNUMBER(Reales!ER83)),IF(Reales!$C$83="PYG",IF(ER$10&gt;0,N(Reales!ER83)/ER$10,0),N(Reales!ER83)),ER$249*V_DPOmp/DiasMes+(ER$250+ER$252+ER$255+ER$256)*V_DPOot/DiasMes))</f>
        <v>158331.694422986</v>
      </c>
      <c r="ES268" s="48" t="n">
        <f aca="false">IF(144&gt;Fin,ER$268,IF(AND(ES$8=1,ISNUMBER(Reales!ES83)),IF(Reales!$C$83="PYG",IF(ES$10&gt;0,N(Reales!ES83)/ES$10,0),N(Reales!ES83)),ES$249*V_DPOmp/DiasMes+(ES$250+ES$252+ES$255+ES$256)*V_DPOot/DiasMes))</f>
        <v>158331.694422986</v>
      </c>
    </row>
    <row r="269" customFormat="false" ht="15" hidden="false" customHeight="false" outlineLevel="0" collapsed="false">
      <c r="A269" s="11" t="s">
        <v>1389</v>
      </c>
      <c r="B269" s="67" t="s">
        <v>1194</v>
      </c>
      <c r="C269" s="15" t="s">
        <v>508</v>
      </c>
      <c r="E269" s="54" t="n">
        <f aca="false">MAX(F269:ES269)</f>
        <v>4499762.51732228</v>
      </c>
      <c r="F269" s="19" t="n">
        <f aca="false">F$265+F$266+F$267-F$268</f>
        <v>2388063.88735903</v>
      </c>
      <c r="G269" s="19" t="n">
        <f aca="false">G$265+G$266+G$267-G$268</f>
        <v>2388063.88735903</v>
      </c>
      <c r="H269" s="19" t="n">
        <f aca="false">H$265+H$266+H$267-H$268</f>
        <v>2388063.88735903</v>
      </c>
      <c r="I269" s="19" t="n">
        <f aca="false">I$265+I$266+I$267-I$268</f>
        <v>2388063.88735903</v>
      </c>
      <c r="J269" s="19" t="n">
        <f aca="false">J$265+J$266+J$267-J$268</f>
        <v>2388063.88735903</v>
      </c>
      <c r="K269" s="19" t="n">
        <f aca="false">K$265+K$266+K$267-K$268</f>
        <v>2388063.88735903</v>
      </c>
      <c r="L269" s="19" t="n">
        <f aca="false">L$265+L$266+L$267-L$268</f>
        <v>2388063.88735903</v>
      </c>
      <c r="M269" s="19" t="n">
        <f aca="false">M$265+M$266+M$267-M$268</f>
        <v>2388063.88735903</v>
      </c>
      <c r="N269" s="19" t="n">
        <f aca="false">N$265+N$266+N$267-N$268</f>
        <v>2388063.88735903</v>
      </c>
      <c r="O269" s="19" t="n">
        <f aca="false">O$265+O$266+O$267-O$268</f>
        <v>2388063.88735903</v>
      </c>
      <c r="P269" s="19" t="n">
        <f aca="false">P$265+P$266+P$267-P$268</f>
        <v>2388063.88735903</v>
      </c>
      <c r="Q269" s="19" t="n">
        <f aca="false">Q$265+Q$266+Q$267-Q$268</f>
        <v>2388063.88735903</v>
      </c>
      <c r="R269" s="19" t="n">
        <f aca="false">R$265+R$266+R$267-R$268</f>
        <v>3043209.33175467</v>
      </c>
      <c r="S269" s="19" t="n">
        <f aca="false">S$265+S$266+S$267-S$268</f>
        <v>3043209.33175467</v>
      </c>
      <c r="T269" s="19" t="n">
        <f aca="false">T$265+T$266+T$267-T$268</f>
        <v>3043209.33175467</v>
      </c>
      <c r="U269" s="19" t="n">
        <f aca="false">U$265+U$266+U$267-U$268</f>
        <v>3043209.33175467</v>
      </c>
      <c r="V269" s="19" t="n">
        <f aca="false">V$265+V$266+V$267-V$268</f>
        <v>3043209.33175467</v>
      </c>
      <c r="W269" s="19" t="n">
        <f aca="false">W$265+W$266+W$267-W$268</f>
        <v>3043209.33175467</v>
      </c>
      <c r="X269" s="19" t="n">
        <f aca="false">X$265+X$266+X$267-X$268</f>
        <v>3043209.33175467</v>
      </c>
      <c r="Y269" s="19" t="n">
        <f aca="false">Y$265+Y$266+Y$267-Y$268</f>
        <v>3043209.33175467</v>
      </c>
      <c r="Z269" s="19" t="n">
        <f aca="false">Z$265+Z$266+Z$267-Z$268</f>
        <v>3043209.33175467</v>
      </c>
      <c r="AA269" s="19" t="n">
        <f aca="false">AA$265+AA$266+AA$267-AA$268</f>
        <v>3043209.33175467</v>
      </c>
      <c r="AB269" s="19" t="n">
        <f aca="false">AB$265+AB$266+AB$267-AB$268</f>
        <v>3043209.33175467</v>
      </c>
      <c r="AC269" s="19" t="n">
        <f aca="false">AC$265+AC$266+AC$267-AC$268</f>
        <v>3043209.33175467</v>
      </c>
      <c r="AD269" s="19" t="n">
        <f aca="false">AD$265+AD$266+AD$267-AD$268</f>
        <v>3710536.2623871</v>
      </c>
      <c r="AE269" s="19" t="n">
        <f aca="false">AE$265+AE$266+AE$267-AE$268</f>
        <v>3710536.2623871</v>
      </c>
      <c r="AF269" s="19" t="n">
        <f aca="false">AF$265+AF$266+AF$267-AF$268</f>
        <v>3710536.2623871</v>
      </c>
      <c r="AG269" s="19" t="n">
        <f aca="false">AG$265+AG$266+AG$267-AG$268</f>
        <v>3710536.2623871</v>
      </c>
      <c r="AH269" s="19" t="n">
        <f aca="false">AH$265+AH$266+AH$267-AH$268</f>
        <v>3710536.2623871</v>
      </c>
      <c r="AI269" s="19" t="n">
        <f aca="false">AI$265+AI$266+AI$267-AI$268</f>
        <v>3710536.2623871</v>
      </c>
      <c r="AJ269" s="19" t="n">
        <f aca="false">AJ$265+AJ$266+AJ$267-AJ$268</f>
        <v>3710536.2623871</v>
      </c>
      <c r="AK269" s="19" t="n">
        <f aca="false">AK$265+AK$266+AK$267-AK$268</f>
        <v>3710536.2623871</v>
      </c>
      <c r="AL269" s="19" t="n">
        <f aca="false">AL$265+AL$266+AL$267-AL$268</f>
        <v>3710536.2623871</v>
      </c>
      <c r="AM269" s="19" t="n">
        <f aca="false">AM$265+AM$266+AM$267-AM$268</f>
        <v>3710536.2623871</v>
      </c>
      <c r="AN269" s="19" t="n">
        <f aca="false">AN$265+AN$266+AN$267-AN$268</f>
        <v>3710536.2623871</v>
      </c>
      <c r="AO269" s="19" t="n">
        <f aca="false">AO$265+AO$266+AO$267-AO$268</f>
        <v>3710536.2623871</v>
      </c>
      <c r="AP269" s="19" t="n">
        <f aca="false">AP$265+AP$266+AP$267-AP$268</f>
        <v>4269345.33232041</v>
      </c>
      <c r="AQ269" s="19" t="n">
        <f aca="false">AQ$265+AQ$266+AQ$267-AQ$268</f>
        <v>4269345.33232041</v>
      </c>
      <c r="AR269" s="19" t="n">
        <f aca="false">AR$265+AR$266+AR$267-AR$268</f>
        <v>4269345.33232041</v>
      </c>
      <c r="AS269" s="19" t="n">
        <f aca="false">AS$265+AS$266+AS$267-AS$268</f>
        <v>4269345.33232041</v>
      </c>
      <c r="AT269" s="19" t="n">
        <f aca="false">AT$265+AT$266+AT$267-AT$268</f>
        <v>4269345.33232041</v>
      </c>
      <c r="AU269" s="19" t="n">
        <f aca="false">AU$265+AU$266+AU$267-AU$268</f>
        <v>4269345.33232041</v>
      </c>
      <c r="AV269" s="19" t="n">
        <f aca="false">AV$265+AV$266+AV$267-AV$268</f>
        <v>4269345.33232041</v>
      </c>
      <c r="AW269" s="19" t="n">
        <f aca="false">AW$265+AW$266+AW$267-AW$268</f>
        <v>4269345.33232041</v>
      </c>
      <c r="AX269" s="19" t="n">
        <f aca="false">AX$265+AX$266+AX$267-AX$268</f>
        <v>4269345.33232041</v>
      </c>
      <c r="AY269" s="19" t="n">
        <f aca="false">AY$265+AY$266+AY$267-AY$268</f>
        <v>4269345.33232041</v>
      </c>
      <c r="AZ269" s="19" t="n">
        <f aca="false">AZ$265+AZ$266+AZ$267-AZ$268</f>
        <v>4269345.33232041</v>
      </c>
      <c r="BA269" s="19" t="n">
        <f aca="false">BA$265+BA$266+BA$267-BA$268</f>
        <v>4269345.33232041</v>
      </c>
      <c r="BB269" s="19" t="n">
        <f aca="false">BB$265+BB$266+BB$267-BB$268</f>
        <v>4307454.88002627</v>
      </c>
      <c r="BC269" s="19" t="n">
        <f aca="false">BC$265+BC$266+BC$267-BC$268</f>
        <v>4307454.88002627</v>
      </c>
      <c r="BD269" s="19" t="n">
        <f aca="false">BD$265+BD$266+BD$267-BD$268</f>
        <v>4307454.88002627</v>
      </c>
      <c r="BE269" s="19" t="n">
        <f aca="false">BE$265+BE$266+BE$267-BE$268</f>
        <v>4307454.88002627</v>
      </c>
      <c r="BF269" s="19" t="n">
        <f aca="false">BF$265+BF$266+BF$267-BF$268</f>
        <v>4307454.88002627</v>
      </c>
      <c r="BG269" s="19" t="n">
        <f aca="false">BG$265+BG$266+BG$267-BG$268</f>
        <v>4307454.88002627</v>
      </c>
      <c r="BH269" s="19" t="n">
        <f aca="false">BH$265+BH$266+BH$267-BH$268</f>
        <v>4307454.88002627</v>
      </c>
      <c r="BI269" s="19" t="n">
        <f aca="false">BI$265+BI$266+BI$267-BI$268</f>
        <v>4307454.88002627</v>
      </c>
      <c r="BJ269" s="19" t="n">
        <f aca="false">BJ$265+BJ$266+BJ$267-BJ$268</f>
        <v>4307454.88002627</v>
      </c>
      <c r="BK269" s="19" t="n">
        <f aca="false">BK$265+BK$266+BK$267-BK$268</f>
        <v>4307454.88002627</v>
      </c>
      <c r="BL269" s="19" t="n">
        <f aca="false">BL$265+BL$266+BL$267-BL$268</f>
        <v>4307454.88002627</v>
      </c>
      <c r="BM269" s="19" t="n">
        <f aca="false">BM$265+BM$266+BM$267-BM$268</f>
        <v>4307454.88002627</v>
      </c>
      <c r="BN269" s="19" t="n">
        <f aca="false">BN$265+BN$266+BN$267-BN$268</f>
        <v>4345179.73649487</v>
      </c>
      <c r="BO269" s="19" t="n">
        <f aca="false">BO$265+BO$266+BO$267-BO$268</f>
        <v>4345179.73649487</v>
      </c>
      <c r="BP269" s="19" t="n">
        <f aca="false">BP$265+BP$266+BP$267-BP$268</f>
        <v>4345179.73649487</v>
      </c>
      <c r="BQ269" s="19" t="n">
        <f aca="false">BQ$265+BQ$266+BQ$267-BQ$268</f>
        <v>4345179.73649487</v>
      </c>
      <c r="BR269" s="19" t="n">
        <f aca="false">BR$265+BR$266+BR$267-BR$268</f>
        <v>4345179.73649487</v>
      </c>
      <c r="BS269" s="19" t="n">
        <f aca="false">BS$265+BS$266+BS$267-BS$268</f>
        <v>4345179.73649487</v>
      </c>
      <c r="BT269" s="19" t="n">
        <f aca="false">BT$265+BT$266+BT$267-BT$268</f>
        <v>4345179.73649487</v>
      </c>
      <c r="BU269" s="19" t="n">
        <f aca="false">BU$265+BU$266+BU$267-BU$268</f>
        <v>4345179.73649487</v>
      </c>
      <c r="BV269" s="19" t="n">
        <f aca="false">BV$265+BV$266+BV$267-BV$268</f>
        <v>4345179.73649487</v>
      </c>
      <c r="BW269" s="19" t="n">
        <f aca="false">BW$265+BW$266+BW$267-BW$268</f>
        <v>4345179.73649487</v>
      </c>
      <c r="BX269" s="19" t="n">
        <f aca="false">BX$265+BX$266+BX$267-BX$268</f>
        <v>4345179.73649487</v>
      </c>
      <c r="BY269" s="19" t="n">
        <f aca="false">BY$265+BY$266+BY$267-BY$268</f>
        <v>4345179.73649487</v>
      </c>
      <c r="BZ269" s="19" t="n">
        <f aca="false">BZ$265+BZ$266+BZ$267-BZ$268</f>
        <v>4383269.62971965</v>
      </c>
      <c r="CA269" s="19" t="n">
        <f aca="false">CA$265+CA$266+CA$267-CA$268</f>
        <v>4383269.62971965</v>
      </c>
      <c r="CB269" s="19" t="n">
        <f aca="false">CB$265+CB$266+CB$267-CB$268</f>
        <v>4383269.62971965</v>
      </c>
      <c r="CC269" s="19" t="n">
        <f aca="false">CC$265+CC$266+CC$267-CC$268</f>
        <v>4383269.62971965</v>
      </c>
      <c r="CD269" s="19" t="n">
        <f aca="false">CD$265+CD$266+CD$267-CD$268</f>
        <v>4383269.62971965</v>
      </c>
      <c r="CE269" s="19" t="n">
        <f aca="false">CE$265+CE$266+CE$267-CE$268</f>
        <v>4383269.62971965</v>
      </c>
      <c r="CF269" s="19" t="n">
        <f aca="false">CF$265+CF$266+CF$267-CF$268</f>
        <v>4383269.62971965</v>
      </c>
      <c r="CG269" s="19" t="n">
        <f aca="false">CG$265+CG$266+CG$267-CG$268</f>
        <v>4383269.62971965</v>
      </c>
      <c r="CH269" s="19" t="n">
        <f aca="false">CH$265+CH$266+CH$267-CH$268</f>
        <v>4383269.62971965</v>
      </c>
      <c r="CI269" s="19" t="n">
        <f aca="false">CI$265+CI$266+CI$267-CI$268</f>
        <v>4383269.62971965</v>
      </c>
      <c r="CJ269" s="19" t="n">
        <f aca="false">CJ$265+CJ$266+CJ$267-CJ$268</f>
        <v>4383269.62971965</v>
      </c>
      <c r="CK269" s="19" t="n">
        <f aca="false">CK$265+CK$266+CK$267-CK$268</f>
        <v>4383269.62971965</v>
      </c>
      <c r="CL269" s="19" t="n">
        <f aca="false">CL$265+CL$266+CL$267-CL$268</f>
        <v>4421727.84741417</v>
      </c>
      <c r="CM269" s="19" t="n">
        <f aca="false">CM$265+CM$266+CM$267-CM$268</f>
        <v>4421727.84741417</v>
      </c>
      <c r="CN269" s="19" t="n">
        <f aca="false">CN$265+CN$266+CN$267-CN$268</f>
        <v>4421727.84741417</v>
      </c>
      <c r="CO269" s="19" t="n">
        <f aca="false">CO$265+CO$266+CO$267-CO$268</f>
        <v>4421727.84741417</v>
      </c>
      <c r="CP269" s="19" t="n">
        <f aca="false">CP$265+CP$266+CP$267-CP$268</f>
        <v>4421727.84741417</v>
      </c>
      <c r="CQ269" s="19" t="n">
        <f aca="false">CQ$265+CQ$266+CQ$267-CQ$268</f>
        <v>4421727.84741417</v>
      </c>
      <c r="CR269" s="19" t="n">
        <f aca="false">CR$265+CR$266+CR$267-CR$268</f>
        <v>4421727.84741417</v>
      </c>
      <c r="CS269" s="19" t="n">
        <f aca="false">CS$265+CS$266+CS$267-CS$268</f>
        <v>4421727.84741417</v>
      </c>
      <c r="CT269" s="19" t="n">
        <f aca="false">CT$265+CT$266+CT$267-CT$268</f>
        <v>4421727.84741417</v>
      </c>
      <c r="CU269" s="19" t="n">
        <f aca="false">CU$265+CU$266+CU$267-CU$268</f>
        <v>4421727.84741417</v>
      </c>
      <c r="CV269" s="19" t="n">
        <f aca="false">CV$265+CV$266+CV$267-CV$268</f>
        <v>4421727.84741417</v>
      </c>
      <c r="CW269" s="19" t="n">
        <f aca="false">CW$265+CW$266+CW$267-CW$268</f>
        <v>4421727.84741417</v>
      </c>
      <c r="CX269" s="19" t="n">
        <f aca="false">CX$265+CX$266+CX$267-CX$268</f>
        <v>4460557.6993635</v>
      </c>
      <c r="CY269" s="19" t="n">
        <f aca="false">CY$265+CY$266+CY$267-CY$268</f>
        <v>4460557.6993635</v>
      </c>
      <c r="CZ269" s="19" t="n">
        <f aca="false">CZ$265+CZ$266+CZ$267-CZ$268</f>
        <v>4460557.6993635</v>
      </c>
      <c r="DA269" s="19" t="n">
        <f aca="false">DA$265+DA$266+DA$267-DA$268</f>
        <v>4460557.6993635</v>
      </c>
      <c r="DB269" s="19" t="n">
        <f aca="false">DB$265+DB$266+DB$267-DB$268</f>
        <v>4460557.6993635</v>
      </c>
      <c r="DC269" s="19" t="n">
        <f aca="false">DC$265+DC$266+DC$267-DC$268</f>
        <v>4460557.6993635</v>
      </c>
      <c r="DD269" s="19" t="n">
        <f aca="false">DD$265+DD$266+DD$267-DD$268</f>
        <v>4460557.6993635</v>
      </c>
      <c r="DE269" s="19" t="n">
        <f aca="false">DE$265+DE$266+DE$267-DE$268</f>
        <v>4460557.6993635</v>
      </c>
      <c r="DF269" s="19" t="n">
        <f aca="false">DF$265+DF$266+DF$267-DF$268</f>
        <v>4460557.6993635</v>
      </c>
      <c r="DG269" s="19" t="n">
        <f aca="false">DG$265+DG$266+DG$267-DG$268</f>
        <v>4460557.6993635</v>
      </c>
      <c r="DH269" s="19" t="n">
        <f aca="false">DH$265+DH$266+DH$267-DH$268</f>
        <v>4460557.6993635</v>
      </c>
      <c r="DI269" s="19" t="n">
        <f aca="false">DI$265+DI$266+DI$267-DI$268</f>
        <v>4460557.6993635</v>
      </c>
      <c r="DJ269" s="19" t="n">
        <f aca="false">DJ$265+DJ$266+DJ$267-DJ$268</f>
        <v>4499762.51732228</v>
      </c>
      <c r="DK269" s="19" t="n">
        <f aca="false">DK$265+DK$266+DK$267-DK$268</f>
        <v>4499762.51732228</v>
      </c>
      <c r="DL269" s="19" t="n">
        <f aca="false">DL$265+DL$266+DL$267-DL$268</f>
        <v>4499762.51732228</v>
      </c>
      <c r="DM269" s="19" t="n">
        <f aca="false">DM$265+DM$266+DM$267-DM$268</f>
        <v>4499762.51732228</v>
      </c>
      <c r="DN269" s="19" t="n">
        <f aca="false">DN$265+DN$266+DN$267-DN$268</f>
        <v>4499762.51732228</v>
      </c>
      <c r="DO269" s="19" t="n">
        <f aca="false">DO$265+DO$266+DO$267-DO$268</f>
        <v>4499762.51732228</v>
      </c>
      <c r="DP269" s="19" t="n">
        <f aca="false">DP$265+DP$266+DP$267-DP$268</f>
        <v>4499762.51732228</v>
      </c>
      <c r="DQ269" s="19" t="n">
        <f aca="false">DQ$265+DQ$266+DQ$267-DQ$268</f>
        <v>4499762.51732228</v>
      </c>
      <c r="DR269" s="19" t="n">
        <f aca="false">DR$265+DR$266+DR$267-DR$268</f>
        <v>4499762.51732228</v>
      </c>
      <c r="DS269" s="19" t="n">
        <f aca="false">DS$265+DS$266+DS$267-DS$268</f>
        <v>4499762.51732228</v>
      </c>
      <c r="DT269" s="19" t="n">
        <f aca="false">DT$265+DT$266+DT$267-DT$268</f>
        <v>4499762.51732228</v>
      </c>
      <c r="DU269" s="19" t="n">
        <f aca="false">DU$265+DU$266+DU$267-DU$268</f>
        <v>4499762.51732228</v>
      </c>
      <c r="DV269" s="19" t="n">
        <f aca="false">DV$265+DV$266+DV$267-DV$268</f>
        <v>4499762.51732228</v>
      </c>
      <c r="DW269" s="19" t="n">
        <f aca="false">DW$265+DW$266+DW$267-DW$268</f>
        <v>4499762.51732228</v>
      </c>
      <c r="DX269" s="19" t="n">
        <f aca="false">DX$265+DX$266+DX$267-DX$268</f>
        <v>4499762.51732228</v>
      </c>
      <c r="DY269" s="19" t="n">
        <f aca="false">DY$265+DY$266+DY$267-DY$268</f>
        <v>4499762.51732228</v>
      </c>
      <c r="DZ269" s="19" t="n">
        <f aca="false">DZ$265+DZ$266+DZ$267-DZ$268</f>
        <v>4499762.51732228</v>
      </c>
      <c r="EA269" s="19" t="n">
        <f aca="false">EA$265+EA$266+EA$267-EA$268</f>
        <v>4499762.51732228</v>
      </c>
      <c r="EB269" s="19" t="n">
        <f aca="false">EB$265+EB$266+EB$267-EB$268</f>
        <v>4499762.51732228</v>
      </c>
      <c r="EC269" s="19" t="n">
        <f aca="false">EC$265+EC$266+EC$267-EC$268</f>
        <v>4499762.51732228</v>
      </c>
      <c r="ED269" s="19" t="n">
        <f aca="false">ED$265+ED$266+ED$267-ED$268</f>
        <v>4499762.51732228</v>
      </c>
      <c r="EE269" s="19" t="n">
        <f aca="false">EE$265+EE$266+EE$267-EE$268</f>
        <v>4499762.51732228</v>
      </c>
      <c r="EF269" s="19" t="n">
        <f aca="false">EF$265+EF$266+EF$267-EF$268</f>
        <v>4499762.51732228</v>
      </c>
      <c r="EG269" s="19" t="n">
        <f aca="false">EG$265+EG$266+EG$267-EG$268</f>
        <v>4499762.51732228</v>
      </c>
      <c r="EH269" s="19" t="n">
        <f aca="false">EH$265+EH$266+EH$267-EH$268</f>
        <v>4499762.51732228</v>
      </c>
      <c r="EI269" s="19" t="n">
        <f aca="false">EI$265+EI$266+EI$267-EI$268</f>
        <v>4499762.51732228</v>
      </c>
      <c r="EJ269" s="19" t="n">
        <f aca="false">EJ$265+EJ$266+EJ$267-EJ$268</f>
        <v>4499762.51732228</v>
      </c>
      <c r="EK269" s="19" t="n">
        <f aca="false">EK$265+EK$266+EK$267-EK$268</f>
        <v>4499762.51732228</v>
      </c>
      <c r="EL269" s="19" t="n">
        <f aca="false">EL$265+EL$266+EL$267-EL$268</f>
        <v>4499762.51732228</v>
      </c>
      <c r="EM269" s="19" t="n">
        <f aca="false">EM$265+EM$266+EM$267-EM$268</f>
        <v>4499762.51732228</v>
      </c>
      <c r="EN269" s="19" t="n">
        <f aca="false">EN$265+EN$266+EN$267-EN$268</f>
        <v>4499762.51732228</v>
      </c>
      <c r="EO269" s="19" t="n">
        <f aca="false">EO$265+EO$266+EO$267-EO$268</f>
        <v>4499762.51732228</v>
      </c>
      <c r="EP269" s="19" t="n">
        <f aca="false">EP$265+EP$266+EP$267-EP$268</f>
        <v>4499762.51732228</v>
      </c>
      <c r="EQ269" s="19" t="n">
        <f aca="false">EQ$265+EQ$266+EQ$267-EQ$268</f>
        <v>4499762.51732228</v>
      </c>
      <c r="ER269" s="19" t="n">
        <f aca="false">ER$265+ER$266+ER$267-ER$268</f>
        <v>4499762.51732228</v>
      </c>
      <c r="ES269" s="19" t="n">
        <f aca="false">ES$265+ES$266+ES$267-ES$268</f>
        <v>4499762.51732228</v>
      </c>
    </row>
    <row r="270" customFormat="false" ht="15" hidden="false" customHeight="false" outlineLevel="0" collapsed="false">
      <c r="A270" s="11" t="s">
        <v>1390</v>
      </c>
      <c r="B270" s="15" t="s">
        <v>1196</v>
      </c>
      <c r="C270" s="15" t="s">
        <v>508</v>
      </c>
      <c r="E270" s="54" t="n">
        <f aca="false">SUM(F270:ES270)</f>
        <v>4499762.51732228</v>
      </c>
      <c r="F270" s="48" t="n">
        <f aca="false">F$269-0</f>
        <v>2388063.88735903</v>
      </c>
      <c r="G270" s="48" t="n">
        <f aca="false">G$269-F$269</f>
        <v>0</v>
      </c>
      <c r="H270" s="48" t="n">
        <f aca="false">H$269-G$269</f>
        <v>0</v>
      </c>
      <c r="I270" s="48" t="n">
        <f aca="false">I$269-H$269</f>
        <v>0</v>
      </c>
      <c r="J270" s="48" t="n">
        <f aca="false">J$269-I$269</f>
        <v>0</v>
      </c>
      <c r="K270" s="48" t="n">
        <f aca="false">K$269-J$269</f>
        <v>0</v>
      </c>
      <c r="L270" s="48" t="n">
        <f aca="false">L$269-K$269</f>
        <v>0</v>
      </c>
      <c r="M270" s="48" t="n">
        <f aca="false">M$269-L$269</f>
        <v>0</v>
      </c>
      <c r="N270" s="48" t="n">
        <f aca="false">N$269-M$269</f>
        <v>0</v>
      </c>
      <c r="O270" s="48" t="n">
        <f aca="false">O$269-N$269</f>
        <v>0</v>
      </c>
      <c r="P270" s="48" t="n">
        <f aca="false">P$269-O$269</f>
        <v>0</v>
      </c>
      <c r="Q270" s="48" t="n">
        <f aca="false">Q$269-P$269</f>
        <v>0</v>
      </c>
      <c r="R270" s="48" t="n">
        <f aca="false">R$269-Q$269</f>
        <v>655145.444395644</v>
      </c>
      <c r="S270" s="48" t="n">
        <f aca="false">S$269-R$269</f>
        <v>0</v>
      </c>
      <c r="T270" s="48" t="n">
        <f aca="false">T$269-S$269</f>
        <v>0</v>
      </c>
      <c r="U270" s="48" t="n">
        <f aca="false">U$269-T$269</f>
        <v>0</v>
      </c>
      <c r="V270" s="48" t="n">
        <f aca="false">V$269-U$269</f>
        <v>0</v>
      </c>
      <c r="W270" s="48" t="n">
        <f aca="false">W$269-V$269</f>
        <v>0</v>
      </c>
      <c r="X270" s="48" t="n">
        <f aca="false">X$269-W$269</f>
        <v>0</v>
      </c>
      <c r="Y270" s="48" t="n">
        <f aca="false">Y$269-X$269</f>
        <v>0</v>
      </c>
      <c r="Z270" s="48" t="n">
        <f aca="false">Z$269-Y$269</f>
        <v>0</v>
      </c>
      <c r="AA270" s="48" t="n">
        <f aca="false">AA$269-Z$269</f>
        <v>0</v>
      </c>
      <c r="AB270" s="48" t="n">
        <f aca="false">AB$269-AA$269</f>
        <v>0</v>
      </c>
      <c r="AC270" s="48" t="n">
        <f aca="false">AC$269-AB$269</f>
        <v>0</v>
      </c>
      <c r="AD270" s="48" t="n">
        <f aca="false">AD$269-AC$269</f>
        <v>667326.930632423</v>
      </c>
      <c r="AE270" s="48" t="n">
        <f aca="false">AE$269-AD$269</f>
        <v>0</v>
      </c>
      <c r="AF270" s="48" t="n">
        <f aca="false">AF$269-AE$269</f>
        <v>0</v>
      </c>
      <c r="AG270" s="48" t="n">
        <f aca="false">AG$269-AF$269</f>
        <v>0</v>
      </c>
      <c r="AH270" s="48" t="n">
        <f aca="false">AH$269-AG$269</f>
        <v>0</v>
      </c>
      <c r="AI270" s="48" t="n">
        <f aca="false">AI$269-AH$269</f>
        <v>0</v>
      </c>
      <c r="AJ270" s="48" t="n">
        <f aca="false">AJ$269-AI$269</f>
        <v>0</v>
      </c>
      <c r="AK270" s="48" t="n">
        <f aca="false">AK$269-AJ$269</f>
        <v>0</v>
      </c>
      <c r="AL270" s="48" t="n">
        <f aca="false">AL$269-AK$269</f>
        <v>0</v>
      </c>
      <c r="AM270" s="48" t="n">
        <f aca="false">AM$269-AL$269</f>
        <v>0</v>
      </c>
      <c r="AN270" s="48" t="n">
        <f aca="false">AN$269-AM$269</f>
        <v>0</v>
      </c>
      <c r="AO270" s="48" t="n">
        <f aca="false">AO$269-AN$269</f>
        <v>0</v>
      </c>
      <c r="AP270" s="48" t="n">
        <f aca="false">AP$269-AO$269</f>
        <v>558809.069933313</v>
      </c>
      <c r="AQ270" s="48" t="n">
        <f aca="false">AQ$269-AP$269</f>
        <v>0</v>
      </c>
      <c r="AR270" s="48" t="n">
        <f aca="false">AR$269-AQ$269</f>
        <v>0</v>
      </c>
      <c r="AS270" s="48" t="n">
        <f aca="false">AS$269-AR$269</f>
        <v>0</v>
      </c>
      <c r="AT270" s="48" t="n">
        <f aca="false">AT$269-AS$269</f>
        <v>0</v>
      </c>
      <c r="AU270" s="48" t="n">
        <f aca="false">AU$269-AT$269</f>
        <v>0</v>
      </c>
      <c r="AV270" s="48" t="n">
        <f aca="false">AV$269-AU$269</f>
        <v>0</v>
      </c>
      <c r="AW270" s="48" t="n">
        <f aca="false">AW$269-AV$269</f>
        <v>0</v>
      </c>
      <c r="AX270" s="48" t="n">
        <f aca="false">AX$269-AW$269</f>
        <v>0</v>
      </c>
      <c r="AY270" s="48" t="n">
        <f aca="false">AY$269-AX$269</f>
        <v>0</v>
      </c>
      <c r="AZ270" s="48" t="n">
        <f aca="false">AZ$269-AY$269</f>
        <v>0</v>
      </c>
      <c r="BA270" s="48" t="n">
        <f aca="false">BA$269-AZ$269</f>
        <v>0</v>
      </c>
      <c r="BB270" s="48" t="n">
        <f aca="false">BB$269-BA$269</f>
        <v>38109.5477058599</v>
      </c>
      <c r="BC270" s="48" t="n">
        <f aca="false">BC$269-BB$269</f>
        <v>0</v>
      </c>
      <c r="BD270" s="48" t="n">
        <f aca="false">BD$269-BC$269</f>
        <v>0</v>
      </c>
      <c r="BE270" s="48" t="n">
        <f aca="false">BE$269-BD$269</f>
        <v>0</v>
      </c>
      <c r="BF270" s="48" t="n">
        <f aca="false">BF$269-BE$269</f>
        <v>0</v>
      </c>
      <c r="BG270" s="48" t="n">
        <f aca="false">BG$269-BF$269</f>
        <v>0</v>
      </c>
      <c r="BH270" s="48" t="n">
        <f aca="false">BH$269-BG$269</f>
        <v>0</v>
      </c>
      <c r="BI270" s="48" t="n">
        <f aca="false">BI$269-BH$269</f>
        <v>0</v>
      </c>
      <c r="BJ270" s="48" t="n">
        <f aca="false">BJ$269-BI$269</f>
        <v>0</v>
      </c>
      <c r="BK270" s="48" t="n">
        <f aca="false">BK$269-BJ$269</f>
        <v>0</v>
      </c>
      <c r="BL270" s="48" t="n">
        <f aca="false">BL$269-BK$269</f>
        <v>0</v>
      </c>
      <c r="BM270" s="48" t="n">
        <f aca="false">BM$269-BL$269</f>
        <v>0</v>
      </c>
      <c r="BN270" s="48" t="n">
        <f aca="false">BN$269-BM$269</f>
        <v>37724.8564685965</v>
      </c>
      <c r="BO270" s="48" t="n">
        <f aca="false">BO$269-BN$269</f>
        <v>0</v>
      </c>
      <c r="BP270" s="48" t="n">
        <f aca="false">BP$269-BO$269</f>
        <v>0</v>
      </c>
      <c r="BQ270" s="48" t="n">
        <f aca="false">BQ$269-BP$269</f>
        <v>0</v>
      </c>
      <c r="BR270" s="48" t="n">
        <f aca="false">BR$269-BQ$269</f>
        <v>0</v>
      </c>
      <c r="BS270" s="48" t="n">
        <f aca="false">BS$269-BR$269</f>
        <v>0</v>
      </c>
      <c r="BT270" s="48" t="n">
        <f aca="false">BT$269-BS$269</f>
        <v>0</v>
      </c>
      <c r="BU270" s="48" t="n">
        <f aca="false">BU$269-BT$269</f>
        <v>0</v>
      </c>
      <c r="BV270" s="48" t="n">
        <f aca="false">BV$269-BU$269</f>
        <v>0</v>
      </c>
      <c r="BW270" s="48" t="n">
        <f aca="false">BW$269-BV$269</f>
        <v>0</v>
      </c>
      <c r="BX270" s="48" t="n">
        <f aca="false">BX$269-BW$269</f>
        <v>0</v>
      </c>
      <c r="BY270" s="48" t="n">
        <f aca="false">BY$269-BX$269</f>
        <v>0</v>
      </c>
      <c r="BZ270" s="48" t="n">
        <f aca="false">BZ$269-BY$269</f>
        <v>38089.8932247814</v>
      </c>
      <c r="CA270" s="48" t="n">
        <f aca="false">CA$269-BZ$269</f>
        <v>0</v>
      </c>
      <c r="CB270" s="48" t="n">
        <f aca="false">CB$269-CA$269</f>
        <v>0</v>
      </c>
      <c r="CC270" s="48" t="n">
        <f aca="false">CC$269-CB$269</f>
        <v>0</v>
      </c>
      <c r="CD270" s="48" t="n">
        <f aca="false">CD$269-CC$269</f>
        <v>0</v>
      </c>
      <c r="CE270" s="48" t="n">
        <f aca="false">CE$269-CD$269</f>
        <v>0</v>
      </c>
      <c r="CF270" s="48" t="n">
        <f aca="false">CF$269-CE$269</f>
        <v>0</v>
      </c>
      <c r="CG270" s="48" t="n">
        <f aca="false">CG$269-CF$269</f>
        <v>0</v>
      </c>
      <c r="CH270" s="48" t="n">
        <f aca="false">CH$269-CG$269</f>
        <v>0</v>
      </c>
      <c r="CI270" s="48" t="n">
        <f aca="false">CI$269-CH$269</f>
        <v>0</v>
      </c>
      <c r="CJ270" s="48" t="n">
        <f aca="false">CJ$269-CI$269</f>
        <v>0</v>
      </c>
      <c r="CK270" s="48" t="n">
        <f aca="false">CK$269-CJ$269</f>
        <v>0</v>
      </c>
      <c r="CL270" s="48" t="n">
        <f aca="false">CL$269-CK$269</f>
        <v>38458.2176945182</v>
      </c>
      <c r="CM270" s="48" t="n">
        <f aca="false">CM$269-CL$269</f>
        <v>0</v>
      </c>
      <c r="CN270" s="48" t="n">
        <f aca="false">CN$269-CM$269</f>
        <v>0</v>
      </c>
      <c r="CO270" s="48" t="n">
        <f aca="false">CO$269-CN$269</f>
        <v>0</v>
      </c>
      <c r="CP270" s="48" t="n">
        <f aca="false">CP$269-CO$269</f>
        <v>0</v>
      </c>
      <c r="CQ270" s="48" t="n">
        <f aca="false">CQ$269-CP$269</f>
        <v>0</v>
      </c>
      <c r="CR270" s="48" t="n">
        <f aca="false">CR$269-CQ$269</f>
        <v>0</v>
      </c>
      <c r="CS270" s="48" t="n">
        <f aca="false">CS$269-CR$269</f>
        <v>0</v>
      </c>
      <c r="CT270" s="48" t="n">
        <f aca="false">CT$269-CS$269</f>
        <v>0</v>
      </c>
      <c r="CU270" s="48" t="n">
        <f aca="false">CU$269-CT$269</f>
        <v>0</v>
      </c>
      <c r="CV270" s="48" t="n">
        <f aca="false">CV$269-CU$269</f>
        <v>0</v>
      </c>
      <c r="CW270" s="48" t="n">
        <f aca="false">CW$269-CV$269</f>
        <v>0</v>
      </c>
      <c r="CX270" s="48" t="n">
        <f aca="false">CX$269-CW$269</f>
        <v>38829.851949336</v>
      </c>
      <c r="CY270" s="48" t="n">
        <f aca="false">CY$269-CX$269</f>
        <v>0</v>
      </c>
      <c r="CZ270" s="48" t="n">
        <f aca="false">CZ$269-CY$269</f>
        <v>0</v>
      </c>
      <c r="DA270" s="48" t="n">
        <f aca="false">DA$269-CZ$269</f>
        <v>0</v>
      </c>
      <c r="DB270" s="48" t="n">
        <f aca="false">DB$269-DA$269</f>
        <v>0</v>
      </c>
      <c r="DC270" s="48" t="n">
        <f aca="false">DC$269-DB$269</f>
        <v>0</v>
      </c>
      <c r="DD270" s="48" t="n">
        <f aca="false">DD$269-DC$269</f>
        <v>0</v>
      </c>
      <c r="DE270" s="48" t="n">
        <f aca="false">DE$269-DD$269</f>
        <v>0</v>
      </c>
      <c r="DF270" s="48" t="n">
        <f aca="false">DF$269-DE$269</f>
        <v>0</v>
      </c>
      <c r="DG270" s="48" t="n">
        <f aca="false">DG$269-DF$269</f>
        <v>0</v>
      </c>
      <c r="DH270" s="48" t="n">
        <f aca="false">DH$269-DG$269</f>
        <v>0</v>
      </c>
      <c r="DI270" s="48" t="n">
        <f aca="false">DI$269-DH$269</f>
        <v>0</v>
      </c>
      <c r="DJ270" s="48" t="n">
        <f aca="false">DJ$269-DI$269</f>
        <v>39204.8179587778</v>
      </c>
      <c r="DK270" s="48" t="n">
        <f aca="false">DK$269-DJ$269</f>
        <v>0</v>
      </c>
      <c r="DL270" s="48" t="n">
        <f aca="false">DL$269-DK$269</f>
        <v>0</v>
      </c>
      <c r="DM270" s="48" t="n">
        <f aca="false">DM$269-DL$269</f>
        <v>0</v>
      </c>
      <c r="DN270" s="48" t="n">
        <f aca="false">DN$269-DM$269</f>
        <v>0</v>
      </c>
      <c r="DO270" s="48" t="n">
        <f aca="false">DO$269-DN$269</f>
        <v>0</v>
      </c>
      <c r="DP270" s="48" t="n">
        <f aca="false">DP$269-DO$269</f>
        <v>0</v>
      </c>
      <c r="DQ270" s="48" t="n">
        <f aca="false">DQ$269-DP$269</f>
        <v>0</v>
      </c>
      <c r="DR270" s="48" t="n">
        <f aca="false">DR$269-DQ$269</f>
        <v>0</v>
      </c>
      <c r="DS270" s="48" t="n">
        <f aca="false">DS$269-DR$269</f>
        <v>0</v>
      </c>
      <c r="DT270" s="48" t="n">
        <f aca="false">DT$269-DS$269</f>
        <v>0</v>
      </c>
      <c r="DU270" s="48" t="n">
        <f aca="false">DU$269-DT$269</f>
        <v>0</v>
      </c>
      <c r="DV270" s="48" t="n">
        <f aca="false">DV$269-DU$269</f>
        <v>0</v>
      </c>
      <c r="DW270" s="48" t="n">
        <f aca="false">DW$269-DV$269</f>
        <v>0</v>
      </c>
      <c r="DX270" s="48" t="n">
        <f aca="false">DX$269-DW$269</f>
        <v>0</v>
      </c>
      <c r="DY270" s="48" t="n">
        <f aca="false">DY$269-DX$269</f>
        <v>0</v>
      </c>
      <c r="DZ270" s="48" t="n">
        <f aca="false">DZ$269-DY$269</f>
        <v>0</v>
      </c>
      <c r="EA270" s="48" t="n">
        <f aca="false">EA$269-DZ$269</f>
        <v>0</v>
      </c>
      <c r="EB270" s="48" t="n">
        <f aca="false">EB$269-EA$269</f>
        <v>0</v>
      </c>
      <c r="EC270" s="48" t="n">
        <f aca="false">EC$269-EB$269</f>
        <v>0</v>
      </c>
      <c r="ED270" s="48" t="n">
        <f aca="false">ED$269-EC$269</f>
        <v>0</v>
      </c>
      <c r="EE270" s="48" t="n">
        <f aca="false">EE$269-ED$269</f>
        <v>0</v>
      </c>
      <c r="EF270" s="48" t="n">
        <f aca="false">EF$269-EE$269</f>
        <v>0</v>
      </c>
      <c r="EG270" s="48" t="n">
        <f aca="false">EG$269-EF$269</f>
        <v>0</v>
      </c>
      <c r="EH270" s="48" t="n">
        <f aca="false">EH$269-EG$269</f>
        <v>0</v>
      </c>
      <c r="EI270" s="48" t="n">
        <f aca="false">EI$269-EH$269</f>
        <v>0</v>
      </c>
      <c r="EJ270" s="48" t="n">
        <f aca="false">EJ$269-EI$269</f>
        <v>0</v>
      </c>
      <c r="EK270" s="48" t="n">
        <f aca="false">EK$269-EJ$269</f>
        <v>0</v>
      </c>
      <c r="EL270" s="48" t="n">
        <f aca="false">EL$269-EK$269</f>
        <v>0</v>
      </c>
      <c r="EM270" s="48" t="n">
        <f aca="false">EM$269-EL$269</f>
        <v>0</v>
      </c>
      <c r="EN270" s="48" t="n">
        <f aca="false">EN$269-EM$269</f>
        <v>0</v>
      </c>
      <c r="EO270" s="48" t="n">
        <f aca="false">EO$269-EN$269</f>
        <v>0</v>
      </c>
      <c r="EP270" s="48" t="n">
        <f aca="false">EP$269-EO$269</f>
        <v>0</v>
      </c>
      <c r="EQ270" s="48" t="n">
        <f aca="false">EQ$269-EP$269</f>
        <v>0</v>
      </c>
      <c r="ER270" s="48" t="n">
        <f aca="false">ER$269-EQ$269</f>
        <v>0</v>
      </c>
      <c r="ES270" s="48" t="n">
        <f aca="false">ES$269-ER$269</f>
        <v>0</v>
      </c>
    </row>
    <row r="271" customFormat="false" ht="15" hidden="false" customHeight="false" outlineLevel="0" collapsed="false">
      <c r="A271" s="13"/>
      <c r="B271" s="12" t="s">
        <v>1197</v>
      </c>
      <c r="C271" s="13"/>
      <c r="D271" s="13"/>
      <c r="E271" s="13"/>
    </row>
    <row r="272" customFormat="false" ht="15" hidden="false" customHeight="false" outlineLevel="0" collapsed="false">
      <c r="A272" s="11" t="s">
        <v>1391</v>
      </c>
      <c r="B272" s="67" t="s">
        <v>1199</v>
      </c>
      <c r="C272" s="15" t="s">
        <v>508</v>
      </c>
      <c r="E272" s="54" t="n">
        <f aca="false">SUM(F272:ES272)</f>
        <v>11809741.4989387</v>
      </c>
      <c r="F272" s="19" t="n">
        <f aca="false">(F$258-F$262-F$270)*F$9</f>
        <v>-2345566.38688344</v>
      </c>
      <c r="G272" s="19" t="n">
        <f aca="false">(G$258-G$262-G$270)*G$9</f>
        <v>42497.5004755897</v>
      </c>
      <c r="H272" s="19" t="n">
        <f aca="false">(H$258-H$262-H$270)*H$9</f>
        <v>42497.5004755897</v>
      </c>
      <c r="I272" s="19" t="n">
        <f aca="false">(I$258-I$262-I$270)*I$9</f>
        <v>42497.5004755897</v>
      </c>
      <c r="J272" s="19" t="n">
        <f aca="false">(J$258-J$262-J$270)*J$9</f>
        <v>42497.5004755897</v>
      </c>
      <c r="K272" s="19" t="n">
        <f aca="false">(K$258-K$262-K$270)*K$9</f>
        <v>42497.5004755897</v>
      </c>
      <c r="L272" s="19" t="n">
        <f aca="false">(L$258-L$262-L$270)*L$9</f>
        <v>42497.5004755897</v>
      </c>
      <c r="M272" s="19" t="n">
        <f aca="false">(M$258-M$262-M$270)*M$9</f>
        <v>42497.5004755897</v>
      </c>
      <c r="N272" s="19" t="n">
        <f aca="false">(N$258-N$262-N$270)*N$9</f>
        <v>42497.5004755897</v>
      </c>
      <c r="O272" s="19" t="n">
        <f aca="false">(O$258-O$262-O$270)*O$9</f>
        <v>42497.5004755897</v>
      </c>
      <c r="P272" s="19" t="n">
        <f aca="false">(P$258-P$262-P$270)*P$9</f>
        <v>42497.5004755897</v>
      </c>
      <c r="Q272" s="19" t="n">
        <f aca="false">(Q$258-Q$262-Q$270)*Q$9</f>
        <v>42497.5004755897</v>
      </c>
      <c r="R272" s="19" t="n">
        <f aca="false">(R$258-R$262-R$270)*R$9</f>
        <v>-574649.041401679</v>
      </c>
      <c r="S272" s="19" t="n">
        <f aca="false">(S$258-S$262-S$270)*S$9</f>
        <v>80496.4029939648</v>
      </c>
      <c r="T272" s="19" t="n">
        <f aca="false">(T$258-T$262-T$270)*T$9</f>
        <v>80496.4029939648</v>
      </c>
      <c r="U272" s="19" t="n">
        <f aca="false">(U$258-U$262-U$270)*U$9</f>
        <v>80496.4029939648</v>
      </c>
      <c r="V272" s="19" t="n">
        <f aca="false">(V$258-V$262-V$270)*V$9</f>
        <v>80496.4029939648</v>
      </c>
      <c r="W272" s="19" t="n">
        <f aca="false">(W$258-W$262-W$270)*W$9</f>
        <v>80496.4029939648</v>
      </c>
      <c r="X272" s="19" t="n">
        <f aca="false">(X$258-X$262-X$270)*X$9</f>
        <v>80496.4029939648</v>
      </c>
      <c r="Y272" s="19" t="n">
        <f aca="false">(Y$258-Y$262-Y$270)*Y$9</f>
        <v>80496.4029939648</v>
      </c>
      <c r="Z272" s="19" t="n">
        <f aca="false">(Z$258-Z$262-Z$270)*Z$9</f>
        <v>80496.4029939648</v>
      </c>
      <c r="AA272" s="19" t="n">
        <f aca="false">(AA$258-AA$262-AA$270)*AA$9</f>
        <v>80496.4029939648</v>
      </c>
      <c r="AB272" s="19" t="n">
        <f aca="false">(AB$258-AB$262-AB$270)*AB$9</f>
        <v>80496.4029939648</v>
      </c>
      <c r="AC272" s="19" t="n">
        <f aca="false">(AC$258-AC$262-AC$270)*AC$9</f>
        <v>80496.4029939648</v>
      </c>
      <c r="AD272" s="19" t="n">
        <f aca="false">(AD$258-AD$262-AD$270)*AD$9</f>
        <v>-550241.899767298</v>
      </c>
      <c r="AE272" s="19" t="n">
        <f aca="false">(AE$258-AE$262-AE$270)*AE$9</f>
        <v>117085.030865125</v>
      </c>
      <c r="AF272" s="19" t="n">
        <f aca="false">(AF$258-AF$262-AF$270)*AF$9</f>
        <v>117085.030865125</v>
      </c>
      <c r="AG272" s="19" t="n">
        <f aca="false">(AG$258-AG$262-AG$270)*AG$9</f>
        <v>117085.030865125</v>
      </c>
      <c r="AH272" s="19" t="n">
        <f aca="false">(AH$258-AH$262-AH$270)*AH$9</f>
        <v>117085.030865125</v>
      </c>
      <c r="AI272" s="19" t="n">
        <f aca="false">(AI$258-AI$262-AI$270)*AI$9</f>
        <v>117085.030865125</v>
      </c>
      <c r="AJ272" s="19" t="n">
        <f aca="false">(AJ$258-AJ$262-AJ$270)*AJ$9</f>
        <v>117085.030865125</v>
      </c>
      <c r="AK272" s="19" t="n">
        <f aca="false">(AK$258-AK$262-AK$270)*AK$9</f>
        <v>117085.030865125</v>
      </c>
      <c r="AL272" s="19" t="n">
        <f aca="false">(AL$258-AL$262-AL$270)*AL$9</f>
        <v>117085.030865125</v>
      </c>
      <c r="AM272" s="19" t="n">
        <f aca="false">(AM$258-AM$262-AM$270)*AM$9</f>
        <v>117085.030865125</v>
      </c>
      <c r="AN272" s="19" t="n">
        <f aca="false">(AN$258-AN$262-AN$270)*AN$9</f>
        <v>117085.030865125</v>
      </c>
      <c r="AO272" s="19" t="n">
        <f aca="false">(AO$258-AO$262-AO$270)*AO$9</f>
        <v>117085.030865125</v>
      </c>
      <c r="AP272" s="19" t="n">
        <f aca="false">(AP$258-AP$262-AP$270)*AP$9</f>
        <v>-408915.490053454</v>
      </c>
      <c r="AQ272" s="19" t="n">
        <f aca="false">(AQ$258-AQ$262-AQ$270)*AQ$9</f>
        <v>149893.579879858</v>
      </c>
      <c r="AR272" s="19" t="n">
        <f aca="false">(AR$258-AR$262-AR$270)*AR$9</f>
        <v>149893.579879858</v>
      </c>
      <c r="AS272" s="19" t="n">
        <f aca="false">(AS$258-AS$262-AS$270)*AS$9</f>
        <v>149893.579879858</v>
      </c>
      <c r="AT272" s="19" t="n">
        <f aca="false">(AT$258-AT$262-AT$270)*AT$9</f>
        <v>149893.579879858</v>
      </c>
      <c r="AU272" s="19" t="n">
        <f aca="false">(AU$258-AU$262-AU$270)*AU$9</f>
        <v>149893.579879858</v>
      </c>
      <c r="AV272" s="19" t="n">
        <f aca="false">(AV$258-AV$262-AV$270)*AV$9</f>
        <v>149893.579879858</v>
      </c>
      <c r="AW272" s="19" t="n">
        <f aca="false">(AW$258-AW$262-AW$270)*AW$9</f>
        <v>149893.579879858</v>
      </c>
      <c r="AX272" s="19" t="n">
        <f aca="false">(AX$258-AX$262-AX$270)*AX$9</f>
        <v>149893.579879858</v>
      </c>
      <c r="AY272" s="19" t="n">
        <f aca="false">(AY$258-AY$262-AY$270)*AY$9</f>
        <v>149893.579879858</v>
      </c>
      <c r="AZ272" s="19" t="n">
        <f aca="false">(AZ$258-AZ$262-AZ$270)*AZ$9</f>
        <v>149893.579879858</v>
      </c>
      <c r="BA272" s="19" t="n">
        <f aca="false">(BA$258-BA$262-BA$270)*BA$9</f>
        <v>149893.579879858</v>
      </c>
      <c r="BB272" s="19" t="n">
        <f aca="false">(BB$258-BB$262-BB$270)*BB$9</f>
        <v>113103.617170514</v>
      </c>
      <c r="BC272" s="19" t="n">
        <f aca="false">(BC$258-BC$262-BC$270)*BC$9</f>
        <v>151213.164876374</v>
      </c>
      <c r="BD272" s="19" t="n">
        <f aca="false">(BD$258-BD$262-BD$270)*BD$9</f>
        <v>151213.164876374</v>
      </c>
      <c r="BE272" s="19" t="n">
        <f aca="false">(BE$258-BE$262-BE$270)*BE$9</f>
        <v>151213.164876374</v>
      </c>
      <c r="BF272" s="19" t="n">
        <f aca="false">(BF$258-BF$262-BF$270)*BF$9</f>
        <v>151213.164876374</v>
      </c>
      <c r="BG272" s="19" t="n">
        <f aca="false">(BG$258-BG$262-BG$270)*BG$9</f>
        <v>151213.164876374</v>
      </c>
      <c r="BH272" s="19" t="n">
        <f aca="false">(BH$258-BH$262-BH$270)*BH$9</f>
        <v>151213.164876374</v>
      </c>
      <c r="BI272" s="19" t="n">
        <f aca="false">(BI$258-BI$262-BI$270)*BI$9</f>
        <v>151213.164876374</v>
      </c>
      <c r="BJ272" s="19" t="n">
        <f aca="false">(BJ$258-BJ$262-BJ$270)*BJ$9</f>
        <v>151213.164876374</v>
      </c>
      <c r="BK272" s="19" t="n">
        <f aca="false">(BK$258-BK$262-BK$270)*BK$9</f>
        <v>151213.164876374</v>
      </c>
      <c r="BL272" s="19" t="n">
        <f aca="false">(BL$258-BL$262-BL$270)*BL$9</f>
        <v>151213.164876374</v>
      </c>
      <c r="BM272" s="19" t="n">
        <f aca="false">(BM$258-BM$262-BM$270)*BM$9</f>
        <v>151213.164876374</v>
      </c>
      <c r="BN272" s="19" t="n">
        <f aca="false">(BN$258-BN$262-BN$270)*BN$9</f>
        <v>117575.58532923</v>
      </c>
      <c r="BO272" s="19" t="n">
        <f aca="false">(BO$258-BO$262-BO$270)*BO$9</f>
        <v>155300.441797826</v>
      </c>
      <c r="BP272" s="19" t="n">
        <f aca="false">(BP$258-BP$262-BP$270)*BP$9</f>
        <v>155300.441797826</v>
      </c>
      <c r="BQ272" s="19" t="n">
        <f aca="false">(BQ$258-BQ$262-BQ$270)*BQ$9</f>
        <v>155300.441797826</v>
      </c>
      <c r="BR272" s="19" t="n">
        <f aca="false">(BR$258-BR$262-BR$270)*BR$9</f>
        <v>155300.441797826</v>
      </c>
      <c r="BS272" s="19" t="n">
        <f aca="false">(BS$258-BS$262-BS$270)*BS$9</f>
        <v>155300.441797826</v>
      </c>
      <c r="BT272" s="19" t="n">
        <f aca="false">(BT$258-BT$262-BT$270)*BT$9</f>
        <v>155300.441797826</v>
      </c>
      <c r="BU272" s="19" t="n">
        <f aca="false">(BU$258-BU$262-BU$270)*BU$9</f>
        <v>155300.441797826</v>
      </c>
      <c r="BV272" s="19" t="n">
        <f aca="false">(BV$258-BV$262-BV$270)*BV$9</f>
        <v>155300.441797826</v>
      </c>
      <c r="BW272" s="19" t="n">
        <f aca="false">(BW$258-BW$262-BW$270)*BW$9</f>
        <v>155300.441797826</v>
      </c>
      <c r="BX272" s="19" t="n">
        <f aca="false">(BX$258-BX$262-BX$270)*BX$9</f>
        <v>155300.441797826</v>
      </c>
      <c r="BY272" s="19" t="n">
        <f aca="false">(BY$258-BY$262-BY$270)*BY$9</f>
        <v>155300.441797826</v>
      </c>
      <c r="BZ272" s="19" t="n">
        <f aca="false">(BZ$258-BZ$262-BZ$270)*BZ$9</f>
        <v>121326.129264619</v>
      </c>
      <c r="CA272" s="19" t="n">
        <f aca="false">(CA$258-CA$262-CA$270)*CA$9</f>
        <v>159416.0224894</v>
      </c>
      <c r="CB272" s="19" t="n">
        <f aca="false">(CB$258-CB$262-CB$270)*CB$9</f>
        <v>159416.0224894</v>
      </c>
      <c r="CC272" s="19" t="n">
        <f aca="false">(CC$258-CC$262-CC$270)*CC$9</f>
        <v>159416.0224894</v>
      </c>
      <c r="CD272" s="19" t="n">
        <f aca="false">(CD$258-CD$262-CD$270)*CD$9</f>
        <v>159416.0224894</v>
      </c>
      <c r="CE272" s="19" t="n">
        <f aca="false">(CE$258-CE$262-CE$270)*CE$9</f>
        <v>159416.0224894</v>
      </c>
      <c r="CF272" s="19" t="n">
        <f aca="false">(CF$258-CF$262-CF$270)*CF$9</f>
        <v>159416.0224894</v>
      </c>
      <c r="CG272" s="19" t="n">
        <f aca="false">(CG$258-CG$262-CG$270)*CG$9</f>
        <v>159416.0224894</v>
      </c>
      <c r="CH272" s="19" t="n">
        <f aca="false">(CH$258-CH$262-CH$270)*CH$9</f>
        <v>159416.0224894</v>
      </c>
      <c r="CI272" s="19" t="n">
        <f aca="false">(CI$258-CI$262-CI$270)*CI$9</f>
        <v>159416.0224894</v>
      </c>
      <c r="CJ272" s="19" t="n">
        <f aca="false">(CJ$258-CJ$262-CJ$270)*CJ$9</f>
        <v>159416.0224894</v>
      </c>
      <c r="CK272" s="19" t="n">
        <f aca="false">(CK$258-CK$262-CK$270)*CK$9</f>
        <v>159416.0224894</v>
      </c>
      <c r="CL272" s="19" t="n">
        <f aca="false">(CL$258-CL$262-CL$270)*CL$9</f>
        <v>125101.600851769</v>
      </c>
      <c r="CM272" s="19" t="n">
        <f aca="false">(CM$258-CM$262-CM$270)*CM$9</f>
        <v>163559.818546287</v>
      </c>
      <c r="CN272" s="19" t="n">
        <f aca="false">(CN$258-CN$262-CN$270)*CN$9</f>
        <v>163559.818546287</v>
      </c>
      <c r="CO272" s="19" t="n">
        <f aca="false">(CO$258-CO$262-CO$270)*CO$9</f>
        <v>163559.818546287</v>
      </c>
      <c r="CP272" s="19" t="n">
        <f aca="false">(CP$258-CP$262-CP$270)*CP$9</f>
        <v>163559.818546287</v>
      </c>
      <c r="CQ272" s="19" t="n">
        <f aca="false">(CQ$258-CQ$262-CQ$270)*CQ$9</f>
        <v>163559.818546287</v>
      </c>
      <c r="CR272" s="19" t="n">
        <f aca="false">(CR$258-CR$262-CR$270)*CR$9</f>
        <v>163559.818546287</v>
      </c>
      <c r="CS272" s="19" t="n">
        <f aca="false">(CS$258-CS$262-CS$270)*CS$9</f>
        <v>163559.818546287</v>
      </c>
      <c r="CT272" s="19" t="n">
        <f aca="false">(CT$258-CT$262-CT$270)*CT$9</f>
        <v>163559.818546287</v>
      </c>
      <c r="CU272" s="19" t="n">
        <f aca="false">(CU$258-CU$262-CU$270)*CU$9</f>
        <v>163559.818546287</v>
      </c>
      <c r="CV272" s="19" t="n">
        <f aca="false">(CV$258-CV$262-CV$270)*CV$9</f>
        <v>163559.818546287</v>
      </c>
      <c r="CW272" s="19" t="n">
        <f aca="false">(CW$258-CW$262-CW$270)*CW$9</f>
        <v>163559.818546287</v>
      </c>
      <c r="CX272" s="19" t="n">
        <f aca="false">(CX$258-CX$262-CX$270)*CX$9</f>
        <v>128901.877699572</v>
      </c>
      <c r="CY272" s="19" t="n">
        <f aca="false">(CY$258-CY$262-CY$270)*CY$9</f>
        <v>167731.729648908</v>
      </c>
      <c r="CZ272" s="19" t="n">
        <f aca="false">(CZ$258-CZ$262-CZ$270)*CZ$9</f>
        <v>167731.729648908</v>
      </c>
      <c r="DA272" s="19" t="n">
        <f aca="false">(DA$258-DA$262-DA$270)*DA$9</f>
        <v>167731.729648908</v>
      </c>
      <c r="DB272" s="19" t="n">
        <f aca="false">(DB$258-DB$262-DB$270)*DB$9</f>
        <v>167731.729648908</v>
      </c>
      <c r="DC272" s="19" t="n">
        <f aca="false">(DC$258-DC$262-DC$270)*DC$9</f>
        <v>167731.729648908</v>
      </c>
      <c r="DD272" s="19" t="n">
        <f aca="false">(DD$258-DD$262-DD$270)*DD$9</f>
        <v>167731.729648908</v>
      </c>
      <c r="DE272" s="19" t="n">
        <f aca="false">(DE$258-DE$262-DE$270)*DE$9</f>
        <v>167731.729648908</v>
      </c>
      <c r="DF272" s="19" t="n">
        <f aca="false">(DF$258-DF$262-DF$270)*DF$9</f>
        <v>167731.729648908</v>
      </c>
      <c r="DG272" s="19" t="n">
        <f aca="false">(DG$258-DG$262-DG$270)*DG$9</f>
        <v>167731.729648908</v>
      </c>
      <c r="DH272" s="19" t="n">
        <f aca="false">(DH$258-DH$262-DH$270)*DH$9</f>
        <v>167731.729648908</v>
      </c>
      <c r="DI272" s="19" t="n">
        <f aca="false">(DI$258-DI$262-DI$270)*DI$9</f>
        <v>167731.729648908</v>
      </c>
      <c r="DJ272" s="19" t="n">
        <f aca="false">(DJ$258-DJ$262-DJ$270)*DJ$9</f>
        <v>132726.825156308</v>
      </c>
      <c r="DK272" s="19" t="n">
        <f aca="false">(DK$258-DK$262-DK$270)*DK$9</f>
        <v>171931.643115086</v>
      </c>
      <c r="DL272" s="19" t="n">
        <f aca="false">(DL$258-DL$262-DL$270)*DL$9</f>
        <v>171931.643115086</v>
      </c>
      <c r="DM272" s="19" t="n">
        <f aca="false">(DM$258-DM$262-DM$270)*DM$9</f>
        <v>171931.643115086</v>
      </c>
      <c r="DN272" s="19" t="n">
        <f aca="false">(DN$258-DN$262-DN$270)*DN$9</f>
        <v>171931.643115086</v>
      </c>
      <c r="DO272" s="19" t="n">
        <f aca="false">(DO$258-DO$262-DO$270)*DO$9</f>
        <v>171931.643115086</v>
      </c>
      <c r="DP272" s="19" t="n">
        <f aca="false">(DP$258-DP$262-DP$270)*DP$9</f>
        <v>171931.643115086</v>
      </c>
      <c r="DQ272" s="19" t="n">
        <f aca="false">(DQ$258-DQ$262-DQ$270)*DQ$9</f>
        <v>171931.643115086</v>
      </c>
      <c r="DR272" s="19" t="n">
        <f aca="false">(DR$258-DR$262-DR$270)*DR$9</f>
        <v>171931.643115086</v>
      </c>
      <c r="DS272" s="19" t="n">
        <f aca="false">(DS$258-DS$262-DS$270)*DS$9</f>
        <v>171931.643115086</v>
      </c>
      <c r="DT272" s="19" t="n">
        <f aca="false">(DT$258-DT$262-DT$270)*DT$9</f>
        <v>171931.643115086</v>
      </c>
      <c r="DU272" s="19" t="n">
        <f aca="false">(DU$258-DU$262-DU$270)*DU$9</f>
        <v>171931.643115086</v>
      </c>
      <c r="DV272" s="19" t="n">
        <f aca="false">(DV$258-DV$262-DV$270)*DV$9</f>
        <v>0</v>
      </c>
      <c r="DW272" s="19" t="n">
        <f aca="false">(DW$258-DW$262-DW$270)*DW$9</f>
        <v>0</v>
      </c>
      <c r="DX272" s="19" t="n">
        <f aca="false">(DX$258-DX$262-DX$270)*DX$9</f>
        <v>0</v>
      </c>
      <c r="DY272" s="19" t="n">
        <f aca="false">(DY$258-DY$262-DY$270)*DY$9</f>
        <v>0</v>
      </c>
      <c r="DZ272" s="19" t="n">
        <f aca="false">(DZ$258-DZ$262-DZ$270)*DZ$9</f>
        <v>0</v>
      </c>
      <c r="EA272" s="19" t="n">
        <f aca="false">(EA$258-EA$262-EA$270)*EA$9</f>
        <v>0</v>
      </c>
      <c r="EB272" s="19" t="n">
        <f aca="false">(EB$258-EB$262-EB$270)*EB$9</f>
        <v>0</v>
      </c>
      <c r="EC272" s="19" t="n">
        <f aca="false">(EC$258-EC$262-EC$270)*EC$9</f>
        <v>0</v>
      </c>
      <c r="ED272" s="19" t="n">
        <f aca="false">(ED$258-ED$262-ED$270)*ED$9</f>
        <v>0</v>
      </c>
      <c r="EE272" s="19" t="n">
        <f aca="false">(EE$258-EE$262-EE$270)*EE$9</f>
        <v>0</v>
      </c>
      <c r="EF272" s="19" t="n">
        <f aca="false">(EF$258-EF$262-EF$270)*EF$9</f>
        <v>0</v>
      </c>
      <c r="EG272" s="19" t="n">
        <f aca="false">(EG$258-EG$262-EG$270)*EG$9</f>
        <v>0</v>
      </c>
      <c r="EH272" s="19" t="n">
        <f aca="false">(EH$258-EH$262-EH$270)*EH$9</f>
        <v>0</v>
      </c>
      <c r="EI272" s="19" t="n">
        <f aca="false">(EI$258-EI$262-EI$270)*EI$9</f>
        <v>0</v>
      </c>
      <c r="EJ272" s="19" t="n">
        <f aca="false">(EJ$258-EJ$262-EJ$270)*EJ$9</f>
        <v>0</v>
      </c>
      <c r="EK272" s="19" t="n">
        <f aca="false">(EK$258-EK$262-EK$270)*EK$9</f>
        <v>0</v>
      </c>
      <c r="EL272" s="19" t="n">
        <f aca="false">(EL$258-EL$262-EL$270)*EL$9</f>
        <v>0</v>
      </c>
      <c r="EM272" s="19" t="n">
        <f aca="false">(EM$258-EM$262-EM$270)*EM$9</f>
        <v>0</v>
      </c>
      <c r="EN272" s="19" t="n">
        <f aca="false">(EN$258-EN$262-EN$270)*EN$9</f>
        <v>0</v>
      </c>
      <c r="EO272" s="19" t="n">
        <f aca="false">(EO$258-EO$262-EO$270)*EO$9</f>
        <v>0</v>
      </c>
      <c r="EP272" s="19" t="n">
        <f aca="false">(EP$258-EP$262-EP$270)*EP$9</f>
        <v>0</v>
      </c>
      <c r="EQ272" s="19" t="n">
        <f aca="false">(EQ$258-EQ$262-EQ$270)*EQ$9</f>
        <v>0</v>
      </c>
      <c r="ER272" s="19" t="n">
        <f aca="false">(ER$258-ER$262-ER$270)*ER$9</f>
        <v>0</v>
      </c>
      <c r="ES272" s="19" t="n">
        <f aca="false">(ES$258-ES$262-ES$270)*ES$9</f>
        <v>0</v>
      </c>
    </row>
    <row r="273" customFormat="false" ht="15" hidden="false" customHeight="false" outlineLevel="0" collapsed="false">
      <c r="A273" s="11" t="s">
        <v>1392</v>
      </c>
      <c r="B273" s="15" t="s">
        <v>1014</v>
      </c>
      <c r="C273" s="15" t="s">
        <v>508</v>
      </c>
      <c r="E273" s="54" t="n">
        <f aca="false">SUM(F273:ES273)</f>
        <v>755044.09</v>
      </c>
      <c r="F273" s="48" t="n">
        <f aca="false">IF(F$8=1,IF(Reales!$C$72="PYG",IF(F$10&gt;0,N(Reales!F72)/F$10,0),N(Reales!F72)),(SUMIF(Inv_Q,1,Inv_R)+SUMIF(Inv_Q,1,Inv_M)*(1+V_dCapex))*F$9)</f>
        <v>655044.09</v>
      </c>
      <c r="G273" s="48" t="n">
        <f aca="false">IF(G$8=1,IF(Reales!$C$72="PYG",IF(G$10&gt;0,N(Reales!G72)/G$10,0),N(Reales!G72)),(SUMIF(Inv_Q,2,Inv_R)+SUMIF(Inv_Q,2,Inv_M)*(1+V_dCapex))*G$9)</f>
        <v>0</v>
      </c>
      <c r="H273" s="48" t="n">
        <f aca="false">IF(H$8=1,IF(Reales!$C$72="PYG",IF(H$10&gt;0,N(Reales!H72)/H$10,0),N(Reales!H72)),(SUMIF(Inv_Q,3,Inv_R)+SUMIF(Inv_Q,3,Inv_M)*(1+V_dCapex))*H$9)</f>
        <v>0</v>
      </c>
      <c r="I273" s="48" t="n">
        <f aca="false">IF(I$8=1,IF(Reales!$C$72="PYG",IF(I$10&gt;0,N(Reales!I72)/I$10,0),N(Reales!I72)),(SUMIF(Inv_Q,4,Inv_R)+SUMIF(Inv_Q,4,Inv_M)*(1+V_dCapex))*I$9)</f>
        <v>0</v>
      </c>
      <c r="J273" s="48" t="n">
        <f aca="false">IF(J$8=1,IF(Reales!$C$72="PYG",IF(J$10&gt;0,N(Reales!J72)/J$10,0),N(Reales!J72)),(SUMIF(Inv_Q,5,Inv_R)+SUMIF(Inv_Q,5,Inv_M)*(1+V_dCapex))*J$9)</f>
        <v>0</v>
      </c>
      <c r="K273" s="48" t="n">
        <f aca="false">IF(K$8=1,IF(Reales!$C$72="PYG",IF(K$10&gt;0,N(Reales!K72)/K$10,0),N(Reales!K72)),(SUMIF(Inv_Q,6,Inv_R)+SUMIF(Inv_Q,6,Inv_M)*(1+V_dCapex))*K$9)</f>
        <v>0</v>
      </c>
      <c r="L273" s="48" t="n">
        <f aca="false">IF(L$8=1,IF(Reales!$C$72="PYG",IF(L$10&gt;0,N(Reales!L72)/L$10,0),N(Reales!L72)),(SUMIF(Inv_Q,7,Inv_R)+SUMIF(Inv_Q,7,Inv_M)*(1+V_dCapex))*L$9)</f>
        <v>0</v>
      </c>
      <c r="M273" s="48" t="n">
        <f aca="false">IF(M$8=1,IF(Reales!$C$72="PYG",IF(M$10&gt;0,N(Reales!M72)/M$10,0),N(Reales!M72)),(SUMIF(Inv_Q,8,Inv_R)+SUMIF(Inv_Q,8,Inv_M)*(1+V_dCapex))*M$9)</f>
        <v>0</v>
      </c>
      <c r="N273" s="48" t="n">
        <f aca="false">IF(N$8=1,IF(Reales!$C$72="PYG",IF(N$10&gt;0,N(Reales!N72)/N$10,0),N(Reales!N72)),(SUMIF(Inv_Q,9,Inv_R)+SUMIF(Inv_Q,9,Inv_M)*(1+V_dCapex))*N$9)</f>
        <v>0</v>
      </c>
      <c r="O273" s="48" t="n">
        <f aca="false">IF(O$8=1,IF(Reales!$C$72="PYG",IF(O$10&gt;0,N(Reales!O72)/O$10,0),N(Reales!O72)),(SUMIF(Inv_Q,10,Inv_R)+SUMIF(Inv_Q,10,Inv_M)*(1+V_dCapex))*O$9)</f>
        <v>0</v>
      </c>
      <c r="P273" s="48" t="n">
        <f aca="false">IF(P$8=1,IF(Reales!$C$72="PYG",IF(P$10&gt;0,N(Reales!P72)/P$10,0),N(Reales!P72)),(SUMIF(Inv_Q,11,Inv_R)+SUMIF(Inv_Q,11,Inv_M)*(1+V_dCapex))*P$9)</f>
        <v>0</v>
      </c>
      <c r="Q273" s="48" t="n">
        <f aca="false">IF(Q$8=1,IF(Reales!$C$72="PYG",IF(Q$10&gt;0,N(Reales!Q72)/Q$10,0),N(Reales!Q72)),(SUMIF(Inv_Q,12,Inv_R)+SUMIF(Inv_Q,12,Inv_M)*(1+V_dCapex))*Q$9)</f>
        <v>0</v>
      </c>
      <c r="R273" s="48" t="n">
        <f aca="false">IF(R$8=1,IF(Reales!$C$72="PYG",IF(R$10&gt;0,N(Reales!R72)/R$10,0),N(Reales!R72)),(SUMIF(Inv_Q,13,Inv_R)+SUMIF(Inv_Q,13,Inv_M)*(1+V_dCapex))*R$9)</f>
        <v>100000</v>
      </c>
      <c r="S273" s="48" t="n">
        <f aca="false">IF(S$8=1,IF(Reales!$C$72="PYG",IF(S$10&gt;0,N(Reales!S72)/S$10,0),N(Reales!S72)),(SUMIF(Inv_Q,14,Inv_R)+SUMIF(Inv_Q,14,Inv_M)*(1+V_dCapex))*S$9)</f>
        <v>0</v>
      </c>
      <c r="T273" s="48" t="n">
        <f aca="false">IF(T$8=1,IF(Reales!$C$72="PYG",IF(T$10&gt;0,N(Reales!T72)/T$10,0),N(Reales!T72)),(SUMIF(Inv_Q,15,Inv_R)+SUMIF(Inv_Q,15,Inv_M)*(1+V_dCapex))*T$9)</f>
        <v>0</v>
      </c>
      <c r="U273" s="48" t="n">
        <f aca="false">IF(U$8=1,IF(Reales!$C$72="PYG",IF(U$10&gt;0,N(Reales!U72)/U$10,0),N(Reales!U72)),(SUMIF(Inv_Q,16,Inv_R)+SUMIF(Inv_Q,16,Inv_M)*(1+V_dCapex))*U$9)</f>
        <v>0</v>
      </c>
      <c r="V273" s="48" t="n">
        <f aca="false">IF(V$8=1,IF(Reales!$C$72="PYG",IF(V$10&gt;0,N(Reales!V72)/V$10,0),N(Reales!V72)),(SUMIF(Inv_Q,17,Inv_R)+SUMIF(Inv_Q,17,Inv_M)*(1+V_dCapex))*V$9)</f>
        <v>0</v>
      </c>
      <c r="W273" s="48" t="n">
        <f aca="false">IF(W$8=1,IF(Reales!$C$72="PYG",IF(W$10&gt;0,N(Reales!W72)/W$10,0),N(Reales!W72)),(SUMIF(Inv_Q,18,Inv_R)+SUMIF(Inv_Q,18,Inv_M)*(1+V_dCapex))*W$9)</f>
        <v>0</v>
      </c>
      <c r="X273" s="48" t="n">
        <f aca="false">IF(X$8=1,IF(Reales!$C$72="PYG",IF(X$10&gt;0,N(Reales!X72)/X$10,0),N(Reales!X72)),(SUMIF(Inv_Q,19,Inv_R)+SUMIF(Inv_Q,19,Inv_M)*(1+V_dCapex))*X$9)</f>
        <v>0</v>
      </c>
      <c r="Y273" s="48" t="n">
        <f aca="false">IF(Y$8=1,IF(Reales!$C$72="PYG",IF(Y$10&gt;0,N(Reales!Y72)/Y$10,0),N(Reales!Y72)),(SUMIF(Inv_Q,20,Inv_R)+SUMIF(Inv_Q,20,Inv_M)*(1+V_dCapex))*Y$9)</f>
        <v>0</v>
      </c>
      <c r="Z273" s="48" t="n">
        <f aca="false">IF(Z$8=1,IF(Reales!$C$72="PYG",IF(Z$10&gt;0,N(Reales!Z72)/Z$10,0),N(Reales!Z72)),(SUMIF(Inv_Q,21,Inv_R)+SUMIF(Inv_Q,21,Inv_M)*(1+V_dCapex))*Z$9)</f>
        <v>0</v>
      </c>
      <c r="AA273" s="48" t="n">
        <f aca="false">IF(AA$8=1,IF(Reales!$C$72="PYG",IF(AA$10&gt;0,N(Reales!AA72)/AA$10,0),N(Reales!AA72)),(SUMIF(Inv_Q,22,Inv_R)+SUMIF(Inv_Q,22,Inv_M)*(1+V_dCapex))*AA$9)</f>
        <v>0</v>
      </c>
      <c r="AB273" s="48" t="n">
        <f aca="false">IF(AB$8=1,IF(Reales!$C$72="PYG",IF(AB$10&gt;0,N(Reales!AB72)/AB$10,0),N(Reales!AB72)),(SUMIF(Inv_Q,23,Inv_R)+SUMIF(Inv_Q,23,Inv_M)*(1+V_dCapex))*AB$9)</f>
        <v>0</v>
      </c>
      <c r="AC273" s="48" t="n">
        <f aca="false">IF(AC$8=1,IF(Reales!$C$72="PYG",IF(AC$10&gt;0,N(Reales!AC72)/AC$10,0),N(Reales!AC72)),(SUMIF(Inv_Q,24,Inv_R)+SUMIF(Inv_Q,24,Inv_M)*(1+V_dCapex))*AC$9)</f>
        <v>0</v>
      </c>
      <c r="AD273" s="48" t="n">
        <f aca="false">IF(AD$8=1,IF(Reales!$C$72="PYG",IF(AD$10&gt;0,N(Reales!AD72)/AD$10,0),N(Reales!AD72)),(SUMIF(Inv_Q,25,Inv_R)+SUMIF(Inv_Q,25,Inv_M)*(1+V_dCapex))*AD$9)</f>
        <v>0</v>
      </c>
      <c r="AE273" s="48" t="n">
        <f aca="false">IF(AE$8=1,IF(Reales!$C$72="PYG",IF(AE$10&gt;0,N(Reales!AE72)/AE$10,0),N(Reales!AE72)),(SUMIF(Inv_Q,26,Inv_R)+SUMIF(Inv_Q,26,Inv_M)*(1+V_dCapex))*AE$9)</f>
        <v>0</v>
      </c>
      <c r="AF273" s="48" t="n">
        <f aca="false">IF(AF$8=1,IF(Reales!$C$72="PYG",IF(AF$10&gt;0,N(Reales!AF72)/AF$10,0),N(Reales!AF72)),(SUMIF(Inv_Q,27,Inv_R)+SUMIF(Inv_Q,27,Inv_M)*(1+V_dCapex))*AF$9)</f>
        <v>0</v>
      </c>
      <c r="AG273" s="48" t="n">
        <f aca="false">IF(AG$8=1,IF(Reales!$C$72="PYG",IF(AG$10&gt;0,N(Reales!AG72)/AG$10,0),N(Reales!AG72)),(SUMIF(Inv_Q,28,Inv_R)+SUMIF(Inv_Q,28,Inv_M)*(1+V_dCapex))*AG$9)</f>
        <v>0</v>
      </c>
      <c r="AH273" s="48" t="n">
        <f aca="false">IF(AH$8=1,IF(Reales!$C$72="PYG",IF(AH$10&gt;0,N(Reales!AH72)/AH$10,0),N(Reales!AH72)),(SUMIF(Inv_Q,29,Inv_R)+SUMIF(Inv_Q,29,Inv_M)*(1+V_dCapex))*AH$9)</f>
        <v>0</v>
      </c>
      <c r="AI273" s="48" t="n">
        <f aca="false">IF(AI$8=1,IF(Reales!$C$72="PYG",IF(AI$10&gt;0,N(Reales!AI72)/AI$10,0),N(Reales!AI72)),(SUMIF(Inv_Q,30,Inv_R)+SUMIF(Inv_Q,30,Inv_M)*(1+V_dCapex))*AI$9)</f>
        <v>0</v>
      </c>
      <c r="AJ273" s="48" t="n">
        <f aca="false">IF(AJ$8=1,IF(Reales!$C$72="PYG",IF(AJ$10&gt;0,N(Reales!AJ72)/AJ$10,0),N(Reales!AJ72)),(SUMIF(Inv_Q,31,Inv_R)+SUMIF(Inv_Q,31,Inv_M)*(1+V_dCapex))*AJ$9)</f>
        <v>0</v>
      </c>
      <c r="AK273" s="48" t="n">
        <f aca="false">IF(AK$8=1,IF(Reales!$C$72="PYG",IF(AK$10&gt;0,N(Reales!AK72)/AK$10,0),N(Reales!AK72)),(SUMIF(Inv_Q,32,Inv_R)+SUMIF(Inv_Q,32,Inv_M)*(1+V_dCapex))*AK$9)</f>
        <v>0</v>
      </c>
      <c r="AL273" s="48" t="n">
        <f aca="false">IF(AL$8=1,IF(Reales!$C$72="PYG",IF(AL$10&gt;0,N(Reales!AL72)/AL$10,0),N(Reales!AL72)),(SUMIF(Inv_Q,33,Inv_R)+SUMIF(Inv_Q,33,Inv_M)*(1+V_dCapex))*AL$9)</f>
        <v>0</v>
      </c>
      <c r="AM273" s="48" t="n">
        <f aca="false">IF(AM$8=1,IF(Reales!$C$72="PYG",IF(AM$10&gt;0,N(Reales!AM72)/AM$10,0),N(Reales!AM72)),(SUMIF(Inv_Q,34,Inv_R)+SUMIF(Inv_Q,34,Inv_M)*(1+V_dCapex))*AM$9)</f>
        <v>0</v>
      </c>
      <c r="AN273" s="48" t="n">
        <f aca="false">IF(AN$8=1,IF(Reales!$C$72="PYG",IF(AN$10&gt;0,N(Reales!AN72)/AN$10,0),N(Reales!AN72)),(SUMIF(Inv_Q,35,Inv_R)+SUMIF(Inv_Q,35,Inv_M)*(1+V_dCapex))*AN$9)</f>
        <v>0</v>
      </c>
      <c r="AO273" s="48" t="n">
        <f aca="false">IF(AO$8=1,IF(Reales!$C$72="PYG",IF(AO$10&gt;0,N(Reales!AO72)/AO$10,0),N(Reales!AO72)),(SUMIF(Inv_Q,36,Inv_R)+SUMIF(Inv_Q,36,Inv_M)*(1+V_dCapex))*AO$9)</f>
        <v>0</v>
      </c>
      <c r="AP273" s="48" t="n">
        <f aca="false">IF(AP$8=1,IF(Reales!$C$72="PYG",IF(AP$10&gt;0,N(Reales!AP72)/AP$10,0),N(Reales!AP72)),(SUMIF(Inv_Q,37,Inv_R)+SUMIF(Inv_Q,37,Inv_M)*(1+V_dCapex))*AP$9)</f>
        <v>0</v>
      </c>
      <c r="AQ273" s="48" t="n">
        <f aca="false">IF(AQ$8=1,IF(Reales!$C$72="PYG",IF(AQ$10&gt;0,N(Reales!AQ72)/AQ$10,0),N(Reales!AQ72)),(SUMIF(Inv_Q,38,Inv_R)+SUMIF(Inv_Q,38,Inv_M)*(1+V_dCapex))*AQ$9)</f>
        <v>0</v>
      </c>
      <c r="AR273" s="48" t="n">
        <f aca="false">IF(AR$8=1,IF(Reales!$C$72="PYG",IF(AR$10&gt;0,N(Reales!AR72)/AR$10,0),N(Reales!AR72)),(SUMIF(Inv_Q,39,Inv_R)+SUMIF(Inv_Q,39,Inv_M)*(1+V_dCapex))*AR$9)</f>
        <v>0</v>
      </c>
      <c r="AS273" s="48" t="n">
        <f aca="false">IF(AS$8=1,IF(Reales!$C$72="PYG",IF(AS$10&gt;0,N(Reales!AS72)/AS$10,0),N(Reales!AS72)),(SUMIF(Inv_Q,40,Inv_R)+SUMIF(Inv_Q,40,Inv_M)*(1+V_dCapex))*AS$9)</f>
        <v>0</v>
      </c>
      <c r="AT273" s="48" t="n">
        <f aca="false">IF(AT$8=1,IF(Reales!$C$72="PYG",IF(AT$10&gt;0,N(Reales!AT72)/AT$10,0),N(Reales!AT72)),(SUMIF(Inv_Q,41,Inv_R)+SUMIF(Inv_Q,41,Inv_M)*(1+V_dCapex))*AT$9)</f>
        <v>0</v>
      </c>
      <c r="AU273" s="48" t="n">
        <f aca="false">IF(AU$8=1,IF(Reales!$C$72="PYG",IF(AU$10&gt;0,N(Reales!AU72)/AU$10,0),N(Reales!AU72)),(SUMIF(Inv_Q,42,Inv_R)+SUMIF(Inv_Q,42,Inv_M)*(1+V_dCapex))*AU$9)</f>
        <v>0</v>
      </c>
      <c r="AV273" s="48" t="n">
        <f aca="false">IF(AV$8=1,IF(Reales!$C$72="PYG",IF(AV$10&gt;0,N(Reales!AV72)/AV$10,0),N(Reales!AV72)),(SUMIF(Inv_Q,43,Inv_R)+SUMIF(Inv_Q,43,Inv_M)*(1+V_dCapex))*AV$9)</f>
        <v>0</v>
      </c>
      <c r="AW273" s="48" t="n">
        <f aca="false">IF(AW$8=1,IF(Reales!$C$72="PYG",IF(AW$10&gt;0,N(Reales!AW72)/AW$10,0),N(Reales!AW72)),(SUMIF(Inv_Q,44,Inv_R)+SUMIF(Inv_Q,44,Inv_M)*(1+V_dCapex))*AW$9)</f>
        <v>0</v>
      </c>
      <c r="AX273" s="48" t="n">
        <f aca="false">IF(AX$8=1,IF(Reales!$C$72="PYG",IF(AX$10&gt;0,N(Reales!AX72)/AX$10,0),N(Reales!AX72)),(SUMIF(Inv_Q,45,Inv_R)+SUMIF(Inv_Q,45,Inv_M)*(1+V_dCapex))*AX$9)</f>
        <v>0</v>
      </c>
      <c r="AY273" s="48" t="n">
        <f aca="false">IF(AY$8=1,IF(Reales!$C$72="PYG",IF(AY$10&gt;0,N(Reales!AY72)/AY$10,0),N(Reales!AY72)),(SUMIF(Inv_Q,46,Inv_R)+SUMIF(Inv_Q,46,Inv_M)*(1+V_dCapex))*AY$9)</f>
        <v>0</v>
      </c>
      <c r="AZ273" s="48" t="n">
        <f aca="false">IF(AZ$8=1,IF(Reales!$C$72="PYG",IF(AZ$10&gt;0,N(Reales!AZ72)/AZ$10,0),N(Reales!AZ72)),(SUMIF(Inv_Q,47,Inv_R)+SUMIF(Inv_Q,47,Inv_M)*(1+V_dCapex))*AZ$9)</f>
        <v>0</v>
      </c>
      <c r="BA273" s="48" t="n">
        <f aca="false">IF(BA$8=1,IF(Reales!$C$72="PYG",IF(BA$10&gt;0,N(Reales!BA72)/BA$10,0),N(Reales!BA72)),(SUMIF(Inv_Q,48,Inv_R)+SUMIF(Inv_Q,48,Inv_M)*(1+V_dCapex))*BA$9)</f>
        <v>0</v>
      </c>
      <c r="BB273" s="48" t="n">
        <f aca="false">IF(BB$8=1,IF(Reales!$C$72="PYG",IF(BB$10&gt;0,N(Reales!BB72)/BB$10,0),N(Reales!BB72)),(SUMIF(Inv_Q,49,Inv_R)+SUMIF(Inv_Q,49,Inv_M)*(1+V_dCapex))*BB$9)</f>
        <v>0</v>
      </c>
      <c r="BC273" s="48" t="n">
        <f aca="false">IF(BC$8=1,IF(Reales!$C$72="PYG",IF(BC$10&gt;0,N(Reales!BC72)/BC$10,0),N(Reales!BC72)),(SUMIF(Inv_Q,50,Inv_R)+SUMIF(Inv_Q,50,Inv_M)*(1+V_dCapex))*BC$9)</f>
        <v>0</v>
      </c>
      <c r="BD273" s="48" t="n">
        <f aca="false">IF(BD$8=1,IF(Reales!$C$72="PYG",IF(BD$10&gt;0,N(Reales!BD72)/BD$10,0),N(Reales!BD72)),(SUMIF(Inv_Q,51,Inv_R)+SUMIF(Inv_Q,51,Inv_M)*(1+V_dCapex))*BD$9)</f>
        <v>0</v>
      </c>
      <c r="BE273" s="48" t="n">
        <f aca="false">IF(BE$8=1,IF(Reales!$C$72="PYG",IF(BE$10&gt;0,N(Reales!BE72)/BE$10,0),N(Reales!BE72)),(SUMIF(Inv_Q,52,Inv_R)+SUMIF(Inv_Q,52,Inv_M)*(1+V_dCapex))*BE$9)</f>
        <v>0</v>
      </c>
      <c r="BF273" s="48" t="n">
        <f aca="false">IF(BF$8=1,IF(Reales!$C$72="PYG",IF(BF$10&gt;0,N(Reales!BF72)/BF$10,0),N(Reales!BF72)),(SUMIF(Inv_Q,53,Inv_R)+SUMIF(Inv_Q,53,Inv_M)*(1+V_dCapex))*BF$9)</f>
        <v>0</v>
      </c>
      <c r="BG273" s="48" t="n">
        <f aca="false">IF(BG$8=1,IF(Reales!$C$72="PYG",IF(BG$10&gt;0,N(Reales!BG72)/BG$10,0),N(Reales!BG72)),(SUMIF(Inv_Q,54,Inv_R)+SUMIF(Inv_Q,54,Inv_M)*(1+V_dCapex))*BG$9)</f>
        <v>0</v>
      </c>
      <c r="BH273" s="48" t="n">
        <f aca="false">IF(BH$8=1,IF(Reales!$C$72="PYG",IF(BH$10&gt;0,N(Reales!BH72)/BH$10,0),N(Reales!BH72)),(SUMIF(Inv_Q,55,Inv_R)+SUMIF(Inv_Q,55,Inv_M)*(1+V_dCapex))*BH$9)</f>
        <v>0</v>
      </c>
      <c r="BI273" s="48" t="n">
        <f aca="false">IF(BI$8=1,IF(Reales!$C$72="PYG",IF(BI$10&gt;0,N(Reales!BI72)/BI$10,0),N(Reales!BI72)),(SUMIF(Inv_Q,56,Inv_R)+SUMIF(Inv_Q,56,Inv_M)*(1+V_dCapex))*BI$9)</f>
        <v>0</v>
      </c>
      <c r="BJ273" s="48" t="n">
        <f aca="false">IF(BJ$8=1,IF(Reales!$C$72="PYG",IF(BJ$10&gt;0,N(Reales!BJ72)/BJ$10,0),N(Reales!BJ72)),(SUMIF(Inv_Q,57,Inv_R)+SUMIF(Inv_Q,57,Inv_M)*(1+V_dCapex))*BJ$9)</f>
        <v>0</v>
      </c>
      <c r="BK273" s="48" t="n">
        <f aca="false">IF(BK$8=1,IF(Reales!$C$72="PYG",IF(BK$10&gt;0,N(Reales!BK72)/BK$10,0),N(Reales!BK72)),(SUMIF(Inv_Q,58,Inv_R)+SUMIF(Inv_Q,58,Inv_M)*(1+V_dCapex))*BK$9)</f>
        <v>0</v>
      </c>
      <c r="BL273" s="48" t="n">
        <f aca="false">IF(BL$8=1,IF(Reales!$C$72="PYG",IF(BL$10&gt;0,N(Reales!BL72)/BL$10,0),N(Reales!BL72)),(SUMIF(Inv_Q,59,Inv_R)+SUMIF(Inv_Q,59,Inv_M)*(1+V_dCapex))*BL$9)</f>
        <v>0</v>
      </c>
      <c r="BM273" s="48" t="n">
        <f aca="false">IF(BM$8=1,IF(Reales!$C$72="PYG",IF(BM$10&gt;0,N(Reales!BM72)/BM$10,0),N(Reales!BM72)),(SUMIF(Inv_Q,60,Inv_R)+SUMIF(Inv_Q,60,Inv_M)*(1+V_dCapex))*BM$9)</f>
        <v>0</v>
      </c>
      <c r="BN273" s="48" t="n">
        <f aca="false">IF(BN$8=1,IF(Reales!$C$72="PYG",IF(BN$10&gt;0,N(Reales!BN72)/BN$10,0),N(Reales!BN72)),(SUMIF(Inv_Q,61,Inv_R)+SUMIF(Inv_Q,61,Inv_M)*(1+V_dCapex))*BN$9)</f>
        <v>0</v>
      </c>
      <c r="BO273" s="48" t="n">
        <f aca="false">IF(BO$8=1,IF(Reales!$C$72="PYG",IF(BO$10&gt;0,N(Reales!BO72)/BO$10,0),N(Reales!BO72)),(SUMIF(Inv_Q,62,Inv_R)+SUMIF(Inv_Q,62,Inv_M)*(1+V_dCapex))*BO$9)</f>
        <v>0</v>
      </c>
      <c r="BP273" s="48" t="n">
        <f aca="false">IF(BP$8=1,IF(Reales!$C$72="PYG",IF(BP$10&gt;0,N(Reales!BP72)/BP$10,0),N(Reales!BP72)),(SUMIF(Inv_Q,63,Inv_R)+SUMIF(Inv_Q,63,Inv_M)*(1+V_dCapex))*BP$9)</f>
        <v>0</v>
      </c>
      <c r="BQ273" s="48" t="n">
        <f aca="false">IF(BQ$8=1,IF(Reales!$C$72="PYG",IF(BQ$10&gt;0,N(Reales!BQ72)/BQ$10,0),N(Reales!BQ72)),(SUMIF(Inv_Q,64,Inv_R)+SUMIF(Inv_Q,64,Inv_M)*(1+V_dCapex))*BQ$9)</f>
        <v>0</v>
      </c>
      <c r="BR273" s="48" t="n">
        <f aca="false">IF(BR$8=1,IF(Reales!$C$72="PYG",IF(BR$10&gt;0,N(Reales!BR72)/BR$10,0),N(Reales!BR72)),(SUMIF(Inv_Q,65,Inv_R)+SUMIF(Inv_Q,65,Inv_M)*(1+V_dCapex))*BR$9)</f>
        <v>0</v>
      </c>
      <c r="BS273" s="48" t="n">
        <f aca="false">IF(BS$8=1,IF(Reales!$C$72="PYG",IF(BS$10&gt;0,N(Reales!BS72)/BS$10,0),N(Reales!BS72)),(SUMIF(Inv_Q,66,Inv_R)+SUMIF(Inv_Q,66,Inv_M)*(1+V_dCapex))*BS$9)</f>
        <v>0</v>
      </c>
      <c r="BT273" s="48" t="n">
        <f aca="false">IF(BT$8=1,IF(Reales!$C$72="PYG",IF(BT$10&gt;0,N(Reales!BT72)/BT$10,0),N(Reales!BT72)),(SUMIF(Inv_Q,67,Inv_R)+SUMIF(Inv_Q,67,Inv_M)*(1+V_dCapex))*BT$9)</f>
        <v>0</v>
      </c>
      <c r="BU273" s="48" t="n">
        <f aca="false">IF(BU$8=1,IF(Reales!$C$72="PYG",IF(BU$10&gt;0,N(Reales!BU72)/BU$10,0),N(Reales!BU72)),(SUMIF(Inv_Q,68,Inv_R)+SUMIF(Inv_Q,68,Inv_M)*(1+V_dCapex))*BU$9)</f>
        <v>0</v>
      </c>
      <c r="BV273" s="48" t="n">
        <f aca="false">IF(BV$8=1,IF(Reales!$C$72="PYG",IF(BV$10&gt;0,N(Reales!BV72)/BV$10,0),N(Reales!BV72)),(SUMIF(Inv_Q,69,Inv_R)+SUMIF(Inv_Q,69,Inv_M)*(1+V_dCapex))*BV$9)</f>
        <v>0</v>
      </c>
      <c r="BW273" s="48" t="n">
        <f aca="false">IF(BW$8=1,IF(Reales!$C$72="PYG",IF(BW$10&gt;0,N(Reales!BW72)/BW$10,0),N(Reales!BW72)),(SUMIF(Inv_Q,70,Inv_R)+SUMIF(Inv_Q,70,Inv_M)*(1+V_dCapex))*BW$9)</f>
        <v>0</v>
      </c>
      <c r="BX273" s="48" t="n">
        <f aca="false">IF(BX$8=1,IF(Reales!$C$72="PYG",IF(BX$10&gt;0,N(Reales!BX72)/BX$10,0),N(Reales!BX72)),(SUMIF(Inv_Q,71,Inv_R)+SUMIF(Inv_Q,71,Inv_M)*(1+V_dCapex))*BX$9)</f>
        <v>0</v>
      </c>
      <c r="BY273" s="48" t="n">
        <f aca="false">IF(BY$8=1,IF(Reales!$C$72="PYG",IF(BY$10&gt;0,N(Reales!BY72)/BY$10,0),N(Reales!BY72)),(SUMIF(Inv_Q,72,Inv_R)+SUMIF(Inv_Q,72,Inv_M)*(1+V_dCapex))*BY$9)</f>
        <v>0</v>
      </c>
      <c r="BZ273" s="48" t="n">
        <f aca="false">IF(BZ$8=1,IF(Reales!$C$72="PYG",IF(BZ$10&gt;0,N(Reales!BZ72)/BZ$10,0),N(Reales!BZ72)),(SUMIF(Inv_Q,73,Inv_R)+SUMIF(Inv_Q,73,Inv_M)*(1+V_dCapex))*BZ$9)</f>
        <v>0</v>
      </c>
      <c r="CA273" s="48" t="n">
        <f aca="false">IF(CA$8=1,IF(Reales!$C$72="PYG",IF(CA$10&gt;0,N(Reales!CA72)/CA$10,0),N(Reales!CA72)),(SUMIF(Inv_Q,74,Inv_R)+SUMIF(Inv_Q,74,Inv_M)*(1+V_dCapex))*CA$9)</f>
        <v>0</v>
      </c>
      <c r="CB273" s="48" t="n">
        <f aca="false">IF(CB$8=1,IF(Reales!$C$72="PYG",IF(CB$10&gt;0,N(Reales!CB72)/CB$10,0),N(Reales!CB72)),(SUMIF(Inv_Q,75,Inv_R)+SUMIF(Inv_Q,75,Inv_M)*(1+V_dCapex))*CB$9)</f>
        <v>0</v>
      </c>
      <c r="CC273" s="48" t="n">
        <f aca="false">IF(CC$8=1,IF(Reales!$C$72="PYG",IF(CC$10&gt;0,N(Reales!CC72)/CC$10,0),N(Reales!CC72)),(SUMIF(Inv_Q,76,Inv_R)+SUMIF(Inv_Q,76,Inv_M)*(1+V_dCapex))*CC$9)</f>
        <v>0</v>
      </c>
      <c r="CD273" s="48" t="n">
        <f aca="false">IF(CD$8=1,IF(Reales!$C$72="PYG",IF(CD$10&gt;0,N(Reales!CD72)/CD$10,0),N(Reales!CD72)),(SUMIF(Inv_Q,77,Inv_R)+SUMIF(Inv_Q,77,Inv_M)*(1+V_dCapex))*CD$9)</f>
        <v>0</v>
      </c>
      <c r="CE273" s="48" t="n">
        <f aca="false">IF(CE$8=1,IF(Reales!$C$72="PYG",IF(CE$10&gt;0,N(Reales!CE72)/CE$10,0),N(Reales!CE72)),(SUMIF(Inv_Q,78,Inv_R)+SUMIF(Inv_Q,78,Inv_M)*(1+V_dCapex))*CE$9)</f>
        <v>0</v>
      </c>
      <c r="CF273" s="48" t="n">
        <f aca="false">IF(CF$8=1,IF(Reales!$C$72="PYG",IF(CF$10&gt;0,N(Reales!CF72)/CF$10,0),N(Reales!CF72)),(SUMIF(Inv_Q,79,Inv_R)+SUMIF(Inv_Q,79,Inv_M)*(1+V_dCapex))*CF$9)</f>
        <v>0</v>
      </c>
      <c r="CG273" s="48" t="n">
        <f aca="false">IF(CG$8=1,IF(Reales!$C$72="PYG",IF(CG$10&gt;0,N(Reales!CG72)/CG$10,0),N(Reales!CG72)),(SUMIF(Inv_Q,80,Inv_R)+SUMIF(Inv_Q,80,Inv_M)*(1+V_dCapex))*CG$9)</f>
        <v>0</v>
      </c>
      <c r="CH273" s="48" t="n">
        <f aca="false">IF(CH$8=1,IF(Reales!$C$72="PYG",IF(CH$10&gt;0,N(Reales!CH72)/CH$10,0),N(Reales!CH72)),(SUMIF(Inv_Q,81,Inv_R)+SUMIF(Inv_Q,81,Inv_M)*(1+V_dCapex))*CH$9)</f>
        <v>0</v>
      </c>
      <c r="CI273" s="48" t="n">
        <f aca="false">IF(CI$8=1,IF(Reales!$C$72="PYG",IF(CI$10&gt;0,N(Reales!CI72)/CI$10,0),N(Reales!CI72)),(SUMIF(Inv_Q,82,Inv_R)+SUMIF(Inv_Q,82,Inv_M)*(1+V_dCapex))*CI$9)</f>
        <v>0</v>
      </c>
      <c r="CJ273" s="48" t="n">
        <f aca="false">IF(CJ$8=1,IF(Reales!$C$72="PYG",IF(CJ$10&gt;0,N(Reales!CJ72)/CJ$10,0),N(Reales!CJ72)),(SUMIF(Inv_Q,83,Inv_R)+SUMIF(Inv_Q,83,Inv_M)*(1+V_dCapex))*CJ$9)</f>
        <v>0</v>
      </c>
      <c r="CK273" s="48" t="n">
        <f aca="false">IF(CK$8=1,IF(Reales!$C$72="PYG",IF(CK$10&gt;0,N(Reales!CK72)/CK$10,0),N(Reales!CK72)),(SUMIF(Inv_Q,84,Inv_R)+SUMIF(Inv_Q,84,Inv_M)*(1+V_dCapex))*CK$9)</f>
        <v>0</v>
      </c>
      <c r="CL273" s="48" t="n">
        <f aca="false">IF(CL$8=1,IF(Reales!$C$72="PYG",IF(CL$10&gt;0,N(Reales!CL72)/CL$10,0),N(Reales!CL72)),(SUMIF(Inv_Q,85,Inv_R)+SUMIF(Inv_Q,85,Inv_M)*(1+V_dCapex))*CL$9)</f>
        <v>0</v>
      </c>
      <c r="CM273" s="48" t="n">
        <f aca="false">IF(CM$8=1,IF(Reales!$C$72="PYG",IF(CM$10&gt;0,N(Reales!CM72)/CM$10,0),N(Reales!CM72)),(SUMIF(Inv_Q,86,Inv_R)+SUMIF(Inv_Q,86,Inv_M)*(1+V_dCapex))*CM$9)</f>
        <v>0</v>
      </c>
      <c r="CN273" s="48" t="n">
        <f aca="false">IF(CN$8=1,IF(Reales!$C$72="PYG",IF(CN$10&gt;0,N(Reales!CN72)/CN$10,0),N(Reales!CN72)),(SUMIF(Inv_Q,87,Inv_R)+SUMIF(Inv_Q,87,Inv_M)*(1+V_dCapex))*CN$9)</f>
        <v>0</v>
      </c>
      <c r="CO273" s="48" t="n">
        <f aca="false">IF(CO$8=1,IF(Reales!$C$72="PYG",IF(CO$10&gt;0,N(Reales!CO72)/CO$10,0),N(Reales!CO72)),(SUMIF(Inv_Q,88,Inv_R)+SUMIF(Inv_Q,88,Inv_M)*(1+V_dCapex))*CO$9)</f>
        <v>0</v>
      </c>
      <c r="CP273" s="48" t="n">
        <f aca="false">IF(CP$8=1,IF(Reales!$C$72="PYG",IF(CP$10&gt;0,N(Reales!CP72)/CP$10,0),N(Reales!CP72)),(SUMIF(Inv_Q,89,Inv_R)+SUMIF(Inv_Q,89,Inv_M)*(1+V_dCapex))*CP$9)</f>
        <v>0</v>
      </c>
      <c r="CQ273" s="48" t="n">
        <f aca="false">IF(CQ$8=1,IF(Reales!$C$72="PYG",IF(CQ$10&gt;0,N(Reales!CQ72)/CQ$10,0),N(Reales!CQ72)),(SUMIF(Inv_Q,90,Inv_R)+SUMIF(Inv_Q,90,Inv_M)*(1+V_dCapex))*CQ$9)</f>
        <v>0</v>
      </c>
      <c r="CR273" s="48" t="n">
        <f aca="false">IF(CR$8=1,IF(Reales!$C$72="PYG",IF(CR$10&gt;0,N(Reales!CR72)/CR$10,0),N(Reales!CR72)),(SUMIF(Inv_Q,91,Inv_R)+SUMIF(Inv_Q,91,Inv_M)*(1+V_dCapex))*CR$9)</f>
        <v>0</v>
      </c>
      <c r="CS273" s="48" t="n">
        <f aca="false">IF(CS$8=1,IF(Reales!$C$72="PYG",IF(CS$10&gt;0,N(Reales!CS72)/CS$10,0),N(Reales!CS72)),(SUMIF(Inv_Q,92,Inv_R)+SUMIF(Inv_Q,92,Inv_M)*(1+V_dCapex))*CS$9)</f>
        <v>0</v>
      </c>
      <c r="CT273" s="48" t="n">
        <f aca="false">IF(CT$8=1,IF(Reales!$C$72="PYG",IF(CT$10&gt;0,N(Reales!CT72)/CT$10,0),N(Reales!CT72)),(SUMIF(Inv_Q,93,Inv_R)+SUMIF(Inv_Q,93,Inv_M)*(1+V_dCapex))*CT$9)</f>
        <v>0</v>
      </c>
      <c r="CU273" s="48" t="n">
        <f aca="false">IF(CU$8=1,IF(Reales!$C$72="PYG",IF(CU$10&gt;0,N(Reales!CU72)/CU$10,0),N(Reales!CU72)),(SUMIF(Inv_Q,94,Inv_R)+SUMIF(Inv_Q,94,Inv_M)*(1+V_dCapex))*CU$9)</f>
        <v>0</v>
      </c>
      <c r="CV273" s="48" t="n">
        <f aca="false">IF(CV$8=1,IF(Reales!$C$72="PYG",IF(CV$10&gt;0,N(Reales!CV72)/CV$10,0),N(Reales!CV72)),(SUMIF(Inv_Q,95,Inv_R)+SUMIF(Inv_Q,95,Inv_M)*(1+V_dCapex))*CV$9)</f>
        <v>0</v>
      </c>
      <c r="CW273" s="48" t="n">
        <f aca="false">IF(CW$8=1,IF(Reales!$C$72="PYG",IF(CW$10&gt;0,N(Reales!CW72)/CW$10,0),N(Reales!CW72)),(SUMIF(Inv_Q,96,Inv_R)+SUMIF(Inv_Q,96,Inv_M)*(1+V_dCapex))*CW$9)</f>
        <v>0</v>
      </c>
      <c r="CX273" s="48" t="n">
        <f aca="false">IF(CX$8=1,IF(Reales!$C$72="PYG",IF(CX$10&gt;0,N(Reales!CX72)/CX$10,0),N(Reales!CX72)),(SUMIF(Inv_Q,97,Inv_R)+SUMIF(Inv_Q,97,Inv_M)*(1+V_dCapex))*CX$9)</f>
        <v>0</v>
      </c>
      <c r="CY273" s="48" t="n">
        <f aca="false">IF(CY$8=1,IF(Reales!$C$72="PYG",IF(CY$10&gt;0,N(Reales!CY72)/CY$10,0),N(Reales!CY72)),(SUMIF(Inv_Q,98,Inv_R)+SUMIF(Inv_Q,98,Inv_M)*(1+V_dCapex))*CY$9)</f>
        <v>0</v>
      </c>
      <c r="CZ273" s="48" t="n">
        <f aca="false">IF(CZ$8=1,IF(Reales!$C$72="PYG",IF(CZ$10&gt;0,N(Reales!CZ72)/CZ$10,0),N(Reales!CZ72)),(SUMIF(Inv_Q,99,Inv_R)+SUMIF(Inv_Q,99,Inv_M)*(1+V_dCapex))*CZ$9)</f>
        <v>0</v>
      </c>
      <c r="DA273" s="48" t="n">
        <f aca="false">IF(DA$8=1,IF(Reales!$C$72="PYG",IF(DA$10&gt;0,N(Reales!DA72)/DA$10,0),N(Reales!DA72)),(SUMIF(Inv_Q,100,Inv_R)+SUMIF(Inv_Q,100,Inv_M)*(1+V_dCapex))*DA$9)</f>
        <v>0</v>
      </c>
      <c r="DB273" s="48" t="n">
        <f aca="false">IF(DB$8=1,IF(Reales!$C$72="PYG",IF(DB$10&gt;0,N(Reales!DB72)/DB$10,0),N(Reales!DB72)),(SUMIF(Inv_Q,101,Inv_R)+SUMIF(Inv_Q,101,Inv_M)*(1+V_dCapex))*DB$9)</f>
        <v>0</v>
      </c>
      <c r="DC273" s="48" t="n">
        <f aca="false">IF(DC$8=1,IF(Reales!$C$72="PYG",IF(DC$10&gt;0,N(Reales!DC72)/DC$10,0),N(Reales!DC72)),(SUMIF(Inv_Q,102,Inv_R)+SUMIF(Inv_Q,102,Inv_M)*(1+V_dCapex))*DC$9)</f>
        <v>0</v>
      </c>
      <c r="DD273" s="48" t="n">
        <f aca="false">IF(DD$8=1,IF(Reales!$C$72="PYG",IF(DD$10&gt;0,N(Reales!DD72)/DD$10,0),N(Reales!DD72)),(SUMIF(Inv_Q,103,Inv_R)+SUMIF(Inv_Q,103,Inv_M)*(1+V_dCapex))*DD$9)</f>
        <v>0</v>
      </c>
      <c r="DE273" s="48" t="n">
        <f aca="false">IF(DE$8=1,IF(Reales!$C$72="PYG",IF(DE$10&gt;0,N(Reales!DE72)/DE$10,0),N(Reales!DE72)),(SUMIF(Inv_Q,104,Inv_R)+SUMIF(Inv_Q,104,Inv_M)*(1+V_dCapex))*DE$9)</f>
        <v>0</v>
      </c>
      <c r="DF273" s="48" t="n">
        <f aca="false">IF(DF$8=1,IF(Reales!$C$72="PYG",IF(DF$10&gt;0,N(Reales!DF72)/DF$10,0),N(Reales!DF72)),(SUMIF(Inv_Q,105,Inv_R)+SUMIF(Inv_Q,105,Inv_M)*(1+V_dCapex))*DF$9)</f>
        <v>0</v>
      </c>
      <c r="DG273" s="48" t="n">
        <f aca="false">IF(DG$8=1,IF(Reales!$C$72="PYG",IF(DG$10&gt;0,N(Reales!DG72)/DG$10,0),N(Reales!DG72)),(SUMIF(Inv_Q,106,Inv_R)+SUMIF(Inv_Q,106,Inv_M)*(1+V_dCapex))*DG$9)</f>
        <v>0</v>
      </c>
      <c r="DH273" s="48" t="n">
        <f aca="false">IF(DH$8=1,IF(Reales!$C$72="PYG",IF(DH$10&gt;0,N(Reales!DH72)/DH$10,0),N(Reales!DH72)),(SUMIF(Inv_Q,107,Inv_R)+SUMIF(Inv_Q,107,Inv_M)*(1+V_dCapex))*DH$9)</f>
        <v>0</v>
      </c>
      <c r="DI273" s="48" t="n">
        <f aca="false">IF(DI$8=1,IF(Reales!$C$72="PYG",IF(DI$10&gt;0,N(Reales!DI72)/DI$10,0),N(Reales!DI72)),(SUMIF(Inv_Q,108,Inv_R)+SUMIF(Inv_Q,108,Inv_M)*(1+V_dCapex))*DI$9)</f>
        <v>0</v>
      </c>
      <c r="DJ273" s="48" t="n">
        <f aca="false">IF(DJ$8=1,IF(Reales!$C$72="PYG",IF(DJ$10&gt;0,N(Reales!DJ72)/DJ$10,0),N(Reales!DJ72)),(SUMIF(Inv_Q,109,Inv_R)+SUMIF(Inv_Q,109,Inv_M)*(1+V_dCapex))*DJ$9)</f>
        <v>0</v>
      </c>
      <c r="DK273" s="48" t="n">
        <f aca="false">IF(DK$8=1,IF(Reales!$C$72="PYG",IF(DK$10&gt;0,N(Reales!DK72)/DK$10,0),N(Reales!DK72)),(SUMIF(Inv_Q,110,Inv_R)+SUMIF(Inv_Q,110,Inv_M)*(1+V_dCapex))*DK$9)</f>
        <v>0</v>
      </c>
      <c r="DL273" s="48" t="n">
        <f aca="false">IF(DL$8=1,IF(Reales!$C$72="PYG",IF(DL$10&gt;0,N(Reales!DL72)/DL$10,0),N(Reales!DL72)),(SUMIF(Inv_Q,111,Inv_R)+SUMIF(Inv_Q,111,Inv_M)*(1+V_dCapex))*DL$9)</f>
        <v>0</v>
      </c>
      <c r="DM273" s="48" t="n">
        <f aca="false">IF(DM$8=1,IF(Reales!$C$72="PYG",IF(DM$10&gt;0,N(Reales!DM72)/DM$10,0),N(Reales!DM72)),(SUMIF(Inv_Q,112,Inv_R)+SUMIF(Inv_Q,112,Inv_M)*(1+V_dCapex))*DM$9)</f>
        <v>0</v>
      </c>
      <c r="DN273" s="48" t="n">
        <f aca="false">IF(DN$8=1,IF(Reales!$C$72="PYG",IF(DN$10&gt;0,N(Reales!DN72)/DN$10,0),N(Reales!DN72)),(SUMIF(Inv_Q,113,Inv_R)+SUMIF(Inv_Q,113,Inv_M)*(1+V_dCapex))*DN$9)</f>
        <v>0</v>
      </c>
      <c r="DO273" s="48" t="n">
        <f aca="false">IF(DO$8=1,IF(Reales!$C$72="PYG",IF(DO$10&gt;0,N(Reales!DO72)/DO$10,0),N(Reales!DO72)),(SUMIF(Inv_Q,114,Inv_R)+SUMIF(Inv_Q,114,Inv_M)*(1+V_dCapex))*DO$9)</f>
        <v>0</v>
      </c>
      <c r="DP273" s="48" t="n">
        <f aca="false">IF(DP$8=1,IF(Reales!$C$72="PYG",IF(DP$10&gt;0,N(Reales!DP72)/DP$10,0),N(Reales!DP72)),(SUMIF(Inv_Q,115,Inv_R)+SUMIF(Inv_Q,115,Inv_M)*(1+V_dCapex))*DP$9)</f>
        <v>0</v>
      </c>
      <c r="DQ273" s="48" t="n">
        <f aca="false">IF(DQ$8=1,IF(Reales!$C$72="PYG",IF(DQ$10&gt;0,N(Reales!DQ72)/DQ$10,0),N(Reales!DQ72)),(SUMIF(Inv_Q,116,Inv_R)+SUMIF(Inv_Q,116,Inv_M)*(1+V_dCapex))*DQ$9)</f>
        <v>0</v>
      </c>
      <c r="DR273" s="48" t="n">
        <f aca="false">IF(DR$8=1,IF(Reales!$C$72="PYG",IF(DR$10&gt;0,N(Reales!DR72)/DR$10,0),N(Reales!DR72)),(SUMIF(Inv_Q,117,Inv_R)+SUMIF(Inv_Q,117,Inv_M)*(1+V_dCapex))*DR$9)</f>
        <v>0</v>
      </c>
      <c r="DS273" s="48" t="n">
        <f aca="false">IF(DS$8=1,IF(Reales!$C$72="PYG",IF(DS$10&gt;0,N(Reales!DS72)/DS$10,0),N(Reales!DS72)),(SUMIF(Inv_Q,118,Inv_R)+SUMIF(Inv_Q,118,Inv_M)*(1+V_dCapex))*DS$9)</f>
        <v>0</v>
      </c>
      <c r="DT273" s="48" t="n">
        <f aca="false">IF(DT$8=1,IF(Reales!$C$72="PYG",IF(DT$10&gt;0,N(Reales!DT72)/DT$10,0),N(Reales!DT72)),(SUMIF(Inv_Q,119,Inv_R)+SUMIF(Inv_Q,119,Inv_M)*(1+V_dCapex))*DT$9)</f>
        <v>0</v>
      </c>
      <c r="DU273" s="48" t="n">
        <f aca="false">IF(DU$8=1,IF(Reales!$C$72="PYG",IF(DU$10&gt;0,N(Reales!DU72)/DU$10,0),N(Reales!DU72)),(SUMIF(Inv_Q,120,Inv_R)+SUMIF(Inv_Q,120,Inv_M)*(1+V_dCapex))*DU$9)</f>
        <v>0</v>
      </c>
      <c r="DV273" s="48" t="n">
        <f aca="false">IF(DV$8=1,IF(Reales!$C$72="PYG",IF(DV$10&gt;0,N(Reales!DV72)/DV$10,0),N(Reales!DV72)),(SUMIF(Inv_Q,121,Inv_R)+SUMIF(Inv_Q,121,Inv_M)*(1+V_dCapex))*DV$9)</f>
        <v>0</v>
      </c>
      <c r="DW273" s="48" t="n">
        <f aca="false">IF(DW$8=1,IF(Reales!$C$72="PYG",IF(DW$10&gt;0,N(Reales!DW72)/DW$10,0),N(Reales!DW72)),(SUMIF(Inv_Q,122,Inv_R)+SUMIF(Inv_Q,122,Inv_M)*(1+V_dCapex))*DW$9)</f>
        <v>0</v>
      </c>
      <c r="DX273" s="48" t="n">
        <f aca="false">IF(DX$8=1,IF(Reales!$C$72="PYG",IF(DX$10&gt;0,N(Reales!DX72)/DX$10,0),N(Reales!DX72)),(SUMIF(Inv_Q,123,Inv_R)+SUMIF(Inv_Q,123,Inv_M)*(1+V_dCapex))*DX$9)</f>
        <v>0</v>
      </c>
      <c r="DY273" s="48" t="n">
        <f aca="false">IF(DY$8=1,IF(Reales!$C$72="PYG",IF(DY$10&gt;0,N(Reales!DY72)/DY$10,0),N(Reales!DY72)),(SUMIF(Inv_Q,124,Inv_R)+SUMIF(Inv_Q,124,Inv_M)*(1+V_dCapex))*DY$9)</f>
        <v>0</v>
      </c>
      <c r="DZ273" s="48" t="n">
        <f aca="false">IF(DZ$8=1,IF(Reales!$C$72="PYG",IF(DZ$10&gt;0,N(Reales!DZ72)/DZ$10,0),N(Reales!DZ72)),(SUMIF(Inv_Q,125,Inv_R)+SUMIF(Inv_Q,125,Inv_M)*(1+V_dCapex))*DZ$9)</f>
        <v>0</v>
      </c>
      <c r="EA273" s="48" t="n">
        <f aca="false">IF(EA$8=1,IF(Reales!$C$72="PYG",IF(EA$10&gt;0,N(Reales!EA72)/EA$10,0),N(Reales!EA72)),(SUMIF(Inv_Q,126,Inv_R)+SUMIF(Inv_Q,126,Inv_M)*(1+V_dCapex))*EA$9)</f>
        <v>0</v>
      </c>
      <c r="EB273" s="48" t="n">
        <f aca="false">IF(EB$8=1,IF(Reales!$C$72="PYG",IF(EB$10&gt;0,N(Reales!EB72)/EB$10,0),N(Reales!EB72)),(SUMIF(Inv_Q,127,Inv_R)+SUMIF(Inv_Q,127,Inv_M)*(1+V_dCapex))*EB$9)</f>
        <v>0</v>
      </c>
      <c r="EC273" s="48" t="n">
        <f aca="false">IF(EC$8=1,IF(Reales!$C$72="PYG",IF(EC$10&gt;0,N(Reales!EC72)/EC$10,0),N(Reales!EC72)),(SUMIF(Inv_Q,128,Inv_R)+SUMIF(Inv_Q,128,Inv_M)*(1+V_dCapex))*EC$9)</f>
        <v>0</v>
      </c>
      <c r="ED273" s="48" t="n">
        <f aca="false">IF(ED$8=1,IF(Reales!$C$72="PYG",IF(ED$10&gt;0,N(Reales!ED72)/ED$10,0),N(Reales!ED72)),(SUMIF(Inv_Q,129,Inv_R)+SUMIF(Inv_Q,129,Inv_M)*(1+V_dCapex))*ED$9)</f>
        <v>0</v>
      </c>
      <c r="EE273" s="48" t="n">
        <f aca="false">IF(EE$8=1,IF(Reales!$C$72="PYG",IF(EE$10&gt;0,N(Reales!EE72)/EE$10,0),N(Reales!EE72)),(SUMIF(Inv_Q,130,Inv_R)+SUMIF(Inv_Q,130,Inv_M)*(1+V_dCapex))*EE$9)</f>
        <v>0</v>
      </c>
      <c r="EF273" s="48" t="n">
        <f aca="false">IF(EF$8=1,IF(Reales!$C$72="PYG",IF(EF$10&gt;0,N(Reales!EF72)/EF$10,0),N(Reales!EF72)),(SUMIF(Inv_Q,131,Inv_R)+SUMIF(Inv_Q,131,Inv_M)*(1+V_dCapex))*EF$9)</f>
        <v>0</v>
      </c>
      <c r="EG273" s="48" t="n">
        <f aca="false">IF(EG$8=1,IF(Reales!$C$72="PYG",IF(EG$10&gt;0,N(Reales!EG72)/EG$10,0),N(Reales!EG72)),(SUMIF(Inv_Q,132,Inv_R)+SUMIF(Inv_Q,132,Inv_M)*(1+V_dCapex))*EG$9)</f>
        <v>0</v>
      </c>
      <c r="EH273" s="48" t="n">
        <f aca="false">IF(EH$8=1,IF(Reales!$C$72="PYG",IF(EH$10&gt;0,N(Reales!EH72)/EH$10,0),N(Reales!EH72)),(SUMIF(Inv_Q,133,Inv_R)+SUMIF(Inv_Q,133,Inv_M)*(1+V_dCapex))*EH$9)</f>
        <v>0</v>
      </c>
      <c r="EI273" s="48" t="n">
        <f aca="false">IF(EI$8=1,IF(Reales!$C$72="PYG",IF(EI$10&gt;0,N(Reales!EI72)/EI$10,0),N(Reales!EI72)),(SUMIF(Inv_Q,134,Inv_R)+SUMIF(Inv_Q,134,Inv_M)*(1+V_dCapex))*EI$9)</f>
        <v>0</v>
      </c>
      <c r="EJ273" s="48" t="n">
        <f aca="false">IF(EJ$8=1,IF(Reales!$C$72="PYG",IF(EJ$10&gt;0,N(Reales!EJ72)/EJ$10,0),N(Reales!EJ72)),(SUMIF(Inv_Q,135,Inv_R)+SUMIF(Inv_Q,135,Inv_M)*(1+V_dCapex))*EJ$9)</f>
        <v>0</v>
      </c>
      <c r="EK273" s="48" t="n">
        <f aca="false">IF(EK$8=1,IF(Reales!$C$72="PYG",IF(EK$10&gt;0,N(Reales!EK72)/EK$10,0),N(Reales!EK72)),(SUMIF(Inv_Q,136,Inv_R)+SUMIF(Inv_Q,136,Inv_M)*(1+V_dCapex))*EK$9)</f>
        <v>0</v>
      </c>
      <c r="EL273" s="48" t="n">
        <f aca="false">IF(EL$8=1,IF(Reales!$C$72="PYG",IF(EL$10&gt;0,N(Reales!EL72)/EL$10,0),N(Reales!EL72)),(SUMIF(Inv_Q,137,Inv_R)+SUMIF(Inv_Q,137,Inv_M)*(1+V_dCapex))*EL$9)</f>
        <v>0</v>
      </c>
      <c r="EM273" s="48" t="n">
        <f aca="false">IF(EM$8=1,IF(Reales!$C$72="PYG",IF(EM$10&gt;0,N(Reales!EM72)/EM$10,0),N(Reales!EM72)),(SUMIF(Inv_Q,138,Inv_R)+SUMIF(Inv_Q,138,Inv_M)*(1+V_dCapex))*EM$9)</f>
        <v>0</v>
      </c>
      <c r="EN273" s="48" t="n">
        <f aca="false">IF(EN$8=1,IF(Reales!$C$72="PYG",IF(EN$10&gt;0,N(Reales!EN72)/EN$10,0),N(Reales!EN72)),(SUMIF(Inv_Q,139,Inv_R)+SUMIF(Inv_Q,139,Inv_M)*(1+V_dCapex))*EN$9)</f>
        <v>0</v>
      </c>
      <c r="EO273" s="48" t="n">
        <f aca="false">IF(EO$8=1,IF(Reales!$C$72="PYG",IF(EO$10&gt;0,N(Reales!EO72)/EO$10,0),N(Reales!EO72)),(SUMIF(Inv_Q,140,Inv_R)+SUMIF(Inv_Q,140,Inv_M)*(1+V_dCapex))*EO$9)</f>
        <v>0</v>
      </c>
      <c r="EP273" s="48" t="n">
        <f aca="false">IF(EP$8=1,IF(Reales!$C$72="PYG",IF(EP$10&gt;0,N(Reales!EP72)/EP$10,0),N(Reales!EP72)),(SUMIF(Inv_Q,141,Inv_R)+SUMIF(Inv_Q,141,Inv_M)*(1+V_dCapex))*EP$9)</f>
        <v>0</v>
      </c>
      <c r="EQ273" s="48" t="n">
        <f aca="false">IF(EQ$8=1,IF(Reales!$C$72="PYG",IF(EQ$10&gt;0,N(Reales!EQ72)/EQ$10,0),N(Reales!EQ72)),(SUMIF(Inv_Q,142,Inv_R)+SUMIF(Inv_Q,142,Inv_M)*(1+V_dCapex))*EQ$9)</f>
        <v>0</v>
      </c>
      <c r="ER273" s="48" t="n">
        <f aca="false">IF(ER$8=1,IF(Reales!$C$72="PYG",IF(ER$10&gt;0,N(Reales!ER72)/ER$10,0),N(Reales!ER72)),(SUMIF(Inv_Q,143,Inv_R)+SUMIF(Inv_Q,143,Inv_M)*(1+V_dCapex))*ER$9)</f>
        <v>0</v>
      </c>
      <c r="ES273" s="48" t="n">
        <f aca="false">IF(ES$8=1,IF(Reales!$C$72="PYG",IF(ES$10&gt;0,N(Reales!ES72)/ES$10,0),N(Reales!ES72)),(SUMIF(Inv_Q,144,Inv_R)+SUMIF(Inv_Q,144,Inv_M)*(1+V_dCapex))*ES$9)</f>
        <v>0</v>
      </c>
    </row>
    <row r="274" customFormat="false" ht="15" hidden="false" customHeight="false" outlineLevel="0" collapsed="false">
      <c r="A274" s="11" t="s">
        <v>1393</v>
      </c>
      <c r="B274" s="15" t="s">
        <v>1202</v>
      </c>
      <c r="C274" s="15" t="s">
        <v>508</v>
      </c>
      <c r="E274" s="54" t="n">
        <f aca="false">INDEX(F274:ES274,1,MIN(144,Fin))</f>
        <v>10000.0000000009</v>
      </c>
      <c r="F274" s="48" t="n">
        <f aca="false">0+F$273-F$259</f>
        <v>649078.072583333</v>
      </c>
      <c r="G274" s="48" t="n">
        <f aca="false">F$274+G$273-G$259</f>
        <v>643112.055166667</v>
      </c>
      <c r="H274" s="48" t="n">
        <f aca="false">G$274+H$273-H$259</f>
        <v>637146.03775</v>
      </c>
      <c r="I274" s="48" t="n">
        <f aca="false">H$274+I$273-I$259</f>
        <v>631180.020333334</v>
      </c>
      <c r="J274" s="48" t="n">
        <f aca="false">I$274+J$273-J$259</f>
        <v>625214.002916667</v>
      </c>
      <c r="K274" s="48" t="n">
        <f aca="false">J$274+K$273-K$259</f>
        <v>619247.9855</v>
      </c>
      <c r="L274" s="48" t="n">
        <f aca="false">K$274+L$273-L$259</f>
        <v>613281.968083334</v>
      </c>
      <c r="M274" s="48" t="n">
        <f aca="false">L$274+M$273-M$259</f>
        <v>607315.950666667</v>
      </c>
      <c r="N274" s="48" t="n">
        <f aca="false">M$274+N$273-N$259</f>
        <v>601349.933250001</v>
      </c>
      <c r="O274" s="48" t="n">
        <f aca="false">N$274+O$273-O$259</f>
        <v>595383.915833334</v>
      </c>
      <c r="P274" s="48" t="n">
        <f aca="false">O$274+P$273-P$259</f>
        <v>589417.898416667</v>
      </c>
      <c r="Q274" s="48" t="n">
        <f aca="false">P$274+Q$273-Q$259</f>
        <v>583451.881000001</v>
      </c>
      <c r="R274" s="48" t="n">
        <f aca="false">Q$274+R$273-R$259</f>
        <v>676652.530250001</v>
      </c>
      <c r="S274" s="48" t="n">
        <f aca="false">R$274+S$273-S$259</f>
        <v>669853.179500001</v>
      </c>
      <c r="T274" s="48" t="n">
        <f aca="false">S$274+T$273-T$259</f>
        <v>663053.828750001</v>
      </c>
      <c r="U274" s="48" t="n">
        <f aca="false">T$274+U$273-U$259</f>
        <v>656254.478000001</v>
      </c>
      <c r="V274" s="48" t="n">
        <f aca="false">U$274+V$273-V$259</f>
        <v>649455.127250001</v>
      </c>
      <c r="W274" s="48" t="n">
        <f aca="false">V$274+W$273-W$259</f>
        <v>642655.776500001</v>
      </c>
      <c r="X274" s="48" t="n">
        <f aca="false">W$274+X$273-X$259</f>
        <v>635856.425750001</v>
      </c>
      <c r="Y274" s="48" t="n">
        <f aca="false">X$274+Y$273-Y$259</f>
        <v>629057.075000001</v>
      </c>
      <c r="Z274" s="48" t="n">
        <f aca="false">Y$274+Z$273-Z$259</f>
        <v>622257.724250001</v>
      </c>
      <c r="AA274" s="48" t="n">
        <f aca="false">Z$274+AA$273-AA$259</f>
        <v>615458.373500001</v>
      </c>
      <c r="AB274" s="48" t="n">
        <f aca="false">AA$274+AB$273-AB$259</f>
        <v>608659.022750001</v>
      </c>
      <c r="AC274" s="48" t="n">
        <f aca="false">AB$274+AC$273-AC$259</f>
        <v>601859.672000001</v>
      </c>
      <c r="AD274" s="48" t="n">
        <f aca="false">AC$274+AD$273-AD$259</f>
        <v>595060.321250001</v>
      </c>
      <c r="AE274" s="48" t="n">
        <f aca="false">AD$274+AE$273-AE$259</f>
        <v>588260.970500001</v>
      </c>
      <c r="AF274" s="48" t="n">
        <f aca="false">AE$274+AF$273-AF$259</f>
        <v>581461.619750001</v>
      </c>
      <c r="AG274" s="48" t="n">
        <f aca="false">AF$274+AG$273-AG$259</f>
        <v>574662.269000001</v>
      </c>
      <c r="AH274" s="48" t="n">
        <f aca="false">AG$274+AH$273-AH$259</f>
        <v>567862.918250001</v>
      </c>
      <c r="AI274" s="48" t="n">
        <f aca="false">AH$274+AI$273-AI$259</f>
        <v>561063.567500001</v>
      </c>
      <c r="AJ274" s="48" t="n">
        <f aca="false">AI$274+AJ$273-AJ$259</f>
        <v>554264.216750001</v>
      </c>
      <c r="AK274" s="48" t="n">
        <f aca="false">AJ$274+AK$273-AK$259</f>
        <v>547464.866000001</v>
      </c>
      <c r="AL274" s="48" t="n">
        <f aca="false">AK$274+AL$273-AL$259</f>
        <v>540665.515250001</v>
      </c>
      <c r="AM274" s="48" t="n">
        <f aca="false">AL$274+AM$273-AM$259</f>
        <v>533866.164500001</v>
      </c>
      <c r="AN274" s="48" t="n">
        <f aca="false">AM$274+AN$273-AN$259</f>
        <v>527066.813750001</v>
      </c>
      <c r="AO274" s="48" t="n">
        <f aca="false">AN$274+AO$273-AO$259</f>
        <v>520267.463000001</v>
      </c>
      <c r="AP274" s="48" t="n">
        <f aca="false">AO$274+AP$273-AP$259</f>
        <v>513468.112250001</v>
      </c>
      <c r="AQ274" s="48" t="n">
        <f aca="false">AP$274+AQ$273-AQ$259</f>
        <v>506668.761500001</v>
      </c>
      <c r="AR274" s="48" t="n">
        <f aca="false">AQ$274+AR$273-AR$259</f>
        <v>499869.410750001</v>
      </c>
      <c r="AS274" s="48" t="n">
        <f aca="false">AR$274+AS$273-AS$259</f>
        <v>493070.060000001</v>
      </c>
      <c r="AT274" s="48" t="n">
        <f aca="false">AS$274+AT$273-AT$259</f>
        <v>486270.709250001</v>
      </c>
      <c r="AU274" s="48" t="n">
        <f aca="false">AT$274+AU$273-AU$259</f>
        <v>479471.358500001</v>
      </c>
      <c r="AV274" s="48" t="n">
        <f aca="false">AU$274+AV$273-AV$259</f>
        <v>472672.007750001</v>
      </c>
      <c r="AW274" s="48" t="n">
        <f aca="false">AV$274+AW$273-AW$259</f>
        <v>465872.657000001</v>
      </c>
      <c r="AX274" s="48" t="n">
        <f aca="false">AW$274+AX$273-AX$259</f>
        <v>459073.306250001</v>
      </c>
      <c r="AY274" s="48" t="n">
        <f aca="false">AX$274+AY$273-AY$259</f>
        <v>452273.955500001</v>
      </c>
      <c r="AZ274" s="48" t="n">
        <f aca="false">AY$274+AZ$273-AZ$259</f>
        <v>445474.604750001</v>
      </c>
      <c r="BA274" s="48" t="n">
        <f aca="false">AZ$274+BA$273-BA$259</f>
        <v>438675.254000001</v>
      </c>
      <c r="BB274" s="48" t="n">
        <f aca="false">BA$274+BB$273-BB$259</f>
        <v>431875.903250001</v>
      </c>
      <c r="BC274" s="48" t="n">
        <f aca="false">BB$274+BC$273-BC$259</f>
        <v>425076.552500001</v>
      </c>
      <c r="BD274" s="48" t="n">
        <f aca="false">BC$274+BD$273-BD$259</f>
        <v>418277.201750001</v>
      </c>
      <c r="BE274" s="48" t="n">
        <f aca="false">BD$274+BE$273-BE$259</f>
        <v>411477.851000001</v>
      </c>
      <c r="BF274" s="48" t="n">
        <f aca="false">BE$274+BF$273-BF$259</f>
        <v>404678.500250001</v>
      </c>
      <c r="BG274" s="48" t="n">
        <f aca="false">BF$274+BG$273-BG$259</f>
        <v>397879.149500001</v>
      </c>
      <c r="BH274" s="48" t="n">
        <f aca="false">BG$274+BH$273-BH$259</f>
        <v>391079.798750001</v>
      </c>
      <c r="BI274" s="48" t="n">
        <f aca="false">BH$274+BI$273-BI$259</f>
        <v>384280.448000001</v>
      </c>
      <c r="BJ274" s="48" t="n">
        <f aca="false">BI$274+BJ$273-BJ$259</f>
        <v>377481.097250001</v>
      </c>
      <c r="BK274" s="48" t="n">
        <f aca="false">BJ$274+BK$273-BK$259</f>
        <v>370681.746500001</v>
      </c>
      <c r="BL274" s="48" t="n">
        <f aca="false">BK$274+BL$273-BL$259</f>
        <v>363882.395750001</v>
      </c>
      <c r="BM274" s="48" t="n">
        <f aca="false">BL$274+BM$273-BM$259</f>
        <v>357083.045000001</v>
      </c>
      <c r="BN274" s="48" t="n">
        <f aca="false">BM$274+BN$273-BN$259</f>
        <v>351298.327583335</v>
      </c>
      <c r="BO274" s="48" t="n">
        <f aca="false">BN$274+BO$273-BO$259</f>
        <v>345513.610166668</v>
      </c>
      <c r="BP274" s="48" t="n">
        <f aca="false">BO$274+BP$273-BP$259</f>
        <v>339728.892750001</v>
      </c>
      <c r="BQ274" s="48" t="n">
        <f aca="false">BP$274+BQ$273-BQ$259</f>
        <v>333944.175333335</v>
      </c>
      <c r="BR274" s="48" t="n">
        <f aca="false">BQ$274+BR$273-BR$259</f>
        <v>328159.457916668</v>
      </c>
      <c r="BS274" s="48" t="n">
        <f aca="false">BR$274+BS$273-BS$259</f>
        <v>322374.740500001</v>
      </c>
      <c r="BT274" s="48" t="n">
        <f aca="false">BS$274+BT$273-BT$259</f>
        <v>316590.023083335</v>
      </c>
      <c r="BU274" s="48" t="n">
        <f aca="false">BT$274+BU$273-BU$259</f>
        <v>310805.305666668</v>
      </c>
      <c r="BV274" s="48" t="n">
        <f aca="false">BU$274+BV$273-BV$259</f>
        <v>305020.588250001</v>
      </c>
      <c r="BW274" s="48" t="n">
        <f aca="false">BV$274+BW$273-BW$259</f>
        <v>299235.870833335</v>
      </c>
      <c r="BX274" s="48" t="n">
        <f aca="false">BW$274+BX$273-BX$259</f>
        <v>293451.153416668</v>
      </c>
      <c r="BY274" s="48" t="n">
        <f aca="false">BX$274+BY$273-BY$259</f>
        <v>287666.436000001</v>
      </c>
      <c r="BZ274" s="48" t="n">
        <f aca="false">BY$274+BZ$273-BZ$259</f>
        <v>281881.718583335</v>
      </c>
      <c r="CA274" s="48" t="n">
        <f aca="false">BZ$274+CA$273-CA$259</f>
        <v>276097.001166668</v>
      </c>
      <c r="CB274" s="48" t="n">
        <f aca="false">CA$274+CB$273-CB$259</f>
        <v>270312.283750001</v>
      </c>
      <c r="CC274" s="48" t="n">
        <f aca="false">CB$274+CC$273-CC$259</f>
        <v>264527.566333335</v>
      </c>
      <c r="CD274" s="48" t="n">
        <f aca="false">CC$274+CD$273-CD$259</f>
        <v>258742.848916668</v>
      </c>
      <c r="CE274" s="48" t="n">
        <f aca="false">CD$274+CE$273-CE$259</f>
        <v>252958.131500001</v>
      </c>
      <c r="CF274" s="48" t="n">
        <f aca="false">CE$274+CF$273-CF$259</f>
        <v>247173.414083335</v>
      </c>
      <c r="CG274" s="48" t="n">
        <f aca="false">CF$274+CG$273-CG$259</f>
        <v>241388.696666668</v>
      </c>
      <c r="CH274" s="48" t="n">
        <f aca="false">CG$274+CH$273-CH$259</f>
        <v>235603.979250001</v>
      </c>
      <c r="CI274" s="48" t="n">
        <f aca="false">CH$274+CI$273-CI$259</f>
        <v>229819.261833334</v>
      </c>
      <c r="CJ274" s="48" t="n">
        <f aca="false">CI$274+CJ$273-CJ$259</f>
        <v>224034.544416668</v>
      </c>
      <c r="CK274" s="48" t="n">
        <f aca="false">CJ$274+CK$273-CK$259</f>
        <v>218249.827000001</v>
      </c>
      <c r="CL274" s="48" t="n">
        <f aca="false">CK$274+CL$273-CL$259</f>
        <v>212465.109583334</v>
      </c>
      <c r="CM274" s="48" t="n">
        <f aca="false">CL$274+CM$273-CM$259</f>
        <v>206680.392166668</v>
      </c>
      <c r="CN274" s="48" t="n">
        <f aca="false">CM$274+CN$273-CN$259</f>
        <v>200895.674750001</v>
      </c>
      <c r="CO274" s="48" t="n">
        <f aca="false">CN$274+CO$273-CO$259</f>
        <v>195110.957333334</v>
      </c>
      <c r="CP274" s="48" t="n">
        <f aca="false">CO$274+CP$273-CP$259</f>
        <v>189326.239916668</v>
      </c>
      <c r="CQ274" s="48" t="n">
        <f aca="false">CP$274+CQ$273-CQ$259</f>
        <v>183541.522500001</v>
      </c>
      <c r="CR274" s="48" t="n">
        <f aca="false">CQ$274+CR$273-CR$259</f>
        <v>177756.805083334</v>
      </c>
      <c r="CS274" s="48" t="n">
        <f aca="false">CR$274+CS$273-CS$259</f>
        <v>171972.087666668</v>
      </c>
      <c r="CT274" s="48" t="n">
        <f aca="false">CS$274+CT$273-CT$259</f>
        <v>166187.370250001</v>
      </c>
      <c r="CU274" s="48" t="n">
        <f aca="false">CT$274+CU$273-CU$259</f>
        <v>160402.652833334</v>
      </c>
      <c r="CV274" s="48" t="n">
        <f aca="false">CU$274+CV$273-CV$259</f>
        <v>154617.935416668</v>
      </c>
      <c r="CW274" s="48" t="n">
        <f aca="false">CV$274+CW$273-CW$259</f>
        <v>148833.218000001</v>
      </c>
      <c r="CX274" s="48" t="n">
        <f aca="false">CW$274+CX$273-CX$259</f>
        <v>143048.500583334</v>
      </c>
      <c r="CY274" s="48" t="n">
        <f aca="false">CX$274+CY$273-CY$259</f>
        <v>137263.783166668</v>
      </c>
      <c r="CZ274" s="48" t="n">
        <f aca="false">CY$274+CZ$273-CZ$259</f>
        <v>131479.065750001</v>
      </c>
      <c r="DA274" s="48" t="n">
        <f aca="false">CZ$274+DA$273-DA$259</f>
        <v>125694.348333334</v>
      </c>
      <c r="DB274" s="48" t="n">
        <f aca="false">DA$274+DB$273-DB$259</f>
        <v>119909.630916668</v>
      </c>
      <c r="DC274" s="48" t="n">
        <f aca="false">DB$274+DC$273-DC$259</f>
        <v>114124.913500001</v>
      </c>
      <c r="DD274" s="48" t="n">
        <f aca="false">DC$274+DD$273-DD$259</f>
        <v>108340.196083334</v>
      </c>
      <c r="DE274" s="48" t="n">
        <f aca="false">DD$274+DE$273-DE$259</f>
        <v>102555.478666668</v>
      </c>
      <c r="DF274" s="48" t="n">
        <f aca="false">DE$274+DF$273-DF$259</f>
        <v>96770.7612500009</v>
      </c>
      <c r="DG274" s="48" t="n">
        <f aca="false">DF$274+DG$273-DG$259</f>
        <v>90986.0438333342</v>
      </c>
      <c r="DH274" s="48" t="n">
        <f aca="false">DG$274+DH$273-DH$259</f>
        <v>85201.3264166676</v>
      </c>
      <c r="DI274" s="48" t="n">
        <f aca="false">DH$274+DI$273-DI$259</f>
        <v>79416.6090000009</v>
      </c>
      <c r="DJ274" s="48" t="n">
        <f aca="false">DI$274+DJ$273-DJ$259</f>
        <v>73631.8915833342</v>
      </c>
      <c r="DK274" s="48" t="n">
        <f aca="false">DJ$274+DK$273-DK$259</f>
        <v>67847.1741666676</v>
      </c>
      <c r="DL274" s="48" t="n">
        <f aca="false">DK$274+DL$273-DL$259</f>
        <v>62062.4567500009</v>
      </c>
      <c r="DM274" s="48" t="n">
        <f aca="false">DL$274+DM$273-DM$259</f>
        <v>56277.7393333342</v>
      </c>
      <c r="DN274" s="48" t="n">
        <f aca="false">DM$274+DN$273-DN$259</f>
        <v>50493.0219166676</v>
      </c>
      <c r="DO274" s="48" t="n">
        <f aca="false">DN$274+DO$273-DO$259</f>
        <v>44708.3045000009</v>
      </c>
      <c r="DP274" s="48" t="n">
        <f aca="false">DO$274+DP$273-DP$259</f>
        <v>38923.5870833342</v>
      </c>
      <c r="DQ274" s="48" t="n">
        <f aca="false">DP$274+DQ$273-DQ$259</f>
        <v>33138.8696666676</v>
      </c>
      <c r="DR274" s="48" t="n">
        <f aca="false">DQ$274+DR$273-DR$259</f>
        <v>27354.1522500009</v>
      </c>
      <c r="DS274" s="48" t="n">
        <f aca="false">DR$274+DS$273-DS$259</f>
        <v>21569.4348333342</v>
      </c>
      <c r="DT274" s="48" t="n">
        <f aca="false">DS$274+DT$273-DT$259</f>
        <v>15784.7174166676</v>
      </c>
      <c r="DU274" s="48" t="n">
        <f aca="false">DT$274+DU$273-DU$259</f>
        <v>10000.0000000009</v>
      </c>
      <c r="DV274" s="48" t="n">
        <f aca="false">DU$274+DV$273-DV$259</f>
        <v>10000.0000000009</v>
      </c>
      <c r="DW274" s="48" t="n">
        <f aca="false">DV$274+DW$273-DW$259</f>
        <v>10000.0000000009</v>
      </c>
      <c r="DX274" s="48" t="n">
        <f aca="false">DW$274+DX$273-DX$259</f>
        <v>10000.0000000009</v>
      </c>
      <c r="DY274" s="48" t="n">
        <f aca="false">DX$274+DY$273-DY$259</f>
        <v>10000.0000000009</v>
      </c>
      <c r="DZ274" s="48" t="n">
        <f aca="false">DY$274+DZ$273-DZ$259</f>
        <v>10000.0000000009</v>
      </c>
      <c r="EA274" s="48" t="n">
        <f aca="false">DZ$274+EA$273-EA$259</f>
        <v>10000.0000000009</v>
      </c>
      <c r="EB274" s="48" t="n">
        <f aca="false">EA$274+EB$273-EB$259</f>
        <v>10000.0000000009</v>
      </c>
      <c r="EC274" s="48" t="n">
        <f aca="false">EB$274+EC$273-EC$259</f>
        <v>10000.0000000009</v>
      </c>
      <c r="ED274" s="48" t="n">
        <f aca="false">EC$274+ED$273-ED$259</f>
        <v>10000.0000000009</v>
      </c>
      <c r="EE274" s="48" t="n">
        <f aca="false">ED$274+EE$273-EE$259</f>
        <v>10000.0000000009</v>
      </c>
      <c r="EF274" s="48" t="n">
        <f aca="false">EE$274+EF$273-EF$259</f>
        <v>10000.0000000009</v>
      </c>
      <c r="EG274" s="48" t="n">
        <f aca="false">EF$274+EG$273-EG$259</f>
        <v>10000.0000000009</v>
      </c>
      <c r="EH274" s="48" t="n">
        <f aca="false">EG$274+EH$273-EH$259</f>
        <v>10000.0000000009</v>
      </c>
      <c r="EI274" s="48" t="n">
        <f aca="false">EH$274+EI$273-EI$259</f>
        <v>10000.0000000009</v>
      </c>
      <c r="EJ274" s="48" t="n">
        <f aca="false">EI$274+EJ$273-EJ$259</f>
        <v>10000.0000000009</v>
      </c>
      <c r="EK274" s="48" t="n">
        <f aca="false">EJ$274+EK$273-EK$259</f>
        <v>10000.0000000009</v>
      </c>
      <c r="EL274" s="48" t="n">
        <f aca="false">EK$274+EL$273-EL$259</f>
        <v>10000.0000000009</v>
      </c>
      <c r="EM274" s="48" t="n">
        <f aca="false">EL$274+EM$273-EM$259</f>
        <v>10000.0000000009</v>
      </c>
      <c r="EN274" s="48" t="n">
        <f aca="false">EM$274+EN$273-EN$259</f>
        <v>10000.0000000009</v>
      </c>
      <c r="EO274" s="48" t="n">
        <f aca="false">EN$274+EO$273-EO$259</f>
        <v>10000.0000000009</v>
      </c>
      <c r="EP274" s="48" t="n">
        <f aca="false">EO$274+EP$273-EP$259</f>
        <v>10000.0000000009</v>
      </c>
      <c r="EQ274" s="48" t="n">
        <f aca="false">EP$274+EQ$273-EQ$259</f>
        <v>10000.0000000009</v>
      </c>
      <c r="ER274" s="48" t="n">
        <f aca="false">EQ$274+ER$273-ER$259</f>
        <v>10000.0000000009</v>
      </c>
      <c r="ES274" s="48" t="n">
        <f aca="false">ER$274+ES$273-ES$259</f>
        <v>10000.0000000009</v>
      </c>
    </row>
    <row r="275" customFormat="false" ht="15" hidden="false" customHeight="false" outlineLevel="0" collapsed="false">
      <c r="A275" s="11" t="s">
        <v>1394</v>
      </c>
      <c r="B275" s="15" t="s">
        <v>1204</v>
      </c>
      <c r="C275" s="15" t="s">
        <v>508</v>
      </c>
      <c r="E275" s="54" t="n">
        <f aca="false">SUM(F275:ES275)</f>
        <v>4509762.51732228</v>
      </c>
      <c r="F275" s="48" t="n">
        <f aca="false">IF(1=Fin,F$269*V_RealCT+F$274*V_RealAF,0)</f>
        <v>0</v>
      </c>
      <c r="G275" s="48" t="n">
        <f aca="false">IF(2=Fin,G$269*V_RealCT+G$274*V_RealAF,0)</f>
        <v>0</v>
      </c>
      <c r="H275" s="48" t="n">
        <f aca="false">IF(3=Fin,H$269*V_RealCT+H$274*V_RealAF,0)</f>
        <v>0</v>
      </c>
      <c r="I275" s="48" t="n">
        <f aca="false">IF(4=Fin,I$269*V_RealCT+I$274*V_RealAF,0)</f>
        <v>0</v>
      </c>
      <c r="J275" s="48" t="n">
        <f aca="false">IF(5=Fin,J$269*V_RealCT+J$274*V_RealAF,0)</f>
        <v>0</v>
      </c>
      <c r="K275" s="48" t="n">
        <f aca="false">IF(6=Fin,K$269*V_RealCT+K$274*V_RealAF,0)</f>
        <v>0</v>
      </c>
      <c r="L275" s="48" t="n">
        <f aca="false">IF(7=Fin,L$269*V_RealCT+L$274*V_RealAF,0)</f>
        <v>0</v>
      </c>
      <c r="M275" s="48" t="n">
        <f aca="false">IF(8=Fin,M$269*V_RealCT+M$274*V_RealAF,0)</f>
        <v>0</v>
      </c>
      <c r="N275" s="48" t="n">
        <f aca="false">IF(9=Fin,N$269*V_RealCT+N$274*V_RealAF,0)</f>
        <v>0</v>
      </c>
      <c r="O275" s="48" t="n">
        <f aca="false">IF(10=Fin,O$269*V_RealCT+O$274*V_RealAF,0)</f>
        <v>0</v>
      </c>
      <c r="P275" s="48" t="n">
        <f aca="false">IF(11=Fin,P$269*V_RealCT+P$274*V_RealAF,0)</f>
        <v>0</v>
      </c>
      <c r="Q275" s="48" t="n">
        <f aca="false">IF(12=Fin,Q$269*V_RealCT+Q$274*V_RealAF,0)</f>
        <v>0</v>
      </c>
      <c r="R275" s="48" t="n">
        <f aca="false">IF(13=Fin,R$269*V_RealCT+R$274*V_RealAF,0)</f>
        <v>0</v>
      </c>
      <c r="S275" s="48" t="n">
        <f aca="false">IF(14=Fin,S$269*V_RealCT+S$274*V_RealAF,0)</f>
        <v>0</v>
      </c>
      <c r="T275" s="48" t="n">
        <f aca="false">IF(15=Fin,T$269*V_RealCT+T$274*V_RealAF,0)</f>
        <v>0</v>
      </c>
      <c r="U275" s="48" t="n">
        <f aca="false">IF(16=Fin,U$269*V_RealCT+U$274*V_RealAF,0)</f>
        <v>0</v>
      </c>
      <c r="V275" s="48" t="n">
        <f aca="false">IF(17=Fin,V$269*V_RealCT+V$274*V_RealAF,0)</f>
        <v>0</v>
      </c>
      <c r="W275" s="48" t="n">
        <f aca="false">IF(18=Fin,W$269*V_RealCT+W$274*V_RealAF,0)</f>
        <v>0</v>
      </c>
      <c r="X275" s="48" t="n">
        <f aca="false">IF(19=Fin,X$269*V_RealCT+X$274*V_RealAF,0)</f>
        <v>0</v>
      </c>
      <c r="Y275" s="48" t="n">
        <f aca="false">IF(20=Fin,Y$269*V_RealCT+Y$274*V_RealAF,0)</f>
        <v>0</v>
      </c>
      <c r="Z275" s="48" t="n">
        <f aca="false">IF(21=Fin,Z$269*V_RealCT+Z$274*V_RealAF,0)</f>
        <v>0</v>
      </c>
      <c r="AA275" s="48" t="n">
        <f aca="false">IF(22=Fin,AA$269*V_RealCT+AA$274*V_RealAF,0)</f>
        <v>0</v>
      </c>
      <c r="AB275" s="48" t="n">
        <f aca="false">IF(23=Fin,AB$269*V_RealCT+AB$274*V_RealAF,0)</f>
        <v>0</v>
      </c>
      <c r="AC275" s="48" t="n">
        <f aca="false">IF(24=Fin,AC$269*V_RealCT+AC$274*V_RealAF,0)</f>
        <v>0</v>
      </c>
      <c r="AD275" s="48" t="n">
        <f aca="false">IF(25=Fin,AD$269*V_RealCT+AD$274*V_RealAF,0)</f>
        <v>0</v>
      </c>
      <c r="AE275" s="48" t="n">
        <f aca="false">IF(26=Fin,AE$269*V_RealCT+AE$274*V_RealAF,0)</f>
        <v>0</v>
      </c>
      <c r="AF275" s="48" t="n">
        <f aca="false">IF(27=Fin,AF$269*V_RealCT+AF$274*V_RealAF,0)</f>
        <v>0</v>
      </c>
      <c r="AG275" s="48" t="n">
        <f aca="false">IF(28=Fin,AG$269*V_RealCT+AG$274*V_RealAF,0)</f>
        <v>0</v>
      </c>
      <c r="AH275" s="48" t="n">
        <f aca="false">IF(29=Fin,AH$269*V_RealCT+AH$274*V_RealAF,0)</f>
        <v>0</v>
      </c>
      <c r="AI275" s="48" t="n">
        <f aca="false">IF(30=Fin,AI$269*V_RealCT+AI$274*V_RealAF,0)</f>
        <v>0</v>
      </c>
      <c r="AJ275" s="48" t="n">
        <f aca="false">IF(31=Fin,AJ$269*V_RealCT+AJ$274*V_RealAF,0)</f>
        <v>0</v>
      </c>
      <c r="AK275" s="48" t="n">
        <f aca="false">IF(32=Fin,AK$269*V_RealCT+AK$274*V_RealAF,0)</f>
        <v>0</v>
      </c>
      <c r="AL275" s="48" t="n">
        <f aca="false">IF(33=Fin,AL$269*V_RealCT+AL$274*V_RealAF,0)</f>
        <v>0</v>
      </c>
      <c r="AM275" s="48" t="n">
        <f aca="false">IF(34=Fin,AM$269*V_RealCT+AM$274*V_RealAF,0)</f>
        <v>0</v>
      </c>
      <c r="AN275" s="48" t="n">
        <f aca="false">IF(35=Fin,AN$269*V_RealCT+AN$274*V_RealAF,0)</f>
        <v>0</v>
      </c>
      <c r="AO275" s="48" t="n">
        <f aca="false">IF(36=Fin,AO$269*V_RealCT+AO$274*V_RealAF,0)</f>
        <v>0</v>
      </c>
      <c r="AP275" s="48" t="n">
        <f aca="false">IF(37=Fin,AP$269*V_RealCT+AP$274*V_RealAF,0)</f>
        <v>0</v>
      </c>
      <c r="AQ275" s="48" t="n">
        <f aca="false">IF(38=Fin,AQ$269*V_RealCT+AQ$274*V_RealAF,0)</f>
        <v>0</v>
      </c>
      <c r="AR275" s="48" t="n">
        <f aca="false">IF(39=Fin,AR$269*V_RealCT+AR$274*V_RealAF,0)</f>
        <v>0</v>
      </c>
      <c r="AS275" s="48" t="n">
        <f aca="false">IF(40=Fin,AS$269*V_RealCT+AS$274*V_RealAF,0)</f>
        <v>0</v>
      </c>
      <c r="AT275" s="48" t="n">
        <f aca="false">IF(41=Fin,AT$269*V_RealCT+AT$274*V_RealAF,0)</f>
        <v>0</v>
      </c>
      <c r="AU275" s="48" t="n">
        <f aca="false">IF(42=Fin,AU$269*V_RealCT+AU$274*V_RealAF,0)</f>
        <v>0</v>
      </c>
      <c r="AV275" s="48" t="n">
        <f aca="false">IF(43=Fin,AV$269*V_RealCT+AV$274*V_RealAF,0)</f>
        <v>0</v>
      </c>
      <c r="AW275" s="48" t="n">
        <f aca="false">IF(44=Fin,AW$269*V_RealCT+AW$274*V_RealAF,0)</f>
        <v>0</v>
      </c>
      <c r="AX275" s="48" t="n">
        <f aca="false">IF(45=Fin,AX$269*V_RealCT+AX$274*V_RealAF,0)</f>
        <v>0</v>
      </c>
      <c r="AY275" s="48" t="n">
        <f aca="false">IF(46=Fin,AY$269*V_RealCT+AY$274*V_RealAF,0)</f>
        <v>0</v>
      </c>
      <c r="AZ275" s="48" t="n">
        <f aca="false">IF(47=Fin,AZ$269*V_RealCT+AZ$274*V_RealAF,0)</f>
        <v>0</v>
      </c>
      <c r="BA275" s="48" t="n">
        <f aca="false">IF(48=Fin,BA$269*V_RealCT+BA$274*V_RealAF,0)</f>
        <v>0</v>
      </c>
      <c r="BB275" s="48" t="n">
        <f aca="false">IF(49=Fin,BB$269*V_RealCT+BB$274*V_RealAF,0)</f>
        <v>0</v>
      </c>
      <c r="BC275" s="48" t="n">
        <f aca="false">IF(50=Fin,BC$269*V_RealCT+BC$274*V_RealAF,0)</f>
        <v>0</v>
      </c>
      <c r="BD275" s="48" t="n">
        <f aca="false">IF(51=Fin,BD$269*V_RealCT+BD$274*V_RealAF,0)</f>
        <v>0</v>
      </c>
      <c r="BE275" s="48" t="n">
        <f aca="false">IF(52=Fin,BE$269*V_RealCT+BE$274*V_RealAF,0)</f>
        <v>0</v>
      </c>
      <c r="BF275" s="48" t="n">
        <f aca="false">IF(53=Fin,BF$269*V_RealCT+BF$274*V_RealAF,0)</f>
        <v>0</v>
      </c>
      <c r="BG275" s="48" t="n">
        <f aca="false">IF(54=Fin,BG$269*V_RealCT+BG$274*V_RealAF,0)</f>
        <v>0</v>
      </c>
      <c r="BH275" s="48" t="n">
        <f aca="false">IF(55=Fin,BH$269*V_RealCT+BH$274*V_RealAF,0)</f>
        <v>0</v>
      </c>
      <c r="BI275" s="48" t="n">
        <f aca="false">IF(56=Fin,BI$269*V_RealCT+BI$274*V_RealAF,0)</f>
        <v>0</v>
      </c>
      <c r="BJ275" s="48" t="n">
        <f aca="false">IF(57=Fin,BJ$269*V_RealCT+BJ$274*V_RealAF,0)</f>
        <v>0</v>
      </c>
      <c r="BK275" s="48" t="n">
        <f aca="false">IF(58=Fin,BK$269*V_RealCT+BK$274*V_RealAF,0)</f>
        <v>0</v>
      </c>
      <c r="BL275" s="48" t="n">
        <f aca="false">IF(59=Fin,BL$269*V_RealCT+BL$274*V_RealAF,0)</f>
        <v>0</v>
      </c>
      <c r="BM275" s="48" t="n">
        <f aca="false">IF(60=Fin,BM$269*V_RealCT+BM$274*V_RealAF,0)</f>
        <v>0</v>
      </c>
      <c r="BN275" s="48" t="n">
        <f aca="false">IF(61=Fin,BN$269*V_RealCT+BN$274*V_RealAF,0)</f>
        <v>0</v>
      </c>
      <c r="BO275" s="48" t="n">
        <f aca="false">IF(62=Fin,BO$269*V_RealCT+BO$274*V_RealAF,0)</f>
        <v>0</v>
      </c>
      <c r="BP275" s="48" t="n">
        <f aca="false">IF(63=Fin,BP$269*V_RealCT+BP$274*V_RealAF,0)</f>
        <v>0</v>
      </c>
      <c r="BQ275" s="48" t="n">
        <f aca="false">IF(64=Fin,BQ$269*V_RealCT+BQ$274*V_RealAF,0)</f>
        <v>0</v>
      </c>
      <c r="BR275" s="48" t="n">
        <f aca="false">IF(65=Fin,BR$269*V_RealCT+BR$274*V_RealAF,0)</f>
        <v>0</v>
      </c>
      <c r="BS275" s="48" t="n">
        <f aca="false">IF(66=Fin,BS$269*V_RealCT+BS$274*V_RealAF,0)</f>
        <v>0</v>
      </c>
      <c r="BT275" s="48" t="n">
        <f aca="false">IF(67=Fin,BT$269*V_RealCT+BT$274*V_RealAF,0)</f>
        <v>0</v>
      </c>
      <c r="BU275" s="48" t="n">
        <f aca="false">IF(68=Fin,BU$269*V_RealCT+BU$274*V_RealAF,0)</f>
        <v>0</v>
      </c>
      <c r="BV275" s="48" t="n">
        <f aca="false">IF(69=Fin,BV$269*V_RealCT+BV$274*V_RealAF,0)</f>
        <v>0</v>
      </c>
      <c r="BW275" s="48" t="n">
        <f aca="false">IF(70=Fin,BW$269*V_RealCT+BW$274*V_RealAF,0)</f>
        <v>0</v>
      </c>
      <c r="BX275" s="48" t="n">
        <f aca="false">IF(71=Fin,BX$269*V_RealCT+BX$274*V_RealAF,0)</f>
        <v>0</v>
      </c>
      <c r="BY275" s="48" t="n">
        <f aca="false">IF(72=Fin,BY$269*V_RealCT+BY$274*V_RealAF,0)</f>
        <v>0</v>
      </c>
      <c r="BZ275" s="48" t="n">
        <f aca="false">IF(73=Fin,BZ$269*V_RealCT+BZ$274*V_RealAF,0)</f>
        <v>0</v>
      </c>
      <c r="CA275" s="48" t="n">
        <f aca="false">IF(74=Fin,CA$269*V_RealCT+CA$274*V_RealAF,0)</f>
        <v>0</v>
      </c>
      <c r="CB275" s="48" t="n">
        <f aca="false">IF(75=Fin,CB$269*V_RealCT+CB$274*V_RealAF,0)</f>
        <v>0</v>
      </c>
      <c r="CC275" s="48" t="n">
        <f aca="false">IF(76=Fin,CC$269*V_RealCT+CC$274*V_RealAF,0)</f>
        <v>0</v>
      </c>
      <c r="CD275" s="48" t="n">
        <f aca="false">IF(77=Fin,CD$269*V_RealCT+CD$274*V_RealAF,0)</f>
        <v>0</v>
      </c>
      <c r="CE275" s="48" t="n">
        <f aca="false">IF(78=Fin,CE$269*V_RealCT+CE$274*V_RealAF,0)</f>
        <v>0</v>
      </c>
      <c r="CF275" s="48" t="n">
        <f aca="false">IF(79=Fin,CF$269*V_RealCT+CF$274*V_RealAF,0)</f>
        <v>0</v>
      </c>
      <c r="CG275" s="48" t="n">
        <f aca="false">IF(80=Fin,CG$269*V_RealCT+CG$274*V_RealAF,0)</f>
        <v>0</v>
      </c>
      <c r="CH275" s="48" t="n">
        <f aca="false">IF(81=Fin,CH$269*V_RealCT+CH$274*V_RealAF,0)</f>
        <v>0</v>
      </c>
      <c r="CI275" s="48" t="n">
        <f aca="false">IF(82=Fin,CI$269*V_RealCT+CI$274*V_RealAF,0)</f>
        <v>0</v>
      </c>
      <c r="CJ275" s="48" t="n">
        <f aca="false">IF(83=Fin,CJ$269*V_RealCT+CJ$274*V_RealAF,0)</f>
        <v>0</v>
      </c>
      <c r="CK275" s="48" t="n">
        <f aca="false">IF(84=Fin,CK$269*V_RealCT+CK$274*V_RealAF,0)</f>
        <v>0</v>
      </c>
      <c r="CL275" s="48" t="n">
        <f aca="false">IF(85=Fin,CL$269*V_RealCT+CL$274*V_RealAF,0)</f>
        <v>0</v>
      </c>
      <c r="CM275" s="48" t="n">
        <f aca="false">IF(86=Fin,CM$269*V_RealCT+CM$274*V_RealAF,0)</f>
        <v>0</v>
      </c>
      <c r="CN275" s="48" t="n">
        <f aca="false">IF(87=Fin,CN$269*V_RealCT+CN$274*V_RealAF,0)</f>
        <v>0</v>
      </c>
      <c r="CO275" s="48" t="n">
        <f aca="false">IF(88=Fin,CO$269*V_RealCT+CO$274*V_RealAF,0)</f>
        <v>0</v>
      </c>
      <c r="CP275" s="48" t="n">
        <f aca="false">IF(89=Fin,CP$269*V_RealCT+CP$274*V_RealAF,0)</f>
        <v>0</v>
      </c>
      <c r="CQ275" s="48" t="n">
        <f aca="false">IF(90=Fin,CQ$269*V_RealCT+CQ$274*V_RealAF,0)</f>
        <v>0</v>
      </c>
      <c r="CR275" s="48" t="n">
        <f aca="false">IF(91=Fin,CR$269*V_RealCT+CR$274*V_RealAF,0)</f>
        <v>0</v>
      </c>
      <c r="CS275" s="48" t="n">
        <f aca="false">IF(92=Fin,CS$269*V_RealCT+CS$274*V_RealAF,0)</f>
        <v>0</v>
      </c>
      <c r="CT275" s="48" t="n">
        <f aca="false">IF(93=Fin,CT$269*V_RealCT+CT$274*V_RealAF,0)</f>
        <v>0</v>
      </c>
      <c r="CU275" s="48" t="n">
        <f aca="false">IF(94=Fin,CU$269*V_RealCT+CU$274*V_RealAF,0)</f>
        <v>0</v>
      </c>
      <c r="CV275" s="48" t="n">
        <f aca="false">IF(95=Fin,CV$269*V_RealCT+CV$274*V_RealAF,0)</f>
        <v>0</v>
      </c>
      <c r="CW275" s="48" t="n">
        <f aca="false">IF(96=Fin,CW$269*V_RealCT+CW$274*V_RealAF,0)</f>
        <v>0</v>
      </c>
      <c r="CX275" s="48" t="n">
        <f aca="false">IF(97=Fin,CX$269*V_RealCT+CX$274*V_RealAF,0)</f>
        <v>0</v>
      </c>
      <c r="CY275" s="48" t="n">
        <f aca="false">IF(98=Fin,CY$269*V_RealCT+CY$274*V_RealAF,0)</f>
        <v>0</v>
      </c>
      <c r="CZ275" s="48" t="n">
        <f aca="false">IF(99=Fin,CZ$269*V_RealCT+CZ$274*V_RealAF,0)</f>
        <v>0</v>
      </c>
      <c r="DA275" s="48" t="n">
        <f aca="false">IF(100=Fin,DA$269*V_RealCT+DA$274*V_RealAF,0)</f>
        <v>0</v>
      </c>
      <c r="DB275" s="48" t="n">
        <f aca="false">IF(101=Fin,DB$269*V_RealCT+DB$274*V_RealAF,0)</f>
        <v>0</v>
      </c>
      <c r="DC275" s="48" t="n">
        <f aca="false">IF(102=Fin,DC$269*V_RealCT+DC$274*V_RealAF,0)</f>
        <v>0</v>
      </c>
      <c r="DD275" s="48" t="n">
        <f aca="false">IF(103=Fin,DD$269*V_RealCT+DD$274*V_RealAF,0)</f>
        <v>0</v>
      </c>
      <c r="DE275" s="48" t="n">
        <f aca="false">IF(104=Fin,DE$269*V_RealCT+DE$274*V_RealAF,0)</f>
        <v>0</v>
      </c>
      <c r="DF275" s="48" t="n">
        <f aca="false">IF(105=Fin,DF$269*V_RealCT+DF$274*V_RealAF,0)</f>
        <v>0</v>
      </c>
      <c r="DG275" s="48" t="n">
        <f aca="false">IF(106=Fin,DG$269*V_RealCT+DG$274*V_RealAF,0)</f>
        <v>0</v>
      </c>
      <c r="DH275" s="48" t="n">
        <f aca="false">IF(107=Fin,DH$269*V_RealCT+DH$274*V_RealAF,0)</f>
        <v>0</v>
      </c>
      <c r="DI275" s="48" t="n">
        <f aca="false">IF(108=Fin,DI$269*V_RealCT+DI$274*V_RealAF,0)</f>
        <v>0</v>
      </c>
      <c r="DJ275" s="48" t="n">
        <f aca="false">IF(109=Fin,DJ$269*V_RealCT+DJ$274*V_RealAF,0)</f>
        <v>0</v>
      </c>
      <c r="DK275" s="48" t="n">
        <f aca="false">IF(110=Fin,DK$269*V_RealCT+DK$274*V_RealAF,0)</f>
        <v>0</v>
      </c>
      <c r="DL275" s="48" t="n">
        <f aca="false">IF(111=Fin,DL$269*V_RealCT+DL$274*V_RealAF,0)</f>
        <v>0</v>
      </c>
      <c r="DM275" s="48" t="n">
        <f aca="false">IF(112=Fin,DM$269*V_RealCT+DM$274*V_RealAF,0)</f>
        <v>0</v>
      </c>
      <c r="DN275" s="48" t="n">
        <f aca="false">IF(113=Fin,DN$269*V_RealCT+DN$274*V_RealAF,0)</f>
        <v>0</v>
      </c>
      <c r="DO275" s="48" t="n">
        <f aca="false">IF(114=Fin,DO$269*V_RealCT+DO$274*V_RealAF,0)</f>
        <v>0</v>
      </c>
      <c r="DP275" s="48" t="n">
        <f aca="false">IF(115=Fin,DP$269*V_RealCT+DP$274*V_RealAF,0)</f>
        <v>0</v>
      </c>
      <c r="DQ275" s="48" t="n">
        <f aca="false">IF(116=Fin,DQ$269*V_RealCT+DQ$274*V_RealAF,0)</f>
        <v>0</v>
      </c>
      <c r="DR275" s="48" t="n">
        <f aca="false">IF(117=Fin,DR$269*V_RealCT+DR$274*V_RealAF,0)</f>
        <v>0</v>
      </c>
      <c r="DS275" s="48" t="n">
        <f aca="false">IF(118=Fin,DS$269*V_RealCT+DS$274*V_RealAF,0)</f>
        <v>0</v>
      </c>
      <c r="DT275" s="48" t="n">
        <f aca="false">IF(119=Fin,DT$269*V_RealCT+DT$274*V_RealAF,0)</f>
        <v>0</v>
      </c>
      <c r="DU275" s="48" t="n">
        <f aca="false">IF(120=Fin,DU$269*V_RealCT+DU$274*V_RealAF,0)</f>
        <v>4509762.51732228</v>
      </c>
      <c r="DV275" s="48" t="n">
        <f aca="false">IF(121=Fin,DV$269*V_RealCT+DV$274*V_RealAF,0)</f>
        <v>0</v>
      </c>
      <c r="DW275" s="48" t="n">
        <f aca="false">IF(122=Fin,DW$269*V_RealCT+DW$274*V_RealAF,0)</f>
        <v>0</v>
      </c>
      <c r="DX275" s="48" t="n">
        <f aca="false">IF(123=Fin,DX$269*V_RealCT+DX$274*V_RealAF,0)</f>
        <v>0</v>
      </c>
      <c r="DY275" s="48" t="n">
        <f aca="false">IF(124=Fin,DY$269*V_RealCT+DY$274*V_RealAF,0)</f>
        <v>0</v>
      </c>
      <c r="DZ275" s="48" t="n">
        <f aca="false">IF(125=Fin,DZ$269*V_RealCT+DZ$274*V_RealAF,0)</f>
        <v>0</v>
      </c>
      <c r="EA275" s="48" t="n">
        <f aca="false">IF(126=Fin,EA$269*V_RealCT+EA$274*V_RealAF,0)</f>
        <v>0</v>
      </c>
      <c r="EB275" s="48" t="n">
        <f aca="false">IF(127=Fin,EB$269*V_RealCT+EB$274*V_RealAF,0)</f>
        <v>0</v>
      </c>
      <c r="EC275" s="48" t="n">
        <f aca="false">IF(128=Fin,EC$269*V_RealCT+EC$274*V_RealAF,0)</f>
        <v>0</v>
      </c>
      <c r="ED275" s="48" t="n">
        <f aca="false">IF(129=Fin,ED$269*V_RealCT+ED$274*V_RealAF,0)</f>
        <v>0</v>
      </c>
      <c r="EE275" s="48" t="n">
        <f aca="false">IF(130=Fin,EE$269*V_RealCT+EE$274*V_RealAF,0)</f>
        <v>0</v>
      </c>
      <c r="EF275" s="48" t="n">
        <f aca="false">IF(131=Fin,EF$269*V_RealCT+EF$274*V_RealAF,0)</f>
        <v>0</v>
      </c>
      <c r="EG275" s="48" t="n">
        <f aca="false">IF(132=Fin,EG$269*V_RealCT+EG$274*V_RealAF,0)</f>
        <v>0</v>
      </c>
      <c r="EH275" s="48" t="n">
        <f aca="false">IF(133=Fin,EH$269*V_RealCT+EH$274*V_RealAF,0)</f>
        <v>0</v>
      </c>
      <c r="EI275" s="48" t="n">
        <f aca="false">IF(134=Fin,EI$269*V_RealCT+EI$274*V_RealAF,0)</f>
        <v>0</v>
      </c>
      <c r="EJ275" s="48" t="n">
        <f aca="false">IF(135=Fin,EJ$269*V_RealCT+EJ$274*V_RealAF,0)</f>
        <v>0</v>
      </c>
      <c r="EK275" s="48" t="n">
        <f aca="false">IF(136=Fin,EK$269*V_RealCT+EK$274*V_RealAF,0)</f>
        <v>0</v>
      </c>
      <c r="EL275" s="48" t="n">
        <f aca="false">IF(137=Fin,EL$269*V_RealCT+EL$274*V_RealAF,0)</f>
        <v>0</v>
      </c>
      <c r="EM275" s="48" t="n">
        <f aca="false">IF(138=Fin,EM$269*V_RealCT+EM$274*V_RealAF,0)</f>
        <v>0</v>
      </c>
      <c r="EN275" s="48" t="n">
        <f aca="false">IF(139=Fin,EN$269*V_RealCT+EN$274*V_RealAF,0)</f>
        <v>0</v>
      </c>
      <c r="EO275" s="48" t="n">
        <f aca="false">IF(140=Fin,EO$269*V_RealCT+EO$274*V_RealAF,0)</f>
        <v>0</v>
      </c>
      <c r="EP275" s="48" t="n">
        <f aca="false">IF(141=Fin,EP$269*V_RealCT+EP$274*V_RealAF,0)</f>
        <v>0</v>
      </c>
      <c r="EQ275" s="48" t="n">
        <f aca="false">IF(142=Fin,EQ$269*V_RealCT+EQ$274*V_RealAF,0)</f>
        <v>0</v>
      </c>
      <c r="ER275" s="48" t="n">
        <f aca="false">IF(143=Fin,ER$269*V_RealCT+ER$274*V_RealAF,0)</f>
        <v>0</v>
      </c>
      <c r="ES275" s="48" t="n">
        <f aca="false">IF(144=Fin,ES$269*V_RealCT+ES$274*V_RealAF,0)</f>
        <v>0</v>
      </c>
    </row>
    <row r="276" customFormat="false" ht="15" hidden="false" customHeight="false" outlineLevel="0" collapsed="false">
      <c r="A276" s="11" t="s">
        <v>1395</v>
      </c>
      <c r="B276" s="67" t="s">
        <v>1206</v>
      </c>
      <c r="C276" s="15" t="s">
        <v>508</v>
      </c>
      <c r="E276" s="54" t="n">
        <f aca="false">SUM(F276:ES276)</f>
        <v>15564459.926261</v>
      </c>
      <c r="F276" s="19" t="n">
        <f aca="false">F$272-F$273+F$275</f>
        <v>-3000610.47688344</v>
      </c>
      <c r="G276" s="19" t="n">
        <f aca="false">G$272-G$273+G$275</f>
        <v>42497.5004755897</v>
      </c>
      <c r="H276" s="19" t="n">
        <f aca="false">H$272-H$273+H$275</f>
        <v>42497.5004755897</v>
      </c>
      <c r="I276" s="19" t="n">
        <f aca="false">I$272-I$273+I$275</f>
        <v>42497.5004755897</v>
      </c>
      <c r="J276" s="19" t="n">
        <f aca="false">J$272-J$273+J$275</f>
        <v>42497.5004755897</v>
      </c>
      <c r="K276" s="19" t="n">
        <f aca="false">K$272-K$273+K$275</f>
        <v>42497.5004755897</v>
      </c>
      <c r="L276" s="19" t="n">
        <f aca="false">L$272-L$273+L$275</f>
        <v>42497.5004755897</v>
      </c>
      <c r="M276" s="19" t="n">
        <f aca="false">M$272-M$273+M$275</f>
        <v>42497.5004755897</v>
      </c>
      <c r="N276" s="19" t="n">
        <f aca="false">N$272-N$273+N$275</f>
        <v>42497.5004755897</v>
      </c>
      <c r="O276" s="19" t="n">
        <f aca="false">O$272-O$273+O$275</f>
        <v>42497.5004755897</v>
      </c>
      <c r="P276" s="19" t="n">
        <f aca="false">P$272-P$273+P$275</f>
        <v>42497.5004755897</v>
      </c>
      <c r="Q276" s="19" t="n">
        <f aca="false">Q$272-Q$273+Q$275</f>
        <v>42497.5004755897</v>
      </c>
      <c r="R276" s="19" t="n">
        <f aca="false">R$272-R$273+R$275</f>
        <v>-674649.041401679</v>
      </c>
      <c r="S276" s="19" t="n">
        <f aca="false">S$272-S$273+S$275</f>
        <v>80496.4029939648</v>
      </c>
      <c r="T276" s="19" t="n">
        <f aca="false">T$272-T$273+T$275</f>
        <v>80496.4029939648</v>
      </c>
      <c r="U276" s="19" t="n">
        <f aca="false">U$272-U$273+U$275</f>
        <v>80496.4029939648</v>
      </c>
      <c r="V276" s="19" t="n">
        <f aca="false">V$272-V$273+V$275</f>
        <v>80496.4029939648</v>
      </c>
      <c r="W276" s="19" t="n">
        <f aca="false">W$272-W$273+W$275</f>
        <v>80496.4029939648</v>
      </c>
      <c r="X276" s="19" t="n">
        <f aca="false">X$272-X$273+X$275</f>
        <v>80496.4029939648</v>
      </c>
      <c r="Y276" s="19" t="n">
        <f aca="false">Y$272-Y$273+Y$275</f>
        <v>80496.4029939648</v>
      </c>
      <c r="Z276" s="19" t="n">
        <f aca="false">Z$272-Z$273+Z$275</f>
        <v>80496.4029939648</v>
      </c>
      <c r="AA276" s="19" t="n">
        <f aca="false">AA$272-AA$273+AA$275</f>
        <v>80496.4029939648</v>
      </c>
      <c r="AB276" s="19" t="n">
        <f aca="false">AB$272-AB$273+AB$275</f>
        <v>80496.4029939648</v>
      </c>
      <c r="AC276" s="19" t="n">
        <f aca="false">AC$272-AC$273+AC$275</f>
        <v>80496.4029939648</v>
      </c>
      <c r="AD276" s="19" t="n">
        <f aca="false">AD$272-AD$273+AD$275</f>
        <v>-550241.899767298</v>
      </c>
      <c r="AE276" s="19" t="n">
        <f aca="false">AE$272-AE$273+AE$275</f>
        <v>117085.030865125</v>
      </c>
      <c r="AF276" s="19" t="n">
        <f aca="false">AF$272-AF$273+AF$275</f>
        <v>117085.030865125</v>
      </c>
      <c r="AG276" s="19" t="n">
        <f aca="false">AG$272-AG$273+AG$275</f>
        <v>117085.030865125</v>
      </c>
      <c r="AH276" s="19" t="n">
        <f aca="false">AH$272-AH$273+AH$275</f>
        <v>117085.030865125</v>
      </c>
      <c r="AI276" s="19" t="n">
        <f aca="false">AI$272-AI$273+AI$275</f>
        <v>117085.030865125</v>
      </c>
      <c r="AJ276" s="19" t="n">
        <f aca="false">AJ$272-AJ$273+AJ$275</f>
        <v>117085.030865125</v>
      </c>
      <c r="AK276" s="19" t="n">
        <f aca="false">AK$272-AK$273+AK$275</f>
        <v>117085.030865125</v>
      </c>
      <c r="AL276" s="19" t="n">
        <f aca="false">AL$272-AL$273+AL$275</f>
        <v>117085.030865125</v>
      </c>
      <c r="AM276" s="19" t="n">
        <f aca="false">AM$272-AM$273+AM$275</f>
        <v>117085.030865125</v>
      </c>
      <c r="AN276" s="19" t="n">
        <f aca="false">AN$272-AN$273+AN$275</f>
        <v>117085.030865125</v>
      </c>
      <c r="AO276" s="19" t="n">
        <f aca="false">AO$272-AO$273+AO$275</f>
        <v>117085.030865125</v>
      </c>
      <c r="AP276" s="19" t="n">
        <f aca="false">AP$272-AP$273+AP$275</f>
        <v>-408915.490053454</v>
      </c>
      <c r="AQ276" s="19" t="n">
        <f aca="false">AQ$272-AQ$273+AQ$275</f>
        <v>149893.579879858</v>
      </c>
      <c r="AR276" s="19" t="n">
        <f aca="false">AR$272-AR$273+AR$275</f>
        <v>149893.579879858</v>
      </c>
      <c r="AS276" s="19" t="n">
        <f aca="false">AS$272-AS$273+AS$275</f>
        <v>149893.579879858</v>
      </c>
      <c r="AT276" s="19" t="n">
        <f aca="false">AT$272-AT$273+AT$275</f>
        <v>149893.579879858</v>
      </c>
      <c r="AU276" s="19" t="n">
        <f aca="false">AU$272-AU$273+AU$275</f>
        <v>149893.579879858</v>
      </c>
      <c r="AV276" s="19" t="n">
        <f aca="false">AV$272-AV$273+AV$275</f>
        <v>149893.579879858</v>
      </c>
      <c r="AW276" s="19" t="n">
        <f aca="false">AW$272-AW$273+AW$275</f>
        <v>149893.579879858</v>
      </c>
      <c r="AX276" s="19" t="n">
        <f aca="false">AX$272-AX$273+AX$275</f>
        <v>149893.579879858</v>
      </c>
      <c r="AY276" s="19" t="n">
        <f aca="false">AY$272-AY$273+AY$275</f>
        <v>149893.579879858</v>
      </c>
      <c r="AZ276" s="19" t="n">
        <f aca="false">AZ$272-AZ$273+AZ$275</f>
        <v>149893.579879858</v>
      </c>
      <c r="BA276" s="19" t="n">
        <f aca="false">BA$272-BA$273+BA$275</f>
        <v>149893.579879858</v>
      </c>
      <c r="BB276" s="19" t="n">
        <f aca="false">BB$272-BB$273+BB$275</f>
        <v>113103.617170514</v>
      </c>
      <c r="BC276" s="19" t="n">
        <f aca="false">BC$272-BC$273+BC$275</f>
        <v>151213.164876374</v>
      </c>
      <c r="BD276" s="19" t="n">
        <f aca="false">BD$272-BD$273+BD$275</f>
        <v>151213.164876374</v>
      </c>
      <c r="BE276" s="19" t="n">
        <f aca="false">BE$272-BE$273+BE$275</f>
        <v>151213.164876374</v>
      </c>
      <c r="BF276" s="19" t="n">
        <f aca="false">BF$272-BF$273+BF$275</f>
        <v>151213.164876374</v>
      </c>
      <c r="BG276" s="19" t="n">
        <f aca="false">BG$272-BG$273+BG$275</f>
        <v>151213.164876374</v>
      </c>
      <c r="BH276" s="19" t="n">
        <f aca="false">BH$272-BH$273+BH$275</f>
        <v>151213.164876374</v>
      </c>
      <c r="BI276" s="19" t="n">
        <f aca="false">BI$272-BI$273+BI$275</f>
        <v>151213.164876374</v>
      </c>
      <c r="BJ276" s="19" t="n">
        <f aca="false">BJ$272-BJ$273+BJ$275</f>
        <v>151213.164876374</v>
      </c>
      <c r="BK276" s="19" t="n">
        <f aca="false">BK$272-BK$273+BK$275</f>
        <v>151213.164876374</v>
      </c>
      <c r="BL276" s="19" t="n">
        <f aca="false">BL$272-BL$273+BL$275</f>
        <v>151213.164876374</v>
      </c>
      <c r="BM276" s="19" t="n">
        <f aca="false">BM$272-BM$273+BM$275</f>
        <v>151213.164876374</v>
      </c>
      <c r="BN276" s="19" t="n">
        <f aca="false">BN$272-BN$273+BN$275</f>
        <v>117575.58532923</v>
      </c>
      <c r="BO276" s="19" t="n">
        <f aca="false">BO$272-BO$273+BO$275</f>
        <v>155300.441797826</v>
      </c>
      <c r="BP276" s="19" t="n">
        <f aca="false">BP$272-BP$273+BP$275</f>
        <v>155300.441797826</v>
      </c>
      <c r="BQ276" s="19" t="n">
        <f aca="false">BQ$272-BQ$273+BQ$275</f>
        <v>155300.441797826</v>
      </c>
      <c r="BR276" s="19" t="n">
        <f aca="false">BR$272-BR$273+BR$275</f>
        <v>155300.441797826</v>
      </c>
      <c r="BS276" s="19" t="n">
        <f aca="false">BS$272-BS$273+BS$275</f>
        <v>155300.441797826</v>
      </c>
      <c r="BT276" s="19" t="n">
        <f aca="false">BT$272-BT$273+BT$275</f>
        <v>155300.441797826</v>
      </c>
      <c r="BU276" s="19" t="n">
        <f aca="false">BU$272-BU$273+BU$275</f>
        <v>155300.441797826</v>
      </c>
      <c r="BV276" s="19" t="n">
        <f aca="false">BV$272-BV$273+BV$275</f>
        <v>155300.441797826</v>
      </c>
      <c r="BW276" s="19" t="n">
        <f aca="false">BW$272-BW$273+BW$275</f>
        <v>155300.441797826</v>
      </c>
      <c r="BX276" s="19" t="n">
        <f aca="false">BX$272-BX$273+BX$275</f>
        <v>155300.441797826</v>
      </c>
      <c r="BY276" s="19" t="n">
        <f aca="false">BY$272-BY$273+BY$275</f>
        <v>155300.441797826</v>
      </c>
      <c r="BZ276" s="19" t="n">
        <f aca="false">BZ$272-BZ$273+BZ$275</f>
        <v>121326.129264619</v>
      </c>
      <c r="CA276" s="19" t="n">
        <f aca="false">CA$272-CA$273+CA$275</f>
        <v>159416.0224894</v>
      </c>
      <c r="CB276" s="19" t="n">
        <f aca="false">CB$272-CB$273+CB$275</f>
        <v>159416.0224894</v>
      </c>
      <c r="CC276" s="19" t="n">
        <f aca="false">CC$272-CC$273+CC$275</f>
        <v>159416.0224894</v>
      </c>
      <c r="CD276" s="19" t="n">
        <f aca="false">CD$272-CD$273+CD$275</f>
        <v>159416.0224894</v>
      </c>
      <c r="CE276" s="19" t="n">
        <f aca="false">CE$272-CE$273+CE$275</f>
        <v>159416.0224894</v>
      </c>
      <c r="CF276" s="19" t="n">
        <f aca="false">CF$272-CF$273+CF$275</f>
        <v>159416.0224894</v>
      </c>
      <c r="CG276" s="19" t="n">
        <f aca="false">CG$272-CG$273+CG$275</f>
        <v>159416.0224894</v>
      </c>
      <c r="CH276" s="19" t="n">
        <f aca="false">CH$272-CH$273+CH$275</f>
        <v>159416.0224894</v>
      </c>
      <c r="CI276" s="19" t="n">
        <f aca="false">CI$272-CI$273+CI$275</f>
        <v>159416.0224894</v>
      </c>
      <c r="CJ276" s="19" t="n">
        <f aca="false">CJ$272-CJ$273+CJ$275</f>
        <v>159416.0224894</v>
      </c>
      <c r="CK276" s="19" t="n">
        <f aca="false">CK$272-CK$273+CK$275</f>
        <v>159416.0224894</v>
      </c>
      <c r="CL276" s="19" t="n">
        <f aca="false">CL$272-CL$273+CL$275</f>
        <v>125101.600851769</v>
      </c>
      <c r="CM276" s="19" t="n">
        <f aca="false">CM$272-CM$273+CM$275</f>
        <v>163559.818546287</v>
      </c>
      <c r="CN276" s="19" t="n">
        <f aca="false">CN$272-CN$273+CN$275</f>
        <v>163559.818546287</v>
      </c>
      <c r="CO276" s="19" t="n">
        <f aca="false">CO$272-CO$273+CO$275</f>
        <v>163559.818546287</v>
      </c>
      <c r="CP276" s="19" t="n">
        <f aca="false">CP$272-CP$273+CP$275</f>
        <v>163559.818546287</v>
      </c>
      <c r="CQ276" s="19" t="n">
        <f aca="false">CQ$272-CQ$273+CQ$275</f>
        <v>163559.818546287</v>
      </c>
      <c r="CR276" s="19" t="n">
        <f aca="false">CR$272-CR$273+CR$275</f>
        <v>163559.818546287</v>
      </c>
      <c r="CS276" s="19" t="n">
        <f aca="false">CS$272-CS$273+CS$275</f>
        <v>163559.818546287</v>
      </c>
      <c r="CT276" s="19" t="n">
        <f aca="false">CT$272-CT$273+CT$275</f>
        <v>163559.818546287</v>
      </c>
      <c r="CU276" s="19" t="n">
        <f aca="false">CU$272-CU$273+CU$275</f>
        <v>163559.818546287</v>
      </c>
      <c r="CV276" s="19" t="n">
        <f aca="false">CV$272-CV$273+CV$275</f>
        <v>163559.818546287</v>
      </c>
      <c r="CW276" s="19" t="n">
        <f aca="false">CW$272-CW$273+CW$275</f>
        <v>163559.818546287</v>
      </c>
      <c r="CX276" s="19" t="n">
        <f aca="false">CX$272-CX$273+CX$275</f>
        <v>128901.877699572</v>
      </c>
      <c r="CY276" s="19" t="n">
        <f aca="false">CY$272-CY$273+CY$275</f>
        <v>167731.729648908</v>
      </c>
      <c r="CZ276" s="19" t="n">
        <f aca="false">CZ$272-CZ$273+CZ$275</f>
        <v>167731.729648908</v>
      </c>
      <c r="DA276" s="19" t="n">
        <f aca="false">DA$272-DA$273+DA$275</f>
        <v>167731.729648908</v>
      </c>
      <c r="DB276" s="19" t="n">
        <f aca="false">DB$272-DB$273+DB$275</f>
        <v>167731.729648908</v>
      </c>
      <c r="DC276" s="19" t="n">
        <f aca="false">DC$272-DC$273+DC$275</f>
        <v>167731.729648908</v>
      </c>
      <c r="DD276" s="19" t="n">
        <f aca="false">DD$272-DD$273+DD$275</f>
        <v>167731.729648908</v>
      </c>
      <c r="DE276" s="19" t="n">
        <f aca="false">DE$272-DE$273+DE$275</f>
        <v>167731.729648908</v>
      </c>
      <c r="DF276" s="19" t="n">
        <f aca="false">DF$272-DF$273+DF$275</f>
        <v>167731.729648908</v>
      </c>
      <c r="DG276" s="19" t="n">
        <f aca="false">DG$272-DG$273+DG$275</f>
        <v>167731.729648908</v>
      </c>
      <c r="DH276" s="19" t="n">
        <f aca="false">DH$272-DH$273+DH$275</f>
        <v>167731.729648908</v>
      </c>
      <c r="DI276" s="19" t="n">
        <f aca="false">DI$272-DI$273+DI$275</f>
        <v>167731.729648908</v>
      </c>
      <c r="DJ276" s="19" t="n">
        <f aca="false">DJ$272-DJ$273+DJ$275</f>
        <v>132726.825156308</v>
      </c>
      <c r="DK276" s="19" t="n">
        <f aca="false">DK$272-DK$273+DK$275</f>
        <v>171931.643115086</v>
      </c>
      <c r="DL276" s="19" t="n">
        <f aca="false">DL$272-DL$273+DL$275</f>
        <v>171931.643115086</v>
      </c>
      <c r="DM276" s="19" t="n">
        <f aca="false">DM$272-DM$273+DM$275</f>
        <v>171931.643115086</v>
      </c>
      <c r="DN276" s="19" t="n">
        <f aca="false">DN$272-DN$273+DN$275</f>
        <v>171931.643115086</v>
      </c>
      <c r="DO276" s="19" t="n">
        <f aca="false">DO$272-DO$273+DO$275</f>
        <v>171931.643115086</v>
      </c>
      <c r="DP276" s="19" t="n">
        <f aca="false">DP$272-DP$273+DP$275</f>
        <v>171931.643115086</v>
      </c>
      <c r="DQ276" s="19" t="n">
        <f aca="false">DQ$272-DQ$273+DQ$275</f>
        <v>171931.643115086</v>
      </c>
      <c r="DR276" s="19" t="n">
        <f aca="false">DR$272-DR$273+DR$275</f>
        <v>171931.643115086</v>
      </c>
      <c r="DS276" s="19" t="n">
        <f aca="false">DS$272-DS$273+DS$275</f>
        <v>171931.643115086</v>
      </c>
      <c r="DT276" s="19" t="n">
        <f aca="false">DT$272-DT$273+DT$275</f>
        <v>171931.643115086</v>
      </c>
      <c r="DU276" s="19" t="n">
        <f aca="false">DU$272-DU$273+DU$275</f>
        <v>4681694.16043737</v>
      </c>
      <c r="DV276" s="19" t="n">
        <f aca="false">DV$272-DV$273+DV$275</f>
        <v>0</v>
      </c>
      <c r="DW276" s="19" t="n">
        <f aca="false">DW$272-DW$273+DW$275</f>
        <v>0</v>
      </c>
      <c r="DX276" s="19" t="n">
        <f aca="false">DX$272-DX$273+DX$275</f>
        <v>0</v>
      </c>
      <c r="DY276" s="19" t="n">
        <f aca="false">DY$272-DY$273+DY$275</f>
        <v>0</v>
      </c>
      <c r="DZ276" s="19" t="n">
        <f aca="false">DZ$272-DZ$273+DZ$275</f>
        <v>0</v>
      </c>
      <c r="EA276" s="19" t="n">
        <f aca="false">EA$272-EA$273+EA$275</f>
        <v>0</v>
      </c>
      <c r="EB276" s="19" t="n">
        <f aca="false">EB$272-EB$273+EB$275</f>
        <v>0</v>
      </c>
      <c r="EC276" s="19" t="n">
        <f aca="false">EC$272-EC$273+EC$275</f>
        <v>0</v>
      </c>
      <c r="ED276" s="19" t="n">
        <f aca="false">ED$272-ED$273+ED$275</f>
        <v>0</v>
      </c>
      <c r="EE276" s="19" t="n">
        <f aca="false">EE$272-EE$273+EE$275</f>
        <v>0</v>
      </c>
      <c r="EF276" s="19" t="n">
        <f aca="false">EF$272-EF$273+EF$275</f>
        <v>0</v>
      </c>
      <c r="EG276" s="19" t="n">
        <f aca="false">EG$272-EG$273+EG$275</f>
        <v>0</v>
      </c>
      <c r="EH276" s="19" t="n">
        <f aca="false">EH$272-EH$273+EH$275</f>
        <v>0</v>
      </c>
      <c r="EI276" s="19" t="n">
        <f aca="false">EI$272-EI$273+EI$275</f>
        <v>0</v>
      </c>
      <c r="EJ276" s="19" t="n">
        <f aca="false">EJ$272-EJ$273+EJ$275</f>
        <v>0</v>
      </c>
      <c r="EK276" s="19" t="n">
        <f aca="false">EK$272-EK$273+EK$275</f>
        <v>0</v>
      </c>
      <c r="EL276" s="19" t="n">
        <f aca="false">EL$272-EL$273+EL$275</f>
        <v>0</v>
      </c>
      <c r="EM276" s="19" t="n">
        <f aca="false">EM$272-EM$273+EM$275</f>
        <v>0</v>
      </c>
      <c r="EN276" s="19" t="n">
        <f aca="false">EN$272-EN$273+EN$275</f>
        <v>0</v>
      </c>
      <c r="EO276" s="19" t="n">
        <f aca="false">EO$272-EO$273+EO$275</f>
        <v>0</v>
      </c>
      <c r="EP276" s="19" t="n">
        <f aca="false">EP$272-EP$273+EP$275</f>
        <v>0</v>
      </c>
      <c r="EQ276" s="19" t="n">
        <f aca="false">EQ$272-EQ$273+EQ$275</f>
        <v>0</v>
      </c>
      <c r="ER276" s="19" t="n">
        <f aca="false">ER$272-ER$273+ER$275</f>
        <v>0</v>
      </c>
      <c r="ES276" s="19" t="n">
        <f aca="false">ES$272-ES$273+ES$275</f>
        <v>0</v>
      </c>
    </row>
    <row r="277" customFormat="false" ht="15" hidden="false" customHeight="false" outlineLevel="0" collapsed="false">
      <c r="A277" s="11" t="s">
        <v>1396</v>
      </c>
      <c r="B277" s="15" t="s">
        <v>1208</v>
      </c>
      <c r="C277" s="15" t="s">
        <v>508</v>
      </c>
      <c r="E277" s="54" t="n">
        <f aca="false">MIN(F277:ES277)</f>
        <v>-3207787.01305363</v>
      </c>
      <c r="F277" s="48" t="n">
        <f aca="false">0+F$272-F$273</f>
        <v>-3000610.47688344</v>
      </c>
      <c r="G277" s="48" t="n">
        <f aca="false">F$277+G$272-G$273</f>
        <v>-2958112.97640785</v>
      </c>
      <c r="H277" s="48" t="n">
        <f aca="false">G$277+H$272-H$273</f>
        <v>-2915615.47593226</v>
      </c>
      <c r="I277" s="48" t="n">
        <f aca="false">H$277+I$272-I$273</f>
        <v>-2873117.97545667</v>
      </c>
      <c r="J277" s="48" t="n">
        <f aca="false">I$277+J$272-J$273</f>
        <v>-2830620.47498108</v>
      </c>
      <c r="K277" s="48" t="n">
        <f aca="false">J$277+K$272-K$273</f>
        <v>-2788122.97450549</v>
      </c>
      <c r="L277" s="48" t="n">
        <f aca="false">K$277+L$272-L$273</f>
        <v>-2745625.4740299</v>
      </c>
      <c r="M277" s="48" t="n">
        <f aca="false">L$277+M$272-M$273</f>
        <v>-2703127.97355431</v>
      </c>
      <c r="N277" s="48" t="n">
        <f aca="false">M$277+N$272-N$273</f>
        <v>-2660630.47307872</v>
      </c>
      <c r="O277" s="48" t="n">
        <f aca="false">N$277+O$272-O$273</f>
        <v>-2618132.97260313</v>
      </c>
      <c r="P277" s="48" t="n">
        <f aca="false">O$277+P$272-P$273</f>
        <v>-2575635.47212754</v>
      </c>
      <c r="Q277" s="48" t="n">
        <f aca="false">P$277+Q$272-Q$273</f>
        <v>-2533137.97165195</v>
      </c>
      <c r="R277" s="48" t="n">
        <f aca="false">Q$277+R$272-R$273</f>
        <v>-3207787.01305363</v>
      </c>
      <c r="S277" s="48" t="n">
        <f aca="false">R$277+S$272-S$273</f>
        <v>-3127290.61005967</v>
      </c>
      <c r="T277" s="48" t="n">
        <f aca="false">S$277+T$272-T$273</f>
        <v>-3046794.2070657</v>
      </c>
      <c r="U277" s="48" t="n">
        <f aca="false">T$277+U$272-U$273</f>
        <v>-2966297.80407174</v>
      </c>
      <c r="V277" s="48" t="n">
        <f aca="false">U$277+V$272-V$273</f>
        <v>-2885801.40107777</v>
      </c>
      <c r="W277" s="48" t="n">
        <f aca="false">V$277+W$272-W$273</f>
        <v>-2805304.99808381</v>
      </c>
      <c r="X277" s="48" t="n">
        <f aca="false">W$277+X$272-X$273</f>
        <v>-2724808.59508984</v>
      </c>
      <c r="Y277" s="48" t="n">
        <f aca="false">X$277+Y$272-Y$273</f>
        <v>-2644312.19209588</v>
      </c>
      <c r="Z277" s="48" t="n">
        <f aca="false">Y$277+Z$272-Z$273</f>
        <v>-2563815.78910191</v>
      </c>
      <c r="AA277" s="48" t="n">
        <f aca="false">Z$277+AA$272-AA$273</f>
        <v>-2483319.38610795</v>
      </c>
      <c r="AB277" s="48" t="n">
        <f aca="false">AA$277+AB$272-AB$273</f>
        <v>-2402822.98311398</v>
      </c>
      <c r="AC277" s="48" t="n">
        <f aca="false">AB$277+AC$272-AC$273</f>
        <v>-2322326.58012002</v>
      </c>
      <c r="AD277" s="48" t="n">
        <f aca="false">AC$277+AD$272-AD$273</f>
        <v>-2872568.47988732</v>
      </c>
      <c r="AE277" s="48" t="n">
        <f aca="false">AD$277+AE$272-AE$273</f>
        <v>-2755483.44902219</v>
      </c>
      <c r="AF277" s="48" t="n">
        <f aca="false">AE$277+AF$272-AF$273</f>
        <v>-2638398.41815707</v>
      </c>
      <c r="AG277" s="48" t="n">
        <f aca="false">AF$277+AG$272-AG$273</f>
        <v>-2521313.38729194</v>
      </c>
      <c r="AH277" s="48" t="n">
        <f aca="false">AG$277+AH$272-AH$273</f>
        <v>-2404228.35642682</v>
      </c>
      <c r="AI277" s="48" t="n">
        <f aca="false">AH$277+AI$272-AI$273</f>
        <v>-2287143.32556169</v>
      </c>
      <c r="AJ277" s="48" t="n">
        <f aca="false">AI$277+AJ$272-AJ$273</f>
        <v>-2170058.29469657</v>
      </c>
      <c r="AK277" s="48" t="n">
        <f aca="false">AJ$277+AK$272-AK$273</f>
        <v>-2052973.26383144</v>
      </c>
      <c r="AL277" s="48" t="n">
        <f aca="false">AK$277+AL$272-AL$273</f>
        <v>-1935888.23296632</v>
      </c>
      <c r="AM277" s="48" t="n">
        <f aca="false">AL$277+AM$272-AM$273</f>
        <v>-1818803.20210119</v>
      </c>
      <c r="AN277" s="48" t="n">
        <f aca="false">AM$277+AN$272-AN$273</f>
        <v>-1701718.17123607</v>
      </c>
      <c r="AO277" s="48" t="n">
        <f aca="false">AN$277+AO$272-AO$273</f>
        <v>-1584633.14037094</v>
      </c>
      <c r="AP277" s="48" t="n">
        <f aca="false">AO$277+AP$272-AP$273</f>
        <v>-1993548.6304244</v>
      </c>
      <c r="AQ277" s="48" t="n">
        <f aca="false">AP$277+AQ$272-AQ$273</f>
        <v>-1843655.05054454</v>
      </c>
      <c r="AR277" s="48" t="n">
        <f aca="false">AQ$277+AR$272-AR$273</f>
        <v>-1693761.47066468</v>
      </c>
      <c r="AS277" s="48" t="n">
        <f aca="false">AR$277+AS$272-AS$273</f>
        <v>-1543867.89078482</v>
      </c>
      <c r="AT277" s="48" t="n">
        <f aca="false">AS$277+AT$272-AT$273</f>
        <v>-1393974.31090496</v>
      </c>
      <c r="AU277" s="48" t="n">
        <f aca="false">AT$277+AU$272-AU$273</f>
        <v>-1244080.73102511</v>
      </c>
      <c r="AV277" s="48" t="n">
        <f aca="false">AU$277+AV$272-AV$273</f>
        <v>-1094187.15114525</v>
      </c>
      <c r="AW277" s="48" t="n">
        <f aca="false">AV$277+AW$272-AW$273</f>
        <v>-944293.571265389</v>
      </c>
      <c r="AX277" s="48" t="n">
        <f aca="false">AW$277+AX$272-AX$273</f>
        <v>-794399.991385531</v>
      </c>
      <c r="AY277" s="48" t="n">
        <f aca="false">AX$277+AY$272-AY$273</f>
        <v>-644506.411505673</v>
      </c>
      <c r="AZ277" s="48" t="n">
        <f aca="false">AY$277+AZ$272-AZ$273</f>
        <v>-494612.831625814</v>
      </c>
      <c r="BA277" s="48" t="n">
        <f aca="false">AZ$277+BA$272-BA$273</f>
        <v>-344719.251745956</v>
      </c>
      <c r="BB277" s="48" t="n">
        <f aca="false">BA$277+BB$272-BB$273</f>
        <v>-231615.634575442</v>
      </c>
      <c r="BC277" s="48" t="n">
        <f aca="false">BB$277+BC$272-BC$273</f>
        <v>-80402.4696990683</v>
      </c>
      <c r="BD277" s="48" t="n">
        <f aca="false">BC$277+BD$272-BD$273</f>
        <v>70810.6951773055</v>
      </c>
      <c r="BE277" s="48" t="n">
        <f aca="false">BD$277+BE$272-BE$273</f>
        <v>222023.860053679</v>
      </c>
      <c r="BF277" s="48" t="n">
        <f aca="false">BE$277+BF$272-BF$273</f>
        <v>373237.024930053</v>
      </c>
      <c r="BG277" s="48" t="n">
        <f aca="false">BF$277+BG$272-BG$273</f>
        <v>524450.189806427</v>
      </c>
      <c r="BH277" s="48" t="n">
        <f aca="false">BG$277+BH$272-BH$273</f>
        <v>675663.354682801</v>
      </c>
      <c r="BI277" s="48" t="n">
        <f aca="false">BH$277+BI$272-BI$273</f>
        <v>826876.519559175</v>
      </c>
      <c r="BJ277" s="48" t="n">
        <f aca="false">BI$277+BJ$272-BJ$273</f>
        <v>978089.684435549</v>
      </c>
      <c r="BK277" s="48" t="n">
        <f aca="false">BJ$277+BK$272-BK$273</f>
        <v>1129302.84931192</v>
      </c>
      <c r="BL277" s="48" t="n">
        <f aca="false">BK$277+BL$272-BL$273</f>
        <v>1280516.0141883</v>
      </c>
      <c r="BM277" s="48" t="n">
        <f aca="false">BL$277+BM$272-BM$273</f>
        <v>1431729.17906467</v>
      </c>
      <c r="BN277" s="48" t="n">
        <f aca="false">BM$277+BN$272-BN$273</f>
        <v>1549304.7643939</v>
      </c>
      <c r="BO277" s="48" t="n">
        <f aca="false">BN$277+BO$272-BO$273</f>
        <v>1704605.20619173</v>
      </c>
      <c r="BP277" s="48" t="n">
        <f aca="false">BO$277+BP$272-BP$273</f>
        <v>1859905.64798955</v>
      </c>
      <c r="BQ277" s="48" t="n">
        <f aca="false">BP$277+BQ$272-BQ$273</f>
        <v>2015206.08978738</v>
      </c>
      <c r="BR277" s="48" t="n">
        <f aca="false">BQ$277+BR$272-BR$273</f>
        <v>2170506.5315852</v>
      </c>
      <c r="BS277" s="48" t="n">
        <f aca="false">BR$277+BS$272-BS$273</f>
        <v>2325806.97338303</v>
      </c>
      <c r="BT277" s="48" t="n">
        <f aca="false">BS$277+BT$272-BT$273</f>
        <v>2481107.41518086</v>
      </c>
      <c r="BU277" s="48" t="n">
        <f aca="false">BT$277+BU$272-BU$273</f>
        <v>2636407.85697868</v>
      </c>
      <c r="BV277" s="48" t="n">
        <f aca="false">BU$277+BV$272-BV$273</f>
        <v>2791708.29877651</v>
      </c>
      <c r="BW277" s="48" t="n">
        <f aca="false">BV$277+BW$272-BW$273</f>
        <v>2947008.74057433</v>
      </c>
      <c r="BX277" s="48" t="n">
        <f aca="false">BW$277+BX$272-BX$273</f>
        <v>3102309.18237216</v>
      </c>
      <c r="BY277" s="48" t="n">
        <f aca="false">BX$277+BY$272-BY$273</f>
        <v>3257609.62416999</v>
      </c>
      <c r="BZ277" s="48" t="n">
        <f aca="false">BY$277+BZ$272-BZ$273</f>
        <v>3378935.7534346</v>
      </c>
      <c r="CA277" s="48" t="n">
        <f aca="false">BZ$277+CA$272-CA$273</f>
        <v>3538351.775924</v>
      </c>
      <c r="CB277" s="48" t="n">
        <f aca="false">CA$277+CB$272-CB$273</f>
        <v>3697767.7984134</v>
      </c>
      <c r="CC277" s="48" t="n">
        <f aca="false">CB$277+CC$272-CC$273</f>
        <v>3857183.8209028</v>
      </c>
      <c r="CD277" s="48" t="n">
        <f aca="false">CC$277+CD$272-CD$273</f>
        <v>4016599.8433922</v>
      </c>
      <c r="CE277" s="48" t="n">
        <f aca="false">CD$277+CE$272-CE$273</f>
        <v>4176015.8658816</v>
      </c>
      <c r="CF277" s="48" t="n">
        <f aca="false">CE$277+CF$272-CF$273</f>
        <v>4335431.888371</v>
      </c>
      <c r="CG277" s="48" t="n">
        <f aca="false">CF$277+CG$272-CG$273</f>
        <v>4494847.9108604</v>
      </c>
      <c r="CH277" s="48" t="n">
        <f aca="false">CG$277+CH$272-CH$273</f>
        <v>4654263.9333498</v>
      </c>
      <c r="CI277" s="48" t="n">
        <f aca="false">CH$277+CI$272-CI$273</f>
        <v>4813679.9558392</v>
      </c>
      <c r="CJ277" s="48" t="n">
        <f aca="false">CI$277+CJ$272-CJ$273</f>
        <v>4973095.9783286</v>
      </c>
      <c r="CK277" s="48" t="n">
        <f aca="false">CJ$277+CK$272-CK$273</f>
        <v>5132512.000818</v>
      </c>
      <c r="CL277" s="48" t="n">
        <f aca="false">CK$277+CL$272-CL$273</f>
        <v>5257613.60166977</v>
      </c>
      <c r="CM277" s="48" t="n">
        <f aca="false">CL$277+CM$272-CM$273</f>
        <v>5421173.42021606</v>
      </c>
      <c r="CN277" s="48" t="n">
        <f aca="false">CM$277+CN$272-CN$273</f>
        <v>5584733.23876235</v>
      </c>
      <c r="CO277" s="48" t="n">
        <f aca="false">CN$277+CO$272-CO$273</f>
        <v>5748293.05730863</v>
      </c>
      <c r="CP277" s="48" t="n">
        <f aca="false">CO$277+CP$272-CP$273</f>
        <v>5911852.87585492</v>
      </c>
      <c r="CQ277" s="48" t="n">
        <f aca="false">CP$277+CQ$272-CQ$273</f>
        <v>6075412.69440121</v>
      </c>
      <c r="CR277" s="48" t="n">
        <f aca="false">CQ$277+CR$272-CR$273</f>
        <v>6238972.5129475</v>
      </c>
      <c r="CS277" s="48" t="n">
        <f aca="false">CR$277+CS$272-CS$273</f>
        <v>6402532.33149378</v>
      </c>
      <c r="CT277" s="48" t="n">
        <f aca="false">CS$277+CT$272-CT$273</f>
        <v>6566092.15004007</v>
      </c>
      <c r="CU277" s="48" t="n">
        <f aca="false">CT$277+CU$272-CU$273</f>
        <v>6729651.96858636</v>
      </c>
      <c r="CV277" s="48" t="n">
        <f aca="false">CU$277+CV$272-CV$273</f>
        <v>6893211.78713265</v>
      </c>
      <c r="CW277" s="48" t="n">
        <f aca="false">CV$277+CW$272-CW$273</f>
        <v>7056771.60567894</v>
      </c>
      <c r="CX277" s="48" t="n">
        <f aca="false">CW$277+CX$272-CX$273</f>
        <v>7185673.48337851</v>
      </c>
      <c r="CY277" s="48" t="n">
        <f aca="false">CX$277+CY$272-CY$273</f>
        <v>7353405.21302741</v>
      </c>
      <c r="CZ277" s="48" t="n">
        <f aca="false">CY$277+CZ$272-CZ$273</f>
        <v>7521136.94267632</v>
      </c>
      <c r="DA277" s="48" t="n">
        <f aca="false">CZ$277+DA$272-DA$273</f>
        <v>7688868.67232523</v>
      </c>
      <c r="DB277" s="48" t="n">
        <f aca="false">DA$277+DB$272-DB$273</f>
        <v>7856600.40197414</v>
      </c>
      <c r="DC277" s="48" t="n">
        <f aca="false">DB$277+DC$272-DC$273</f>
        <v>8024332.13162305</v>
      </c>
      <c r="DD277" s="48" t="n">
        <f aca="false">DC$277+DD$272-DD$273</f>
        <v>8192063.86127195</v>
      </c>
      <c r="DE277" s="48" t="n">
        <f aca="false">DD$277+DE$272-DE$273</f>
        <v>8359795.59092086</v>
      </c>
      <c r="DF277" s="48" t="n">
        <f aca="false">DE$277+DF$272-DF$273</f>
        <v>8527527.32056977</v>
      </c>
      <c r="DG277" s="48" t="n">
        <f aca="false">DF$277+DG$272-DG$273</f>
        <v>8695259.05021867</v>
      </c>
      <c r="DH277" s="48" t="n">
        <f aca="false">DG$277+DH$272-DH$273</f>
        <v>8862990.77986758</v>
      </c>
      <c r="DI277" s="48" t="n">
        <f aca="false">DH$277+DI$272-DI$273</f>
        <v>9030722.50951649</v>
      </c>
      <c r="DJ277" s="48" t="n">
        <f aca="false">DI$277+DJ$272-DJ$273</f>
        <v>9163449.3346728</v>
      </c>
      <c r="DK277" s="48" t="n">
        <f aca="false">DJ$277+DK$272-DK$273</f>
        <v>9335380.97778788</v>
      </c>
      <c r="DL277" s="48" t="n">
        <f aca="false">DK$277+DL$272-DL$273</f>
        <v>9507312.62090297</v>
      </c>
      <c r="DM277" s="48" t="n">
        <f aca="false">DL$277+DM$272-DM$273</f>
        <v>9679244.26401806</v>
      </c>
      <c r="DN277" s="48" t="n">
        <f aca="false">DM$277+DN$272-DN$273</f>
        <v>9851175.90713314</v>
      </c>
      <c r="DO277" s="48" t="n">
        <f aca="false">DN$277+DO$272-DO$273</f>
        <v>10023107.5502482</v>
      </c>
      <c r="DP277" s="48" t="n">
        <f aca="false">DO$277+DP$272-DP$273</f>
        <v>10195039.1933633</v>
      </c>
      <c r="DQ277" s="48" t="n">
        <f aca="false">DP$277+DQ$272-DQ$273</f>
        <v>10366970.8364784</v>
      </c>
      <c r="DR277" s="48" t="n">
        <f aca="false">DQ$277+DR$272-DR$273</f>
        <v>10538902.4795935</v>
      </c>
      <c r="DS277" s="48" t="n">
        <f aca="false">DR$277+DS$272-DS$273</f>
        <v>10710834.1227086</v>
      </c>
      <c r="DT277" s="48" t="n">
        <f aca="false">DS$277+DT$272-DT$273</f>
        <v>10882765.7658237</v>
      </c>
      <c r="DU277" s="48" t="n">
        <f aca="false">DT$277+DU$272-DU$273</f>
        <v>11054697.4089387</v>
      </c>
      <c r="DV277" s="48" t="n">
        <f aca="false">DU$277+DV$272-DV$273</f>
        <v>11054697.4089387</v>
      </c>
      <c r="DW277" s="48" t="n">
        <f aca="false">DV$277+DW$272-DW$273</f>
        <v>11054697.4089387</v>
      </c>
      <c r="DX277" s="48" t="n">
        <f aca="false">DW$277+DX$272-DX$273</f>
        <v>11054697.4089387</v>
      </c>
      <c r="DY277" s="48" t="n">
        <f aca="false">DX$277+DY$272-DY$273</f>
        <v>11054697.4089387</v>
      </c>
      <c r="DZ277" s="48" t="n">
        <f aca="false">DY$277+DZ$272-DZ$273</f>
        <v>11054697.4089387</v>
      </c>
      <c r="EA277" s="48" t="n">
        <f aca="false">DZ$277+EA$272-EA$273</f>
        <v>11054697.4089387</v>
      </c>
      <c r="EB277" s="48" t="n">
        <f aca="false">EA$277+EB$272-EB$273</f>
        <v>11054697.4089387</v>
      </c>
      <c r="EC277" s="48" t="n">
        <f aca="false">EB$277+EC$272-EC$273</f>
        <v>11054697.4089387</v>
      </c>
      <c r="ED277" s="48" t="n">
        <f aca="false">EC$277+ED$272-ED$273</f>
        <v>11054697.4089387</v>
      </c>
      <c r="EE277" s="48" t="n">
        <f aca="false">ED$277+EE$272-EE$273</f>
        <v>11054697.4089387</v>
      </c>
      <c r="EF277" s="48" t="n">
        <f aca="false">EE$277+EF$272-EF$273</f>
        <v>11054697.4089387</v>
      </c>
      <c r="EG277" s="48" t="n">
        <f aca="false">EF$277+EG$272-EG$273</f>
        <v>11054697.4089387</v>
      </c>
      <c r="EH277" s="48" t="n">
        <f aca="false">EG$277+EH$272-EH$273</f>
        <v>11054697.4089387</v>
      </c>
      <c r="EI277" s="48" t="n">
        <f aca="false">EH$277+EI$272-EI$273</f>
        <v>11054697.4089387</v>
      </c>
      <c r="EJ277" s="48" t="n">
        <f aca="false">EI$277+EJ$272-EJ$273</f>
        <v>11054697.4089387</v>
      </c>
      <c r="EK277" s="48" t="n">
        <f aca="false">EJ$277+EK$272-EK$273</f>
        <v>11054697.4089387</v>
      </c>
      <c r="EL277" s="48" t="n">
        <f aca="false">EK$277+EL$272-EL$273</f>
        <v>11054697.4089387</v>
      </c>
      <c r="EM277" s="48" t="n">
        <f aca="false">EL$277+EM$272-EM$273</f>
        <v>11054697.4089387</v>
      </c>
      <c r="EN277" s="48" t="n">
        <f aca="false">EM$277+EN$272-EN$273</f>
        <v>11054697.4089387</v>
      </c>
      <c r="EO277" s="48" t="n">
        <f aca="false">EN$277+EO$272-EO$273</f>
        <v>11054697.4089387</v>
      </c>
      <c r="EP277" s="48" t="n">
        <f aca="false">EO$277+EP$272-EP$273</f>
        <v>11054697.4089387</v>
      </c>
      <c r="EQ277" s="48" t="n">
        <f aca="false">EP$277+EQ$272-EQ$273</f>
        <v>11054697.4089387</v>
      </c>
      <c r="ER277" s="48" t="n">
        <f aca="false">EQ$277+ER$272-ER$273</f>
        <v>11054697.4089387</v>
      </c>
      <c r="ES277" s="48" t="n">
        <f aca="false">ER$277+ES$272-ES$273</f>
        <v>11054697.4089387</v>
      </c>
    </row>
    <row r="278" customFormat="false" ht="15" hidden="false" customHeight="false" outlineLevel="0" collapsed="false">
      <c r="A278" s="13"/>
      <c r="B278" s="12" t="s">
        <v>1209</v>
      </c>
      <c r="C278" s="13"/>
      <c r="D278" s="13"/>
      <c r="E278" s="13"/>
    </row>
    <row r="279" customFormat="false" ht="15" hidden="false" customHeight="false" outlineLevel="0" collapsed="false">
      <c r="A279" s="11" t="s">
        <v>1397</v>
      </c>
      <c r="B279" s="15" t="s">
        <v>1211</v>
      </c>
      <c r="C279" s="15" t="s">
        <v>508</v>
      </c>
      <c r="E279" s="54" t="n">
        <f aca="false">SUM(F279:ES279)</f>
        <v>2791587</v>
      </c>
      <c r="F279" s="48" t="n">
        <f aca="false">IF((1-N(V_L1_Mes)+1)=1,N(V_L1_Monto),0)*F$9</f>
        <v>2791587</v>
      </c>
      <c r="G279" s="48" t="n">
        <f aca="false">IF((2-N(V_L1_Mes)+1)=1,N(V_L1_Monto),0)*G$9</f>
        <v>0</v>
      </c>
      <c r="H279" s="48" t="n">
        <f aca="false">IF((3-N(V_L1_Mes)+1)=1,N(V_L1_Monto),0)*H$9</f>
        <v>0</v>
      </c>
      <c r="I279" s="48" t="n">
        <f aca="false">IF((4-N(V_L1_Mes)+1)=1,N(V_L1_Monto),0)*I$9</f>
        <v>0</v>
      </c>
      <c r="J279" s="48" t="n">
        <f aca="false">IF((5-N(V_L1_Mes)+1)=1,N(V_L1_Monto),0)*J$9</f>
        <v>0</v>
      </c>
      <c r="K279" s="48" t="n">
        <f aca="false">IF((6-N(V_L1_Mes)+1)=1,N(V_L1_Monto),0)*K$9</f>
        <v>0</v>
      </c>
      <c r="L279" s="48" t="n">
        <f aca="false">IF((7-N(V_L1_Mes)+1)=1,N(V_L1_Monto),0)*L$9</f>
        <v>0</v>
      </c>
      <c r="M279" s="48" t="n">
        <f aca="false">IF((8-N(V_L1_Mes)+1)=1,N(V_L1_Monto),0)*M$9</f>
        <v>0</v>
      </c>
      <c r="N279" s="48" t="n">
        <f aca="false">IF((9-N(V_L1_Mes)+1)=1,N(V_L1_Monto),0)*N$9</f>
        <v>0</v>
      </c>
      <c r="O279" s="48" t="n">
        <f aca="false">IF((10-N(V_L1_Mes)+1)=1,N(V_L1_Monto),0)*O$9</f>
        <v>0</v>
      </c>
      <c r="P279" s="48" t="n">
        <f aca="false">IF((11-N(V_L1_Mes)+1)=1,N(V_L1_Monto),0)*P$9</f>
        <v>0</v>
      </c>
      <c r="Q279" s="48" t="n">
        <f aca="false">IF((12-N(V_L1_Mes)+1)=1,N(V_L1_Monto),0)*Q$9</f>
        <v>0</v>
      </c>
      <c r="R279" s="48" t="n">
        <f aca="false">IF((13-N(V_L1_Mes)+1)=1,N(V_L1_Monto),0)*R$9</f>
        <v>0</v>
      </c>
      <c r="S279" s="48" t="n">
        <f aca="false">IF((14-N(V_L1_Mes)+1)=1,N(V_L1_Monto),0)*S$9</f>
        <v>0</v>
      </c>
      <c r="T279" s="48" t="n">
        <f aca="false">IF((15-N(V_L1_Mes)+1)=1,N(V_L1_Monto),0)*T$9</f>
        <v>0</v>
      </c>
      <c r="U279" s="48" t="n">
        <f aca="false">IF((16-N(V_L1_Mes)+1)=1,N(V_L1_Monto),0)*U$9</f>
        <v>0</v>
      </c>
      <c r="V279" s="48" t="n">
        <f aca="false">IF((17-N(V_L1_Mes)+1)=1,N(V_L1_Monto),0)*V$9</f>
        <v>0</v>
      </c>
      <c r="W279" s="48" t="n">
        <f aca="false">IF((18-N(V_L1_Mes)+1)=1,N(V_L1_Monto),0)*W$9</f>
        <v>0</v>
      </c>
      <c r="X279" s="48" t="n">
        <f aca="false">IF((19-N(V_L1_Mes)+1)=1,N(V_L1_Monto),0)*X$9</f>
        <v>0</v>
      </c>
      <c r="Y279" s="48" t="n">
        <f aca="false">IF((20-N(V_L1_Mes)+1)=1,N(V_L1_Monto),0)*Y$9</f>
        <v>0</v>
      </c>
      <c r="Z279" s="48" t="n">
        <f aca="false">IF((21-N(V_L1_Mes)+1)=1,N(V_L1_Monto),0)*Z$9</f>
        <v>0</v>
      </c>
      <c r="AA279" s="48" t="n">
        <f aca="false">IF((22-N(V_L1_Mes)+1)=1,N(V_L1_Monto),0)*AA$9</f>
        <v>0</v>
      </c>
      <c r="AB279" s="48" t="n">
        <f aca="false">IF((23-N(V_L1_Mes)+1)=1,N(V_L1_Monto),0)*AB$9</f>
        <v>0</v>
      </c>
      <c r="AC279" s="48" t="n">
        <f aca="false">IF((24-N(V_L1_Mes)+1)=1,N(V_L1_Monto),0)*AC$9</f>
        <v>0</v>
      </c>
      <c r="AD279" s="48" t="n">
        <f aca="false">IF((25-N(V_L1_Mes)+1)=1,N(V_L1_Monto),0)*AD$9</f>
        <v>0</v>
      </c>
      <c r="AE279" s="48" t="n">
        <f aca="false">IF((26-N(V_L1_Mes)+1)=1,N(V_L1_Monto),0)*AE$9</f>
        <v>0</v>
      </c>
      <c r="AF279" s="48" t="n">
        <f aca="false">IF((27-N(V_L1_Mes)+1)=1,N(V_L1_Monto),0)*AF$9</f>
        <v>0</v>
      </c>
      <c r="AG279" s="48" t="n">
        <f aca="false">IF((28-N(V_L1_Mes)+1)=1,N(V_L1_Monto),0)*AG$9</f>
        <v>0</v>
      </c>
      <c r="AH279" s="48" t="n">
        <f aca="false">IF((29-N(V_L1_Mes)+1)=1,N(V_L1_Monto),0)*AH$9</f>
        <v>0</v>
      </c>
      <c r="AI279" s="48" t="n">
        <f aca="false">IF((30-N(V_L1_Mes)+1)=1,N(V_L1_Monto),0)*AI$9</f>
        <v>0</v>
      </c>
      <c r="AJ279" s="48" t="n">
        <f aca="false">IF((31-N(V_L1_Mes)+1)=1,N(V_L1_Monto),0)*AJ$9</f>
        <v>0</v>
      </c>
      <c r="AK279" s="48" t="n">
        <f aca="false">IF((32-N(V_L1_Mes)+1)=1,N(V_L1_Monto),0)*AK$9</f>
        <v>0</v>
      </c>
      <c r="AL279" s="48" t="n">
        <f aca="false">IF((33-N(V_L1_Mes)+1)=1,N(V_L1_Monto),0)*AL$9</f>
        <v>0</v>
      </c>
      <c r="AM279" s="48" t="n">
        <f aca="false">IF((34-N(V_L1_Mes)+1)=1,N(V_L1_Monto),0)*AM$9</f>
        <v>0</v>
      </c>
      <c r="AN279" s="48" t="n">
        <f aca="false">IF((35-N(V_L1_Mes)+1)=1,N(V_L1_Monto),0)*AN$9</f>
        <v>0</v>
      </c>
      <c r="AO279" s="48" t="n">
        <f aca="false">IF((36-N(V_L1_Mes)+1)=1,N(V_L1_Monto),0)*AO$9</f>
        <v>0</v>
      </c>
      <c r="AP279" s="48" t="n">
        <f aca="false">IF((37-N(V_L1_Mes)+1)=1,N(V_L1_Monto),0)*AP$9</f>
        <v>0</v>
      </c>
      <c r="AQ279" s="48" t="n">
        <f aca="false">IF((38-N(V_L1_Mes)+1)=1,N(V_L1_Monto),0)*AQ$9</f>
        <v>0</v>
      </c>
      <c r="AR279" s="48" t="n">
        <f aca="false">IF((39-N(V_L1_Mes)+1)=1,N(V_L1_Monto),0)*AR$9</f>
        <v>0</v>
      </c>
      <c r="AS279" s="48" t="n">
        <f aca="false">IF((40-N(V_L1_Mes)+1)=1,N(V_L1_Monto),0)*AS$9</f>
        <v>0</v>
      </c>
      <c r="AT279" s="48" t="n">
        <f aca="false">IF((41-N(V_L1_Mes)+1)=1,N(V_L1_Monto),0)*AT$9</f>
        <v>0</v>
      </c>
      <c r="AU279" s="48" t="n">
        <f aca="false">IF((42-N(V_L1_Mes)+1)=1,N(V_L1_Monto),0)*AU$9</f>
        <v>0</v>
      </c>
      <c r="AV279" s="48" t="n">
        <f aca="false">IF((43-N(V_L1_Mes)+1)=1,N(V_L1_Monto),0)*AV$9</f>
        <v>0</v>
      </c>
      <c r="AW279" s="48" t="n">
        <f aca="false">IF((44-N(V_L1_Mes)+1)=1,N(V_L1_Monto),0)*AW$9</f>
        <v>0</v>
      </c>
      <c r="AX279" s="48" t="n">
        <f aca="false">IF((45-N(V_L1_Mes)+1)=1,N(V_L1_Monto),0)*AX$9</f>
        <v>0</v>
      </c>
      <c r="AY279" s="48" t="n">
        <f aca="false">IF((46-N(V_L1_Mes)+1)=1,N(V_L1_Monto),0)*AY$9</f>
        <v>0</v>
      </c>
      <c r="AZ279" s="48" t="n">
        <f aca="false">IF((47-N(V_L1_Mes)+1)=1,N(V_L1_Monto),0)*AZ$9</f>
        <v>0</v>
      </c>
      <c r="BA279" s="48" t="n">
        <f aca="false">IF((48-N(V_L1_Mes)+1)=1,N(V_L1_Monto),0)*BA$9</f>
        <v>0</v>
      </c>
      <c r="BB279" s="48" t="n">
        <f aca="false">IF((49-N(V_L1_Mes)+1)=1,N(V_L1_Monto),0)*BB$9</f>
        <v>0</v>
      </c>
      <c r="BC279" s="48" t="n">
        <f aca="false">IF((50-N(V_L1_Mes)+1)=1,N(V_L1_Monto),0)*BC$9</f>
        <v>0</v>
      </c>
      <c r="BD279" s="48" t="n">
        <f aca="false">IF((51-N(V_L1_Mes)+1)=1,N(V_L1_Monto),0)*BD$9</f>
        <v>0</v>
      </c>
      <c r="BE279" s="48" t="n">
        <f aca="false">IF((52-N(V_L1_Mes)+1)=1,N(V_L1_Monto),0)*BE$9</f>
        <v>0</v>
      </c>
      <c r="BF279" s="48" t="n">
        <f aca="false">IF((53-N(V_L1_Mes)+1)=1,N(V_L1_Monto),0)*BF$9</f>
        <v>0</v>
      </c>
      <c r="BG279" s="48" t="n">
        <f aca="false">IF((54-N(V_L1_Mes)+1)=1,N(V_L1_Monto),0)*BG$9</f>
        <v>0</v>
      </c>
      <c r="BH279" s="48" t="n">
        <f aca="false">IF((55-N(V_L1_Mes)+1)=1,N(V_L1_Monto),0)*BH$9</f>
        <v>0</v>
      </c>
      <c r="BI279" s="48" t="n">
        <f aca="false">IF((56-N(V_L1_Mes)+1)=1,N(V_L1_Monto),0)*BI$9</f>
        <v>0</v>
      </c>
      <c r="BJ279" s="48" t="n">
        <f aca="false">IF((57-N(V_L1_Mes)+1)=1,N(V_L1_Monto),0)*BJ$9</f>
        <v>0</v>
      </c>
      <c r="BK279" s="48" t="n">
        <f aca="false">IF((58-N(V_L1_Mes)+1)=1,N(V_L1_Monto),0)*BK$9</f>
        <v>0</v>
      </c>
      <c r="BL279" s="48" t="n">
        <f aca="false">IF((59-N(V_L1_Mes)+1)=1,N(V_L1_Monto),0)*BL$9</f>
        <v>0</v>
      </c>
      <c r="BM279" s="48" t="n">
        <f aca="false">IF((60-N(V_L1_Mes)+1)=1,N(V_L1_Monto),0)*BM$9</f>
        <v>0</v>
      </c>
      <c r="BN279" s="48" t="n">
        <f aca="false">IF((61-N(V_L1_Mes)+1)=1,N(V_L1_Monto),0)*BN$9</f>
        <v>0</v>
      </c>
      <c r="BO279" s="48" t="n">
        <f aca="false">IF((62-N(V_L1_Mes)+1)=1,N(V_L1_Monto),0)*BO$9</f>
        <v>0</v>
      </c>
      <c r="BP279" s="48" t="n">
        <f aca="false">IF((63-N(V_L1_Mes)+1)=1,N(V_L1_Monto),0)*BP$9</f>
        <v>0</v>
      </c>
      <c r="BQ279" s="48" t="n">
        <f aca="false">IF((64-N(V_L1_Mes)+1)=1,N(V_L1_Monto),0)*BQ$9</f>
        <v>0</v>
      </c>
      <c r="BR279" s="48" t="n">
        <f aca="false">IF((65-N(V_L1_Mes)+1)=1,N(V_L1_Monto),0)*BR$9</f>
        <v>0</v>
      </c>
      <c r="BS279" s="48" t="n">
        <f aca="false">IF((66-N(V_L1_Mes)+1)=1,N(V_L1_Monto),0)*BS$9</f>
        <v>0</v>
      </c>
      <c r="BT279" s="48" t="n">
        <f aca="false">IF((67-N(V_L1_Mes)+1)=1,N(V_L1_Monto),0)*BT$9</f>
        <v>0</v>
      </c>
      <c r="BU279" s="48" t="n">
        <f aca="false">IF((68-N(V_L1_Mes)+1)=1,N(V_L1_Monto),0)*BU$9</f>
        <v>0</v>
      </c>
      <c r="BV279" s="48" t="n">
        <f aca="false">IF((69-N(V_L1_Mes)+1)=1,N(V_L1_Monto),0)*BV$9</f>
        <v>0</v>
      </c>
      <c r="BW279" s="48" t="n">
        <f aca="false">IF((70-N(V_L1_Mes)+1)=1,N(V_L1_Monto),0)*BW$9</f>
        <v>0</v>
      </c>
      <c r="BX279" s="48" t="n">
        <f aca="false">IF((71-N(V_L1_Mes)+1)=1,N(V_L1_Monto),0)*BX$9</f>
        <v>0</v>
      </c>
      <c r="BY279" s="48" t="n">
        <f aca="false">IF((72-N(V_L1_Mes)+1)=1,N(V_L1_Monto),0)*BY$9</f>
        <v>0</v>
      </c>
      <c r="BZ279" s="48" t="n">
        <f aca="false">IF((73-N(V_L1_Mes)+1)=1,N(V_L1_Monto),0)*BZ$9</f>
        <v>0</v>
      </c>
      <c r="CA279" s="48" t="n">
        <f aca="false">IF((74-N(V_L1_Mes)+1)=1,N(V_L1_Monto),0)*CA$9</f>
        <v>0</v>
      </c>
      <c r="CB279" s="48" t="n">
        <f aca="false">IF((75-N(V_L1_Mes)+1)=1,N(V_L1_Monto),0)*CB$9</f>
        <v>0</v>
      </c>
      <c r="CC279" s="48" t="n">
        <f aca="false">IF((76-N(V_L1_Mes)+1)=1,N(V_L1_Monto),0)*CC$9</f>
        <v>0</v>
      </c>
      <c r="CD279" s="48" t="n">
        <f aca="false">IF((77-N(V_L1_Mes)+1)=1,N(V_L1_Monto),0)*CD$9</f>
        <v>0</v>
      </c>
      <c r="CE279" s="48" t="n">
        <f aca="false">IF((78-N(V_L1_Mes)+1)=1,N(V_L1_Monto),0)*CE$9</f>
        <v>0</v>
      </c>
      <c r="CF279" s="48" t="n">
        <f aca="false">IF((79-N(V_L1_Mes)+1)=1,N(V_L1_Monto),0)*CF$9</f>
        <v>0</v>
      </c>
      <c r="CG279" s="48" t="n">
        <f aca="false">IF((80-N(V_L1_Mes)+1)=1,N(V_L1_Monto),0)*CG$9</f>
        <v>0</v>
      </c>
      <c r="CH279" s="48" t="n">
        <f aca="false">IF((81-N(V_L1_Mes)+1)=1,N(V_L1_Monto),0)*CH$9</f>
        <v>0</v>
      </c>
      <c r="CI279" s="48" t="n">
        <f aca="false">IF((82-N(V_L1_Mes)+1)=1,N(V_L1_Monto),0)*CI$9</f>
        <v>0</v>
      </c>
      <c r="CJ279" s="48" t="n">
        <f aca="false">IF((83-N(V_L1_Mes)+1)=1,N(V_L1_Monto),0)*CJ$9</f>
        <v>0</v>
      </c>
      <c r="CK279" s="48" t="n">
        <f aca="false">IF((84-N(V_L1_Mes)+1)=1,N(V_L1_Monto),0)*CK$9</f>
        <v>0</v>
      </c>
      <c r="CL279" s="48" t="n">
        <f aca="false">IF((85-N(V_L1_Mes)+1)=1,N(V_L1_Monto),0)*CL$9</f>
        <v>0</v>
      </c>
      <c r="CM279" s="48" t="n">
        <f aca="false">IF((86-N(V_L1_Mes)+1)=1,N(V_L1_Monto),0)*CM$9</f>
        <v>0</v>
      </c>
      <c r="CN279" s="48" t="n">
        <f aca="false">IF((87-N(V_L1_Mes)+1)=1,N(V_L1_Monto),0)*CN$9</f>
        <v>0</v>
      </c>
      <c r="CO279" s="48" t="n">
        <f aca="false">IF((88-N(V_L1_Mes)+1)=1,N(V_L1_Monto),0)*CO$9</f>
        <v>0</v>
      </c>
      <c r="CP279" s="48" t="n">
        <f aca="false">IF((89-N(V_L1_Mes)+1)=1,N(V_L1_Monto),0)*CP$9</f>
        <v>0</v>
      </c>
      <c r="CQ279" s="48" t="n">
        <f aca="false">IF((90-N(V_L1_Mes)+1)=1,N(V_L1_Monto),0)*CQ$9</f>
        <v>0</v>
      </c>
      <c r="CR279" s="48" t="n">
        <f aca="false">IF((91-N(V_L1_Mes)+1)=1,N(V_L1_Monto),0)*CR$9</f>
        <v>0</v>
      </c>
      <c r="CS279" s="48" t="n">
        <f aca="false">IF((92-N(V_L1_Mes)+1)=1,N(V_L1_Monto),0)*CS$9</f>
        <v>0</v>
      </c>
      <c r="CT279" s="48" t="n">
        <f aca="false">IF((93-N(V_L1_Mes)+1)=1,N(V_L1_Monto),0)*CT$9</f>
        <v>0</v>
      </c>
      <c r="CU279" s="48" t="n">
        <f aca="false">IF((94-N(V_L1_Mes)+1)=1,N(V_L1_Monto),0)*CU$9</f>
        <v>0</v>
      </c>
      <c r="CV279" s="48" t="n">
        <f aca="false">IF((95-N(V_L1_Mes)+1)=1,N(V_L1_Monto),0)*CV$9</f>
        <v>0</v>
      </c>
      <c r="CW279" s="48" t="n">
        <f aca="false">IF((96-N(V_L1_Mes)+1)=1,N(V_L1_Monto),0)*CW$9</f>
        <v>0</v>
      </c>
      <c r="CX279" s="48" t="n">
        <f aca="false">IF((97-N(V_L1_Mes)+1)=1,N(V_L1_Monto),0)*CX$9</f>
        <v>0</v>
      </c>
      <c r="CY279" s="48" t="n">
        <f aca="false">IF((98-N(V_L1_Mes)+1)=1,N(V_L1_Monto),0)*CY$9</f>
        <v>0</v>
      </c>
      <c r="CZ279" s="48" t="n">
        <f aca="false">IF((99-N(V_L1_Mes)+1)=1,N(V_L1_Monto),0)*CZ$9</f>
        <v>0</v>
      </c>
      <c r="DA279" s="48" t="n">
        <f aca="false">IF((100-N(V_L1_Mes)+1)=1,N(V_L1_Monto),0)*DA$9</f>
        <v>0</v>
      </c>
      <c r="DB279" s="48" t="n">
        <f aca="false">IF((101-N(V_L1_Mes)+1)=1,N(V_L1_Monto),0)*DB$9</f>
        <v>0</v>
      </c>
      <c r="DC279" s="48" t="n">
        <f aca="false">IF((102-N(V_L1_Mes)+1)=1,N(V_L1_Monto),0)*DC$9</f>
        <v>0</v>
      </c>
      <c r="DD279" s="48" t="n">
        <f aca="false">IF((103-N(V_L1_Mes)+1)=1,N(V_L1_Monto),0)*DD$9</f>
        <v>0</v>
      </c>
      <c r="DE279" s="48" t="n">
        <f aca="false">IF((104-N(V_L1_Mes)+1)=1,N(V_L1_Monto),0)*DE$9</f>
        <v>0</v>
      </c>
      <c r="DF279" s="48" t="n">
        <f aca="false">IF((105-N(V_L1_Mes)+1)=1,N(V_L1_Monto),0)*DF$9</f>
        <v>0</v>
      </c>
      <c r="DG279" s="48" t="n">
        <f aca="false">IF((106-N(V_L1_Mes)+1)=1,N(V_L1_Monto),0)*DG$9</f>
        <v>0</v>
      </c>
      <c r="DH279" s="48" t="n">
        <f aca="false">IF((107-N(V_L1_Mes)+1)=1,N(V_L1_Monto),0)*DH$9</f>
        <v>0</v>
      </c>
      <c r="DI279" s="48" t="n">
        <f aca="false">IF((108-N(V_L1_Mes)+1)=1,N(V_L1_Monto),0)*DI$9</f>
        <v>0</v>
      </c>
      <c r="DJ279" s="48" t="n">
        <f aca="false">IF((109-N(V_L1_Mes)+1)=1,N(V_L1_Monto),0)*DJ$9</f>
        <v>0</v>
      </c>
      <c r="DK279" s="48" t="n">
        <f aca="false">IF((110-N(V_L1_Mes)+1)=1,N(V_L1_Monto),0)*DK$9</f>
        <v>0</v>
      </c>
      <c r="DL279" s="48" t="n">
        <f aca="false">IF((111-N(V_L1_Mes)+1)=1,N(V_L1_Monto),0)*DL$9</f>
        <v>0</v>
      </c>
      <c r="DM279" s="48" t="n">
        <f aca="false">IF((112-N(V_L1_Mes)+1)=1,N(V_L1_Monto),0)*DM$9</f>
        <v>0</v>
      </c>
      <c r="DN279" s="48" t="n">
        <f aca="false">IF((113-N(V_L1_Mes)+1)=1,N(V_L1_Monto),0)*DN$9</f>
        <v>0</v>
      </c>
      <c r="DO279" s="48" t="n">
        <f aca="false">IF((114-N(V_L1_Mes)+1)=1,N(V_L1_Monto),0)*DO$9</f>
        <v>0</v>
      </c>
      <c r="DP279" s="48" t="n">
        <f aca="false">IF((115-N(V_L1_Mes)+1)=1,N(V_L1_Monto),0)*DP$9</f>
        <v>0</v>
      </c>
      <c r="DQ279" s="48" t="n">
        <f aca="false">IF((116-N(V_L1_Mes)+1)=1,N(V_L1_Monto),0)*DQ$9</f>
        <v>0</v>
      </c>
      <c r="DR279" s="48" t="n">
        <f aca="false">IF((117-N(V_L1_Mes)+1)=1,N(V_L1_Monto),0)*DR$9</f>
        <v>0</v>
      </c>
      <c r="DS279" s="48" t="n">
        <f aca="false">IF((118-N(V_L1_Mes)+1)=1,N(V_L1_Monto),0)*DS$9</f>
        <v>0</v>
      </c>
      <c r="DT279" s="48" t="n">
        <f aca="false">IF((119-N(V_L1_Mes)+1)=1,N(V_L1_Monto),0)*DT$9</f>
        <v>0</v>
      </c>
      <c r="DU279" s="48" t="n">
        <f aca="false">IF((120-N(V_L1_Mes)+1)=1,N(V_L1_Monto),0)*DU$9</f>
        <v>0</v>
      </c>
      <c r="DV279" s="48" t="n">
        <f aca="false">IF((121-N(V_L1_Mes)+1)=1,N(V_L1_Monto),0)*DV$9</f>
        <v>0</v>
      </c>
      <c r="DW279" s="48" t="n">
        <f aca="false">IF((122-N(V_L1_Mes)+1)=1,N(V_L1_Monto),0)*DW$9</f>
        <v>0</v>
      </c>
      <c r="DX279" s="48" t="n">
        <f aca="false">IF((123-N(V_L1_Mes)+1)=1,N(V_L1_Monto),0)*DX$9</f>
        <v>0</v>
      </c>
      <c r="DY279" s="48" t="n">
        <f aca="false">IF((124-N(V_L1_Mes)+1)=1,N(V_L1_Monto),0)*DY$9</f>
        <v>0</v>
      </c>
      <c r="DZ279" s="48" t="n">
        <f aca="false">IF((125-N(V_L1_Mes)+1)=1,N(V_L1_Monto),0)*DZ$9</f>
        <v>0</v>
      </c>
      <c r="EA279" s="48" t="n">
        <f aca="false">IF((126-N(V_L1_Mes)+1)=1,N(V_L1_Monto),0)*EA$9</f>
        <v>0</v>
      </c>
      <c r="EB279" s="48" t="n">
        <f aca="false">IF((127-N(V_L1_Mes)+1)=1,N(V_L1_Monto),0)*EB$9</f>
        <v>0</v>
      </c>
      <c r="EC279" s="48" t="n">
        <f aca="false">IF((128-N(V_L1_Mes)+1)=1,N(V_L1_Monto),0)*EC$9</f>
        <v>0</v>
      </c>
      <c r="ED279" s="48" t="n">
        <f aca="false">IF((129-N(V_L1_Mes)+1)=1,N(V_L1_Monto),0)*ED$9</f>
        <v>0</v>
      </c>
      <c r="EE279" s="48" t="n">
        <f aca="false">IF((130-N(V_L1_Mes)+1)=1,N(V_L1_Monto),0)*EE$9</f>
        <v>0</v>
      </c>
      <c r="EF279" s="48" t="n">
        <f aca="false">IF((131-N(V_L1_Mes)+1)=1,N(V_L1_Monto),0)*EF$9</f>
        <v>0</v>
      </c>
      <c r="EG279" s="48" t="n">
        <f aca="false">IF((132-N(V_L1_Mes)+1)=1,N(V_L1_Monto),0)*EG$9</f>
        <v>0</v>
      </c>
      <c r="EH279" s="48" t="n">
        <f aca="false">IF((133-N(V_L1_Mes)+1)=1,N(V_L1_Monto),0)*EH$9</f>
        <v>0</v>
      </c>
      <c r="EI279" s="48" t="n">
        <f aca="false">IF((134-N(V_L1_Mes)+1)=1,N(V_L1_Monto),0)*EI$9</f>
        <v>0</v>
      </c>
      <c r="EJ279" s="48" t="n">
        <f aca="false">IF((135-N(V_L1_Mes)+1)=1,N(V_L1_Monto),0)*EJ$9</f>
        <v>0</v>
      </c>
      <c r="EK279" s="48" t="n">
        <f aca="false">IF((136-N(V_L1_Mes)+1)=1,N(V_L1_Monto),0)*EK$9</f>
        <v>0</v>
      </c>
      <c r="EL279" s="48" t="n">
        <f aca="false">IF((137-N(V_L1_Mes)+1)=1,N(V_L1_Monto),0)*EL$9</f>
        <v>0</v>
      </c>
      <c r="EM279" s="48" t="n">
        <f aca="false">IF((138-N(V_L1_Mes)+1)=1,N(V_L1_Monto),0)*EM$9</f>
        <v>0</v>
      </c>
      <c r="EN279" s="48" t="n">
        <f aca="false">IF((139-N(V_L1_Mes)+1)=1,N(V_L1_Monto),0)*EN$9</f>
        <v>0</v>
      </c>
      <c r="EO279" s="48" t="n">
        <f aca="false">IF((140-N(V_L1_Mes)+1)=1,N(V_L1_Monto),0)*EO$9</f>
        <v>0</v>
      </c>
      <c r="EP279" s="48" t="n">
        <f aca="false">IF((141-N(V_L1_Mes)+1)=1,N(V_L1_Monto),0)*EP$9</f>
        <v>0</v>
      </c>
      <c r="EQ279" s="48" t="n">
        <f aca="false">IF((142-N(V_L1_Mes)+1)=1,N(V_L1_Monto),0)*EQ$9</f>
        <v>0</v>
      </c>
      <c r="ER279" s="48" t="n">
        <f aca="false">IF((143-N(V_L1_Mes)+1)=1,N(V_L1_Monto),0)*ER$9</f>
        <v>0</v>
      </c>
      <c r="ES279" s="48" t="n">
        <f aca="false">IF((144-N(V_L1_Mes)+1)=1,N(V_L1_Monto),0)*ES$9</f>
        <v>0</v>
      </c>
    </row>
    <row r="280" customFormat="false" ht="15" hidden="false" customHeight="false" outlineLevel="0" collapsed="false">
      <c r="A280" s="11" t="s">
        <v>1398</v>
      </c>
      <c r="B280" s="15" t="s">
        <v>1213</v>
      </c>
      <c r="C280" s="15" t="s">
        <v>508</v>
      </c>
      <c r="E280" s="54" t="n">
        <f aca="false">SUM(F280:ES280)</f>
        <v>739285.57111314</v>
      </c>
      <c r="F280" s="48" t="n">
        <f aca="false">IF((1-N(V_L1_Mes)+1)&gt;=1,IF((1-N(V_L1_Mes)+1)=1,N(V_L1_Monto),0)*N(V_L1_Tasa)/12,0)*F$9</f>
        <v>20936.9025</v>
      </c>
      <c r="G280" s="48" t="n">
        <f aca="false">IF((2-N(V_L1_Mes)+1)&gt;=1,IF((2-N(V_L1_Mes)+1)=1,N(V_L1_Monto),F$282)*N(V_L1_Tasa)/12,0)*G$9</f>
        <v>20936.9025</v>
      </c>
      <c r="H280" s="48" t="n">
        <f aca="false">IF((3-N(V_L1_Mes)+1)&gt;=1,IF((3-N(V_L1_Mes)+1)=1,N(V_L1_Monto),G$282)*N(V_L1_Tasa)/12,0)*H$9</f>
        <v>20936.9025</v>
      </c>
      <c r="I280" s="48" t="n">
        <f aca="false">IF((4-N(V_L1_Mes)+1)&gt;=1,IF((4-N(V_L1_Mes)+1)=1,N(V_L1_Monto),H$282)*N(V_L1_Tasa)/12,0)*I$9</f>
        <v>20936.9025</v>
      </c>
      <c r="J280" s="48" t="n">
        <f aca="false">IF((5-N(V_L1_Mes)+1)&gt;=1,IF((5-N(V_L1_Mes)+1)=1,N(V_L1_Monto),I$282)*N(V_L1_Tasa)/12,0)*J$9</f>
        <v>20936.9025</v>
      </c>
      <c r="K280" s="48" t="n">
        <f aca="false">IF((6-N(V_L1_Mes)+1)&gt;=1,IF((6-N(V_L1_Mes)+1)=1,N(V_L1_Monto),J$282)*N(V_L1_Tasa)/12,0)*K$9</f>
        <v>20936.9025</v>
      </c>
      <c r="L280" s="48" t="n">
        <f aca="false">IF((7-N(V_L1_Mes)+1)&gt;=1,IF((7-N(V_L1_Mes)+1)=1,N(V_L1_Monto),K$282)*N(V_L1_Tasa)/12,0)*L$9</f>
        <v>20936.9025</v>
      </c>
      <c r="M280" s="48" t="n">
        <f aca="false">IF((8-N(V_L1_Mes)+1)&gt;=1,IF((8-N(V_L1_Mes)+1)=1,N(V_L1_Monto),L$282)*N(V_L1_Tasa)/12,0)*M$9</f>
        <v>20620.9777192898</v>
      </c>
      <c r="N280" s="48" t="n">
        <f aca="false">IF((9-N(V_L1_Mes)+1)&gt;=1,IF((9-N(V_L1_Mes)+1)=1,N(V_L1_Monto),M$282)*N(V_L1_Tasa)/12,0)*N$9</f>
        <v>20302.6835027244</v>
      </c>
      <c r="O280" s="48" t="n">
        <f aca="false">IF((10-N(V_L1_Mes)+1)&gt;=1,IF((10-N(V_L1_Mes)+1)=1,N(V_L1_Monto),N$282)*N(V_L1_Tasa)/12,0)*O$9</f>
        <v>19982.0020795346</v>
      </c>
      <c r="P280" s="48" t="n">
        <f aca="false">IF((11-N(V_L1_Mes)+1)&gt;=1,IF((11-N(V_L1_Mes)+1)=1,N(V_L1_Monto),O$282)*N(V_L1_Tasa)/12,0)*P$9</f>
        <v>19658.915545671</v>
      </c>
      <c r="Q280" s="48" t="n">
        <f aca="false">IF((12-N(V_L1_Mes)+1)&gt;=1,IF((12-N(V_L1_Mes)+1)=1,N(V_L1_Monto),P$282)*N(V_L1_Tasa)/12,0)*Q$9</f>
        <v>19333.4058628034</v>
      </c>
      <c r="R280" s="48" t="n">
        <f aca="false">IF((13-N(V_L1_Mes)+1)&gt;=1,IF((13-N(V_L1_Mes)+1)=1,N(V_L1_Monto),Q$282)*N(V_L1_Tasa)/12,0)*R$9</f>
        <v>19005.4548573142</v>
      </c>
      <c r="S280" s="48" t="n">
        <f aca="false">IF((14-N(V_L1_Mes)+1)&gt;=1,IF((14-N(V_L1_Mes)+1)=1,N(V_L1_Monto),R$282)*N(V_L1_Tasa)/12,0)*S$9</f>
        <v>18675.0442192839</v>
      </c>
      <c r="T280" s="48" t="n">
        <f aca="false">IF((15-N(V_L1_Mes)+1)&gt;=1,IF((15-N(V_L1_Mes)+1)=1,N(V_L1_Monto),S$282)*N(V_L1_Tasa)/12,0)*T$9</f>
        <v>18342.1555014684</v>
      </c>
      <c r="U280" s="48" t="n">
        <f aca="false">IF((16-N(V_L1_Mes)+1)&gt;=1,IF((16-N(V_L1_Mes)+1)=1,N(V_L1_Monto),T$282)*N(V_L1_Tasa)/12,0)*U$9</f>
        <v>18006.7701182693</v>
      </c>
      <c r="V280" s="48" t="n">
        <f aca="false">IF((17-N(V_L1_Mes)+1)&gt;=1,IF((17-N(V_L1_Mes)+1)=1,N(V_L1_Monto),U$282)*N(V_L1_Tasa)/12,0)*V$9</f>
        <v>17668.8693446961</v>
      </c>
      <c r="W280" s="48" t="n">
        <f aca="false">IF((18-N(V_L1_Mes)+1)&gt;=1,IF((18-N(V_L1_Mes)+1)=1,N(V_L1_Monto),V$282)*N(V_L1_Tasa)/12,0)*W$9</f>
        <v>17328.4343153212</v>
      </c>
      <c r="X280" s="48" t="n">
        <f aca="false">IF((19-N(V_L1_Mes)+1)&gt;=1,IF((19-N(V_L1_Mes)+1)=1,N(V_L1_Monto),W$282)*N(V_L1_Tasa)/12,0)*X$9</f>
        <v>16985.4460232259</v>
      </c>
      <c r="Y280" s="48" t="n">
        <f aca="false">IF((20-N(V_L1_Mes)+1)&gt;=1,IF((20-N(V_L1_Mes)+1)=1,N(V_L1_Monto),X$282)*N(V_L1_Tasa)/12,0)*Y$9</f>
        <v>16639.88531894</v>
      </c>
      <c r="Z280" s="48" t="n">
        <f aca="false">IF((21-N(V_L1_Mes)+1)&gt;=1,IF((21-N(V_L1_Mes)+1)=1,N(V_L1_Monto),Y$282)*N(V_L1_Tasa)/12,0)*Z$9</f>
        <v>16291.7329093719</v>
      </c>
      <c r="AA280" s="48" t="n">
        <f aca="false">IF((22-N(V_L1_Mes)+1)&gt;=1,IF((22-N(V_L1_Mes)+1)=1,N(V_L1_Monto),Z$282)*N(V_L1_Tasa)/12,0)*AA$9</f>
        <v>15940.969356732</v>
      </c>
      <c r="AB280" s="48" t="n">
        <f aca="false">IF((23-N(V_L1_Mes)+1)&gt;=1,IF((23-N(V_L1_Mes)+1)=1,N(V_L1_Monto),AA$282)*N(V_L1_Tasa)/12,0)*AB$9</f>
        <v>15587.5750774473</v>
      </c>
      <c r="AC280" s="48" t="n">
        <f aca="false">IF((24-N(V_L1_Mes)+1)&gt;=1,IF((24-N(V_L1_Mes)+1)=1,N(V_L1_Monto),AB$282)*N(V_L1_Tasa)/12,0)*AC$9</f>
        <v>15231.530341068</v>
      </c>
      <c r="AD280" s="48" t="n">
        <f aca="false">IF((25-N(V_L1_Mes)+1)&gt;=1,IF((25-N(V_L1_Mes)+1)=1,N(V_L1_Monto),AC$282)*N(V_L1_Tasa)/12,0)*AD$9</f>
        <v>14872.8152691659</v>
      </c>
      <c r="AE280" s="48" t="n">
        <f aca="false">IF((26-N(V_L1_Mes)+1)&gt;=1,IF((26-N(V_L1_Mes)+1)=1,N(V_L1_Monto),AD$282)*N(V_L1_Tasa)/12,0)*AE$9</f>
        <v>14511.4098342245</v>
      </c>
      <c r="AF280" s="48" t="n">
        <f aca="false">IF((27-N(V_L1_Mes)+1)&gt;=1,IF((27-N(V_L1_Mes)+1)=1,N(V_L1_Monto),AE$282)*N(V_L1_Tasa)/12,0)*AF$9</f>
        <v>14147.293858521</v>
      </c>
      <c r="AG280" s="48" t="n">
        <f aca="false">IF((28-N(V_L1_Mes)+1)&gt;=1,IF((28-N(V_L1_Mes)+1)=1,N(V_L1_Monto),AF$282)*N(V_L1_Tasa)/12,0)*AG$9</f>
        <v>13780.4470129997</v>
      </c>
      <c r="AH280" s="48" t="n">
        <f aca="false">IF((29-N(V_L1_Mes)+1)&gt;=1,IF((29-N(V_L1_Mes)+1)=1,N(V_L1_Monto),AG$282)*N(V_L1_Tasa)/12,0)*AH$9</f>
        <v>13410.8488161371</v>
      </c>
      <c r="AI280" s="48" t="n">
        <f aca="false">IF((30-N(V_L1_Mes)+1)&gt;=1,IF((30-N(V_L1_Mes)+1)=1,N(V_L1_Monto),AH$282)*N(V_L1_Tasa)/12,0)*AI$9</f>
        <v>13038.4786327979</v>
      </c>
      <c r="AJ280" s="48" t="n">
        <f aca="false">IF((31-N(V_L1_Mes)+1)&gt;=1,IF((31-N(V_L1_Mes)+1)=1,N(V_L1_Monto),AI$282)*N(V_L1_Tasa)/12,0)*AJ$9</f>
        <v>12663.3156730838</v>
      </c>
      <c r="AK280" s="48" t="n">
        <f aca="false">IF((32-N(V_L1_Mes)+1)&gt;=1,IF((32-N(V_L1_Mes)+1)=1,N(V_L1_Monto),AJ$282)*N(V_L1_Tasa)/12,0)*AK$9</f>
        <v>12285.3389911717</v>
      </c>
      <c r="AL280" s="48" t="n">
        <f aca="false">IF((33-N(V_L1_Mes)+1)&gt;=1,IF((33-N(V_L1_Mes)+1)=1,N(V_L1_Monto),AK$282)*N(V_L1_Tasa)/12,0)*AL$9</f>
        <v>11904.5274841454</v>
      </c>
      <c r="AM280" s="48" t="n">
        <f aca="false">IF((34-N(V_L1_Mes)+1)&gt;=1,IF((34-N(V_L1_Mes)+1)=1,N(V_L1_Monto),AL$282)*N(V_L1_Tasa)/12,0)*AM$9</f>
        <v>11520.8598908163</v>
      </c>
      <c r="AN280" s="48" t="n">
        <f aca="false">IF((35-N(V_L1_Mes)+1)&gt;=1,IF((35-N(V_L1_Mes)+1)=1,N(V_L1_Monto),AM$282)*N(V_L1_Tasa)/12,0)*AN$9</f>
        <v>11134.3147905373</v>
      </c>
      <c r="AO280" s="48" t="n">
        <f aca="false">IF((36-N(V_L1_Mes)+1)&gt;=1,IF((36-N(V_L1_Mes)+1)=1,N(V_L1_Monto),AN$282)*N(V_L1_Tasa)/12,0)*AO$9</f>
        <v>10744.8706020061</v>
      </c>
      <c r="AP280" s="48" t="n">
        <f aca="false">IF((37-N(V_L1_Mes)+1)&gt;=1,IF((37-N(V_L1_Mes)+1)=1,N(V_L1_Monto),AO$282)*N(V_L1_Tasa)/12,0)*AP$9</f>
        <v>10352.505582061</v>
      </c>
      <c r="AQ280" s="48" t="n">
        <f aca="false">IF((38-N(V_L1_Mes)+1)&gt;=1,IF((38-N(V_L1_Mes)+1)=1,N(V_L1_Monto),AP$282)*N(V_L1_Tasa)/12,0)*AQ$9</f>
        <v>9957.19782446632</v>
      </c>
      <c r="AR280" s="48" t="n">
        <f aca="false">IF((39-N(V_L1_Mes)+1)&gt;=1,IF((39-N(V_L1_Mes)+1)=1,N(V_L1_Monto),AQ$282)*N(V_L1_Tasa)/12,0)*AR$9</f>
        <v>9558.92525868966</v>
      </c>
      <c r="AS280" s="48" t="n">
        <f aca="false">IF((40-N(V_L1_Mes)+1)&gt;=1,IF((40-N(V_L1_Mes)+1)=1,N(V_L1_Monto),AR$282)*N(V_L1_Tasa)/12,0)*AS$9</f>
        <v>9157.66564866968</v>
      </c>
      <c r="AT280" s="48" t="n">
        <f aca="false">IF((41-N(V_L1_Mes)+1)&gt;=1,IF((41-N(V_L1_Mes)+1)=1,N(V_L1_Monto),AS$282)*N(V_L1_Tasa)/12,0)*AT$9</f>
        <v>8753.39659157454</v>
      </c>
      <c r="AU280" s="48" t="n">
        <f aca="false">IF((42-N(V_L1_Mes)+1)&gt;=1,IF((42-N(V_L1_Mes)+1)=1,N(V_L1_Monto),AT$282)*N(V_L1_Tasa)/12,0)*AU$9</f>
        <v>8346.09551655119</v>
      </c>
      <c r="AV280" s="48" t="n">
        <f aca="false">IF((43-N(V_L1_Mes)+1)&gt;=1,IF((43-N(V_L1_Mes)+1)=1,N(V_L1_Monto),AU$282)*N(V_L1_Tasa)/12,0)*AV$9</f>
        <v>7935.73968346517</v>
      </c>
      <c r="AW280" s="48" t="n">
        <f aca="false">IF((44-N(V_L1_Mes)+1)&gt;=1,IF((44-N(V_L1_Mes)+1)=1,N(V_L1_Monto),AV$282)*N(V_L1_Tasa)/12,0)*AW$9</f>
        <v>7522.306181631</v>
      </c>
      <c r="AX280" s="48" t="n">
        <f aca="false">IF((45-N(V_L1_Mes)+1)&gt;=1,IF((45-N(V_L1_Mes)+1)=1,N(V_L1_Monto),AW$282)*N(V_L1_Tasa)/12,0)*AX$9</f>
        <v>7105.77192853307</v>
      </c>
      <c r="AY280" s="48" t="n">
        <f aca="false">IF((46-N(V_L1_Mes)+1)&gt;=1,IF((46-N(V_L1_Mes)+1)=1,N(V_L1_Monto),AX$282)*N(V_L1_Tasa)/12,0)*AY$9</f>
        <v>6686.11366853691</v>
      </c>
      <c r="AZ280" s="48" t="n">
        <f aca="false">IF((47-N(V_L1_Mes)+1)&gt;=1,IF((47-N(V_L1_Mes)+1)=1,N(V_L1_Monto),AY$282)*N(V_L1_Tasa)/12,0)*AZ$9</f>
        <v>6263.30797159078</v>
      </c>
      <c r="BA280" s="48" t="n">
        <f aca="false">IF((48-N(V_L1_Mes)+1)&gt;=1,IF((48-N(V_L1_Mes)+1)=1,N(V_L1_Monto),AZ$282)*N(V_L1_Tasa)/12,0)*BA$9</f>
        <v>5837.33123191755</v>
      </c>
      <c r="BB280" s="48" t="n">
        <f aca="false">IF((49-N(V_L1_Mes)+1)&gt;=1,IF((49-N(V_L1_Mes)+1)=1,N(V_L1_Monto),BA$282)*N(V_L1_Tasa)/12,0)*BB$9</f>
        <v>5408.15966669678</v>
      </c>
      <c r="BC280" s="48" t="n">
        <f aca="false">IF((50-N(V_L1_Mes)+1)&gt;=1,IF((50-N(V_L1_Mes)+1)=1,N(V_L1_Monto),BB$282)*N(V_L1_Tasa)/12,0)*BC$9</f>
        <v>4975.76931473684</v>
      </c>
      <c r="BD280" s="48" t="n">
        <f aca="false">IF((51-N(V_L1_Mes)+1)&gt;=1,IF((51-N(V_L1_Mes)+1)=1,N(V_L1_Monto),BC$282)*N(V_L1_Tasa)/12,0)*BD$9</f>
        <v>4540.13603513721</v>
      </c>
      <c r="BE280" s="48" t="n">
        <f aca="false">IF((52-N(V_L1_Mes)+1)&gt;=1,IF((52-N(V_L1_Mes)+1)=1,N(V_L1_Monto),BD$282)*N(V_L1_Tasa)/12,0)*BE$9</f>
        <v>4101.23550594058</v>
      </c>
      <c r="BF280" s="48" t="n">
        <f aca="false">IF((53-N(V_L1_Mes)+1)&gt;=1,IF((53-N(V_L1_Mes)+1)=1,N(V_L1_Monto),BE$282)*N(V_L1_Tasa)/12,0)*BF$9</f>
        <v>3659.04322277498</v>
      </c>
      <c r="BG280" s="48" t="n">
        <f aca="false">IF((54-N(V_L1_Mes)+1)&gt;=1,IF((54-N(V_L1_Mes)+1)=1,N(V_L1_Monto),BF$282)*N(V_L1_Tasa)/12,0)*BG$9</f>
        <v>3213.53449748563</v>
      </c>
      <c r="BH280" s="48" t="n">
        <f aca="false">IF((55-N(V_L1_Mes)+1)&gt;=1,IF((55-N(V_L1_Mes)+1)=1,N(V_L1_Monto),BG$282)*N(V_L1_Tasa)/12,0)*BH$9</f>
        <v>2764.68445675662</v>
      </c>
      <c r="BI280" s="48" t="n">
        <f aca="false">IF((56-N(V_L1_Mes)+1)&gt;=1,IF((56-N(V_L1_Mes)+1)=1,N(V_L1_Monto),BH$282)*N(V_L1_Tasa)/12,0)*BI$9</f>
        <v>2312.46804072213</v>
      </c>
      <c r="BJ280" s="48" t="n">
        <f aca="false">IF((57-N(V_L1_Mes)+1)&gt;=1,IF((57-N(V_L1_Mes)+1)=1,N(V_L1_Monto),BI$282)*N(V_L1_Tasa)/12,0)*BJ$9</f>
        <v>1856.86000156739</v>
      </c>
      <c r="BK280" s="48" t="n">
        <f aca="false">IF((58-N(V_L1_Mes)+1)&gt;=1,IF((58-N(V_L1_Mes)+1)=1,N(V_L1_Monto),BJ$282)*N(V_L1_Tasa)/12,0)*BK$9</f>
        <v>1397.83490211899</v>
      </c>
      <c r="BL280" s="48" t="n">
        <f aca="false">IF((59-N(V_L1_Mes)+1)&gt;=1,IF((59-N(V_L1_Mes)+1)=1,N(V_L1_Monto),BK$282)*N(V_L1_Tasa)/12,0)*BL$9</f>
        <v>935.367114424723</v>
      </c>
      <c r="BM280" s="48" t="n">
        <f aca="false">IF((60-N(V_L1_Mes)+1)&gt;=1,IF((60-N(V_L1_Mes)+1)=1,N(V_L1_Monto),BL$282)*N(V_L1_Tasa)/12,0)*BM$9</f>
        <v>469.43081832275</v>
      </c>
      <c r="BN280" s="48" t="n">
        <f aca="false">IF((61-N(V_L1_Mes)+1)&gt;=1,IF((61-N(V_L1_Mes)+1)=1,N(V_L1_Monto),BM$282)*N(V_L1_Tasa)/12,0)*BN$9</f>
        <v>0</v>
      </c>
      <c r="BO280" s="48" t="n">
        <f aca="false">IF((62-N(V_L1_Mes)+1)&gt;=1,IF((62-N(V_L1_Mes)+1)=1,N(V_L1_Monto),BN$282)*N(V_L1_Tasa)/12,0)*BO$9</f>
        <v>0</v>
      </c>
      <c r="BP280" s="48" t="n">
        <f aca="false">IF((63-N(V_L1_Mes)+1)&gt;=1,IF((63-N(V_L1_Mes)+1)=1,N(V_L1_Monto),BO$282)*N(V_L1_Tasa)/12,0)*BP$9</f>
        <v>0</v>
      </c>
      <c r="BQ280" s="48" t="n">
        <f aca="false">IF((64-N(V_L1_Mes)+1)&gt;=1,IF((64-N(V_L1_Mes)+1)=1,N(V_L1_Monto),BP$282)*N(V_L1_Tasa)/12,0)*BQ$9</f>
        <v>0</v>
      </c>
      <c r="BR280" s="48" t="n">
        <f aca="false">IF((65-N(V_L1_Mes)+1)&gt;=1,IF((65-N(V_L1_Mes)+1)=1,N(V_L1_Monto),BQ$282)*N(V_L1_Tasa)/12,0)*BR$9</f>
        <v>0</v>
      </c>
      <c r="BS280" s="48" t="n">
        <f aca="false">IF((66-N(V_L1_Mes)+1)&gt;=1,IF((66-N(V_L1_Mes)+1)=1,N(V_L1_Monto),BR$282)*N(V_L1_Tasa)/12,0)*BS$9</f>
        <v>0</v>
      </c>
      <c r="BT280" s="48" t="n">
        <f aca="false">IF((67-N(V_L1_Mes)+1)&gt;=1,IF((67-N(V_L1_Mes)+1)=1,N(V_L1_Monto),BS$282)*N(V_L1_Tasa)/12,0)*BT$9</f>
        <v>0</v>
      </c>
      <c r="BU280" s="48" t="n">
        <f aca="false">IF((68-N(V_L1_Mes)+1)&gt;=1,IF((68-N(V_L1_Mes)+1)=1,N(V_L1_Monto),BT$282)*N(V_L1_Tasa)/12,0)*BU$9</f>
        <v>0</v>
      </c>
      <c r="BV280" s="48" t="n">
        <f aca="false">IF((69-N(V_L1_Mes)+1)&gt;=1,IF((69-N(V_L1_Mes)+1)=1,N(V_L1_Monto),BU$282)*N(V_L1_Tasa)/12,0)*BV$9</f>
        <v>0</v>
      </c>
      <c r="BW280" s="48" t="n">
        <f aca="false">IF((70-N(V_L1_Mes)+1)&gt;=1,IF((70-N(V_L1_Mes)+1)=1,N(V_L1_Monto),BV$282)*N(V_L1_Tasa)/12,0)*BW$9</f>
        <v>0</v>
      </c>
      <c r="BX280" s="48" t="n">
        <f aca="false">IF((71-N(V_L1_Mes)+1)&gt;=1,IF((71-N(V_L1_Mes)+1)=1,N(V_L1_Monto),BW$282)*N(V_L1_Tasa)/12,0)*BX$9</f>
        <v>0</v>
      </c>
      <c r="BY280" s="48" t="n">
        <f aca="false">IF((72-N(V_L1_Mes)+1)&gt;=1,IF((72-N(V_L1_Mes)+1)=1,N(V_L1_Monto),BX$282)*N(V_L1_Tasa)/12,0)*BY$9</f>
        <v>0</v>
      </c>
      <c r="BZ280" s="48" t="n">
        <f aca="false">IF((73-N(V_L1_Mes)+1)&gt;=1,IF((73-N(V_L1_Mes)+1)=1,N(V_L1_Monto),BY$282)*N(V_L1_Tasa)/12,0)*BZ$9</f>
        <v>0</v>
      </c>
      <c r="CA280" s="48" t="n">
        <f aca="false">IF((74-N(V_L1_Mes)+1)&gt;=1,IF((74-N(V_L1_Mes)+1)=1,N(V_L1_Monto),BZ$282)*N(V_L1_Tasa)/12,0)*CA$9</f>
        <v>0</v>
      </c>
      <c r="CB280" s="48" t="n">
        <f aca="false">IF((75-N(V_L1_Mes)+1)&gt;=1,IF((75-N(V_L1_Mes)+1)=1,N(V_L1_Monto),CA$282)*N(V_L1_Tasa)/12,0)*CB$9</f>
        <v>0</v>
      </c>
      <c r="CC280" s="48" t="n">
        <f aca="false">IF((76-N(V_L1_Mes)+1)&gt;=1,IF((76-N(V_L1_Mes)+1)=1,N(V_L1_Monto),CB$282)*N(V_L1_Tasa)/12,0)*CC$9</f>
        <v>0</v>
      </c>
      <c r="CD280" s="48" t="n">
        <f aca="false">IF((77-N(V_L1_Mes)+1)&gt;=1,IF((77-N(V_L1_Mes)+1)=1,N(V_L1_Monto),CC$282)*N(V_L1_Tasa)/12,0)*CD$9</f>
        <v>0</v>
      </c>
      <c r="CE280" s="48" t="n">
        <f aca="false">IF((78-N(V_L1_Mes)+1)&gt;=1,IF((78-N(V_L1_Mes)+1)=1,N(V_L1_Monto),CD$282)*N(V_L1_Tasa)/12,0)*CE$9</f>
        <v>0</v>
      </c>
      <c r="CF280" s="48" t="n">
        <f aca="false">IF((79-N(V_L1_Mes)+1)&gt;=1,IF((79-N(V_L1_Mes)+1)=1,N(V_L1_Monto),CE$282)*N(V_L1_Tasa)/12,0)*CF$9</f>
        <v>0</v>
      </c>
      <c r="CG280" s="48" t="n">
        <f aca="false">IF((80-N(V_L1_Mes)+1)&gt;=1,IF((80-N(V_L1_Mes)+1)=1,N(V_L1_Monto),CF$282)*N(V_L1_Tasa)/12,0)*CG$9</f>
        <v>0</v>
      </c>
      <c r="CH280" s="48" t="n">
        <f aca="false">IF((81-N(V_L1_Mes)+1)&gt;=1,IF((81-N(V_L1_Mes)+1)=1,N(V_L1_Monto),CG$282)*N(V_L1_Tasa)/12,0)*CH$9</f>
        <v>0</v>
      </c>
      <c r="CI280" s="48" t="n">
        <f aca="false">IF((82-N(V_L1_Mes)+1)&gt;=1,IF((82-N(V_L1_Mes)+1)=1,N(V_L1_Monto),CH$282)*N(V_L1_Tasa)/12,0)*CI$9</f>
        <v>0</v>
      </c>
      <c r="CJ280" s="48" t="n">
        <f aca="false">IF((83-N(V_L1_Mes)+1)&gt;=1,IF((83-N(V_L1_Mes)+1)=1,N(V_L1_Monto),CI$282)*N(V_L1_Tasa)/12,0)*CJ$9</f>
        <v>0</v>
      </c>
      <c r="CK280" s="48" t="n">
        <f aca="false">IF((84-N(V_L1_Mes)+1)&gt;=1,IF((84-N(V_L1_Mes)+1)=1,N(V_L1_Monto),CJ$282)*N(V_L1_Tasa)/12,0)*CK$9</f>
        <v>0</v>
      </c>
      <c r="CL280" s="48" t="n">
        <f aca="false">IF((85-N(V_L1_Mes)+1)&gt;=1,IF((85-N(V_L1_Mes)+1)=1,N(V_L1_Monto),CK$282)*N(V_L1_Tasa)/12,0)*CL$9</f>
        <v>0</v>
      </c>
      <c r="CM280" s="48" t="n">
        <f aca="false">IF((86-N(V_L1_Mes)+1)&gt;=1,IF((86-N(V_L1_Mes)+1)=1,N(V_L1_Monto),CL$282)*N(V_L1_Tasa)/12,0)*CM$9</f>
        <v>0</v>
      </c>
      <c r="CN280" s="48" t="n">
        <f aca="false">IF((87-N(V_L1_Mes)+1)&gt;=1,IF((87-N(V_L1_Mes)+1)=1,N(V_L1_Monto),CM$282)*N(V_L1_Tasa)/12,0)*CN$9</f>
        <v>0</v>
      </c>
      <c r="CO280" s="48" t="n">
        <f aca="false">IF((88-N(V_L1_Mes)+1)&gt;=1,IF((88-N(V_L1_Mes)+1)=1,N(V_L1_Monto),CN$282)*N(V_L1_Tasa)/12,0)*CO$9</f>
        <v>0</v>
      </c>
      <c r="CP280" s="48" t="n">
        <f aca="false">IF((89-N(V_L1_Mes)+1)&gt;=1,IF((89-N(V_L1_Mes)+1)=1,N(V_L1_Monto),CO$282)*N(V_L1_Tasa)/12,0)*CP$9</f>
        <v>0</v>
      </c>
      <c r="CQ280" s="48" t="n">
        <f aca="false">IF((90-N(V_L1_Mes)+1)&gt;=1,IF((90-N(V_L1_Mes)+1)=1,N(V_L1_Monto),CP$282)*N(V_L1_Tasa)/12,0)*CQ$9</f>
        <v>0</v>
      </c>
      <c r="CR280" s="48" t="n">
        <f aca="false">IF((91-N(V_L1_Mes)+1)&gt;=1,IF((91-N(V_L1_Mes)+1)=1,N(V_L1_Monto),CQ$282)*N(V_L1_Tasa)/12,0)*CR$9</f>
        <v>0</v>
      </c>
      <c r="CS280" s="48" t="n">
        <f aca="false">IF((92-N(V_L1_Mes)+1)&gt;=1,IF((92-N(V_L1_Mes)+1)=1,N(V_L1_Monto),CR$282)*N(V_L1_Tasa)/12,0)*CS$9</f>
        <v>0</v>
      </c>
      <c r="CT280" s="48" t="n">
        <f aca="false">IF((93-N(V_L1_Mes)+1)&gt;=1,IF((93-N(V_L1_Mes)+1)=1,N(V_L1_Monto),CS$282)*N(V_L1_Tasa)/12,0)*CT$9</f>
        <v>0</v>
      </c>
      <c r="CU280" s="48" t="n">
        <f aca="false">IF((94-N(V_L1_Mes)+1)&gt;=1,IF((94-N(V_L1_Mes)+1)=1,N(V_L1_Monto),CT$282)*N(V_L1_Tasa)/12,0)*CU$9</f>
        <v>0</v>
      </c>
      <c r="CV280" s="48" t="n">
        <f aca="false">IF((95-N(V_L1_Mes)+1)&gt;=1,IF((95-N(V_L1_Mes)+1)=1,N(V_L1_Monto),CU$282)*N(V_L1_Tasa)/12,0)*CV$9</f>
        <v>0</v>
      </c>
      <c r="CW280" s="48" t="n">
        <f aca="false">IF((96-N(V_L1_Mes)+1)&gt;=1,IF((96-N(V_L1_Mes)+1)=1,N(V_L1_Monto),CV$282)*N(V_L1_Tasa)/12,0)*CW$9</f>
        <v>0</v>
      </c>
      <c r="CX280" s="48" t="n">
        <f aca="false">IF((97-N(V_L1_Mes)+1)&gt;=1,IF((97-N(V_L1_Mes)+1)=1,N(V_L1_Monto),CW$282)*N(V_L1_Tasa)/12,0)*CX$9</f>
        <v>0</v>
      </c>
      <c r="CY280" s="48" t="n">
        <f aca="false">IF((98-N(V_L1_Mes)+1)&gt;=1,IF((98-N(V_L1_Mes)+1)=1,N(V_L1_Monto),CX$282)*N(V_L1_Tasa)/12,0)*CY$9</f>
        <v>0</v>
      </c>
      <c r="CZ280" s="48" t="n">
        <f aca="false">IF((99-N(V_L1_Mes)+1)&gt;=1,IF((99-N(V_L1_Mes)+1)=1,N(V_L1_Monto),CY$282)*N(V_L1_Tasa)/12,0)*CZ$9</f>
        <v>0</v>
      </c>
      <c r="DA280" s="48" t="n">
        <f aca="false">IF((100-N(V_L1_Mes)+1)&gt;=1,IF((100-N(V_L1_Mes)+1)=1,N(V_L1_Monto),CZ$282)*N(V_L1_Tasa)/12,0)*DA$9</f>
        <v>0</v>
      </c>
      <c r="DB280" s="48" t="n">
        <f aca="false">IF((101-N(V_L1_Mes)+1)&gt;=1,IF((101-N(V_L1_Mes)+1)=1,N(V_L1_Monto),DA$282)*N(V_L1_Tasa)/12,0)*DB$9</f>
        <v>0</v>
      </c>
      <c r="DC280" s="48" t="n">
        <f aca="false">IF((102-N(V_L1_Mes)+1)&gt;=1,IF((102-N(V_L1_Mes)+1)=1,N(V_L1_Monto),DB$282)*N(V_L1_Tasa)/12,0)*DC$9</f>
        <v>0</v>
      </c>
      <c r="DD280" s="48" t="n">
        <f aca="false">IF((103-N(V_L1_Mes)+1)&gt;=1,IF((103-N(V_L1_Mes)+1)=1,N(V_L1_Monto),DC$282)*N(V_L1_Tasa)/12,0)*DD$9</f>
        <v>0</v>
      </c>
      <c r="DE280" s="48" t="n">
        <f aca="false">IF((104-N(V_L1_Mes)+1)&gt;=1,IF((104-N(V_L1_Mes)+1)=1,N(V_L1_Monto),DD$282)*N(V_L1_Tasa)/12,0)*DE$9</f>
        <v>0</v>
      </c>
      <c r="DF280" s="48" t="n">
        <f aca="false">IF((105-N(V_L1_Mes)+1)&gt;=1,IF((105-N(V_L1_Mes)+1)=1,N(V_L1_Monto),DE$282)*N(V_L1_Tasa)/12,0)*DF$9</f>
        <v>0</v>
      </c>
      <c r="DG280" s="48" t="n">
        <f aca="false">IF((106-N(V_L1_Mes)+1)&gt;=1,IF((106-N(V_L1_Mes)+1)=1,N(V_L1_Monto),DF$282)*N(V_L1_Tasa)/12,0)*DG$9</f>
        <v>0</v>
      </c>
      <c r="DH280" s="48" t="n">
        <f aca="false">IF((107-N(V_L1_Mes)+1)&gt;=1,IF((107-N(V_L1_Mes)+1)=1,N(V_L1_Monto),DG$282)*N(V_L1_Tasa)/12,0)*DH$9</f>
        <v>0</v>
      </c>
      <c r="DI280" s="48" t="n">
        <f aca="false">IF((108-N(V_L1_Mes)+1)&gt;=1,IF((108-N(V_L1_Mes)+1)=1,N(V_L1_Monto),DH$282)*N(V_L1_Tasa)/12,0)*DI$9</f>
        <v>0</v>
      </c>
      <c r="DJ280" s="48" t="n">
        <f aca="false">IF((109-N(V_L1_Mes)+1)&gt;=1,IF((109-N(V_L1_Mes)+1)=1,N(V_L1_Monto),DI$282)*N(V_L1_Tasa)/12,0)*DJ$9</f>
        <v>0</v>
      </c>
      <c r="DK280" s="48" t="n">
        <f aca="false">IF((110-N(V_L1_Mes)+1)&gt;=1,IF((110-N(V_L1_Mes)+1)=1,N(V_L1_Monto),DJ$282)*N(V_L1_Tasa)/12,0)*DK$9</f>
        <v>0</v>
      </c>
      <c r="DL280" s="48" t="n">
        <f aca="false">IF((111-N(V_L1_Mes)+1)&gt;=1,IF((111-N(V_L1_Mes)+1)=1,N(V_L1_Monto),DK$282)*N(V_L1_Tasa)/12,0)*DL$9</f>
        <v>0</v>
      </c>
      <c r="DM280" s="48" t="n">
        <f aca="false">IF((112-N(V_L1_Mes)+1)&gt;=1,IF((112-N(V_L1_Mes)+1)=1,N(V_L1_Monto),DL$282)*N(V_L1_Tasa)/12,0)*DM$9</f>
        <v>0</v>
      </c>
      <c r="DN280" s="48" t="n">
        <f aca="false">IF((113-N(V_L1_Mes)+1)&gt;=1,IF((113-N(V_L1_Mes)+1)=1,N(V_L1_Monto),DM$282)*N(V_L1_Tasa)/12,0)*DN$9</f>
        <v>0</v>
      </c>
      <c r="DO280" s="48" t="n">
        <f aca="false">IF((114-N(V_L1_Mes)+1)&gt;=1,IF((114-N(V_L1_Mes)+1)=1,N(V_L1_Monto),DN$282)*N(V_L1_Tasa)/12,0)*DO$9</f>
        <v>0</v>
      </c>
      <c r="DP280" s="48" t="n">
        <f aca="false">IF((115-N(V_L1_Mes)+1)&gt;=1,IF((115-N(V_L1_Mes)+1)=1,N(V_L1_Monto),DO$282)*N(V_L1_Tasa)/12,0)*DP$9</f>
        <v>0</v>
      </c>
      <c r="DQ280" s="48" t="n">
        <f aca="false">IF((116-N(V_L1_Mes)+1)&gt;=1,IF((116-N(V_L1_Mes)+1)=1,N(V_L1_Monto),DP$282)*N(V_L1_Tasa)/12,0)*DQ$9</f>
        <v>0</v>
      </c>
      <c r="DR280" s="48" t="n">
        <f aca="false">IF((117-N(V_L1_Mes)+1)&gt;=1,IF((117-N(V_L1_Mes)+1)=1,N(V_L1_Monto),DQ$282)*N(V_L1_Tasa)/12,0)*DR$9</f>
        <v>0</v>
      </c>
      <c r="DS280" s="48" t="n">
        <f aca="false">IF((118-N(V_L1_Mes)+1)&gt;=1,IF((118-N(V_L1_Mes)+1)=1,N(V_L1_Monto),DR$282)*N(V_L1_Tasa)/12,0)*DS$9</f>
        <v>0</v>
      </c>
      <c r="DT280" s="48" t="n">
        <f aca="false">IF((119-N(V_L1_Mes)+1)&gt;=1,IF((119-N(V_L1_Mes)+1)=1,N(V_L1_Monto),DS$282)*N(V_L1_Tasa)/12,0)*DT$9</f>
        <v>0</v>
      </c>
      <c r="DU280" s="48" t="n">
        <f aca="false">IF((120-N(V_L1_Mes)+1)&gt;=1,IF((120-N(V_L1_Mes)+1)=1,N(V_L1_Monto),DT$282)*N(V_L1_Tasa)/12,0)*DU$9</f>
        <v>0</v>
      </c>
      <c r="DV280" s="48" t="n">
        <f aca="false">IF((121-N(V_L1_Mes)+1)&gt;=1,IF((121-N(V_L1_Mes)+1)=1,N(V_L1_Monto),DU$282)*N(V_L1_Tasa)/12,0)*DV$9</f>
        <v>0</v>
      </c>
      <c r="DW280" s="48" t="n">
        <f aca="false">IF((122-N(V_L1_Mes)+1)&gt;=1,IF((122-N(V_L1_Mes)+1)=1,N(V_L1_Monto),DV$282)*N(V_L1_Tasa)/12,0)*DW$9</f>
        <v>0</v>
      </c>
      <c r="DX280" s="48" t="n">
        <f aca="false">IF((123-N(V_L1_Mes)+1)&gt;=1,IF((123-N(V_L1_Mes)+1)=1,N(V_L1_Monto),DW$282)*N(V_L1_Tasa)/12,0)*DX$9</f>
        <v>0</v>
      </c>
      <c r="DY280" s="48" t="n">
        <f aca="false">IF((124-N(V_L1_Mes)+1)&gt;=1,IF((124-N(V_L1_Mes)+1)=1,N(V_L1_Monto),DX$282)*N(V_L1_Tasa)/12,0)*DY$9</f>
        <v>0</v>
      </c>
      <c r="DZ280" s="48" t="n">
        <f aca="false">IF((125-N(V_L1_Mes)+1)&gt;=1,IF((125-N(V_L1_Mes)+1)=1,N(V_L1_Monto),DY$282)*N(V_L1_Tasa)/12,0)*DZ$9</f>
        <v>0</v>
      </c>
      <c r="EA280" s="48" t="n">
        <f aca="false">IF((126-N(V_L1_Mes)+1)&gt;=1,IF((126-N(V_L1_Mes)+1)=1,N(V_L1_Monto),DZ$282)*N(V_L1_Tasa)/12,0)*EA$9</f>
        <v>0</v>
      </c>
      <c r="EB280" s="48" t="n">
        <f aca="false">IF((127-N(V_L1_Mes)+1)&gt;=1,IF((127-N(V_L1_Mes)+1)=1,N(V_L1_Monto),EA$282)*N(V_L1_Tasa)/12,0)*EB$9</f>
        <v>0</v>
      </c>
      <c r="EC280" s="48" t="n">
        <f aca="false">IF((128-N(V_L1_Mes)+1)&gt;=1,IF((128-N(V_L1_Mes)+1)=1,N(V_L1_Monto),EB$282)*N(V_L1_Tasa)/12,0)*EC$9</f>
        <v>0</v>
      </c>
      <c r="ED280" s="48" t="n">
        <f aca="false">IF((129-N(V_L1_Mes)+1)&gt;=1,IF((129-N(V_L1_Mes)+1)=1,N(V_L1_Monto),EC$282)*N(V_L1_Tasa)/12,0)*ED$9</f>
        <v>0</v>
      </c>
      <c r="EE280" s="48" t="n">
        <f aca="false">IF((130-N(V_L1_Mes)+1)&gt;=1,IF((130-N(V_L1_Mes)+1)=1,N(V_L1_Monto),ED$282)*N(V_L1_Tasa)/12,0)*EE$9</f>
        <v>0</v>
      </c>
      <c r="EF280" s="48" t="n">
        <f aca="false">IF((131-N(V_L1_Mes)+1)&gt;=1,IF((131-N(V_L1_Mes)+1)=1,N(V_L1_Monto),EE$282)*N(V_L1_Tasa)/12,0)*EF$9</f>
        <v>0</v>
      </c>
      <c r="EG280" s="48" t="n">
        <f aca="false">IF((132-N(V_L1_Mes)+1)&gt;=1,IF((132-N(V_L1_Mes)+1)=1,N(V_L1_Monto),EF$282)*N(V_L1_Tasa)/12,0)*EG$9</f>
        <v>0</v>
      </c>
      <c r="EH280" s="48" t="n">
        <f aca="false">IF((133-N(V_L1_Mes)+1)&gt;=1,IF((133-N(V_L1_Mes)+1)=1,N(V_L1_Monto),EG$282)*N(V_L1_Tasa)/12,0)*EH$9</f>
        <v>0</v>
      </c>
      <c r="EI280" s="48" t="n">
        <f aca="false">IF((134-N(V_L1_Mes)+1)&gt;=1,IF((134-N(V_L1_Mes)+1)=1,N(V_L1_Monto),EH$282)*N(V_L1_Tasa)/12,0)*EI$9</f>
        <v>0</v>
      </c>
      <c r="EJ280" s="48" t="n">
        <f aca="false">IF((135-N(V_L1_Mes)+1)&gt;=1,IF((135-N(V_L1_Mes)+1)=1,N(V_L1_Monto),EI$282)*N(V_L1_Tasa)/12,0)*EJ$9</f>
        <v>0</v>
      </c>
      <c r="EK280" s="48" t="n">
        <f aca="false">IF((136-N(V_L1_Mes)+1)&gt;=1,IF((136-N(V_L1_Mes)+1)=1,N(V_L1_Monto),EJ$282)*N(V_L1_Tasa)/12,0)*EK$9</f>
        <v>0</v>
      </c>
      <c r="EL280" s="48" t="n">
        <f aca="false">IF((137-N(V_L1_Mes)+1)&gt;=1,IF((137-N(V_L1_Mes)+1)=1,N(V_L1_Monto),EK$282)*N(V_L1_Tasa)/12,0)*EL$9</f>
        <v>0</v>
      </c>
      <c r="EM280" s="48" t="n">
        <f aca="false">IF((138-N(V_L1_Mes)+1)&gt;=1,IF((138-N(V_L1_Mes)+1)=1,N(V_L1_Monto),EL$282)*N(V_L1_Tasa)/12,0)*EM$9</f>
        <v>0</v>
      </c>
      <c r="EN280" s="48" t="n">
        <f aca="false">IF((139-N(V_L1_Mes)+1)&gt;=1,IF((139-N(V_L1_Mes)+1)=1,N(V_L1_Monto),EM$282)*N(V_L1_Tasa)/12,0)*EN$9</f>
        <v>0</v>
      </c>
      <c r="EO280" s="48" t="n">
        <f aca="false">IF((140-N(V_L1_Mes)+1)&gt;=1,IF((140-N(V_L1_Mes)+1)=1,N(V_L1_Monto),EN$282)*N(V_L1_Tasa)/12,0)*EO$9</f>
        <v>0</v>
      </c>
      <c r="EP280" s="48" t="n">
        <f aca="false">IF((141-N(V_L1_Mes)+1)&gt;=1,IF((141-N(V_L1_Mes)+1)=1,N(V_L1_Monto),EO$282)*N(V_L1_Tasa)/12,0)*EP$9</f>
        <v>0</v>
      </c>
      <c r="EQ280" s="48" t="n">
        <f aca="false">IF((142-N(V_L1_Mes)+1)&gt;=1,IF((142-N(V_L1_Mes)+1)=1,N(V_L1_Monto),EP$282)*N(V_L1_Tasa)/12,0)*EQ$9</f>
        <v>0</v>
      </c>
      <c r="ER280" s="48" t="n">
        <f aca="false">IF((143-N(V_L1_Mes)+1)&gt;=1,IF((143-N(V_L1_Mes)+1)=1,N(V_L1_Monto),EQ$282)*N(V_L1_Tasa)/12,0)*ER$9</f>
        <v>0</v>
      </c>
      <c r="ES280" s="48" t="n">
        <f aca="false">IF((144-N(V_L1_Mes)+1)&gt;=1,IF((144-N(V_L1_Mes)+1)=1,N(V_L1_Monto),ER$282)*N(V_L1_Tasa)/12,0)*ES$9</f>
        <v>0</v>
      </c>
    </row>
    <row r="281" customFormat="false" ht="15" hidden="false" customHeight="false" outlineLevel="0" collapsed="false">
      <c r="A281" s="11" t="s">
        <v>1399</v>
      </c>
      <c r="B281" s="15" t="s">
        <v>1215</v>
      </c>
      <c r="C281" s="15" t="s">
        <v>508</v>
      </c>
      <c r="E281" s="54" t="n">
        <f aca="false">SUM(F281:ES281)</f>
        <v>2791587</v>
      </c>
      <c r="F281" s="48" t="n">
        <f aca="false">IF(AND((1-N(V_L1_Mes)+1)&gt;N(V_L1_Gracia),(1-N(V_L1_Mes)+1)&lt;=N(V_L1_Gracia)+N(V_L1_Cuotas),N(V_L1_Cuotas)&gt;0),IF((1-N(V_L1_Mes)+1)=N(V_L1_Gracia)+N(V_L1_Cuotas),IF((1-N(V_L1_Mes)+1)=1,N(V_L1_Monto),0),PMT(N(V_L1_Tasa)/12,N(V_L1_Cuotas),-N(V_L1_Monto))-F$280),0)*F$9</f>
        <v>0</v>
      </c>
      <c r="G281" s="48" t="n">
        <f aca="false">IF(AND((2-N(V_L1_Mes)+1)&gt;N(V_L1_Gracia),(2-N(V_L1_Mes)+1)&lt;=N(V_L1_Gracia)+N(V_L1_Cuotas),N(V_L1_Cuotas)&gt;0),IF((2-N(V_L1_Mes)+1)=N(V_L1_Gracia)+N(V_L1_Cuotas),IF((2-N(V_L1_Mes)+1)=1,N(V_L1_Monto),F$282),PMT(N(V_L1_Tasa)/12,N(V_L1_Cuotas),-N(V_L1_Monto))-G$280),0)*G$9</f>
        <v>0</v>
      </c>
      <c r="H281" s="48" t="n">
        <f aca="false">IF(AND((3-N(V_L1_Mes)+1)&gt;N(V_L1_Gracia),(3-N(V_L1_Mes)+1)&lt;=N(V_L1_Gracia)+N(V_L1_Cuotas),N(V_L1_Cuotas)&gt;0),IF((3-N(V_L1_Mes)+1)=N(V_L1_Gracia)+N(V_L1_Cuotas),IF((3-N(V_L1_Mes)+1)=1,N(V_L1_Monto),G$282),PMT(N(V_L1_Tasa)/12,N(V_L1_Cuotas),-N(V_L1_Monto))-H$280),0)*H$9</f>
        <v>0</v>
      </c>
      <c r="I281" s="48" t="n">
        <f aca="false">IF(AND((4-N(V_L1_Mes)+1)&gt;N(V_L1_Gracia),(4-N(V_L1_Mes)+1)&lt;=N(V_L1_Gracia)+N(V_L1_Cuotas),N(V_L1_Cuotas)&gt;0),IF((4-N(V_L1_Mes)+1)=N(V_L1_Gracia)+N(V_L1_Cuotas),IF((4-N(V_L1_Mes)+1)=1,N(V_L1_Monto),H$282),PMT(N(V_L1_Tasa)/12,N(V_L1_Cuotas),-N(V_L1_Monto))-I$280),0)*I$9</f>
        <v>0</v>
      </c>
      <c r="J281" s="48" t="n">
        <f aca="false">IF(AND((5-N(V_L1_Mes)+1)&gt;N(V_L1_Gracia),(5-N(V_L1_Mes)+1)&lt;=N(V_L1_Gracia)+N(V_L1_Cuotas),N(V_L1_Cuotas)&gt;0),IF((5-N(V_L1_Mes)+1)=N(V_L1_Gracia)+N(V_L1_Cuotas),IF((5-N(V_L1_Mes)+1)=1,N(V_L1_Monto),I$282),PMT(N(V_L1_Tasa)/12,N(V_L1_Cuotas),-N(V_L1_Monto))-J$280),0)*J$9</f>
        <v>0</v>
      </c>
      <c r="K281" s="48" t="n">
        <f aca="false">IF(AND((6-N(V_L1_Mes)+1)&gt;N(V_L1_Gracia),(6-N(V_L1_Mes)+1)&lt;=N(V_L1_Gracia)+N(V_L1_Cuotas),N(V_L1_Cuotas)&gt;0),IF((6-N(V_L1_Mes)+1)=N(V_L1_Gracia)+N(V_L1_Cuotas),IF((6-N(V_L1_Mes)+1)=1,N(V_L1_Monto),J$282),PMT(N(V_L1_Tasa)/12,N(V_L1_Cuotas),-N(V_L1_Monto))-K$280),0)*K$9</f>
        <v>0</v>
      </c>
      <c r="L281" s="48" t="n">
        <f aca="false">IF(AND((7-N(V_L1_Mes)+1)&gt;N(V_L1_Gracia),(7-N(V_L1_Mes)+1)&lt;=N(V_L1_Gracia)+N(V_L1_Cuotas),N(V_L1_Cuotas)&gt;0),IF((7-N(V_L1_Mes)+1)=N(V_L1_Gracia)+N(V_L1_Cuotas),IF((7-N(V_L1_Mes)+1)=1,N(V_L1_Monto),K$282),PMT(N(V_L1_Tasa)/12,N(V_L1_Cuotas),-N(V_L1_Monto))-L$280),0)*L$9</f>
        <v>42123.3040946878</v>
      </c>
      <c r="M281" s="48" t="n">
        <f aca="false">IF(AND((8-N(V_L1_Mes)+1)&gt;N(V_L1_Gracia),(8-N(V_L1_Mes)+1)&lt;=N(V_L1_Gracia)+N(V_L1_Cuotas),N(V_L1_Cuotas)&gt;0),IF((8-N(V_L1_Mes)+1)=N(V_L1_Gracia)+N(V_L1_Cuotas),IF((8-N(V_L1_Mes)+1)=1,N(V_L1_Monto),L$282),PMT(N(V_L1_Tasa)/12,N(V_L1_Cuotas),-N(V_L1_Monto))-M$280),0)*M$9</f>
        <v>42439.2288753979</v>
      </c>
      <c r="N281" s="48" t="n">
        <f aca="false">IF(AND((9-N(V_L1_Mes)+1)&gt;N(V_L1_Gracia),(9-N(V_L1_Mes)+1)&lt;=N(V_L1_Gracia)+N(V_L1_Cuotas),N(V_L1_Cuotas)&gt;0),IF((9-N(V_L1_Mes)+1)=N(V_L1_Gracia)+N(V_L1_Cuotas),IF((9-N(V_L1_Mes)+1)=1,N(V_L1_Monto),M$282),PMT(N(V_L1_Tasa)/12,N(V_L1_Cuotas),-N(V_L1_Monto))-N$280),0)*N$9</f>
        <v>42757.5230919634</v>
      </c>
      <c r="O281" s="48" t="n">
        <f aca="false">IF(AND((10-N(V_L1_Mes)+1)&gt;N(V_L1_Gracia),(10-N(V_L1_Mes)+1)&lt;=N(V_L1_Gracia)+N(V_L1_Cuotas),N(V_L1_Cuotas)&gt;0),IF((10-N(V_L1_Mes)+1)=N(V_L1_Gracia)+N(V_L1_Cuotas),IF((10-N(V_L1_Mes)+1)=1,N(V_L1_Monto),N$282),PMT(N(V_L1_Tasa)/12,N(V_L1_Cuotas),-N(V_L1_Monto))-O$280),0)*O$9</f>
        <v>43078.2045151531</v>
      </c>
      <c r="P281" s="48" t="n">
        <f aca="false">IF(AND((11-N(V_L1_Mes)+1)&gt;N(V_L1_Gracia),(11-N(V_L1_Mes)+1)&lt;=N(V_L1_Gracia)+N(V_L1_Cuotas),N(V_L1_Cuotas)&gt;0),IF((11-N(V_L1_Mes)+1)=N(V_L1_Gracia)+N(V_L1_Cuotas),IF((11-N(V_L1_Mes)+1)=1,N(V_L1_Monto),O$282),PMT(N(V_L1_Tasa)/12,N(V_L1_Cuotas),-N(V_L1_Monto))-P$280),0)*P$9</f>
        <v>43401.2910490168</v>
      </c>
      <c r="Q281" s="48" t="n">
        <f aca="false">IF(AND((12-N(V_L1_Mes)+1)&gt;N(V_L1_Gracia),(12-N(V_L1_Mes)+1)&lt;=N(V_L1_Gracia)+N(V_L1_Cuotas),N(V_L1_Cuotas)&gt;0),IF((12-N(V_L1_Mes)+1)=N(V_L1_Gracia)+N(V_L1_Cuotas),IF((12-N(V_L1_Mes)+1)=1,N(V_L1_Monto),P$282),PMT(N(V_L1_Tasa)/12,N(V_L1_Cuotas),-N(V_L1_Monto))-Q$280),0)*Q$9</f>
        <v>43726.8007318844</v>
      </c>
      <c r="R281" s="48" t="n">
        <f aca="false">IF(AND((13-N(V_L1_Mes)+1)&gt;N(V_L1_Gracia),(13-N(V_L1_Mes)+1)&lt;=N(V_L1_Gracia)+N(V_L1_Cuotas),N(V_L1_Cuotas)&gt;0),IF((13-N(V_L1_Mes)+1)=N(V_L1_Gracia)+N(V_L1_Cuotas),IF((13-N(V_L1_Mes)+1)=1,N(V_L1_Monto),Q$282),PMT(N(V_L1_Tasa)/12,N(V_L1_Cuotas),-N(V_L1_Monto))-R$280),0)*R$9</f>
        <v>44054.7517373735</v>
      </c>
      <c r="S281" s="48" t="n">
        <f aca="false">IF(AND((14-N(V_L1_Mes)+1)&gt;N(V_L1_Gracia),(14-N(V_L1_Mes)+1)&lt;=N(V_L1_Gracia)+N(V_L1_Cuotas),N(V_L1_Cuotas)&gt;0),IF((14-N(V_L1_Mes)+1)=N(V_L1_Gracia)+N(V_L1_Cuotas),IF((14-N(V_L1_Mes)+1)=1,N(V_L1_Monto),R$282),PMT(N(V_L1_Tasa)/12,N(V_L1_Cuotas),-N(V_L1_Monto))-S$280),0)*S$9</f>
        <v>44385.1623754038</v>
      </c>
      <c r="T281" s="48" t="n">
        <f aca="false">IF(AND((15-N(V_L1_Mes)+1)&gt;N(V_L1_Gracia),(15-N(V_L1_Mes)+1)&lt;=N(V_L1_Gracia)+N(V_L1_Cuotas),N(V_L1_Cuotas)&gt;0),IF((15-N(V_L1_Mes)+1)=N(V_L1_Gracia)+N(V_L1_Cuotas),IF((15-N(V_L1_Mes)+1)=1,N(V_L1_Monto),S$282),PMT(N(V_L1_Tasa)/12,N(V_L1_Cuotas),-N(V_L1_Monto))-T$280),0)*T$9</f>
        <v>44718.0510932194</v>
      </c>
      <c r="U281" s="48" t="n">
        <f aca="false">IF(AND((16-N(V_L1_Mes)+1)&gt;N(V_L1_Gracia),(16-N(V_L1_Mes)+1)&lt;=N(V_L1_Gracia)+N(V_L1_Cuotas),N(V_L1_Cuotas)&gt;0),IF((16-N(V_L1_Mes)+1)=N(V_L1_Gracia)+N(V_L1_Cuotas),IF((16-N(V_L1_Mes)+1)=1,N(V_L1_Monto),T$282),PMT(N(V_L1_Tasa)/12,N(V_L1_Cuotas),-N(V_L1_Monto))-U$280),0)*U$9</f>
        <v>45053.4364764185</v>
      </c>
      <c r="V281" s="48" t="n">
        <f aca="false">IF(AND((17-N(V_L1_Mes)+1)&gt;N(V_L1_Gracia),(17-N(V_L1_Mes)+1)&lt;=N(V_L1_Gracia)+N(V_L1_Cuotas),N(V_L1_Cuotas)&gt;0),IF((17-N(V_L1_Mes)+1)=N(V_L1_Gracia)+N(V_L1_Cuotas),IF((17-N(V_L1_Mes)+1)=1,N(V_L1_Monto),U$282),PMT(N(V_L1_Tasa)/12,N(V_L1_Cuotas),-N(V_L1_Monto))-V$280),0)*V$9</f>
        <v>45391.3372499916</v>
      </c>
      <c r="W281" s="48" t="n">
        <f aca="false">IF(AND((18-N(V_L1_Mes)+1)&gt;N(V_L1_Gracia),(18-N(V_L1_Mes)+1)&lt;=N(V_L1_Gracia)+N(V_L1_Cuotas),N(V_L1_Cuotas)&gt;0),IF((18-N(V_L1_Mes)+1)=N(V_L1_Gracia)+N(V_L1_Cuotas),IF((18-N(V_L1_Mes)+1)=1,N(V_L1_Monto),V$282),PMT(N(V_L1_Tasa)/12,N(V_L1_Cuotas),-N(V_L1_Monto))-W$280),0)*W$9</f>
        <v>45731.7722793666</v>
      </c>
      <c r="X281" s="48" t="n">
        <f aca="false">IF(AND((19-N(V_L1_Mes)+1)&gt;N(V_L1_Gracia),(19-N(V_L1_Mes)+1)&lt;=N(V_L1_Gracia)+N(V_L1_Cuotas),N(V_L1_Cuotas)&gt;0),IF((19-N(V_L1_Mes)+1)=N(V_L1_Gracia)+N(V_L1_Cuotas),IF((19-N(V_L1_Mes)+1)=1,N(V_L1_Monto),W$282),PMT(N(V_L1_Tasa)/12,N(V_L1_Cuotas),-N(V_L1_Monto))-X$280),0)*X$9</f>
        <v>46074.7605714618</v>
      </c>
      <c r="Y281" s="48" t="n">
        <f aca="false">IF(AND((20-N(V_L1_Mes)+1)&gt;N(V_L1_Gracia),(20-N(V_L1_Mes)+1)&lt;=N(V_L1_Gracia)+N(V_L1_Cuotas),N(V_L1_Cuotas)&gt;0),IF((20-N(V_L1_Mes)+1)=N(V_L1_Gracia)+N(V_L1_Cuotas),IF((20-N(V_L1_Mes)+1)=1,N(V_L1_Monto),X$282),PMT(N(V_L1_Tasa)/12,N(V_L1_Cuotas),-N(V_L1_Monto))-Y$280),0)*Y$9</f>
        <v>46420.3212757478</v>
      </c>
      <c r="Z281" s="48" t="n">
        <f aca="false">IF(AND((21-N(V_L1_Mes)+1)&gt;N(V_L1_Gracia),(21-N(V_L1_Mes)+1)&lt;=N(V_L1_Gracia)+N(V_L1_Cuotas),N(V_L1_Cuotas)&gt;0),IF((21-N(V_L1_Mes)+1)=N(V_L1_Gracia)+N(V_L1_Cuotas),IF((21-N(V_L1_Mes)+1)=1,N(V_L1_Monto),Y$282),PMT(N(V_L1_Tasa)/12,N(V_L1_Cuotas),-N(V_L1_Monto))-Z$280),0)*Z$9</f>
        <v>46768.4736853159</v>
      </c>
      <c r="AA281" s="48" t="n">
        <f aca="false">IF(AND((22-N(V_L1_Mes)+1)&gt;N(V_L1_Gracia),(22-N(V_L1_Mes)+1)&lt;=N(V_L1_Gracia)+N(V_L1_Cuotas),N(V_L1_Cuotas)&gt;0),IF((22-N(V_L1_Mes)+1)=N(V_L1_Gracia)+N(V_L1_Cuotas),IF((22-N(V_L1_Mes)+1)=1,N(V_L1_Monto),Z$282),PMT(N(V_L1_Tasa)/12,N(V_L1_Cuotas),-N(V_L1_Monto))-AA$280),0)*AA$9</f>
        <v>47119.2372379558</v>
      </c>
      <c r="AB281" s="48" t="n">
        <f aca="false">IF(AND((23-N(V_L1_Mes)+1)&gt;N(V_L1_Gracia),(23-N(V_L1_Mes)+1)&lt;=N(V_L1_Gracia)+N(V_L1_Cuotas),N(V_L1_Cuotas)&gt;0),IF((23-N(V_L1_Mes)+1)=N(V_L1_Gracia)+N(V_L1_Cuotas),IF((23-N(V_L1_Mes)+1)=1,N(V_L1_Monto),AA$282),PMT(N(V_L1_Tasa)/12,N(V_L1_Cuotas),-N(V_L1_Monto))-AB$280),0)*AB$9</f>
        <v>47472.6315172404</v>
      </c>
      <c r="AC281" s="48" t="n">
        <f aca="false">IF(AND((24-N(V_L1_Mes)+1)&gt;N(V_L1_Gracia),(24-N(V_L1_Mes)+1)&lt;=N(V_L1_Gracia)+N(V_L1_Cuotas),N(V_L1_Cuotas)&gt;0),IF((24-N(V_L1_Mes)+1)=N(V_L1_Gracia)+N(V_L1_Cuotas),IF((24-N(V_L1_Mes)+1)=1,N(V_L1_Monto),AB$282),PMT(N(V_L1_Tasa)/12,N(V_L1_Cuotas),-N(V_L1_Monto))-AC$280),0)*AC$9</f>
        <v>47828.6762536197</v>
      </c>
      <c r="AD281" s="48" t="n">
        <f aca="false">IF(AND((25-N(V_L1_Mes)+1)&gt;N(V_L1_Gracia),(25-N(V_L1_Mes)+1)&lt;=N(V_L1_Gracia)+N(V_L1_Cuotas),N(V_L1_Cuotas)&gt;0),IF((25-N(V_L1_Mes)+1)=N(V_L1_Gracia)+N(V_L1_Cuotas),IF((25-N(V_L1_Mes)+1)=1,N(V_L1_Monto),AC$282),PMT(N(V_L1_Tasa)/12,N(V_L1_Cuotas),-N(V_L1_Monto))-AD$280),0)*AD$9</f>
        <v>48187.3913255219</v>
      </c>
      <c r="AE281" s="48" t="n">
        <f aca="false">IF(AND((26-N(V_L1_Mes)+1)&gt;N(V_L1_Gracia),(26-N(V_L1_Mes)+1)&lt;=N(V_L1_Gracia)+N(V_L1_Cuotas),N(V_L1_Cuotas)&gt;0),IF((26-N(V_L1_Mes)+1)=N(V_L1_Gracia)+N(V_L1_Cuotas),IF((26-N(V_L1_Mes)+1)=1,N(V_L1_Monto),AD$282),PMT(N(V_L1_Tasa)/12,N(V_L1_Cuotas),-N(V_L1_Monto))-AE$280),0)*AE$9</f>
        <v>48548.7967604633</v>
      </c>
      <c r="AF281" s="48" t="n">
        <f aca="false">IF(AND((27-N(V_L1_Mes)+1)&gt;N(V_L1_Gracia),(27-N(V_L1_Mes)+1)&lt;=N(V_L1_Gracia)+N(V_L1_Cuotas),N(V_L1_Cuotas)&gt;0),IF((27-N(V_L1_Mes)+1)=N(V_L1_Gracia)+N(V_L1_Cuotas),IF((27-N(V_L1_Mes)+1)=1,N(V_L1_Monto),AE$282),PMT(N(V_L1_Tasa)/12,N(V_L1_Cuotas),-N(V_L1_Monto))-AF$280),0)*AF$9</f>
        <v>48912.9127361668</v>
      </c>
      <c r="AG281" s="48" t="n">
        <f aca="false">IF(AND((28-N(V_L1_Mes)+1)&gt;N(V_L1_Gracia),(28-N(V_L1_Mes)+1)&lt;=N(V_L1_Gracia)+N(V_L1_Cuotas),N(V_L1_Cuotas)&gt;0),IF((28-N(V_L1_Mes)+1)=N(V_L1_Gracia)+N(V_L1_Cuotas),IF((28-N(V_L1_Mes)+1)=1,N(V_L1_Monto),AF$282),PMT(N(V_L1_Tasa)/12,N(V_L1_Cuotas),-N(V_L1_Monto))-AG$280),0)*AG$9</f>
        <v>49279.759581688</v>
      </c>
      <c r="AH281" s="48" t="n">
        <f aca="false">IF(AND((29-N(V_L1_Mes)+1)&gt;N(V_L1_Gracia),(29-N(V_L1_Mes)+1)&lt;=N(V_L1_Gracia)+N(V_L1_Cuotas),N(V_L1_Cuotas)&gt;0),IF((29-N(V_L1_Mes)+1)=N(V_L1_Gracia)+N(V_L1_Cuotas),IF((29-N(V_L1_Mes)+1)=1,N(V_L1_Monto),AG$282),PMT(N(V_L1_Tasa)/12,N(V_L1_Cuotas),-N(V_L1_Monto))-AH$280),0)*AH$9</f>
        <v>49649.3577785507</v>
      </c>
      <c r="AI281" s="48" t="n">
        <f aca="false">IF(AND((30-N(V_L1_Mes)+1)&gt;N(V_L1_Gracia),(30-N(V_L1_Mes)+1)&lt;=N(V_L1_Gracia)+N(V_L1_Cuotas),N(V_L1_Cuotas)&gt;0),IF((30-N(V_L1_Mes)+1)=N(V_L1_Gracia)+N(V_L1_Cuotas),IF((30-N(V_L1_Mes)+1)=1,N(V_L1_Monto),AH$282),PMT(N(V_L1_Tasa)/12,N(V_L1_Cuotas),-N(V_L1_Monto))-AI$280),0)*AI$9</f>
        <v>50021.7279618898</v>
      </c>
      <c r="AJ281" s="48" t="n">
        <f aca="false">IF(AND((31-N(V_L1_Mes)+1)&gt;N(V_L1_Gracia),(31-N(V_L1_Mes)+1)&lt;=N(V_L1_Gracia)+N(V_L1_Cuotas),N(V_L1_Cuotas)&gt;0),IF((31-N(V_L1_Mes)+1)=N(V_L1_Gracia)+N(V_L1_Cuotas),IF((31-N(V_L1_Mes)+1)=1,N(V_L1_Monto),AI$282),PMT(N(V_L1_Tasa)/12,N(V_L1_Cuotas),-N(V_L1_Monto))-AJ$280),0)*AJ$9</f>
        <v>50396.890921604</v>
      </c>
      <c r="AK281" s="48" t="n">
        <f aca="false">IF(AND((32-N(V_L1_Mes)+1)&gt;N(V_L1_Gracia),(32-N(V_L1_Mes)+1)&lt;=N(V_L1_Gracia)+N(V_L1_Cuotas),N(V_L1_Cuotas)&gt;0),IF((32-N(V_L1_Mes)+1)=N(V_L1_Gracia)+N(V_L1_Cuotas),IF((32-N(V_L1_Mes)+1)=1,N(V_L1_Monto),AJ$282),PMT(N(V_L1_Tasa)/12,N(V_L1_Cuotas),-N(V_L1_Monto))-AK$280),0)*AK$9</f>
        <v>50774.867603516</v>
      </c>
      <c r="AL281" s="48" t="n">
        <f aca="false">IF(AND((33-N(V_L1_Mes)+1)&gt;N(V_L1_Gracia),(33-N(V_L1_Mes)+1)&lt;=N(V_L1_Gracia)+N(V_L1_Cuotas),N(V_L1_Cuotas)&gt;0),IF((33-N(V_L1_Mes)+1)=N(V_L1_Gracia)+N(V_L1_Cuotas),IF((33-N(V_L1_Mes)+1)=1,N(V_L1_Monto),AK$282),PMT(N(V_L1_Tasa)/12,N(V_L1_Cuotas),-N(V_L1_Monto))-AL$280),0)*AL$9</f>
        <v>51155.6791105424</v>
      </c>
      <c r="AM281" s="48" t="n">
        <f aca="false">IF(AND((34-N(V_L1_Mes)+1)&gt;N(V_L1_Gracia),(34-N(V_L1_Mes)+1)&lt;=N(V_L1_Gracia)+N(V_L1_Cuotas),N(V_L1_Cuotas)&gt;0),IF((34-N(V_L1_Mes)+1)=N(V_L1_Gracia)+N(V_L1_Cuotas),IF((34-N(V_L1_Mes)+1)=1,N(V_L1_Monto),AL$282),PMT(N(V_L1_Tasa)/12,N(V_L1_Cuotas),-N(V_L1_Monto))-AM$280),0)*AM$9</f>
        <v>51539.3467038715</v>
      </c>
      <c r="AN281" s="48" t="n">
        <f aca="false">IF(AND((35-N(V_L1_Mes)+1)&gt;N(V_L1_Gracia),(35-N(V_L1_Mes)+1)&lt;=N(V_L1_Gracia)+N(V_L1_Cuotas),N(V_L1_Cuotas)&gt;0),IF((35-N(V_L1_Mes)+1)=N(V_L1_Gracia)+N(V_L1_Cuotas),IF((35-N(V_L1_Mes)+1)=1,N(V_L1_Monto),AM$282),PMT(N(V_L1_Tasa)/12,N(V_L1_Cuotas),-N(V_L1_Monto))-AN$280),0)*AN$9</f>
        <v>51925.8918041505</v>
      </c>
      <c r="AO281" s="48" t="n">
        <f aca="false">IF(AND((36-N(V_L1_Mes)+1)&gt;N(V_L1_Gracia),(36-N(V_L1_Mes)+1)&lt;=N(V_L1_Gracia)+N(V_L1_Cuotas),N(V_L1_Cuotas)&gt;0),IF((36-N(V_L1_Mes)+1)=N(V_L1_Gracia)+N(V_L1_Cuotas),IF((36-N(V_L1_Mes)+1)=1,N(V_L1_Monto),AN$282),PMT(N(V_L1_Tasa)/12,N(V_L1_Cuotas),-N(V_L1_Monto))-AO$280),0)*AO$9</f>
        <v>52315.3359926816</v>
      </c>
      <c r="AP281" s="48" t="n">
        <f aca="false">IF(AND((37-N(V_L1_Mes)+1)&gt;N(V_L1_Gracia),(37-N(V_L1_Mes)+1)&lt;=N(V_L1_Gracia)+N(V_L1_Cuotas),N(V_L1_Cuotas)&gt;0),IF((37-N(V_L1_Mes)+1)=N(V_L1_Gracia)+N(V_L1_Cuotas),IF((37-N(V_L1_Mes)+1)=1,N(V_L1_Monto),AO$282),PMT(N(V_L1_Tasa)/12,N(V_L1_Cuotas),-N(V_L1_Monto))-AP$280),0)*AP$9</f>
        <v>52707.7010126267</v>
      </c>
      <c r="AQ281" s="48" t="n">
        <f aca="false">IF(AND((38-N(V_L1_Mes)+1)&gt;N(V_L1_Gracia),(38-N(V_L1_Mes)+1)&lt;=N(V_L1_Gracia)+N(V_L1_Cuotas),N(V_L1_Cuotas)&gt;0),IF((38-N(V_L1_Mes)+1)=N(V_L1_Gracia)+N(V_L1_Cuotas),IF((38-N(V_L1_Mes)+1)=1,N(V_L1_Monto),AP$282),PMT(N(V_L1_Tasa)/12,N(V_L1_Cuotas),-N(V_L1_Monto))-AQ$280),0)*AQ$9</f>
        <v>53103.0087702214</v>
      </c>
      <c r="AR281" s="48" t="n">
        <f aca="false">IF(AND((39-N(V_L1_Mes)+1)&gt;N(V_L1_Gracia),(39-N(V_L1_Mes)+1)&lt;=N(V_L1_Gracia)+N(V_L1_Cuotas),N(V_L1_Cuotas)&gt;0),IF((39-N(V_L1_Mes)+1)=N(V_L1_Gracia)+N(V_L1_Cuotas),IF((39-N(V_L1_Mes)+1)=1,N(V_L1_Monto),AQ$282),PMT(N(V_L1_Tasa)/12,N(V_L1_Cuotas),-N(V_L1_Monto))-AR$280),0)*AR$9</f>
        <v>53501.2813359981</v>
      </c>
      <c r="AS281" s="48" t="n">
        <f aca="false">IF(AND((40-N(V_L1_Mes)+1)&gt;N(V_L1_Gracia),(40-N(V_L1_Mes)+1)&lt;=N(V_L1_Gracia)+N(V_L1_Cuotas),N(V_L1_Cuotas)&gt;0),IF((40-N(V_L1_Mes)+1)=N(V_L1_Gracia)+N(V_L1_Cuotas),IF((40-N(V_L1_Mes)+1)=1,N(V_L1_Monto),AR$282),PMT(N(V_L1_Tasa)/12,N(V_L1_Cuotas),-N(V_L1_Monto))-AS$280),0)*AS$9</f>
        <v>53902.5409460181</v>
      </c>
      <c r="AT281" s="48" t="n">
        <f aca="false">IF(AND((41-N(V_L1_Mes)+1)&gt;N(V_L1_Gracia),(41-N(V_L1_Mes)+1)&lt;=N(V_L1_Gracia)+N(V_L1_Cuotas),N(V_L1_Cuotas)&gt;0),IF((41-N(V_L1_Mes)+1)=N(V_L1_Gracia)+N(V_L1_Cuotas),IF((41-N(V_L1_Mes)+1)=1,N(V_L1_Monto),AS$282),PMT(N(V_L1_Tasa)/12,N(V_L1_Cuotas),-N(V_L1_Monto))-AT$280),0)*AT$9</f>
        <v>54306.8100031132</v>
      </c>
      <c r="AU281" s="48" t="n">
        <f aca="false">IF(AND((42-N(V_L1_Mes)+1)&gt;N(V_L1_Gracia),(42-N(V_L1_Mes)+1)&lt;=N(V_L1_Gracia)+N(V_L1_Cuotas),N(V_L1_Cuotas)&gt;0),IF((42-N(V_L1_Mes)+1)=N(V_L1_Gracia)+N(V_L1_Cuotas),IF((42-N(V_L1_Mes)+1)=1,N(V_L1_Monto),AT$282),PMT(N(V_L1_Tasa)/12,N(V_L1_Cuotas),-N(V_L1_Monto))-AU$280),0)*AU$9</f>
        <v>54714.1110781366</v>
      </c>
      <c r="AV281" s="48" t="n">
        <f aca="false">IF(AND((43-N(V_L1_Mes)+1)&gt;N(V_L1_Gracia),(43-N(V_L1_Mes)+1)&lt;=N(V_L1_Gracia)+N(V_L1_Cuotas),N(V_L1_Cuotas)&gt;0),IF((43-N(V_L1_Mes)+1)=N(V_L1_Gracia)+N(V_L1_Cuotas),IF((43-N(V_L1_Mes)+1)=1,N(V_L1_Monto),AU$282),PMT(N(V_L1_Tasa)/12,N(V_L1_Cuotas),-N(V_L1_Monto))-AV$280),0)*AV$9</f>
        <v>55124.4669112226</v>
      </c>
      <c r="AW281" s="48" t="n">
        <f aca="false">IF(AND((44-N(V_L1_Mes)+1)&gt;N(V_L1_Gracia),(44-N(V_L1_Mes)+1)&lt;=N(V_L1_Gracia)+N(V_L1_Cuotas),N(V_L1_Cuotas)&gt;0),IF((44-N(V_L1_Mes)+1)=N(V_L1_Gracia)+N(V_L1_Cuotas),IF((44-N(V_L1_Mes)+1)=1,N(V_L1_Monto),AV$282),PMT(N(V_L1_Tasa)/12,N(V_L1_Cuotas),-N(V_L1_Monto))-AW$280),0)*AW$9</f>
        <v>55537.9004130568</v>
      </c>
      <c r="AX281" s="48" t="n">
        <f aca="false">IF(AND((45-N(V_L1_Mes)+1)&gt;N(V_L1_Gracia),(45-N(V_L1_Mes)+1)&lt;=N(V_L1_Gracia)+N(V_L1_Cuotas),N(V_L1_Cuotas)&gt;0),IF((45-N(V_L1_Mes)+1)=N(V_L1_Gracia)+N(V_L1_Cuotas),IF((45-N(V_L1_Mes)+1)=1,N(V_L1_Monto),AW$282),PMT(N(V_L1_Tasa)/12,N(V_L1_Cuotas),-N(V_L1_Monto))-AX$280),0)*AX$9</f>
        <v>55954.4346661547</v>
      </c>
      <c r="AY281" s="48" t="n">
        <f aca="false">IF(AND((46-N(V_L1_Mes)+1)&gt;N(V_L1_Gracia),(46-N(V_L1_Mes)+1)&lt;=N(V_L1_Gracia)+N(V_L1_Cuotas),N(V_L1_Cuotas)&gt;0),IF((46-N(V_L1_Mes)+1)=N(V_L1_Gracia)+N(V_L1_Cuotas),IF((46-N(V_L1_Mes)+1)=1,N(V_L1_Monto),AX$282),PMT(N(V_L1_Tasa)/12,N(V_L1_Cuotas),-N(V_L1_Monto))-AY$280),0)*AY$9</f>
        <v>56374.0929261509</v>
      </c>
      <c r="AZ281" s="48" t="n">
        <f aca="false">IF(AND((47-N(V_L1_Mes)+1)&gt;N(V_L1_Gracia),(47-N(V_L1_Mes)+1)&lt;=N(V_L1_Gracia)+N(V_L1_Cuotas),N(V_L1_Cuotas)&gt;0),IF((47-N(V_L1_Mes)+1)=N(V_L1_Gracia)+N(V_L1_Cuotas),IF((47-N(V_L1_Mes)+1)=1,N(V_L1_Monto),AY$282),PMT(N(V_L1_Tasa)/12,N(V_L1_Cuotas),-N(V_L1_Monto))-AZ$280),0)*AZ$9</f>
        <v>56796.898623097</v>
      </c>
      <c r="BA281" s="48" t="n">
        <f aca="false">IF(AND((48-N(V_L1_Mes)+1)&gt;N(V_L1_Gracia),(48-N(V_L1_Mes)+1)&lt;=N(V_L1_Gracia)+N(V_L1_Cuotas),N(V_L1_Cuotas)&gt;0),IF((48-N(V_L1_Mes)+1)=N(V_L1_Gracia)+N(V_L1_Cuotas),IF((48-N(V_L1_Mes)+1)=1,N(V_L1_Monto),AZ$282),PMT(N(V_L1_Tasa)/12,N(V_L1_Cuotas),-N(V_L1_Monto))-BA$280),0)*BA$9</f>
        <v>57222.8753627702</v>
      </c>
      <c r="BB281" s="48" t="n">
        <f aca="false">IF(AND((49-N(V_L1_Mes)+1)&gt;N(V_L1_Gracia),(49-N(V_L1_Mes)+1)&lt;=N(V_L1_Gracia)+N(V_L1_Cuotas),N(V_L1_Cuotas)&gt;0),IF((49-N(V_L1_Mes)+1)=N(V_L1_Gracia)+N(V_L1_Cuotas),IF((49-N(V_L1_Mes)+1)=1,N(V_L1_Monto),BA$282),PMT(N(V_L1_Tasa)/12,N(V_L1_Cuotas),-N(V_L1_Monto))-BB$280),0)*BB$9</f>
        <v>57652.046927991</v>
      </c>
      <c r="BC281" s="48" t="n">
        <f aca="false">IF(AND((50-N(V_L1_Mes)+1)&gt;N(V_L1_Gracia),(50-N(V_L1_Mes)+1)&lt;=N(V_L1_Gracia)+N(V_L1_Cuotas),N(V_L1_Cuotas)&gt;0),IF((50-N(V_L1_Mes)+1)=N(V_L1_Gracia)+N(V_L1_Cuotas),IF((50-N(V_L1_Mes)+1)=1,N(V_L1_Monto),BB$282),PMT(N(V_L1_Tasa)/12,N(V_L1_Cuotas),-N(V_L1_Monto))-BC$280),0)*BC$9</f>
        <v>58084.4372799509</v>
      </c>
      <c r="BD281" s="48" t="n">
        <f aca="false">IF(AND((51-N(V_L1_Mes)+1)&gt;N(V_L1_Gracia),(51-N(V_L1_Mes)+1)&lt;=N(V_L1_Gracia)+N(V_L1_Cuotas),N(V_L1_Cuotas)&gt;0),IF((51-N(V_L1_Mes)+1)=N(V_L1_Gracia)+N(V_L1_Cuotas),IF((51-N(V_L1_Mes)+1)=1,N(V_L1_Monto),BC$282),PMT(N(V_L1_Tasa)/12,N(V_L1_Cuotas),-N(V_L1_Monto))-BD$280),0)*BD$9</f>
        <v>58520.0705595506</v>
      </c>
      <c r="BE281" s="48" t="n">
        <f aca="false">IF(AND((52-N(V_L1_Mes)+1)&gt;N(V_L1_Gracia),(52-N(V_L1_Mes)+1)&lt;=N(V_L1_Gracia)+N(V_L1_Cuotas),N(V_L1_Cuotas)&gt;0),IF((52-N(V_L1_Mes)+1)=N(V_L1_Gracia)+N(V_L1_Cuotas),IF((52-N(V_L1_Mes)+1)=1,N(V_L1_Monto),BD$282),PMT(N(V_L1_Tasa)/12,N(V_L1_Cuotas),-N(V_L1_Monto))-BE$280),0)*BE$9</f>
        <v>58958.9710887472</v>
      </c>
      <c r="BF281" s="48" t="n">
        <f aca="false">IF(AND((53-N(V_L1_Mes)+1)&gt;N(V_L1_Gracia),(53-N(V_L1_Mes)+1)&lt;=N(V_L1_Gracia)+N(V_L1_Cuotas),N(V_L1_Cuotas)&gt;0),IF((53-N(V_L1_Mes)+1)=N(V_L1_Gracia)+N(V_L1_Cuotas),IF((53-N(V_L1_Mes)+1)=1,N(V_L1_Monto),BE$282),PMT(N(V_L1_Tasa)/12,N(V_L1_Cuotas),-N(V_L1_Monto))-BF$280),0)*BF$9</f>
        <v>59401.1633719128</v>
      </c>
      <c r="BG281" s="48" t="n">
        <f aca="false">IF(AND((54-N(V_L1_Mes)+1)&gt;N(V_L1_Gracia),(54-N(V_L1_Mes)+1)&lt;=N(V_L1_Gracia)+N(V_L1_Cuotas),N(V_L1_Cuotas)&gt;0),IF((54-N(V_L1_Mes)+1)=N(V_L1_Gracia)+N(V_L1_Cuotas),IF((54-N(V_L1_Mes)+1)=1,N(V_L1_Monto),BF$282),PMT(N(V_L1_Tasa)/12,N(V_L1_Cuotas),-N(V_L1_Monto))-BG$280),0)*BG$9</f>
        <v>59846.6720972021</v>
      </c>
      <c r="BH281" s="48" t="n">
        <f aca="false">IF(AND((55-N(V_L1_Mes)+1)&gt;N(V_L1_Gracia),(55-N(V_L1_Mes)+1)&lt;=N(V_L1_Gracia)+N(V_L1_Cuotas),N(V_L1_Cuotas)&gt;0),IF((55-N(V_L1_Mes)+1)=N(V_L1_Gracia)+N(V_L1_Cuotas),IF((55-N(V_L1_Mes)+1)=1,N(V_L1_Monto),BG$282),PMT(N(V_L1_Tasa)/12,N(V_L1_Cuotas),-N(V_L1_Monto))-BH$280),0)*BH$9</f>
        <v>60295.5221379312</v>
      </c>
      <c r="BI281" s="48" t="n">
        <f aca="false">IF(AND((56-N(V_L1_Mes)+1)&gt;N(V_L1_Gracia),(56-N(V_L1_Mes)+1)&lt;=N(V_L1_Gracia)+N(V_L1_Cuotas),N(V_L1_Cuotas)&gt;0),IF((56-N(V_L1_Mes)+1)=N(V_L1_Gracia)+N(V_L1_Cuotas),IF((56-N(V_L1_Mes)+1)=1,N(V_L1_Monto),BH$282),PMT(N(V_L1_Tasa)/12,N(V_L1_Cuotas),-N(V_L1_Monto))-BI$280),0)*BI$9</f>
        <v>60747.7385539656</v>
      </c>
      <c r="BJ281" s="48" t="n">
        <f aca="false">IF(AND((57-N(V_L1_Mes)+1)&gt;N(V_L1_Gracia),(57-N(V_L1_Mes)+1)&lt;=N(V_L1_Gracia)+N(V_L1_Cuotas),N(V_L1_Cuotas)&gt;0),IF((57-N(V_L1_Mes)+1)=N(V_L1_Gracia)+N(V_L1_Cuotas),IF((57-N(V_L1_Mes)+1)=1,N(V_L1_Monto),BI$282),PMT(N(V_L1_Tasa)/12,N(V_L1_Cuotas),-N(V_L1_Monto))-BJ$280),0)*BJ$9</f>
        <v>61203.3465931204</v>
      </c>
      <c r="BK281" s="48" t="n">
        <f aca="false">IF(AND((58-N(V_L1_Mes)+1)&gt;N(V_L1_Gracia),(58-N(V_L1_Mes)+1)&lt;=N(V_L1_Gracia)+N(V_L1_Cuotas),N(V_L1_Cuotas)&gt;0),IF((58-N(V_L1_Mes)+1)=N(V_L1_Gracia)+N(V_L1_Cuotas),IF((58-N(V_L1_Mes)+1)=1,N(V_L1_Monto),BJ$282),PMT(N(V_L1_Tasa)/12,N(V_L1_Cuotas),-N(V_L1_Monto))-BK$280),0)*BK$9</f>
        <v>61662.3716925688</v>
      </c>
      <c r="BL281" s="48" t="n">
        <f aca="false">IF(AND((59-N(V_L1_Mes)+1)&gt;N(V_L1_Gracia),(59-N(V_L1_Mes)+1)&lt;=N(V_L1_Gracia)+N(V_L1_Cuotas),N(V_L1_Cuotas)&gt;0),IF((59-N(V_L1_Mes)+1)=N(V_L1_Gracia)+N(V_L1_Cuotas),IF((59-N(V_L1_Mes)+1)=1,N(V_L1_Monto),BK$282),PMT(N(V_L1_Tasa)/12,N(V_L1_Cuotas),-N(V_L1_Monto))-BL$280),0)*BL$9</f>
        <v>62124.839480263</v>
      </c>
      <c r="BM281" s="48" t="n">
        <f aca="false">IF(AND((60-N(V_L1_Mes)+1)&gt;N(V_L1_Gracia),(60-N(V_L1_Mes)+1)&lt;=N(V_L1_Gracia)+N(V_L1_Cuotas),N(V_L1_Cuotas)&gt;0),IF((60-N(V_L1_Mes)+1)=N(V_L1_Gracia)+N(V_L1_Cuotas),IF((60-N(V_L1_Mes)+1)=1,N(V_L1_Monto),BL$282),PMT(N(V_L1_Tasa)/12,N(V_L1_Cuotas),-N(V_L1_Monto))-BM$280),0)*BM$9</f>
        <v>62590.7757763667</v>
      </c>
      <c r="BN281" s="48" t="n">
        <f aca="false">IF(AND((61-N(V_L1_Mes)+1)&gt;N(V_L1_Gracia),(61-N(V_L1_Mes)+1)&lt;=N(V_L1_Gracia)+N(V_L1_Cuotas),N(V_L1_Cuotas)&gt;0),IF((61-N(V_L1_Mes)+1)=N(V_L1_Gracia)+N(V_L1_Cuotas),IF((61-N(V_L1_Mes)+1)=1,N(V_L1_Monto),BM$282),PMT(N(V_L1_Tasa)/12,N(V_L1_Cuotas),-N(V_L1_Monto))-BN$280),0)*BN$9</f>
        <v>0</v>
      </c>
      <c r="BO281" s="48" t="n">
        <f aca="false">IF(AND((62-N(V_L1_Mes)+1)&gt;N(V_L1_Gracia),(62-N(V_L1_Mes)+1)&lt;=N(V_L1_Gracia)+N(V_L1_Cuotas),N(V_L1_Cuotas)&gt;0),IF((62-N(V_L1_Mes)+1)=N(V_L1_Gracia)+N(V_L1_Cuotas),IF((62-N(V_L1_Mes)+1)=1,N(V_L1_Monto),BN$282),PMT(N(V_L1_Tasa)/12,N(V_L1_Cuotas),-N(V_L1_Monto))-BO$280),0)*BO$9</f>
        <v>0</v>
      </c>
      <c r="BP281" s="48" t="n">
        <f aca="false">IF(AND((63-N(V_L1_Mes)+1)&gt;N(V_L1_Gracia),(63-N(V_L1_Mes)+1)&lt;=N(V_L1_Gracia)+N(V_L1_Cuotas),N(V_L1_Cuotas)&gt;0),IF((63-N(V_L1_Mes)+1)=N(V_L1_Gracia)+N(V_L1_Cuotas),IF((63-N(V_L1_Mes)+1)=1,N(V_L1_Monto),BO$282),PMT(N(V_L1_Tasa)/12,N(V_L1_Cuotas),-N(V_L1_Monto))-BP$280),0)*BP$9</f>
        <v>0</v>
      </c>
      <c r="BQ281" s="48" t="n">
        <f aca="false">IF(AND((64-N(V_L1_Mes)+1)&gt;N(V_L1_Gracia),(64-N(V_L1_Mes)+1)&lt;=N(V_L1_Gracia)+N(V_L1_Cuotas),N(V_L1_Cuotas)&gt;0),IF((64-N(V_L1_Mes)+1)=N(V_L1_Gracia)+N(V_L1_Cuotas),IF((64-N(V_L1_Mes)+1)=1,N(V_L1_Monto),BP$282),PMT(N(V_L1_Tasa)/12,N(V_L1_Cuotas),-N(V_L1_Monto))-BQ$280),0)*BQ$9</f>
        <v>0</v>
      </c>
      <c r="BR281" s="48" t="n">
        <f aca="false">IF(AND((65-N(V_L1_Mes)+1)&gt;N(V_L1_Gracia),(65-N(V_L1_Mes)+1)&lt;=N(V_L1_Gracia)+N(V_L1_Cuotas),N(V_L1_Cuotas)&gt;0),IF((65-N(V_L1_Mes)+1)=N(V_L1_Gracia)+N(V_L1_Cuotas),IF((65-N(V_L1_Mes)+1)=1,N(V_L1_Monto),BQ$282),PMT(N(V_L1_Tasa)/12,N(V_L1_Cuotas),-N(V_L1_Monto))-BR$280),0)*BR$9</f>
        <v>0</v>
      </c>
      <c r="BS281" s="48" t="n">
        <f aca="false">IF(AND((66-N(V_L1_Mes)+1)&gt;N(V_L1_Gracia),(66-N(V_L1_Mes)+1)&lt;=N(V_L1_Gracia)+N(V_L1_Cuotas),N(V_L1_Cuotas)&gt;0),IF((66-N(V_L1_Mes)+1)=N(V_L1_Gracia)+N(V_L1_Cuotas),IF((66-N(V_L1_Mes)+1)=1,N(V_L1_Monto),BR$282),PMT(N(V_L1_Tasa)/12,N(V_L1_Cuotas),-N(V_L1_Monto))-BS$280),0)*BS$9</f>
        <v>0</v>
      </c>
      <c r="BT281" s="48" t="n">
        <f aca="false">IF(AND((67-N(V_L1_Mes)+1)&gt;N(V_L1_Gracia),(67-N(V_L1_Mes)+1)&lt;=N(V_L1_Gracia)+N(V_L1_Cuotas),N(V_L1_Cuotas)&gt;0),IF((67-N(V_L1_Mes)+1)=N(V_L1_Gracia)+N(V_L1_Cuotas),IF((67-N(V_L1_Mes)+1)=1,N(V_L1_Monto),BS$282),PMT(N(V_L1_Tasa)/12,N(V_L1_Cuotas),-N(V_L1_Monto))-BT$280),0)*BT$9</f>
        <v>0</v>
      </c>
      <c r="BU281" s="48" t="n">
        <f aca="false">IF(AND((68-N(V_L1_Mes)+1)&gt;N(V_L1_Gracia),(68-N(V_L1_Mes)+1)&lt;=N(V_L1_Gracia)+N(V_L1_Cuotas),N(V_L1_Cuotas)&gt;0),IF((68-N(V_L1_Mes)+1)=N(V_L1_Gracia)+N(V_L1_Cuotas),IF((68-N(V_L1_Mes)+1)=1,N(V_L1_Monto),BT$282),PMT(N(V_L1_Tasa)/12,N(V_L1_Cuotas),-N(V_L1_Monto))-BU$280),0)*BU$9</f>
        <v>0</v>
      </c>
      <c r="BV281" s="48" t="n">
        <f aca="false">IF(AND((69-N(V_L1_Mes)+1)&gt;N(V_L1_Gracia),(69-N(V_L1_Mes)+1)&lt;=N(V_L1_Gracia)+N(V_L1_Cuotas),N(V_L1_Cuotas)&gt;0),IF((69-N(V_L1_Mes)+1)=N(V_L1_Gracia)+N(V_L1_Cuotas),IF((69-N(V_L1_Mes)+1)=1,N(V_L1_Monto),BU$282),PMT(N(V_L1_Tasa)/12,N(V_L1_Cuotas),-N(V_L1_Monto))-BV$280),0)*BV$9</f>
        <v>0</v>
      </c>
      <c r="BW281" s="48" t="n">
        <f aca="false">IF(AND((70-N(V_L1_Mes)+1)&gt;N(V_L1_Gracia),(70-N(V_L1_Mes)+1)&lt;=N(V_L1_Gracia)+N(V_L1_Cuotas),N(V_L1_Cuotas)&gt;0),IF((70-N(V_L1_Mes)+1)=N(V_L1_Gracia)+N(V_L1_Cuotas),IF((70-N(V_L1_Mes)+1)=1,N(V_L1_Monto),BV$282),PMT(N(V_L1_Tasa)/12,N(V_L1_Cuotas),-N(V_L1_Monto))-BW$280),0)*BW$9</f>
        <v>0</v>
      </c>
      <c r="BX281" s="48" t="n">
        <f aca="false">IF(AND((71-N(V_L1_Mes)+1)&gt;N(V_L1_Gracia),(71-N(V_L1_Mes)+1)&lt;=N(V_L1_Gracia)+N(V_L1_Cuotas),N(V_L1_Cuotas)&gt;0),IF((71-N(V_L1_Mes)+1)=N(V_L1_Gracia)+N(V_L1_Cuotas),IF((71-N(V_L1_Mes)+1)=1,N(V_L1_Monto),BW$282),PMT(N(V_L1_Tasa)/12,N(V_L1_Cuotas),-N(V_L1_Monto))-BX$280),0)*BX$9</f>
        <v>0</v>
      </c>
      <c r="BY281" s="48" t="n">
        <f aca="false">IF(AND((72-N(V_L1_Mes)+1)&gt;N(V_L1_Gracia),(72-N(V_L1_Mes)+1)&lt;=N(V_L1_Gracia)+N(V_L1_Cuotas),N(V_L1_Cuotas)&gt;0),IF((72-N(V_L1_Mes)+1)=N(V_L1_Gracia)+N(V_L1_Cuotas),IF((72-N(V_L1_Mes)+1)=1,N(V_L1_Monto),BX$282),PMT(N(V_L1_Tasa)/12,N(V_L1_Cuotas),-N(V_L1_Monto))-BY$280),0)*BY$9</f>
        <v>0</v>
      </c>
      <c r="BZ281" s="48" t="n">
        <f aca="false">IF(AND((73-N(V_L1_Mes)+1)&gt;N(V_L1_Gracia),(73-N(V_L1_Mes)+1)&lt;=N(V_L1_Gracia)+N(V_L1_Cuotas),N(V_L1_Cuotas)&gt;0),IF((73-N(V_L1_Mes)+1)=N(V_L1_Gracia)+N(V_L1_Cuotas),IF((73-N(V_L1_Mes)+1)=1,N(V_L1_Monto),BY$282),PMT(N(V_L1_Tasa)/12,N(V_L1_Cuotas),-N(V_L1_Monto))-BZ$280),0)*BZ$9</f>
        <v>0</v>
      </c>
      <c r="CA281" s="48" t="n">
        <f aca="false">IF(AND((74-N(V_L1_Mes)+1)&gt;N(V_L1_Gracia),(74-N(V_L1_Mes)+1)&lt;=N(V_L1_Gracia)+N(V_L1_Cuotas),N(V_L1_Cuotas)&gt;0),IF((74-N(V_L1_Mes)+1)=N(V_L1_Gracia)+N(V_L1_Cuotas),IF((74-N(V_L1_Mes)+1)=1,N(V_L1_Monto),BZ$282),PMT(N(V_L1_Tasa)/12,N(V_L1_Cuotas),-N(V_L1_Monto))-CA$280),0)*CA$9</f>
        <v>0</v>
      </c>
      <c r="CB281" s="48" t="n">
        <f aca="false">IF(AND((75-N(V_L1_Mes)+1)&gt;N(V_L1_Gracia),(75-N(V_L1_Mes)+1)&lt;=N(V_L1_Gracia)+N(V_L1_Cuotas),N(V_L1_Cuotas)&gt;0),IF((75-N(V_L1_Mes)+1)=N(V_L1_Gracia)+N(V_L1_Cuotas),IF((75-N(V_L1_Mes)+1)=1,N(V_L1_Monto),CA$282),PMT(N(V_L1_Tasa)/12,N(V_L1_Cuotas),-N(V_L1_Monto))-CB$280),0)*CB$9</f>
        <v>0</v>
      </c>
      <c r="CC281" s="48" t="n">
        <f aca="false">IF(AND((76-N(V_L1_Mes)+1)&gt;N(V_L1_Gracia),(76-N(V_L1_Mes)+1)&lt;=N(V_L1_Gracia)+N(V_L1_Cuotas),N(V_L1_Cuotas)&gt;0),IF((76-N(V_L1_Mes)+1)=N(V_L1_Gracia)+N(V_L1_Cuotas),IF((76-N(V_L1_Mes)+1)=1,N(V_L1_Monto),CB$282),PMT(N(V_L1_Tasa)/12,N(V_L1_Cuotas),-N(V_L1_Monto))-CC$280),0)*CC$9</f>
        <v>0</v>
      </c>
      <c r="CD281" s="48" t="n">
        <f aca="false">IF(AND((77-N(V_L1_Mes)+1)&gt;N(V_L1_Gracia),(77-N(V_L1_Mes)+1)&lt;=N(V_L1_Gracia)+N(V_L1_Cuotas),N(V_L1_Cuotas)&gt;0),IF((77-N(V_L1_Mes)+1)=N(V_L1_Gracia)+N(V_L1_Cuotas),IF((77-N(V_L1_Mes)+1)=1,N(V_L1_Monto),CC$282),PMT(N(V_L1_Tasa)/12,N(V_L1_Cuotas),-N(V_L1_Monto))-CD$280),0)*CD$9</f>
        <v>0</v>
      </c>
      <c r="CE281" s="48" t="n">
        <f aca="false">IF(AND((78-N(V_L1_Mes)+1)&gt;N(V_L1_Gracia),(78-N(V_L1_Mes)+1)&lt;=N(V_L1_Gracia)+N(V_L1_Cuotas),N(V_L1_Cuotas)&gt;0),IF((78-N(V_L1_Mes)+1)=N(V_L1_Gracia)+N(V_L1_Cuotas),IF((78-N(V_L1_Mes)+1)=1,N(V_L1_Monto),CD$282),PMT(N(V_L1_Tasa)/12,N(V_L1_Cuotas),-N(V_L1_Monto))-CE$280),0)*CE$9</f>
        <v>0</v>
      </c>
      <c r="CF281" s="48" t="n">
        <f aca="false">IF(AND((79-N(V_L1_Mes)+1)&gt;N(V_L1_Gracia),(79-N(V_L1_Mes)+1)&lt;=N(V_L1_Gracia)+N(V_L1_Cuotas),N(V_L1_Cuotas)&gt;0),IF((79-N(V_L1_Mes)+1)=N(V_L1_Gracia)+N(V_L1_Cuotas),IF((79-N(V_L1_Mes)+1)=1,N(V_L1_Monto),CE$282),PMT(N(V_L1_Tasa)/12,N(V_L1_Cuotas),-N(V_L1_Monto))-CF$280),0)*CF$9</f>
        <v>0</v>
      </c>
      <c r="CG281" s="48" t="n">
        <f aca="false">IF(AND((80-N(V_L1_Mes)+1)&gt;N(V_L1_Gracia),(80-N(V_L1_Mes)+1)&lt;=N(V_L1_Gracia)+N(V_L1_Cuotas),N(V_L1_Cuotas)&gt;0),IF((80-N(V_L1_Mes)+1)=N(V_L1_Gracia)+N(V_L1_Cuotas),IF((80-N(V_L1_Mes)+1)=1,N(V_L1_Monto),CF$282),PMT(N(V_L1_Tasa)/12,N(V_L1_Cuotas),-N(V_L1_Monto))-CG$280),0)*CG$9</f>
        <v>0</v>
      </c>
      <c r="CH281" s="48" t="n">
        <f aca="false">IF(AND((81-N(V_L1_Mes)+1)&gt;N(V_L1_Gracia),(81-N(V_L1_Mes)+1)&lt;=N(V_L1_Gracia)+N(V_L1_Cuotas),N(V_L1_Cuotas)&gt;0),IF((81-N(V_L1_Mes)+1)=N(V_L1_Gracia)+N(V_L1_Cuotas),IF((81-N(V_L1_Mes)+1)=1,N(V_L1_Monto),CG$282),PMT(N(V_L1_Tasa)/12,N(V_L1_Cuotas),-N(V_L1_Monto))-CH$280),0)*CH$9</f>
        <v>0</v>
      </c>
      <c r="CI281" s="48" t="n">
        <f aca="false">IF(AND((82-N(V_L1_Mes)+1)&gt;N(V_L1_Gracia),(82-N(V_L1_Mes)+1)&lt;=N(V_L1_Gracia)+N(V_L1_Cuotas),N(V_L1_Cuotas)&gt;0),IF((82-N(V_L1_Mes)+1)=N(V_L1_Gracia)+N(V_L1_Cuotas),IF((82-N(V_L1_Mes)+1)=1,N(V_L1_Monto),CH$282),PMT(N(V_L1_Tasa)/12,N(V_L1_Cuotas),-N(V_L1_Monto))-CI$280),0)*CI$9</f>
        <v>0</v>
      </c>
      <c r="CJ281" s="48" t="n">
        <f aca="false">IF(AND((83-N(V_L1_Mes)+1)&gt;N(V_L1_Gracia),(83-N(V_L1_Mes)+1)&lt;=N(V_L1_Gracia)+N(V_L1_Cuotas),N(V_L1_Cuotas)&gt;0),IF((83-N(V_L1_Mes)+1)=N(V_L1_Gracia)+N(V_L1_Cuotas),IF((83-N(V_L1_Mes)+1)=1,N(V_L1_Monto),CI$282),PMT(N(V_L1_Tasa)/12,N(V_L1_Cuotas),-N(V_L1_Monto))-CJ$280),0)*CJ$9</f>
        <v>0</v>
      </c>
      <c r="CK281" s="48" t="n">
        <f aca="false">IF(AND((84-N(V_L1_Mes)+1)&gt;N(V_L1_Gracia),(84-N(V_L1_Mes)+1)&lt;=N(V_L1_Gracia)+N(V_L1_Cuotas),N(V_L1_Cuotas)&gt;0),IF((84-N(V_L1_Mes)+1)=N(V_L1_Gracia)+N(V_L1_Cuotas),IF((84-N(V_L1_Mes)+1)=1,N(V_L1_Monto),CJ$282),PMT(N(V_L1_Tasa)/12,N(V_L1_Cuotas),-N(V_L1_Monto))-CK$280),0)*CK$9</f>
        <v>0</v>
      </c>
      <c r="CL281" s="48" t="n">
        <f aca="false">IF(AND((85-N(V_L1_Mes)+1)&gt;N(V_L1_Gracia),(85-N(V_L1_Mes)+1)&lt;=N(V_L1_Gracia)+N(V_L1_Cuotas),N(V_L1_Cuotas)&gt;0),IF((85-N(V_L1_Mes)+1)=N(V_L1_Gracia)+N(V_L1_Cuotas),IF((85-N(V_L1_Mes)+1)=1,N(V_L1_Monto),CK$282),PMT(N(V_L1_Tasa)/12,N(V_L1_Cuotas),-N(V_L1_Monto))-CL$280),0)*CL$9</f>
        <v>0</v>
      </c>
      <c r="CM281" s="48" t="n">
        <f aca="false">IF(AND((86-N(V_L1_Mes)+1)&gt;N(V_L1_Gracia),(86-N(V_L1_Mes)+1)&lt;=N(V_L1_Gracia)+N(V_L1_Cuotas),N(V_L1_Cuotas)&gt;0),IF((86-N(V_L1_Mes)+1)=N(V_L1_Gracia)+N(V_L1_Cuotas),IF((86-N(V_L1_Mes)+1)=1,N(V_L1_Monto),CL$282),PMT(N(V_L1_Tasa)/12,N(V_L1_Cuotas),-N(V_L1_Monto))-CM$280),0)*CM$9</f>
        <v>0</v>
      </c>
      <c r="CN281" s="48" t="n">
        <f aca="false">IF(AND((87-N(V_L1_Mes)+1)&gt;N(V_L1_Gracia),(87-N(V_L1_Mes)+1)&lt;=N(V_L1_Gracia)+N(V_L1_Cuotas),N(V_L1_Cuotas)&gt;0),IF((87-N(V_L1_Mes)+1)=N(V_L1_Gracia)+N(V_L1_Cuotas),IF((87-N(V_L1_Mes)+1)=1,N(V_L1_Monto),CM$282),PMT(N(V_L1_Tasa)/12,N(V_L1_Cuotas),-N(V_L1_Monto))-CN$280),0)*CN$9</f>
        <v>0</v>
      </c>
      <c r="CO281" s="48" t="n">
        <f aca="false">IF(AND((88-N(V_L1_Mes)+1)&gt;N(V_L1_Gracia),(88-N(V_L1_Mes)+1)&lt;=N(V_L1_Gracia)+N(V_L1_Cuotas),N(V_L1_Cuotas)&gt;0),IF((88-N(V_L1_Mes)+1)=N(V_L1_Gracia)+N(V_L1_Cuotas),IF((88-N(V_L1_Mes)+1)=1,N(V_L1_Monto),CN$282),PMT(N(V_L1_Tasa)/12,N(V_L1_Cuotas),-N(V_L1_Monto))-CO$280),0)*CO$9</f>
        <v>0</v>
      </c>
      <c r="CP281" s="48" t="n">
        <f aca="false">IF(AND((89-N(V_L1_Mes)+1)&gt;N(V_L1_Gracia),(89-N(V_L1_Mes)+1)&lt;=N(V_L1_Gracia)+N(V_L1_Cuotas),N(V_L1_Cuotas)&gt;0),IF((89-N(V_L1_Mes)+1)=N(V_L1_Gracia)+N(V_L1_Cuotas),IF((89-N(V_L1_Mes)+1)=1,N(V_L1_Monto),CO$282),PMT(N(V_L1_Tasa)/12,N(V_L1_Cuotas),-N(V_L1_Monto))-CP$280),0)*CP$9</f>
        <v>0</v>
      </c>
      <c r="CQ281" s="48" t="n">
        <f aca="false">IF(AND((90-N(V_L1_Mes)+1)&gt;N(V_L1_Gracia),(90-N(V_L1_Mes)+1)&lt;=N(V_L1_Gracia)+N(V_L1_Cuotas),N(V_L1_Cuotas)&gt;0),IF((90-N(V_L1_Mes)+1)=N(V_L1_Gracia)+N(V_L1_Cuotas),IF((90-N(V_L1_Mes)+1)=1,N(V_L1_Monto),CP$282),PMT(N(V_L1_Tasa)/12,N(V_L1_Cuotas),-N(V_L1_Monto))-CQ$280),0)*CQ$9</f>
        <v>0</v>
      </c>
      <c r="CR281" s="48" t="n">
        <f aca="false">IF(AND((91-N(V_L1_Mes)+1)&gt;N(V_L1_Gracia),(91-N(V_L1_Mes)+1)&lt;=N(V_L1_Gracia)+N(V_L1_Cuotas),N(V_L1_Cuotas)&gt;0),IF((91-N(V_L1_Mes)+1)=N(V_L1_Gracia)+N(V_L1_Cuotas),IF((91-N(V_L1_Mes)+1)=1,N(V_L1_Monto),CQ$282),PMT(N(V_L1_Tasa)/12,N(V_L1_Cuotas),-N(V_L1_Monto))-CR$280),0)*CR$9</f>
        <v>0</v>
      </c>
      <c r="CS281" s="48" t="n">
        <f aca="false">IF(AND((92-N(V_L1_Mes)+1)&gt;N(V_L1_Gracia),(92-N(V_L1_Mes)+1)&lt;=N(V_L1_Gracia)+N(V_L1_Cuotas),N(V_L1_Cuotas)&gt;0),IF((92-N(V_L1_Mes)+1)=N(V_L1_Gracia)+N(V_L1_Cuotas),IF((92-N(V_L1_Mes)+1)=1,N(V_L1_Monto),CR$282),PMT(N(V_L1_Tasa)/12,N(V_L1_Cuotas),-N(V_L1_Monto))-CS$280),0)*CS$9</f>
        <v>0</v>
      </c>
      <c r="CT281" s="48" t="n">
        <f aca="false">IF(AND((93-N(V_L1_Mes)+1)&gt;N(V_L1_Gracia),(93-N(V_L1_Mes)+1)&lt;=N(V_L1_Gracia)+N(V_L1_Cuotas),N(V_L1_Cuotas)&gt;0),IF((93-N(V_L1_Mes)+1)=N(V_L1_Gracia)+N(V_L1_Cuotas),IF((93-N(V_L1_Mes)+1)=1,N(V_L1_Monto),CS$282),PMT(N(V_L1_Tasa)/12,N(V_L1_Cuotas),-N(V_L1_Monto))-CT$280),0)*CT$9</f>
        <v>0</v>
      </c>
      <c r="CU281" s="48" t="n">
        <f aca="false">IF(AND((94-N(V_L1_Mes)+1)&gt;N(V_L1_Gracia),(94-N(V_L1_Mes)+1)&lt;=N(V_L1_Gracia)+N(V_L1_Cuotas),N(V_L1_Cuotas)&gt;0),IF((94-N(V_L1_Mes)+1)=N(V_L1_Gracia)+N(V_L1_Cuotas),IF((94-N(V_L1_Mes)+1)=1,N(V_L1_Monto),CT$282),PMT(N(V_L1_Tasa)/12,N(V_L1_Cuotas),-N(V_L1_Monto))-CU$280),0)*CU$9</f>
        <v>0</v>
      </c>
      <c r="CV281" s="48" t="n">
        <f aca="false">IF(AND((95-N(V_L1_Mes)+1)&gt;N(V_L1_Gracia),(95-N(V_L1_Mes)+1)&lt;=N(V_L1_Gracia)+N(V_L1_Cuotas),N(V_L1_Cuotas)&gt;0),IF((95-N(V_L1_Mes)+1)=N(V_L1_Gracia)+N(V_L1_Cuotas),IF((95-N(V_L1_Mes)+1)=1,N(V_L1_Monto),CU$282),PMT(N(V_L1_Tasa)/12,N(V_L1_Cuotas),-N(V_L1_Monto))-CV$280),0)*CV$9</f>
        <v>0</v>
      </c>
      <c r="CW281" s="48" t="n">
        <f aca="false">IF(AND((96-N(V_L1_Mes)+1)&gt;N(V_L1_Gracia),(96-N(V_L1_Mes)+1)&lt;=N(V_L1_Gracia)+N(V_L1_Cuotas),N(V_L1_Cuotas)&gt;0),IF((96-N(V_L1_Mes)+1)=N(V_L1_Gracia)+N(V_L1_Cuotas),IF((96-N(V_L1_Mes)+1)=1,N(V_L1_Monto),CV$282),PMT(N(V_L1_Tasa)/12,N(V_L1_Cuotas),-N(V_L1_Monto))-CW$280),0)*CW$9</f>
        <v>0</v>
      </c>
      <c r="CX281" s="48" t="n">
        <f aca="false">IF(AND((97-N(V_L1_Mes)+1)&gt;N(V_L1_Gracia),(97-N(V_L1_Mes)+1)&lt;=N(V_L1_Gracia)+N(V_L1_Cuotas),N(V_L1_Cuotas)&gt;0),IF((97-N(V_L1_Mes)+1)=N(V_L1_Gracia)+N(V_L1_Cuotas),IF((97-N(V_L1_Mes)+1)=1,N(V_L1_Monto),CW$282),PMT(N(V_L1_Tasa)/12,N(V_L1_Cuotas),-N(V_L1_Monto))-CX$280),0)*CX$9</f>
        <v>0</v>
      </c>
      <c r="CY281" s="48" t="n">
        <f aca="false">IF(AND((98-N(V_L1_Mes)+1)&gt;N(V_L1_Gracia),(98-N(V_L1_Mes)+1)&lt;=N(V_L1_Gracia)+N(V_L1_Cuotas),N(V_L1_Cuotas)&gt;0),IF((98-N(V_L1_Mes)+1)=N(V_L1_Gracia)+N(V_L1_Cuotas),IF((98-N(V_L1_Mes)+1)=1,N(V_L1_Monto),CX$282),PMT(N(V_L1_Tasa)/12,N(V_L1_Cuotas),-N(V_L1_Monto))-CY$280),0)*CY$9</f>
        <v>0</v>
      </c>
      <c r="CZ281" s="48" t="n">
        <f aca="false">IF(AND((99-N(V_L1_Mes)+1)&gt;N(V_L1_Gracia),(99-N(V_L1_Mes)+1)&lt;=N(V_L1_Gracia)+N(V_L1_Cuotas),N(V_L1_Cuotas)&gt;0),IF((99-N(V_L1_Mes)+1)=N(V_L1_Gracia)+N(V_L1_Cuotas),IF((99-N(V_L1_Mes)+1)=1,N(V_L1_Monto),CY$282),PMT(N(V_L1_Tasa)/12,N(V_L1_Cuotas),-N(V_L1_Monto))-CZ$280),0)*CZ$9</f>
        <v>0</v>
      </c>
      <c r="DA281" s="48" t="n">
        <f aca="false">IF(AND((100-N(V_L1_Mes)+1)&gt;N(V_L1_Gracia),(100-N(V_L1_Mes)+1)&lt;=N(V_L1_Gracia)+N(V_L1_Cuotas),N(V_L1_Cuotas)&gt;0),IF((100-N(V_L1_Mes)+1)=N(V_L1_Gracia)+N(V_L1_Cuotas),IF((100-N(V_L1_Mes)+1)=1,N(V_L1_Monto),CZ$282),PMT(N(V_L1_Tasa)/12,N(V_L1_Cuotas),-N(V_L1_Monto))-DA$280),0)*DA$9</f>
        <v>0</v>
      </c>
      <c r="DB281" s="48" t="n">
        <f aca="false">IF(AND((101-N(V_L1_Mes)+1)&gt;N(V_L1_Gracia),(101-N(V_L1_Mes)+1)&lt;=N(V_L1_Gracia)+N(V_L1_Cuotas),N(V_L1_Cuotas)&gt;0),IF((101-N(V_L1_Mes)+1)=N(V_L1_Gracia)+N(V_L1_Cuotas),IF((101-N(V_L1_Mes)+1)=1,N(V_L1_Monto),DA$282),PMT(N(V_L1_Tasa)/12,N(V_L1_Cuotas),-N(V_L1_Monto))-DB$280),0)*DB$9</f>
        <v>0</v>
      </c>
      <c r="DC281" s="48" t="n">
        <f aca="false">IF(AND((102-N(V_L1_Mes)+1)&gt;N(V_L1_Gracia),(102-N(V_L1_Mes)+1)&lt;=N(V_L1_Gracia)+N(V_L1_Cuotas),N(V_L1_Cuotas)&gt;0),IF((102-N(V_L1_Mes)+1)=N(V_L1_Gracia)+N(V_L1_Cuotas),IF((102-N(V_L1_Mes)+1)=1,N(V_L1_Monto),DB$282),PMT(N(V_L1_Tasa)/12,N(V_L1_Cuotas),-N(V_L1_Monto))-DC$280),0)*DC$9</f>
        <v>0</v>
      </c>
      <c r="DD281" s="48" t="n">
        <f aca="false">IF(AND((103-N(V_L1_Mes)+1)&gt;N(V_L1_Gracia),(103-N(V_L1_Mes)+1)&lt;=N(V_L1_Gracia)+N(V_L1_Cuotas),N(V_L1_Cuotas)&gt;0),IF((103-N(V_L1_Mes)+1)=N(V_L1_Gracia)+N(V_L1_Cuotas),IF((103-N(V_L1_Mes)+1)=1,N(V_L1_Monto),DC$282),PMT(N(V_L1_Tasa)/12,N(V_L1_Cuotas),-N(V_L1_Monto))-DD$280),0)*DD$9</f>
        <v>0</v>
      </c>
      <c r="DE281" s="48" t="n">
        <f aca="false">IF(AND((104-N(V_L1_Mes)+1)&gt;N(V_L1_Gracia),(104-N(V_L1_Mes)+1)&lt;=N(V_L1_Gracia)+N(V_L1_Cuotas),N(V_L1_Cuotas)&gt;0),IF((104-N(V_L1_Mes)+1)=N(V_L1_Gracia)+N(V_L1_Cuotas),IF((104-N(V_L1_Mes)+1)=1,N(V_L1_Monto),DD$282),PMT(N(V_L1_Tasa)/12,N(V_L1_Cuotas),-N(V_L1_Monto))-DE$280),0)*DE$9</f>
        <v>0</v>
      </c>
      <c r="DF281" s="48" t="n">
        <f aca="false">IF(AND((105-N(V_L1_Mes)+1)&gt;N(V_L1_Gracia),(105-N(V_L1_Mes)+1)&lt;=N(V_L1_Gracia)+N(V_L1_Cuotas),N(V_L1_Cuotas)&gt;0),IF((105-N(V_L1_Mes)+1)=N(V_L1_Gracia)+N(V_L1_Cuotas),IF((105-N(V_L1_Mes)+1)=1,N(V_L1_Monto),DE$282),PMT(N(V_L1_Tasa)/12,N(V_L1_Cuotas),-N(V_L1_Monto))-DF$280),0)*DF$9</f>
        <v>0</v>
      </c>
      <c r="DG281" s="48" t="n">
        <f aca="false">IF(AND((106-N(V_L1_Mes)+1)&gt;N(V_L1_Gracia),(106-N(V_L1_Mes)+1)&lt;=N(V_L1_Gracia)+N(V_L1_Cuotas),N(V_L1_Cuotas)&gt;0),IF((106-N(V_L1_Mes)+1)=N(V_L1_Gracia)+N(V_L1_Cuotas),IF((106-N(V_L1_Mes)+1)=1,N(V_L1_Monto),DF$282),PMT(N(V_L1_Tasa)/12,N(V_L1_Cuotas),-N(V_L1_Monto))-DG$280),0)*DG$9</f>
        <v>0</v>
      </c>
      <c r="DH281" s="48" t="n">
        <f aca="false">IF(AND((107-N(V_L1_Mes)+1)&gt;N(V_L1_Gracia),(107-N(V_L1_Mes)+1)&lt;=N(V_L1_Gracia)+N(V_L1_Cuotas),N(V_L1_Cuotas)&gt;0),IF((107-N(V_L1_Mes)+1)=N(V_L1_Gracia)+N(V_L1_Cuotas),IF((107-N(V_L1_Mes)+1)=1,N(V_L1_Monto),DG$282),PMT(N(V_L1_Tasa)/12,N(V_L1_Cuotas),-N(V_L1_Monto))-DH$280),0)*DH$9</f>
        <v>0</v>
      </c>
      <c r="DI281" s="48" t="n">
        <f aca="false">IF(AND((108-N(V_L1_Mes)+1)&gt;N(V_L1_Gracia),(108-N(V_L1_Mes)+1)&lt;=N(V_L1_Gracia)+N(V_L1_Cuotas),N(V_L1_Cuotas)&gt;0),IF((108-N(V_L1_Mes)+1)=N(V_L1_Gracia)+N(V_L1_Cuotas),IF((108-N(V_L1_Mes)+1)=1,N(V_L1_Monto),DH$282),PMT(N(V_L1_Tasa)/12,N(V_L1_Cuotas),-N(V_L1_Monto))-DI$280),0)*DI$9</f>
        <v>0</v>
      </c>
      <c r="DJ281" s="48" t="n">
        <f aca="false">IF(AND((109-N(V_L1_Mes)+1)&gt;N(V_L1_Gracia),(109-N(V_L1_Mes)+1)&lt;=N(V_L1_Gracia)+N(V_L1_Cuotas),N(V_L1_Cuotas)&gt;0),IF((109-N(V_L1_Mes)+1)=N(V_L1_Gracia)+N(V_L1_Cuotas),IF((109-N(V_L1_Mes)+1)=1,N(V_L1_Monto),DI$282),PMT(N(V_L1_Tasa)/12,N(V_L1_Cuotas),-N(V_L1_Monto))-DJ$280),0)*DJ$9</f>
        <v>0</v>
      </c>
      <c r="DK281" s="48" t="n">
        <f aca="false">IF(AND((110-N(V_L1_Mes)+1)&gt;N(V_L1_Gracia),(110-N(V_L1_Mes)+1)&lt;=N(V_L1_Gracia)+N(V_L1_Cuotas),N(V_L1_Cuotas)&gt;0),IF((110-N(V_L1_Mes)+1)=N(V_L1_Gracia)+N(V_L1_Cuotas),IF((110-N(V_L1_Mes)+1)=1,N(V_L1_Monto),DJ$282),PMT(N(V_L1_Tasa)/12,N(V_L1_Cuotas),-N(V_L1_Monto))-DK$280),0)*DK$9</f>
        <v>0</v>
      </c>
      <c r="DL281" s="48" t="n">
        <f aca="false">IF(AND((111-N(V_L1_Mes)+1)&gt;N(V_L1_Gracia),(111-N(V_L1_Mes)+1)&lt;=N(V_L1_Gracia)+N(V_L1_Cuotas),N(V_L1_Cuotas)&gt;0),IF((111-N(V_L1_Mes)+1)=N(V_L1_Gracia)+N(V_L1_Cuotas),IF((111-N(V_L1_Mes)+1)=1,N(V_L1_Monto),DK$282),PMT(N(V_L1_Tasa)/12,N(V_L1_Cuotas),-N(V_L1_Monto))-DL$280),0)*DL$9</f>
        <v>0</v>
      </c>
      <c r="DM281" s="48" t="n">
        <f aca="false">IF(AND((112-N(V_L1_Mes)+1)&gt;N(V_L1_Gracia),(112-N(V_L1_Mes)+1)&lt;=N(V_L1_Gracia)+N(V_L1_Cuotas),N(V_L1_Cuotas)&gt;0),IF((112-N(V_L1_Mes)+1)=N(V_L1_Gracia)+N(V_L1_Cuotas),IF((112-N(V_L1_Mes)+1)=1,N(V_L1_Monto),DL$282),PMT(N(V_L1_Tasa)/12,N(V_L1_Cuotas),-N(V_L1_Monto))-DM$280),0)*DM$9</f>
        <v>0</v>
      </c>
      <c r="DN281" s="48" t="n">
        <f aca="false">IF(AND((113-N(V_L1_Mes)+1)&gt;N(V_L1_Gracia),(113-N(V_L1_Mes)+1)&lt;=N(V_L1_Gracia)+N(V_L1_Cuotas),N(V_L1_Cuotas)&gt;0),IF((113-N(V_L1_Mes)+1)=N(V_L1_Gracia)+N(V_L1_Cuotas),IF((113-N(V_L1_Mes)+1)=1,N(V_L1_Monto),DM$282),PMT(N(V_L1_Tasa)/12,N(V_L1_Cuotas),-N(V_L1_Monto))-DN$280),0)*DN$9</f>
        <v>0</v>
      </c>
      <c r="DO281" s="48" t="n">
        <f aca="false">IF(AND((114-N(V_L1_Mes)+1)&gt;N(V_L1_Gracia),(114-N(V_L1_Mes)+1)&lt;=N(V_L1_Gracia)+N(V_L1_Cuotas),N(V_L1_Cuotas)&gt;0),IF((114-N(V_L1_Mes)+1)=N(V_L1_Gracia)+N(V_L1_Cuotas),IF((114-N(V_L1_Mes)+1)=1,N(V_L1_Monto),DN$282),PMT(N(V_L1_Tasa)/12,N(V_L1_Cuotas),-N(V_L1_Monto))-DO$280),0)*DO$9</f>
        <v>0</v>
      </c>
      <c r="DP281" s="48" t="n">
        <f aca="false">IF(AND((115-N(V_L1_Mes)+1)&gt;N(V_L1_Gracia),(115-N(V_L1_Mes)+1)&lt;=N(V_L1_Gracia)+N(V_L1_Cuotas),N(V_L1_Cuotas)&gt;0),IF((115-N(V_L1_Mes)+1)=N(V_L1_Gracia)+N(V_L1_Cuotas),IF((115-N(V_L1_Mes)+1)=1,N(V_L1_Monto),DO$282),PMT(N(V_L1_Tasa)/12,N(V_L1_Cuotas),-N(V_L1_Monto))-DP$280),0)*DP$9</f>
        <v>0</v>
      </c>
      <c r="DQ281" s="48" t="n">
        <f aca="false">IF(AND((116-N(V_L1_Mes)+1)&gt;N(V_L1_Gracia),(116-N(V_L1_Mes)+1)&lt;=N(V_L1_Gracia)+N(V_L1_Cuotas),N(V_L1_Cuotas)&gt;0),IF((116-N(V_L1_Mes)+1)=N(V_L1_Gracia)+N(V_L1_Cuotas),IF((116-N(V_L1_Mes)+1)=1,N(V_L1_Monto),DP$282),PMT(N(V_L1_Tasa)/12,N(V_L1_Cuotas),-N(V_L1_Monto))-DQ$280),0)*DQ$9</f>
        <v>0</v>
      </c>
      <c r="DR281" s="48" t="n">
        <f aca="false">IF(AND((117-N(V_L1_Mes)+1)&gt;N(V_L1_Gracia),(117-N(V_L1_Mes)+1)&lt;=N(V_L1_Gracia)+N(V_L1_Cuotas),N(V_L1_Cuotas)&gt;0),IF((117-N(V_L1_Mes)+1)=N(V_L1_Gracia)+N(V_L1_Cuotas),IF((117-N(V_L1_Mes)+1)=1,N(V_L1_Monto),DQ$282),PMT(N(V_L1_Tasa)/12,N(V_L1_Cuotas),-N(V_L1_Monto))-DR$280),0)*DR$9</f>
        <v>0</v>
      </c>
      <c r="DS281" s="48" t="n">
        <f aca="false">IF(AND((118-N(V_L1_Mes)+1)&gt;N(V_L1_Gracia),(118-N(V_L1_Mes)+1)&lt;=N(V_L1_Gracia)+N(V_L1_Cuotas),N(V_L1_Cuotas)&gt;0),IF((118-N(V_L1_Mes)+1)=N(V_L1_Gracia)+N(V_L1_Cuotas),IF((118-N(V_L1_Mes)+1)=1,N(V_L1_Monto),DR$282),PMT(N(V_L1_Tasa)/12,N(V_L1_Cuotas),-N(V_L1_Monto))-DS$280),0)*DS$9</f>
        <v>0</v>
      </c>
      <c r="DT281" s="48" t="n">
        <f aca="false">IF(AND((119-N(V_L1_Mes)+1)&gt;N(V_L1_Gracia),(119-N(V_L1_Mes)+1)&lt;=N(V_L1_Gracia)+N(V_L1_Cuotas),N(V_L1_Cuotas)&gt;0),IF((119-N(V_L1_Mes)+1)=N(V_L1_Gracia)+N(V_L1_Cuotas),IF((119-N(V_L1_Mes)+1)=1,N(V_L1_Monto),DS$282),PMT(N(V_L1_Tasa)/12,N(V_L1_Cuotas),-N(V_L1_Monto))-DT$280),0)*DT$9</f>
        <v>0</v>
      </c>
      <c r="DU281" s="48" t="n">
        <f aca="false">IF(AND((120-N(V_L1_Mes)+1)&gt;N(V_L1_Gracia),(120-N(V_L1_Mes)+1)&lt;=N(V_L1_Gracia)+N(V_L1_Cuotas),N(V_L1_Cuotas)&gt;0),IF((120-N(V_L1_Mes)+1)=N(V_L1_Gracia)+N(V_L1_Cuotas),IF((120-N(V_L1_Mes)+1)=1,N(V_L1_Monto),DT$282),PMT(N(V_L1_Tasa)/12,N(V_L1_Cuotas),-N(V_L1_Monto))-DU$280),0)*DU$9</f>
        <v>0</v>
      </c>
      <c r="DV281" s="48" t="n">
        <f aca="false">IF(AND((121-N(V_L1_Mes)+1)&gt;N(V_L1_Gracia),(121-N(V_L1_Mes)+1)&lt;=N(V_L1_Gracia)+N(V_L1_Cuotas),N(V_L1_Cuotas)&gt;0),IF((121-N(V_L1_Mes)+1)=N(V_L1_Gracia)+N(V_L1_Cuotas),IF((121-N(V_L1_Mes)+1)=1,N(V_L1_Monto),DU$282),PMT(N(V_L1_Tasa)/12,N(V_L1_Cuotas),-N(V_L1_Monto))-DV$280),0)*DV$9</f>
        <v>0</v>
      </c>
      <c r="DW281" s="48" t="n">
        <f aca="false">IF(AND((122-N(V_L1_Mes)+1)&gt;N(V_L1_Gracia),(122-N(V_L1_Mes)+1)&lt;=N(V_L1_Gracia)+N(V_L1_Cuotas),N(V_L1_Cuotas)&gt;0),IF((122-N(V_L1_Mes)+1)=N(V_L1_Gracia)+N(V_L1_Cuotas),IF((122-N(V_L1_Mes)+1)=1,N(V_L1_Monto),DV$282),PMT(N(V_L1_Tasa)/12,N(V_L1_Cuotas),-N(V_L1_Monto))-DW$280),0)*DW$9</f>
        <v>0</v>
      </c>
      <c r="DX281" s="48" t="n">
        <f aca="false">IF(AND((123-N(V_L1_Mes)+1)&gt;N(V_L1_Gracia),(123-N(V_L1_Mes)+1)&lt;=N(V_L1_Gracia)+N(V_L1_Cuotas),N(V_L1_Cuotas)&gt;0),IF((123-N(V_L1_Mes)+1)=N(V_L1_Gracia)+N(V_L1_Cuotas),IF((123-N(V_L1_Mes)+1)=1,N(V_L1_Monto),DW$282),PMT(N(V_L1_Tasa)/12,N(V_L1_Cuotas),-N(V_L1_Monto))-DX$280),0)*DX$9</f>
        <v>0</v>
      </c>
      <c r="DY281" s="48" t="n">
        <f aca="false">IF(AND((124-N(V_L1_Mes)+1)&gt;N(V_L1_Gracia),(124-N(V_L1_Mes)+1)&lt;=N(V_L1_Gracia)+N(V_L1_Cuotas),N(V_L1_Cuotas)&gt;0),IF((124-N(V_L1_Mes)+1)=N(V_L1_Gracia)+N(V_L1_Cuotas),IF((124-N(V_L1_Mes)+1)=1,N(V_L1_Monto),DX$282),PMT(N(V_L1_Tasa)/12,N(V_L1_Cuotas),-N(V_L1_Monto))-DY$280),0)*DY$9</f>
        <v>0</v>
      </c>
      <c r="DZ281" s="48" t="n">
        <f aca="false">IF(AND((125-N(V_L1_Mes)+1)&gt;N(V_L1_Gracia),(125-N(V_L1_Mes)+1)&lt;=N(V_L1_Gracia)+N(V_L1_Cuotas),N(V_L1_Cuotas)&gt;0),IF((125-N(V_L1_Mes)+1)=N(V_L1_Gracia)+N(V_L1_Cuotas),IF((125-N(V_L1_Mes)+1)=1,N(V_L1_Monto),DY$282),PMT(N(V_L1_Tasa)/12,N(V_L1_Cuotas),-N(V_L1_Monto))-DZ$280),0)*DZ$9</f>
        <v>0</v>
      </c>
      <c r="EA281" s="48" t="n">
        <f aca="false">IF(AND((126-N(V_L1_Mes)+1)&gt;N(V_L1_Gracia),(126-N(V_L1_Mes)+1)&lt;=N(V_L1_Gracia)+N(V_L1_Cuotas),N(V_L1_Cuotas)&gt;0),IF((126-N(V_L1_Mes)+1)=N(V_L1_Gracia)+N(V_L1_Cuotas),IF((126-N(V_L1_Mes)+1)=1,N(V_L1_Monto),DZ$282),PMT(N(V_L1_Tasa)/12,N(V_L1_Cuotas),-N(V_L1_Monto))-EA$280),0)*EA$9</f>
        <v>0</v>
      </c>
      <c r="EB281" s="48" t="n">
        <f aca="false">IF(AND((127-N(V_L1_Mes)+1)&gt;N(V_L1_Gracia),(127-N(V_L1_Mes)+1)&lt;=N(V_L1_Gracia)+N(V_L1_Cuotas),N(V_L1_Cuotas)&gt;0),IF((127-N(V_L1_Mes)+1)=N(V_L1_Gracia)+N(V_L1_Cuotas),IF((127-N(V_L1_Mes)+1)=1,N(V_L1_Monto),EA$282),PMT(N(V_L1_Tasa)/12,N(V_L1_Cuotas),-N(V_L1_Monto))-EB$280),0)*EB$9</f>
        <v>0</v>
      </c>
      <c r="EC281" s="48" t="n">
        <f aca="false">IF(AND((128-N(V_L1_Mes)+1)&gt;N(V_L1_Gracia),(128-N(V_L1_Mes)+1)&lt;=N(V_L1_Gracia)+N(V_L1_Cuotas),N(V_L1_Cuotas)&gt;0),IF((128-N(V_L1_Mes)+1)=N(V_L1_Gracia)+N(V_L1_Cuotas),IF((128-N(V_L1_Mes)+1)=1,N(V_L1_Monto),EB$282),PMT(N(V_L1_Tasa)/12,N(V_L1_Cuotas),-N(V_L1_Monto))-EC$280),0)*EC$9</f>
        <v>0</v>
      </c>
      <c r="ED281" s="48" t="n">
        <f aca="false">IF(AND((129-N(V_L1_Mes)+1)&gt;N(V_L1_Gracia),(129-N(V_L1_Mes)+1)&lt;=N(V_L1_Gracia)+N(V_L1_Cuotas),N(V_L1_Cuotas)&gt;0),IF((129-N(V_L1_Mes)+1)=N(V_L1_Gracia)+N(V_L1_Cuotas),IF((129-N(V_L1_Mes)+1)=1,N(V_L1_Monto),EC$282),PMT(N(V_L1_Tasa)/12,N(V_L1_Cuotas),-N(V_L1_Monto))-ED$280),0)*ED$9</f>
        <v>0</v>
      </c>
      <c r="EE281" s="48" t="n">
        <f aca="false">IF(AND((130-N(V_L1_Mes)+1)&gt;N(V_L1_Gracia),(130-N(V_L1_Mes)+1)&lt;=N(V_L1_Gracia)+N(V_L1_Cuotas),N(V_L1_Cuotas)&gt;0),IF((130-N(V_L1_Mes)+1)=N(V_L1_Gracia)+N(V_L1_Cuotas),IF((130-N(V_L1_Mes)+1)=1,N(V_L1_Monto),ED$282),PMT(N(V_L1_Tasa)/12,N(V_L1_Cuotas),-N(V_L1_Monto))-EE$280),0)*EE$9</f>
        <v>0</v>
      </c>
      <c r="EF281" s="48" t="n">
        <f aca="false">IF(AND((131-N(V_L1_Mes)+1)&gt;N(V_L1_Gracia),(131-N(V_L1_Mes)+1)&lt;=N(V_L1_Gracia)+N(V_L1_Cuotas),N(V_L1_Cuotas)&gt;0),IF((131-N(V_L1_Mes)+1)=N(V_L1_Gracia)+N(V_L1_Cuotas),IF((131-N(V_L1_Mes)+1)=1,N(V_L1_Monto),EE$282),PMT(N(V_L1_Tasa)/12,N(V_L1_Cuotas),-N(V_L1_Monto))-EF$280),0)*EF$9</f>
        <v>0</v>
      </c>
      <c r="EG281" s="48" t="n">
        <f aca="false">IF(AND((132-N(V_L1_Mes)+1)&gt;N(V_L1_Gracia),(132-N(V_L1_Mes)+1)&lt;=N(V_L1_Gracia)+N(V_L1_Cuotas),N(V_L1_Cuotas)&gt;0),IF((132-N(V_L1_Mes)+1)=N(V_L1_Gracia)+N(V_L1_Cuotas),IF((132-N(V_L1_Mes)+1)=1,N(V_L1_Monto),EF$282),PMT(N(V_L1_Tasa)/12,N(V_L1_Cuotas),-N(V_L1_Monto))-EG$280),0)*EG$9</f>
        <v>0</v>
      </c>
      <c r="EH281" s="48" t="n">
        <f aca="false">IF(AND((133-N(V_L1_Mes)+1)&gt;N(V_L1_Gracia),(133-N(V_L1_Mes)+1)&lt;=N(V_L1_Gracia)+N(V_L1_Cuotas),N(V_L1_Cuotas)&gt;0),IF((133-N(V_L1_Mes)+1)=N(V_L1_Gracia)+N(V_L1_Cuotas),IF((133-N(V_L1_Mes)+1)=1,N(V_L1_Monto),EG$282),PMT(N(V_L1_Tasa)/12,N(V_L1_Cuotas),-N(V_L1_Monto))-EH$280),0)*EH$9</f>
        <v>0</v>
      </c>
      <c r="EI281" s="48" t="n">
        <f aca="false">IF(AND((134-N(V_L1_Mes)+1)&gt;N(V_L1_Gracia),(134-N(V_L1_Mes)+1)&lt;=N(V_L1_Gracia)+N(V_L1_Cuotas),N(V_L1_Cuotas)&gt;0),IF((134-N(V_L1_Mes)+1)=N(V_L1_Gracia)+N(V_L1_Cuotas),IF((134-N(V_L1_Mes)+1)=1,N(V_L1_Monto),EH$282),PMT(N(V_L1_Tasa)/12,N(V_L1_Cuotas),-N(V_L1_Monto))-EI$280),0)*EI$9</f>
        <v>0</v>
      </c>
      <c r="EJ281" s="48" t="n">
        <f aca="false">IF(AND((135-N(V_L1_Mes)+1)&gt;N(V_L1_Gracia),(135-N(V_L1_Mes)+1)&lt;=N(V_L1_Gracia)+N(V_L1_Cuotas),N(V_L1_Cuotas)&gt;0),IF((135-N(V_L1_Mes)+1)=N(V_L1_Gracia)+N(V_L1_Cuotas),IF((135-N(V_L1_Mes)+1)=1,N(V_L1_Monto),EI$282),PMT(N(V_L1_Tasa)/12,N(V_L1_Cuotas),-N(V_L1_Monto))-EJ$280),0)*EJ$9</f>
        <v>0</v>
      </c>
      <c r="EK281" s="48" t="n">
        <f aca="false">IF(AND((136-N(V_L1_Mes)+1)&gt;N(V_L1_Gracia),(136-N(V_L1_Mes)+1)&lt;=N(V_L1_Gracia)+N(V_L1_Cuotas),N(V_L1_Cuotas)&gt;0),IF((136-N(V_L1_Mes)+1)=N(V_L1_Gracia)+N(V_L1_Cuotas),IF((136-N(V_L1_Mes)+1)=1,N(V_L1_Monto),EJ$282),PMT(N(V_L1_Tasa)/12,N(V_L1_Cuotas),-N(V_L1_Monto))-EK$280),0)*EK$9</f>
        <v>0</v>
      </c>
      <c r="EL281" s="48" t="n">
        <f aca="false">IF(AND((137-N(V_L1_Mes)+1)&gt;N(V_L1_Gracia),(137-N(V_L1_Mes)+1)&lt;=N(V_L1_Gracia)+N(V_L1_Cuotas),N(V_L1_Cuotas)&gt;0),IF((137-N(V_L1_Mes)+1)=N(V_L1_Gracia)+N(V_L1_Cuotas),IF((137-N(V_L1_Mes)+1)=1,N(V_L1_Monto),EK$282),PMT(N(V_L1_Tasa)/12,N(V_L1_Cuotas),-N(V_L1_Monto))-EL$280),0)*EL$9</f>
        <v>0</v>
      </c>
      <c r="EM281" s="48" t="n">
        <f aca="false">IF(AND((138-N(V_L1_Mes)+1)&gt;N(V_L1_Gracia),(138-N(V_L1_Mes)+1)&lt;=N(V_L1_Gracia)+N(V_L1_Cuotas),N(V_L1_Cuotas)&gt;0),IF((138-N(V_L1_Mes)+1)=N(V_L1_Gracia)+N(V_L1_Cuotas),IF((138-N(V_L1_Mes)+1)=1,N(V_L1_Monto),EL$282),PMT(N(V_L1_Tasa)/12,N(V_L1_Cuotas),-N(V_L1_Monto))-EM$280),0)*EM$9</f>
        <v>0</v>
      </c>
      <c r="EN281" s="48" t="n">
        <f aca="false">IF(AND((139-N(V_L1_Mes)+1)&gt;N(V_L1_Gracia),(139-N(V_L1_Mes)+1)&lt;=N(V_L1_Gracia)+N(V_L1_Cuotas),N(V_L1_Cuotas)&gt;0),IF((139-N(V_L1_Mes)+1)=N(V_L1_Gracia)+N(V_L1_Cuotas),IF((139-N(V_L1_Mes)+1)=1,N(V_L1_Monto),EM$282),PMT(N(V_L1_Tasa)/12,N(V_L1_Cuotas),-N(V_L1_Monto))-EN$280),0)*EN$9</f>
        <v>0</v>
      </c>
      <c r="EO281" s="48" t="n">
        <f aca="false">IF(AND((140-N(V_L1_Mes)+1)&gt;N(V_L1_Gracia),(140-N(V_L1_Mes)+1)&lt;=N(V_L1_Gracia)+N(V_L1_Cuotas),N(V_L1_Cuotas)&gt;0),IF((140-N(V_L1_Mes)+1)=N(V_L1_Gracia)+N(V_L1_Cuotas),IF((140-N(V_L1_Mes)+1)=1,N(V_L1_Monto),EN$282),PMT(N(V_L1_Tasa)/12,N(V_L1_Cuotas),-N(V_L1_Monto))-EO$280),0)*EO$9</f>
        <v>0</v>
      </c>
      <c r="EP281" s="48" t="n">
        <f aca="false">IF(AND((141-N(V_L1_Mes)+1)&gt;N(V_L1_Gracia),(141-N(V_L1_Mes)+1)&lt;=N(V_L1_Gracia)+N(V_L1_Cuotas),N(V_L1_Cuotas)&gt;0),IF((141-N(V_L1_Mes)+1)=N(V_L1_Gracia)+N(V_L1_Cuotas),IF((141-N(V_L1_Mes)+1)=1,N(V_L1_Monto),EO$282),PMT(N(V_L1_Tasa)/12,N(V_L1_Cuotas),-N(V_L1_Monto))-EP$280),0)*EP$9</f>
        <v>0</v>
      </c>
      <c r="EQ281" s="48" t="n">
        <f aca="false">IF(AND((142-N(V_L1_Mes)+1)&gt;N(V_L1_Gracia),(142-N(V_L1_Mes)+1)&lt;=N(V_L1_Gracia)+N(V_L1_Cuotas),N(V_L1_Cuotas)&gt;0),IF((142-N(V_L1_Mes)+1)=N(V_L1_Gracia)+N(V_L1_Cuotas),IF((142-N(V_L1_Mes)+1)=1,N(V_L1_Monto),EP$282),PMT(N(V_L1_Tasa)/12,N(V_L1_Cuotas),-N(V_L1_Monto))-EQ$280),0)*EQ$9</f>
        <v>0</v>
      </c>
      <c r="ER281" s="48" t="n">
        <f aca="false">IF(AND((143-N(V_L1_Mes)+1)&gt;N(V_L1_Gracia),(143-N(V_L1_Mes)+1)&lt;=N(V_L1_Gracia)+N(V_L1_Cuotas),N(V_L1_Cuotas)&gt;0),IF((143-N(V_L1_Mes)+1)=N(V_L1_Gracia)+N(V_L1_Cuotas),IF((143-N(V_L1_Mes)+1)=1,N(V_L1_Monto),EQ$282),PMT(N(V_L1_Tasa)/12,N(V_L1_Cuotas),-N(V_L1_Monto))-ER$280),0)*ER$9</f>
        <v>0</v>
      </c>
      <c r="ES281" s="48" t="n">
        <f aca="false">IF(AND((144-N(V_L1_Mes)+1)&gt;N(V_L1_Gracia),(144-N(V_L1_Mes)+1)&lt;=N(V_L1_Gracia)+N(V_L1_Cuotas),N(V_L1_Cuotas)&gt;0),IF((144-N(V_L1_Mes)+1)=N(V_L1_Gracia)+N(V_L1_Cuotas),IF((144-N(V_L1_Mes)+1)=1,N(V_L1_Monto),ER$282),PMT(N(V_L1_Tasa)/12,N(V_L1_Cuotas),-N(V_L1_Monto))-ES$280),0)*ES$9</f>
        <v>0</v>
      </c>
    </row>
    <row r="282" customFormat="false" ht="15" hidden="false" customHeight="false" outlineLevel="0" collapsed="false">
      <c r="A282" s="11" t="s">
        <v>1400</v>
      </c>
      <c r="B282" s="15" t="s">
        <v>1217</v>
      </c>
      <c r="C282" s="15" t="s">
        <v>508</v>
      </c>
      <c r="E282" s="54" t="n">
        <f aca="false">INDEX(F282:ES282,1,MIN(144,Fin))</f>
        <v>0</v>
      </c>
      <c r="F282" s="48" t="n">
        <f aca="false">IF((1-N(V_L1_Mes)+1)&lt;1,0,IF((1-N(V_L1_Mes)+1)=1,N(V_L1_Monto),0)-F$281)</f>
        <v>2791587</v>
      </c>
      <c r="G282" s="48" t="n">
        <f aca="false">IF((2-N(V_L1_Mes)+1)&lt;1,0,IF((2-N(V_L1_Mes)+1)=1,N(V_L1_Monto),F$282)-G$281)</f>
        <v>2791587</v>
      </c>
      <c r="H282" s="48" t="n">
        <f aca="false">IF((3-N(V_L1_Mes)+1)&lt;1,0,IF((3-N(V_L1_Mes)+1)=1,N(V_L1_Monto),G$282)-H$281)</f>
        <v>2791587</v>
      </c>
      <c r="I282" s="48" t="n">
        <f aca="false">IF((4-N(V_L1_Mes)+1)&lt;1,0,IF((4-N(V_L1_Mes)+1)=1,N(V_L1_Monto),H$282)-I$281)</f>
        <v>2791587</v>
      </c>
      <c r="J282" s="48" t="n">
        <f aca="false">IF((5-N(V_L1_Mes)+1)&lt;1,0,IF((5-N(V_L1_Mes)+1)=1,N(V_L1_Monto),I$282)-J$281)</f>
        <v>2791587</v>
      </c>
      <c r="K282" s="48" t="n">
        <f aca="false">IF((6-N(V_L1_Mes)+1)&lt;1,0,IF((6-N(V_L1_Mes)+1)=1,N(V_L1_Monto),J$282)-K$281)</f>
        <v>2791587</v>
      </c>
      <c r="L282" s="48" t="n">
        <f aca="false">IF((7-N(V_L1_Mes)+1)&lt;1,0,IF((7-N(V_L1_Mes)+1)=1,N(V_L1_Monto),K$282)-L$281)</f>
        <v>2749463.69590531</v>
      </c>
      <c r="M282" s="48" t="n">
        <f aca="false">IF((8-N(V_L1_Mes)+1)&lt;1,0,IF((8-N(V_L1_Mes)+1)=1,N(V_L1_Monto),L$282)-M$281)</f>
        <v>2707024.46702991</v>
      </c>
      <c r="N282" s="48" t="n">
        <f aca="false">IF((9-N(V_L1_Mes)+1)&lt;1,0,IF((9-N(V_L1_Mes)+1)=1,N(V_L1_Monto),M$282)-N$281)</f>
        <v>2664266.94393795</v>
      </c>
      <c r="O282" s="48" t="n">
        <f aca="false">IF((10-N(V_L1_Mes)+1)&lt;1,0,IF((10-N(V_L1_Mes)+1)=1,N(V_L1_Monto),N$282)-O$281)</f>
        <v>2621188.7394228</v>
      </c>
      <c r="P282" s="48" t="n">
        <f aca="false">IF((11-N(V_L1_Mes)+1)&lt;1,0,IF((11-N(V_L1_Mes)+1)=1,N(V_L1_Monto),O$282)-P$281)</f>
        <v>2577787.44837378</v>
      </c>
      <c r="Q282" s="48" t="n">
        <f aca="false">IF((12-N(V_L1_Mes)+1)&lt;1,0,IF((12-N(V_L1_Mes)+1)=1,N(V_L1_Monto),P$282)-Q$281)</f>
        <v>2534060.6476419</v>
      </c>
      <c r="R282" s="48" t="n">
        <f aca="false">IF((13-N(V_L1_Mes)+1)&lt;1,0,IF((13-N(V_L1_Mes)+1)=1,N(V_L1_Monto),Q$282)-R$281)</f>
        <v>2490005.89590452</v>
      </c>
      <c r="S282" s="48" t="n">
        <f aca="false">IF((14-N(V_L1_Mes)+1)&lt;1,0,IF((14-N(V_L1_Mes)+1)=1,N(V_L1_Monto),R$282)-S$281)</f>
        <v>2445620.73352912</v>
      </c>
      <c r="T282" s="48" t="n">
        <f aca="false">IF((15-N(V_L1_Mes)+1)&lt;1,0,IF((15-N(V_L1_Mes)+1)=1,N(V_L1_Monto),S$282)-T$281)</f>
        <v>2400902.6824359</v>
      </c>
      <c r="U282" s="48" t="n">
        <f aca="false">IF((16-N(V_L1_Mes)+1)&lt;1,0,IF((16-N(V_L1_Mes)+1)=1,N(V_L1_Monto),T$282)-U$281)</f>
        <v>2355849.24595948</v>
      </c>
      <c r="V282" s="48" t="n">
        <f aca="false">IF((17-N(V_L1_Mes)+1)&lt;1,0,IF((17-N(V_L1_Mes)+1)=1,N(V_L1_Monto),U$282)-V$281)</f>
        <v>2310457.90870949</v>
      </c>
      <c r="W282" s="48" t="n">
        <f aca="false">IF((18-N(V_L1_Mes)+1)&lt;1,0,IF((18-N(V_L1_Mes)+1)=1,N(V_L1_Monto),V$282)-W$281)</f>
        <v>2264726.13643012</v>
      </c>
      <c r="X282" s="48" t="n">
        <f aca="false">IF((19-N(V_L1_Mes)+1)&lt;1,0,IF((19-N(V_L1_Mes)+1)=1,N(V_L1_Monto),W$282)-X$281)</f>
        <v>2218651.37585866</v>
      </c>
      <c r="Y282" s="48" t="n">
        <f aca="false">IF((20-N(V_L1_Mes)+1)&lt;1,0,IF((20-N(V_L1_Mes)+1)=1,N(V_L1_Monto),X$282)-Y$281)</f>
        <v>2172231.05458292</v>
      </c>
      <c r="Z282" s="48" t="n">
        <f aca="false">IF((21-N(V_L1_Mes)+1)&lt;1,0,IF((21-N(V_L1_Mes)+1)=1,N(V_L1_Monto),Y$282)-Z$281)</f>
        <v>2125462.5808976</v>
      </c>
      <c r="AA282" s="48" t="n">
        <f aca="false">IF((22-N(V_L1_Mes)+1)&lt;1,0,IF((22-N(V_L1_Mes)+1)=1,N(V_L1_Monto),Z$282)-AA$281)</f>
        <v>2078343.34365964</v>
      </c>
      <c r="AB282" s="48" t="n">
        <f aca="false">IF((23-N(V_L1_Mes)+1)&lt;1,0,IF((23-N(V_L1_Mes)+1)=1,N(V_L1_Monto),AA$282)-AB$281)</f>
        <v>2030870.7121424</v>
      </c>
      <c r="AC282" s="48" t="n">
        <f aca="false">IF((24-N(V_L1_Mes)+1)&lt;1,0,IF((24-N(V_L1_Mes)+1)=1,N(V_L1_Monto),AB$282)-AC$281)</f>
        <v>1983042.03588878</v>
      </c>
      <c r="AD282" s="48" t="n">
        <f aca="false">IF((25-N(V_L1_Mes)+1)&lt;1,0,IF((25-N(V_L1_Mes)+1)=1,N(V_L1_Monto),AC$282)-AD$281)</f>
        <v>1934854.64456326</v>
      </c>
      <c r="AE282" s="48" t="n">
        <f aca="false">IF((26-N(V_L1_Mes)+1)&lt;1,0,IF((26-N(V_L1_Mes)+1)=1,N(V_L1_Monto),AD$282)-AE$281)</f>
        <v>1886305.8478028</v>
      </c>
      <c r="AF282" s="48" t="n">
        <f aca="false">IF((27-N(V_L1_Mes)+1)&lt;1,0,IF((27-N(V_L1_Mes)+1)=1,N(V_L1_Monto),AE$282)-AF$281)</f>
        <v>1837392.93506663</v>
      </c>
      <c r="AG282" s="48" t="n">
        <f aca="false">IF((28-N(V_L1_Mes)+1)&lt;1,0,IF((28-N(V_L1_Mes)+1)=1,N(V_L1_Monto),AF$282)-AG$281)</f>
        <v>1788113.17548494</v>
      </c>
      <c r="AH282" s="48" t="n">
        <f aca="false">IF((29-N(V_L1_Mes)+1)&lt;1,0,IF((29-N(V_L1_Mes)+1)=1,N(V_L1_Monto),AG$282)-AH$281)</f>
        <v>1738463.81770639</v>
      </c>
      <c r="AI282" s="48" t="n">
        <f aca="false">IF((30-N(V_L1_Mes)+1)&lt;1,0,IF((30-N(V_L1_Mes)+1)=1,N(V_L1_Monto),AH$282)-AI$281)</f>
        <v>1688442.0897445</v>
      </c>
      <c r="AJ282" s="48" t="n">
        <f aca="false">IF((31-N(V_L1_Mes)+1)&lt;1,0,IF((31-N(V_L1_Mes)+1)=1,N(V_L1_Monto),AI$282)-AJ$281)</f>
        <v>1638045.1988229</v>
      </c>
      <c r="AK282" s="48" t="n">
        <f aca="false">IF((32-N(V_L1_Mes)+1)&lt;1,0,IF((32-N(V_L1_Mes)+1)=1,N(V_L1_Monto),AJ$282)-AK$281)</f>
        <v>1587270.33121938</v>
      </c>
      <c r="AL282" s="48" t="n">
        <f aca="false">IF((33-N(V_L1_Mes)+1)&lt;1,0,IF((33-N(V_L1_Mes)+1)=1,N(V_L1_Monto),AK$282)-AL$281)</f>
        <v>1536114.65210884</v>
      </c>
      <c r="AM282" s="48" t="n">
        <f aca="false">IF((34-N(V_L1_Mes)+1)&lt;1,0,IF((34-N(V_L1_Mes)+1)=1,N(V_L1_Monto),AL$282)-AM$281)</f>
        <v>1484575.30540497</v>
      </c>
      <c r="AN282" s="48" t="n">
        <f aca="false">IF((35-N(V_L1_Mes)+1)&lt;1,0,IF((35-N(V_L1_Mes)+1)=1,N(V_L1_Monto),AM$282)-AN$281)</f>
        <v>1432649.41360082</v>
      </c>
      <c r="AO282" s="48" t="n">
        <f aca="false">IF((36-N(V_L1_Mes)+1)&lt;1,0,IF((36-N(V_L1_Mes)+1)=1,N(V_L1_Monto),AN$282)-AO$281)</f>
        <v>1380334.07760814</v>
      </c>
      <c r="AP282" s="48" t="n">
        <f aca="false">IF((37-N(V_L1_Mes)+1)&lt;1,0,IF((37-N(V_L1_Mes)+1)=1,N(V_L1_Monto),AO$282)-AP$281)</f>
        <v>1327626.37659551</v>
      </c>
      <c r="AQ282" s="48" t="n">
        <f aca="false">IF((38-N(V_L1_Mes)+1)&lt;1,0,IF((38-N(V_L1_Mes)+1)=1,N(V_L1_Monto),AP$282)-AQ$281)</f>
        <v>1274523.36782529</v>
      </c>
      <c r="AR282" s="48" t="n">
        <f aca="false">IF((39-N(V_L1_Mes)+1)&lt;1,0,IF((39-N(V_L1_Mes)+1)=1,N(V_L1_Monto),AQ$282)-AR$281)</f>
        <v>1221022.08648929</v>
      </c>
      <c r="AS282" s="48" t="n">
        <f aca="false">IF((40-N(V_L1_Mes)+1)&lt;1,0,IF((40-N(V_L1_Mes)+1)=1,N(V_L1_Monto),AR$282)-AS$281)</f>
        <v>1167119.54554327</v>
      </c>
      <c r="AT282" s="48" t="n">
        <f aca="false">IF((41-N(V_L1_Mes)+1)&lt;1,0,IF((41-N(V_L1_Mes)+1)=1,N(V_L1_Monto),AS$282)-AT$281)</f>
        <v>1112812.73554016</v>
      </c>
      <c r="AU282" s="48" t="n">
        <f aca="false">IF((42-N(V_L1_Mes)+1)&lt;1,0,IF((42-N(V_L1_Mes)+1)=1,N(V_L1_Monto),AT$282)-AU$281)</f>
        <v>1058098.62446202</v>
      </c>
      <c r="AV282" s="48" t="n">
        <f aca="false">IF((43-N(V_L1_Mes)+1)&lt;1,0,IF((43-N(V_L1_Mes)+1)=1,N(V_L1_Monto),AU$282)-AV$281)</f>
        <v>1002974.1575508</v>
      </c>
      <c r="AW282" s="48" t="n">
        <f aca="false">IF((44-N(V_L1_Mes)+1)&lt;1,0,IF((44-N(V_L1_Mes)+1)=1,N(V_L1_Monto),AV$282)-AW$281)</f>
        <v>947436.257137743</v>
      </c>
      <c r="AX282" s="48" t="n">
        <f aca="false">IF((45-N(V_L1_Mes)+1)&lt;1,0,IF((45-N(V_L1_Mes)+1)=1,N(V_L1_Monto),AW$282)-AX$281)</f>
        <v>891481.822471588</v>
      </c>
      <c r="AY282" s="48" t="n">
        <f aca="false">IF((46-N(V_L1_Mes)+1)&lt;1,0,IF((46-N(V_L1_Mes)+1)=1,N(V_L1_Monto),AX$282)-AY$281)</f>
        <v>835107.729545437</v>
      </c>
      <c r="AZ282" s="48" t="n">
        <f aca="false">IF((47-N(V_L1_Mes)+1)&lt;1,0,IF((47-N(V_L1_Mes)+1)=1,N(V_L1_Monto),AY$282)-AZ$281)</f>
        <v>778310.83092234</v>
      </c>
      <c r="BA282" s="48" t="n">
        <f aca="false">IF((48-N(V_L1_Mes)+1)&lt;1,0,IF((48-N(V_L1_Mes)+1)=1,N(V_L1_Monto),AZ$282)-BA$281)</f>
        <v>721087.95555957</v>
      </c>
      <c r="BB282" s="48" t="n">
        <f aca="false">IF((49-N(V_L1_Mes)+1)&lt;1,0,IF((49-N(V_L1_Mes)+1)=1,N(V_L1_Monto),BA$282)-BB$281)</f>
        <v>663435.908631579</v>
      </c>
      <c r="BC282" s="48" t="n">
        <f aca="false">IF((50-N(V_L1_Mes)+1)&lt;1,0,IF((50-N(V_L1_Mes)+1)=1,N(V_L1_Monto),BB$282)-BC$281)</f>
        <v>605351.471351628</v>
      </c>
      <c r="BD282" s="48" t="n">
        <f aca="false">IF((51-N(V_L1_Mes)+1)&lt;1,0,IF((51-N(V_L1_Mes)+1)=1,N(V_L1_Monto),BC$282)-BD$281)</f>
        <v>546831.400792078</v>
      </c>
      <c r="BE282" s="48" t="n">
        <f aca="false">IF((52-N(V_L1_Mes)+1)&lt;1,0,IF((52-N(V_L1_Mes)+1)=1,N(V_L1_Monto),BD$282)-BE$281)</f>
        <v>487872.429703331</v>
      </c>
      <c r="BF282" s="48" t="n">
        <f aca="false">IF((53-N(V_L1_Mes)+1)&lt;1,0,IF((53-N(V_L1_Mes)+1)=1,N(V_L1_Monto),BE$282)-BF$281)</f>
        <v>428471.266331418</v>
      </c>
      <c r="BG282" s="48" t="n">
        <f aca="false">IF((54-N(V_L1_Mes)+1)&lt;1,0,IF((54-N(V_L1_Mes)+1)=1,N(V_L1_Monto),BF$282)-BG$281)</f>
        <v>368624.594234216</v>
      </c>
      <c r="BH282" s="48" t="n">
        <f aca="false">IF((55-N(V_L1_Mes)+1)&lt;1,0,IF((55-N(V_L1_Mes)+1)=1,N(V_L1_Monto),BG$282)-BH$281)</f>
        <v>308329.072096285</v>
      </c>
      <c r="BI282" s="48" t="n">
        <f aca="false">IF((56-N(V_L1_Mes)+1)&lt;1,0,IF((56-N(V_L1_Mes)+1)=1,N(V_L1_Monto),BH$282)-BI$281)</f>
        <v>247581.333542319</v>
      </c>
      <c r="BJ282" s="48" t="n">
        <f aca="false">IF((57-N(V_L1_Mes)+1)&lt;1,0,IF((57-N(V_L1_Mes)+1)=1,N(V_L1_Monto),BI$282)-BJ$281)</f>
        <v>186377.986949199</v>
      </c>
      <c r="BK282" s="48" t="n">
        <f aca="false">IF((58-N(V_L1_Mes)+1)&lt;1,0,IF((58-N(V_L1_Mes)+1)=1,N(V_L1_Monto),BJ$282)-BK$281)</f>
        <v>124715.61525663</v>
      </c>
      <c r="BL282" s="48" t="n">
        <f aca="false">IF((59-N(V_L1_Mes)+1)&lt;1,0,IF((59-N(V_L1_Mes)+1)=1,N(V_L1_Monto),BK$282)-BL$281)</f>
        <v>62590.7757763667</v>
      </c>
      <c r="BM282" s="48" t="n">
        <f aca="false">IF((60-N(V_L1_Mes)+1)&lt;1,0,IF((60-N(V_L1_Mes)+1)=1,N(V_L1_Monto),BL$282)-BM$281)</f>
        <v>0</v>
      </c>
      <c r="BN282" s="48" t="n">
        <f aca="false">IF((61-N(V_L1_Mes)+1)&lt;1,0,IF((61-N(V_L1_Mes)+1)=1,N(V_L1_Monto),BM$282)-BN$281)</f>
        <v>0</v>
      </c>
      <c r="BO282" s="48" t="n">
        <f aca="false">IF((62-N(V_L1_Mes)+1)&lt;1,0,IF((62-N(V_L1_Mes)+1)=1,N(V_L1_Monto),BN$282)-BO$281)</f>
        <v>0</v>
      </c>
      <c r="BP282" s="48" t="n">
        <f aca="false">IF((63-N(V_L1_Mes)+1)&lt;1,0,IF((63-N(V_L1_Mes)+1)=1,N(V_L1_Monto),BO$282)-BP$281)</f>
        <v>0</v>
      </c>
      <c r="BQ282" s="48" t="n">
        <f aca="false">IF((64-N(V_L1_Mes)+1)&lt;1,0,IF((64-N(V_L1_Mes)+1)=1,N(V_L1_Monto),BP$282)-BQ$281)</f>
        <v>0</v>
      </c>
      <c r="BR282" s="48" t="n">
        <f aca="false">IF((65-N(V_L1_Mes)+1)&lt;1,0,IF((65-N(V_L1_Mes)+1)=1,N(V_L1_Monto),BQ$282)-BR$281)</f>
        <v>0</v>
      </c>
      <c r="BS282" s="48" t="n">
        <f aca="false">IF((66-N(V_L1_Mes)+1)&lt;1,0,IF((66-N(V_L1_Mes)+1)=1,N(V_L1_Monto),BR$282)-BS$281)</f>
        <v>0</v>
      </c>
      <c r="BT282" s="48" t="n">
        <f aca="false">IF((67-N(V_L1_Mes)+1)&lt;1,0,IF((67-N(V_L1_Mes)+1)=1,N(V_L1_Monto),BS$282)-BT$281)</f>
        <v>0</v>
      </c>
      <c r="BU282" s="48" t="n">
        <f aca="false">IF((68-N(V_L1_Mes)+1)&lt;1,0,IF((68-N(V_L1_Mes)+1)=1,N(V_L1_Monto),BT$282)-BU$281)</f>
        <v>0</v>
      </c>
      <c r="BV282" s="48" t="n">
        <f aca="false">IF((69-N(V_L1_Mes)+1)&lt;1,0,IF((69-N(V_L1_Mes)+1)=1,N(V_L1_Monto),BU$282)-BV$281)</f>
        <v>0</v>
      </c>
      <c r="BW282" s="48" t="n">
        <f aca="false">IF((70-N(V_L1_Mes)+1)&lt;1,0,IF((70-N(V_L1_Mes)+1)=1,N(V_L1_Monto),BV$282)-BW$281)</f>
        <v>0</v>
      </c>
      <c r="BX282" s="48" t="n">
        <f aca="false">IF((71-N(V_L1_Mes)+1)&lt;1,0,IF((71-N(V_L1_Mes)+1)=1,N(V_L1_Monto),BW$282)-BX$281)</f>
        <v>0</v>
      </c>
      <c r="BY282" s="48" t="n">
        <f aca="false">IF((72-N(V_L1_Mes)+1)&lt;1,0,IF((72-N(V_L1_Mes)+1)=1,N(V_L1_Monto),BX$282)-BY$281)</f>
        <v>0</v>
      </c>
      <c r="BZ282" s="48" t="n">
        <f aca="false">IF((73-N(V_L1_Mes)+1)&lt;1,0,IF((73-N(V_L1_Mes)+1)=1,N(V_L1_Monto),BY$282)-BZ$281)</f>
        <v>0</v>
      </c>
      <c r="CA282" s="48" t="n">
        <f aca="false">IF((74-N(V_L1_Mes)+1)&lt;1,0,IF((74-N(V_L1_Mes)+1)=1,N(V_L1_Monto),BZ$282)-CA$281)</f>
        <v>0</v>
      </c>
      <c r="CB282" s="48" t="n">
        <f aca="false">IF((75-N(V_L1_Mes)+1)&lt;1,0,IF((75-N(V_L1_Mes)+1)=1,N(V_L1_Monto),CA$282)-CB$281)</f>
        <v>0</v>
      </c>
      <c r="CC282" s="48" t="n">
        <f aca="false">IF((76-N(V_L1_Mes)+1)&lt;1,0,IF((76-N(V_L1_Mes)+1)=1,N(V_L1_Monto),CB$282)-CC$281)</f>
        <v>0</v>
      </c>
      <c r="CD282" s="48" t="n">
        <f aca="false">IF((77-N(V_L1_Mes)+1)&lt;1,0,IF((77-N(V_L1_Mes)+1)=1,N(V_L1_Monto),CC$282)-CD$281)</f>
        <v>0</v>
      </c>
      <c r="CE282" s="48" t="n">
        <f aca="false">IF((78-N(V_L1_Mes)+1)&lt;1,0,IF((78-N(V_L1_Mes)+1)=1,N(V_L1_Monto),CD$282)-CE$281)</f>
        <v>0</v>
      </c>
      <c r="CF282" s="48" t="n">
        <f aca="false">IF((79-N(V_L1_Mes)+1)&lt;1,0,IF((79-N(V_L1_Mes)+1)=1,N(V_L1_Monto),CE$282)-CF$281)</f>
        <v>0</v>
      </c>
      <c r="CG282" s="48" t="n">
        <f aca="false">IF((80-N(V_L1_Mes)+1)&lt;1,0,IF((80-N(V_L1_Mes)+1)=1,N(V_L1_Monto),CF$282)-CG$281)</f>
        <v>0</v>
      </c>
      <c r="CH282" s="48" t="n">
        <f aca="false">IF((81-N(V_L1_Mes)+1)&lt;1,0,IF((81-N(V_L1_Mes)+1)=1,N(V_L1_Monto),CG$282)-CH$281)</f>
        <v>0</v>
      </c>
      <c r="CI282" s="48" t="n">
        <f aca="false">IF((82-N(V_L1_Mes)+1)&lt;1,0,IF((82-N(V_L1_Mes)+1)=1,N(V_L1_Monto),CH$282)-CI$281)</f>
        <v>0</v>
      </c>
      <c r="CJ282" s="48" t="n">
        <f aca="false">IF((83-N(V_L1_Mes)+1)&lt;1,0,IF((83-N(V_L1_Mes)+1)=1,N(V_L1_Monto),CI$282)-CJ$281)</f>
        <v>0</v>
      </c>
      <c r="CK282" s="48" t="n">
        <f aca="false">IF((84-N(V_L1_Mes)+1)&lt;1,0,IF((84-N(V_L1_Mes)+1)=1,N(V_L1_Monto),CJ$282)-CK$281)</f>
        <v>0</v>
      </c>
      <c r="CL282" s="48" t="n">
        <f aca="false">IF((85-N(V_L1_Mes)+1)&lt;1,0,IF((85-N(V_L1_Mes)+1)=1,N(V_L1_Monto),CK$282)-CL$281)</f>
        <v>0</v>
      </c>
      <c r="CM282" s="48" t="n">
        <f aca="false">IF((86-N(V_L1_Mes)+1)&lt;1,0,IF((86-N(V_L1_Mes)+1)=1,N(V_L1_Monto),CL$282)-CM$281)</f>
        <v>0</v>
      </c>
      <c r="CN282" s="48" t="n">
        <f aca="false">IF((87-N(V_L1_Mes)+1)&lt;1,0,IF((87-N(V_L1_Mes)+1)=1,N(V_L1_Monto),CM$282)-CN$281)</f>
        <v>0</v>
      </c>
      <c r="CO282" s="48" t="n">
        <f aca="false">IF((88-N(V_L1_Mes)+1)&lt;1,0,IF((88-N(V_L1_Mes)+1)=1,N(V_L1_Monto),CN$282)-CO$281)</f>
        <v>0</v>
      </c>
      <c r="CP282" s="48" t="n">
        <f aca="false">IF((89-N(V_L1_Mes)+1)&lt;1,0,IF((89-N(V_L1_Mes)+1)=1,N(V_L1_Monto),CO$282)-CP$281)</f>
        <v>0</v>
      </c>
      <c r="CQ282" s="48" t="n">
        <f aca="false">IF((90-N(V_L1_Mes)+1)&lt;1,0,IF((90-N(V_L1_Mes)+1)=1,N(V_L1_Monto),CP$282)-CQ$281)</f>
        <v>0</v>
      </c>
      <c r="CR282" s="48" t="n">
        <f aca="false">IF((91-N(V_L1_Mes)+1)&lt;1,0,IF((91-N(V_L1_Mes)+1)=1,N(V_L1_Monto),CQ$282)-CR$281)</f>
        <v>0</v>
      </c>
      <c r="CS282" s="48" t="n">
        <f aca="false">IF((92-N(V_L1_Mes)+1)&lt;1,0,IF((92-N(V_L1_Mes)+1)=1,N(V_L1_Monto),CR$282)-CS$281)</f>
        <v>0</v>
      </c>
      <c r="CT282" s="48" t="n">
        <f aca="false">IF((93-N(V_L1_Mes)+1)&lt;1,0,IF((93-N(V_L1_Mes)+1)=1,N(V_L1_Monto),CS$282)-CT$281)</f>
        <v>0</v>
      </c>
      <c r="CU282" s="48" t="n">
        <f aca="false">IF((94-N(V_L1_Mes)+1)&lt;1,0,IF((94-N(V_L1_Mes)+1)=1,N(V_L1_Monto),CT$282)-CU$281)</f>
        <v>0</v>
      </c>
      <c r="CV282" s="48" t="n">
        <f aca="false">IF((95-N(V_L1_Mes)+1)&lt;1,0,IF((95-N(V_L1_Mes)+1)=1,N(V_L1_Monto),CU$282)-CV$281)</f>
        <v>0</v>
      </c>
      <c r="CW282" s="48" t="n">
        <f aca="false">IF((96-N(V_L1_Mes)+1)&lt;1,0,IF((96-N(V_L1_Mes)+1)=1,N(V_L1_Monto),CV$282)-CW$281)</f>
        <v>0</v>
      </c>
      <c r="CX282" s="48" t="n">
        <f aca="false">IF((97-N(V_L1_Mes)+1)&lt;1,0,IF((97-N(V_L1_Mes)+1)=1,N(V_L1_Monto),CW$282)-CX$281)</f>
        <v>0</v>
      </c>
      <c r="CY282" s="48" t="n">
        <f aca="false">IF((98-N(V_L1_Mes)+1)&lt;1,0,IF((98-N(V_L1_Mes)+1)=1,N(V_L1_Monto),CX$282)-CY$281)</f>
        <v>0</v>
      </c>
      <c r="CZ282" s="48" t="n">
        <f aca="false">IF((99-N(V_L1_Mes)+1)&lt;1,0,IF((99-N(V_L1_Mes)+1)=1,N(V_L1_Monto),CY$282)-CZ$281)</f>
        <v>0</v>
      </c>
      <c r="DA282" s="48" t="n">
        <f aca="false">IF((100-N(V_L1_Mes)+1)&lt;1,0,IF((100-N(V_L1_Mes)+1)=1,N(V_L1_Monto),CZ$282)-DA$281)</f>
        <v>0</v>
      </c>
      <c r="DB282" s="48" t="n">
        <f aca="false">IF((101-N(V_L1_Mes)+1)&lt;1,0,IF((101-N(V_L1_Mes)+1)=1,N(V_L1_Monto),DA$282)-DB$281)</f>
        <v>0</v>
      </c>
      <c r="DC282" s="48" t="n">
        <f aca="false">IF((102-N(V_L1_Mes)+1)&lt;1,0,IF((102-N(V_L1_Mes)+1)=1,N(V_L1_Monto),DB$282)-DC$281)</f>
        <v>0</v>
      </c>
      <c r="DD282" s="48" t="n">
        <f aca="false">IF((103-N(V_L1_Mes)+1)&lt;1,0,IF((103-N(V_L1_Mes)+1)=1,N(V_L1_Monto),DC$282)-DD$281)</f>
        <v>0</v>
      </c>
      <c r="DE282" s="48" t="n">
        <f aca="false">IF((104-N(V_L1_Mes)+1)&lt;1,0,IF((104-N(V_L1_Mes)+1)=1,N(V_L1_Monto),DD$282)-DE$281)</f>
        <v>0</v>
      </c>
      <c r="DF282" s="48" t="n">
        <f aca="false">IF((105-N(V_L1_Mes)+1)&lt;1,0,IF((105-N(V_L1_Mes)+1)=1,N(V_L1_Monto),DE$282)-DF$281)</f>
        <v>0</v>
      </c>
      <c r="DG282" s="48" t="n">
        <f aca="false">IF((106-N(V_L1_Mes)+1)&lt;1,0,IF((106-N(V_L1_Mes)+1)=1,N(V_L1_Monto),DF$282)-DG$281)</f>
        <v>0</v>
      </c>
      <c r="DH282" s="48" t="n">
        <f aca="false">IF((107-N(V_L1_Mes)+1)&lt;1,0,IF((107-N(V_L1_Mes)+1)=1,N(V_L1_Monto),DG$282)-DH$281)</f>
        <v>0</v>
      </c>
      <c r="DI282" s="48" t="n">
        <f aca="false">IF((108-N(V_L1_Mes)+1)&lt;1,0,IF((108-N(V_L1_Mes)+1)=1,N(V_L1_Monto),DH$282)-DI$281)</f>
        <v>0</v>
      </c>
      <c r="DJ282" s="48" t="n">
        <f aca="false">IF((109-N(V_L1_Mes)+1)&lt;1,0,IF((109-N(V_L1_Mes)+1)=1,N(V_L1_Monto),DI$282)-DJ$281)</f>
        <v>0</v>
      </c>
      <c r="DK282" s="48" t="n">
        <f aca="false">IF((110-N(V_L1_Mes)+1)&lt;1,0,IF((110-N(V_L1_Mes)+1)=1,N(V_L1_Monto),DJ$282)-DK$281)</f>
        <v>0</v>
      </c>
      <c r="DL282" s="48" t="n">
        <f aca="false">IF((111-N(V_L1_Mes)+1)&lt;1,0,IF((111-N(V_L1_Mes)+1)=1,N(V_L1_Monto),DK$282)-DL$281)</f>
        <v>0</v>
      </c>
      <c r="DM282" s="48" t="n">
        <f aca="false">IF((112-N(V_L1_Mes)+1)&lt;1,0,IF((112-N(V_L1_Mes)+1)=1,N(V_L1_Monto),DL$282)-DM$281)</f>
        <v>0</v>
      </c>
      <c r="DN282" s="48" t="n">
        <f aca="false">IF((113-N(V_L1_Mes)+1)&lt;1,0,IF((113-N(V_L1_Mes)+1)=1,N(V_L1_Monto),DM$282)-DN$281)</f>
        <v>0</v>
      </c>
      <c r="DO282" s="48" t="n">
        <f aca="false">IF((114-N(V_L1_Mes)+1)&lt;1,0,IF((114-N(V_L1_Mes)+1)=1,N(V_L1_Monto),DN$282)-DO$281)</f>
        <v>0</v>
      </c>
      <c r="DP282" s="48" t="n">
        <f aca="false">IF((115-N(V_L1_Mes)+1)&lt;1,0,IF((115-N(V_L1_Mes)+1)=1,N(V_L1_Monto),DO$282)-DP$281)</f>
        <v>0</v>
      </c>
      <c r="DQ282" s="48" t="n">
        <f aca="false">IF((116-N(V_L1_Mes)+1)&lt;1,0,IF((116-N(V_L1_Mes)+1)=1,N(V_L1_Monto),DP$282)-DQ$281)</f>
        <v>0</v>
      </c>
      <c r="DR282" s="48" t="n">
        <f aca="false">IF((117-N(V_L1_Mes)+1)&lt;1,0,IF((117-N(V_L1_Mes)+1)=1,N(V_L1_Monto),DQ$282)-DR$281)</f>
        <v>0</v>
      </c>
      <c r="DS282" s="48" t="n">
        <f aca="false">IF((118-N(V_L1_Mes)+1)&lt;1,0,IF((118-N(V_L1_Mes)+1)=1,N(V_L1_Monto),DR$282)-DS$281)</f>
        <v>0</v>
      </c>
      <c r="DT282" s="48" t="n">
        <f aca="false">IF((119-N(V_L1_Mes)+1)&lt;1,0,IF((119-N(V_L1_Mes)+1)=1,N(V_L1_Monto),DS$282)-DT$281)</f>
        <v>0</v>
      </c>
      <c r="DU282" s="48" t="n">
        <f aca="false">IF((120-N(V_L1_Mes)+1)&lt;1,0,IF((120-N(V_L1_Mes)+1)=1,N(V_L1_Monto),DT$282)-DU$281)</f>
        <v>0</v>
      </c>
      <c r="DV282" s="48" t="n">
        <f aca="false">IF((121-N(V_L1_Mes)+1)&lt;1,0,IF((121-N(V_L1_Mes)+1)=1,N(V_L1_Monto),DU$282)-DV$281)</f>
        <v>0</v>
      </c>
      <c r="DW282" s="48" t="n">
        <f aca="false">IF((122-N(V_L1_Mes)+1)&lt;1,0,IF((122-N(V_L1_Mes)+1)=1,N(V_L1_Monto),DV$282)-DW$281)</f>
        <v>0</v>
      </c>
      <c r="DX282" s="48" t="n">
        <f aca="false">IF((123-N(V_L1_Mes)+1)&lt;1,0,IF((123-N(V_L1_Mes)+1)=1,N(V_L1_Monto),DW$282)-DX$281)</f>
        <v>0</v>
      </c>
      <c r="DY282" s="48" t="n">
        <f aca="false">IF((124-N(V_L1_Mes)+1)&lt;1,0,IF((124-N(V_L1_Mes)+1)=1,N(V_L1_Monto),DX$282)-DY$281)</f>
        <v>0</v>
      </c>
      <c r="DZ282" s="48" t="n">
        <f aca="false">IF((125-N(V_L1_Mes)+1)&lt;1,0,IF((125-N(V_L1_Mes)+1)=1,N(V_L1_Monto),DY$282)-DZ$281)</f>
        <v>0</v>
      </c>
      <c r="EA282" s="48" t="n">
        <f aca="false">IF((126-N(V_L1_Mes)+1)&lt;1,0,IF((126-N(V_L1_Mes)+1)=1,N(V_L1_Monto),DZ$282)-EA$281)</f>
        <v>0</v>
      </c>
      <c r="EB282" s="48" t="n">
        <f aca="false">IF((127-N(V_L1_Mes)+1)&lt;1,0,IF((127-N(V_L1_Mes)+1)=1,N(V_L1_Monto),EA$282)-EB$281)</f>
        <v>0</v>
      </c>
      <c r="EC282" s="48" t="n">
        <f aca="false">IF((128-N(V_L1_Mes)+1)&lt;1,0,IF((128-N(V_L1_Mes)+1)=1,N(V_L1_Monto),EB$282)-EC$281)</f>
        <v>0</v>
      </c>
      <c r="ED282" s="48" t="n">
        <f aca="false">IF((129-N(V_L1_Mes)+1)&lt;1,0,IF((129-N(V_L1_Mes)+1)=1,N(V_L1_Monto),EC$282)-ED$281)</f>
        <v>0</v>
      </c>
      <c r="EE282" s="48" t="n">
        <f aca="false">IF((130-N(V_L1_Mes)+1)&lt;1,0,IF((130-N(V_L1_Mes)+1)=1,N(V_L1_Monto),ED$282)-EE$281)</f>
        <v>0</v>
      </c>
      <c r="EF282" s="48" t="n">
        <f aca="false">IF((131-N(V_L1_Mes)+1)&lt;1,0,IF((131-N(V_L1_Mes)+1)=1,N(V_L1_Monto),EE$282)-EF$281)</f>
        <v>0</v>
      </c>
      <c r="EG282" s="48" t="n">
        <f aca="false">IF((132-N(V_L1_Mes)+1)&lt;1,0,IF((132-N(V_L1_Mes)+1)=1,N(V_L1_Monto),EF$282)-EG$281)</f>
        <v>0</v>
      </c>
      <c r="EH282" s="48" t="n">
        <f aca="false">IF((133-N(V_L1_Mes)+1)&lt;1,0,IF((133-N(V_L1_Mes)+1)=1,N(V_L1_Monto),EG$282)-EH$281)</f>
        <v>0</v>
      </c>
      <c r="EI282" s="48" t="n">
        <f aca="false">IF((134-N(V_L1_Mes)+1)&lt;1,0,IF((134-N(V_L1_Mes)+1)=1,N(V_L1_Monto),EH$282)-EI$281)</f>
        <v>0</v>
      </c>
      <c r="EJ282" s="48" t="n">
        <f aca="false">IF((135-N(V_L1_Mes)+1)&lt;1,0,IF((135-N(V_L1_Mes)+1)=1,N(V_L1_Monto),EI$282)-EJ$281)</f>
        <v>0</v>
      </c>
      <c r="EK282" s="48" t="n">
        <f aca="false">IF((136-N(V_L1_Mes)+1)&lt;1,0,IF((136-N(V_L1_Mes)+1)=1,N(V_L1_Monto),EJ$282)-EK$281)</f>
        <v>0</v>
      </c>
      <c r="EL282" s="48" t="n">
        <f aca="false">IF((137-N(V_L1_Mes)+1)&lt;1,0,IF((137-N(V_L1_Mes)+1)=1,N(V_L1_Monto),EK$282)-EL$281)</f>
        <v>0</v>
      </c>
      <c r="EM282" s="48" t="n">
        <f aca="false">IF((138-N(V_L1_Mes)+1)&lt;1,0,IF((138-N(V_L1_Mes)+1)=1,N(V_L1_Monto),EL$282)-EM$281)</f>
        <v>0</v>
      </c>
      <c r="EN282" s="48" t="n">
        <f aca="false">IF((139-N(V_L1_Mes)+1)&lt;1,0,IF((139-N(V_L1_Mes)+1)=1,N(V_L1_Monto),EM$282)-EN$281)</f>
        <v>0</v>
      </c>
      <c r="EO282" s="48" t="n">
        <f aca="false">IF((140-N(V_L1_Mes)+1)&lt;1,0,IF((140-N(V_L1_Mes)+1)=1,N(V_L1_Monto),EN$282)-EO$281)</f>
        <v>0</v>
      </c>
      <c r="EP282" s="48" t="n">
        <f aca="false">IF((141-N(V_L1_Mes)+1)&lt;1,0,IF((141-N(V_L1_Mes)+1)=1,N(V_L1_Monto),EO$282)-EP$281)</f>
        <v>0</v>
      </c>
      <c r="EQ282" s="48" t="n">
        <f aca="false">IF((142-N(V_L1_Mes)+1)&lt;1,0,IF((142-N(V_L1_Mes)+1)=1,N(V_L1_Monto),EP$282)-EQ$281)</f>
        <v>0</v>
      </c>
      <c r="ER282" s="48" t="n">
        <f aca="false">IF((143-N(V_L1_Mes)+1)&lt;1,0,IF((143-N(V_L1_Mes)+1)=1,N(V_L1_Monto),EQ$282)-ER$281)</f>
        <v>0</v>
      </c>
      <c r="ES282" s="48" t="n">
        <f aca="false">IF((144-N(V_L1_Mes)+1)&lt;1,0,IF((144-N(V_L1_Mes)+1)=1,N(V_L1_Monto),ER$282)-ES$281)</f>
        <v>0</v>
      </c>
    </row>
    <row r="283" customFormat="false" ht="15" hidden="false" customHeight="false" outlineLevel="0" collapsed="false">
      <c r="A283" s="11" t="s">
        <v>1401</v>
      </c>
      <c r="B283" s="15" t="s">
        <v>1219</v>
      </c>
      <c r="C283" s="15" t="s">
        <v>508</v>
      </c>
      <c r="E283" s="54" t="n">
        <f aca="false">SUM(F283:ES283)</f>
        <v>0</v>
      </c>
      <c r="F283" s="48" t="n">
        <f aca="false">IF((1-N(V_L2_Mes)+1)=1,N(V_L2_Monto),0)*F$9</f>
        <v>0</v>
      </c>
      <c r="G283" s="48" t="n">
        <f aca="false">IF((2-N(V_L2_Mes)+1)=1,N(V_L2_Monto),0)*G$9</f>
        <v>0</v>
      </c>
      <c r="H283" s="48" t="n">
        <f aca="false">IF((3-N(V_L2_Mes)+1)=1,N(V_L2_Monto),0)*H$9</f>
        <v>0</v>
      </c>
      <c r="I283" s="48" t="n">
        <f aca="false">IF((4-N(V_L2_Mes)+1)=1,N(V_L2_Monto),0)*I$9</f>
        <v>0</v>
      </c>
      <c r="J283" s="48" t="n">
        <f aca="false">IF((5-N(V_L2_Mes)+1)=1,N(V_L2_Monto),0)*J$9</f>
        <v>0</v>
      </c>
      <c r="K283" s="48" t="n">
        <f aca="false">IF((6-N(V_L2_Mes)+1)=1,N(V_L2_Monto),0)*K$9</f>
        <v>0</v>
      </c>
      <c r="L283" s="48" t="n">
        <f aca="false">IF((7-N(V_L2_Mes)+1)=1,N(V_L2_Monto),0)*L$9</f>
        <v>0</v>
      </c>
      <c r="M283" s="48" t="n">
        <f aca="false">IF((8-N(V_L2_Mes)+1)=1,N(V_L2_Monto),0)*M$9</f>
        <v>0</v>
      </c>
      <c r="N283" s="48" t="n">
        <f aca="false">IF((9-N(V_L2_Mes)+1)=1,N(V_L2_Monto),0)*N$9</f>
        <v>0</v>
      </c>
      <c r="O283" s="48" t="n">
        <f aca="false">IF((10-N(V_L2_Mes)+1)=1,N(V_L2_Monto),0)*O$9</f>
        <v>0</v>
      </c>
      <c r="P283" s="48" t="n">
        <f aca="false">IF((11-N(V_L2_Mes)+1)=1,N(V_L2_Monto),0)*P$9</f>
        <v>0</v>
      </c>
      <c r="Q283" s="48" t="n">
        <f aca="false">IF((12-N(V_L2_Mes)+1)=1,N(V_L2_Monto),0)*Q$9</f>
        <v>0</v>
      </c>
      <c r="R283" s="48" t="n">
        <f aca="false">IF((13-N(V_L2_Mes)+1)=1,N(V_L2_Monto),0)*R$9</f>
        <v>0</v>
      </c>
      <c r="S283" s="48" t="n">
        <f aca="false">IF((14-N(V_L2_Mes)+1)=1,N(V_L2_Monto),0)*S$9</f>
        <v>0</v>
      </c>
      <c r="T283" s="48" t="n">
        <f aca="false">IF((15-N(V_L2_Mes)+1)=1,N(V_L2_Monto),0)*T$9</f>
        <v>0</v>
      </c>
      <c r="U283" s="48" t="n">
        <f aca="false">IF((16-N(V_L2_Mes)+1)=1,N(V_L2_Monto),0)*U$9</f>
        <v>0</v>
      </c>
      <c r="V283" s="48" t="n">
        <f aca="false">IF((17-N(V_L2_Mes)+1)=1,N(V_L2_Monto),0)*V$9</f>
        <v>0</v>
      </c>
      <c r="W283" s="48" t="n">
        <f aca="false">IF((18-N(V_L2_Mes)+1)=1,N(V_L2_Monto),0)*W$9</f>
        <v>0</v>
      </c>
      <c r="X283" s="48" t="n">
        <f aca="false">IF((19-N(V_L2_Mes)+1)=1,N(V_L2_Monto),0)*X$9</f>
        <v>0</v>
      </c>
      <c r="Y283" s="48" t="n">
        <f aca="false">IF((20-N(V_L2_Mes)+1)=1,N(V_L2_Monto),0)*Y$9</f>
        <v>0</v>
      </c>
      <c r="Z283" s="48" t="n">
        <f aca="false">IF((21-N(V_L2_Mes)+1)=1,N(V_L2_Monto),0)*Z$9</f>
        <v>0</v>
      </c>
      <c r="AA283" s="48" t="n">
        <f aca="false">IF((22-N(V_L2_Mes)+1)=1,N(V_L2_Monto),0)*AA$9</f>
        <v>0</v>
      </c>
      <c r="AB283" s="48" t="n">
        <f aca="false">IF((23-N(V_L2_Mes)+1)=1,N(V_L2_Monto),0)*AB$9</f>
        <v>0</v>
      </c>
      <c r="AC283" s="48" t="n">
        <f aca="false">IF((24-N(V_L2_Mes)+1)=1,N(V_L2_Monto),0)*AC$9</f>
        <v>0</v>
      </c>
      <c r="AD283" s="48" t="n">
        <f aca="false">IF((25-N(V_L2_Mes)+1)=1,N(V_L2_Monto),0)*AD$9</f>
        <v>0</v>
      </c>
      <c r="AE283" s="48" t="n">
        <f aca="false">IF((26-N(V_L2_Mes)+1)=1,N(V_L2_Monto),0)*AE$9</f>
        <v>0</v>
      </c>
      <c r="AF283" s="48" t="n">
        <f aca="false">IF((27-N(V_L2_Mes)+1)=1,N(V_L2_Monto),0)*AF$9</f>
        <v>0</v>
      </c>
      <c r="AG283" s="48" t="n">
        <f aca="false">IF((28-N(V_L2_Mes)+1)=1,N(V_L2_Monto),0)*AG$9</f>
        <v>0</v>
      </c>
      <c r="AH283" s="48" t="n">
        <f aca="false">IF((29-N(V_L2_Mes)+1)=1,N(V_L2_Monto),0)*AH$9</f>
        <v>0</v>
      </c>
      <c r="AI283" s="48" t="n">
        <f aca="false">IF((30-N(V_L2_Mes)+1)=1,N(V_L2_Monto),0)*AI$9</f>
        <v>0</v>
      </c>
      <c r="AJ283" s="48" t="n">
        <f aca="false">IF((31-N(V_L2_Mes)+1)=1,N(V_L2_Monto),0)*AJ$9</f>
        <v>0</v>
      </c>
      <c r="AK283" s="48" t="n">
        <f aca="false">IF((32-N(V_L2_Mes)+1)=1,N(V_L2_Monto),0)*AK$9</f>
        <v>0</v>
      </c>
      <c r="AL283" s="48" t="n">
        <f aca="false">IF((33-N(V_L2_Mes)+1)=1,N(V_L2_Monto),0)*AL$9</f>
        <v>0</v>
      </c>
      <c r="AM283" s="48" t="n">
        <f aca="false">IF((34-N(V_L2_Mes)+1)=1,N(V_L2_Monto),0)*AM$9</f>
        <v>0</v>
      </c>
      <c r="AN283" s="48" t="n">
        <f aca="false">IF((35-N(V_L2_Mes)+1)=1,N(V_L2_Monto),0)*AN$9</f>
        <v>0</v>
      </c>
      <c r="AO283" s="48" t="n">
        <f aca="false">IF((36-N(V_L2_Mes)+1)=1,N(V_L2_Monto),0)*AO$9</f>
        <v>0</v>
      </c>
      <c r="AP283" s="48" t="n">
        <f aca="false">IF((37-N(V_L2_Mes)+1)=1,N(V_L2_Monto),0)*AP$9</f>
        <v>0</v>
      </c>
      <c r="AQ283" s="48" t="n">
        <f aca="false">IF((38-N(V_L2_Mes)+1)=1,N(V_L2_Monto),0)*AQ$9</f>
        <v>0</v>
      </c>
      <c r="AR283" s="48" t="n">
        <f aca="false">IF((39-N(V_L2_Mes)+1)=1,N(V_L2_Monto),0)*AR$9</f>
        <v>0</v>
      </c>
      <c r="AS283" s="48" t="n">
        <f aca="false">IF((40-N(V_L2_Mes)+1)=1,N(V_L2_Monto),0)*AS$9</f>
        <v>0</v>
      </c>
      <c r="AT283" s="48" t="n">
        <f aca="false">IF((41-N(V_L2_Mes)+1)=1,N(V_L2_Monto),0)*AT$9</f>
        <v>0</v>
      </c>
      <c r="AU283" s="48" t="n">
        <f aca="false">IF((42-N(V_L2_Mes)+1)=1,N(V_L2_Monto),0)*AU$9</f>
        <v>0</v>
      </c>
      <c r="AV283" s="48" t="n">
        <f aca="false">IF((43-N(V_L2_Mes)+1)=1,N(V_L2_Monto),0)*AV$9</f>
        <v>0</v>
      </c>
      <c r="AW283" s="48" t="n">
        <f aca="false">IF((44-N(V_L2_Mes)+1)=1,N(V_L2_Monto),0)*AW$9</f>
        <v>0</v>
      </c>
      <c r="AX283" s="48" t="n">
        <f aca="false">IF((45-N(V_L2_Mes)+1)=1,N(V_L2_Monto),0)*AX$9</f>
        <v>0</v>
      </c>
      <c r="AY283" s="48" t="n">
        <f aca="false">IF((46-N(V_L2_Mes)+1)=1,N(V_L2_Monto),0)*AY$9</f>
        <v>0</v>
      </c>
      <c r="AZ283" s="48" t="n">
        <f aca="false">IF((47-N(V_L2_Mes)+1)=1,N(V_L2_Monto),0)*AZ$9</f>
        <v>0</v>
      </c>
      <c r="BA283" s="48" t="n">
        <f aca="false">IF((48-N(V_L2_Mes)+1)=1,N(V_L2_Monto),0)*BA$9</f>
        <v>0</v>
      </c>
      <c r="BB283" s="48" t="n">
        <f aca="false">IF((49-N(V_L2_Mes)+1)=1,N(V_L2_Monto),0)*BB$9</f>
        <v>0</v>
      </c>
      <c r="BC283" s="48" t="n">
        <f aca="false">IF((50-N(V_L2_Mes)+1)=1,N(V_L2_Monto),0)*BC$9</f>
        <v>0</v>
      </c>
      <c r="BD283" s="48" t="n">
        <f aca="false">IF((51-N(V_L2_Mes)+1)=1,N(V_L2_Monto),0)*BD$9</f>
        <v>0</v>
      </c>
      <c r="BE283" s="48" t="n">
        <f aca="false">IF((52-N(V_L2_Mes)+1)=1,N(V_L2_Monto),0)*BE$9</f>
        <v>0</v>
      </c>
      <c r="BF283" s="48" t="n">
        <f aca="false">IF((53-N(V_L2_Mes)+1)=1,N(V_L2_Monto),0)*BF$9</f>
        <v>0</v>
      </c>
      <c r="BG283" s="48" t="n">
        <f aca="false">IF((54-N(V_L2_Mes)+1)=1,N(V_L2_Monto),0)*BG$9</f>
        <v>0</v>
      </c>
      <c r="BH283" s="48" t="n">
        <f aca="false">IF((55-N(V_L2_Mes)+1)=1,N(V_L2_Monto),0)*BH$9</f>
        <v>0</v>
      </c>
      <c r="BI283" s="48" t="n">
        <f aca="false">IF((56-N(V_L2_Mes)+1)=1,N(V_L2_Monto),0)*BI$9</f>
        <v>0</v>
      </c>
      <c r="BJ283" s="48" t="n">
        <f aca="false">IF((57-N(V_L2_Mes)+1)=1,N(V_L2_Monto),0)*BJ$9</f>
        <v>0</v>
      </c>
      <c r="BK283" s="48" t="n">
        <f aca="false">IF((58-N(V_L2_Mes)+1)=1,N(V_L2_Monto),0)*BK$9</f>
        <v>0</v>
      </c>
      <c r="BL283" s="48" t="n">
        <f aca="false">IF((59-N(V_L2_Mes)+1)=1,N(V_L2_Monto),0)*BL$9</f>
        <v>0</v>
      </c>
      <c r="BM283" s="48" t="n">
        <f aca="false">IF((60-N(V_L2_Mes)+1)=1,N(V_L2_Monto),0)*BM$9</f>
        <v>0</v>
      </c>
      <c r="BN283" s="48" t="n">
        <f aca="false">IF((61-N(V_L2_Mes)+1)=1,N(V_L2_Monto),0)*BN$9</f>
        <v>0</v>
      </c>
      <c r="BO283" s="48" t="n">
        <f aca="false">IF((62-N(V_L2_Mes)+1)=1,N(V_L2_Monto),0)*BO$9</f>
        <v>0</v>
      </c>
      <c r="BP283" s="48" t="n">
        <f aca="false">IF((63-N(V_L2_Mes)+1)=1,N(V_L2_Monto),0)*BP$9</f>
        <v>0</v>
      </c>
      <c r="BQ283" s="48" t="n">
        <f aca="false">IF((64-N(V_L2_Mes)+1)=1,N(V_L2_Monto),0)*BQ$9</f>
        <v>0</v>
      </c>
      <c r="BR283" s="48" t="n">
        <f aca="false">IF((65-N(V_L2_Mes)+1)=1,N(V_L2_Monto),0)*BR$9</f>
        <v>0</v>
      </c>
      <c r="BS283" s="48" t="n">
        <f aca="false">IF((66-N(V_L2_Mes)+1)=1,N(V_L2_Monto),0)*BS$9</f>
        <v>0</v>
      </c>
      <c r="BT283" s="48" t="n">
        <f aca="false">IF((67-N(V_L2_Mes)+1)=1,N(V_L2_Monto),0)*BT$9</f>
        <v>0</v>
      </c>
      <c r="BU283" s="48" t="n">
        <f aca="false">IF((68-N(V_L2_Mes)+1)=1,N(V_L2_Monto),0)*BU$9</f>
        <v>0</v>
      </c>
      <c r="BV283" s="48" t="n">
        <f aca="false">IF((69-N(V_L2_Mes)+1)=1,N(V_L2_Monto),0)*BV$9</f>
        <v>0</v>
      </c>
      <c r="BW283" s="48" t="n">
        <f aca="false">IF((70-N(V_L2_Mes)+1)=1,N(V_L2_Monto),0)*BW$9</f>
        <v>0</v>
      </c>
      <c r="BX283" s="48" t="n">
        <f aca="false">IF((71-N(V_L2_Mes)+1)=1,N(V_L2_Monto),0)*BX$9</f>
        <v>0</v>
      </c>
      <c r="BY283" s="48" t="n">
        <f aca="false">IF((72-N(V_L2_Mes)+1)=1,N(V_L2_Monto),0)*BY$9</f>
        <v>0</v>
      </c>
      <c r="BZ283" s="48" t="n">
        <f aca="false">IF((73-N(V_L2_Mes)+1)=1,N(V_L2_Monto),0)*BZ$9</f>
        <v>0</v>
      </c>
      <c r="CA283" s="48" t="n">
        <f aca="false">IF((74-N(V_L2_Mes)+1)=1,N(V_L2_Monto),0)*CA$9</f>
        <v>0</v>
      </c>
      <c r="CB283" s="48" t="n">
        <f aca="false">IF((75-N(V_L2_Mes)+1)=1,N(V_L2_Monto),0)*CB$9</f>
        <v>0</v>
      </c>
      <c r="CC283" s="48" t="n">
        <f aca="false">IF((76-N(V_L2_Mes)+1)=1,N(V_L2_Monto),0)*CC$9</f>
        <v>0</v>
      </c>
      <c r="CD283" s="48" t="n">
        <f aca="false">IF((77-N(V_L2_Mes)+1)=1,N(V_L2_Monto),0)*CD$9</f>
        <v>0</v>
      </c>
      <c r="CE283" s="48" t="n">
        <f aca="false">IF((78-N(V_L2_Mes)+1)=1,N(V_L2_Monto),0)*CE$9</f>
        <v>0</v>
      </c>
      <c r="CF283" s="48" t="n">
        <f aca="false">IF((79-N(V_L2_Mes)+1)=1,N(V_L2_Monto),0)*CF$9</f>
        <v>0</v>
      </c>
      <c r="CG283" s="48" t="n">
        <f aca="false">IF((80-N(V_L2_Mes)+1)=1,N(V_L2_Monto),0)*CG$9</f>
        <v>0</v>
      </c>
      <c r="CH283" s="48" t="n">
        <f aca="false">IF((81-N(V_L2_Mes)+1)=1,N(V_L2_Monto),0)*CH$9</f>
        <v>0</v>
      </c>
      <c r="CI283" s="48" t="n">
        <f aca="false">IF((82-N(V_L2_Mes)+1)=1,N(V_L2_Monto),0)*CI$9</f>
        <v>0</v>
      </c>
      <c r="CJ283" s="48" t="n">
        <f aca="false">IF((83-N(V_L2_Mes)+1)=1,N(V_L2_Monto),0)*CJ$9</f>
        <v>0</v>
      </c>
      <c r="CK283" s="48" t="n">
        <f aca="false">IF((84-N(V_L2_Mes)+1)=1,N(V_L2_Monto),0)*CK$9</f>
        <v>0</v>
      </c>
      <c r="CL283" s="48" t="n">
        <f aca="false">IF((85-N(V_L2_Mes)+1)=1,N(V_L2_Monto),0)*CL$9</f>
        <v>0</v>
      </c>
      <c r="CM283" s="48" t="n">
        <f aca="false">IF((86-N(V_L2_Mes)+1)=1,N(V_L2_Monto),0)*CM$9</f>
        <v>0</v>
      </c>
      <c r="CN283" s="48" t="n">
        <f aca="false">IF((87-N(V_L2_Mes)+1)=1,N(V_L2_Monto),0)*CN$9</f>
        <v>0</v>
      </c>
      <c r="CO283" s="48" t="n">
        <f aca="false">IF((88-N(V_L2_Mes)+1)=1,N(V_L2_Monto),0)*CO$9</f>
        <v>0</v>
      </c>
      <c r="CP283" s="48" t="n">
        <f aca="false">IF((89-N(V_L2_Mes)+1)=1,N(V_L2_Monto),0)*CP$9</f>
        <v>0</v>
      </c>
      <c r="CQ283" s="48" t="n">
        <f aca="false">IF((90-N(V_L2_Mes)+1)=1,N(V_L2_Monto),0)*CQ$9</f>
        <v>0</v>
      </c>
      <c r="CR283" s="48" t="n">
        <f aca="false">IF((91-N(V_L2_Mes)+1)=1,N(V_L2_Monto),0)*CR$9</f>
        <v>0</v>
      </c>
      <c r="CS283" s="48" t="n">
        <f aca="false">IF((92-N(V_L2_Mes)+1)=1,N(V_L2_Monto),0)*CS$9</f>
        <v>0</v>
      </c>
      <c r="CT283" s="48" t="n">
        <f aca="false">IF((93-N(V_L2_Mes)+1)=1,N(V_L2_Monto),0)*CT$9</f>
        <v>0</v>
      </c>
      <c r="CU283" s="48" t="n">
        <f aca="false">IF((94-N(V_L2_Mes)+1)=1,N(V_L2_Monto),0)*CU$9</f>
        <v>0</v>
      </c>
      <c r="CV283" s="48" t="n">
        <f aca="false">IF((95-N(V_L2_Mes)+1)=1,N(V_L2_Monto),0)*CV$9</f>
        <v>0</v>
      </c>
      <c r="CW283" s="48" t="n">
        <f aca="false">IF((96-N(V_L2_Mes)+1)=1,N(V_L2_Monto),0)*CW$9</f>
        <v>0</v>
      </c>
      <c r="CX283" s="48" t="n">
        <f aca="false">IF((97-N(V_L2_Mes)+1)=1,N(V_L2_Monto),0)*CX$9</f>
        <v>0</v>
      </c>
      <c r="CY283" s="48" t="n">
        <f aca="false">IF((98-N(V_L2_Mes)+1)=1,N(V_L2_Monto),0)*CY$9</f>
        <v>0</v>
      </c>
      <c r="CZ283" s="48" t="n">
        <f aca="false">IF((99-N(V_L2_Mes)+1)=1,N(V_L2_Monto),0)*CZ$9</f>
        <v>0</v>
      </c>
      <c r="DA283" s="48" t="n">
        <f aca="false">IF((100-N(V_L2_Mes)+1)=1,N(V_L2_Monto),0)*DA$9</f>
        <v>0</v>
      </c>
      <c r="DB283" s="48" t="n">
        <f aca="false">IF((101-N(V_L2_Mes)+1)=1,N(V_L2_Monto),0)*DB$9</f>
        <v>0</v>
      </c>
      <c r="DC283" s="48" t="n">
        <f aca="false">IF((102-N(V_L2_Mes)+1)=1,N(V_L2_Monto),0)*DC$9</f>
        <v>0</v>
      </c>
      <c r="DD283" s="48" t="n">
        <f aca="false">IF((103-N(V_L2_Mes)+1)=1,N(V_L2_Monto),0)*DD$9</f>
        <v>0</v>
      </c>
      <c r="DE283" s="48" t="n">
        <f aca="false">IF((104-N(V_L2_Mes)+1)=1,N(V_L2_Monto),0)*DE$9</f>
        <v>0</v>
      </c>
      <c r="DF283" s="48" t="n">
        <f aca="false">IF((105-N(V_L2_Mes)+1)=1,N(V_L2_Monto),0)*DF$9</f>
        <v>0</v>
      </c>
      <c r="DG283" s="48" t="n">
        <f aca="false">IF((106-N(V_L2_Mes)+1)=1,N(V_L2_Monto),0)*DG$9</f>
        <v>0</v>
      </c>
      <c r="DH283" s="48" t="n">
        <f aca="false">IF((107-N(V_L2_Mes)+1)=1,N(V_L2_Monto),0)*DH$9</f>
        <v>0</v>
      </c>
      <c r="DI283" s="48" t="n">
        <f aca="false">IF((108-N(V_L2_Mes)+1)=1,N(V_L2_Monto),0)*DI$9</f>
        <v>0</v>
      </c>
      <c r="DJ283" s="48" t="n">
        <f aca="false">IF((109-N(V_L2_Mes)+1)=1,N(V_L2_Monto),0)*DJ$9</f>
        <v>0</v>
      </c>
      <c r="DK283" s="48" t="n">
        <f aca="false">IF((110-N(V_L2_Mes)+1)=1,N(V_L2_Monto),0)*DK$9</f>
        <v>0</v>
      </c>
      <c r="DL283" s="48" t="n">
        <f aca="false">IF((111-N(V_L2_Mes)+1)=1,N(V_L2_Monto),0)*DL$9</f>
        <v>0</v>
      </c>
      <c r="DM283" s="48" t="n">
        <f aca="false">IF((112-N(V_L2_Mes)+1)=1,N(V_L2_Monto),0)*DM$9</f>
        <v>0</v>
      </c>
      <c r="DN283" s="48" t="n">
        <f aca="false">IF((113-N(V_L2_Mes)+1)=1,N(V_L2_Monto),0)*DN$9</f>
        <v>0</v>
      </c>
      <c r="DO283" s="48" t="n">
        <f aca="false">IF((114-N(V_L2_Mes)+1)=1,N(V_L2_Monto),0)*DO$9</f>
        <v>0</v>
      </c>
      <c r="DP283" s="48" t="n">
        <f aca="false">IF((115-N(V_L2_Mes)+1)=1,N(V_L2_Monto),0)*DP$9</f>
        <v>0</v>
      </c>
      <c r="DQ283" s="48" t="n">
        <f aca="false">IF((116-N(V_L2_Mes)+1)=1,N(V_L2_Monto),0)*DQ$9</f>
        <v>0</v>
      </c>
      <c r="DR283" s="48" t="n">
        <f aca="false">IF((117-N(V_L2_Mes)+1)=1,N(V_L2_Monto),0)*DR$9</f>
        <v>0</v>
      </c>
      <c r="DS283" s="48" t="n">
        <f aca="false">IF((118-N(V_L2_Mes)+1)=1,N(V_L2_Monto),0)*DS$9</f>
        <v>0</v>
      </c>
      <c r="DT283" s="48" t="n">
        <f aca="false">IF((119-N(V_L2_Mes)+1)=1,N(V_L2_Monto),0)*DT$9</f>
        <v>0</v>
      </c>
      <c r="DU283" s="48" t="n">
        <f aca="false">IF((120-N(V_L2_Mes)+1)=1,N(V_L2_Monto),0)*DU$9</f>
        <v>0</v>
      </c>
      <c r="DV283" s="48" t="n">
        <f aca="false">IF((121-N(V_L2_Mes)+1)=1,N(V_L2_Monto),0)*DV$9</f>
        <v>0</v>
      </c>
      <c r="DW283" s="48" t="n">
        <f aca="false">IF((122-N(V_L2_Mes)+1)=1,N(V_L2_Monto),0)*DW$9</f>
        <v>0</v>
      </c>
      <c r="DX283" s="48" t="n">
        <f aca="false">IF((123-N(V_L2_Mes)+1)=1,N(V_L2_Monto),0)*DX$9</f>
        <v>0</v>
      </c>
      <c r="DY283" s="48" t="n">
        <f aca="false">IF((124-N(V_L2_Mes)+1)=1,N(V_L2_Monto),0)*DY$9</f>
        <v>0</v>
      </c>
      <c r="DZ283" s="48" t="n">
        <f aca="false">IF((125-N(V_L2_Mes)+1)=1,N(V_L2_Monto),0)*DZ$9</f>
        <v>0</v>
      </c>
      <c r="EA283" s="48" t="n">
        <f aca="false">IF((126-N(V_L2_Mes)+1)=1,N(V_L2_Monto),0)*EA$9</f>
        <v>0</v>
      </c>
      <c r="EB283" s="48" t="n">
        <f aca="false">IF((127-N(V_L2_Mes)+1)=1,N(V_L2_Monto),0)*EB$9</f>
        <v>0</v>
      </c>
      <c r="EC283" s="48" t="n">
        <f aca="false">IF((128-N(V_L2_Mes)+1)=1,N(V_L2_Monto),0)*EC$9</f>
        <v>0</v>
      </c>
      <c r="ED283" s="48" t="n">
        <f aca="false">IF((129-N(V_L2_Mes)+1)=1,N(V_L2_Monto),0)*ED$9</f>
        <v>0</v>
      </c>
      <c r="EE283" s="48" t="n">
        <f aca="false">IF((130-N(V_L2_Mes)+1)=1,N(V_L2_Monto),0)*EE$9</f>
        <v>0</v>
      </c>
      <c r="EF283" s="48" t="n">
        <f aca="false">IF((131-N(V_L2_Mes)+1)=1,N(V_L2_Monto),0)*EF$9</f>
        <v>0</v>
      </c>
      <c r="EG283" s="48" t="n">
        <f aca="false">IF((132-N(V_L2_Mes)+1)=1,N(V_L2_Monto),0)*EG$9</f>
        <v>0</v>
      </c>
      <c r="EH283" s="48" t="n">
        <f aca="false">IF((133-N(V_L2_Mes)+1)=1,N(V_L2_Monto),0)*EH$9</f>
        <v>0</v>
      </c>
      <c r="EI283" s="48" t="n">
        <f aca="false">IF((134-N(V_L2_Mes)+1)=1,N(V_L2_Monto),0)*EI$9</f>
        <v>0</v>
      </c>
      <c r="EJ283" s="48" t="n">
        <f aca="false">IF((135-N(V_L2_Mes)+1)=1,N(V_L2_Monto),0)*EJ$9</f>
        <v>0</v>
      </c>
      <c r="EK283" s="48" t="n">
        <f aca="false">IF((136-N(V_L2_Mes)+1)=1,N(V_L2_Monto),0)*EK$9</f>
        <v>0</v>
      </c>
      <c r="EL283" s="48" t="n">
        <f aca="false">IF((137-N(V_L2_Mes)+1)=1,N(V_L2_Monto),0)*EL$9</f>
        <v>0</v>
      </c>
      <c r="EM283" s="48" t="n">
        <f aca="false">IF((138-N(V_L2_Mes)+1)=1,N(V_L2_Monto),0)*EM$9</f>
        <v>0</v>
      </c>
      <c r="EN283" s="48" t="n">
        <f aca="false">IF((139-N(V_L2_Mes)+1)=1,N(V_L2_Monto),0)*EN$9</f>
        <v>0</v>
      </c>
      <c r="EO283" s="48" t="n">
        <f aca="false">IF((140-N(V_L2_Mes)+1)=1,N(V_L2_Monto),0)*EO$9</f>
        <v>0</v>
      </c>
      <c r="EP283" s="48" t="n">
        <f aca="false">IF((141-N(V_L2_Mes)+1)=1,N(V_L2_Monto),0)*EP$9</f>
        <v>0</v>
      </c>
      <c r="EQ283" s="48" t="n">
        <f aca="false">IF((142-N(V_L2_Mes)+1)=1,N(V_L2_Monto),0)*EQ$9</f>
        <v>0</v>
      </c>
      <c r="ER283" s="48" t="n">
        <f aca="false">IF((143-N(V_L2_Mes)+1)=1,N(V_L2_Monto),0)*ER$9</f>
        <v>0</v>
      </c>
      <c r="ES283" s="48" t="n">
        <f aca="false">IF((144-N(V_L2_Mes)+1)=1,N(V_L2_Monto),0)*ES$9</f>
        <v>0</v>
      </c>
    </row>
    <row r="284" customFormat="false" ht="15" hidden="false" customHeight="false" outlineLevel="0" collapsed="false">
      <c r="A284" s="11" t="s">
        <v>1402</v>
      </c>
      <c r="B284" s="15" t="s">
        <v>1221</v>
      </c>
      <c r="C284" s="15" t="s">
        <v>508</v>
      </c>
      <c r="E284" s="54" t="n">
        <f aca="false">SUM(F284:ES284)</f>
        <v>0</v>
      </c>
      <c r="F284" s="48" t="n">
        <f aca="false">IF((1-N(V_L2_Mes)+1)&gt;=1,IF((1-N(V_L2_Mes)+1)=1,N(V_L2_Monto),0)*N(V_L2_Tasa)/12,0)*F$9</f>
        <v>0</v>
      </c>
      <c r="G284" s="48" t="n">
        <f aca="false">IF((2-N(V_L2_Mes)+1)&gt;=1,IF((2-N(V_L2_Mes)+1)=1,N(V_L2_Monto),F$286)*N(V_L2_Tasa)/12,0)*G$9</f>
        <v>0</v>
      </c>
      <c r="H284" s="48" t="n">
        <f aca="false">IF((3-N(V_L2_Mes)+1)&gt;=1,IF((3-N(V_L2_Mes)+1)=1,N(V_L2_Monto),G$286)*N(V_L2_Tasa)/12,0)*H$9</f>
        <v>0</v>
      </c>
      <c r="I284" s="48" t="n">
        <f aca="false">IF((4-N(V_L2_Mes)+1)&gt;=1,IF((4-N(V_L2_Mes)+1)=1,N(V_L2_Monto),H$286)*N(V_L2_Tasa)/12,0)*I$9</f>
        <v>0</v>
      </c>
      <c r="J284" s="48" t="n">
        <f aca="false">IF((5-N(V_L2_Mes)+1)&gt;=1,IF((5-N(V_L2_Mes)+1)=1,N(V_L2_Monto),I$286)*N(V_L2_Tasa)/12,0)*J$9</f>
        <v>0</v>
      </c>
      <c r="K284" s="48" t="n">
        <f aca="false">IF((6-N(V_L2_Mes)+1)&gt;=1,IF((6-N(V_L2_Mes)+1)=1,N(V_L2_Monto),J$286)*N(V_L2_Tasa)/12,0)*K$9</f>
        <v>0</v>
      </c>
      <c r="L284" s="48" t="n">
        <f aca="false">IF((7-N(V_L2_Mes)+1)&gt;=1,IF((7-N(V_L2_Mes)+1)=1,N(V_L2_Monto),K$286)*N(V_L2_Tasa)/12,0)*L$9</f>
        <v>0</v>
      </c>
      <c r="M284" s="48" t="n">
        <f aca="false">IF((8-N(V_L2_Mes)+1)&gt;=1,IF((8-N(V_L2_Mes)+1)=1,N(V_L2_Monto),L$286)*N(V_L2_Tasa)/12,0)*M$9</f>
        <v>0</v>
      </c>
      <c r="N284" s="48" t="n">
        <f aca="false">IF((9-N(V_L2_Mes)+1)&gt;=1,IF((9-N(V_L2_Mes)+1)=1,N(V_L2_Monto),M$286)*N(V_L2_Tasa)/12,0)*N$9</f>
        <v>0</v>
      </c>
      <c r="O284" s="48" t="n">
        <f aca="false">IF((10-N(V_L2_Mes)+1)&gt;=1,IF((10-N(V_L2_Mes)+1)=1,N(V_L2_Monto),N$286)*N(V_L2_Tasa)/12,0)*O$9</f>
        <v>0</v>
      </c>
      <c r="P284" s="48" t="n">
        <f aca="false">IF((11-N(V_L2_Mes)+1)&gt;=1,IF((11-N(V_L2_Mes)+1)=1,N(V_L2_Monto),O$286)*N(V_L2_Tasa)/12,0)*P$9</f>
        <v>0</v>
      </c>
      <c r="Q284" s="48" t="n">
        <f aca="false">IF((12-N(V_L2_Mes)+1)&gt;=1,IF((12-N(V_L2_Mes)+1)=1,N(V_L2_Monto),P$286)*N(V_L2_Tasa)/12,0)*Q$9</f>
        <v>0</v>
      </c>
      <c r="R284" s="48" t="n">
        <f aca="false">IF((13-N(V_L2_Mes)+1)&gt;=1,IF((13-N(V_L2_Mes)+1)=1,N(V_L2_Monto),Q$286)*N(V_L2_Tasa)/12,0)*R$9</f>
        <v>0</v>
      </c>
      <c r="S284" s="48" t="n">
        <f aca="false">IF((14-N(V_L2_Mes)+1)&gt;=1,IF((14-N(V_L2_Mes)+1)=1,N(V_L2_Monto),R$286)*N(V_L2_Tasa)/12,0)*S$9</f>
        <v>0</v>
      </c>
      <c r="T284" s="48" t="n">
        <f aca="false">IF((15-N(V_L2_Mes)+1)&gt;=1,IF((15-N(V_L2_Mes)+1)=1,N(V_L2_Monto),S$286)*N(V_L2_Tasa)/12,0)*T$9</f>
        <v>0</v>
      </c>
      <c r="U284" s="48" t="n">
        <f aca="false">IF((16-N(V_L2_Mes)+1)&gt;=1,IF((16-N(V_L2_Mes)+1)=1,N(V_L2_Monto),T$286)*N(V_L2_Tasa)/12,0)*U$9</f>
        <v>0</v>
      </c>
      <c r="V284" s="48" t="n">
        <f aca="false">IF((17-N(V_L2_Mes)+1)&gt;=1,IF((17-N(V_L2_Mes)+1)=1,N(V_L2_Monto),U$286)*N(V_L2_Tasa)/12,0)*V$9</f>
        <v>0</v>
      </c>
      <c r="W284" s="48" t="n">
        <f aca="false">IF((18-N(V_L2_Mes)+1)&gt;=1,IF((18-N(V_L2_Mes)+1)=1,N(V_L2_Monto),V$286)*N(V_L2_Tasa)/12,0)*W$9</f>
        <v>0</v>
      </c>
      <c r="X284" s="48" t="n">
        <f aca="false">IF((19-N(V_L2_Mes)+1)&gt;=1,IF((19-N(V_L2_Mes)+1)=1,N(V_L2_Monto),W$286)*N(V_L2_Tasa)/12,0)*X$9</f>
        <v>0</v>
      </c>
      <c r="Y284" s="48" t="n">
        <f aca="false">IF((20-N(V_L2_Mes)+1)&gt;=1,IF((20-N(V_L2_Mes)+1)=1,N(V_L2_Monto),X$286)*N(V_L2_Tasa)/12,0)*Y$9</f>
        <v>0</v>
      </c>
      <c r="Z284" s="48" t="n">
        <f aca="false">IF((21-N(V_L2_Mes)+1)&gt;=1,IF((21-N(V_L2_Mes)+1)=1,N(V_L2_Monto),Y$286)*N(V_L2_Tasa)/12,0)*Z$9</f>
        <v>0</v>
      </c>
      <c r="AA284" s="48" t="n">
        <f aca="false">IF((22-N(V_L2_Mes)+1)&gt;=1,IF((22-N(V_L2_Mes)+1)=1,N(V_L2_Monto),Z$286)*N(V_L2_Tasa)/12,0)*AA$9</f>
        <v>0</v>
      </c>
      <c r="AB284" s="48" t="n">
        <f aca="false">IF((23-N(V_L2_Mes)+1)&gt;=1,IF((23-N(V_L2_Mes)+1)=1,N(V_L2_Monto),AA$286)*N(V_L2_Tasa)/12,0)*AB$9</f>
        <v>0</v>
      </c>
      <c r="AC284" s="48" t="n">
        <f aca="false">IF((24-N(V_L2_Mes)+1)&gt;=1,IF((24-N(V_L2_Mes)+1)=1,N(V_L2_Monto),AB$286)*N(V_L2_Tasa)/12,0)*AC$9</f>
        <v>0</v>
      </c>
      <c r="AD284" s="48" t="n">
        <f aca="false">IF((25-N(V_L2_Mes)+1)&gt;=1,IF((25-N(V_L2_Mes)+1)=1,N(V_L2_Monto),AC$286)*N(V_L2_Tasa)/12,0)*AD$9</f>
        <v>0</v>
      </c>
      <c r="AE284" s="48" t="n">
        <f aca="false">IF((26-N(V_L2_Mes)+1)&gt;=1,IF((26-N(V_L2_Mes)+1)=1,N(V_L2_Monto),AD$286)*N(V_L2_Tasa)/12,0)*AE$9</f>
        <v>0</v>
      </c>
      <c r="AF284" s="48" t="n">
        <f aca="false">IF((27-N(V_L2_Mes)+1)&gt;=1,IF((27-N(V_L2_Mes)+1)=1,N(V_L2_Monto),AE$286)*N(V_L2_Tasa)/12,0)*AF$9</f>
        <v>0</v>
      </c>
      <c r="AG284" s="48" t="n">
        <f aca="false">IF((28-N(V_L2_Mes)+1)&gt;=1,IF((28-N(V_L2_Mes)+1)=1,N(V_L2_Monto),AF$286)*N(V_L2_Tasa)/12,0)*AG$9</f>
        <v>0</v>
      </c>
      <c r="AH284" s="48" t="n">
        <f aca="false">IF((29-N(V_L2_Mes)+1)&gt;=1,IF((29-N(V_L2_Mes)+1)=1,N(V_L2_Monto),AG$286)*N(V_L2_Tasa)/12,0)*AH$9</f>
        <v>0</v>
      </c>
      <c r="AI284" s="48" t="n">
        <f aca="false">IF((30-N(V_L2_Mes)+1)&gt;=1,IF((30-N(V_L2_Mes)+1)=1,N(V_L2_Monto),AH$286)*N(V_L2_Tasa)/12,0)*AI$9</f>
        <v>0</v>
      </c>
      <c r="AJ284" s="48" t="n">
        <f aca="false">IF((31-N(V_L2_Mes)+1)&gt;=1,IF((31-N(V_L2_Mes)+1)=1,N(V_L2_Monto),AI$286)*N(V_L2_Tasa)/12,0)*AJ$9</f>
        <v>0</v>
      </c>
      <c r="AK284" s="48" t="n">
        <f aca="false">IF((32-N(V_L2_Mes)+1)&gt;=1,IF((32-N(V_L2_Mes)+1)=1,N(V_L2_Monto),AJ$286)*N(V_L2_Tasa)/12,0)*AK$9</f>
        <v>0</v>
      </c>
      <c r="AL284" s="48" t="n">
        <f aca="false">IF((33-N(V_L2_Mes)+1)&gt;=1,IF((33-N(V_L2_Mes)+1)=1,N(V_L2_Monto),AK$286)*N(V_L2_Tasa)/12,0)*AL$9</f>
        <v>0</v>
      </c>
      <c r="AM284" s="48" t="n">
        <f aca="false">IF((34-N(V_L2_Mes)+1)&gt;=1,IF((34-N(V_L2_Mes)+1)=1,N(V_L2_Monto),AL$286)*N(V_L2_Tasa)/12,0)*AM$9</f>
        <v>0</v>
      </c>
      <c r="AN284" s="48" t="n">
        <f aca="false">IF((35-N(V_L2_Mes)+1)&gt;=1,IF((35-N(V_L2_Mes)+1)=1,N(V_L2_Monto),AM$286)*N(V_L2_Tasa)/12,0)*AN$9</f>
        <v>0</v>
      </c>
      <c r="AO284" s="48" t="n">
        <f aca="false">IF((36-N(V_L2_Mes)+1)&gt;=1,IF((36-N(V_L2_Mes)+1)=1,N(V_L2_Monto),AN$286)*N(V_L2_Tasa)/12,0)*AO$9</f>
        <v>0</v>
      </c>
      <c r="AP284" s="48" t="n">
        <f aca="false">IF((37-N(V_L2_Mes)+1)&gt;=1,IF((37-N(V_L2_Mes)+1)=1,N(V_L2_Monto),AO$286)*N(V_L2_Tasa)/12,0)*AP$9</f>
        <v>0</v>
      </c>
      <c r="AQ284" s="48" t="n">
        <f aca="false">IF((38-N(V_L2_Mes)+1)&gt;=1,IF((38-N(V_L2_Mes)+1)=1,N(V_L2_Monto),AP$286)*N(V_L2_Tasa)/12,0)*AQ$9</f>
        <v>0</v>
      </c>
      <c r="AR284" s="48" t="n">
        <f aca="false">IF((39-N(V_L2_Mes)+1)&gt;=1,IF((39-N(V_L2_Mes)+1)=1,N(V_L2_Monto),AQ$286)*N(V_L2_Tasa)/12,0)*AR$9</f>
        <v>0</v>
      </c>
      <c r="AS284" s="48" t="n">
        <f aca="false">IF((40-N(V_L2_Mes)+1)&gt;=1,IF((40-N(V_L2_Mes)+1)=1,N(V_L2_Monto),AR$286)*N(V_L2_Tasa)/12,0)*AS$9</f>
        <v>0</v>
      </c>
      <c r="AT284" s="48" t="n">
        <f aca="false">IF((41-N(V_L2_Mes)+1)&gt;=1,IF((41-N(V_L2_Mes)+1)=1,N(V_L2_Monto),AS$286)*N(V_L2_Tasa)/12,0)*AT$9</f>
        <v>0</v>
      </c>
      <c r="AU284" s="48" t="n">
        <f aca="false">IF((42-N(V_L2_Mes)+1)&gt;=1,IF((42-N(V_L2_Mes)+1)=1,N(V_L2_Monto),AT$286)*N(V_L2_Tasa)/12,0)*AU$9</f>
        <v>0</v>
      </c>
      <c r="AV284" s="48" t="n">
        <f aca="false">IF((43-N(V_L2_Mes)+1)&gt;=1,IF((43-N(V_L2_Mes)+1)=1,N(V_L2_Monto),AU$286)*N(V_L2_Tasa)/12,0)*AV$9</f>
        <v>0</v>
      </c>
      <c r="AW284" s="48" t="n">
        <f aca="false">IF((44-N(V_L2_Mes)+1)&gt;=1,IF((44-N(V_L2_Mes)+1)=1,N(V_L2_Monto),AV$286)*N(V_L2_Tasa)/12,0)*AW$9</f>
        <v>0</v>
      </c>
      <c r="AX284" s="48" t="n">
        <f aca="false">IF((45-N(V_L2_Mes)+1)&gt;=1,IF((45-N(V_L2_Mes)+1)=1,N(V_L2_Monto),AW$286)*N(V_L2_Tasa)/12,0)*AX$9</f>
        <v>0</v>
      </c>
      <c r="AY284" s="48" t="n">
        <f aca="false">IF((46-N(V_L2_Mes)+1)&gt;=1,IF((46-N(V_L2_Mes)+1)=1,N(V_L2_Monto),AX$286)*N(V_L2_Tasa)/12,0)*AY$9</f>
        <v>0</v>
      </c>
      <c r="AZ284" s="48" t="n">
        <f aca="false">IF((47-N(V_L2_Mes)+1)&gt;=1,IF((47-N(V_L2_Mes)+1)=1,N(V_L2_Monto),AY$286)*N(V_L2_Tasa)/12,0)*AZ$9</f>
        <v>0</v>
      </c>
      <c r="BA284" s="48" t="n">
        <f aca="false">IF((48-N(V_L2_Mes)+1)&gt;=1,IF((48-N(V_L2_Mes)+1)=1,N(V_L2_Monto),AZ$286)*N(V_L2_Tasa)/12,0)*BA$9</f>
        <v>0</v>
      </c>
      <c r="BB284" s="48" t="n">
        <f aca="false">IF((49-N(V_L2_Mes)+1)&gt;=1,IF((49-N(V_L2_Mes)+1)=1,N(V_L2_Monto),BA$286)*N(V_L2_Tasa)/12,0)*BB$9</f>
        <v>0</v>
      </c>
      <c r="BC284" s="48" t="n">
        <f aca="false">IF((50-N(V_L2_Mes)+1)&gt;=1,IF((50-N(V_L2_Mes)+1)=1,N(V_L2_Monto),BB$286)*N(V_L2_Tasa)/12,0)*BC$9</f>
        <v>0</v>
      </c>
      <c r="BD284" s="48" t="n">
        <f aca="false">IF((51-N(V_L2_Mes)+1)&gt;=1,IF((51-N(V_L2_Mes)+1)=1,N(V_L2_Monto),BC$286)*N(V_L2_Tasa)/12,0)*BD$9</f>
        <v>0</v>
      </c>
      <c r="BE284" s="48" t="n">
        <f aca="false">IF((52-N(V_L2_Mes)+1)&gt;=1,IF((52-N(V_L2_Mes)+1)=1,N(V_L2_Monto),BD$286)*N(V_L2_Tasa)/12,0)*BE$9</f>
        <v>0</v>
      </c>
      <c r="BF284" s="48" t="n">
        <f aca="false">IF((53-N(V_L2_Mes)+1)&gt;=1,IF((53-N(V_L2_Mes)+1)=1,N(V_L2_Monto),BE$286)*N(V_L2_Tasa)/12,0)*BF$9</f>
        <v>0</v>
      </c>
      <c r="BG284" s="48" t="n">
        <f aca="false">IF((54-N(V_L2_Mes)+1)&gt;=1,IF((54-N(V_L2_Mes)+1)=1,N(V_L2_Monto),BF$286)*N(V_L2_Tasa)/12,0)*BG$9</f>
        <v>0</v>
      </c>
      <c r="BH284" s="48" t="n">
        <f aca="false">IF((55-N(V_L2_Mes)+1)&gt;=1,IF((55-N(V_L2_Mes)+1)=1,N(V_L2_Monto),BG$286)*N(V_L2_Tasa)/12,0)*BH$9</f>
        <v>0</v>
      </c>
      <c r="BI284" s="48" t="n">
        <f aca="false">IF((56-N(V_L2_Mes)+1)&gt;=1,IF((56-N(V_L2_Mes)+1)=1,N(V_L2_Monto),BH$286)*N(V_L2_Tasa)/12,0)*BI$9</f>
        <v>0</v>
      </c>
      <c r="BJ284" s="48" t="n">
        <f aca="false">IF((57-N(V_L2_Mes)+1)&gt;=1,IF((57-N(V_L2_Mes)+1)=1,N(V_L2_Monto),BI$286)*N(V_L2_Tasa)/12,0)*BJ$9</f>
        <v>0</v>
      </c>
      <c r="BK284" s="48" t="n">
        <f aca="false">IF((58-N(V_L2_Mes)+1)&gt;=1,IF((58-N(V_L2_Mes)+1)=1,N(V_L2_Monto),BJ$286)*N(V_L2_Tasa)/12,0)*BK$9</f>
        <v>0</v>
      </c>
      <c r="BL284" s="48" t="n">
        <f aca="false">IF((59-N(V_L2_Mes)+1)&gt;=1,IF((59-N(V_L2_Mes)+1)=1,N(V_L2_Monto),BK$286)*N(V_L2_Tasa)/12,0)*BL$9</f>
        <v>0</v>
      </c>
      <c r="BM284" s="48" t="n">
        <f aca="false">IF((60-N(V_L2_Mes)+1)&gt;=1,IF((60-N(V_L2_Mes)+1)=1,N(V_L2_Monto),BL$286)*N(V_L2_Tasa)/12,0)*BM$9</f>
        <v>0</v>
      </c>
      <c r="BN284" s="48" t="n">
        <f aca="false">IF((61-N(V_L2_Mes)+1)&gt;=1,IF((61-N(V_L2_Mes)+1)=1,N(V_L2_Monto),BM$286)*N(V_L2_Tasa)/12,0)*BN$9</f>
        <v>0</v>
      </c>
      <c r="BO284" s="48" t="n">
        <f aca="false">IF((62-N(V_L2_Mes)+1)&gt;=1,IF((62-N(V_L2_Mes)+1)=1,N(V_L2_Monto),BN$286)*N(V_L2_Tasa)/12,0)*BO$9</f>
        <v>0</v>
      </c>
      <c r="BP284" s="48" t="n">
        <f aca="false">IF((63-N(V_L2_Mes)+1)&gt;=1,IF((63-N(V_L2_Mes)+1)=1,N(V_L2_Monto),BO$286)*N(V_L2_Tasa)/12,0)*BP$9</f>
        <v>0</v>
      </c>
      <c r="BQ284" s="48" t="n">
        <f aca="false">IF((64-N(V_L2_Mes)+1)&gt;=1,IF((64-N(V_L2_Mes)+1)=1,N(V_L2_Monto),BP$286)*N(V_L2_Tasa)/12,0)*BQ$9</f>
        <v>0</v>
      </c>
      <c r="BR284" s="48" t="n">
        <f aca="false">IF((65-N(V_L2_Mes)+1)&gt;=1,IF((65-N(V_L2_Mes)+1)=1,N(V_L2_Monto),BQ$286)*N(V_L2_Tasa)/12,0)*BR$9</f>
        <v>0</v>
      </c>
      <c r="BS284" s="48" t="n">
        <f aca="false">IF((66-N(V_L2_Mes)+1)&gt;=1,IF((66-N(V_L2_Mes)+1)=1,N(V_L2_Monto),BR$286)*N(V_L2_Tasa)/12,0)*BS$9</f>
        <v>0</v>
      </c>
      <c r="BT284" s="48" t="n">
        <f aca="false">IF((67-N(V_L2_Mes)+1)&gt;=1,IF((67-N(V_L2_Mes)+1)=1,N(V_L2_Monto),BS$286)*N(V_L2_Tasa)/12,0)*BT$9</f>
        <v>0</v>
      </c>
      <c r="BU284" s="48" t="n">
        <f aca="false">IF((68-N(V_L2_Mes)+1)&gt;=1,IF((68-N(V_L2_Mes)+1)=1,N(V_L2_Monto),BT$286)*N(V_L2_Tasa)/12,0)*BU$9</f>
        <v>0</v>
      </c>
      <c r="BV284" s="48" t="n">
        <f aca="false">IF((69-N(V_L2_Mes)+1)&gt;=1,IF((69-N(V_L2_Mes)+1)=1,N(V_L2_Monto),BU$286)*N(V_L2_Tasa)/12,0)*BV$9</f>
        <v>0</v>
      </c>
      <c r="BW284" s="48" t="n">
        <f aca="false">IF((70-N(V_L2_Mes)+1)&gt;=1,IF((70-N(V_L2_Mes)+1)=1,N(V_L2_Monto),BV$286)*N(V_L2_Tasa)/12,0)*BW$9</f>
        <v>0</v>
      </c>
      <c r="BX284" s="48" t="n">
        <f aca="false">IF((71-N(V_L2_Mes)+1)&gt;=1,IF((71-N(V_L2_Mes)+1)=1,N(V_L2_Monto),BW$286)*N(V_L2_Tasa)/12,0)*BX$9</f>
        <v>0</v>
      </c>
      <c r="BY284" s="48" t="n">
        <f aca="false">IF((72-N(V_L2_Mes)+1)&gt;=1,IF((72-N(V_L2_Mes)+1)=1,N(V_L2_Monto),BX$286)*N(V_L2_Tasa)/12,0)*BY$9</f>
        <v>0</v>
      </c>
      <c r="BZ284" s="48" t="n">
        <f aca="false">IF((73-N(V_L2_Mes)+1)&gt;=1,IF((73-N(V_L2_Mes)+1)=1,N(V_L2_Monto),BY$286)*N(V_L2_Tasa)/12,0)*BZ$9</f>
        <v>0</v>
      </c>
      <c r="CA284" s="48" t="n">
        <f aca="false">IF((74-N(V_L2_Mes)+1)&gt;=1,IF((74-N(V_L2_Mes)+1)=1,N(V_L2_Monto),BZ$286)*N(V_L2_Tasa)/12,0)*CA$9</f>
        <v>0</v>
      </c>
      <c r="CB284" s="48" t="n">
        <f aca="false">IF((75-N(V_L2_Mes)+1)&gt;=1,IF((75-N(V_L2_Mes)+1)=1,N(V_L2_Monto),CA$286)*N(V_L2_Tasa)/12,0)*CB$9</f>
        <v>0</v>
      </c>
      <c r="CC284" s="48" t="n">
        <f aca="false">IF((76-N(V_L2_Mes)+1)&gt;=1,IF((76-N(V_L2_Mes)+1)=1,N(V_L2_Monto),CB$286)*N(V_L2_Tasa)/12,0)*CC$9</f>
        <v>0</v>
      </c>
      <c r="CD284" s="48" t="n">
        <f aca="false">IF((77-N(V_L2_Mes)+1)&gt;=1,IF((77-N(V_L2_Mes)+1)=1,N(V_L2_Monto),CC$286)*N(V_L2_Tasa)/12,0)*CD$9</f>
        <v>0</v>
      </c>
      <c r="CE284" s="48" t="n">
        <f aca="false">IF((78-N(V_L2_Mes)+1)&gt;=1,IF((78-N(V_L2_Mes)+1)=1,N(V_L2_Monto),CD$286)*N(V_L2_Tasa)/12,0)*CE$9</f>
        <v>0</v>
      </c>
      <c r="CF284" s="48" t="n">
        <f aca="false">IF((79-N(V_L2_Mes)+1)&gt;=1,IF((79-N(V_L2_Mes)+1)=1,N(V_L2_Monto),CE$286)*N(V_L2_Tasa)/12,0)*CF$9</f>
        <v>0</v>
      </c>
      <c r="CG284" s="48" t="n">
        <f aca="false">IF((80-N(V_L2_Mes)+1)&gt;=1,IF((80-N(V_L2_Mes)+1)=1,N(V_L2_Monto),CF$286)*N(V_L2_Tasa)/12,0)*CG$9</f>
        <v>0</v>
      </c>
      <c r="CH284" s="48" t="n">
        <f aca="false">IF((81-N(V_L2_Mes)+1)&gt;=1,IF((81-N(V_L2_Mes)+1)=1,N(V_L2_Monto),CG$286)*N(V_L2_Tasa)/12,0)*CH$9</f>
        <v>0</v>
      </c>
      <c r="CI284" s="48" t="n">
        <f aca="false">IF((82-N(V_L2_Mes)+1)&gt;=1,IF((82-N(V_L2_Mes)+1)=1,N(V_L2_Monto),CH$286)*N(V_L2_Tasa)/12,0)*CI$9</f>
        <v>0</v>
      </c>
      <c r="CJ284" s="48" t="n">
        <f aca="false">IF((83-N(V_L2_Mes)+1)&gt;=1,IF((83-N(V_L2_Mes)+1)=1,N(V_L2_Monto),CI$286)*N(V_L2_Tasa)/12,0)*CJ$9</f>
        <v>0</v>
      </c>
      <c r="CK284" s="48" t="n">
        <f aca="false">IF((84-N(V_L2_Mes)+1)&gt;=1,IF((84-N(V_L2_Mes)+1)=1,N(V_L2_Monto),CJ$286)*N(V_L2_Tasa)/12,0)*CK$9</f>
        <v>0</v>
      </c>
      <c r="CL284" s="48" t="n">
        <f aca="false">IF((85-N(V_L2_Mes)+1)&gt;=1,IF((85-N(V_L2_Mes)+1)=1,N(V_L2_Monto),CK$286)*N(V_L2_Tasa)/12,0)*CL$9</f>
        <v>0</v>
      </c>
      <c r="CM284" s="48" t="n">
        <f aca="false">IF((86-N(V_L2_Mes)+1)&gt;=1,IF((86-N(V_L2_Mes)+1)=1,N(V_L2_Monto),CL$286)*N(V_L2_Tasa)/12,0)*CM$9</f>
        <v>0</v>
      </c>
      <c r="CN284" s="48" t="n">
        <f aca="false">IF((87-N(V_L2_Mes)+1)&gt;=1,IF((87-N(V_L2_Mes)+1)=1,N(V_L2_Monto),CM$286)*N(V_L2_Tasa)/12,0)*CN$9</f>
        <v>0</v>
      </c>
      <c r="CO284" s="48" t="n">
        <f aca="false">IF((88-N(V_L2_Mes)+1)&gt;=1,IF((88-N(V_L2_Mes)+1)=1,N(V_L2_Monto),CN$286)*N(V_L2_Tasa)/12,0)*CO$9</f>
        <v>0</v>
      </c>
      <c r="CP284" s="48" t="n">
        <f aca="false">IF((89-N(V_L2_Mes)+1)&gt;=1,IF((89-N(V_L2_Mes)+1)=1,N(V_L2_Monto),CO$286)*N(V_L2_Tasa)/12,0)*CP$9</f>
        <v>0</v>
      </c>
      <c r="CQ284" s="48" t="n">
        <f aca="false">IF((90-N(V_L2_Mes)+1)&gt;=1,IF((90-N(V_L2_Mes)+1)=1,N(V_L2_Monto),CP$286)*N(V_L2_Tasa)/12,0)*CQ$9</f>
        <v>0</v>
      </c>
      <c r="CR284" s="48" t="n">
        <f aca="false">IF((91-N(V_L2_Mes)+1)&gt;=1,IF((91-N(V_L2_Mes)+1)=1,N(V_L2_Monto),CQ$286)*N(V_L2_Tasa)/12,0)*CR$9</f>
        <v>0</v>
      </c>
      <c r="CS284" s="48" t="n">
        <f aca="false">IF((92-N(V_L2_Mes)+1)&gt;=1,IF((92-N(V_L2_Mes)+1)=1,N(V_L2_Monto),CR$286)*N(V_L2_Tasa)/12,0)*CS$9</f>
        <v>0</v>
      </c>
      <c r="CT284" s="48" t="n">
        <f aca="false">IF((93-N(V_L2_Mes)+1)&gt;=1,IF((93-N(V_L2_Mes)+1)=1,N(V_L2_Monto),CS$286)*N(V_L2_Tasa)/12,0)*CT$9</f>
        <v>0</v>
      </c>
      <c r="CU284" s="48" t="n">
        <f aca="false">IF((94-N(V_L2_Mes)+1)&gt;=1,IF((94-N(V_L2_Mes)+1)=1,N(V_L2_Monto),CT$286)*N(V_L2_Tasa)/12,0)*CU$9</f>
        <v>0</v>
      </c>
      <c r="CV284" s="48" t="n">
        <f aca="false">IF((95-N(V_L2_Mes)+1)&gt;=1,IF((95-N(V_L2_Mes)+1)=1,N(V_L2_Monto),CU$286)*N(V_L2_Tasa)/12,0)*CV$9</f>
        <v>0</v>
      </c>
      <c r="CW284" s="48" t="n">
        <f aca="false">IF((96-N(V_L2_Mes)+1)&gt;=1,IF((96-N(V_L2_Mes)+1)=1,N(V_L2_Monto),CV$286)*N(V_L2_Tasa)/12,0)*CW$9</f>
        <v>0</v>
      </c>
      <c r="CX284" s="48" t="n">
        <f aca="false">IF((97-N(V_L2_Mes)+1)&gt;=1,IF((97-N(V_L2_Mes)+1)=1,N(V_L2_Monto),CW$286)*N(V_L2_Tasa)/12,0)*CX$9</f>
        <v>0</v>
      </c>
      <c r="CY284" s="48" t="n">
        <f aca="false">IF((98-N(V_L2_Mes)+1)&gt;=1,IF((98-N(V_L2_Mes)+1)=1,N(V_L2_Monto),CX$286)*N(V_L2_Tasa)/12,0)*CY$9</f>
        <v>0</v>
      </c>
      <c r="CZ284" s="48" t="n">
        <f aca="false">IF((99-N(V_L2_Mes)+1)&gt;=1,IF((99-N(V_L2_Mes)+1)=1,N(V_L2_Monto),CY$286)*N(V_L2_Tasa)/12,0)*CZ$9</f>
        <v>0</v>
      </c>
      <c r="DA284" s="48" t="n">
        <f aca="false">IF((100-N(V_L2_Mes)+1)&gt;=1,IF((100-N(V_L2_Mes)+1)=1,N(V_L2_Monto),CZ$286)*N(V_L2_Tasa)/12,0)*DA$9</f>
        <v>0</v>
      </c>
      <c r="DB284" s="48" t="n">
        <f aca="false">IF((101-N(V_L2_Mes)+1)&gt;=1,IF((101-N(V_L2_Mes)+1)=1,N(V_L2_Monto),DA$286)*N(V_L2_Tasa)/12,0)*DB$9</f>
        <v>0</v>
      </c>
      <c r="DC284" s="48" t="n">
        <f aca="false">IF((102-N(V_L2_Mes)+1)&gt;=1,IF((102-N(V_L2_Mes)+1)=1,N(V_L2_Monto),DB$286)*N(V_L2_Tasa)/12,0)*DC$9</f>
        <v>0</v>
      </c>
      <c r="DD284" s="48" t="n">
        <f aca="false">IF((103-N(V_L2_Mes)+1)&gt;=1,IF((103-N(V_L2_Mes)+1)=1,N(V_L2_Monto),DC$286)*N(V_L2_Tasa)/12,0)*DD$9</f>
        <v>0</v>
      </c>
      <c r="DE284" s="48" t="n">
        <f aca="false">IF((104-N(V_L2_Mes)+1)&gt;=1,IF((104-N(V_L2_Mes)+1)=1,N(V_L2_Monto),DD$286)*N(V_L2_Tasa)/12,0)*DE$9</f>
        <v>0</v>
      </c>
      <c r="DF284" s="48" t="n">
        <f aca="false">IF((105-N(V_L2_Mes)+1)&gt;=1,IF((105-N(V_L2_Mes)+1)=1,N(V_L2_Monto),DE$286)*N(V_L2_Tasa)/12,0)*DF$9</f>
        <v>0</v>
      </c>
      <c r="DG284" s="48" t="n">
        <f aca="false">IF((106-N(V_L2_Mes)+1)&gt;=1,IF((106-N(V_L2_Mes)+1)=1,N(V_L2_Monto),DF$286)*N(V_L2_Tasa)/12,0)*DG$9</f>
        <v>0</v>
      </c>
      <c r="DH284" s="48" t="n">
        <f aca="false">IF((107-N(V_L2_Mes)+1)&gt;=1,IF((107-N(V_L2_Mes)+1)=1,N(V_L2_Monto),DG$286)*N(V_L2_Tasa)/12,0)*DH$9</f>
        <v>0</v>
      </c>
      <c r="DI284" s="48" t="n">
        <f aca="false">IF((108-N(V_L2_Mes)+1)&gt;=1,IF((108-N(V_L2_Mes)+1)=1,N(V_L2_Monto),DH$286)*N(V_L2_Tasa)/12,0)*DI$9</f>
        <v>0</v>
      </c>
      <c r="DJ284" s="48" t="n">
        <f aca="false">IF((109-N(V_L2_Mes)+1)&gt;=1,IF((109-N(V_L2_Mes)+1)=1,N(V_L2_Monto),DI$286)*N(V_L2_Tasa)/12,0)*DJ$9</f>
        <v>0</v>
      </c>
      <c r="DK284" s="48" t="n">
        <f aca="false">IF((110-N(V_L2_Mes)+1)&gt;=1,IF((110-N(V_L2_Mes)+1)=1,N(V_L2_Monto),DJ$286)*N(V_L2_Tasa)/12,0)*DK$9</f>
        <v>0</v>
      </c>
      <c r="DL284" s="48" t="n">
        <f aca="false">IF((111-N(V_L2_Mes)+1)&gt;=1,IF((111-N(V_L2_Mes)+1)=1,N(V_L2_Monto),DK$286)*N(V_L2_Tasa)/12,0)*DL$9</f>
        <v>0</v>
      </c>
      <c r="DM284" s="48" t="n">
        <f aca="false">IF((112-N(V_L2_Mes)+1)&gt;=1,IF((112-N(V_L2_Mes)+1)=1,N(V_L2_Monto),DL$286)*N(V_L2_Tasa)/12,0)*DM$9</f>
        <v>0</v>
      </c>
      <c r="DN284" s="48" t="n">
        <f aca="false">IF((113-N(V_L2_Mes)+1)&gt;=1,IF((113-N(V_L2_Mes)+1)=1,N(V_L2_Monto),DM$286)*N(V_L2_Tasa)/12,0)*DN$9</f>
        <v>0</v>
      </c>
      <c r="DO284" s="48" t="n">
        <f aca="false">IF((114-N(V_L2_Mes)+1)&gt;=1,IF((114-N(V_L2_Mes)+1)=1,N(V_L2_Monto),DN$286)*N(V_L2_Tasa)/12,0)*DO$9</f>
        <v>0</v>
      </c>
      <c r="DP284" s="48" t="n">
        <f aca="false">IF((115-N(V_L2_Mes)+1)&gt;=1,IF((115-N(V_L2_Mes)+1)=1,N(V_L2_Monto),DO$286)*N(V_L2_Tasa)/12,0)*DP$9</f>
        <v>0</v>
      </c>
      <c r="DQ284" s="48" t="n">
        <f aca="false">IF((116-N(V_L2_Mes)+1)&gt;=1,IF((116-N(V_L2_Mes)+1)=1,N(V_L2_Monto),DP$286)*N(V_L2_Tasa)/12,0)*DQ$9</f>
        <v>0</v>
      </c>
      <c r="DR284" s="48" t="n">
        <f aca="false">IF((117-N(V_L2_Mes)+1)&gt;=1,IF((117-N(V_L2_Mes)+1)=1,N(V_L2_Monto),DQ$286)*N(V_L2_Tasa)/12,0)*DR$9</f>
        <v>0</v>
      </c>
      <c r="DS284" s="48" t="n">
        <f aca="false">IF((118-N(V_L2_Mes)+1)&gt;=1,IF((118-N(V_L2_Mes)+1)=1,N(V_L2_Monto),DR$286)*N(V_L2_Tasa)/12,0)*DS$9</f>
        <v>0</v>
      </c>
      <c r="DT284" s="48" t="n">
        <f aca="false">IF((119-N(V_L2_Mes)+1)&gt;=1,IF((119-N(V_L2_Mes)+1)=1,N(V_L2_Monto),DS$286)*N(V_L2_Tasa)/12,0)*DT$9</f>
        <v>0</v>
      </c>
      <c r="DU284" s="48" t="n">
        <f aca="false">IF((120-N(V_L2_Mes)+1)&gt;=1,IF((120-N(V_L2_Mes)+1)=1,N(V_L2_Monto),DT$286)*N(V_L2_Tasa)/12,0)*DU$9</f>
        <v>0</v>
      </c>
      <c r="DV284" s="48" t="n">
        <f aca="false">IF((121-N(V_L2_Mes)+1)&gt;=1,IF((121-N(V_L2_Mes)+1)=1,N(V_L2_Monto),DU$286)*N(V_L2_Tasa)/12,0)*DV$9</f>
        <v>0</v>
      </c>
      <c r="DW284" s="48" t="n">
        <f aca="false">IF((122-N(V_L2_Mes)+1)&gt;=1,IF((122-N(V_L2_Mes)+1)=1,N(V_L2_Monto),DV$286)*N(V_L2_Tasa)/12,0)*DW$9</f>
        <v>0</v>
      </c>
      <c r="DX284" s="48" t="n">
        <f aca="false">IF((123-N(V_L2_Mes)+1)&gt;=1,IF((123-N(V_L2_Mes)+1)=1,N(V_L2_Monto),DW$286)*N(V_L2_Tasa)/12,0)*DX$9</f>
        <v>0</v>
      </c>
      <c r="DY284" s="48" t="n">
        <f aca="false">IF((124-N(V_L2_Mes)+1)&gt;=1,IF((124-N(V_L2_Mes)+1)=1,N(V_L2_Monto),DX$286)*N(V_L2_Tasa)/12,0)*DY$9</f>
        <v>0</v>
      </c>
      <c r="DZ284" s="48" t="n">
        <f aca="false">IF((125-N(V_L2_Mes)+1)&gt;=1,IF((125-N(V_L2_Mes)+1)=1,N(V_L2_Monto),DY$286)*N(V_L2_Tasa)/12,0)*DZ$9</f>
        <v>0</v>
      </c>
      <c r="EA284" s="48" t="n">
        <f aca="false">IF((126-N(V_L2_Mes)+1)&gt;=1,IF((126-N(V_L2_Mes)+1)=1,N(V_L2_Monto),DZ$286)*N(V_L2_Tasa)/12,0)*EA$9</f>
        <v>0</v>
      </c>
      <c r="EB284" s="48" t="n">
        <f aca="false">IF((127-N(V_L2_Mes)+1)&gt;=1,IF((127-N(V_L2_Mes)+1)=1,N(V_L2_Monto),EA$286)*N(V_L2_Tasa)/12,0)*EB$9</f>
        <v>0</v>
      </c>
      <c r="EC284" s="48" t="n">
        <f aca="false">IF((128-N(V_L2_Mes)+1)&gt;=1,IF((128-N(V_L2_Mes)+1)=1,N(V_L2_Monto),EB$286)*N(V_L2_Tasa)/12,0)*EC$9</f>
        <v>0</v>
      </c>
      <c r="ED284" s="48" t="n">
        <f aca="false">IF((129-N(V_L2_Mes)+1)&gt;=1,IF((129-N(V_L2_Mes)+1)=1,N(V_L2_Monto),EC$286)*N(V_L2_Tasa)/12,0)*ED$9</f>
        <v>0</v>
      </c>
      <c r="EE284" s="48" t="n">
        <f aca="false">IF((130-N(V_L2_Mes)+1)&gt;=1,IF((130-N(V_L2_Mes)+1)=1,N(V_L2_Monto),ED$286)*N(V_L2_Tasa)/12,0)*EE$9</f>
        <v>0</v>
      </c>
      <c r="EF284" s="48" t="n">
        <f aca="false">IF((131-N(V_L2_Mes)+1)&gt;=1,IF((131-N(V_L2_Mes)+1)=1,N(V_L2_Monto),EE$286)*N(V_L2_Tasa)/12,0)*EF$9</f>
        <v>0</v>
      </c>
      <c r="EG284" s="48" t="n">
        <f aca="false">IF((132-N(V_L2_Mes)+1)&gt;=1,IF((132-N(V_L2_Mes)+1)=1,N(V_L2_Monto),EF$286)*N(V_L2_Tasa)/12,0)*EG$9</f>
        <v>0</v>
      </c>
      <c r="EH284" s="48" t="n">
        <f aca="false">IF((133-N(V_L2_Mes)+1)&gt;=1,IF((133-N(V_L2_Mes)+1)=1,N(V_L2_Monto),EG$286)*N(V_L2_Tasa)/12,0)*EH$9</f>
        <v>0</v>
      </c>
      <c r="EI284" s="48" t="n">
        <f aca="false">IF((134-N(V_L2_Mes)+1)&gt;=1,IF((134-N(V_L2_Mes)+1)=1,N(V_L2_Monto),EH$286)*N(V_L2_Tasa)/12,0)*EI$9</f>
        <v>0</v>
      </c>
      <c r="EJ284" s="48" t="n">
        <f aca="false">IF((135-N(V_L2_Mes)+1)&gt;=1,IF((135-N(V_L2_Mes)+1)=1,N(V_L2_Monto),EI$286)*N(V_L2_Tasa)/12,0)*EJ$9</f>
        <v>0</v>
      </c>
      <c r="EK284" s="48" t="n">
        <f aca="false">IF((136-N(V_L2_Mes)+1)&gt;=1,IF((136-N(V_L2_Mes)+1)=1,N(V_L2_Monto),EJ$286)*N(V_L2_Tasa)/12,0)*EK$9</f>
        <v>0</v>
      </c>
      <c r="EL284" s="48" t="n">
        <f aca="false">IF((137-N(V_L2_Mes)+1)&gt;=1,IF((137-N(V_L2_Mes)+1)=1,N(V_L2_Monto),EK$286)*N(V_L2_Tasa)/12,0)*EL$9</f>
        <v>0</v>
      </c>
      <c r="EM284" s="48" t="n">
        <f aca="false">IF((138-N(V_L2_Mes)+1)&gt;=1,IF((138-N(V_L2_Mes)+1)=1,N(V_L2_Monto),EL$286)*N(V_L2_Tasa)/12,0)*EM$9</f>
        <v>0</v>
      </c>
      <c r="EN284" s="48" t="n">
        <f aca="false">IF((139-N(V_L2_Mes)+1)&gt;=1,IF((139-N(V_L2_Mes)+1)=1,N(V_L2_Monto),EM$286)*N(V_L2_Tasa)/12,0)*EN$9</f>
        <v>0</v>
      </c>
      <c r="EO284" s="48" t="n">
        <f aca="false">IF((140-N(V_L2_Mes)+1)&gt;=1,IF((140-N(V_L2_Mes)+1)=1,N(V_L2_Monto),EN$286)*N(V_L2_Tasa)/12,0)*EO$9</f>
        <v>0</v>
      </c>
      <c r="EP284" s="48" t="n">
        <f aca="false">IF((141-N(V_L2_Mes)+1)&gt;=1,IF((141-N(V_L2_Mes)+1)=1,N(V_L2_Monto),EO$286)*N(V_L2_Tasa)/12,0)*EP$9</f>
        <v>0</v>
      </c>
      <c r="EQ284" s="48" t="n">
        <f aca="false">IF((142-N(V_L2_Mes)+1)&gt;=1,IF((142-N(V_L2_Mes)+1)=1,N(V_L2_Monto),EP$286)*N(V_L2_Tasa)/12,0)*EQ$9</f>
        <v>0</v>
      </c>
      <c r="ER284" s="48" t="n">
        <f aca="false">IF((143-N(V_L2_Mes)+1)&gt;=1,IF((143-N(V_L2_Mes)+1)=1,N(V_L2_Monto),EQ$286)*N(V_L2_Tasa)/12,0)*ER$9</f>
        <v>0</v>
      </c>
      <c r="ES284" s="48" t="n">
        <f aca="false">IF((144-N(V_L2_Mes)+1)&gt;=1,IF((144-N(V_L2_Mes)+1)=1,N(V_L2_Monto),ER$286)*N(V_L2_Tasa)/12,0)*ES$9</f>
        <v>0</v>
      </c>
    </row>
    <row r="285" customFormat="false" ht="15" hidden="false" customHeight="false" outlineLevel="0" collapsed="false">
      <c r="A285" s="11" t="s">
        <v>1403</v>
      </c>
      <c r="B285" s="15" t="s">
        <v>1223</v>
      </c>
      <c r="C285" s="15" t="s">
        <v>508</v>
      </c>
      <c r="E285" s="54" t="n">
        <f aca="false">SUM(F285:ES285)</f>
        <v>0</v>
      </c>
      <c r="F285" s="48" t="n">
        <f aca="false">IF(AND((1-N(V_L2_Mes)+1)&gt;N(V_L2_Gracia),(1-N(V_L2_Mes)+1)&lt;=N(V_L2_Gracia)+N(V_L2_Cuotas),N(V_L2_Cuotas)&gt;0),IF((1-N(V_L2_Mes)+1)=N(V_L2_Gracia)+N(V_L2_Cuotas),IF((1-N(V_L2_Mes)+1)=1,N(V_L2_Monto),0),PMT(N(V_L2_Tasa)/12,N(V_L2_Cuotas),-N(V_L2_Monto))-F$284),0)*F$9</f>
        <v>0</v>
      </c>
      <c r="G285" s="48" t="n">
        <f aca="false">IF(AND((2-N(V_L2_Mes)+1)&gt;N(V_L2_Gracia),(2-N(V_L2_Mes)+1)&lt;=N(V_L2_Gracia)+N(V_L2_Cuotas),N(V_L2_Cuotas)&gt;0),IF((2-N(V_L2_Mes)+1)=N(V_L2_Gracia)+N(V_L2_Cuotas),IF((2-N(V_L2_Mes)+1)=1,N(V_L2_Monto),F$286),PMT(N(V_L2_Tasa)/12,N(V_L2_Cuotas),-N(V_L2_Monto))-G$284),0)*G$9</f>
        <v>0</v>
      </c>
      <c r="H285" s="48" t="n">
        <f aca="false">IF(AND((3-N(V_L2_Mes)+1)&gt;N(V_L2_Gracia),(3-N(V_L2_Mes)+1)&lt;=N(V_L2_Gracia)+N(V_L2_Cuotas),N(V_L2_Cuotas)&gt;0),IF((3-N(V_L2_Mes)+1)=N(V_L2_Gracia)+N(V_L2_Cuotas),IF((3-N(V_L2_Mes)+1)=1,N(V_L2_Monto),G$286),PMT(N(V_L2_Tasa)/12,N(V_L2_Cuotas),-N(V_L2_Monto))-H$284),0)*H$9</f>
        <v>0</v>
      </c>
      <c r="I285" s="48" t="n">
        <f aca="false">IF(AND((4-N(V_L2_Mes)+1)&gt;N(V_L2_Gracia),(4-N(V_L2_Mes)+1)&lt;=N(V_L2_Gracia)+N(V_L2_Cuotas),N(V_L2_Cuotas)&gt;0),IF((4-N(V_L2_Mes)+1)=N(V_L2_Gracia)+N(V_L2_Cuotas),IF((4-N(V_L2_Mes)+1)=1,N(V_L2_Monto),H$286),PMT(N(V_L2_Tasa)/12,N(V_L2_Cuotas),-N(V_L2_Monto))-I$284),0)*I$9</f>
        <v>0</v>
      </c>
      <c r="J285" s="48" t="n">
        <f aca="false">IF(AND((5-N(V_L2_Mes)+1)&gt;N(V_L2_Gracia),(5-N(V_L2_Mes)+1)&lt;=N(V_L2_Gracia)+N(V_L2_Cuotas),N(V_L2_Cuotas)&gt;0),IF((5-N(V_L2_Mes)+1)=N(V_L2_Gracia)+N(V_L2_Cuotas),IF((5-N(V_L2_Mes)+1)=1,N(V_L2_Monto),I$286),PMT(N(V_L2_Tasa)/12,N(V_L2_Cuotas),-N(V_L2_Monto))-J$284),0)*J$9</f>
        <v>0</v>
      </c>
      <c r="K285" s="48" t="n">
        <f aca="false">IF(AND((6-N(V_L2_Mes)+1)&gt;N(V_L2_Gracia),(6-N(V_L2_Mes)+1)&lt;=N(V_L2_Gracia)+N(V_L2_Cuotas),N(V_L2_Cuotas)&gt;0),IF((6-N(V_L2_Mes)+1)=N(V_L2_Gracia)+N(V_L2_Cuotas),IF((6-N(V_L2_Mes)+1)=1,N(V_L2_Monto),J$286),PMT(N(V_L2_Tasa)/12,N(V_L2_Cuotas),-N(V_L2_Monto))-K$284),0)*K$9</f>
        <v>0</v>
      </c>
      <c r="L285" s="48" t="n">
        <f aca="false">IF(AND((7-N(V_L2_Mes)+1)&gt;N(V_L2_Gracia),(7-N(V_L2_Mes)+1)&lt;=N(V_L2_Gracia)+N(V_L2_Cuotas),N(V_L2_Cuotas)&gt;0),IF((7-N(V_L2_Mes)+1)=N(V_L2_Gracia)+N(V_L2_Cuotas),IF((7-N(V_L2_Mes)+1)=1,N(V_L2_Monto),K$286),PMT(N(V_L2_Tasa)/12,N(V_L2_Cuotas),-N(V_L2_Monto))-L$284),0)*L$9</f>
        <v>0</v>
      </c>
      <c r="M285" s="48" t="n">
        <f aca="false">IF(AND((8-N(V_L2_Mes)+1)&gt;N(V_L2_Gracia),(8-N(V_L2_Mes)+1)&lt;=N(V_L2_Gracia)+N(V_L2_Cuotas),N(V_L2_Cuotas)&gt;0),IF((8-N(V_L2_Mes)+1)=N(V_L2_Gracia)+N(V_L2_Cuotas),IF((8-N(V_L2_Mes)+1)=1,N(V_L2_Monto),L$286),PMT(N(V_L2_Tasa)/12,N(V_L2_Cuotas),-N(V_L2_Monto))-M$284),0)*M$9</f>
        <v>0</v>
      </c>
      <c r="N285" s="48" t="n">
        <f aca="false">IF(AND((9-N(V_L2_Mes)+1)&gt;N(V_L2_Gracia),(9-N(V_L2_Mes)+1)&lt;=N(V_L2_Gracia)+N(V_L2_Cuotas),N(V_L2_Cuotas)&gt;0),IF((9-N(V_L2_Mes)+1)=N(V_L2_Gracia)+N(V_L2_Cuotas),IF((9-N(V_L2_Mes)+1)=1,N(V_L2_Monto),M$286),PMT(N(V_L2_Tasa)/12,N(V_L2_Cuotas),-N(V_L2_Monto))-N$284),0)*N$9</f>
        <v>0</v>
      </c>
      <c r="O285" s="48" t="n">
        <f aca="false">IF(AND((10-N(V_L2_Mes)+1)&gt;N(V_L2_Gracia),(10-N(V_L2_Mes)+1)&lt;=N(V_L2_Gracia)+N(V_L2_Cuotas),N(V_L2_Cuotas)&gt;0),IF((10-N(V_L2_Mes)+1)=N(V_L2_Gracia)+N(V_L2_Cuotas),IF((10-N(V_L2_Mes)+1)=1,N(V_L2_Monto),N$286),PMT(N(V_L2_Tasa)/12,N(V_L2_Cuotas),-N(V_L2_Monto))-O$284),0)*O$9</f>
        <v>0</v>
      </c>
      <c r="P285" s="48" t="n">
        <f aca="false">IF(AND((11-N(V_L2_Mes)+1)&gt;N(V_L2_Gracia),(11-N(V_L2_Mes)+1)&lt;=N(V_L2_Gracia)+N(V_L2_Cuotas),N(V_L2_Cuotas)&gt;0),IF((11-N(V_L2_Mes)+1)=N(V_L2_Gracia)+N(V_L2_Cuotas),IF((11-N(V_L2_Mes)+1)=1,N(V_L2_Monto),O$286),PMT(N(V_L2_Tasa)/12,N(V_L2_Cuotas),-N(V_L2_Monto))-P$284),0)*P$9</f>
        <v>0</v>
      </c>
      <c r="Q285" s="48" t="n">
        <f aca="false">IF(AND((12-N(V_L2_Mes)+1)&gt;N(V_L2_Gracia),(12-N(V_L2_Mes)+1)&lt;=N(V_L2_Gracia)+N(V_L2_Cuotas),N(V_L2_Cuotas)&gt;0),IF((12-N(V_L2_Mes)+1)=N(V_L2_Gracia)+N(V_L2_Cuotas),IF((12-N(V_L2_Mes)+1)=1,N(V_L2_Monto),P$286),PMT(N(V_L2_Tasa)/12,N(V_L2_Cuotas),-N(V_L2_Monto))-Q$284),0)*Q$9</f>
        <v>0</v>
      </c>
      <c r="R285" s="48" t="n">
        <f aca="false">IF(AND((13-N(V_L2_Mes)+1)&gt;N(V_L2_Gracia),(13-N(V_L2_Mes)+1)&lt;=N(V_L2_Gracia)+N(V_L2_Cuotas),N(V_L2_Cuotas)&gt;0),IF((13-N(V_L2_Mes)+1)=N(V_L2_Gracia)+N(V_L2_Cuotas),IF((13-N(V_L2_Mes)+1)=1,N(V_L2_Monto),Q$286),PMT(N(V_L2_Tasa)/12,N(V_L2_Cuotas),-N(V_L2_Monto))-R$284),0)*R$9</f>
        <v>0</v>
      </c>
      <c r="S285" s="48" t="n">
        <f aca="false">IF(AND((14-N(V_L2_Mes)+1)&gt;N(V_L2_Gracia),(14-N(V_L2_Mes)+1)&lt;=N(V_L2_Gracia)+N(V_L2_Cuotas),N(V_L2_Cuotas)&gt;0),IF((14-N(V_L2_Mes)+1)=N(V_L2_Gracia)+N(V_L2_Cuotas),IF((14-N(V_L2_Mes)+1)=1,N(V_L2_Monto),R$286),PMT(N(V_L2_Tasa)/12,N(V_L2_Cuotas),-N(V_L2_Monto))-S$284),0)*S$9</f>
        <v>0</v>
      </c>
      <c r="T285" s="48" t="n">
        <f aca="false">IF(AND((15-N(V_L2_Mes)+1)&gt;N(V_L2_Gracia),(15-N(V_L2_Mes)+1)&lt;=N(V_L2_Gracia)+N(V_L2_Cuotas),N(V_L2_Cuotas)&gt;0),IF((15-N(V_L2_Mes)+1)=N(V_L2_Gracia)+N(V_L2_Cuotas),IF((15-N(V_L2_Mes)+1)=1,N(V_L2_Monto),S$286),PMT(N(V_L2_Tasa)/12,N(V_L2_Cuotas),-N(V_L2_Monto))-T$284),0)*T$9</f>
        <v>0</v>
      </c>
      <c r="U285" s="48" t="n">
        <f aca="false">IF(AND((16-N(V_L2_Mes)+1)&gt;N(V_L2_Gracia),(16-N(V_L2_Mes)+1)&lt;=N(V_L2_Gracia)+N(V_L2_Cuotas),N(V_L2_Cuotas)&gt;0),IF((16-N(V_L2_Mes)+1)=N(V_L2_Gracia)+N(V_L2_Cuotas),IF((16-N(V_L2_Mes)+1)=1,N(V_L2_Monto),T$286),PMT(N(V_L2_Tasa)/12,N(V_L2_Cuotas),-N(V_L2_Monto))-U$284),0)*U$9</f>
        <v>0</v>
      </c>
      <c r="V285" s="48" t="n">
        <f aca="false">IF(AND((17-N(V_L2_Mes)+1)&gt;N(V_L2_Gracia),(17-N(V_L2_Mes)+1)&lt;=N(V_L2_Gracia)+N(V_L2_Cuotas),N(V_L2_Cuotas)&gt;0),IF((17-N(V_L2_Mes)+1)=N(V_L2_Gracia)+N(V_L2_Cuotas),IF((17-N(V_L2_Mes)+1)=1,N(V_L2_Monto),U$286),PMT(N(V_L2_Tasa)/12,N(V_L2_Cuotas),-N(V_L2_Monto))-V$284),0)*V$9</f>
        <v>0</v>
      </c>
      <c r="W285" s="48" t="n">
        <f aca="false">IF(AND((18-N(V_L2_Mes)+1)&gt;N(V_L2_Gracia),(18-N(V_L2_Mes)+1)&lt;=N(V_L2_Gracia)+N(V_L2_Cuotas),N(V_L2_Cuotas)&gt;0),IF((18-N(V_L2_Mes)+1)=N(V_L2_Gracia)+N(V_L2_Cuotas),IF((18-N(V_L2_Mes)+1)=1,N(V_L2_Monto),V$286),PMT(N(V_L2_Tasa)/12,N(V_L2_Cuotas),-N(V_L2_Monto))-W$284),0)*W$9</f>
        <v>0</v>
      </c>
      <c r="X285" s="48" t="n">
        <f aca="false">IF(AND((19-N(V_L2_Mes)+1)&gt;N(V_L2_Gracia),(19-N(V_L2_Mes)+1)&lt;=N(V_L2_Gracia)+N(V_L2_Cuotas),N(V_L2_Cuotas)&gt;0),IF((19-N(V_L2_Mes)+1)=N(V_L2_Gracia)+N(V_L2_Cuotas),IF((19-N(V_L2_Mes)+1)=1,N(V_L2_Monto),W$286),PMT(N(V_L2_Tasa)/12,N(V_L2_Cuotas),-N(V_L2_Monto))-X$284),0)*X$9</f>
        <v>0</v>
      </c>
      <c r="Y285" s="48" t="n">
        <f aca="false">IF(AND((20-N(V_L2_Mes)+1)&gt;N(V_L2_Gracia),(20-N(V_L2_Mes)+1)&lt;=N(V_L2_Gracia)+N(V_L2_Cuotas),N(V_L2_Cuotas)&gt;0),IF((20-N(V_L2_Mes)+1)=N(V_L2_Gracia)+N(V_L2_Cuotas),IF((20-N(V_L2_Mes)+1)=1,N(V_L2_Monto),X$286),PMT(N(V_L2_Tasa)/12,N(V_L2_Cuotas),-N(V_L2_Monto))-Y$284),0)*Y$9</f>
        <v>0</v>
      </c>
      <c r="Z285" s="48" t="n">
        <f aca="false">IF(AND((21-N(V_L2_Mes)+1)&gt;N(V_L2_Gracia),(21-N(V_L2_Mes)+1)&lt;=N(V_L2_Gracia)+N(V_L2_Cuotas),N(V_L2_Cuotas)&gt;0),IF((21-N(V_L2_Mes)+1)=N(V_L2_Gracia)+N(V_L2_Cuotas),IF((21-N(V_L2_Mes)+1)=1,N(V_L2_Monto),Y$286),PMT(N(V_L2_Tasa)/12,N(V_L2_Cuotas),-N(V_L2_Monto))-Z$284),0)*Z$9</f>
        <v>0</v>
      </c>
      <c r="AA285" s="48" t="n">
        <f aca="false">IF(AND((22-N(V_L2_Mes)+1)&gt;N(V_L2_Gracia),(22-N(V_L2_Mes)+1)&lt;=N(V_L2_Gracia)+N(V_L2_Cuotas),N(V_L2_Cuotas)&gt;0),IF((22-N(V_L2_Mes)+1)=N(V_L2_Gracia)+N(V_L2_Cuotas),IF((22-N(V_L2_Mes)+1)=1,N(V_L2_Monto),Z$286),PMT(N(V_L2_Tasa)/12,N(V_L2_Cuotas),-N(V_L2_Monto))-AA$284),0)*AA$9</f>
        <v>0</v>
      </c>
      <c r="AB285" s="48" t="n">
        <f aca="false">IF(AND((23-N(V_L2_Mes)+1)&gt;N(V_L2_Gracia),(23-N(V_L2_Mes)+1)&lt;=N(V_L2_Gracia)+N(V_L2_Cuotas),N(V_L2_Cuotas)&gt;0),IF((23-N(V_L2_Mes)+1)=N(V_L2_Gracia)+N(V_L2_Cuotas),IF((23-N(V_L2_Mes)+1)=1,N(V_L2_Monto),AA$286),PMT(N(V_L2_Tasa)/12,N(V_L2_Cuotas),-N(V_L2_Monto))-AB$284),0)*AB$9</f>
        <v>0</v>
      </c>
      <c r="AC285" s="48" t="n">
        <f aca="false">IF(AND((24-N(V_L2_Mes)+1)&gt;N(V_L2_Gracia),(24-N(V_L2_Mes)+1)&lt;=N(V_L2_Gracia)+N(V_L2_Cuotas),N(V_L2_Cuotas)&gt;0),IF((24-N(V_L2_Mes)+1)=N(V_L2_Gracia)+N(V_L2_Cuotas),IF((24-N(V_L2_Mes)+1)=1,N(V_L2_Monto),AB$286),PMT(N(V_L2_Tasa)/12,N(V_L2_Cuotas),-N(V_L2_Monto))-AC$284),0)*AC$9</f>
        <v>0</v>
      </c>
      <c r="AD285" s="48" t="n">
        <f aca="false">IF(AND((25-N(V_L2_Mes)+1)&gt;N(V_L2_Gracia),(25-N(V_L2_Mes)+1)&lt;=N(V_L2_Gracia)+N(V_L2_Cuotas),N(V_L2_Cuotas)&gt;0),IF((25-N(V_L2_Mes)+1)=N(V_L2_Gracia)+N(V_L2_Cuotas),IF((25-N(V_L2_Mes)+1)=1,N(V_L2_Monto),AC$286),PMT(N(V_L2_Tasa)/12,N(V_L2_Cuotas),-N(V_L2_Monto))-AD$284),0)*AD$9</f>
        <v>0</v>
      </c>
      <c r="AE285" s="48" t="n">
        <f aca="false">IF(AND((26-N(V_L2_Mes)+1)&gt;N(V_L2_Gracia),(26-N(V_L2_Mes)+1)&lt;=N(V_L2_Gracia)+N(V_L2_Cuotas),N(V_L2_Cuotas)&gt;0),IF((26-N(V_L2_Mes)+1)=N(V_L2_Gracia)+N(V_L2_Cuotas),IF((26-N(V_L2_Mes)+1)=1,N(V_L2_Monto),AD$286),PMT(N(V_L2_Tasa)/12,N(V_L2_Cuotas),-N(V_L2_Monto))-AE$284),0)*AE$9</f>
        <v>0</v>
      </c>
      <c r="AF285" s="48" t="n">
        <f aca="false">IF(AND((27-N(V_L2_Mes)+1)&gt;N(V_L2_Gracia),(27-N(V_L2_Mes)+1)&lt;=N(V_L2_Gracia)+N(V_L2_Cuotas),N(V_L2_Cuotas)&gt;0),IF((27-N(V_L2_Mes)+1)=N(V_L2_Gracia)+N(V_L2_Cuotas),IF((27-N(V_L2_Mes)+1)=1,N(V_L2_Monto),AE$286),PMT(N(V_L2_Tasa)/12,N(V_L2_Cuotas),-N(V_L2_Monto))-AF$284),0)*AF$9</f>
        <v>0</v>
      </c>
      <c r="AG285" s="48" t="n">
        <f aca="false">IF(AND((28-N(V_L2_Mes)+1)&gt;N(V_L2_Gracia),(28-N(V_L2_Mes)+1)&lt;=N(V_L2_Gracia)+N(V_L2_Cuotas),N(V_L2_Cuotas)&gt;0),IF((28-N(V_L2_Mes)+1)=N(V_L2_Gracia)+N(V_L2_Cuotas),IF((28-N(V_L2_Mes)+1)=1,N(V_L2_Monto),AF$286),PMT(N(V_L2_Tasa)/12,N(V_L2_Cuotas),-N(V_L2_Monto))-AG$284),0)*AG$9</f>
        <v>0</v>
      </c>
      <c r="AH285" s="48" t="n">
        <f aca="false">IF(AND((29-N(V_L2_Mes)+1)&gt;N(V_L2_Gracia),(29-N(V_L2_Mes)+1)&lt;=N(V_L2_Gracia)+N(V_L2_Cuotas),N(V_L2_Cuotas)&gt;0),IF((29-N(V_L2_Mes)+1)=N(V_L2_Gracia)+N(V_L2_Cuotas),IF((29-N(V_L2_Mes)+1)=1,N(V_L2_Monto),AG$286),PMT(N(V_L2_Tasa)/12,N(V_L2_Cuotas),-N(V_L2_Monto))-AH$284),0)*AH$9</f>
        <v>0</v>
      </c>
      <c r="AI285" s="48" t="n">
        <f aca="false">IF(AND((30-N(V_L2_Mes)+1)&gt;N(V_L2_Gracia),(30-N(V_L2_Mes)+1)&lt;=N(V_L2_Gracia)+N(V_L2_Cuotas),N(V_L2_Cuotas)&gt;0),IF((30-N(V_L2_Mes)+1)=N(V_L2_Gracia)+N(V_L2_Cuotas),IF((30-N(V_L2_Mes)+1)=1,N(V_L2_Monto),AH$286),PMT(N(V_L2_Tasa)/12,N(V_L2_Cuotas),-N(V_L2_Monto))-AI$284),0)*AI$9</f>
        <v>0</v>
      </c>
      <c r="AJ285" s="48" t="n">
        <f aca="false">IF(AND((31-N(V_L2_Mes)+1)&gt;N(V_L2_Gracia),(31-N(V_L2_Mes)+1)&lt;=N(V_L2_Gracia)+N(V_L2_Cuotas),N(V_L2_Cuotas)&gt;0),IF((31-N(V_L2_Mes)+1)=N(V_L2_Gracia)+N(V_L2_Cuotas),IF((31-N(V_L2_Mes)+1)=1,N(V_L2_Monto),AI$286),PMT(N(V_L2_Tasa)/12,N(V_L2_Cuotas),-N(V_L2_Monto))-AJ$284),0)*AJ$9</f>
        <v>0</v>
      </c>
      <c r="AK285" s="48" t="n">
        <f aca="false">IF(AND((32-N(V_L2_Mes)+1)&gt;N(V_L2_Gracia),(32-N(V_L2_Mes)+1)&lt;=N(V_L2_Gracia)+N(V_L2_Cuotas),N(V_L2_Cuotas)&gt;0),IF((32-N(V_L2_Mes)+1)=N(V_L2_Gracia)+N(V_L2_Cuotas),IF((32-N(V_L2_Mes)+1)=1,N(V_L2_Monto),AJ$286),PMT(N(V_L2_Tasa)/12,N(V_L2_Cuotas),-N(V_L2_Monto))-AK$284),0)*AK$9</f>
        <v>0</v>
      </c>
      <c r="AL285" s="48" t="n">
        <f aca="false">IF(AND((33-N(V_L2_Mes)+1)&gt;N(V_L2_Gracia),(33-N(V_L2_Mes)+1)&lt;=N(V_L2_Gracia)+N(V_L2_Cuotas),N(V_L2_Cuotas)&gt;0),IF((33-N(V_L2_Mes)+1)=N(V_L2_Gracia)+N(V_L2_Cuotas),IF((33-N(V_L2_Mes)+1)=1,N(V_L2_Monto),AK$286),PMT(N(V_L2_Tasa)/12,N(V_L2_Cuotas),-N(V_L2_Monto))-AL$284),0)*AL$9</f>
        <v>0</v>
      </c>
      <c r="AM285" s="48" t="n">
        <f aca="false">IF(AND((34-N(V_L2_Mes)+1)&gt;N(V_L2_Gracia),(34-N(V_L2_Mes)+1)&lt;=N(V_L2_Gracia)+N(V_L2_Cuotas),N(V_L2_Cuotas)&gt;0),IF((34-N(V_L2_Mes)+1)=N(V_L2_Gracia)+N(V_L2_Cuotas),IF((34-N(V_L2_Mes)+1)=1,N(V_L2_Monto),AL$286),PMT(N(V_L2_Tasa)/12,N(V_L2_Cuotas),-N(V_L2_Monto))-AM$284),0)*AM$9</f>
        <v>0</v>
      </c>
      <c r="AN285" s="48" t="n">
        <f aca="false">IF(AND((35-N(V_L2_Mes)+1)&gt;N(V_L2_Gracia),(35-N(V_L2_Mes)+1)&lt;=N(V_L2_Gracia)+N(V_L2_Cuotas),N(V_L2_Cuotas)&gt;0),IF((35-N(V_L2_Mes)+1)=N(V_L2_Gracia)+N(V_L2_Cuotas),IF((35-N(V_L2_Mes)+1)=1,N(V_L2_Monto),AM$286),PMT(N(V_L2_Tasa)/12,N(V_L2_Cuotas),-N(V_L2_Monto))-AN$284),0)*AN$9</f>
        <v>0</v>
      </c>
      <c r="AO285" s="48" t="n">
        <f aca="false">IF(AND((36-N(V_L2_Mes)+1)&gt;N(V_L2_Gracia),(36-N(V_L2_Mes)+1)&lt;=N(V_L2_Gracia)+N(V_L2_Cuotas),N(V_L2_Cuotas)&gt;0),IF((36-N(V_L2_Mes)+1)=N(V_L2_Gracia)+N(V_L2_Cuotas),IF((36-N(V_L2_Mes)+1)=1,N(V_L2_Monto),AN$286),PMT(N(V_L2_Tasa)/12,N(V_L2_Cuotas),-N(V_L2_Monto))-AO$284),0)*AO$9</f>
        <v>0</v>
      </c>
      <c r="AP285" s="48" t="n">
        <f aca="false">IF(AND((37-N(V_L2_Mes)+1)&gt;N(V_L2_Gracia),(37-N(V_L2_Mes)+1)&lt;=N(V_L2_Gracia)+N(V_L2_Cuotas),N(V_L2_Cuotas)&gt;0),IF((37-N(V_L2_Mes)+1)=N(V_L2_Gracia)+N(V_L2_Cuotas),IF((37-N(V_L2_Mes)+1)=1,N(V_L2_Monto),AO$286),PMT(N(V_L2_Tasa)/12,N(V_L2_Cuotas),-N(V_L2_Monto))-AP$284),0)*AP$9</f>
        <v>0</v>
      </c>
      <c r="AQ285" s="48" t="n">
        <f aca="false">IF(AND((38-N(V_L2_Mes)+1)&gt;N(V_L2_Gracia),(38-N(V_L2_Mes)+1)&lt;=N(V_L2_Gracia)+N(V_L2_Cuotas),N(V_L2_Cuotas)&gt;0),IF((38-N(V_L2_Mes)+1)=N(V_L2_Gracia)+N(V_L2_Cuotas),IF((38-N(V_L2_Mes)+1)=1,N(V_L2_Monto),AP$286),PMT(N(V_L2_Tasa)/12,N(V_L2_Cuotas),-N(V_L2_Monto))-AQ$284),0)*AQ$9</f>
        <v>0</v>
      </c>
      <c r="AR285" s="48" t="n">
        <f aca="false">IF(AND((39-N(V_L2_Mes)+1)&gt;N(V_L2_Gracia),(39-N(V_L2_Mes)+1)&lt;=N(V_L2_Gracia)+N(V_L2_Cuotas),N(V_L2_Cuotas)&gt;0),IF((39-N(V_L2_Mes)+1)=N(V_L2_Gracia)+N(V_L2_Cuotas),IF((39-N(V_L2_Mes)+1)=1,N(V_L2_Monto),AQ$286),PMT(N(V_L2_Tasa)/12,N(V_L2_Cuotas),-N(V_L2_Monto))-AR$284),0)*AR$9</f>
        <v>0</v>
      </c>
      <c r="AS285" s="48" t="n">
        <f aca="false">IF(AND((40-N(V_L2_Mes)+1)&gt;N(V_L2_Gracia),(40-N(V_L2_Mes)+1)&lt;=N(V_L2_Gracia)+N(V_L2_Cuotas),N(V_L2_Cuotas)&gt;0),IF((40-N(V_L2_Mes)+1)=N(V_L2_Gracia)+N(V_L2_Cuotas),IF((40-N(V_L2_Mes)+1)=1,N(V_L2_Monto),AR$286),PMT(N(V_L2_Tasa)/12,N(V_L2_Cuotas),-N(V_L2_Monto))-AS$284),0)*AS$9</f>
        <v>0</v>
      </c>
      <c r="AT285" s="48" t="n">
        <f aca="false">IF(AND((41-N(V_L2_Mes)+1)&gt;N(V_L2_Gracia),(41-N(V_L2_Mes)+1)&lt;=N(V_L2_Gracia)+N(V_L2_Cuotas),N(V_L2_Cuotas)&gt;0),IF((41-N(V_L2_Mes)+1)=N(V_L2_Gracia)+N(V_L2_Cuotas),IF((41-N(V_L2_Mes)+1)=1,N(V_L2_Monto),AS$286),PMT(N(V_L2_Tasa)/12,N(V_L2_Cuotas),-N(V_L2_Monto))-AT$284),0)*AT$9</f>
        <v>0</v>
      </c>
      <c r="AU285" s="48" t="n">
        <f aca="false">IF(AND((42-N(V_L2_Mes)+1)&gt;N(V_L2_Gracia),(42-N(V_L2_Mes)+1)&lt;=N(V_L2_Gracia)+N(V_L2_Cuotas),N(V_L2_Cuotas)&gt;0),IF((42-N(V_L2_Mes)+1)=N(V_L2_Gracia)+N(V_L2_Cuotas),IF((42-N(V_L2_Mes)+1)=1,N(V_L2_Monto),AT$286),PMT(N(V_L2_Tasa)/12,N(V_L2_Cuotas),-N(V_L2_Monto))-AU$284),0)*AU$9</f>
        <v>0</v>
      </c>
      <c r="AV285" s="48" t="n">
        <f aca="false">IF(AND((43-N(V_L2_Mes)+1)&gt;N(V_L2_Gracia),(43-N(V_L2_Mes)+1)&lt;=N(V_L2_Gracia)+N(V_L2_Cuotas),N(V_L2_Cuotas)&gt;0),IF((43-N(V_L2_Mes)+1)=N(V_L2_Gracia)+N(V_L2_Cuotas),IF((43-N(V_L2_Mes)+1)=1,N(V_L2_Monto),AU$286),PMT(N(V_L2_Tasa)/12,N(V_L2_Cuotas),-N(V_L2_Monto))-AV$284),0)*AV$9</f>
        <v>0</v>
      </c>
      <c r="AW285" s="48" t="n">
        <f aca="false">IF(AND((44-N(V_L2_Mes)+1)&gt;N(V_L2_Gracia),(44-N(V_L2_Mes)+1)&lt;=N(V_L2_Gracia)+N(V_L2_Cuotas),N(V_L2_Cuotas)&gt;0),IF((44-N(V_L2_Mes)+1)=N(V_L2_Gracia)+N(V_L2_Cuotas),IF((44-N(V_L2_Mes)+1)=1,N(V_L2_Monto),AV$286),PMT(N(V_L2_Tasa)/12,N(V_L2_Cuotas),-N(V_L2_Monto))-AW$284),0)*AW$9</f>
        <v>0</v>
      </c>
      <c r="AX285" s="48" t="n">
        <f aca="false">IF(AND((45-N(V_L2_Mes)+1)&gt;N(V_L2_Gracia),(45-N(V_L2_Mes)+1)&lt;=N(V_L2_Gracia)+N(V_L2_Cuotas),N(V_L2_Cuotas)&gt;0),IF((45-N(V_L2_Mes)+1)=N(V_L2_Gracia)+N(V_L2_Cuotas),IF((45-N(V_L2_Mes)+1)=1,N(V_L2_Monto),AW$286),PMT(N(V_L2_Tasa)/12,N(V_L2_Cuotas),-N(V_L2_Monto))-AX$284),0)*AX$9</f>
        <v>0</v>
      </c>
      <c r="AY285" s="48" t="n">
        <f aca="false">IF(AND((46-N(V_L2_Mes)+1)&gt;N(V_L2_Gracia),(46-N(V_L2_Mes)+1)&lt;=N(V_L2_Gracia)+N(V_L2_Cuotas),N(V_L2_Cuotas)&gt;0),IF((46-N(V_L2_Mes)+1)=N(V_L2_Gracia)+N(V_L2_Cuotas),IF((46-N(V_L2_Mes)+1)=1,N(V_L2_Monto),AX$286),PMT(N(V_L2_Tasa)/12,N(V_L2_Cuotas),-N(V_L2_Monto))-AY$284),0)*AY$9</f>
        <v>0</v>
      </c>
      <c r="AZ285" s="48" t="n">
        <f aca="false">IF(AND((47-N(V_L2_Mes)+1)&gt;N(V_L2_Gracia),(47-N(V_L2_Mes)+1)&lt;=N(V_L2_Gracia)+N(V_L2_Cuotas),N(V_L2_Cuotas)&gt;0),IF((47-N(V_L2_Mes)+1)=N(V_L2_Gracia)+N(V_L2_Cuotas),IF((47-N(V_L2_Mes)+1)=1,N(V_L2_Monto),AY$286),PMT(N(V_L2_Tasa)/12,N(V_L2_Cuotas),-N(V_L2_Monto))-AZ$284),0)*AZ$9</f>
        <v>0</v>
      </c>
      <c r="BA285" s="48" t="n">
        <f aca="false">IF(AND((48-N(V_L2_Mes)+1)&gt;N(V_L2_Gracia),(48-N(V_L2_Mes)+1)&lt;=N(V_L2_Gracia)+N(V_L2_Cuotas),N(V_L2_Cuotas)&gt;0),IF((48-N(V_L2_Mes)+1)=N(V_L2_Gracia)+N(V_L2_Cuotas),IF((48-N(V_L2_Mes)+1)=1,N(V_L2_Monto),AZ$286),PMT(N(V_L2_Tasa)/12,N(V_L2_Cuotas),-N(V_L2_Monto))-BA$284),0)*BA$9</f>
        <v>0</v>
      </c>
      <c r="BB285" s="48" t="n">
        <f aca="false">IF(AND((49-N(V_L2_Mes)+1)&gt;N(V_L2_Gracia),(49-N(V_L2_Mes)+1)&lt;=N(V_L2_Gracia)+N(V_L2_Cuotas),N(V_L2_Cuotas)&gt;0),IF((49-N(V_L2_Mes)+1)=N(V_L2_Gracia)+N(V_L2_Cuotas),IF((49-N(V_L2_Mes)+1)=1,N(V_L2_Monto),BA$286),PMT(N(V_L2_Tasa)/12,N(V_L2_Cuotas),-N(V_L2_Monto))-BB$284),0)*BB$9</f>
        <v>0</v>
      </c>
      <c r="BC285" s="48" t="n">
        <f aca="false">IF(AND((50-N(V_L2_Mes)+1)&gt;N(V_L2_Gracia),(50-N(V_L2_Mes)+1)&lt;=N(V_L2_Gracia)+N(V_L2_Cuotas),N(V_L2_Cuotas)&gt;0),IF((50-N(V_L2_Mes)+1)=N(V_L2_Gracia)+N(V_L2_Cuotas),IF((50-N(V_L2_Mes)+1)=1,N(V_L2_Monto),BB$286),PMT(N(V_L2_Tasa)/12,N(V_L2_Cuotas),-N(V_L2_Monto))-BC$284),0)*BC$9</f>
        <v>0</v>
      </c>
      <c r="BD285" s="48" t="n">
        <f aca="false">IF(AND((51-N(V_L2_Mes)+1)&gt;N(V_L2_Gracia),(51-N(V_L2_Mes)+1)&lt;=N(V_L2_Gracia)+N(V_L2_Cuotas),N(V_L2_Cuotas)&gt;0),IF((51-N(V_L2_Mes)+1)=N(V_L2_Gracia)+N(V_L2_Cuotas),IF((51-N(V_L2_Mes)+1)=1,N(V_L2_Monto),BC$286),PMT(N(V_L2_Tasa)/12,N(V_L2_Cuotas),-N(V_L2_Monto))-BD$284),0)*BD$9</f>
        <v>0</v>
      </c>
      <c r="BE285" s="48" t="n">
        <f aca="false">IF(AND((52-N(V_L2_Mes)+1)&gt;N(V_L2_Gracia),(52-N(V_L2_Mes)+1)&lt;=N(V_L2_Gracia)+N(V_L2_Cuotas),N(V_L2_Cuotas)&gt;0),IF((52-N(V_L2_Mes)+1)=N(V_L2_Gracia)+N(V_L2_Cuotas),IF((52-N(V_L2_Mes)+1)=1,N(V_L2_Monto),BD$286),PMT(N(V_L2_Tasa)/12,N(V_L2_Cuotas),-N(V_L2_Monto))-BE$284),0)*BE$9</f>
        <v>0</v>
      </c>
      <c r="BF285" s="48" t="n">
        <f aca="false">IF(AND((53-N(V_L2_Mes)+1)&gt;N(V_L2_Gracia),(53-N(V_L2_Mes)+1)&lt;=N(V_L2_Gracia)+N(V_L2_Cuotas),N(V_L2_Cuotas)&gt;0),IF((53-N(V_L2_Mes)+1)=N(V_L2_Gracia)+N(V_L2_Cuotas),IF((53-N(V_L2_Mes)+1)=1,N(V_L2_Monto),BE$286),PMT(N(V_L2_Tasa)/12,N(V_L2_Cuotas),-N(V_L2_Monto))-BF$284),0)*BF$9</f>
        <v>0</v>
      </c>
      <c r="BG285" s="48" t="n">
        <f aca="false">IF(AND((54-N(V_L2_Mes)+1)&gt;N(V_L2_Gracia),(54-N(V_L2_Mes)+1)&lt;=N(V_L2_Gracia)+N(V_L2_Cuotas),N(V_L2_Cuotas)&gt;0),IF((54-N(V_L2_Mes)+1)=N(V_L2_Gracia)+N(V_L2_Cuotas),IF((54-N(V_L2_Mes)+1)=1,N(V_L2_Monto),BF$286),PMT(N(V_L2_Tasa)/12,N(V_L2_Cuotas),-N(V_L2_Monto))-BG$284),0)*BG$9</f>
        <v>0</v>
      </c>
      <c r="BH285" s="48" t="n">
        <f aca="false">IF(AND((55-N(V_L2_Mes)+1)&gt;N(V_L2_Gracia),(55-N(V_L2_Mes)+1)&lt;=N(V_L2_Gracia)+N(V_L2_Cuotas),N(V_L2_Cuotas)&gt;0),IF((55-N(V_L2_Mes)+1)=N(V_L2_Gracia)+N(V_L2_Cuotas),IF((55-N(V_L2_Mes)+1)=1,N(V_L2_Monto),BG$286),PMT(N(V_L2_Tasa)/12,N(V_L2_Cuotas),-N(V_L2_Monto))-BH$284),0)*BH$9</f>
        <v>0</v>
      </c>
      <c r="BI285" s="48" t="n">
        <f aca="false">IF(AND((56-N(V_L2_Mes)+1)&gt;N(V_L2_Gracia),(56-N(V_L2_Mes)+1)&lt;=N(V_L2_Gracia)+N(V_L2_Cuotas),N(V_L2_Cuotas)&gt;0),IF((56-N(V_L2_Mes)+1)=N(V_L2_Gracia)+N(V_L2_Cuotas),IF((56-N(V_L2_Mes)+1)=1,N(V_L2_Monto),BH$286),PMT(N(V_L2_Tasa)/12,N(V_L2_Cuotas),-N(V_L2_Monto))-BI$284),0)*BI$9</f>
        <v>0</v>
      </c>
      <c r="BJ285" s="48" t="n">
        <f aca="false">IF(AND((57-N(V_L2_Mes)+1)&gt;N(V_L2_Gracia),(57-N(V_L2_Mes)+1)&lt;=N(V_L2_Gracia)+N(V_L2_Cuotas),N(V_L2_Cuotas)&gt;0),IF((57-N(V_L2_Mes)+1)=N(V_L2_Gracia)+N(V_L2_Cuotas),IF((57-N(V_L2_Mes)+1)=1,N(V_L2_Monto),BI$286),PMT(N(V_L2_Tasa)/12,N(V_L2_Cuotas),-N(V_L2_Monto))-BJ$284),0)*BJ$9</f>
        <v>0</v>
      </c>
      <c r="BK285" s="48" t="n">
        <f aca="false">IF(AND((58-N(V_L2_Mes)+1)&gt;N(V_L2_Gracia),(58-N(V_L2_Mes)+1)&lt;=N(V_L2_Gracia)+N(V_L2_Cuotas),N(V_L2_Cuotas)&gt;0),IF((58-N(V_L2_Mes)+1)=N(V_L2_Gracia)+N(V_L2_Cuotas),IF((58-N(V_L2_Mes)+1)=1,N(V_L2_Monto),BJ$286),PMT(N(V_L2_Tasa)/12,N(V_L2_Cuotas),-N(V_L2_Monto))-BK$284),0)*BK$9</f>
        <v>0</v>
      </c>
      <c r="BL285" s="48" t="n">
        <f aca="false">IF(AND((59-N(V_L2_Mes)+1)&gt;N(V_L2_Gracia),(59-N(V_L2_Mes)+1)&lt;=N(V_L2_Gracia)+N(V_L2_Cuotas),N(V_L2_Cuotas)&gt;0),IF((59-N(V_L2_Mes)+1)=N(V_L2_Gracia)+N(V_L2_Cuotas),IF((59-N(V_L2_Mes)+1)=1,N(V_L2_Monto),BK$286),PMT(N(V_L2_Tasa)/12,N(V_L2_Cuotas),-N(V_L2_Monto))-BL$284),0)*BL$9</f>
        <v>0</v>
      </c>
      <c r="BM285" s="48" t="n">
        <f aca="false">IF(AND((60-N(V_L2_Mes)+1)&gt;N(V_L2_Gracia),(60-N(V_L2_Mes)+1)&lt;=N(V_L2_Gracia)+N(V_L2_Cuotas),N(V_L2_Cuotas)&gt;0),IF((60-N(V_L2_Mes)+1)=N(V_L2_Gracia)+N(V_L2_Cuotas),IF((60-N(V_L2_Mes)+1)=1,N(V_L2_Monto),BL$286),PMT(N(V_L2_Tasa)/12,N(V_L2_Cuotas),-N(V_L2_Monto))-BM$284),0)*BM$9</f>
        <v>0</v>
      </c>
      <c r="BN285" s="48" t="n">
        <f aca="false">IF(AND((61-N(V_L2_Mes)+1)&gt;N(V_L2_Gracia),(61-N(V_L2_Mes)+1)&lt;=N(V_L2_Gracia)+N(V_L2_Cuotas),N(V_L2_Cuotas)&gt;0),IF((61-N(V_L2_Mes)+1)=N(V_L2_Gracia)+N(V_L2_Cuotas),IF((61-N(V_L2_Mes)+1)=1,N(V_L2_Monto),BM$286),PMT(N(V_L2_Tasa)/12,N(V_L2_Cuotas),-N(V_L2_Monto))-BN$284),0)*BN$9</f>
        <v>0</v>
      </c>
      <c r="BO285" s="48" t="n">
        <f aca="false">IF(AND((62-N(V_L2_Mes)+1)&gt;N(V_L2_Gracia),(62-N(V_L2_Mes)+1)&lt;=N(V_L2_Gracia)+N(V_L2_Cuotas),N(V_L2_Cuotas)&gt;0),IF((62-N(V_L2_Mes)+1)=N(V_L2_Gracia)+N(V_L2_Cuotas),IF((62-N(V_L2_Mes)+1)=1,N(V_L2_Monto),BN$286),PMT(N(V_L2_Tasa)/12,N(V_L2_Cuotas),-N(V_L2_Monto))-BO$284),0)*BO$9</f>
        <v>0</v>
      </c>
      <c r="BP285" s="48" t="n">
        <f aca="false">IF(AND((63-N(V_L2_Mes)+1)&gt;N(V_L2_Gracia),(63-N(V_L2_Mes)+1)&lt;=N(V_L2_Gracia)+N(V_L2_Cuotas),N(V_L2_Cuotas)&gt;0),IF((63-N(V_L2_Mes)+1)=N(V_L2_Gracia)+N(V_L2_Cuotas),IF((63-N(V_L2_Mes)+1)=1,N(V_L2_Monto),BO$286),PMT(N(V_L2_Tasa)/12,N(V_L2_Cuotas),-N(V_L2_Monto))-BP$284),0)*BP$9</f>
        <v>0</v>
      </c>
      <c r="BQ285" s="48" t="n">
        <f aca="false">IF(AND((64-N(V_L2_Mes)+1)&gt;N(V_L2_Gracia),(64-N(V_L2_Mes)+1)&lt;=N(V_L2_Gracia)+N(V_L2_Cuotas),N(V_L2_Cuotas)&gt;0),IF((64-N(V_L2_Mes)+1)=N(V_L2_Gracia)+N(V_L2_Cuotas),IF((64-N(V_L2_Mes)+1)=1,N(V_L2_Monto),BP$286),PMT(N(V_L2_Tasa)/12,N(V_L2_Cuotas),-N(V_L2_Monto))-BQ$284),0)*BQ$9</f>
        <v>0</v>
      </c>
      <c r="BR285" s="48" t="n">
        <f aca="false">IF(AND((65-N(V_L2_Mes)+1)&gt;N(V_L2_Gracia),(65-N(V_L2_Mes)+1)&lt;=N(V_L2_Gracia)+N(V_L2_Cuotas),N(V_L2_Cuotas)&gt;0),IF((65-N(V_L2_Mes)+1)=N(V_L2_Gracia)+N(V_L2_Cuotas),IF((65-N(V_L2_Mes)+1)=1,N(V_L2_Monto),BQ$286),PMT(N(V_L2_Tasa)/12,N(V_L2_Cuotas),-N(V_L2_Monto))-BR$284),0)*BR$9</f>
        <v>0</v>
      </c>
      <c r="BS285" s="48" t="n">
        <f aca="false">IF(AND((66-N(V_L2_Mes)+1)&gt;N(V_L2_Gracia),(66-N(V_L2_Mes)+1)&lt;=N(V_L2_Gracia)+N(V_L2_Cuotas),N(V_L2_Cuotas)&gt;0),IF((66-N(V_L2_Mes)+1)=N(V_L2_Gracia)+N(V_L2_Cuotas),IF((66-N(V_L2_Mes)+1)=1,N(V_L2_Monto),BR$286),PMT(N(V_L2_Tasa)/12,N(V_L2_Cuotas),-N(V_L2_Monto))-BS$284),0)*BS$9</f>
        <v>0</v>
      </c>
      <c r="BT285" s="48" t="n">
        <f aca="false">IF(AND((67-N(V_L2_Mes)+1)&gt;N(V_L2_Gracia),(67-N(V_L2_Mes)+1)&lt;=N(V_L2_Gracia)+N(V_L2_Cuotas),N(V_L2_Cuotas)&gt;0),IF((67-N(V_L2_Mes)+1)=N(V_L2_Gracia)+N(V_L2_Cuotas),IF((67-N(V_L2_Mes)+1)=1,N(V_L2_Monto),BS$286),PMT(N(V_L2_Tasa)/12,N(V_L2_Cuotas),-N(V_L2_Monto))-BT$284),0)*BT$9</f>
        <v>0</v>
      </c>
      <c r="BU285" s="48" t="n">
        <f aca="false">IF(AND((68-N(V_L2_Mes)+1)&gt;N(V_L2_Gracia),(68-N(V_L2_Mes)+1)&lt;=N(V_L2_Gracia)+N(V_L2_Cuotas),N(V_L2_Cuotas)&gt;0),IF((68-N(V_L2_Mes)+1)=N(V_L2_Gracia)+N(V_L2_Cuotas),IF((68-N(V_L2_Mes)+1)=1,N(V_L2_Monto),BT$286),PMT(N(V_L2_Tasa)/12,N(V_L2_Cuotas),-N(V_L2_Monto))-BU$284),0)*BU$9</f>
        <v>0</v>
      </c>
      <c r="BV285" s="48" t="n">
        <f aca="false">IF(AND((69-N(V_L2_Mes)+1)&gt;N(V_L2_Gracia),(69-N(V_L2_Mes)+1)&lt;=N(V_L2_Gracia)+N(V_L2_Cuotas),N(V_L2_Cuotas)&gt;0),IF((69-N(V_L2_Mes)+1)=N(V_L2_Gracia)+N(V_L2_Cuotas),IF((69-N(V_L2_Mes)+1)=1,N(V_L2_Monto),BU$286),PMT(N(V_L2_Tasa)/12,N(V_L2_Cuotas),-N(V_L2_Monto))-BV$284),0)*BV$9</f>
        <v>0</v>
      </c>
      <c r="BW285" s="48" t="n">
        <f aca="false">IF(AND((70-N(V_L2_Mes)+1)&gt;N(V_L2_Gracia),(70-N(V_L2_Mes)+1)&lt;=N(V_L2_Gracia)+N(V_L2_Cuotas),N(V_L2_Cuotas)&gt;0),IF((70-N(V_L2_Mes)+1)=N(V_L2_Gracia)+N(V_L2_Cuotas),IF((70-N(V_L2_Mes)+1)=1,N(V_L2_Monto),BV$286),PMT(N(V_L2_Tasa)/12,N(V_L2_Cuotas),-N(V_L2_Monto))-BW$284),0)*BW$9</f>
        <v>0</v>
      </c>
      <c r="BX285" s="48" t="n">
        <f aca="false">IF(AND((71-N(V_L2_Mes)+1)&gt;N(V_L2_Gracia),(71-N(V_L2_Mes)+1)&lt;=N(V_L2_Gracia)+N(V_L2_Cuotas),N(V_L2_Cuotas)&gt;0),IF((71-N(V_L2_Mes)+1)=N(V_L2_Gracia)+N(V_L2_Cuotas),IF((71-N(V_L2_Mes)+1)=1,N(V_L2_Monto),BW$286),PMT(N(V_L2_Tasa)/12,N(V_L2_Cuotas),-N(V_L2_Monto))-BX$284),0)*BX$9</f>
        <v>0</v>
      </c>
      <c r="BY285" s="48" t="n">
        <f aca="false">IF(AND((72-N(V_L2_Mes)+1)&gt;N(V_L2_Gracia),(72-N(V_L2_Mes)+1)&lt;=N(V_L2_Gracia)+N(V_L2_Cuotas),N(V_L2_Cuotas)&gt;0),IF((72-N(V_L2_Mes)+1)=N(V_L2_Gracia)+N(V_L2_Cuotas),IF((72-N(V_L2_Mes)+1)=1,N(V_L2_Monto),BX$286),PMT(N(V_L2_Tasa)/12,N(V_L2_Cuotas),-N(V_L2_Monto))-BY$284),0)*BY$9</f>
        <v>0</v>
      </c>
      <c r="BZ285" s="48" t="n">
        <f aca="false">IF(AND((73-N(V_L2_Mes)+1)&gt;N(V_L2_Gracia),(73-N(V_L2_Mes)+1)&lt;=N(V_L2_Gracia)+N(V_L2_Cuotas),N(V_L2_Cuotas)&gt;0),IF((73-N(V_L2_Mes)+1)=N(V_L2_Gracia)+N(V_L2_Cuotas),IF((73-N(V_L2_Mes)+1)=1,N(V_L2_Monto),BY$286),PMT(N(V_L2_Tasa)/12,N(V_L2_Cuotas),-N(V_L2_Monto))-BZ$284),0)*BZ$9</f>
        <v>0</v>
      </c>
      <c r="CA285" s="48" t="n">
        <f aca="false">IF(AND((74-N(V_L2_Mes)+1)&gt;N(V_L2_Gracia),(74-N(V_L2_Mes)+1)&lt;=N(V_L2_Gracia)+N(V_L2_Cuotas),N(V_L2_Cuotas)&gt;0),IF((74-N(V_L2_Mes)+1)=N(V_L2_Gracia)+N(V_L2_Cuotas),IF((74-N(V_L2_Mes)+1)=1,N(V_L2_Monto),BZ$286),PMT(N(V_L2_Tasa)/12,N(V_L2_Cuotas),-N(V_L2_Monto))-CA$284),0)*CA$9</f>
        <v>0</v>
      </c>
      <c r="CB285" s="48" t="n">
        <f aca="false">IF(AND((75-N(V_L2_Mes)+1)&gt;N(V_L2_Gracia),(75-N(V_L2_Mes)+1)&lt;=N(V_L2_Gracia)+N(V_L2_Cuotas),N(V_L2_Cuotas)&gt;0),IF((75-N(V_L2_Mes)+1)=N(V_L2_Gracia)+N(V_L2_Cuotas),IF((75-N(V_L2_Mes)+1)=1,N(V_L2_Monto),CA$286),PMT(N(V_L2_Tasa)/12,N(V_L2_Cuotas),-N(V_L2_Monto))-CB$284),0)*CB$9</f>
        <v>0</v>
      </c>
      <c r="CC285" s="48" t="n">
        <f aca="false">IF(AND((76-N(V_L2_Mes)+1)&gt;N(V_L2_Gracia),(76-N(V_L2_Mes)+1)&lt;=N(V_L2_Gracia)+N(V_L2_Cuotas),N(V_L2_Cuotas)&gt;0),IF((76-N(V_L2_Mes)+1)=N(V_L2_Gracia)+N(V_L2_Cuotas),IF((76-N(V_L2_Mes)+1)=1,N(V_L2_Monto),CB$286),PMT(N(V_L2_Tasa)/12,N(V_L2_Cuotas),-N(V_L2_Monto))-CC$284),0)*CC$9</f>
        <v>0</v>
      </c>
      <c r="CD285" s="48" t="n">
        <f aca="false">IF(AND((77-N(V_L2_Mes)+1)&gt;N(V_L2_Gracia),(77-N(V_L2_Mes)+1)&lt;=N(V_L2_Gracia)+N(V_L2_Cuotas),N(V_L2_Cuotas)&gt;0),IF((77-N(V_L2_Mes)+1)=N(V_L2_Gracia)+N(V_L2_Cuotas),IF((77-N(V_L2_Mes)+1)=1,N(V_L2_Monto),CC$286),PMT(N(V_L2_Tasa)/12,N(V_L2_Cuotas),-N(V_L2_Monto))-CD$284),0)*CD$9</f>
        <v>0</v>
      </c>
      <c r="CE285" s="48" t="n">
        <f aca="false">IF(AND((78-N(V_L2_Mes)+1)&gt;N(V_L2_Gracia),(78-N(V_L2_Mes)+1)&lt;=N(V_L2_Gracia)+N(V_L2_Cuotas),N(V_L2_Cuotas)&gt;0),IF((78-N(V_L2_Mes)+1)=N(V_L2_Gracia)+N(V_L2_Cuotas),IF((78-N(V_L2_Mes)+1)=1,N(V_L2_Monto),CD$286),PMT(N(V_L2_Tasa)/12,N(V_L2_Cuotas),-N(V_L2_Monto))-CE$284),0)*CE$9</f>
        <v>0</v>
      </c>
      <c r="CF285" s="48" t="n">
        <f aca="false">IF(AND((79-N(V_L2_Mes)+1)&gt;N(V_L2_Gracia),(79-N(V_L2_Mes)+1)&lt;=N(V_L2_Gracia)+N(V_L2_Cuotas),N(V_L2_Cuotas)&gt;0),IF((79-N(V_L2_Mes)+1)=N(V_L2_Gracia)+N(V_L2_Cuotas),IF((79-N(V_L2_Mes)+1)=1,N(V_L2_Monto),CE$286),PMT(N(V_L2_Tasa)/12,N(V_L2_Cuotas),-N(V_L2_Monto))-CF$284),0)*CF$9</f>
        <v>0</v>
      </c>
      <c r="CG285" s="48" t="n">
        <f aca="false">IF(AND((80-N(V_L2_Mes)+1)&gt;N(V_L2_Gracia),(80-N(V_L2_Mes)+1)&lt;=N(V_L2_Gracia)+N(V_L2_Cuotas),N(V_L2_Cuotas)&gt;0),IF((80-N(V_L2_Mes)+1)=N(V_L2_Gracia)+N(V_L2_Cuotas),IF((80-N(V_L2_Mes)+1)=1,N(V_L2_Monto),CF$286),PMT(N(V_L2_Tasa)/12,N(V_L2_Cuotas),-N(V_L2_Monto))-CG$284),0)*CG$9</f>
        <v>0</v>
      </c>
      <c r="CH285" s="48" t="n">
        <f aca="false">IF(AND((81-N(V_L2_Mes)+1)&gt;N(V_L2_Gracia),(81-N(V_L2_Mes)+1)&lt;=N(V_L2_Gracia)+N(V_L2_Cuotas),N(V_L2_Cuotas)&gt;0),IF((81-N(V_L2_Mes)+1)=N(V_L2_Gracia)+N(V_L2_Cuotas),IF((81-N(V_L2_Mes)+1)=1,N(V_L2_Monto),CG$286),PMT(N(V_L2_Tasa)/12,N(V_L2_Cuotas),-N(V_L2_Monto))-CH$284),0)*CH$9</f>
        <v>0</v>
      </c>
      <c r="CI285" s="48" t="n">
        <f aca="false">IF(AND((82-N(V_L2_Mes)+1)&gt;N(V_L2_Gracia),(82-N(V_L2_Mes)+1)&lt;=N(V_L2_Gracia)+N(V_L2_Cuotas),N(V_L2_Cuotas)&gt;0),IF((82-N(V_L2_Mes)+1)=N(V_L2_Gracia)+N(V_L2_Cuotas),IF((82-N(V_L2_Mes)+1)=1,N(V_L2_Monto),CH$286),PMT(N(V_L2_Tasa)/12,N(V_L2_Cuotas),-N(V_L2_Monto))-CI$284),0)*CI$9</f>
        <v>0</v>
      </c>
      <c r="CJ285" s="48" t="n">
        <f aca="false">IF(AND((83-N(V_L2_Mes)+1)&gt;N(V_L2_Gracia),(83-N(V_L2_Mes)+1)&lt;=N(V_L2_Gracia)+N(V_L2_Cuotas),N(V_L2_Cuotas)&gt;0),IF((83-N(V_L2_Mes)+1)=N(V_L2_Gracia)+N(V_L2_Cuotas),IF((83-N(V_L2_Mes)+1)=1,N(V_L2_Monto),CI$286),PMT(N(V_L2_Tasa)/12,N(V_L2_Cuotas),-N(V_L2_Monto))-CJ$284),0)*CJ$9</f>
        <v>0</v>
      </c>
      <c r="CK285" s="48" t="n">
        <f aca="false">IF(AND((84-N(V_L2_Mes)+1)&gt;N(V_L2_Gracia),(84-N(V_L2_Mes)+1)&lt;=N(V_L2_Gracia)+N(V_L2_Cuotas),N(V_L2_Cuotas)&gt;0),IF((84-N(V_L2_Mes)+1)=N(V_L2_Gracia)+N(V_L2_Cuotas),IF((84-N(V_L2_Mes)+1)=1,N(V_L2_Monto),CJ$286),PMT(N(V_L2_Tasa)/12,N(V_L2_Cuotas),-N(V_L2_Monto))-CK$284),0)*CK$9</f>
        <v>0</v>
      </c>
      <c r="CL285" s="48" t="n">
        <f aca="false">IF(AND((85-N(V_L2_Mes)+1)&gt;N(V_L2_Gracia),(85-N(V_L2_Mes)+1)&lt;=N(V_L2_Gracia)+N(V_L2_Cuotas),N(V_L2_Cuotas)&gt;0),IF((85-N(V_L2_Mes)+1)=N(V_L2_Gracia)+N(V_L2_Cuotas),IF((85-N(V_L2_Mes)+1)=1,N(V_L2_Monto),CK$286),PMT(N(V_L2_Tasa)/12,N(V_L2_Cuotas),-N(V_L2_Monto))-CL$284),0)*CL$9</f>
        <v>0</v>
      </c>
      <c r="CM285" s="48" t="n">
        <f aca="false">IF(AND((86-N(V_L2_Mes)+1)&gt;N(V_L2_Gracia),(86-N(V_L2_Mes)+1)&lt;=N(V_L2_Gracia)+N(V_L2_Cuotas),N(V_L2_Cuotas)&gt;0),IF((86-N(V_L2_Mes)+1)=N(V_L2_Gracia)+N(V_L2_Cuotas),IF((86-N(V_L2_Mes)+1)=1,N(V_L2_Monto),CL$286),PMT(N(V_L2_Tasa)/12,N(V_L2_Cuotas),-N(V_L2_Monto))-CM$284),0)*CM$9</f>
        <v>0</v>
      </c>
      <c r="CN285" s="48" t="n">
        <f aca="false">IF(AND((87-N(V_L2_Mes)+1)&gt;N(V_L2_Gracia),(87-N(V_L2_Mes)+1)&lt;=N(V_L2_Gracia)+N(V_L2_Cuotas),N(V_L2_Cuotas)&gt;0),IF((87-N(V_L2_Mes)+1)=N(V_L2_Gracia)+N(V_L2_Cuotas),IF((87-N(V_L2_Mes)+1)=1,N(V_L2_Monto),CM$286),PMT(N(V_L2_Tasa)/12,N(V_L2_Cuotas),-N(V_L2_Monto))-CN$284),0)*CN$9</f>
        <v>0</v>
      </c>
      <c r="CO285" s="48" t="n">
        <f aca="false">IF(AND((88-N(V_L2_Mes)+1)&gt;N(V_L2_Gracia),(88-N(V_L2_Mes)+1)&lt;=N(V_L2_Gracia)+N(V_L2_Cuotas),N(V_L2_Cuotas)&gt;0),IF((88-N(V_L2_Mes)+1)=N(V_L2_Gracia)+N(V_L2_Cuotas),IF((88-N(V_L2_Mes)+1)=1,N(V_L2_Monto),CN$286),PMT(N(V_L2_Tasa)/12,N(V_L2_Cuotas),-N(V_L2_Monto))-CO$284),0)*CO$9</f>
        <v>0</v>
      </c>
      <c r="CP285" s="48" t="n">
        <f aca="false">IF(AND((89-N(V_L2_Mes)+1)&gt;N(V_L2_Gracia),(89-N(V_L2_Mes)+1)&lt;=N(V_L2_Gracia)+N(V_L2_Cuotas),N(V_L2_Cuotas)&gt;0),IF((89-N(V_L2_Mes)+1)=N(V_L2_Gracia)+N(V_L2_Cuotas),IF((89-N(V_L2_Mes)+1)=1,N(V_L2_Monto),CO$286),PMT(N(V_L2_Tasa)/12,N(V_L2_Cuotas),-N(V_L2_Monto))-CP$284),0)*CP$9</f>
        <v>0</v>
      </c>
      <c r="CQ285" s="48" t="n">
        <f aca="false">IF(AND((90-N(V_L2_Mes)+1)&gt;N(V_L2_Gracia),(90-N(V_L2_Mes)+1)&lt;=N(V_L2_Gracia)+N(V_L2_Cuotas),N(V_L2_Cuotas)&gt;0),IF((90-N(V_L2_Mes)+1)=N(V_L2_Gracia)+N(V_L2_Cuotas),IF((90-N(V_L2_Mes)+1)=1,N(V_L2_Monto),CP$286),PMT(N(V_L2_Tasa)/12,N(V_L2_Cuotas),-N(V_L2_Monto))-CQ$284),0)*CQ$9</f>
        <v>0</v>
      </c>
      <c r="CR285" s="48" t="n">
        <f aca="false">IF(AND((91-N(V_L2_Mes)+1)&gt;N(V_L2_Gracia),(91-N(V_L2_Mes)+1)&lt;=N(V_L2_Gracia)+N(V_L2_Cuotas),N(V_L2_Cuotas)&gt;0),IF((91-N(V_L2_Mes)+1)=N(V_L2_Gracia)+N(V_L2_Cuotas),IF((91-N(V_L2_Mes)+1)=1,N(V_L2_Monto),CQ$286),PMT(N(V_L2_Tasa)/12,N(V_L2_Cuotas),-N(V_L2_Monto))-CR$284),0)*CR$9</f>
        <v>0</v>
      </c>
      <c r="CS285" s="48" t="n">
        <f aca="false">IF(AND((92-N(V_L2_Mes)+1)&gt;N(V_L2_Gracia),(92-N(V_L2_Mes)+1)&lt;=N(V_L2_Gracia)+N(V_L2_Cuotas),N(V_L2_Cuotas)&gt;0),IF((92-N(V_L2_Mes)+1)=N(V_L2_Gracia)+N(V_L2_Cuotas),IF((92-N(V_L2_Mes)+1)=1,N(V_L2_Monto),CR$286),PMT(N(V_L2_Tasa)/12,N(V_L2_Cuotas),-N(V_L2_Monto))-CS$284),0)*CS$9</f>
        <v>0</v>
      </c>
      <c r="CT285" s="48" t="n">
        <f aca="false">IF(AND((93-N(V_L2_Mes)+1)&gt;N(V_L2_Gracia),(93-N(V_L2_Mes)+1)&lt;=N(V_L2_Gracia)+N(V_L2_Cuotas),N(V_L2_Cuotas)&gt;0),IF((93-N(V_L2_Mes)+1)=N(V_L2_Gracia)+N(V_L2_Cuotas),IF((93-N(V_L2_Mes)+1)=1,N(V_L2_Monto),CS$286),PMT(N(V_L2_Tasa)/12,N(V_L2_Cuotas),-N(V_L2_Monto))-CT$284),0)*CT$9</f>
        <v>0</v>
      </c>
      <c r="CU285" s="48" t="n">
        <f aca="false">IF(AND((94-N(V_L2_Mes)+1)&gt;N(V_L2_Gracia),(94-N(V_L2_Mes)+1)&lt;=N(V_L2_Gracia)+N(V_L2_Cuotas),N(V_L2_Cuotas)&gt;0),IF((94-N(V_L2_Mes)+1)=N(V_L2_Gracia)+N(V_L2_Cuotas),IF((94-N(V_L2_Mes)+1)=1,N(V_L2_Monto),CT$286),PMT(N(V_L2_Tasa)/12,N(V_L2_Cuotas),-N(V_L2_Monto))-CU$284),0)*CU$9</f>
        <v>0</v>
      </c>
      <c r="CV285" s="48" t="n">
        <f aca="false">IF(AND((95-N(V_L2_Mes)+1)&gt;N(V_L2_Gracia),(95-N(V_L2_Mes)+1)&lt;=N(V_L2_Gracia)+N(V_L2_Cuotas),N(V_L2_Cuotas)&gt;0),IF((95-N(V_L2_Mes)+1)=N(V_L2_Gracia)+N(V_L2_Cuotas),IF((95-N(V_L2_Mes)+1)=1,N(V_L2_Monto),CU$286),PMT(N(V_L2_Tasa)/12,N(V_L2_Cuotas),-N(V_L2_Monto))-CV$284),0)*CV$9</f>
        <v>0</v>
      </c>
      <c r="CW285" s="48" t="n">
        <f aca="false">IF(AND((96-N(V_L2_Mes)+1)&gt;N(V_L2_Gracia),(96-N(V_L2_Mes)+1)&lt;=N(V_L2_Gracia)+N(V_L2_Cuotas),N(V_L2_Cuotas)&gt;0),IF((96-N(V_L2_Mes)+1)=N(V_L2_Gracia)+N(V_L2_Cuotas),IF((96-N(V_L2_Mes)+1)=1,N(V_L2_Monto),CV$286),PMT(N(V_L2_Tasa)/12,N(V_L2_Cuotas),-N(V_L2_Monto))-CW$284),0)*CW$9</f>
        <v>0</v>
      </c>
      <c r="CX285" s="48" t="n">
        <f aca="false">IF(AND((97-N(V_L2_Mes)+1)&gt;N(V_L2_Gracia),(97-N(V_L2_Mes)+1)&lt;=N(V_L2_Gracia)+N(V_L2_Cuotas),N(V_L2_Cuotas)&gt;0),IF((97-N(V_L2_Mes)+1)=N(V_L2_Gracia)+N(V_L2_Cuotas),IF((97-N(V_L2_Mes)+1)=1,N(V_L2_Monto),CW$286),PMT(N(V_L2_Tasa)/12,N(V_L2_Cuotas),-N(V_L2_Monto))-CX$284),0)*CX$9</f>
        <v>0</v>
      </c>
      <c r="CY285" s="48" t="n">
        <f aca="false">IF(AND((98-N(V_L2_Mes)+1)&gt;N(V_L2_Gracia),(98-N(V_L2_Mes)+1)&lt;=N(V_L2_Gracia)+N(V_L2_Cuotas),N(V_L2_Cuotas)&gt;0),IF((98-N(V_L2_Mes)+1)=N(V_L2_Gracia)+N(V_L2_Cuotas),IF((98-N(V_L2_Mes)+1)=1,N(V_L2_Monto),CX$286),PMT(N(V_L2_Tasa)/12,N(V_L2_Cuotas),-N(V_L2_Monto))-CY$284),0)*CY$9</f>
        <v>0</v>
      </c>
      <c r="CZ285" s="48" t="n">
        <f aca="false">IF(AND((99-N(V_L2_Mes)+1)&gt;N(V_L2_Gracia),(99-N(V_L2_Mes)+1)&lt;=N(V_L2_Gracia)+N(V_L2_Cuotas),N(V_L2_Cuotas)&gt;0),IF((99-N(V_L2_Mes)+1)=N(V_L2_Gracia)+N(V_L2_Cuotas),IF((99-N(V_L2_Mes)+1)=1,N(V_L2_Monto),CY$286),PMT(N(V_L2_Tasa)/12,N(V_L2_Cuotas),-N(V_L2_Monto))-CZ$284),0)*CZ$9</f>
        <v>0</v>
      </c>
      <c r="DA285" s="48" t="n">
        <f aca="false">IF(AND((100-N(V_L2_Mes)+1)&gt;N(V_L2_Gracia),(100-N(V_L2_Mes)+1)&lt;=N(V_L2_Gracia)+N(V_L2_Cuotas),N(V_L2_Cuotas)&gt;0),IF((100-N(V_L2_Mes)+1)=N(V_L2_Gracia)+N(V_L2_Cuotas),IF((100-N(V_L2_Mes)+1)=1,N(V_L2_Monto),CZ$286),PMT(N(V_L2_Tasa)/12,N(V_L2_Cuotas),-N(V_L2_Monto))-DA$284),0)*DA$9</f>
        <v>0</v>
      </c>
      <c r="DB285" s="48" t="n">
        <f aca="false">IF(AND((101-N(V_L2_Mes)+1)&gt;N(V_L2_Gracia),(101-N(V_L2_Mes)+1)&lt;=N(V_L2_Gracia)+N(V_L2_Cuotas),N(V_L2_Cuotas)&gt;0),IF((101-N(V_L2_Mes)+1)=N(V_L2_Gracia)+N(V_L2_Cuotas),IF((101-N(V_L2_Mes)+1)=1,N(V_L2_Monto),DA$286),PMT(N(V_L2_Tasa)/12,N(V_L2_Cuotas),-N(V_L2_Monto))-DB$284),0)*DB$9</f>
        <v>0</v>
      </c>
      <c r="DC285" s="48" t="n">
        <f aca="false">IF(AND((102-N(V_L2_Mes)+1)&gt;N(V_L2_Gracia),(102-N(V_L2_Mes)+1)&lt;=N(V_L2_Gracia)+N(V_L2_Cuotas),N(V_L2_Cuotas)&gt;0),IF((102-N(V_L2_Mes)+1)=N(V_L2_Gracia)+N(V_L2_Cuotas),IF((102-N(V_L2_Mes)+1)=1,N(V_L2_Monto),DB$286),PMT(N(V_L2_Tasa)/12,N(V_L2_Cuotas),-N(V_L2_Monto))-DC$284),0)*DC$9</f>
        <v>0</v>
      </c>
      <c r="DD285" s="48" t="n">
        <f aca="false">IF(AND((103-N(V_L2_Mes)+1)&gt;N(V_L2_Gracia),(103-N(V_L2_Mes)+1)&lt;=N(V_L2_Gracia)+N(V_L2_Cuotas),N(V_L2_Cuotas)&gt;0),IF((103-N(V_L2_Mes)+1)=N(V_L2_Gracia)+N(V_L2_Cuotas),IF((103-N(V_L2_Mes)+1)=1,N(V_L2_Monto),DC$286),PMT(N(V_L2_Tasa)/12,N(V_L2_Cuotas),-N(V_L2_Monto))-DD$284),0)*DD$9</f>
        <v>0</v>
      </c>
      <c r="DE285" s="48" t="n">
        <f aca="false">IF(AND((104-N(V_L2_Mes)+1)&gt;N(V_L2_Gracia),(104-N(V_L2_Mes)+1)&lt;=N(V_L2_Gracia)+N(V_L2_Cuotas),N(V_L2_Cuotas)&gt;0),IF((104-N(V_L2_Mes)+1)=N(V_L2_Gracia)+N(V_L2_Cuotas),IF((104-N(V_L2_Mes)+1)=1,N(V_L2_Monto),DD$286),PMT(N(V_L2_Tasa)/12,N(V_L2_Cuotas),-N(V_L2_Monto))-DE$284),0)*DE$9</f>
        <v>0</v>
      </c>
      <c r="DF285" s="48" t="n">
        <f aca="false">IF(AND((105-N(V_L2_Mes)+1)&gt;N(V_L2_Gracia),(105-N(V_L2_Mes)+1)&lt;=N(V_L2_Gracia)+N(V_L2_Cuotas),N(V_L2_Cuotas)&gt;0),IF((105-N(V_L2_Mes)+1)=N(V_L2_Gracia)+N(V_L2_Cuotas),IF((105-N(V_L2_Mes)+1)=1,N(V_L2_Monto),DE$286),PMT(N(V_L2_Tasa)/12,N(V_L2_Cuotas),-N(V_L2_Monto))-DF$284),0)*DF$9</f>
        <v>0</v>
      </c>
      <c r="DG285" s="48" t="n">
        <f aca="false">IF(AND((106-N(V_L2_Mes)+1)&gt;N(V_L2_Gracia),(106-N(V_L2_Mes)+1)&lt;=N(V_L2_Gracia)+N(V_L2_Cuotas),N(V_L2_Cuotas)&gt;0),IF((106-N(V_L2_Mes)+1)=N(V_L2_Gracia)+N(V_L2_Cuotas),IF((106-N(V_L2_Mes)+1)=1,N(V_L2_Monto),DF$286),PMT(N(V_L2_Tasa)/12,N(V_L2_Cuotas),-N(V_L2_Monto))-DG$284),0)*DG$9</f>
        <v>0</v>
      </c>
      <c r="DH285" s="48" t="n">
        <f aca="false">IF(AND((107-N(V_L2_Mes)+1)&gt;N(V_L2_Gracia),(107-N(V_L2_Mes)+1)&lt;=N(V_L2_Gracia)+N(V_L2_Cuotas),N(V_L2_Cuotas)&gt;0),IF((107-N(V_L2_Mes)+1)=N(V_L2_Gracia)+N(V_L2_Cuotas),IF((107-N(V_L2_Mes)+1)=1,N(V_L2_Monto),DG$286),PMT(N(V_L2_Tasa)/12,N(V_L2_Cuotas),-N(V_L2_Monto))-DH$284),0)*DH$9</f>
        <v>0</v>
      </c>
      <c r="DI285" s="48" t="n">
        <f aca="false">IF(AND((108-N(V_L2_Mes)+1)&gt;N(V_L2_Gracia),(108-N(V_L2_Mes)+1)&lt;=N(V_L2_Gracia)+N(V_L2_Cuotas),N(V_L2_Cuotas)&gt;0),IF((108-N(V_L2_Mes)+1)=N(V_L2_Gracia)+N(V_L2_Cuotas),IF((108-N(V_L2_Mes)+1)=1,N(V_L2_Monto),DH$286),PMT(N(V_L2_Tasa)/12,N(V_L2_Cuotas),-N(V_L2_Monto))-DI$284),0)*DI$9</f>
        <v>0</v>
      </c>
      <c r="DJ285" s="48" t="n">
        <f aca="false">IF(AND((109-N(V_L2_Mes)+1)&gt;N(V_L2_Gracia),(109-N(V_L2_Mes)+1)&lt;=N(V_L2_Gracia)+N(V_L2_Cuotas),N(V_L2_Cuotas)&gt;0),IF((109-N(V_L2_Mes)+1)=N(V_L2_Gracia)+N(V_L2_Cuotas),IF((109-N(V_L2_Mes)+1)=1,N(V_L2_Monto),DI$286),PMT(N(V_L2_Tasa)/12,N(V_L2_Cuotas),-N(V_L2_Monto))-DJ$284),0)*DJ$9</f>
        <v>0</v>
      </c>
      <c r="DK285" s="48" t="n">
        <f aca="false">IF(AND((110-N(V_L2_Mes)+1)&gt;N(V_L2_Gracia),(110-N(V_L2_Mes)+1)&lt;=N(V_L2_Gracia)+N(V_L2_Cuotas),N(V_L2_Cuotas)&gt;0),IF((110-N(V_L2_Mes)+1)=N(V_L2_Gracia)+N(V_L2_Cuotas),IF((110-N(V_L2_Mes)+1)=1,N(V_L2_Monto),DJ$286),PMT(N(V_L2_Tasa)/12,N(V_L2_Cuotas),-N(V_L2_Monto))-DK$284),0)*DK$9</f>
        <v>0</v>
      </c>
      <c r="DL285" s="48" t="n">
        <f aca="false">IF(AND((111-N(V_L2_Mes)+1)&gt;N(V_L2_Gracia),(111-N(V_L2_Mes)+1)&lt;=N(V_L2_Gracia)+N(V_L2_Cuotas),N(V_L2_Cuotas)&gt;0),IF((111-N(V_L2_Mes)+1)=N(V_L2_Gracia)+N(V_L2_Cuotas),IF((111-N(V_L2_Mes)+1)=1,N(V_L2_Monto),DK$286),PMT(N(V_L2_Tasa)/12,N(V_L2_Cuotas),-N(V_L2_Monto))-DL$284),0)*DL$9</f>
        <v>0</v>
      </c>
      <c r="DM285" s="48" t="n">
        <f aca="false">IF(AND((112-N(V_L2_Mes)+1)&gt;N(V_L2_Gracia),(112-N(V_L2_Mes)+1)&lt;=N(V_L2_Gracia)+N(V_L2_Cuotas),N(V_L2_Cuotas)&gt;0),IF((112-N(V_L2_Mes)+1)=N(V_L2_Gracia)+N(V_L2_Cuotas),IF((112-N(V_L2_Mes)+1)=1,N(V_L2_Monto),DL$286),PMT(N(V_L2_Tasa)/12,N(V_L2_Cuotas),-N(V_L2_Monto))-DM$284),0)*DM$9</f>
        <v>0</v>
      </c>
      <c r="DN285" s="48" t="n">
        <f aca="false">IF(AND((113-N(V_L2_Mes)+1)&gt;N(V_L2_Gracia),(113-N(V_L2_Mes)+1)&lt;=N(V_L2_Gracia)+N(V_L2_Cuotas),N(V_L2_Cuotas)&gt;0),IF((113-N(V_L2_Mes)+1)=N(V_L2_Gracia)+N(V_L2_Cuotas),IF((113-N(V_L2_Mes)+1)=1,N(V_L2_Monto),DM$286),PMT(N(V_L2_Tasa)/12,N(V_L2_Cuotas),-N(V_L2_Monto))-DN$284),0)*DN$9</f>
        <v>0</v>
      </c>
      <c r="DO285" s="48" t="n">
        <f aca="false">IF(AND((114-N(V_L2_Mes)+1)&gt;N(V_L2_Gracia),(114-N(V_L2_Mes)+1)&lt;=N(V_L2_Gracia)+N(V_L2_Cuotas),N(V_L2_Cuotas)&gt;0),IF((114-N(V_L2_Mes)+1)=N(V_L2_Gracia)+N(V_L2_Cuotas),IF((114-N(V_L2_Mes)+1)=1,N(V_L2_Monto),DN$286),PMT(N(V_L2_Tasa)/12,N(V_L2_Cuotas),-N(V_L2_Monto))-DO$284),0)*DO$9</f>
        <v>0</v>
      </c>
      <c r="DP285" s="48" t="n">
        <f aca="false">IF(AND((115-N(V_L2_Mes)+1)&gt;N(V_L2_Gracia),(115-N(V_L2_Mes)+1)&lt;=N(V_L2_Gracia)+N(V_L2_Cuotas),N(V_L2_Cuotas)&gt;0),IF((115-N(V_L2_Mes)+1)=N(V_L2_Gracia)+N(V_L2_Cuotas),IF((115-N(V_L2_Mes)+1)=1,N(V_L2_Monto),DO$286),PMT(N(V_L2_Tasa)/12,N(V_L2_Cuotas),-N(V_L2_Monto))-DP$284),0)*DP$9</f>
        <v>0</v>
      </c>
      <c r="DQ285" s="48" t="n">
        <f aca="false">IF(AND((116-N(V_L2_Mes)+1)&gt;N(V_L2_Gracia),(116-N(V_L2_Mes)+1)&lt;=N(V_L2_Gracia)+N(V_L2_Cuotas),N(V_L2_Cuotas)&gt;0),IF((116-N(V_L2_Mes)+1)=N(V_L2_Gracia)+N(V_L2_Cuotas),IF((116-N(V_L2_Mes)+1)=1,N(V_L2_Monto),DP$286),PMT(N(V_L2_Tasa)/12,N(V_L2_Cuotas),-N(V_L2_Monto))-DQ$284),0)*DQ$9</f>
        <v>0</v>
      </c>
      <c r="DR285" s="48" t="n">
        <f aca="false">IF(AND((117-N(V_L2_Mes)+1)&gt;N(V_L2_Gracia),(117-N(V_L2_Mes)+1)&lt;=N(V_L2_Gracia)+N(V_L2_Cuotas),N(V_L2_Cuotas)&gt;0),IF((117-N(V_L2_Mes)+1)=N(V_L2_Gracia)+N(V_L2_Cuotas),IF((117-N(V_L2_Mes)+1)=1,N(V_L2_Monto),DQ$286),PMT(N(V_L2_Tasa)/12,N(V_L2_Cuotas),-N(V_L2_Monto))-DR$284),0)*DR$9</f>
        <v>0</v>
      </c>
      <c r="DS285" s="48" t="n">
        <f aca="false">IF(AND((118-N(V_L2_Mes)+1)&gt;N(V_L2_Gracia),(118-N(V_L2_Mes)+1)&lt;=N(V_L2_Gracia)+N(V_L2_Cuotas),N(V_L2_Cuotas)&gt;0),IF((118-N(V_L2_Mes)+1)=N(V_L2_Gracia)+N(V_L2_Cuotas),IF((118-N(V_L2_Mes)+1)=1,N(V_L2_Monto),DR$286),PMT(N(V_L2_Tasa)/12,N(V_L2_Cuotas),-N(V_L2_Monto))-DS$284),0)*DS$9</f>
        <v>0</v>
      </c>
      <c r="DT285" s="48" t="n">
        <f aca="false">IF(AND((119-N(V_L2_Mes)+1)&gt;N(V_L2_Gracia),(119-N(V_L2_Mes)+1)&lt;=N(V_L2_Gracia)+N(V_L2_Cuotas),N(V_L2_Cuotas)&gt;0),IF((119-N(V_L2_Mes)+1)=N(V_L2_Gracia)+N(V_L2_Cuotas),IF((119-N(V_L2_Mes)+1)=1,N(V_L2_Monto),DS$286),PMT(N(V_L2_Tasa)/12,N(V_L2_Cuotas),-N(V_L2_Monto))-DT$284),0)*DT$9</f>
        <v>0</v>
      </c>
      <c r="DU285" s="48" t="n">
        <f aca="false">IF(AND((120-N(V_L2_Mes)+1)&gt;N(V_L2_Gracia),(120-N(V_L2_Mes)+1)&lt;=N(V_L2_Gracia)+N(V_L2_Cuotas),N(V_L2_Cuotas)&gt;0),IF((120-N(V_L2_Mes)+1)=N(V_L2_Gracia)+N(V_L2_Cuotas),IF((120-N(V_L2_Mes)+1)=1,N(V_L2_Monto),DT$286),PMT(N(V_L2_Tasa)/12,N(V_L2_Cuotas),-N(V_L2_Monto))-DU$284),0)*DU$9</f>
        <v>0</v>
      </c>
      <c r="DV285" s="48" t="n">
        <f aca="false">IF(AND((121-N(V_L2_Mes)+1)&gt;N(V_L2_Gracia),(121-N(V_L2_Mes)+1)&lt;=N(V_L2_Gracia)+N(V_L2_Cuotas),N(V_L2_Cuotas)&gt;0),IF((121-N(V_L2_Mes)+1)=N(V_L2_Gracia)+N(V_L2_Cuotas),IF((121-N(V_L2_Mes)+1)=1,N(V_L2_Monto),DU$286),PMT(N(V_L2_Tasa)/12,N(V_L2_Cuotas),-N(V_L2_Monto))-DV$284),0)*DV$9</f>
        <v>0</v>
      </c>
      <c r="DW285" s="48" t="n">
        <f aca="false">IF(AND((122-N(V_L2_Mes)+1)&gt;N(V_L2_Gracia),(122-N(V_L2_Mes)+1)&lt;=N(V_L2_Gracia)+N(V_L2_Cuotas),N(V_L2_Cuotas)&gt;0),IF((122-N(V_L2_Mes)+1)=N(V_L2_Gracia)+N(V_L2_Cuotas),IF((122-N(V_L2_Mes)+1)=1,N(V_L2_Monto),DV$286),PMT(N(V_L2_Tasa)/12,N(V_L2_Cuotas),-N(V_L2_Monto))-DW$284),0)*DW$9</f>
        <v>0</v>
      </c>
      <c r="DX285" s="48" t="n">
        <f aca="false">IF(AND((123-N(V_L2_Mes)+1)&gt;N(V_L2_Gracia),(123-N(V_L2_Mes)+1)&lt;=N(V_L2_Gracia)+N(V_L2_Cuotas),N(V_L2_Cuotas)&gt;0),IF((123-N(V_L2_Mes)+1)=N(V_L2_Gracia)+N(V_L2_Cuotas),IF((123-N(V_L2_Mes)+1)=1,N(V_L2_Monto),DW$286),PMT(N(V_L2_Tasa)/12,N(V_L2_Cuotas),-N(V_L2_Monto))-DX$284),0)*DX$9</f>
        <v>0</v>
      </c>
      <c r="DY285" s="48" t="n">
        <f aca="false">IF(AND((124-N(V_L2_Mes)+1)&gt;N(V_L2_Gracia),(124-N(V_L2_Mes)+1)&lt;=N(V_L2_Gracia)+N(V_L2_Cuotas),N(V_L2_Cuotas)&gt;0),IF((124-N(V_L2_Mes)+1)=N(V_L2_Gracia)+N(V_L2_Cuotas),IF((124-N(V_L2_Mes)+1)=1,N(V_L2_Monto),DX$286),PMT(N(V_L2_Tasa)/12,N(V_L2_Cuotas),-N(V_L2_Monto))-DY$284),0)*DY$9</f>
        <v>0</v>
      </c>
      <c r="DZ285" s="48" t="n">
        <f aca="false">IF(AND((125-N(V_L2_Mes)+1)&gt;N(V_L2_Gracia),(125-N(V_L2_Mes)+1)&lt;=N(V_L2_Gracia)+N(V_L2_Cuotas),N(V_L2_Cuotas)&gt;0),IF((125-N(V_L2_Mes)+1)=N(V_L2_Gracia)+N(V_L2_Cuotas),IF((125-N(V_L2_Mes)+1)=1,N(V_L2_Monto),DY$286),PMT(N(V_L2_Tasa)/12,N(V_L2_Cuotas),-N(V_L2_Monto))-DZ$284),0)*DZ$9</f>
        <v>0</v>
      </c>
      <c r="EA285" s="48" t="n">
        <f aca="false">IF(AND((126-N(V_L2_Mes)+1)&gt;N(V_L2_Gracia),(126-N(V_L2_Mes)+1)&lt;=N(V_L2_Gracia)+N(V_L2_Cuotas),N(V_L2_Cuotas)&gt;0),IF((126-N(V_L2_Mes)+1)=N(V_L2_Gracia)+N(V_L2_Cuotas),IF((126-N(V_L2_Mes)+1)=1,N(V_L2_Monto),DZ$286),PMT(N(V_L2_Tasa)/12,N(V_L2_Cuotas),-N(V_L2_Monto))-EA$284),0)*EA$9</f>
        <v>0</v>
      </c>
      <c r="EB285" s="48" t="n">
        <f aca="false">IF(AND((127-N(V_L2_Mes)+1)&gt;N(V_L2_Gracia),(127-N(V_L2_Mes)+1)&lt;=N(V_L2_Gracia)+N(V_L2_Cuotas),N(V_L2_Cuotas)&gt;0),IF((127-N(V_L2_Mes)+1)=N(V_L2_Gracia)+N(V_L2_Cuotas),IF((127-N(V_L2_Mes)+1)=1,N(V_L2_Monto),EA$286),PMT(N(V_L2_Tasa)/12,N(V_L2_Cuotas),-N(V_L2_Monto))-EB$284),0)*EB$9</f>
        <v>0</v>
      </c>
      <c r="EC285" s="48" t="n">
        <f aca="false">IF(AND((128-N(V_L2_Mes)+1)&gt;N(V_L2_Gracia),(128-N(V_L2_Mes)+1)&lt;=N(V_L2_Gracia)+N(V_L2_Cuotas),N(V_L2_Cuotas)&gt;0),IF((128-N(V_L2_Mes)+1)=N(V_L2_Gracia)+N(V_L2_Cuotas),IF((128-N(V_L2_Mes)+1)=1,N(V_L2_Monto),EB$286),PMT(N(V_L2_Tasa)/12,N(V_L2_Cuotas),-N(V_L2_Monto))-EC$284),0)*EC$9</f>
        <v>0</v>
      </c>
      <c r="ED285" s="48" t="n">
        <f aca="false">IF(AND((129-N(V_L2_Mes)+1)&gt;N(V_L2_Gracia),(129-N(V_L2_Mes)+1)&lt;=N(V_L2_Gracia)+N(V_L2_Cuotas),N(V_L2_Cuotas)&gt;0),IF((129-N(V_L2_Mes)+1)=N(V_L2_Gracia)+N(V_L2_Cuotas),IF((129-N(V_L2_Mes)+1)=1,N(V_L2_Monto),EC$286),PMT(N(V_L2_Tasa)/12,N(V_L2_Cuotas),-N(V_L2_Monto))-ED$284),0)*ED$9</f>
        <v>0</v>
      </c>
      <c r="EE285" s="48" t="n">
        <f aca="false">IF(AND((130-N(V_L2_Mes)+1)&gt;N(V_L2_Gracia),(130-N(V_L2_Mes)+1)&lt;=N(V_L2_Gracia)+N(V_L2_Cuotas),N(V_L2_Cuotas)&gt;0),IF((130-N(V_L2_Mes)+1)=N(V_L2_Gracia)+N(V_L2_Cuotas),IF((130-N(V_L2_Mes)+1)=1,N(V_L2_Monto),ED$286),PMT(N(V_L2_Tasa)/12,N(V_L2_Cuotas),-N(V_L2_Monto))-EE$284),0)*EE$9</f>
        <v>0</v>
      </c>
      <c r="EF285" s="48" t="n">
        <f aca="false">IF(AND((131-N(V_L2_Mes)+1)&gt;N(V_L2_Gracia),(131-N(V_L2_Mes)+1)&lt;=N(V_L2_Gracia)+N(V_L2_Cuotas),N(V_L2_Cuotas)&gt;0),IF((131-N(V_L2_Mes)+1)=N(V_L2_Gracia)+N(V_L2_Cuotas),IF((131-N(V_L2_Mes)+1)=1,N(V_L2_Monto),EE$286),PMT(N(V_L2_Tasa)/12,N(V_L2_Cuotas),-N(V_L2_Monto))-EF$284),0)*EF$9</f>
        <v>0</v>
      </c>
      <c r="EG285" s="48" t="n">
        <f aca="false">IF(AND((132-N(V_L2_Mes)+1)&gt;N(V_L2_Gracia),(132-N(V_L2_Mes)+1)&lt;=N(V_L2_Gracia)+N(V_L2_Cuotas),N(V_L2_Cuotas)&gt;0),IF((132-N(V_L2_Mes)+1)=N(V_L2_Gracia)+N(V_L2_Cuotas),IF((132-N(V_L2_Mes)+1)=1,N(V_L2_Monto),EF$286),PMT(N(V_L2_Tasa)/12,N(V_L2_Cuotas),-N(V_L2_Monto))-EG$284),0)*EG$9</f>
        <v>0</v>
      </c>
      <c r="EH285" s="48" t="n">
        <f aca="false">IF(AND((133-N(V_L2_Mes)+1)&gt;N(V_L2_Gracia),(133-N(V_L2_Mes)+1)&lt;=N(V_L2_Gracia)+N(V_L2_Cuotas),N(V_L2_Cuotas)&gt;0),IF((133-N(V_L2_Mes)+1)=N(V_L2_Gracia)+N(V_L2_Cuotas),IF((133-N(V_L2_Mes)+1)=1,N(V_L2_Monto),EG$286),PMT(N(V_L2_Tasa)/12,N(V_L2_Cuotas),-N(V_L2_Monto))-EH$284),0)*EH$9</f>
        <v>0</v>
      </c>
      <c r="EI285" s="48" t="n">
        <f aca="false">IF(AND((134-N(V_L2_Mes)+1)&gt;N(V_L2_Gracia),(134-N(V_L2_Mes)+1)&lt;=N(V_L2_Gracia)+N(V_L2_Cuotas),N(V_L2_Cuotas)&gt;0),IF((134-N(V_L2_Mes)+1)=N(V_L2_Gracia)+N(V_L2_Cuotas),IF((134-N(V_L2_Mes)+1)=1,N(V_L2_Monto),EH$286),PMT(N(V_L2_Tasa)/12,N(V_L2_Cuotas),-N(V_L2_Monto))-EI$284),0)*EI$9</f>
        <v>0</v>
      </c>
      <c r="EJ285" s="48" t="n">
        <f aca="false">IF(AND((135-N(V_L2_Mes)+1)&gt;N(V_L2_Gracia),(135-N(V_L2_Mes)+1)&lt;=N(V_L2_Gracia)+N(V_L2_Cuotas),N(V_L2_Cuotas)&gt;0),IF((135-N(V_L2_Mes)+1)=N(V_L2_Gracia)+N(V_L2_Cuotas),IF((135-N(V_L2_Mes)+1)=1,N(V_L2_Monto),EI$286),PMT(N(V_L2_Tasa)/12,N(V_L2_Cuotas),-N(V_L2_Monto))-EJ$284),0)*EJ$9</f>
        <v>0</v>
      </c>
      <c r="EK285" s="48" t="n">
        <f aca="false">IF(AND((136-N(V_L2_Mes)+1)&gt;N(V_L2_Gracia),(136-N(V_L2_Mes)+1)&lt;=N(V_L2_Gracia)+N(V_L2_Cuotas),N(V_L2_Cuotas)&gt;0),IF((136-N(V_L2_Mes)+1)=N(V_L2_Gracia)+N(V_L2_Cuotas),IF((136-N(V_L2_Mes)+1)=1,N(V_L2_Monto),EJ$286),PMT(N(V_L2_Tasa)/12,N(V_L2_Cuotas),-N(V_L2_Monto))-EK$284),0)*EK$9</f>
        <v>0</v>
      </c>
      <c r="EL285" s="48" t="n">
        <f aca="false">IF(AND((137-N(V_L2_Mes)+1)&gt;N(V_L2_Gracia),(137-N(V_L2_Mes)+1)&lt;=N(V_L2_Gracia)+N(V_L2_Cuotas),N(V_L2_Cuotas)&gt;0),IF((137-N(V_L2_Mes)+1)=N(V_L2_Gracia)+N(V_L2_Cuotas),IF((137-N(V_L2_Mes)+1)=1,N(V_L2_Monto),EK$286),PMT(N(V_L2_Tasa)/12,N(V_L2_Cuotas),-N(V_L2_Monto))-EL$284),0)*EL$9</f>
        <v>0</v>
      </c>
      <c r="EM285" s="48" t="n">
        <f aca="false">IF(AND((138-N(V_L2_Mes)+1)&gt;N(V_L2_Gracia),(138-N(V_L2_Mes)+1)&lt;=N(V_L2_Gracia)+N(V_L2_Cuotas),N(V_L2_Cuotas)&gt;0),IF((138-N(V_L2_Mes)+1)=N(V_L2_Gracia)+N(V_L2_Cuotas),IF((138-N(V_L2_Mes)+1)=1,N(V_L2_Monto),EL$286),PMT(N(V_L2_Tasa)/12,N(V_L2_Cuotas),-N(V_L2_Monto))-EM$284),0)*EM$9</f>
        <v>0</v>
      </c>
      <c r="EN285" s="48" t="n">
        <f aca="false">IF(AND((139-N(V_L2_Mes)+1)&gt;N(V_L2_Gracia),(139-N(V_L2_Mes)+1)&lt;=N(V_L2_Gracia)+N(V_L2_Cuotas),N(V_L2_Cuotas)&gt;0),IF((139-N(V_L2_Mes)+1)=N(V_L2_Gracia)+N(V_L2_Cuotas),IF((139-N(V_L2_Mes)+1)=1,N(V_L2_Monto),EM$286),PMT(N(V_L2_Tasa)/12,N(V_L2_Cuotas),-N(V_L2_Monto))-EN$284),0)*EN$9</f>
        <v>0</v>
      </c>
      <c r="EO285" s="48" t="n">
        <f aca="false">IF(AND((140-N(V_L2_Mes)+1)&gt;N(V_L2_Gracia),(140-N(V_L2_Mes)+1)&lt;=N(V_L2_Gracia)+N(V_L2_Cuotas),N(V_L2_Cuotas)&gt;0),IF((140-N(V_L2_Mes)+1)=N(V_L2_Gracia)+N(V_L2_Cuotas),IF((140-N(V_L2_Mes)+1)=1,N(V_L2_Monto),EN$286),PMT(N(V_L2_Tasa)/12,N(V_L2_Cuotas),-N(V_L2_Monto))-EO$284),0)*EO$9</f>
        <v>0</v>
      </c>
      <c r="EP285" s="48" t="n">
        <f aca="false">IF(AND((141-N(V_L2_Mes)+1)&gt;N(V_L2_Gracia),(141-N(V_L2_Mes)+1)&lt;=N(V_L2_Gracia)+N(V_L2_Cuotas),N(V_L2_Cuotas)&gt;0),IF((141-N(V_L2_Mes)+1)=N(V_L2_Gracia)+N(V_L2_Cuotas),IF((141-N(V_L2_Mes)+1)=1,N(V_L2_Monto),EO$286),PMT(N(V_L2_Tasa)/12,N(V_L2_Cuotas),-N(V_L2_Monto))-EP$284),0)*EP$9</f>
        <v>0</v>
      </c>
      <c r="EQ285" s="48" t="n">
        <f aca="false">IF(AND((142-N(V_L2_Mes)+1)&gt;N(V_L2_Gracia),(142-N(V_L2_Mes)+1)&lt;=N(V_L2_Gracia)+N(V_L2_Cuotas),N(V_L2_Cuotas)&gt;0),IF((142-N(V_L2_Mes)+1)=N(V_L2_Gracia)+N(V_L2_Cuotas),IF((142-N(V_L2_Mes)+1)=1,N(V_L2_Monto),EP$286),PMT(N(V_L2_Tasa)/12,N(V_L2_Cuotas),-N(V_L2_Monto))-EQ$284),0)*EQ$9</f>
        <v>0</v>
      </c>
      <c r="ER285" s="48" t="n">
        <f aca="false">IF(AND((143-N(V_L2_Mes)+1)&gt;N(V_L2_Gracia),(143-N(V_L2_Mes)+1)&lt;=N(V_L2_Gracia)+N(V_L2_Cuotas),N(V_L2_Cuotas)&gt;0),IF((143-N(V_L2_Mes)+1)=N(V_L2_Gracia)+N(V_L2_Cuotas),IF((143-N(V_L2_Mes)+1)=1,N(V_L2_Monto),EQ$286),PMT(N(V_L2_Tasa)/12,N(V_L2_Cuotas),-N(V_L2_Monto))-ER$284),0)*ER$9</f>
        <v>0</v>
      </c>
      <c r="ES285" s="48" t="n">
        <f aca="false">IF(AND((144-N(V_L2_Mes)+1)&gt;N(V_L2_Gracia),(144-N(V_L2_Mes)+1)&lt;=N(V_L2_Gracia)+N(V_L2_Cuotas),N(V_L2_Cuotas)&gt;0),IF((144-N(V_L2_Mes)+1)=N(V_L2_Gracia)+N(V_L2_Cuotas),IF((144-N(V_L2_Mes)+1)=1,N(V_L2_Monto),ER$286),PMT(N(V_L2_Tasa)/12,N(V_L2_Cuotas),-N(V_L2_Monto))-ES$284),0)*ES$9</f>
        <v>0</v>
      </c>
    </row>
    <row r="286" customFormat="false" ht="15" hidden="false" customHeight="false" outlineLevel="0" collapsed="false">
      <c r="A286" s="11" t="s">
        <v>1404</v>
      </c>
      <c r="B286" s="15" t="s">
        <v>1225</v>
      </c>
      <c r="C286" s="15" t="s">
        <v>508</v>
      </c>
      <c r="E286" s="54" t="n">
        <f aca="false">INDEX(F286:ES286,1,MIN(144,Fin))</f>
        <v>0</v>
      </c>
      <c r="F286" s="48" t="n">
        <f aca="false">IF((1-N(V_L2_Mes)+1)&lt;1,0,IF((1-N(V_L2_Mes)+1)=1,N(V_L2_Monto),0)-F$285)</f>
        <v>0</v>
      </c>
      <c r="G286" s="48" t="n">
        <f aca="false">IF((2-N(V_L2_Mes)+1)&lt;1,0,IF((2-N(V_L2_Mes)+1)=1,N(V_L2_Monto),F$286)-G$285)</f>
        <v>0</v>
      </c>
      <c r="H286" s="48" t="n">
        <f aca="false">IF((3-N(V_L2_Mes)+1)&lt;1,0,IF((3-N(V_L2_Mes)+1)=1,N(V_L2_Monto),G$286)-H$285)</f>
        <v>0</v>
      </c>
      <c r="I286" s="48" t="n">
        <f aca="false">IF((4-N(V_L2_Mes)+1)&lt;1,0,IF((4-N(V_L2_Mes)+1)=1,N(V_L2_Monto),H$286)-I$285)</f>
        <v>0</v>
      </c>
      <c r="J286" s="48" t="n">
        <f aca="false">IF((5-N(V_L2_Mes)+1)&lt;1,0,IF((5-N(V_L2_Mes)+1)=1,N(V_L2_Monto),I$286)-J$285)</f>
        <v>0</v>
      </c>
      <c r="K286" s="48" t="n">
        <f aca="false">IF((6-N(V_L2_Mes)+1)&lt;1,0,IF((6-N(V_L2_Mes)+1)=1,N(V_L2_Monto),J$286)-K$285)</f>
        <v>0</v>
      </c>
      <c r="L286" s="48" t="n">
        <f aca="false">IF((7-N(V_L2_Mes)+1)&lt;1,0,IF((7-N(V_L2_Mes)+1)=1,N(V_L2_Monto),K$286)-L$285)</f>
        <v>0</v>
      </c>
      <c r="M286" s="48" t="n">
        <f aca="false">IF((8-N(V_L2_Mes)+1)&lt;1,0,IF((8-N(V_L2_Mes)+1)=1,N(V_L2_Monto),L$286)-M$285)</f>
        <v>0</v>
      </c>
      <c r="N286" s="48" t="n">
        <f aca="false">IF((9-N(V_L2_Mes)+1)&lt;1,0,IF((9-N(V_L2_Mes)+1)=1,N(V_L2_Monto),M$286)-N$285)</f>
        <v>0</v>
      </c>
      <c r="O286" s="48" t="n">
        <f aca="false">IF((10-N(V_L2_Mes)+1)&lt;1,0,IF((10-N(V_L2_Mes)+1)=1,N(V_L2_Monto),N$286)-O$285)</f>
        <v>0</v>
      </c>
      <c r="P286" s="48" t="n">
        <f aca="false">IF((11-N(V_L2_Mes)+1)&lt;1,0,IF((11-N(V_L2_Mes)+1)=1,N(V_L2_Monto),O$286)-P$285)</f>
        <v>0</v>
      </c>
      <c r="Q286" s="48" t="n">
        <f aca="false">IF((12-N(V_L2_Mes)+1)&lt;1,0,IF((12-N(V_L2_Mes)+1)=1,N(V_L2_Monto),P$286)-Q$285)</f>
        <v>0</v>
      </c>
      <c r="R286" s="48" t="n">
        <f aca="false">IF((13-N(V_L2_Mes)+1)&lt;1,0,IF((13-N(V_L2_Mes)+1)=1,N(V_L2_Monto),Q$286)-R$285)</f>
        <v>0</v>
      </c>
      <c r="S286" s="48" t="n">
        <f aca="false">IF((14-N(V_L2_Mes)+1)&lt;1,0,IF((14-N(V_L2_Mes)+1)=1,N(V_L2_Monto),R$286)-S$285)</f>
        <v>0</v>
      </c>
      <c r="T286" s="48" t="n">
        <f aca="false">IF((15-N(V_L2_Mes)+1)&lt;1,0,IF((15-N(V_L2_Mes)+1)=1,N(V_L2_Monto),S$286)-T$285)</f>
        <v>0</v>
      </c>
      <c r="U286" s="48" t="n">
        <f aca="false">IF((16-N(V_L2_Mes)+1)&lt;1,0,IF((16-N(V_L2_Mes)+1)=1,N(V_L2_Monto),T$286)-U$285)</f>
        <v>0</v>
      </c>
      <c r="V286" s="48" t="n">
        <f aca="false">IF((17-N(V_L2_Mes)+1)&lt;1,0,IF((17-N(V_L2_Mes)+1)=1,N(V_L2_Monto),U$286)-V$285)</f>
        <v>0</v>
      </c>
      <c r="W286" s="48" t="n">
        <f aca="false">IF((18-N(V_L2_Mes)+1)&lt;1,0,IF((18-N(V_L2_Mes)+1)=1,N(V_L2_Monto),V$286)-W$285)</f>
        <v>0</v>
      </c>
      <c r="X286" s="48" t="n">
        <f aca="false">IF((19-N(V_L2_Mes)+1)&lt;1,0,IF((19-N(V_L2_Mes)+1)=1,N(V_L2_Monto),W$286)-X$285)</f>
        <v>0</v>
      </c>
      <c r="Y286" s="48" t="n">
        <f aca="false">IF((20-N(V_L2_Mes)+1)&lt;1,0,IF((20-N(V_L2_Mes)+1)=1,N(V_L2_Monto),X$286)-Y$285)</f>
        <v>0</v>
      </c>
      <c r="Z286" s="48" t="n">
        <f aca="false">IF((21-N(V_L2_Mes)+1)&lt;1,0,IF((21-N(V_L2_Mes)+1)=1,N(V_L2_Monto),Y$286)-Z$285)</f>
        <v>0</v>
      </c>
      <c r="AA286" s="48" t="n">
        <f aca="false">IF((22-N(V_L2_Mes)+1)&lt;1,0,IF((22-N(V_L2_Mes)+1)=1,N(V_L2_Monto),Z$286)-AA$285)</f>
        <v>0</v>
      </c>
      <c r="AB286" s="48" t="n">
        <f aca="false">IF((23-N(V_L2_Mes)+1)&lt;1,0,IF((23-N(V_L2_Mes)+1)=1,N(V_L2_Monto),AA$286)-AB$285)</f>
        <v>0</v>
      </c>
      <c r="AC286" s="48" t="n">
        <f aca="false">IF((24-N(V_L2_Mes)+1)&lt;1,0,IF((24-N(V_L2_Mes)+1)=1,N(V_L2_Monto),AB$286)-AC$285)</f>
        <v>0</v>
      </c>
      <c r="AD286" s="48" t="n">
        <f aca="false">IF((25-N(V_L2_Mes)+1)&lt;1,0,IF((25-N(V_L2_Mes)+1)=1,N(V_L2_Monto),AC$286)-AD$285)</f>
        <v>0</v>
      </c>
      <c r="AE286" s="48" t="n">
        <f aca="false">IF((26-N(V_L2_Mes)+1)&lt;1,0,IF((26-N(V_L2_Mes)+1)=1,N(V_L2_Monto),AD$286)-AE$285)</f>
        <v>0</v>
      </c>
      <c r="AF286" s="48" t="n">
        <f aca="false">IF((27-N(V_L2_Mes)+1)&lt;1,0,IF((27-N(V_L2_Mes)+1)=1,N(V_L2_Monto),AE$286)-AF$285)</f>
        <v>0</v>
      </c>
      <c r="AG286" s="48" t="n">
        <f aca="false">IF((28-N(V_L2_Mes)+1)&lt;1,0,IF((28-N(V_L2_Mes)+1)=1,N(V_L2_Monto),AF$286)-AG$285)</f>
        <v>0</v>
      </c>
      <c r="AH286" s="48" t="n">
        <f aca="false">IF((29-N(V_L2_Mes)+1)&lt;1,0,IF((29-N(V_L2_Mes)+1)=1,N(V_L2_Monto),AG$286)-AH$285)</f>
        <v>0</v>
      </c>
      <c r="AI286" s="48" t="n">
        <f aca="false">IF((30-N(V_L2_Mes)+1)&lt;1,0,IF((30-N(V_L2_Mes)+1)=1,N(V_L2_Monto),AH$286)-AI$285)</f>
        <v>0</v>
      </c>
      <c r="AJ286" s="48" t="n">
        <f aca="false">IF((31-N(V_L2_Mes)+1)&lt;1,0,IF((31-N(V_L2_Mes)+1)=1,N(V_L2_Monto),AI$286)-AJ$285)</f>
        <v>0</v>
      </c>
      <c r="AK286" s="48" t="n">
        <f aca="false">IF((32-N(V_L2_Mes)+1)&lt;1,0,IF((32-N(V_L2_Mes)+1)=1,N(V_L2_Monto),AJ$286)-AK$285)</f>
        <v>0</v>
      </c>
      <c r="AL286" s="48" t="n">
        <f aca="false">IF((33-N(V_L2_Mes)+1)&lt;1,0,IF((33-N(V_L2_Mes)+1)=1,N(V_L2_Monto),AK$286)-AL$285)</f>
        <v>0</v>
      </c>
      <c r="AM286" s="48" t="n">
        <f aca="false">IF((34-N(V_L2_Mes)+1)&lt;1,0,IF((34-N(V_L2_Mes)+1)=1,N(V_L2_Monto),AL$286)-AM$285)</f>
        <v>0</v>
      </c>
      <c r="AN286" s="48" t="n">
        <f aca="false">IF((35-N(V_L2_Mes)+1)&lt;1,0,IF((35-N(V_L2_Mes)+1)=1,N(V_L2_Monto),AM$286)-AN$285)</f>
        <v>0</v>
      </c>
      <c r="AO286" s="48" t="n">
        <f aca="false">IF((36-N(V_L2_Mes)+1)&lt;1,0,IF((36-N(V_L2_Mes)+1)=1,N(V_L2_Monto),AN$286)-AO$285)</f>
        <v>0</v>
      </c>
      <c r="AP286" s="48" t="n">
        <f aca="false">IF((37-N(V_L2_Mes)+1)&lt;1,0,IF((37-N(V_L2_Mes)+1)=1,N(V_L2_Monto),AO$286)-AP$285)</f>
        <v>0</v>
      </c>
      <c r="AQ286" s="48" t="n">
        <f aca="false">IF((38-N(V_L2_Mes)+1)&lt;1,0,IF((38-N(V_L2_Mes)+1)=1,N(V_L2_Monto),AP$286)-AQ$285)</f>
        <v>0</v>
      </c>
      <c r="AR286" s="48" t="n">
        <f aca="false">IF((39-N(V_L2_Mes)+1)&lt;1,0,IF((39-N(V_L2_Mes)+1)=1,N(V_L2_Monto),AQ$286)-AR$285)</f>
        <v>0</v>
      </c>
      <c r="AS286" s="48" t="n">
        <f aca="false">IF((40-N(V_L2_Mes)+1)&lt;1,0,IF((40-N(V_L2_Mes)+1)=1,N(V_L2_Monto),AR$286)-AS$285)</f>
        <v>0</v>
      </c>
      <c r="AT286" s="48" t="n">
        <f aca="false">IF((41-N(V_L2_Mes)+1)&lt;1,0,IF((41-N(V_L2_Mes)+1)=1,N(V_L2_Monto),AS$286)-AT$285)</f>
        <v>0</v>
      </c>
      <c r="AU286" s="48" t="n">
        <f aca="false">IF((42-N(V_L2_Mes)+1)&lt;1,0,IF((42-N(V_L2_Mes)+1)=1,N(V_L2_Monto),AT$286)-AU$285)</f>
        <v>0</v>
      </c>
      <c r="AV286" s="48" t="n">
        <f aca="false">IF((43-N(V_L2_Mes)+1)&lt;1,0,IF((43-N(V_L2_Mes)+1)=1,N(V_L2_Monto),AU$286)-AV$285)</f>
        <v>0</v>
      </c>
      <c r="AW286" s="48" t="n">
        <f aca="false">IF((44-N(V_L2_Mes)+1)&lt;1,0,IF((44-N(V_L2_Mes)+1)=1,N(V_L2_Monto),AV$286)-AW$285)</f>
        <v>0</v>
      </c>
      <c r="AX286" s="48" t="n">
        <f aca="false">IF((45-N(V_L2_Mes)+1)&lt;1,0,IF((45-N(V_L2_Mes)+1)=1,N(V_L2_Monto),AW$286)-AX$285)</f>
        <v>0</v>
      </c>
      <c r="AY286" s="48" t="n">
        <f aca="false">IF((46-N(V_L2_Mes)+1)&lt;1,0,IF((46-N(V_L2_Mes)+1)=1,N(V_L2_Monto),AX$286)-AY$285)</f>
        <v>0</v>
      </c>
      <c r="AZ286" s="48" t="n">
        <f aca="false">IF((47-N(V_L2_Mes)+1)&lt;1,0,IF((47-N(V_L2_Mes)+1)=1,N(V_L2_Monto),AY$286)-AZ$285)</f>
        <v>0</v>
      </c>
      <c r="BA286" s="48" t="n">
        <f aca="false">IF((48-N(V_L2_Mes)+1)&lt;1,0,IF((48-N(V_L2_Mes)+1)=1,N(V_L2_Monto),AZ$286)-BA$285)</f>
        <v>0</v>
      </c>
      <c r="BB286" s="48" t="n">
        <f aca="false">IF((49-N(V_L2_Mes)+1)&lt;1,0,IF((49-N(V_L2_Mes)+1)=1,N(V_L2_Monto),BA$286)-BB$285)</f>
        <v>0</v>
      </c>
      <c r="BC286" s="48" t="n">
        <f aca="false">IF((50-N(V_L2_Mes)+1)&lt;1,0,IF((50-N(V_L2_Mes)+1)=1,N(V_L2_Monto),BB$286)-BC$285)</f>
        <v>0</v>
      </c>
      <c r="BD286" s="48" t="n">
        <f aca="false">IF((51-N(V_L2_Mes)+1)&lt;1,0,IF((51-N(V_L2_Mes)+1)=1,N(V_L2_Monto),BC$286)-BD$285)</f>
        <v>0</v>
      </c>
      <c r="BE286" s="48" t="n">
        <f aca="false">IF((52-N(V_L2_Mes)+1)&lt;1,0,IF((52-N(V_L2_Mes)+1)=1,N(V_L2_Monto),BD$286)-BE$285)</f>
        <v>0</v>
      </c>
      <c r="BF286" s="48" t="n">
        <f aca="false">IF((53-N(V_L2_Mes)+1)&lt;1,0,IF((53-N(V_L2_Mes)+1)=1,N(V_L2_Monto),BE$286)-BF$285)</f>
        <v>0</v>
      </c>
      <c r="BG286" s="48" t="n">
        <f aca="false">IF((54-N(V_L2_Mes)+1)&lt;1,0,IF((54-N(V_L2_Mes)+1)=1,N(V_L2_Monto),BF$286)-BG$285)</f>
        <v>0</v>
      </c>
      <c r="BH286" s="48" t="n">
        <f aca="false">IF((55-N(V_L2_Mes)+1)&lt;1,0,IF((55-N(V_L2_Mes)+1)=1,N(V_L2_Monto),BG$286)-BH$285)</f>
        <v>0</v>
      </c>
      <c r="BI286" s="48" t="n">
        <f aca="false">IF((56-N(V_L2_Mes)+1)&lt;1,0,IF((56-N(V_L2_Mes)+1)=1,N(V_L2_Monto),BH$286)-BI$285)</f>
        <v>0</v>
      </c>
      <c r="BJ286" s="48" t="n">
        <f aca="false">IF((57-N(V_L2_Mes)+1)&lt;1,0,IF((57-N(V_L2_Mes)+1)=1,N(V_L2_Monto),BI$286)-BJ$285)</f>
        <v>0</v>
      </c>
      <c r="BK286" s="48" t="n">
        <f aca="false">IF((58-N(V_L2_Mes)+1)&lt;1,0,IF((58-N(V_L2_Mes)+1)=1,N(V_L2_Monto),BJ$286)-BK$285)</f>
        <v>0</v>
      </c>
      <c r="BL286" s="48" t="n">
        <f aca="false">IF((59-N(V_L2_Mes)+1)&lt;1,0,IF((59-N(V_L2_Mes)+1)=1,N(V_L2_Monto),BK$286)-BL$285)</f>
        <v>0</v>
      </c>
      <c r="BM286" s="48" t="n">
        <f aca="false">IF((60-N(V_L2_Mes)+1)&lt;1,0,IF((60-N(V_L2_Mes)+1)=1,N(V_L2_Monto),BL$286)-BM$285)</f>
        <v>0</v>
      </c>
      <c r="BN286" s="48" t="n">
        <f aca="false">IF((61-N(V_L2_Mes)+1)&lt;1,0,IF((61-N(V_L2_Mes)+1)=1,N(V_L2_Monto),BM$286)-BN$285)</f>
        <v>0</v>
      </c>
      <c r="BO286" s="48" t="n">
        <f aca="false">IF((62-N(V_L2_Mes)+1)&lt;1,0,IF((62-N(V_L2_Mes)+1)=1,N(V_L2_Monto),BN$286)-BO$285)</f>
        <v>0</v>
      </c>
      <c r="BP286" s="48" t="n">
        <f aca="false">IF((63-N(V_L2_Mes)+1)&lt;1,0,IF((63-N(V_L2_Mes)+1)=1,N(V_L2_Monto),BO$286)-BP$285)</f>
        <v>0</v>
      </c>
      <c r="BQ286" s="48" t="n">
        <f aca="false">IF((64-N(V_L2_Mes)+1)&lt;1,0,IF((64-N(V_L2_Mes)+1)=1,N(V_L2_Monto),BP$286)-BQ$285)</f>
        <v>0</v>
      </c>
      <c r="BR286" s="48" t="n">
        <f aca="false">IF((65-N(V_L2_Mes)+1)&lt;1,0,IF((65-N(V_L2_Mes)+1)=1,N(V_L2_Monto),BQ$286)-BR$285)</f>
        <v>0</v>
      </c>
      <c r="BS286" s="48" t="n">
        <f aca="false">IF((66-N(V_L2_Mes)+1)&lt;1,0,IF((66-N(V_L2_Mes)+1)=1,N(V_L2_Monto),BR$286)-BS$285)</f>
        <v>0</v>
      </c>
      <c r="BT286" s="48" t="n">
        <f aca="false">IF((67-N(V_L2_Mes)+1)&lt;1,0,IF((67-N(V_L2_Mes)+1)=1,N(V_L2_Monto),BS$286)-BT$285)</f>
        <v>0</v>
      </c>
      <c r="BU286" s="48" t="n">
        <f aca="false">IF((68-N(V_L2_Mes)+1)&lt;1,0,IF((68-N(V_L2_Mes)+1)=1,N(V_L2_Monto),BT$286)-BU$285)</f>
        <v>0</v>
      </c>
      <c r="BV286" s="48" t="n">
        <f aca="false">IF((69-N(V_L2_Mes)+1)&lt;1,0,IF((69-N(V_L2_Mes)+1)=1,N(V_L2_Monto),BU$286)-BV$285)</f>
        <v>0</v>
      </c>
      <c r="BW286" s="48" t="n">
        <f aca="false">IF((70-N(V_L2_Mes)+1)&lt;1,0,IF((70-N(V_L2_Mes)+1)=1,N(V_L2_Monto),BV$286)-BW$285)</f>
        <v>0</v>
      </c>
      <c r="BX286" s="48" t="n">
        <f aca="false">IF((71-N(V_L2_Mes)+1)&lt;1,0,IF((71-N(V_L2_Mes)+1)=1,N(V_L2_Monto),BW$286)-BX$285)</f>
        <v>0</v>
      </c>
      <c r="BY286" s="48" t="n">
        <f aca="false">IF((72-N(V_L2_Mes)+1)&lt;1,0,IF((72-N(V_L2_Mes)+1)=1,N(V_L2_Monto),BX$286)-BY$285)</f>
        <v>0</v>
      </c>
      <c r="BZ286" s="48" t="n">
        <f aca="false">IF((73-N(V_L2_Mes)+1)&lt;1,0,IF((73-N(V_L2_Mes)+1)=1,N(V_L2_Monto),BY$286)-BZ$285)</f>
        <v>0</v>
      </c>
      <c r="CA286" s="48" t="n">
        <f aca="false">IF((74-N(V_L2_Mes)+1)&lt;1,0,IF((74-N(V_L2_Mes)+1)=1,N(V_L2_Monto),BZ$286)-CA$285)</f>
        <v>0</v>
      </c>
      <c r="CB286" s="48" t="n">
        <f aca="false">IF((75-N(V_L2_Mes)+1)&lt;1,0,IF((75-N(V_L2_Mes)+1)=1,N(V_L2_Monto),CA$286)-CB$285)</f>
        <v>0</v>
      </c>
      <c r="CC286" s="48" t="n">
        <f aca="false">IF((76-N(V_L2_Mes)+1)&lt;1,0,IF((76-N(V_L2_Mes)+1)=1,N(V_L2_Monto),CB$286)-CC$285)</f>
        <v>0</v>
      </c>
      <c r="CD286" s="48" t="n">
        <f aca="false">IF((77-N(V_L2_Mes)+1)&lt;1,0,IF((77-N(V_L2_Mes)+1)=1,N(V_L2_Monto),CC$286)-CD$285)</f>
        <v>0</v>
      </c>
      <c r="CE286" s="48" t="n">
        <f aca="false">IF((78-N(V_L2_Mes)+1)&lt;1,0,IF((78-N(V_L2_Mes)+1)=1,N(V_L2_Monto),CD$286)-CE$285)</f>
        <v>0</v>
      </c>
      <c r="CF286" s="48" t="n">
        <f aca="false">IF((79-N(V_L2_Mes)+1)&lt;1,0,IF((79-N(V_L2_Mes)+1)=1,N(V_L2_Monto),CE$286)-CF$285)</f>
        <v>0</v>
      </c>
      <c r="CG286" s="48" t="n">
        <f aca="false">IF((80-N(V_L2_Mes)+1)&lt;1,0,IF((80-N(V_L2_Mes)+1)=1,N(V_L2_Monto),CF$286)-CG$285)</f>
        <v>0</v>
      </c>
      <c r="CH286" s="48" t="n">
        <f aca="false">IF((81-N(V_L2_Mes)+1)&lt;1,0,IF((81-N(V_L2_Mes)+1)=1,N(V_L2_Monto),CG$286)-CH$285)</f>
        <v>0</v>
      </c>
      <c r="CI286" s="48" t="n">
        <f aca="false">IF((82-N(V_L2_Mes)+1)&lt;1,0,IF((82-N(V_L2_Mes)+1)=1,N(V_L2_Monto),CH$286)-CI$285)</f>
        <v>0</v>
      </c>
      <c r="CJ286" s="48" t="n">
        <f aca="false">IF((83-N(V_L2_Mes)+1)&lt;1,0,IF((83-N(V_L2_Mes)+1)=1,N(V_L2_Monto),CI$286)-CJ$285)</f>
        <v>0</v>
      </c>
      <c r="CK286" s="48" t="n">
        <f aca="false">IF((84-N(V_L2_Mes)+1)&lt;1,0,IF((84-N(V_L2_Mes)+1)=1,N(V_L2_Monto),CJ$286)-CK$285)</f>
        <v>0</v>
      </c>
      <c r="CL286" s="48" t="n">
        <f aca="false">IF((85-N(V_L2_Mes)+1)&lt;1,0,IF((85-N(V_L2_Mes)+1)=1,N(V_L2_Monto),CK$286)-CL$285)</f>
        <v>0</v>
      </c>
      <c r="CM286" s="48" t="n">
        <f aca="false">IF((86-N(V_L2_Mes)+1)&lt;1,0,IF((86-N(V_L2_Mes)+1)=1,N(V_L2_Monto),CL$286)-CM$285)</f>
        <v>0</v>
      </c>
      <c r="CN286" s="48" t="n">
        <f aca="false">IF((87-N(V_L2_Mes)+1)&lt;1,0,IF((87-N(V_L2_Mes)+1)=1,N(V_L2_Monto),CM$286)-CN$285)</f>
        <v>0</v>
      </c>
      <c r="CO286" s="48" t="n">
        <f aca="false">IF((88-N(V_L2_Mes)+1)&lt;1,0,IF((88-N(V_L2_Mes)+1)=1,N(V_L2_Monto),CN$286)-CO$285)</f>
        <v>0</v>
      </c>
      <c r="CP286" s="48" t="n">
        <f aca="false">IF((89-N(V_L2_Mes)+1)&lt;1,0,IF((89-N(V_L2_Mes)+1)=1,N(V_L2_Monto),CO$286)-CP$285)</f>
        <v>0</v>
      </c>
      <c r="CQ286" s="48" t="n">
        <f aca="false">IF((90-N(V_L2_Mes)+1)&lt;1,0,IF((90-N(V_L2_Mes)+1)=1,N(V_L2_Monto),CP$286)-CQ$285)</f>
        <v>0</v>
      </c>
      <c r="CR286" s="48" t="n">
        <f aca="false">IF((91-N(V_L2_Mes)+1)&lt;1,0,IF((91-N(V_L2_Mes)+1)=1,N(V_L2_Monto),CQ$286)-CR$285)</f>
        <v>0</v>
      </c>
      <c r="CS286" s="48" t="n">
        <f aca="false">IF((92-N(V_L2_Mes)+1)&lt;1,0,IF((92-N(V_L2_Mes)+1)=1,N(V_L2_Monto),CR$286)-CS$285)</f>
        <v>0</v>
      </c>
      <c r="CT286" s="48" t="n">
        <f aca="false">IF((93-N(V_L2_Mes)+1)&lt;1,0,IF((93-N(V_L2_Mes)+1)=1,N(V_L2_Monto),CS$286)-CT$285)</f>
        <v>0</v>
      </c>
      <c r="CU286" s="48" t="n">
        <f aca="false">IF((94-N(V_L2_Mes)+1)&lt;1,0,IF((94-N(V_L2_Mes)+1)=1,N(V_L2_Monto),CT$286)-CU$285)</f>
        <v>0</v>
      </c>
      <c r="CV286" s="48" t="n">
        <f aca="false">IF((95-N(V_L2_Mes)+1)&lt;1,0,IF((95-N(V_L2_Mes)+1)=1,N(V_L2_Monto),CU$286)-CV$285)</f>
        <v>0</v>
      </c>
      <c r="CW286" s="48" t="n">
        <f aca="false">IF((96-N(V_L2_Mes)+1)&lt;1,0,IF((96-N(V_L2_Mes)+1)=1,N(V_L2_Monto),CV$286)-CW$285)</f>
        <v>0</v>
      </c>
      <c r="CX286" s="48" t="n">
        <f aca="false">IF((97-N(V_L2_Mes)+1)&lt;1,0,IF((97-N(V_L2_Mes)+1)=1,N(V_L2_Monto),CW$286)-CX$285)</f>
        <v>0</v>
      </c>
      <c r="CY286" s="48" t="n">
        <f aca="false">IF((98-N(V_L2_Mes)+1)&lt;1,0,IF((98-N(V_L2_Mes)+1)=1,N(V_L2_Monto),CX$286)-CY$285)</f>
        <v>0</v>
      </c>
      <c r="CZ286" s="48" t="n">
        <f aca="false">IF((99-N(V_L2_Mes)+1)&lt;1,0,IF((99-N(V_L2_Mes)+1)=1,N(V_L2_Monto),CY$286)-CZ$285)</f>
        <v>0</v>
      </c>
      <c r="DA286" s="48" t="n">
        <f aca="false">IF((100-N(V_L2_Mes)+1)&lt;1,0,IF((100-N(V_L2_Mes)+1)=1,N(V_L2_Monto),CZ$286)-DA$285)</f>
        <v>0</v>
      </c>
      <c r="DB286" s="48" t="n">
        <f aca="false">IF((101-N(V_L2_Mes)+1)&lt;1,0,IF((101-N(V_L2_Mes)+1)=1,N(V_L2_Monto),DA$286)-DB$285)</f>
        <v>0</v>
      </c>
      <c r="DC286" s="48" t="n">
        <f aca="false">IF((102-N(V_L2_Mes)+1)&lt;1,0,IF((102-N(V_L2_Mes)+1)=1,N(V_L2_Monto),DB$286)-DC$285)</f>
        <v>0</v>
      </c>
      <c r="DD286" s="48" t="n">
        <f aca="false">IF((103-N(V_L2_Mes)+1)&lt;1,0,IF((103-N(V_L2_Mes)+1)=1,N(V_L2_Monto),DC$286)-DD$285)</f>
        <v>0</v>
      </c>
      <c r="DE286" s="48" t="n">
        <f aca="false">IF((104-N(V_L2_Mes)+1)&lt;1,0,IF((104-N(V_L2_Mes)+1)=1,N(V_L2_Monto),DD$286)-DE$285)</f>
        <v>0</v>
      </c>
      <c r="DF286" s="48" t="n">
        <f aca="false">IF((105-N(V_L2_Mes)+1)&lt;1,0,IF((105-N(V_L2_Mes)+1)=1,N(V_L2_Monto),DE$286)-DF$285)</f>
        <v>0</v>
      </c>
      <c r="DG286" s="48" t="n">
        <f aca="false">IF((106-N(V_L2_Mes)+1)&lt;1,0,IF((106-N(V_L2_Mes)+1)=1,N(V_L2_Monto),DF$286)-DG$285)</f>
        <v>0</v>
      </c>
      <c r="DH286" s="48" t="n">
        <f aca="false">IF((107-N(V_L2_Mes)+1)&lt;1,0,IF((107-N(V_L2_Mes)+1)=1,N(V_L2_Monto),DG$286)-DH$285)</f>
        <v>0</v>
      </c>
      <c r="DI286" s="48" t="n">
        <f aca="false">IF((108-N(V_L2_Mes)+1)&lt;1,0,IF((108-N(V_L2_Mes)+1)=1,N(V_L2_Monto),DH$286)-DI$285)</f>
        <v>0</v>
      </c>
      <c r="DJ286" s="48" t="n">
        <f aca="false">IF((109-N(V_L2_Mes)+1)&lt;1,0,IF((109-N(V_L2_Mes)+1)=1,N(V_L2_Monto),DI$286)-DJ$285)</f>
        <v>0</v>
      </c>
      <c r="DK286" s="48" t="n">
        <f aca="false">IF((110-N(V_L2_Mes)+1)&lt;1,0,IF((110-N(V_L2_Mes)+1)=1,N(V_L2_Monto),DJ$286)-DK$285)</f>
        <v>0</v>
      </c>
      <c r="DL286" s="48" t="n">
        <f aca="false">IF((111-N(V_L2_Mes)+1)&lt;1,0,IF((111-N(V_L2_Mes)+1)=1,N(V_L2_Monto),DK$286)-DL$285)</f>
        <v>0</v>
      </c>
      <c r="DM286" s="48" t="n">
        <f aca="false">IF((112-N(V_L2_Mes)+1)&lt;1,0,IF((112-N(V_L2_Mes)+1)=1,N(V_L2_Monto),DL$286)-DM$285)</f>
        <v>0</v>
      </c>
      <c r="DN286" s="48" t="n">
        <f aca="false">IF((113-N(V_L2_Mes)+1)&lt;1,0,IF((113-N(V_L2_Mes)+1)=1,N(V_L2_Monto),DM$286)-DN$285)</f>
        <v>0</v>
      </c>
      <c r="DO286" s="48" t="n">
        <f aca="false">IF((114-N(V_L2_Mes)+1)&lt;1,0,IF((114-N(V_L2_Mes)+1)=1,N(V_L2_Monto),DN$286)-DO$285)</f>
        <v>0</v>
      </c>
      <c r="DP286" s="48" t="n">
        <f aca="false">IF((115-N(V_L2_Mes)+1)&lt;1,0,IF((115-N(V_L2_Mes)+1)=1,N(V_L2_Monto),DO$286)-DP$285)</f>
        <v>0</v>
      </c>
      <c r="DQ286" s="48" t="n">
        <f aca="false">IF((116-N(V_L2_Mes)+1)&lt;1,0,IF((116-N(V_L2_Mes)+1)=1,N(V_L2_Monto),DP$286)-DQ$285)</f>
        <v>0</v>
      </c>
      <c r="DR286" s="48" t="n">
        <f aca="false">IF((117-N(V_L2_Mes)+1)&lt;1,0,IF((117-N(V_L2_Mes)+1)=1,N(V_L2_Monto),DQ$286)-DR$285)</f>
        <v>0</v>
      </c>
      <c r="DS286" s="48" t="n">
        <f aca="false">IF((118-N(V_L2_Mes)+1)&lt;1,0,IF((118-N(V_L2_Mes)+1)=1,N(V_L2_Monto),DR$286)-DS$285)</f>
        <v>0</v>
      </c>
      <c r="DT286" s="48" t="n">
        <f aca="false">IF((119-N(V_L2_Mes)+1)&lt;1,0,IF((119-N(V_L2_Mes)+1)=1,N(V_L2_Monto),DS$286)-DT$285)</f>
        <v>0</v>
      </c>
      <c r="DU286" s="48" t="n">
        <f aca="false">IF((120-N(V_L2_Mes)+1)&lt;1,0,IF((120-N(V_L2_Mes)+1)=1,N(V_L2_Monto),DT$286)-DU$285)</f>
        <v>0</v>
      </c>
      <c r="DV286" s="48" t="n">
        <f aca="false">IF((121-N(V_L2_Mes)+1)&lt;1,0,IF((121-N(V_L2_Mes)+1)=1,N(V_L2_Monto),DU$286)-DV$285)</f>
        <v>0</v>
      </c>
      <c r="DW286" s="48" t="n">
        <f aca="false">IF((122-N(V_L2_Mes)+1)&lt;1,0,IF((122-N(V_L2_Mes)+1)=1,N(V_L2_Monto),DV$286)-DW$285)</f>
        <v>0</v>
      </c>
      <c r="DX286" s="48" t="n">
        <f aca="false">IF((123-N(V_L2_Mes)+1)&lt;1,0,IF((123-N(V_L2_Mes)+1)=1,N(V_L2_Monto),DW$286)-DX$285)</f>
        <v>0</v>
      </c>
      <c r="DY286" s="48" t="n">
        <f aca="false">IF((124-N(V_L2_Mes)+1)&lt;1,0,IF((124-N(V_L2_Mes)+1)=1,N(V_L2_Monto),DX$286)-DY$285)</f>
        <v>0</v>
      </c>
      <c r="DZ286" s="48" t="n">
        <f aca="false">IF((125-N(V_L2_Mes)+1)&lt;1,0,IF((125-N(V_L2_Mes)+1)=1,N(V_L2_Monto),DY$286)-DZ$285)</f>
        <v>0</v>
      </c>
      <c r="EA286" s="48" t="n">
        <f aca="false">IF((126-N(V_L2_Mes)+1)&lt;1,0,IF((126-N(V_L2_Mes)+1)=1,N(V_L2_Monto),DZ$286)-EA$285)</f>
        <v>0</v>
      </c>
      <c r="EB286" s="48" t="n">
        <f aca="false">IF((127-N(V_L2_Mes)+1)&lt;1,0,IF((127-N(V_L2_Mes)+1)=1,N(V_L2_Monto),EA$286)-EB$285)</f>
        <v>0</v>
      </c>
      <c r="EC286" s="48" t="n">
        <f aca="false">IF((128-N(V_L2_Mes)+1)&lt;1,0,IF((128-N(V_L2_Mes)+1)=1,N(V_L2_Monto),EB$286)-EC$285)</f>
        <v>0</v>
      </c>
      <c r="ED286" s="48" t="n">
        <f aca="false">IF((129-N(V_L2_Mes)+1)&lt;1,0,IF((129-N(V_L2_Mes)+1)=1,N(V_L2_Monto),EC$286)-ED$285)</f>
        <v>0</v>
      </c>
      <c r="EE286" s="48" t="n">
        <f aca="false">IF((130-N(V_L2_Mes)+1)&lt;1,0,IF((130-N(V_L2_Mes)+1)=1,N(V_L2_Monto),ED$286)-EE$285)</f>
        <v>0</v>
      </c>
      <c r="EF286" s="48" t="n">
        <f aca="false">IF((131-N(V_L2_Mes)+1)&lt;1,0,IF((131-N(V_L2_Mes)+1)=1,N(V_L2_Monto),EE$286)-EF$285)</f>
        <v>0</v>
      </c>
      <c r="EG286" s="48" t="n">
        <f aca="false">IF((132-N(V_L2_Mes)+1)&lt;1,0,IF((132-N(V_L2_Mes)+1)=1,N(V_L2_Monto),EF$286)-EG$285)</f>
        <v>0</v>
      </c>
      <c r="EH286" s="48" t="n">
        <f aca="false">IF((133-N(V_L2_Mes)+1)&lt;1,0,IF((133-N(V_L2_Mes)+1)=1,N(V_L2_Monto),EG$286)-EH$285)</f>
        <v>0</v>
      </c>
      <c r="EI286" s="48" t="n">
        <f aca="false">IF((134-N(V_L2_Mes)+1)&lt;1,0,IF((134-N(V_L2_Mes)+1)=1,N(V_L2_Monto),EH$286)-EI$285)</f>
        <v>0</v>
      </c>
      <c r="EJ286" s="48" t="n">
        <f aca="false">IF((135-N(V_L2_Mes)+1)&lt;1,0,IF((135-N(V_L2_Mes)+1)=1,N(V_L2_Monto),EI$286)-EJ$285)</f>
        <v>0</v>
      </c>
      <c r="EK286" s="48" t="n">
        <f aca="false">IF((136-N(V_L2_Mes)+1)&lt;1,0,IF((136-N(V_L2_Mes)+1)=1,N(V_L2_Monto),EJ$286)-EK$285)</f>
        <v>0</v>
      </c>
      <c r="EL286" s="48" t="n">
        <f aca="false">IF((137-N(V_L2_Mes)+1)&lt;1,0,IF((137-N(V_L2_Mes)+1)=1,N(V_L2_Monto),EK$286)-EL$285)</f>
        <v>0</v>
      </c>
      <c r="EM286" s="48" t="n">
        <f aca="false">IF((138-N(V_L2_Mes)+1)&lt;1,0,IF((138-N(V_L2_Mes)+1)=1,N(V_L2_Monto),EL$286)-EM$285)</f>
        <v>0</v>
      </c>
      <c r="EN286" s="48" t="n">
        <f aca="false">IF((139-N(V_L2_Mes)+1)&lt;1,0,IF((139-N(V_L2_Mes)+1)=1,N(V_L2_Monto),EM$286)-EN$285)</f>
        <v>0</v>
      </c>
      <c r="EO286" s="48" t="n">
        <f aca="false">IF((140-N(V_L2_Mes)+1)&lt;1,0,IF((140-N(V_L2_Mes)+1)=1,N(V_L2_Monto),EN$286)-EO$285)</f>
        <v>0</v>
      </c>
      <c r="EP286" s="48" t="n">
        <f aca="false">IF((141-N(V_L2_Mes)+1)&lt;1,0,IF((141-N(V_L2_Mes)+1)=1,N(V_L2_Monto),EO$286)-EP$285)</f>
        <v>0</v>
      </c>
      <c r="EQ286" s="48" t="n">
        <f aca="false">IF((142-N(V_L2_Mes)+1)&lt;1,0,IF((142-N(V_L2_Mes)+1)=1,N(V_L2_Monto),EP$286)-EQ$285)</f>
        <v>0</v>
      </c>
      <c r="ER286" s="48" t="n">
        <f aca="false">IF((143-N(V_L2_Mes)+1)&lt;1,0,IF((143-N(V_L2_Mes)+1)=1,N(V_L2_Monto),EQ$286)-ER$285)</f>
        <v>0</v>
      </c>
      <c r="ES286" s="48" t="n">
        <f aca="false">IF((144-N(V_L2_Mes)+1)&lt;1,0,IF((144-N(V_L2_Mes)+1)=1,N(V_L2_Monto),ER$286)-ES$285)</f>
        <v>0</v>
      </c>
    </row>
    <row r="287" customFormat="false" ht="15" hidden="false" customHeight="false" outlineLevel="0" collapsed="false">
      <c r="A287" s="11" t="s">
        <v>1405</v>
      </c>
      <c r="B287" s="15" t="s">
        <v>1227</v>
      </c>
      <c r="C287" s="15" t="s">
        <v>508</v>
      </c>
      <c r="E287" s="54" t="n">
        <f aca="false">SUM(F287:ES287)</f>
        <v>0</v>
      </c>
      <c r="F287" s="48" t="n">
        <f aca="false">IF((1-N(V_L3_Mes)+1)=1,N(V_L3_Monto),0)*F$9</f>
        <v>0</v>
      </c>
      <c r="G287" s="48" t="n">
        <f aca="false">IF((2-N(V_L3_Mes)+1)=1,N(V_L3_Monto),0)*G$9</f>
        <v>0</v>
      </c>
      <c r="H287" s="48" t="n">
        <f aca="false">IF((3-N(V_L3_Mes)+1)=1,N(V_L3_Monto),0)*H$9</f>
        <v>0</v>
      </c>
      <c r="I287" s="48" t="n">
        <f aca="false">IF((4-N(V_L3_Mes)+1)=1,N(V_L3_Monto),0)*I$9</f>
        <v>0</v>
      </c>
      <c r="J287" s="48" t="n">
        <f aca="false">IF((5-N(V_L3_Mes)+1)=1,N(V_L3_Monto),0)*J$9</f>
        <v>0</v>
      </c>
      <c r="K287" s="48" t="n">
        <f aca="false">IF((6-N(V_L3_Mes)+1)=1,N(V_L3_Monto),0)*K$9</f>
        <v>0</v>
      </c>
      <c r="L287" s="48" t="n">
        <f aca="false">IF((7-N(V_L3_Mes)+1)=1,N(V_L3_Monto),0)*L$9</f>
        <v>0</v>
      </c>
      <c r="M287" s="48" t="n">
        <f aca="false">IF((8-N(V_L3_Mes)+1)=1,N(V_L3_Monto),0)*M$9</f>
        <v>0</v>
      </c>
      <c r="N287" s="48" t="n">
        <f aca="false">IF((9-N(V_L3_Mes)+1)=1,N(V_L3_Monto),0)*N$9</f>
        <v>0</v>
      </c>
      <c r="O287" s="48" t="n">
        <f aca="false">IF((10-N(V_L3_Mes)+1)=1,N(V_L3_Monto),0)*O$9</f>
        <v>0</v>
      </c>
      <c r="P287" s="48" t="n">
        <f aca="false">IF((11-N(V_L3_Mes)+1)=1,N(V_L3_Monto),0)*P$9</f>
        <v>0</v>
      </c>
      <c r="Q287" s="48" t="n">
        <f aca="false">IF((12-N(V_L3_Mes)+1)=1,N(V_L3_Monto),0)*Q$9</f>
        <v>0</v>
      </c>
      <c r="R287" s="48" t="n">
        <f aca="false">IF((13-N(V_L3_Mes)+1)=1,N(V_L3_Monto),0)*R$9</f>
        <v>0</v>
      </c>
      <c r="S287" s="48" t="n">
        <f aca="false">IF((14-N(V_L3_Mes)+1)=1,N(V_L3_Monto),0)*S$9</f>
        <v>0</v>
      </c>
      <c r="T287" s="48" t="n">
        <f aca="false">IF((15-N(V_L3_Mes)+1)=1,N(V_L3_Monto),0)*T$9</f>
        <v>0</v>
      </c>
      <c r="U287" s="48" t="n">
        <f aca="false">IF((16-N(V_L3_Mes)+1)=1,N(V_L3_Monto),0)*U$9</f>
        <v>0</v>
      </c>
      <c r="V287" s="48" t="n">
        <f aca="false">IF((17-N(V_L3_Mes)+1)=1,N(V_L3_Monto),0)*V$9</f>
        <v>0</v>
      </c>
      <c r="W287" s="48" t="n">
        <f aca="false">IF((18-N(V_L3_Mes)+1)=1,N(V_L3_Monto),0)*W$9</f>
        <v>0</v>
      </c>
      <c r="X287" s="48" t="n">
        <f aca="false">IF((19-N(V_L3_Mes)+1)=1,N(V_L3_Monto),0)*X$9</f>
        <v>0</v>
      </c>
      <c r="Y287" s="48" t="n">
        <f aca="false">IF((20-N(V_L3_Mes)+1)=1,N(V_L3_Monto),0)*Y$9</f>
        <v>0</v>
      </c>
      <c r="Z287" s="48" t="n">
        <f aca="false">IF((21-N(V_L3_Mes)+1)=1,N(V_L3_Monto),0)*Z$9</f>
        <v>0</v>
      </c>
      <c r="AA287" s="48" t="n">
        <f aca="false">IF((22-N(V_L3_Mes)+1)=1,N(V_L3_Monto),0)*AA$9</f>
        <v>0</v>
      </c>
      <c r="AB287" s="48" t="n">
        <f aca="false">IF((23-N(V_L3_Mes)+1)=1,N(V_L3_Monto),0)*AB$9</f>
        <v>0</v>
      </c>
      <c r="AC287" s="48" t="n">
        <f aca="false">IF((24-N(V_L3_Mes)+1)=1,N(V_L3_Monto),0)*AC$9</f>
        <v>0</v>
      </c>
      <c r="AD287" s="48" t="n">
        <f aca="false">IF((25-N(V_L3_Mes)+1)=1,N(V_L3_Monto),0)*AD$9</f>
        <v>0</v>
      </c>
      <c r="AE287" s="48" t="n">
        <f aca="false">IF((26-N(V_L3_Mes)+1)=1,N(V_L3_Monto),0)*AE$9</f>
        <v>0</v>
      </c>
      <c r="AF287" s="48" t="n">
        <f aca="false">IF((27-N(V_L3_Mes)+1)=1,N(V_L3_Monto),0)*AF$9</f>
        <v>0</v>
      </c>
      <c r="AG287" s="48" t="n">
        <f aca="false">IF((28-N(V_L3_Mes)+1)=1,N(V_L3_Monto),0)*AG$9</f>
        <v>0</v>
      </c>
      <c r="AH287" s="48" t="n">
        <f aca="false">IF((29-N(V_L3_Mes)+1)=1,N(V_L3_Monto),0)*AH$9</f>
        <v>0</v>
      </c>
      <c r="AI287" s="48" t="n">
        <f aca="false">IF((30-N(V_L3_Mes)+1)=1,N(V_L3_Monto),0)*AI$9</f>
        <v>0</v>
      </c>
      <c r="AJ287" s="48" t="n">
        <f aca="false">IF((31-N(V_L3_Mes)+1)=1,N(V_L3_Monto),0)*AJ$9</f>
        <v>0</v>
      </c>
      <c r="AK287" s="48" t="n">
        <f aca="false">IF((32-N(V_L3_Mes)+1)=1,N(V_L3_Monto),0)*AK$9</f>
        <v>0</v>
      </c>
      <c r="AL287" s="48" t="n">
        <f aca="false">IF((33-N(V_L3_Mes)+1)=1,N(V_L3_Monto),0)*AL$9</f>
        <v>0</v>
      </c>
      <c r="AM287" s="48" t="n">
        <f aca="false">IF((34-N(V_L3_Mes)+1)=1,N(V_L3_Monto),0)*AM$9</f>
        <v>0</v>
      </c>
      <c r="AN287" s="48" t="n">
        <f aca="false">IF((35-N(V_L3_Mes)+1)=1,N(V_L3_Monto),0)*AN$9</f>
        <v>0</v>
      </c>
      <c r="AO287" s="48" t="n">
        <f aca="false">IF((36-N(V_L3_Mes)+1)=1,N(V_L3_Monto),0)*AO$9</f>
        <v>0</v>
      </c>
      <c r="AP287" s="48" t="n">
        <f aca="false">IF((37-N(V_L3_Mes)+1)=1,N(V_L3_Monto),0)*AP$9</f>
        <v>0</v>
      </c>
      <c r="AQ287" s="48" t="n">
        <f aca="false">IF((38-N(V_L3_Mes)+1)=1,N(V_L3_Monto),0)*AQ$9</f>
        <v>0</v>
      </c>
      <c r="AR287" s="48" t="n">
        <f aca="false">IF((39-N(V_L3_Mes)+1)=1,N(V_L3_Monto),0)*AR$9</f>
        <v>0</v>
      </c>
      <c r="AS287" s="48" t="n">
        <f aca="false">IF((40-N(V_L3_Mes)+1)=1,N(V_L3_Monto),0)*AS$9</f>
        <v>0</v>
      </c>
      <c r="AT287" s="48" t="n">
        <f aca="false">IF((41-N(V_L3_Mes)+1)=1,N(V_L3_Monto),0)*AT$9</f>
        <v>0</v>
      </c>
      <c r="AU287" s="48" t="n">
        <f aca="false">IF((42-N(V_L3_Mes)+1)=1,N(V_L3_Monto),0)*AU$9</f>
        <v>0</v>
      </c>
      <c r="AV287" s="48" t="n">
        <f aca="false">IF((43-N(V_L3_Mes)+1)=1,N(V_L3_Monto),0)*AV$9</f>
        <v>0</v>
      </c>
      <c r="AW287" s="48" t="n">
        <f aca="false">IF((44-N(V_L3_Mes)+1)=1,N(V_L3_Monto),0)*AW$9</f>
        <v>0</v>
      </c>
      <c r="AX287" s="48" t="n">
        <f aca="false">IF((45-N(V_L3_Mes)+1)=1,N(V_L3_Monto),0)*AX$9</f>
        <v>0</v>
      </c>
      <c r="AY287" s="48" t="n">
        <f aca="false">IF((46-N(V_L3_Mes)+1)=1,N(V_L3_Monto),0)*AY$9</f>
        <v>0</v>
      </c>
      <c r="AZ287" s="48" t="n">
        <f aca="false">IF((47-N(V_L3_Mes)+1)=1,N(V_L3_Monto),0)*AZ$9</f>
        <v>0</v>
      </c>
      <c r="BA287" s="48" t="n">
        <f aca="false">IF((48-N(V_L3_Mes)+1)=1,N(V_L3_Monto),0)*BA$9</f>
        <v>0</v>
      </c>
      <c r="BB287" s="48" t="n">
        <f aca="false">IF((49-N(V_L3_Mes)+1)=1,N(V_L3_Monto),0)*BB$9</f>
        <v>0</v>
      </c>
      <c r="BC287" s="48" t="n">
        <f aca="false">IF((50-N(V_L3_Mes)+1)=1,N(V_L3_Monto),0)*BC$9</f>
        <v>0</v>
      </c>
      <c r="BD287" s="48" t="n">
        <f aca="false">IF((51-N(V_L3_Mes)+1)=1,N(V_L3_Monto),0)*BD$9</f>
        <v>0</v>
      </c>
      <c r="BE287" s="48" t="n">
        <f aca="false">IF((52-N(V_L3_Mes)+1)=1,N(V_L3_Monto),0)*BE$9</f>
        <v>0</v>
      </c>
      <c r="BF287" s="48" t="n">
        <f aca="false">IF((53-N(V_L3_Mes)+1)=1,N(V_L3_Monto),0)*BF$9</f>
        <v>0</v>
      </c>
      <c r="BG287" s="48" t="n">
        <f aca="false">IF((54-N(V_L3_Mes)+1)=1,N(V_L3_Monto),0)*BG$9</f>
        <v>0</v>
      </c>
      <c r="BH287" s="48" t="n">
        <f aca="false">IF((55-N(V_L3_Mes)+1)=1,N(V_L3_Monto),0)*BH$9</f>
        <v>0</v>
      </c>
      <c r="BI287" s="48" t="n">
        <f aca="false">IF((56-N(V_L3_Mes)+1)=1,N(V_L3_Monto),0)*BI$9</f>
        <v>0</v>
      </c>
      <c r="BJ287" s="48" t="n">
        <f aca="false">IF((57-N(V_L3_Mes)+1)=1,N(V_L3_Monto),0)*BJ$9</f>
        <v>0</v>
      </c>
      <c r="BK287" s="48" t="n">
        <f aca="false">IF((58-N(V_L3_Mes)+1)=1,N(V_L3_Monto),0)*BK$9</f>
        <v>0</v>
      </c>
      <c r="BL287" s="48" t="n">
        <f aca="false">IF((59-N(V_L3_Mes)+1)=1,N(V_L3_Monto),0)*BL$9</f>
        <v>0</v>
      </c>
      <c r="BM287" s="48" t="n">
        <f aca="false">IF((60-N(V_L3_Mes)+1)=1,N(V_L3_Monto),0)*BM$9</f>
        <v>0</v>
      </c>
      <c r="BN287" s="48" t="n">
        <f aca="false">IF((61-N(V_L3_Mes)+1)=1,N(V_L3_Monto),0)*BN$9</f>
        <v>0</v>
      </c>
      <c r="BO287" s="48" t="n">
        <f aca="false">IF((62-N(V_L3_Mes)+1)=1,N(V_L3_Monto),0)*BO$9</f>
        <v>0</v>
      </c>
      <c r="BP287" s="48" t="n">
        <f aca="false">IF((63-N(V_L3_Mes)+1)=1,N(V_L3_Monto),0)*BP$9</f>
        <v>0</v>
      </c>
      <c r="BQ287" s="48" t="n">
        <f aca="false">IF((64-N(V_L3_Mes)+1)=1,N(V_L3_Monto),0)*BQ$9</f>
        <v>0</v>
      </c>
      <c r="BR287" s="48" t="n">
        <f aca="false">IF((65-N(V_L3_Mes)+1)=1,N(V_L3_Monto),0)*BR$9</f>
        <v>0</v>
      </c>
      <c r="BS287" s="48" t="n">
        <f aca="false">IF((66-N(V_L3_Mes)+1)=1,N(V_L3_Monto),0)*BS$9</f>
        <v>0</v>
      </c>
      <c r="BT287" s="48" t="n">
        <f aca="false">IF((67-N(V_L3_Mes)+1)=1,N(V_L3_Monto),0)*BT$9</f>
        <v>0</v>
      </c>
      <c r="BU287" s="48" t="n">
        <f aca="false">IF((68-N(V_L3_Mes)+1)=1,N(V_L3_Monto),0)*BU$9</f>
        <v>0</v>
      </c>
      <c r="BV287" s="48" t="n">
        <f aca="false">IF((69-N(V_L3_Mes)+1)=1,N(V_L3_Monto),0)*BV$9</f>
        <v>0</v>
      </c>
      <c r="BW287" s="48" t="n">
        <f aca="false">IF((70-N(V_L3_Mes)+1)=1,N(V_L3_Monto),0)*BW$9</f>
        <v>0</v>
      </c>
      <c r="BX287" s="48" t="n">
        <f aca="false">IF((71-N(V_L3_Mes)+1)=1,N(V_L3_Monto),0)*BX$9</f>
        <v>0</v>
      </c>
      <c r="BY287" s="48" t="n">
        <f aca="false">IF((72-N(V_L3_Mes)+1)=1,N(V_L3_Monto),0)*BY$9</f>
        <v>0</v>
      </c>
      <c r="BZ287" s="48" t="n">
        <f aca="false">IF((73-N(V_L3_Mes)+1)=1,N(V_L3_Monto),0)*BZ$9</f>
        <v>0</v>
      </c>
      <c r="CA287" s="48" t="n">
        <f aca="false">IF((74-N(V_L3_Mes)+1)=1,N(V_L3_Monto),0)*CA$9</f>
        <v>0</v>
      </c>
      <c r="CB287" s="48" t="n">
        <f aca="false">IF((75-N(V_L3_Mes)+1)=1,N(V_L3_Monto),0)*CB$9</f>
        <v>0</v>
      </c>
      <c r="CC287" s="48" t="n">
        <f aca="false">IF((76-N(V_L3_Mes)+1)=1,N(V_L3_Monto),0)*CC$9</f>
        <v>0</v>
      </c>
      <c r="CD287" s="48" t="n">
        <f aca="false">IF((77-N(V_L3_Mes)+1)=1,N(V_L3_Monto),0)*CD$9</f>
        <v>0</v>
      </c>
      <c r="CE287" s="48" t="n">
        <f aca="false">IF((78-N(V_L3_Mes)+1)=1,N(V_L3_Monto),0)*CE$9</f>
        <v>0</v>
      </c>
      <c r="CF287" s="48" t="n">
        <f aca="false">IF((79-N(V_L3_Mes)+1)=1,N(V_L3_Monto),0)*CF$9</f>
        <v>0</v>
      </c>
      <c r="CG287" s="48" t="n">
        <f aca="false">IF((80-N(V_L3_Mes)+1)=1,N(V_L3_Monto),0)*CG$9</f>
        <v>0</v>
      </c>
      <c r="CH287" s="48" t="n">
        <f aca="false">IF((81-N(V_L3_Mes)+1)=1,N(V_L3_Monto),0)*CH$9</f>
        <v>0</v>
      </c>
      <c r="CI287" s="48" t="n">
        <f aca="false">IF((82-N(V_L3_Mes)+1)=1,N(V_L3_Monto),0)*CI$9</f>
        <v>0</v>
      </c>
      <c r="CJ287" s="48" t="n">
        <f aca="false">IF((83-N(V_L3_Mes)+1)=1,N(V_L3_Monto),0)*CJ$9</f>
        <v>0</v>
      </c>
      <c r="CK287" s="48" t="n">
        <f aca="false">IF((84-N(V_L3_Mes)+1)=1,N(V_L3_Monto),0)*CK$9</f>
        <v>0</v>
      </c>
      <c r="CL287" s="48" t="n">
        <f aca="false">IF((85-N(V_L3_Mes)+1)=1,N(V_L3_Monto),0)*CL$9</f>
        <v>0</v>
      </c>
      <c r="CM287" s="48" t="n">
        <f aca="false">IF((86-N(V_L3_Mes)+1)=1,N(V_L3_Monto),0)*CM$9</f>
        <v>0</v>
      </c>
      <c r="CN287" s="48" t="n">
        <f aca="false">IF((87-N(V_L3_Mes)+1)=1,N(V_L3_Monto),0)*CN$9</f>
        <v>0</v>
      </c>
      <c r="CO287" s="48" t="n">
        <f aca="false">IF((88-N(V_L3_Mes)+1)=1,N(V_L3_Monto),0)*CO$9</f>
        <v>0</v>
      </c>
      <c r="CP287" s="48" t="n">
        <f aca="false">IF((89-N(V_L3_Mes)+1)=1,N(V_L3_Monto),0)*CP$9</f>
        <v>0</v>
      </c>
      <c r="CQ287" s="48" t="n">
        <f aca="false">IF((90-N(V_L3_Mes)+1)=1,N(V_L3_Monto),0)*CQ$9</f>
        <v>0</v>
      </c>
      <c r="CR287" s="48" t="n">
        <f aca="false">IF((91-N(V_L3_Mes)+1)=1,N(V_L3_Monto),0)*CR$9</f>
        <v>0</v>
      </c>
      <c r="CS287" s="48" t="n">
        <f aca="false">IF((92-N(V_L3_Mes)+1)=1,N(V_L3_Monto),0)*CS$9</f>
        <v>0</v>
      </c>
      <c r="CT287" s="48" t="n">
        <f aca="false">IF((93-N(V_L3_Mes)+1)=1,N(V_L3_Monto),0)*CT$9</f>
        <v>0</v>
      </c>
      <c r="CU287" s="48" t="n">
        <f aca="false">IF((94-N(V_L3_Mes)+1)=1,N(V_L3_Monto),0)*CU$9</f>
        <v>0</v>
      </c>
      <c r="CV287" s="48" t="n">
        <f aca="false">IF((95-N(V_L3_Mes)+1)=1,N(V_L3_Monto),0)*CV$9</f>
        <v>0</v>
      </c>
      <c r="CW287" s="48" t="n">
        <f aca="false">IF((96-N(V_L3_Mes)+1)=1,N(V_L3_Monto),0)*CW$9</f>
        <v>0</v>
      </c>
      <c r="CX287" s="48" t="n">
        <f aca="false">IF((97-N(V_L3_Mes)+1)=1,N(V_L3_Monto),0)*CX$9</f>
        <v>0</v>
      </c>
      <c r="CY287" s="48" t="n">
        <f aca="false">IF((98-N(V_L3_Mes)+1)=1,N(V_L3_Monto),0)*CY$9</f>
        <v>0</v>
      </c>
      <c r="CZ287" s="48" t="n">
        <f aca="false">IF((99-N(V_L3_Mes)+1)=1,N(V_L3_Monto),0)*CZ$9</f>
        <v>0</v>
      </c>
      <c r="DA287" s="48" t="n">
        <f aca="false">IF((100-N(V_L3_Mes)+1)=1,N(V_L3_Monto),0)*DA$9</f>
        <v>0</v>
      </c>
      <c r="DB287" s="48" t="n">
        <f aca="false">IF((101-N(V_L3_Mes)+1)=1,N(V_L3_Monto),0)*DB$9</f>
        <v>0</v>
      </c>
      <c r="DC287" s="48" t="n">
        <f aca="false">IF((102-N(V_L3_Mes)+1)=1,N(V_L3_Monto),0)*DC$9</f>
        <v>0</v>
      </c>
      <c r="DD287" s="48" t="n">
        <f aca="false">IF((103-N(V_L3_Mes)+1)=1,N(V_L3_Monto),0)*DD$9</f>
        <v>0</v>
      </c>
      <c r="DE287" s="48" t="n">
        <f aca="false">IF((104-N(V_L3_Mes)+1)=1,N(V_L3_Monto),0)*DE$9</f>
        <v>0</v>
      </c>
      <c r="DF287" s="48" t="n">
        <f aca="false">IF((105-N(V_L3_Mes)+1)=1,N(V_L3_Monto),0)*DF$9</f>
        <v>0</v>
      </c>
      <c r="DG287" s="48" t="n">
        <f aca="false">IF((106-N(V_L3_Mes)+1)=1,N(V_L3_Monto),0)*DG$9</f>
        <v>0</v>
      </c>
      <c r="DH287" s="48" t="n">
        <f aca="false">IF((107-N(V_L3_Mes)+1)=1,N(V_L3_Monto),0)*DH$9</f>
        <v>0</v>
      </c>
      <c r="DI287" s="48" t="n">
        <f aca="false">IF((108-N(V_L3_Mes)+1)=1,N(V_L3_Monto),0)*DI$9</f>
        <v>0</v>
      </c>
      <c r="DJ287" s="48" t="n">
        <f aca="false">IF((109-N(V_L3_Mes)+1)=1,N(V_L3_Monto),0)*DJ$9</f>
        <v>0</v>
      </c>
      <c r="DK287" s="48" t="n">
        <f aca="false">IF((110-N(V_L3_Mes)+1)=1,N(V_L3_Monto),0)*DK$9</f>
        <v>0</v>
      </c>
      <c r="DL287" s="48" t="n">
        <f aca="false">IF((111-N(V_L3_Mes)+1)=1,N(V_L3_Monto),0)*DL$9</f>
        <v>0</v>
      </c>
      <c r="DM287" s="48" t="n">
        <f aca="false">IF((112-N(V_L3_Mes)+1)=1,N(V_L3_Monto),0)*DM$9</f>
        <v>0</v>
      </c>
      <c r="DN287" s="48" t="n">
        <f aca="false">IF((113-N(V_L3_Mes)+1)=1,N(V_L3_Monto),0)*DN$9</f>
        <v>0</v>
      </c>
      <c r="DO287" s="48" t="n">
        <f aca="false">IF((114-N(V_L3_Mes)+1)=1,N(V_L3_Monto),0)*DO$9</f>
        <v>0</v>
      </c>
      <c r="DP287" s="48" t="n">
        <f aca="false">IF((115-N(V_L3_Mes)+1)=1,N(V_L3_Monto),0)*DP$9</f>
        <v>0</v>
      </c>
      <c r="DQ287" s="48" t="n">
        <f aca="false">IF((116-N(V_L3_Mes)+1)=1,N(V_L3_Monto),0)*DQ$9</f>
        <v>0</v>
      </c>
      <c r="DR287" s="48" t="n">
        <f aca="false">IF((117-N(V_L3_Mes)+1)=1,N(V_L3_Monto),0)*DR$9</f>
        <v>0</v>
      </c>
      <c r="DS287" s="48" t="n">
        <f aca="false">IF((118-N(V_L3_Mes)+1)=1,N(V_L3_Monto),0)*DS$9</f>
        <v>0</v>
      </c>
      <c r="DT287" s="48" t="n">
        <f aca="false">IF((119-N(V_L3_Mes)+1)=1,N(V_L3_Monto),0)*DT$9</f>
        <v>0</v>
      </c>
      <c r="DU287" s="48" t="n">
        <f aca="false">IF((120-N(V_L3_Mes)+1)=1,N(V_L3_Monto),0)*DU$9</f>
        <v>0</v>
      </c>
      <c r="DV287" s="48" t="n">
        <f aca="false">IF((121-N(V_L3_Mes)+1)=1,N(V_L3_Monto),0)*DV$9</f>
        <v>0</v>
      </c>
      <c r="DW287" s="48" t="n">
        <f aca="false">IF((122-N(V_L3_Mes)+1)=1,N(V_L3_Monto),0)*DW$9</f>
        <v>0</v>
      </c>
      <c r="DX287" s="48" t="n">
        <f aca="false">IF((123-N(V_L3_Mes)+1)=1,N(V_L3_Monto),0)*DX$9</f>
        <v>0</v>
      </c>
      <c r="DY287" s="48" t="n">
        <f aca="false">IF((124-N(V_L3_Mes)+1)=1,N(V_L3_Monto),0)*DY$9</f>
        <v>0</v>
      </c>
      <c r="DZ287" s="48" t="n">
        <f aca="false">IF((125-N(V_L3_Mes)+1)=1,N(V_L3_Monto),0)*DZ$9</f>
        <v>0</v>
      </c>
      <c r="EA287" s="48" t="n">
        <f aca="false">IF((126-N(V_L3_Mes)+1)=1,N(V_L3_Monto),0)*EA$9</f>
        <v>0</v>
      </c>
      <c r="EB287" s="48" t="n">
        <f aca="false">IF((127-N(V_L3_Mes)+1)=1,N(V_L3_Monto),0)*EB$9</f>
        <v>0</v>
      </c>
      <c r="EC287" s="48" t="n">
        <f aca="false">IF((128-N(V_L3_Mes)+1)=1,N(V_L3_Monto),0)*EC$9</f>
        <v>0</v>
      </c>
      <c r="ED287" s="48" t="n">
        <f aca="false">IF((129-N(V_L3_Mes)+1)=1,N(V_L3_Monto),0)*ED$9</f>
        <v>0</v>
      </c>
      <c r="EE287" s="48" t="n">
        <f aca="false">IF((130-N(V_L3_Mes)+1)=1,N(V_L3_Monto),0)*EE$9</f>
        <v>0</v>
      </c>
      <c r="EF287" s="48" t="n">
        <f aca="false">IF((131-N(V_L3_Mes)+1)=1,N(V_L3_Monto),0)*EF$9</f>
        <v>0</v>
      </c>
      <c r="EG287" s="48" t="n">
        <f aca="false">IF((132-N(V_L3_Mes)+1)=1,N(V_L3_Monto),0)*EG$9</f>
        <v>0</v>
      </c>
      <c r="EH287" s="48" t="n">
        <f aca="false">IF((133-N(V_L3_Mes)+1)=1,N(V_L3_Monto),0)*EH$9</f>
        <v>0</v>
      </c>
      <c r="EI287" s="48" t="n">
        <f aca="false">IF((134-N(V_L3_Mes)+1)=1,N(V_L3_Monto),0)*EI$9</f>
        <v>0</v>
      </c>
      <c r="EJ287" s="48" t="n">
        <f aca="false">IF((135-N(V_L3_Mes)+1)=1,N(V_L3_Monto),0)*EJ$9</f>
        <v>0</v>
      </c>
      <c r="EK287" s="48" t="n">
        <f aca="false">IF((136-N(V_L3_Mes)+1)=1,N(V_L3_Monto),0)*EK$9</f>
        <v>0</v>
      </c>
      <c r="EL287" s="48" t="n">
        <f aca="false">IF((137-N(V_L3_Mes)+1)=1,N(V_L3_Monto),0)*EL$9</f>
        <v>0</v>
      </c>
      <c r="EM287" s="48" t="n">
        <f aca="false">IF((138-N(V_L3_Mes)+1)=1,N(V_L3_Monto),0)*EM$9</f>
        <v>0</v>
      </c>
      <c r="EN287" s="48" t="n">
        <f aca="false">IF((139-N(V_L3_Mes)+1)=1,N(V_L3_Monto),0)*EN$9</f>
        <v>0</v>
      </c>
      <c r="EO287" s="48" t="n">
        <f aca="false">IF((140-N(V_L3_Mes)+1)=1,N(V_L3_Monto),0)*EO$9</f>
        <v>0</v>
      </c>
      <c r="EP287" s="48" t="n">
        <f aca="false">IF((141-N(V_L3_Mes)+1)=1,N(V_L3_Monto),0)*EP$9</f>
        <v>0</v>
      </c>
      <c r="EQ287" s="48" t="n">
        <f aca="false">IF((142-N(V_L3_Mes)+1)=1,N(V_L3_Monto),0)*EQ$9</f>
        <v>0</v>
      </c>
      <c r="ER287" s="48" t="n">
        <f aca="false">IF((143-N(V_L3_Mes)+1)=1,N(V_L3_Monto),0)*ER$9</f>
        <v>0</v>
      </c>
      <c r="ES287" s="48" t="n">
        <f aca="false">IF((144-N(V_L3_Mes)+1)=1,N(V_L3_Monto),0)*ES$9</f>
        <v>0</v>
      </c>
    </row>
    <row r="288" customFormat="false" ht="15" hidden="false" customHeight="false" outlineLevel="0" collapsed="false">
      <c r="A288" s="11" t="s">
        <v>1406</v>
      </c>
      <c r="B288" s="15" t="s">
        <v>1229</v>
      </c>
      <c r="C288" s="15" t="s">
        <v>508</v>
      </c>
      <c r="E288" s="54" t="n">
        <f aca="false">SUM(F288:ES288)</f>
        <v>0</v>
      </c>
      <c r="F288" s="48" t="n">
        <f aca="false">IF((1-N(V_L3_Mes)+1)&gt;=1,IF((1-N(V_L3_Mes)+1)=1,N(V_L3_Monto),0)*N(V_L3_Tasa)/12,0)*F$9</f>
        <v>0</v>
      </c>
      <c r="G288" s="48" t="n">
        <f aca="false">IF((2-N(V_L3_Mes)+1)&gt;=1,IF((2-N(V_L3_Mes)+1)=1,N(V_L3_Monto),F$290)*N(V_L3_Tasa)/12,0)*G$9</f>
        <v>0</v>
      </c>
      <c r="H288" s="48" t="n">
        <f aca="false">IF((3-N(V_L3_Mes)+1)&gt;=1,IF((3-N(V_L3_Mes)+1)=1,N(V_L3_Monto),G$290)*N(V_L3_Tasa)/12,0)*H$9</f>
        <v>0</v>
      </c>
      <c r="I288" s="48" t="n">
        <f aca="false">IF((4-N(V_L3_Mes)+1)&gt;=1,IF((4-N(V_L3_Mes)+1)=1,N(V_L3_Monto),H$290)*N(V_L3_Tasa)/12,0)*I$9</f>
        <v>0</v>
      </c>
      <c r="J288" s="48" t="n">
        <f aca="false">IF((5-N(V_L3_Mes)+1)&gt;=1,IF((5-N(V_L3_Mes)+1)=1,N(V_L3_Monto),I$290)*N(V_L3_Tasa)/12,0)*J$9</f>
        <v>0</v>
      </c>
      <c r="K288" s="48" t="n">
        <f aca="false">IF((6-N(V_L3_Mes)+1)&gt;=1,IF((6-N(V_L3_Mes)+1)=1,N(V_L3_Monto),J$290)*N(V_L3_Tasa)/12,0)*K$9</f>
        <v>0</v>
      </c>
      <c r="L288" s="48" t="n">
        <f aca="false">IF((7-N(V_L3_Mes)+1)&gt;=1,IF((7-N(V_L3_Mes)+1)=1,N(V_L3_Monto),K$290)*N(V_L3_Tasa)/12,0)*L$9</f>
        <v>0</v>
      </c>
      <c r="M288" s="48" t="n">
        <f aca="false">IF((8-N(V_L3_Mes)+1)&gt;=1,IF((8-N(V_L3_Mes)+1)=1,N(V_L3_Monto),L$290)*N(V_L3_Tasa)/12,0)*M$9</f>
        <v>0</v>
      </c>
      <c r="N288" s="48" t="n">
        <f aca="false">IF((9-N(V_L3_Mes)+1)&gt;=1,IF((9-N(V_L3_Mes)+1)=1,N(V_L3_Monto),M$290)*N(V_L3_Tasa)/12,0)*N$9</f>
        <v>0</v>
      </c>
      <c r="O288" s="48" t="n">
        <f aca="false">IF((10-N(V_L3_Mes)+1)&gt;=1,IF((10-N(V_L3_Mes)+1)=1,N(V_L3_Monto),N$290)*N(V_L3_Tasa)/12,0)*O$9</f>
        <v>0</v>
      </c>
      <c r="P288" s="48" t="n">
        <f aca="false">IF((11-N(V_L3_Mes)+1)&gt;=1,IF((11-N(V_L3_Mes)+1)=1,N(V_L3_Monto),O$290)*N(V_L3_Tasa)/12,0)*P$9</f>
        <v>0</v>
      </c>
      <c r="Q288" s="48" t="n">
        <f aca="false">IF((12-N(V_L3_Mes)+1)&gt;=1,IF((12-N(V_L3_Mes)+1)=1,N(V_L3_Monto),P$290)*N(V_L3_Tasa)/12,0)*Q$9</f>
        <v>0</v>
      </c>
      <c r="R288" s="48" t="n">
        <f aca="false">IF((13-N(V_L3_Mes)+1)&gt;=1,IF((13-N(V_L3_Mes)+1)=1,N(V_L3_Monto),Q$290)*N(V_L3_Tasa)/12,0)*R$9</f>
        <v>0</v>
      </c>
      <c r="S288" s="48" t="n">
        <f aca="false">IF((14-N(V_L3_Mes)+1)&gt;=1,IF((14-N(V_L3_Mes)+1)=1,N(V_L3_Monto),R$290)*N(V_L3_Tasa)/12,0)*S$9</f>
        <v>0</v>
      </c>
      <c r="T288" s="48" t="n">
        <f aca="false">IF((15-N(V_L3_Mes)+1)&gt;=1,IF((15-N(V_L3_Mes)+1)=1,N(V_L3_Monto),S$290)*N(V_L3_Tasa)/12,0)*T$9</f>
        <v>0</v>
      </c>
      <c r="U288" s="48" t="n">
        <f aca="false">IF((16-N(V_L3_Mes)+1)&gt;=1,IF((16-N(V_L3_Mes)+1)=1,N(V_L3_Monto),T$290)*N(V_L3_Tasa)/12,0)*U$9</f>
        <v>0</v>
      </c>
      <c r="V288" s="48" t="n">
        <f aca="false">IF((17-N(V_L3_Mes)+1)&gt;=1,IF((17-N(V_L3_Mes)+1)=1,N(V_L3_Monto),U$290)*N(V_L3_Tasa)/12,0)*V$9</f>
        <v>0</v>
      </c>
      <c r="W288" s="48" t="n">
        <f aca="false">IF((18-N(V_L3_Mes)+1)&gt;=1,IF((18-N(V_L3_Mes)+1)=1,N(V_L3_Monto),V$290)*N(V_L3_Tasa)/12,0)*W$9</f>
        <v>0</v>
      </c>
      <c r="X288" s="48" t="n">
        <f aca="false">IF((19-N(V_L3_Mes)+1)&gt;=1,IF((19-N(V_L3_Mes)+1)=1,N(V_L3_Monto),W$290)*N(V_L3_Tasa)/12,0)*X$9</f>
        <v>0</v>
      </c>
      <c r="Y288" s="48" t="n">
        <f aca="false">IF((20-N(V_L3_Mes)+1)&gt;=1,IF((20-N(V_L3_Mes)+1)=1,N(V_L3_Monto),X$290)*N(V_L3_Tasa)/12,0)*Y$9</f>
        <v>0</v>
      </c>
      <c r="Z288" s="48" t="n">
        <f aca="false">IF((21-N(V_L3_Mes)+1)&gt;=1,IF((21-N(V_L3_Mes)+1)=1,N(V_L3_Monto),Y$290)*N(V_L3_Tasa)/12,0)*Z$9</f>
        <v>0</v>
      </c>
      <c r="AA288" s="48" t="n">
        <f aca="false">IF((22-N(V_L3_Mes)+1)&gt;=1,IF((22-N(V_L3_Mes)+1)=1,N(V_L3_Monto),Z$290)*N(V_L3_Tasa)/12,0)*AA$9</f>
        <v>0</v>
      </c>
      <c r="AB288" s="48" t="n">
        <f aca="false">IF((23-N(V_L3_Mes)+1)&gt;=1,IF((23-N(V_L3_Mes)+1)=1,N(V_L3_Monto),AA$290)*N(V_L3_Tasa)/12,0)*AB$9</f>
        <v>0</v>
      </c>
      <c r="AC288" s="48" t="n">
        <f aca="false">IF((24-N(V_L3_Mes)+1)&gt;=1,IF((24-N(V_L3_Mes)+1)=1,N(V_L3_Monto),AB$290)*N(V_L3_Tasa)/12,0)*AC$9</f>
        <v>0</v>
      </c>
      <c r="AD288" s="48" t="n">
        <f aca="false">IF((25-N(V_L3_Mes)+1)&gt;=1,IF((25-N(V_L3_Mes)+1)=1,N(V_L3_Monto),AC$290)*N(V_L3_Tasa)/12,0)*AD$9</f>
        <v>0</v>
      </c>
      <c r="AE288" s="48" t="n">
        <f aca="false">IF((26-N(V_L3_Mes)+1)&gt;=1,IF((26-N(V_L3_Mes)+1)=1,N(V_L3_Monto),AD$290)*N(V_L3_Tasa)/12,0)*AE$9</f>
        <v>0</v>
      </c>
      <c r="AF288" s="48" t="n">
        <f aca="false">IF((27-N(V_L3_Mes)+1)&gt;=1,IF((27-N(V_L3_Mes)+1)=1,N(V_L3_Monto),AE$290)*N(V_L3_Tasa)/12,0)*AF$9</f>
        <v>0</v>
      </c>
      <c r="AG288" s="48" t="n">
        <f aca="false">IF((28-N(V_L3_Mes)+1)&gt;=1,IF((28-N(V_L3_Mes)+1)=1,N(V_L3_Monto),AF$290)*N(V_L3_Tasa)/12,0)*AG$9</f>
        <v>0</v>
      </c>
      <c r="AH288" s="48" t="n">
        <f aca="false">IF((29-N(V_L3_Mes)+1)&gt;=1,IF((29-N(V_L3_Mes)+1)=1,N(V_L3_Monto),AG$290)*N(V_L3_Tasa)/12,0)*AH$9</f>
        <v>0</v>
      </c>
      <c r="AI288" s="48" t="n">
        <f aca="false">IF((30-N(V_L3_Mes)+1)&gt;=1,IF((30-N(V_L3_Mes)+1)=1,N(V_L3_Monto),AH$290)*N(V_L3_Tasa)/12,0)*AI$9</f>
        <v>0</v>
      </c>
      <c r="AJ288" s="48" t="n">
        <f aca="false">IF((31-N(V_L3_Mes)+1)&gt;=1,IF((31-N(V_L3_Mes)+1)=1,N(V_L3_Monto),AI$290)*N(V_L3_Tasa)/12,0)*AJ$9</f>
        <v>0</v>
      </c>
      <c r="AK288" s="48" t="n">
        <f aca="false">IF((32-N(V_L3_Mes)+1)&gt;=1,IF((32-N(V_L3_Mes)+1)=1,N(V_L3_Monto),AJ$290)*N(V_L3_Tasa)/12,0)*AK$9</f>
        <v>0</v>
      </c>
      <c r="AL288" s="48" t="n">
        <f aca="false">IF((33-N(V_L3_Mes)+1)&gt;=1,IF((33-N(V_L3_Mes)+1)=1,N(V_L3_Monto),AK$290)*N(V_L3_Tasa)/12,0)*AL$9</f>
        <v>0</v>
      </c>
      <c r="AM288" s="48" t="n">
        <f aca="false">IF((34-N(V_L3_Mes)+1)&gt;=1,IF((34-N(V_L3_Mes)+1)=1,N(V_L3_Monto),AL$290)*N(V_L3_Tasa)/12,0)*AM$9</f>
        <v>0</v>
      </c>
      <c r="AN288" s="48" t="n">
        <f aca="false">IF((35-N(V_L3_Mes)+1)&gt;=1,IF((35-N(V_L3_Mes)+1)=1,N(V_L3_Monto),AM$290)*N(V_L3_Tasa)/12,0)*AN$9</f>
        <v>0</v>
      </c>
      <c r="AO288" s="48" t="n">
        <f aca="false">IF((36-N(V_L3_Mes)+1)&gt;=1,IF((36-N(V_L3_Mes)+1)=1,N(V_L3_Monto),AN$290)*N(V_L3_Tasa)/12,0)*AO$9</f>
        <v>0</v>
      </c>
      <c r="AP288" s="48" t="n">
        <f aca="false">IF((37-N(V_L3_Mes)+1)&gt;=1,IF((37-N(V_L3_Mes)+1)=1,N(V_L3_Monto),AO$290)*N(V_L3_Tasa)/12,0)*AP$9</f>
        <v>0</v>
      </c>
      <c r="AQ288" s="48" t="n">
        <f aca="false">IF((38-N(V_L3_Mes)+1)&gt;=1,IF((38-N(V_L3_Mes)+1)=1,N(V_L3_Monto),AP$290)*N(V_L3_Tasa)/12,0)*AQ$9</f>
        <v>0</v>
      </c>
      <c r="AR288" s="48" t="n">
        <f aca="false">IF((39-N(V_L3_Mes)+1)&gt;=1,IF((39-N(V_L3_Mes)+1)=1,N(V_L3_Monto),AQ$290)*N(V_L3_Tasa)/12,0)*AR$9</f>
        <v>0</v>
      </c>
      <c r="AS288" s="48" t="n">
        <f aca="false">IF((40-N(V_L3_Mes)+1)&gt;=1,IF((40-N(V_L3_Mes)+1)=1,N(V_L3_Monto),AR$290)*N(V_L3_Tasa)/12,0)*AS$9</f>
        <v>0</v>
      </c>
      <c r="AT288" s="48" t="n">
        <f aca="false">IF((41-N(V_L3_Mes)+1)&gt;=1,IF((41-N(V_L3_Mes)+1)=1,N(V_L3_Monto),AS$290)*N(V_L3_Tasa)/12,0)*AT$9</f>
        <v>0</v>
      </c>
      <c r="AU288" s="48" t="n">
        <f aca="false">IF((42-N(V_L3_Mes)+1)&gt;=1,IF((42-N(V_L3_Mes)+1)=1,N(V_L3_Monto),AT$290)*N(V_L3_Tasa)/12,0)*AU$9</f>
        <v>0</v>
      </c>
      <c r="AV288" s="48" t="n">
        <f aca="false">IF((43-N(V_L3_Mes)+1)&gt;=1,IF((43-N(V_L3_Mes)+1)=1,N(V_L3_Monto),AU$290)*N(V_L3_Tasa)/12,0)*AV$9</f>
        <v>0</v>
      </c>
      <c r="AW288" s="48" t="n">
        <f aca="false">IF((44-N(V_L3_Mes)+1)&gt;=1,IF((44-N(V_L3_Mes)+1)=1,N(V_L3_Monto),AV$290)*N(V_L3_Tasa)/12,0)*AW$9</f>
        <v>0</v>
      </c>
      <c r="AX288" s="48" t="n">
        <f aca="false">IF((45-N(V_L3_Mes)+1)&gt;=1,IF((45-N(V_L3_Mes)+1)=1,N(V_L3_Monto),AW$290)*N(V_L3_Tasa)/12,0)*AX$9</f>
        <v>0</v>
      </c>
      <c r="AY288" s="48" t="n">
        <f aca="false">IF((46-N(V_L3_Mes)+1)&gt;=1,IF((46-N(V_L3_Mes)+1)=1,N(V_L3_Monto),AX$290)*N(V_L3_Tasa)/12,0)*AY$9</f>
        <v>0</v>
      </c>
      <c r="AZ288" s="48" t="n">
        <f aca="false">IF((47-N(V_L3_Mes)+1)&gt;=1,IF((47-N(V_L3_Mes)+1)=1,N(V_L3_Monto),AY$290)*N(V_L3_Tasa)/12,0)*AZ$9</f>
        <v>0</v>
      </c>
      <c r="BA288" s="48" t="n">
        <f aca="false">IF((48-N(V_L3_Mes)+1)&gt;=1,IF((48-N(V_L3_Mes)+1)=1,N(V_L3_Monto),AZ$290)*N(V_L3_Tasa)/12,0)*BA$9</f>
        <v>0</v>
      </c>
      <c r="BB288" s="48" t="n">
        <f aca="false">IF((49-N(V_L3_Mes)+1)&gt;=1,IF((49-N(V_L3_Mes)+1)=1,N(V_L3_Monto),BA$290)*N(V_L3_Tasa)/12,0)*BB$9</f>
        <v>0</v>
      </c>
      <c r="BC288" s="48" t="n">
        <f aca="false">IF((50-N(V_L3_Mes)+1)&gt;=1,IF((50-N(V_L3_Mes)+1)=1,N(V_L3_Monto),BB$290)*N(V_L3_Tasa)/12,0)*BC$9</f>
        <v>0</v>
      </c>
      <c r="BD288" s="48" t="n">
        <f aca="false">IF((51-N(V_L3_Mes)+1)&gt;=1,IF((51-N(V_L3_Mes)+1)=1,N(V_L3_Monto),BC$290)*N(V_L3_Tasa)/12,0)*BD$9</f>
        <v>0</v>
      </c>
      <c r="BE288" s="48" t="n">
        <f aca="false">IF((52-N(V_L3_Mes)+1)&gt;=1,IF((52-N(V_L3_Mes)+1)=1,N(V_L3_Monto),BD$290)*N(V_L3_Tasa)/12,0)*BE$9</f>
        <v>0</v>
      </c>
      <c r="BF288" s="48" t="n">
        <f aca="false">IF((53-N(V_L3_Mes)+1)&gt;=1,IF((53-N(V_L3_Mes)+1)=1,N(V_L3_Monto),BE$290)*N(V_L3_Tasa)/12,0)*BF$9</f>
        <v>0</v>
      </c>
      <c r="BG288" s="48" t="n">
        <f aca="false">IF((54-N(V_L3_Mes)+1)&gt;=1,IF((54-N(V_L3_Mes)+1)=1,N(V_L3_Monto),BF$290)*N(V_L3_Tasa)/12,0)*BG$9</f>
        <v>0</v>
      </c>
      <c r="BH288" s="48" t="n">
        <f aca="false">IF((55-N(V_L3_Mes)+1)&gt;=1,IF((55-N(V_L3_Mes)+1)=1,N(V_L3_Monto),BG$290)*N(V_L3_Tasa)/12,0)*BH$9</f>
        <v>0</v>
      </c>
      <c r="BI288" s="48" t="n">
        <f aca="false">IF((56-N(V_L3_Mes)+1)&gt;=1,IF((56-N(V_L3_Mes)+1)=1,N(V_L3_Monto),BH$290)*N(V_L3_Tasa)/12,0)*BI$9</f>
        <v>0</v>
      </c>
      <c r="BJ288" s="48" t="n">
        <f aca="false">IF((57-N(V_L3_Mes)+1)&gt;=1,IF((57-N(V_L3_Mes)+1)=1,N(V_L3_Monto),BI$290)*N(V_L3_Tasa)/12,0)*BJ$9</f>
        <v>0</v>
      </c>
      <c r="BK288" s="48" t="n">
        <f aca="false">IF((58-N(V_L3_Mes)+1)&gt;=1,IF((58-N(V_L3_Mes)+1)=1,N(V_L3_Monto),BJ$290)*N(V_L3_Tasa)/12,0)*BK$9</f>
        <v>0</v>
      </c>
      <c r="BL288" s="48" t="n">
        <f aca="false">IF((59-N(V_L3_Mes)+1)&gt;=1,IF((59-N(V_L3_Mes)+1)=1,N(V_L3_Monto),BK$290)*N(V_L3_Tasa)/12,0)*BL$9</f>
        <v>0</v>
      </c>
      <c r="BM288" s="48" t="n">
        <f aca="false">IF((60-N(V_L3_Mes)+1)&gt;=1,IF((60-N(V_L3_Mes)+1)=1,N(V_L3_Monto),BL$290)*N(V_L3_Tasa)/12,0)*BM$9</f>
        <v>0</v>
      </c>
      <c r="BN288" s="48" t="n">
        <f aca="false">IF((61-N(V_L3_Mes)+1)&gt;=1,IF((61-N(V_L3_Mes)+1)=1,N(V_L3_Monto),BM$290)*N(V_L3_Tasa)/12,0)*BN$9</f>
        <v>0</v>
      </c>
      <c r="BO288" s="48" t="n">
        <f aca="false">IF((62-N(V_L3_Mes)+1)&gt;=1,IF((62-N(V_L3_Mes)+1)=1,N(V_L3_Monto),BN$290)*N(V_L3_Tasa)/12,0)*BO$9</f>
        <v>0</v>
      </c>
      <c r="BP288" s="48" t="n">
        <f aca="false">IF((63-N(V_L3_Mes)+1)&gt;=1,IF((63-N(V_L3_Mes)+1)=1,N(V_L3_Monto),BO$290)*N(V_L3_Tasa)/12,0)*BP$9</f>
        <v>0</v>
      </c>
      <c r="BQ288" s="48" t="n">
        <f aca="false">IF((64-N(V_L3_Mes)+1)&gt;=1,IF((64-N(V_L3_Mes)+1)=1,N(V_L3_Monto),BP$290)*N(V_L3_Tasa)/12,0)*BQ$9</f>
        <v>0</v>
      </c>
      <c r="BR288" s="48" t="n">
        <f aca="false">IF((65-N(V_L3_Mes)+1)&gt;=1,IF((65-N(V_L3_Mes)+1)=1,N(V_L3_Monto),BQ$290)*N(V_L3_Tasa)/12,0)*BR$9</f>
        <v>0</v>
      </c>
      <c r="BS288" s="48" t="n">
        <f aca="false">IF((66-N(V_L3_Mes)+1)&gt;=1,IF((66-N(V_L3_Mes)+1)=1,N(V_L3_Monto),BR$290)*N(V_L3_Tasa)/12,0)*BS$9</f>
        <v>0</v>
      </c>
      <c r="BT288" s="48" t="n">
        <f aca="false">IF((67-N(V_L3_Mes)+1)&gt;=1,IF((67-N(V_L3_Mes)+1)=1,N(V_L3_Monto),BS$290)*N(V_L3_Tasa)/12,0)*BT$9</f>
        <v>0</v>
      </c>
      <c r="BU288" s="48" t="n">
        <f aca="false">IF((68-N(V_L3_Mes)+1)&gt;=1,IF((68-N(V_L3_Mes)+1)=1,N(V_L3_Monto),BT$290)*N(V_L3_Tasa)/12,0)*BU$9</f>
        <v>0</v>
      </c>
      <c r="BV288" s="48" t="n">
        <f aca="false">IF((69-N(V_L3_Mes)+1)&gt;=1,IF((69-N(V_L3_Mes)+1)=1,N(V_L3_Monto),BU$290)*N(V_L3_Tasa)/12,0)*BV$9</f>
        <v>0</v>
      </c>
      <c r="BW288" s="48" t="n">
        <f aca="false">IF((70-N(V_L3_Mes)+1)&gt;=1,IF((70-N(V_L3_Mes)+1)=1,N(V_L3_Monto),BV$290)*N(V_L3_Tasa)/12,0)*BW$9</f>
        <v>0</v>
      </c>
      <c r="BX288" s="48" t="n">
        <f aca="false">IF((71-N(V_L3_Mes)+1)&gt;=1,IF((71-N(V_L3_Mes)+1)=1,N(V_L3_Monto),BW$290)*N(V_L3_Tasa)/12,0)*BX$9</f>
        <v>0</v>
      </c>
      <c r="BY288" s="48" t="n">
        <f aca="false">IF((72-N(V_L3_Mes)+1)&gt;=1,IF((72-N(V_L3_Mes)+1)=1,N(V_L3_Monto),BX$290)*N(V_L3_Tasa)/12,0)*BY$9</f>
        <v>0</v>
      </c>
      <c r="BZ288" s="48" t="n">
        <f aca="false">IF((73-N(V_L3_Mes)+1)&gt;=1,IF((73-N(V_L3_Mes)+1)=1,N(V_L3_Monto),BY$290)*N(V_L3_Tasa)/12,0)*BZ$9</f>
        <v>0</v>
      </c>
      <c r="CA288" s="48" t="n">
        <f aca="false">IF((74-N(V_L3_Mes)+1)&gt;=1,IF((74-N(V_L3_Mes)+1)=1,N(V_L3_Monto),BZ$290)*N(V_L3_Tasa)/12,0)*CA$9</f>
        <v>0</v>
      </c>
      <c r="CB288" s="48" t="n">
        <f aca="false">IF((75-N(V_L3_Mes)+1)&gt;=1,IF((75-N(V_L3_Mes)+1)=1,N(V_L3_Monto),CA$290)*N(V_L3_Tasa)/12,0)*CB$9</f>
        <v>0</v>
      </c>
      <c r="CC288" s="48" t="n">
        <f aca="false">IF((76-N(V_L3_Mes)+1)&gt;=1,IF((76-N(V_L3_Mes)+1)=1,N(V_L3_Monto),CB$290)*N(V_L3_Tasa)/12,0)*CC$9</f>
        <v>0</v>
      </c>
      <c r="CD288" s="48" t="n">
        <f aca="false">IF((77-N(V_L3_Mes)+1)&gt;=1,IF((77-N(V_L3_Mes)+1)=1,N(V_L3_Monto),CC$290)*N(V_L3_Tasa)/12,0)*CD$9</f>
        <v>0</v>
      </c>
      <c r="CE288" s="48" t="n">
        <f aca="false">IF((78-N(V_L3_Mes)+1)&gt;=1,IF((78-N(V_L3_Mes)+1)=1,N(V_L3_Monto),CD$290)*N(V_L3_Tasa)/12,0)*CE$9</f>
        <v>0</v>
      </c>
      <c r="CF288" s="48" t="n">
        <f aca="false">IF((79-N(V_L3_Mes)+1)&gt;=1,IF((79-N(V_L3_Mes)+1)=1,N(V_L3_Monto),CE$290)*N(V_L3_Tasa)/12,0)*CF$9</f>
        <v>0</v>
      </c>
      <c r="CG288" s="48" t="n">
        <f aca="false">IF((80-N(V_L3_Mes)+1)&gt;=1,IF((80-N(V_L3_Mes)+1)=1,N(V_L3_Monto),CF$290)*N(V_L3_Tasa)/12,0)*CG$9</f>
        <v>0</v>
      </c>
      <c r="CH288" s="48" t="n">
        <f aca="false">IF((81-N(V_L3_Mes)+1)&gt;=1,IF((81-N(V_L3_Mes)+1)=1,N(V_L3_Monto),CG$290)*N(V_L3_Tasa)/12,0)*CH$9</f>
        <v>0</v>
      </c>
      <c r="CI288" s="48" t="n">
        <f aca="false">IF((82-N(V_L3_Mes)+1)&gt;=1,IF((82-N(V_L3_Mes)+1)=1,N(V_L3_Monto),CH$290)*N(V_L3_Tasa)/12,0)*CI$9</f>
        <v>0</v>
      </c>
      <c r="CJ288" s="48" t="n">
        <f aca="false">IF((83-N(V_L3_Mes)+1)&gt;=1,IF((83-N(V_L3_Mes)+1)=1,N(V_L3_Monto),CI$290)*N(V_L3_Tasa)/12,0)*CJ$9</f>
        <v>0</v>
      </c>
      <c r="CK288" s="48" t="n">
        <f aca="false">IF((84-N(V_L3_Mes)+1)&gt;=1,IF((84-N(V_L3_Mes)+1)=1,N(V_L3_Monto),CJ$290)*N(V_L3_Tasa)/12,0)*CK$9</f>
        <v>0</v>
      </c>
      <c r="CL288" s="48" t="n">
        <f aca="false">IF((85-N(V_L3_Mes)+1)&gt;=1,IF((85-N(V_L3_Mes)+1)=1,N(V_L3_Monto),CK$290)*N(V_L3_Tasa)/12,0)*CL$9</f>
        <v>0</v>
      </c>
      <c r="CM288" s="48" t="n">
        <f aca="false">IF((86-N(V_L3_Mes)+1)&gt;=1,IF((86-N(V_L3_Mes)+1)=1,N(V_L3_Monto),CL$290)*N(V_L3_Tasa)/12,0)*CM$9</f>
        <v>0</v>
      </c>
      <c r="CN288" s="48" t="n">
        <f aca="false">IF((87-N(V_L3_Mes)+1)&gt;=1,IF((87-N(V_L3_Mes)+1)=1,N(V_L3_Monto),CM$290)*N(V_L3_Tasa)/12,0)*CN$9</f>
        <v>0</v>
      </c>
      <c r="CO288" s="48" t="n">
        <f aca="false">IF((88-N(V_L3_Mes)+1)&gt;=1,IF((88-N(V_L3_Mes)+1)=1,N(V_L3_Monto),CN$290)*N(V_L3_Tasa)/12,0)*CO$9</f>
        <v>0</v>
      </c>
      <c r="CP288" s="48" t="n">
        <f aca="false">IF((89-N(V_L3_Mes)+1)&gt;=1,IF((89-N(V_L3_Mes)+1)=1,N(V_L3_Monto),CO$290)*N(V_L3_Tasa)/12,0)*CP$9</f>
        <v>0</v>
      </c>
      <c r="CQ288" s="48" t="n">
        <f aca="false">IF((90-N(V_L3_Mes)+1)&gt;=1,IF((90-N(V_L3_Mes)+1)=1,N(V_L3_Monto),CP$290)*N(V_L3_Tasa)/12,0)*CQ$9</f>
        <v>0</v>
      </c>
      <c r="CR288" s="48" t="n">
        <f aca="false">IF((91-N(V_L3_Mes)+1)&gt;=1,IF((91-N(V_L3_Mes)+1)=1,N(V_L3_Monto),CQ$290)*N(V_L3_Tasa)/12,0)*CR$9</f>
        <v>0</v>
      </c>
      <c r="CS288" s="48" t="n">
        <f aca="false">IF((92-N(V_L3_Mes)+1)&gt;=1,IF((92-N(V_L3_Mes)+1)=1,N(V_L3_Monto),CR$290)*N(V_L3_Tasa)/12,0)*CS$9</f>
        <v>0</v>
      </c>
      <c r="CT288" s="48" t="n">
        <f aca="false">IF((93-N(V_L3_Mes)+1)&gt;=1,IF((93-N(V_L3_Mes)+1)=1,N(V_L3_Monto),CS$290)*N(V_L3_Tasa)/12,0)*CT$9</f>
        <v>0</v>
      </c>
      <c r="CU288" s="48" t="n">
        <f aca="false">IF((94-N(V_L3_Mes)+1)&gt;=1,IF((94-N(V_L3_Mes)+1)=1,N(V_L3_Monto),CT$290)*N(V_L3_Tasa)/12,0)*CU$9</f>
        <v>0</v>
      </c>
      <c r="CV288" s="48" t="n">
        <f aca="false">IF((95-N(V_L3_Mes)+1)&gt;=1,IF((95-N(V_L3_Mes)+1)=1,N(V_L3_Monto),CU$290)*N(V_L3_Tasa)/12,0)*CV$9</f>
        <v>0</v>
      </c>
      <c r="CW288" s="48" t="n">
        <f aca="false">IF((96-N(V_L3_Mes)+1)&gt;=1,IF((96-N(V_L3_Mes)+1)=1,N(V_L3_Monto),CV$290)*N(V_L3_Tasa)/12,0)*CW$9</f>
        <v>0</v>
      </c>
      <c r="CX288" s="48" t="n">
        <f aca="false">IF((97-N(V_L3_Mes)+1)&gt;=1,IF((97-N(V_L3_Mes)+1)=1,N(V_L3_Monto),CW$290)*N(V_L3_Tasa)/12,0)*CX$9</f>
        <v>0</v>
      </c>
      <c r="CY288" s="48" t="n">
        <f aca="false">IF((98-N(V_L3_Mes)+1)&gt;=1,IF((98-N(V_L3_Mes)+1)=1,N(V_L3_Monto),CX$290)*N(V_L3_Tasa)/12,0)*CY$9</f>
        <v>0</v>
      </c>
      <c r="CZ288" s="48" t="n">
        <f aca="false">IF((99-N(V_L3_Mes)+1)&gt;=1,IF((99-N(V_L3_Mes)+1)=1,N(V_L3_Monto),CY$290)*N(V_L3_Tasa)/12,0)*CZ$9</f>
        <v>0</v>
      </c>
      <c r="DA288" s="48" t="n">
        <f aca="false">IF((100-N(V_L3_Mes)+1)&gt;=1,IF((100-N(V_L3_Mes)+1)=1,N(V_L3_Monto),CZ$290)*N(V_L3_Tasa)/12,0)*DA$9</f>
        <v>0</v>
      </c>
      <c r="DB288" s="48" t="n">
        <f aca="false">IF((101-N(V_L3_Mes)+1)&gt;=1,IF((101-N(V_L3_Mes)+1)=1,N(V_L3_Monto),DA$290)*N(V_L3_Tasa)/12,0)*DB$9</f>
        <v>0</v>
      </c>
      <c r="DC288" s="48" t="n">
        <f aca="false">IF((102-N(V_L3_Mes)+1)&gt;=1,IF((102-N(V_L3_Mes)+1)=1,N(V_L3_Monto),DB$290)*N(V_L3_Tasa)/12,0)*DC$9</f>
        <v>0</v>
      </c>
      <c r="DD288" s="48" t="n">
        <f aca="false">IF((103-N(V_L3_Mes)+1)&gt;=1,IF((103-N(V_L3_Mes)+1)=1,N(V_L3_Monto),DC$290)*N(V_L3_Tasa)/12,0)*DD$9</f>
        <v>0</v>
      </c>
      <c r="DE288" s="48" t="n">
        <f aca="false">IF((104-N(V_L3_Mes)+1)&gt;=1,IF((104-N(V_L3_Mes)+1)=1,N(V_L3_Monto),DD$290)*N(V_L3_Tasa)/12,0)*DE$9</f>
        <v>0</v>
      </c>
      <c r="DF288" s="48" t="n">
        <f aca="false">IF((105-N(V_L3_Mes)+1)&gt;=1,IF((105-N(V_L3_Mes)+1)=1,N(V_L3_Monto),DE$290)*N(V_L3_Tasa)/12,0)*DF$9</f>
        <v>0</v>
      </c>
      <c r="DG288" s="48" t="n">
        <f aca="false">IF((106-N(V_L3_Mes)+1)&gt;=1,IF((106-N(V_L3_Mes)+1)=1,N(V_L3_Monto),DF$290)*N(V_L3_Tasa)/12,0)*DG$9</f>
        <v>0</v>
      </c>
      <c r="DH288" s="48" t="n">
        <f aca="false">IF((107-N(V_L3_Mes)+1)&gt;=1,IF((107-N(V_L3_Mes)+1)=1,N(V_L3_Monto),DG$290)*N(V_L3_Tasa)/12,0)*DH$9</f>
        <v>0</v>
      </c>
      <c r="DI288" s="48" t="n">
        <f aca="false">IF((108-N(V_L3_Mes)+1)&gt;=1,IF((108-N(V_L3_Mes)+1)=1,N(V_L3_Monto),DH$290)*N(V_L3_Tasa)/12,0)*DI$9</f>
        <v>0</v>
      </c>
      <c r="DJ288" s="48" t="n">
        <f aca="false">IF((109-N(V_L3_Mes)+1)&gt;=1,IF((109-N(V_L3_Mes)+1)=1,N(V_L3_Monto),DI$290)*N(V_L3_Tasa)/12,0)*DJ$9</f>
        <v>0</v>
      </c>
      <c r="DK288" s="48" t="n">
        <f aca="false">IF((110-N(V_L3_Mes)+1)&gt;=1,IF((110-N(V_L3_Mes)+1)=1,N(V_L3_Monto),DJ$290)*N(V_L3_Tasa)/12,0)*DK$9</f>
        <v>0</v>
      </c>
      <c r="DL288" s="48" t="n">
        <f aca="false">IF((111-N(V_L3_Mes)+1)&gt;=1,IF((111-N(V_L3_Mes)+1)=1,N(V_L3_Monto),DK$290)*N(V_L3_Tasa)/12,0)*DL$9</f>
        <v>0</v>
      </c>
      <c r="DM288" s="48" t="n">
        <f aca="false">IF((112-N(V_L3_Mes)+1)&gt;=1,IF((112-N(V_L3_Mes)+1)=1,N(V_L3_Monto),DL$290)*N(V_L3_Tasa)/12,0)*DM$9</f>
        <v>0</v>
      </c>
      <c r="DN288" s="48" t="n">
        <f aca="false">IF((113-N(V_L3_Mes)+1)&gt;=1,IF((113-N(V_L3_Mes)+1)=1,N(V_L3_Monto),DM$290)*N(V_L3_Tasa)/12,0)*DN$9</f>
        <v>0</v>
      </c>
      <c r="DO288" s="48" t="n">
        <f aca="false">IF((114-N(V_L3_Mes)+1)&gt;=1,IF((114-N(V_L3_Mes)+1)=1,N(V_L3_Monto),DN$290)*N(V_L3_Tasa)/12,0)*DO$9</f>
        <v>0</v>
      </c>
      <c r="DP288" s="48" t="n">
        <f aca="false">IF((115-N(V_L3_Mes)+1)&gt;=1,IF((115-N(V_L3_Mes)+1)=1,N(V_L3_Monto),DO$290)*N(V_L3_Tasa)/12,0)*DP$9</f>
        <v>0</v>
      </c>
      <c r="DQ288" s="48" t="n">
        <f aca="false">IF((116-N(V_L3_Mes)+1)&gt;=1,IF((116-N(V_L3_Mes)+1)=1,N(V_L3_Monto),DP$290)*N(V_L3_Tasa)/12,0)*DQ$9</f>
        <v>0</v>
      </c>
      <c r="DR288" s="48" t="n">
        <f aca="false">IF((117-N(V_L3_Mes)+1)&gt;=1,IF((117-N(V_L3_Mes)+1)=1,N(V_L3_Monto),DQ$290)*N(V_L3_Tasa)/12,0)*DR$9</f>
        <v>0</v>
      </c>
      <c r="DS288" s="48" t="n">
        <f aca="false">IF((118-N(V_L3_Mes)+1)&gt;=1,IF((118-N(V_L3_Mes)+1)=1,N(V_L3_Monto),DR$290)*N(V_L3_Tasa)/12,0)*DS$9</f>
        <v>0</v>
      </c>
      <c r="DT288" s="48" t="n">
        <f aca="false">IF((119-N(V_L3_Mes)+1)&gt;=1,IF((119-N(V_L3_Mes)+1)=1,N(V_L3_Monto),DS$290)*N(V_L3_Tasa)/12,0)*DT$9</f>
        <v>0</v>
      </c>
      <c r="DU288" s="48" t="n">
        <f aca="false">IF((120-N(V_L3_Mes)+1)&gt;=1,IF((120-N(V_L3_Mes)+1)=1,N(V_L3_Monto),DT$290)*N(V_L3_Tasa)/12,0)*DU$9</f>
        <v>0</v>
      </c>
      <c r="DV288" s="48" t="n">
        <f aca="false">IF((121-N(V_L3_Mes)+1)&gt;=1,IF((121-N(V_L3_Mes)+1)=1,N(V_L3_Monto),DU$290)*N(V_L3_Tasa)/12,0)*DV$9</f>
        <v>0</v>
      </c>
      <c r="DW288" s="48" t="n">
        <f aca="false">IF((122-N(V_L3_Mes)+1)&gt;=1,IF((122-N(V_L3_Mes)+1)=1,N(V_L3_Monto),DV$290)*N(V_L3_Tasa)/12,0)*DW$9</f>
        <v>0</v>
      </c>
      <c r="DX288" s="48" t="n">
        <f aca="false">IF((123-N(V_L3_Mes)+1)&gt;=1,IF((123-N(V_L3_Mes)+1)=1,N(V_L3_Monto),DW$290)*N(V_L3_Tasa)/12,0)*DX$9</f>
        <v>0</v>
      </c>
      <c r="DY288" s="48" t="n">
        <f aca="false">IF((124-N(V_L3_Mes)+1)&gt;=1,IF((124-N(V_L3_Mes)+1)=1,N(V_L3_Monto),DX$290)*N(V_L3_Tasa)/12,0)*DY$9</f>
        <v>0</v>
      </c>
      <c r="DZ288" s="48" t="n">
        <f aca="false">IF((125-N(V_L3_Mes)+1)&gt;=1,IF((125-N(V_L3_Mes)+1)=1,N(V_L3_Monto),DY$290)*N(V_L3_Tasa)/12,0)*DZ$9</f>
        <v>0</v>
      </c>
      <c r="EA288" s="48" t="n">
        <f aca="false">IF((126-N(V_L3_Mes)+1)&gt;=1,IF((126-N(V_L3_Mes)+1)=1,N(V_L3_Monto),DZ$290)*N(V_L3_Tasa)/12,0)*EA$9</f>
        <v>0</v>
      </c>
      <c r="EB288" s="48" t="n">
        <f aca="false">IF((127-N(V_L3_Mes)+1)&gt;=1,IF((127-N(V_L3_Mes)+1)=1,N(V_L3_Monto),EA$290)*N(V_L3_Tasa)/12,0)*EB$9</f>
        <v>0</v>
      </c>
      <c r="EC288" s="48" t="n">
        <f aca="false">IF((128-N(V_L3_Mes)+1)&gt;=1,IF((128-N(V_L3_Mes)+1)=1,N(V_L3_Monto),EB$290)*N(V_L3_Tasa)/12,0)*EC$9</f>
        <v>0</v>
      </c>
      <c r="ED288" s="48" t="n">
        <f aca="false">IF((129-N(V_L3_Mes)+1)&gt;=1,IF((129-N(V_L3_Mes)+1)=1,N(V_L3_Monto),EC$290)*N(V_L3_Tasa)/12,0)*ED$9</f>
        <v>0</v>
      </c>
      <c r="EE288" s="48" t="n">
        <f aca="false">IF((130-N(V_L3_Mes)+1)&gt;=1,IF((130-N(V_L3_Mes)+1)=1,N(V_L3_Monto),ED$290)*N(V_L3_Tasa)/12,0)*EE$9</f>
        <v>0</v>
      </c>
      <c r="EF288" s="48" t="n">
        <f aca="false">IF((131-N(V_L3_Mes)+1)&gt;=1,IF((131-N(V_L3_Mes)+1)=1,N(V_L3_Monto),EE$290)*N(V_L3_Tasa)/12,0)*EF$9</f>
        <v>0</v>
      </c>
      <c r="EG288" s="48" t="n">
        <f aca="false">IF((132-N(V_L3_Mes)+1)&gt;=1,IF((132-N(V_L3_Mes)+1)=1,N(V_L3_Monto),EF$290)*N(V_L3_Tasa)/12,0)*EG$9</f>
        <v>0</v>
      </c>
      <c r="EH288" s="48" t="n">
        <f aca="false">IF((133-N(V_L3_Mes)+1)&gt;=1,IF((133-N(V_L3_Mes)+1)=1,N(V_L3_Monto),EG$290)*N(V_L3_Tasa)/12,0)*EH$9</f>
        <v>0</v>
      </c>
      <c r="EI288" s="48" t="n">
        <f aca="false">IF((134-N(V_L3_Mes)+1)&gt;=1,IF((134-N(V_L3_Mes)+1)=1,N(V_L3_Monto),EH$290)*N(V_L3_Tasa)/12,0)*EI$9</f>
        <v>0</v>
      </c>
      <c r="EJ288" s="48" t="n">
        <f aca="false">IF((135-N(V_L3_Mes)+1)&gt;=1,IF((135-N(V_L3_Mes)+1)=1,N(V_L3_Monto),EI$290)*N(V_L3_Tasa)/12,0)*EJ$9</f>
        <v>0</v>
      </c>
      <c r="EK288" s="48" t="n">
        <f aca="false">IF((136-N(V_L3_Mes)+1)&gt;=1,IF((136-N(V_L3_Mes)+1)=1,N(V_L3_Monto),EJ$290)*N(V_L3_Tasa)/12,0)*EK$9</f>
        <v>0</v>
      </c>
      <c r="EL288" s="48" t="n">
        <f aca="false">IF((137-N(V_L3_Mes)+1)&gt;=1,IF((137-N(V_L3_Mes)+1)=1,N(V_L3_Monto),EK$290)*N(V_L3_Tasa)/12,0)*EL$9</f>
        <v>0</v>
      </c>
      <c r="EM288" s="48" t="n">
        <f aca="false">IF((138-N(V_L3_Mes)+1)&gt;=1,IF((138-N(V_L3_Mes)+1)=1,N(V_L3_Monto),EL$290)*N(V_L3_Tasa)/12,0)*EM$9</f>
        <v>0</v>
      </c>
      <c r="EN288" s="48" t="n">
        <f aca="false">IF((139-N(V_L3_Mes)+1)&gt;=1,IF((139-N(V_L3_Mes)+1)=1,N(V_L3_Monto),EM$290)*N(V_L3_Tasa)/12,0)*EN$9</f>
        <v>0</v>
      </c>
      <c r="EO288" s="48" t="n">
        <f aca="false">IF((140-N(V_L3_Mes)+1)&gt;=1,IF((140-N(V_L3_Mes)+1)=1,N(V_L3_Monto),EN$290)*N(V_L3_Tasa)/12,0)*EO$9</f>
        <v>0</v>
      </c>
      <c r="EP288" s="48" t="n">
        <f aca="false">IF((141-N(V_L3_Mes)+1)&gt;=1,IF((141-N(V_L3_Mes)+1)=1,N(V_L3_Monto),EO$290)*N(V_L3_Tasa)/12,0)*EP$9</f>
        <v>0</v>
      </c>
      <c r="EQ288" s="48" t="n">
        <f aca="false">IF((142-N(V_L3_Mes)+1)&gt;=1,IF((142-N(V_L3_Mes)+1)=1,N(V_L3_Monto),EP$290)*N(V_L3_Tasa)/12,0)*EQ$9</f>
        <v>0</v>
      </c>
      <c r="ER288" s="48" t="n">
        <f aca="false">IF((143-N(V_L3_Mes)+1)&gt;=1,IF((143-N(V_L3_Mes)+1)=1,N(V_L3_Monto),EQ$290)*N(V_L3_Tasa)/12,0)*ER$9</f>
        <v>0</v>
      </c>
      <c r="ES288" s="48" t="n">
        <f aca="false">IF((144-N(V_L3_Mes)+1)&gt;=1,IF((144-N(V_L3_Mes)+1)=1,N(V_L3_Monto),ER$290)*N(V_L3_Tasa)/12,0)*ES$9</f>
        <v>0</v>
      </c>
    </row>
    <row r="289" customFormat="false" ht="15" hidden="false" customHeight="false" outlineLevel="0" collapsed="false">
      <c r="A289" s="11" t="s">
        <v>1407</v>
      </c>
      <c r="B289" s="15" t="s">
        <v>1231</v>
      </c>
      <c r="C289" s="15" t="s">
        <v>508</v>
      </c>
      <c r="E289" s="54" t="n">
        <f aca="false">SUM(F289:ES289)</f>
        <v>0</v>
      </c>
      <c r="F289" s="48" t="n">
        <f aca="false">IF(AND((1-N(V_L3_Mes)+1)&gt;N(V_L3_Gracia),(1-N(V_L3_Mes)+1)&lt;=N(V_L3_Gracia)+N(V_L3_Cuotas),N(V_L3_Cuotas)&gt;0),IF((1-N(V_L3_Mes)+1)=N(V_L3_Gracia)+N(V_L3_Cuotas),IF((1-N(V_L3_Mes)+1)=1,N(V_L3_Monto),0),PMT(N(V_L3_Tasa)/12,N(V_L3_Cuotas),-N(V_L3_Monto))-F$288),0)*F$9</f>
        <v>0</v>
      </c>
      <c r="G289" s="48" t="n">
        <f aca="false">IF(AND((2-N(V_L3_Mes)+1)&gt;N(V_L3_Gracia),(2-N(V_L3_Mes)+1)&lt;=N(V_L3_Gracia)+N(V_L3_Cuotas),N(V_L3_Cuotas)&gt;0),IF((2-N(V_L3_Mes)+1)=N(V_L3_Gracia)+N(V_L3_Cuotas),IF((2-N(V_L3_Mes)+1)=1,N(V_L3_Monto),F$290),PMT(N(V_L3_Tasa)/12,N(V_L3_Cuotas),-N(V_L3_Monto))-G$288),0)*G$9</f>
        <v>0</v>
      </c>
      <c r="H289" s="48" t="n">
        <f aca="false">IF(AND((3-N(V_L3_Mes)+1)&gt;N(V_L3_Gracia),(3-N(V_L3_Mes)+1)&lt;=N(V_L3_Gracia)+N(V_L3_Cuotas),N(V_L3_Cuotas)&gt;0),IF((3-N(V_L3_Mes)+1)=N(V_L3_Gracia)+N(V_L3_Cuotas),IF((3-N(V_L3_Mes)+1)=1,N(V_L3_Monto),G$290),PMT(N(V_L3_Tasa)/12,N(V_L3_Cuotas),-N(V_L3_Monto))-H$288),0)*H$9</f>
        <v>0</v>
      </c>
      <c r="I289" s="48" t="n">
        <f aca="false">IF(AND((4-N(V_L3_Mes)+1)&gt;N(V_L3_Gracia),(4-N(V_L3_Mes)+1)&lt;=N(V_L3_Gracia)+N(V_L3_Cuotas),N(V_L3_Cuotas)&gt;0),IF((4-N(V_L3_Mes)+1)=N(V_L3_Gracia)+N(V_L3_Cuotas),IF((4-N(V_L3_Mes)+1)=1,N(V_L3_Monto),H$290),PMT(N(V_L3_Tasa)/12,N(V_L3_Cuotas),-N(V_L3_Monto))-I$288),0)*I$9</f>
        <v>0</v>
      </c>
      <c r="J289" s="48" t="n">
        <f aca="false">IF(AND((5-N(V_L3_Mes)+1)&gt;N(V_L3_Gracia),(5-N(V_L3_Mes)+1)&lt;=N(V_L3_Gracia)+N(V_L3_Cuotas),N(V_L3_Cuotas)&gt;0),IF((5-N(V_L3_Mes)+1)=N(V_L3_Gracia)+N(V_L3_Cuotas),IF((5-N(V_L3_Mes)+1)=1,N(V_L3_Monto),I$290),PMT(N(V_L3_Tasa)/12,N(V_L3_Cuotas),-N(V_L3_Monto))-J$288),0)*J$9</f>
        <v>0</v>
      </c>
      <c r="K289" s="48" t="n">
        <f aca="false">IF(AND((6-N(V_L3_Mes)+1)&gt;N(V_L3_Gracia),(6-N(V_L3_Mes)+1)&lt;=N(V_L3_Gracia)+N(V_L3_Cuotas),N(V_L3_Cuotas)&gt;0),IF((6-N(V_L3_Mes)+1)=N(V_L3_Gracia)+N(V_L3_Cuotas),IF((6-N(V_L3_Mes)+1)=1,N(V_L3_Monto),J$290),PMT(N(V_L3_Tasa)/12,N(V_L3_Cuotas),-N(V_L3_Monto))-K$288),0)*K$9</f>
        <v>0</v>
      </c>
      <c r="L289" s="48" t="n">
        <f aca="false">IF(AND((7-N(V_L3_Mes)+1)&gt;N(V_L3_Gracia),(7-N(V_L3_Mes)+1)&lt;=N(V_L3_Gracia)+N(V_L3_Cuotas),N(V_L3_Cuotas)&gt;0),IF((7-N(V_L3_Mes)+1)=N(V_L3_Gracia)+N(V_L3_Cuotas),IF((7-N(V_L3_Mes)+1)=1,N(V_L3_Monto),K$290),PMT(N(V_L3_Tasa)/12,N(V_L3_Cuotas),-N(V_L3_Monto))-L$288),0)*L$9</f>
        <v>0</v>
      </c>
      <c r="M289" s="48" t="n">
        <f aca="false">IF(AND((8-N(V_L3_Mes)+1)&gt;N(V_L3_Gracia),(8-N(V_L3_Mes)+1)&lt;=N(V_L3_Gracia)+N(V_L3_Cuotas),N(V_L3_Cuotas)&gt;0),IF((8-N(V_L3_Mes)+1)=N(V_L3_Gracia)+N(V_L3_Cuotas),IF((8-N(V_L3_Mes)+1)=1,N(V_L3_Monto),L$290),PMT(N(V_L3_Tasa)/12,N(V_L3_Cuotas),-N(V_L3_Monto))-M$288),0)*M$9</f>
        <v>0</v>
      </c>
      <c r="N289" s="48" t="n">
        <f aca="false">IF(AND((9-N(V_L3_Mes)+1)&gt;N(V_L3_Gracia),(9-N(V_L3_Mes)+1)&lt;=N(V_L3_Gracia)+N(V_L3_Cuotas),N(V_L3_Cuotas)&gt;0),IF((9-N(V_L3_Mes)+1)=N(V_L3_Gracia)+N(V_L3_Cuotas),IF((9-N(V_L3_Mes)+1)=1,N(V_L3_Monto),M$290),PMT(N(V_L3_Tasa)/12,N(V_L3_Cuotas),-N(V_L3_Monto))-N$288),0)*N$9</f>
        <v>0</v>
      </c>
      <c r="O289" s="48" t="n">
        <f aca="false">IF(AND((10-N(V_L3_Mes)+1)&gt;N(V_L3_Gracia),(10-N(V_L3_Mes)+1)&lt;=N(V_L3_Gracia)+N(V_L3_Cuotas),N(V_L3_Cuotas)&gt;0),IF((10-N(V_L3_Mes)+1)=N(V_L3_Gracia)+N(V_L3_Cuotas),IF((10-N(V_L3_Mes)+1)=1,N(V_L3_Monto),N$290),PMT(N(V_L3_Tasa)/12,N(V_L3_Cuotas),-N(V_L3_Monto))-O$288),0)*O$9</f>
        <v>0</v>
      </c>
      <c r="P289" s="48" t="n">
        <f aca="false">IF(AND((11-N(V_L3_Mes)+1)&gt;N(V_L3_Gracia),(11-N(V_L3_Mes)+1)&lt;=N(V_L3_Gracia)+N(V_L3_Cuotas),N(V_L3_Cuotas)&gt;0),IF((11-N(V_L3_Mes)+1)=N(V_L3_Gracia)+N(V_L3_Cuotas),IF((11-N(V_L3_Mes)+1)=1,N(V_L3_Monto),O$290),PMT(N(V_L3_Tasa)/12,N(V_L3_Cuotas),-N(V_L3_Monto))-P$288),0)*P$9</f>
        <v>0</v>
      </c>
      <c r="Q289" s="48" t="n">
        <f aca="false">IF(AND((12-N(V_L3_Mes)+1)&gt;N(V_L3_Gracia),(12-N(V_L3_Mes)+1)&lt;=N(V_L3_Gracia)+N(V_L3_Cuotas),N(V_L3_Cuotas)&gt;0),IF((12-N(V_L3_Mes)+1)=N(V_L3_Gracia)+N(V_L3_Cuotas),IF((12-N(V_L3_Mes)+1)=1,N(V_L3_Monto),P$290),PMT(N(V_L3_Tasa)/12,N(V_L3_Cuotas),-N(V_L3_Monto))-Q$288),0)*Q$9</f>
        <v>0</v>
      </c>
      <c r="R289" s="48" t="n">
        <f aca="false">IF(AND((13-N(V_L3_Mes)+1)&gt;N(V_L3_Gracia),(13-N(V_L3_Mes)+1)&lt;=N(V_L3_Gracia)+N(V_L3_Cuotas),N(V_L3_Cuotas)&gt;0),IF((13-N(V_L3_Mes)+1)=N(V_L3_Gracia)+N(V_L3_Cuotas),IF((13-N(V_L3_Mes)+1)=1,N(V_L3_Monto),Q$290),PMT(N(V_L3_Tasa)/12,N(V_L3_Cuotas),-N(V_L3_Monto))-R$288),0)*R$9</f>
        <v>0</v>
      </c>
      <c r="S289" s="48" t="n">
        <f aca="false">IF(AND((14-N(V_L3_Mes)+1)&gt;N(V_L3_Gracia),(14-N(V_L3_Mes)+1)&lt;=N(V_L3_Gracia)+N(V_L3_Cuotas),N(V_L3_Cuotas)&gt;0),IF((14-N(V_L3_Mes)+1)=N(V_L3_Gracia)+N(V_L3_Cuotas),IF((14-N(V_L3_Mes)+1)=1,N(V_L3_Monto),R$290),PMT(N(V_L3_Tasa)/12,N(V_L3_Cuotas),-N(V_L3_Monto))-S$288),0)*S$9</f>
        <v>0</v>
      </c>
      <c r="T289" s="48" t="n">
        <f aca="false">IF(AND((15-N(V_L3_Mes)+1)&gt;N(V_L3_Gracia),(15-N(V_L3_Mes)+1)&lt;=N(V_L3_Gracia)+N(V_L3_Cuotas),N(V_L3_Cuotas)&gt;0),IF((15-N(V_L3_Mes)+1)=N(V_L3_Gracia)+N(V_L3_Cuotas),IF((15-N(V_L3_Mes)+1)=1,N(V_L3_Monto),S$290),PMT(N(V_L3_Tasa)/12,N(V_L3_Cuotas),-N(V_L3_Monto))-T$288),0)*T$9</f>
        <v>0</v>
      </c>
      <c r="U289" s="48" t="n">
        <f aca="false">IF(AND((16-N(V_L3_Mes)+1)&gt;N(V_L3_Gracia),(16-N(V_L3_Mes)+1)&lt;=N(V_L3_Gracia)+N(V_L3_Cuotas),N(V_L3_Cuotas)&gt;0),IF((16-N(V_L3_Mes)+1)=N(V_L3_Gracia)+N(V_L3_Cuotas),IF((16-N(V_L3_Mes)+1)=1,N(V_L3_Monto),T$290),PMT(N(V_L3_Tasa)/12,N(V_L3_Cuotas),-N(V_L3_Monto))-U$288),0)*U$9</f>
        <v>0</v>
      </c>
      <c r="V289" s="48" t="n">
        <f aca="false">IF(AND((17-N(V_L3_Mes)+1)&gt;N(V_L3_Gracia),(17-N(V_L3_Mes)+1)&lt;=N(V_L3_Gracia)+N(V_L3_Cuotas),N(V_L3_Cuotas)&gt;0),IF((17-N(V_L3_Mes)+1)=N(V_L3_Gracia)+N(V_L3_Cuotas),IF((17-N(V_L3_Mes)+1)=1,N(V_L3_Monto),U$290),PMT(N(V_L3_Tasa)/12,N(V_L3_Cuotas),-N(V_L3_Monto))-V$288),0)*V$9</f>
        <v>0</v>
      </c>
      <c r="W289" s="48" t="n">
        <f aca="false">IF(AND((18-N(V_L3_Mes)+1)&gt;N(V_L3_Gracia),(18-N(V_L3_Mes)+1)&lt;=N(V_L3_Gracia)+N(V_L3_Cuotas),N(V_L3_Cuotas)&gt;0),IF((18-N(V_L3_Mes)+1)=N(V_L3_Gracia)+N(V_L3_Cuotas),IF((18-N(V_L3_Mes)+1)=1,N(V_L3_Monto),V$290),PMT(N(V_L3_Tasa)/12,N(V_L3_Cuotas),-N(V_L3_Monto))-W$288),0)*W$9</f>
        <v>0</v>
      </c>
      <c r="X289" s="48" t="n">
        <f aca="false">IF(AND((19-N(V_L3_Mes)+1)&gt;N(V_L3_Gracia),(19-N(V_L3_Mes)+1)&lt;=N(V_L3_Gracia)+N(V_L3_Cuotas),N(V_L3_Cuotas)&gt;0),IF((19-N(V_L3_Mes)+1)=N(V_L3_Gracia)+N(V_L3_Cuotas),IF((19-N(V_L3_Mes)+1)=1,N(V_L3_Monto),W$290),PMT(N(V_L3_Tasa)/12,N(V_L3_Cuotas),-N(V_L3_Monto))-X$288),0)*X$9</f>
        <v>0</v>
      </c>
      <c r="Y289" s="48" t="n">
        <f aca="false">IF(AND((20-N(V_L3_Mes)+1)&gt;N(V_L3_Gracia),(20-N(V_L3_Mes)+1)&lt;=N(V_L3_Gracia)+N(V_L3_Cuotas),N(V_L3_Cuotas)&gt;0),IF((20-N(V_L3_Mes)+1)=N(V_L3_Gracia)+N(V_L3_Cuotas),IF((20-N(V_L3_Mes)+1)=1,N(V_L3_Monto),X$290),PMT(N(V_L3_Tasa)/12,N(V_L3_Cuotas),-N(V_L3_Monto))-Y$288),0)*Y$9</f>
        <v>0</v>
      </c>
      <c r="Z289" s="48" t="n">
        <f aca="false">IF(AND((21-N(V_L3_Mes)+1)&gt;N(V_L3_Gracia),(21-N(V_L3_Mes)+1)&lt;=N(V_L3_Gracia)+N(V_L3_Cuotas),N(V_L3_Cuotas)&gt;0),IF((21-N(V_L3_Mes)+1)=N(V_L3_Gracia)+N(V_L3_Cuotas),IF((21-N(V_L3_Mes)+1)=1,N(V_L3_Monto),Y$290),PMT(N(V_L3_Tasa)/12,N(V_L3_Cuotas),-N(V_L3_Monto))-Z$288),0)*Z$9</f>
        <v>0</v>
      </c>
      <c r="AA289" s="48" t="n">
        <f aca="false">IF(AND((22-N(V_L3_Mes)+1)&gt;N(V_L3_Gracia),(22-N(V_L3_Mes)+1)&lt;=N(V_L3_Gracia)+N(V_L3_Cuotas),N(V_L3_Cuotas)&gt;0),IF((22-N(V_L3_Mes)+1)=N(V_L3_Gracia)+N(V_L3_Cuotas),IF((22-N(V_L3_Mes)+1)=1,N(V_L3_Monto),Z$290),PMT(N(V_L3_Tasa)/12,N(V_L3_Cuotas),-N(V_L3_Monto))-AA$288),0)*AA$9</f>
        <v>0</v>
      </c>
      <c r="AB289" s="48" t="n">
        <f aca="false">IF(AND((23-N(V_L3_Mes)+1)&gt;N(V_L3_Gracia),(23-N(V_L3_Mes)+1)&lt;=N(V_L3_Gracia)+N(V_L3_Cuotas),N(V_L3_Cuotas)&gt;0),IF((23-N(V_L3_Mes)+1)=N(V_L3_Gracia)+N(V_L3_Cuotas),IF((23-N(V_L3_Mes)+1)=1,N(V_L3_Monto),AA$290),PMT(N(V_L3_Tasa)/12,N(V_L3_Cuotas),-N(V_L3_Monto))-AB$288),0)*AB$9</f>
        <v>0</v>
      </c>
      <c r="AC289" s="48" t="n">
        <f aca="false">IF(AND((24-N(V_L3_Mes)+1)&gt;N(V_L3_Gracia),(24-N(V_L3_Mes)+1)&lt;=N(V_L3_Gracia)+N(V_L3_Cuotas),N(V_L3_Cuotas)&gt;0),IF((24-N(V_L3_Mes)+1)=N(V_L3_Gracia)+N(V_L3_Cuotas),IF((24-N(V_L3_Mes)+1)=1,N(V_L3_Monto),AB$290),PMT(N(V_L3_Tasa)/12,N(V_L3_Cuotas),-N(V_L3_Monto))-AC$288),0)*AC$9</f>
        <v>0</v>
      </c>
      <c r="AD289" s="48" t="n">
        <f aca="false">IF(AND((25-N(V_L3_Mes)+1)&gt;N(V_L3_Gracia),(25-N(V_L3_Mes)+1)&lt;=N(V_L3_Gracia)+N(V_L3_Cuotas),N(V_L3_Cuotas)&gt;0),IF((25-N(V_L3_Mes)+1)=N(V_L3_Gracia)+N(V_L3_Cuotas),IF((25-N(V_L3_Mes)+1)=1,N(V_L3_Monto),AC$290),PMT(N(V_L3_Tasa)/12,N(V_L3_Cuotas),-N(V_L3_Monto))-AD$288),0)*AD$9</f>
        <v>0</v>
      </c>
      <c r="AE289" s="48" t="n">
        <f aca="false">IF(AND((26-N(V_L3_Mes)+1)&gt;N(V_L3_Gracia),(26-N(V_L3_Mes)+1)&lt;=N(V_L3_Gracia)+N(V_L3_Cuotas),N(V_L3_Cuotas)&gt;0),IF((26-N(V_L3_Mes)+1)=N(V_L3_Gracia)+N(V_L3_Cuotas),IF((26-N(V_L3_Mes)+1)=1,N(V_L3_Monto),AD$290),PMT(N(V_L3_Tasa)/12,N(V_L3_Cuotas),-N(V_L3_Monto))-AE$288),0)*AE$9</f>
        <v>0</v>
      </c>
      <c r="AF289" s="48" t="n">
        <f aca="false">IF(AND((27-N(V_L3_Mes)+1)&gt;N(V_L3_Gracia),(27-N(V_L3_Mes)+1)&lt;=N(V_L3_Gracia)+N(V_L3_Cuotas),N(V_L3_Cuotas)&gt;0),IF((27-N(V_L3_Mes)+1)=N(V_L3_Gracia)+N(V_L3_Cuotas),IF((27-N(V_L3_Mes)+1)=1,N(V_L3_Monto),AE$290),PMT(N(V_L3_Tasa)/12,N(V_L3_Cuotas),-N(V_L3_Monto))-AF$288),0)*AF$9</f>
        <v>0</v>
      </c>
      <c r="AG289" s="48" t="n">
        <f aca="false">IF(AND((28-N(V_L3_Mes)+1)&gt;N(V_L3_Gracia),(28-N(V_L3_Mes)+1)&lt;=N(V_L3_Gracia)+N(V_L3_Cuotas),N(V_L3_Cuotas)&gt;0),IF((28-N(V_L3_Mes)+1)=N(V_L3_Gracia)+N(V_L3_Cuotas),IF((28-N(V_L3_Mes)+1)=1,N(V_L3_Monto),AF$290),PMT(N(V_L3_Tasa)/12,N(V_L3_Cuotas),-N(V_L3_Monto))-AG$288),0)*AG$9</f>
        <v>0</v>
      </c>
      <c r="AH289" s="48" t="n">
        <f aca="false">IF(AND((29-N(V_L3_Mes)+1)&gt;N(V_L3_Gracia),(29-N(V_L3_Mes)+1)&lt;=N(V_L3_Gracia)+N(V_L3_Cuotas),N(V_L3_Cuotas)&gt;0),IF((29-N(V_L3_Mes)+1)=N(V_L3_Gracia)+N(V_L3_Cuotas),IF((29-N(V_L3_Mes)+1)=1,N(V_L3_Monto),AG$290),PMT(N(V_L3_Tasa)/12,N(V_L3_Cuotas),-N(V_L3_Monto))-AH$288),0)*AH$9</f>
        <v>0</v>
      </c>
      <c r="AI289" s="48" t="n">
        <f aca="false">IF(AND((30-N(V_L3_Mes)+1)&gt;N(V_L3_Gracia),(30-N(V_L3_Mes)+1)&lt;=N(V_L3_Gracia)+N(V_L3_Cuotas),N(V_L3_Cuotas)&gt;0),IF((30-N(V_L3_Mes)+1)=N(V_L3_Gracia)+N(V_L3_Cuotas),IF((30-N(V_L3_Mes)+1)=1,N(V_L3_Monto),AH$290),PMT(N(V_L3_Tasa)/12,N(V_L3_Cuotas),-N(V_L3_Monto))-AI$288),0)*AI$9</f>
        <v>0</v>
      </c>
      <c r="AJ289" s="48" t="n">
        <f aca="false">IF(AND((31-N(V_L3_Mes)+1)&gt;N(V_L3_Gracia),(31-N(V_L3_Mes)+1)&lt;=N(V_L3_Gracia)+N(V_L3_Cuotas),N(V_L3_Cuotas)&gt;0),IF((31-N(V_L3_Mes)+1)=N(V_L3_Gracia)+N(V_L3_Cuotas),IF((31-N(V_L3_Mes)+1)=1,N(V_L3_Monto),AI$290),PMT(N(V_L3_Tasa)/12,N(V_L3_Cuotas),-N(V_L3_Monto))-AJ$288),0)*AJ$9</f>
        <v>0</v>
      </c>
      <c r="AK289" s="48" t="n">
        <f aca="false">IF(AND((32-N(V_L3_Mes)+1)&gt;N(V_L3_Gracia),(32-N(V_L3_Mes)+1)&lt;=N(V_L3_Gracia)+N(V_L3_Cuotas),N(V_L3_Cuotas)&gt;0),IF((32-N(V_L3_Mes)+1)=N(V_L3_Gracia)+N(V_L3_Cuotas),IF((32-N(V_L3_Mes)+1)=1,N(V_L3_Monto),AJ$290),PMT(N(V_L3_Tasa)/12,N(V_L3_Cuotas),-N(V_L3_Monto))-AK$288),0)*AK$9</f>
        <v>0</v>
      </c>
      <c r="AL289" s="48" t="n">
        <f aca="false">IF(AND((33-N(V_L3_Mes)+1)&gt;N(V_L3_Gracia),(33-N(V_L3_Mes)+1)&lt;=N(V_L3_Gracia)+N(V_L3_Cuotas),N(V_L3_Cuotas)&gt;0),IF((33-N(V_L3_Mes)+1)=N(V_L3_Gracia)+N(V_L3_Cuotas),IF((33-N(V_L3_Mes)+1)=1,N(V_L3_Monto),AK$290),PMT(N(V_L3_Tasa)/12,N(V_L3_Cuotas),-N(V_L3_Monto))-AL$288),0)*AL$9</f>
        <v>0</v>
      </c>
      <c r="AM289" s="48" t="n">
        <f aca="false">IF(AND((34-N(V_L3_Mes)+1)&gt;N(V_L3_Gracia),(34-N(V_L3_Mes)+1)&lt;=N(V_L3_Gracia)+N(V_L3_Cuotas),N(V_L3_Cuotas)&gt;0),IF((34-N(V_L3_Mes)+1)=N(V_L3_Gracia)+N(V_L3_Cuotas),IF((34-N(V_L3_Mes)+1)=1,N(V_L3_Monto),AL$290),PMT(N(V_L3_Tasa)/12,N(V_L3_Cuotas),-N(V_L3_Monto))-AM$288),0)*AM$9</f>
        <v>0</v>
      </c>
      <c r="AN289" s="48" t="n">
        <f aca="false">IF(AND((35-N(V_L3_Mes)+1)&gt;N(V_L3_Gracia),(35-N(V_L3_Mes)+1)&lt;=N(V_L3_Gracia)+N(V_L3_Cuotas),N(V_L3_Cuotas)&gt;0),IF((35-N(V_L3_Mes)+1)=N(V_L3_Gracia)+N(V_L3_Cuotas),IF((35-N(V_L3_Mes)+1)=1,N(V_L3_Monto),AM$290),PMT(N(V_L3_Tasa)/12,N(V_L3_Cuotas),-N(V_L3_Monto))-AN$288),0)*AN$9</f>
        <v>0</v>
      </c>
      <c r="AO289" s="48" t="n">
        <f aca="false">IF(AND((36-N(V_L3_Mes)+1)&gt;N(V_L3_Gracia),(36-N(V_L3_Mes)+1)&lt;=N(V_L3_Gracia)+N(V_L3_Cuotas),N(V_L3_Cuotas)&gt;0),IF((36-N(V_L3_Mes)+1)=N(V_L3_Gracia)+N(V_L3_Cuotas),IF((36-N(V_L3_Mes)+1)=1,N(V_L3_Monto),AN$290),PMT(N(V_L3_Tasa)/12,N(V_L3_Cuotas),-N(V_L3_Monto))-AO$288),0)*AO$9</f>
        <v>0</v>
      </c>
      <c r="AP289" s="48" t="n">
        <f aca="false">IF(AND((37-N(V_L3_Mes)+1)&gt;N(V_L3_Gracia),(37-N(V_L3_Mes)+1)&lt;=N(V_L3_Gracia)+N(V_L3_Cuotas),N(V_L3_Cuotas)&gt;0),IF((37-N(V_L3_Mes)+1)=N(V_L3_Gracia)+N(V_L3_Cuotas),IF((37-N(V_L3_Mes)+1)=1,N(V_L3_Monto),AO$290),PMT(N(V_L3_Tasa)/12,N(V_L3_Cuotas),-N(V_L3_Monto))-AP$288),0)*AP$9</f>
        <v>0</v>
      </c>
      <c r="AQ289" s="48" t="n">
        <f aca="false">IF(AND((38-N(V_L3_Mes)+1)&gt;N(V_L3_Gracia),(38-N(V_L3_Mes)+1)&lt;=N(V_L3_Gracia)+N(V_L3_Cuotas),N(V_L3_Cuotas)&gt;0),IF((38-N(V_L3_Mes)+1)=N(V_L3_Gracia)+N(V_L3_Cuotas),IF((38-N(V_L3_Mes)+1)=1,N(V_L3_Monto),AP$290),PMT(N(V_L3_Tasa)/12,N(V_L3_Cuotas),-N(V_L3_Monto))-AQ$288),0)*AQ$9</f>
        <v>0</v>
      </c>
      <c r="AR289" s="48" t="n">
        <f aca="false">IF(AND((39-N(V_L3_Mes)+1)&gt;N(V_L3_Gracia),(39-N(V_L3_Mes)+1)&lt;=N(V_L3_Gracia)+N(V_L3_Cuotas),N(V_L3_Cuotas)&gt;0),IF((39-N(V_L3_Mes)+1)=N(V_L3_Gracia)+N(V_L3_Cuotas),IF((39-N(V_L3_Mes)+1)=1,N(V_L3_Monto),AQ$290),PMT(N(V_L3_Tasa)/12,N(V_L3_Cuotas),-N(V_L3_Monto))-AR$288),0)*AR$9</f>
        <v>0</v>
      </c>
      <c r="AS289" s="48" t="n">
        <f aca="false">IF(AND((40-N(V_L3_Mes)+1)&gt;N(V_L3_Gracia),(40-N(V_L3_Mes)+1)&lt;=N(V_L3_Gracia)+N(V_L3_Cuotas),N(V_L3_Cuotas)&gt;0),IF((40-N(V_L3_Mes)+1)=N(V_L3_Gracia)+N(V_L3_Cuotas),IF((40-N(V_L3_Mes)+1)=1,N(V_L3_Monto),AR$290),PMT(N(V_L3_Tasa)/12,N(V_L3_Cuotas),-N(V_L3_Monto))-AS$288),0)*AS$9</f>
        <v>0</v>
      </c>
      <c r="AT289" s="48" t="n">
        <f aca="false">IF(AND((41-N(V_L3_Mes)+1)&gt;N(V_L3_Gracia),(41-N(V_L3_Mes)+1)&lt;=N(V_L3_Gracia)+N(V_L3_Cuotas),N(V_L3_Cuotas)&gt;0),IF((41-N(V_L3_Mes)+1)=N(V_L3_Gracia)+N(V_L3_Cuotas),IF((41-N(V_L3_Mes)+1)=1,N(V_L3_Monto),AS$290),PMT(N(V_L3_Tasa)/12,N(V_L3_Cuotas),-N(V_L3_Monto))-AT$288),0)*AT$9</f>
        <v>0</v>
      </c>
      <c r="AU289" s="48" t="n">
        <f aca="false">IF(AND((42-N(V_L3_Mes)+1)&gt;N(V_L3_Gracia),(42-N(V_L3_Mes)+1)&lt;=N(V_L3_Gracia)+N(V_L3_Cuotas),N(V_L3_Cuotas)&gt;0),IF((42-N(V_L3_Mes)+1)=N(V_L3_Gracia)+N(V_L3_Cuotas),IF((42-N(V_L3_Mes)+1)=1,N(V_L3_Monto),AT$290),PMT(N(V_L3_Tasa)/12,N(V_L3_Cuotas),-N(V_L3_Monto))-AU$288),0)*AU$9</f>
        <v>0</v>
      </c>
      <c r="AV289" s="48" t="n">
        <f aca="false">IF(AND((43-N(V_L3_Mes)+1)&gt;N(V_L3_Gracia),(43-N(V_L3_Mes)+1)&lt;=N(V_L3_Gracia)+N(V_L3_Cuotas),N(V_L3_Cuotas)&gt;0),IF((43-N(V_L3_Mes)+1)=N(V_L3_Gracia)+N(V_L3_Cuotas),IF((43-N(V_L3_Mes)+1)=1,N(V_L3_Monto),AU$290),PMT(N(V_L3_Tasa)/12,N(V_L3_Cuotas),-N(V_L3_Monto))-AV$288),0)*AV$9</f>
        <v>0</v>
      </c>
      <c r="AW289" s="48" t="n">
        <f aca="false">IF(AND((44-N(V_L3_Mes)+1)&gt;N(V_L3_Gracia),(44-N(V_L3_Mes)+1)&lt;=N(V_L3_Gracia)+N(V_L3_Cuotas),N(V_L3_Cuotas)&gt;0),IF((44-N(V_L3_Mes)+1)=N(V_L3_Gracia)+N(V_L3_Cuotas),IF((44-N(V_L3_Mes)+1)=1,N(V_L3_Monto),AV$290),PMT(N(V_L3_Tasa)/12,N(V_L3_Cuotas),-N(V_L3_Monto))-AW$288),0)*AW$9</f>
        <v>0</v>
      </c>
      <c r="AX289" s="48" t="n">
        <f aca="false">IF(AND((45-N(V_L3_Mes)+1)&gt;N(V_L3_Gracia),(45-N(V_L3_Mes)+1)&lt;=N(V_L3_Gracia)+N(V_L3_Cuotas),N(V_L3_Cuotas)&gt;0),IF((45-N(V_L3_Mes)+1)=N(V_L3_Gracia)+N(V_L3_Cuotas),IF((45-N(V_L3_Mes)+1)=1,N(V_L3_Monto),AW$290),PMT(N(V_L3_Tasa)/12,N(V_L3_Cuotas),-N(V_L3_Monto))-AX$288),0)*AX$9</f>
        <v>0</v>
      </c>
      <c r="AY289" s="48" t="n">
        <f aca="false">IF(AND((46-N(V_L3_Mes)+1)&gt;N(V_L3_Gracia),(46-N(V_L3_Mes)+1)&lt;=N(V_L3_Gracia)+N(V_L3_Cuotas),N(V_L3_Cuotas)&gt;0),IF((46-N(V_L3_Mes)+1)=N(V_L3_Gracia)+N(V_L3_Cuotas),IF((46-N(V_L3_Mes)+1)=1,N(V_L3_Monto),AX$290),PMT(N(V_L3_Tasa)/12,N(V_L3_Cuotas),-N(V_L3_Monto))-AY$288),0)*AY$9</f>
        <v>0</v>
      </c>
      <c r="AZ289" s="48" t="n">
        <f aca="false">IF(AND((47-N(V_L3_Mes)+1)&gt;N(V_L3_Gracia),(47-N(V_L3_Mes)+1)&lt;=N(V_L3_Gracia)+N(V_L3_Cuotas),N(V_L3_Cuotas)&gt;0),IF((47-N(V_L3_Mes)+1)=N(V_L3_Gracia)+N(V_L3_Cuotas),IF((47-N(V_L3_Mes)+1)=1,N(V_L3_Monto),AY$290),PMT(N(V_L3_Tasa)/12,N(V_L3_Cuotas),-N(V_L3_Monto))-AZ$288),0)*AZ$9</f>
        <v>0</v>
      </c>
      <c r="BA289" s="48" t="n">
        <f aca="false">IF(AND((48-N(V_L3_Mes)+1)&gt;N(V_L3_Gracia),(48-N(V_L3_Mes)+1)&lt;=N(V_L3_Gracia)+N(V_L3_Cuotas),N(V_L3_Cuotas)&gt;0),IF((48-N(V_L3_Mes)+1)=N(V_L3_Gracia)+N(V_L3_Cuotas),IF((48-N(V_L3_Mes)+1)=1,N(V_L3_Monto),AZ$290),PMT(N(V_L3_Tasa)/12,N(V_L3_Cuotas),-N(V_L3_Monto))-BA$288),0)*BA$9</f>
        <v>0</v>
      </c>
      <c r="BB289" s="48" t="n">
        <f aca="false">IF(AND((49-N(V_L3_Mes)+1)&gt;N(V_L3_Gracia),(49-N(V_L3_Mes)+1)&lt;=N(V_L3_Gracia)+N(V_L3_Cuotas),N(V_L3_Cuotas)&gt;0),IF((49-N(V_L3_Mes)+1)=N(V_L3_Gracia)+N(V_L3_Cuotas),IF((49-N(V_L3_Mes)+1)=1,N(V_L3_Monto),BA$290),PMT(N(V_L3_Tasa)/12,N(V_L3_Cuotas),-N(V_L3_Monto))-BB$288),0)*BB$9</f>
        <v>0</v>
      </c>
      <c r="BC289" s="48" t="n">
        <f aca="false">IF(AND((50-N(V_L3_Mes)+1)&gt;N(V_L3_Gracia),(50-N(V_L3_Mes)+1)&lt;=N(V_L3_Gracia)+N(V_L3_Cuotas),N(V_L3_Cuotas)&gt;0),IF((50-N(V_L3_Mes)+1)=N(V_L3_Gracia)+N(V_L3_Cuotas),IF((50-N(V_L3_Mes)+1)=1,N(V_L3_Monto),BB$290),PMT(N(V_L3_Tasa)/12,N(V_L3_Cuotas),-N(V_L3_Monto))-BC$288),0)*BC$9</f>
        <v>0</v>
      </c>
      <c r="BD289" s="48" t="n">
        <f aca="false">IF(AND((51-N(V_L3_Mes)+1)&gt;N(V_L3_Gracia),(51-N(V_L3_Mes)+1)&lt;=N(V_L3_Gracia)+N(V_L3_Cuotas),N(V_L3_Cuotas)&gt;0),IF((51-N(V_L3_Mes)+1)=N(V_L3_Gracia)+N(V_L3_Cuotas),IF((51-N(V_L3_Mes)+1)=1,N(V_L3_Monto),BC$290),PMT(N(V_L3_Tasa)/12,N(V_L3_Cuotas),-N(V_L3_Monto))-BD$288),0)*BD$9</f>
        <v>0</v>
      </c>
      <c r="BE289" s="48" t="n">
        <f aca="false">IF(AND((52-N(V_L3_Mes)+1)&gt;N(V_L3_Gracia),(52-N(V_L3_Mes)+1)&lt;=N(V_L3_Gracia)+N(V_L3_Cuotas),N(V_L3_Cuotas)&gt;0),IF((52-N(V_L3_Mes)+1)=N(V_L3_Gracia)+N(V_L3_Cuotas),IF((52-N(V_L3_Mes)+1)=1,N(V_L3_Monto),BD$290),PMT(N(V_L3_Tasa)/12,N(V_L3_Cuotas),-N(V_L3_Monto))-BE$288),0)*BE$9</f>
        <v>0</v>
      </c>
      <c r="BF289" s="48" t="n">
        <f aca="false">IF(AND((53-N(V_L3_Mes)+1)&gt;N(V_L3_Gracia),(53-N(V_L3_Mes)+1)&lt;=N(V_L3_Gracia)+N(V_L3_Cuotas),N(V_L3_Cuotas)&gt;0),IF((53-N(V_L3_Mes)+1)=N(V_L3_Gracia)+N(V_L3_Cuotas),IF((53-N(V_L3_Mes)+1)=1,N(V_L3_Monto),BE$290),PMT(N(V_L3_Tasa)/12,N(V_L3_Cuotas),-N(V_L3_Monto))-BF$288),0)*BF$9</f>
        <v>0</v>
      </c>
      <c r="BG289" s="48" t="n">
        <f aca="false">IF(AND((54-N(V_L3_Mes)+1)&gt;N(V_L3_Gracia),(54-N(V_L3_Mes)+1)&lt;=N(V_L3_Gracia)+N(V_L3_Cuotas),N(V_L3_Cuotas)&gt;0),IF((54-N(V_L3_Mes)+1)=N(V_L3_Gracia)+N(V_L3_Cuotas),IF((54-N(V_L3_Mes)+1)=1,N(V_L3_Monto),BF$290),PMT(N(V_L3_Tasa)/12,N(V_L3_Cuotas),-N(V_L3_Monto))-BG$288),0)*BG$9</f>
        <v>0</v>
      </c>
      <c r="BH289" s="48" t="n">
        <f aca="false">IF(AND((55-N(V_L3_Mes)+1)&gt;N(V_L3_Gracia),(55-N(V_L3_Mes)+1)&lt;=N(V_L3_Gracia)+N(V_L3_Cuotas),N(V_L3_Cuotas)&gt;0),IF((55-N(V_L3_Mes)+1)=N(V_L3_Gracia)+N(V_L3_Cuotas),IF((55-N(V_L3_Mes)+1)=1,N(V_L3_Monto),BG$290),PMT(N(V_L3_Tasa)/12,N(V_L3_Cuotas),-N(V_L3_Monto))-BH$288),0)*BH$9</f>
        <v>0</v>
      </c>
      <c r="BI289" s="48" t="n">
        <f aca="false">IF(AND((56-N(V_L3_Mes)+1)&gt;N(V_L3_Gracia),(56-N(V_L3_Mes)+1)&lt;=N(V_L3_Gracia)+N(V_L3_Cuotas),N(V_L3_Cuotas)&gt;0),IF((56-N(V_L3_Mes)+1)=N(V_L3_Gracia)+N(V_L3_Cuotas),IF((56-N(V_L3_Mes)+1)=1,N(V_L3_Monto),BH$290),PMT(N(V_L3_Tasa)/12,N(V_L3_Cuotas),-N(V_L3_Monto))-BI$288),0)*BI$9</f>
        <v>0</v>
      </c>
      <c r="BJ289" s="48" t="n">
        <f aca="false">IF(AND((57-N(V_L3_Mes)+1)&gt;N(V_L3_Gracia),(57-N(V_L3_Mes)+1)&lt;=N(V_L3_Gracia)+N(V_L3_Cuotas),N(V_L3_Cuotas)&gt;0),IF((57-N(V_L3_Mes)+1)=N(V_L3_Gracia)+N(V_L3_Cuotas),IF((57-N(V_L3_Mes)+1)=1,N(V_L3_Monto),BI$290),PMT(N(V_L3_Tasa)/12,N(V_L3_Cuotas),-N(V_L3_Monto))-BJ$288),0)*BJ$9</f>
        <v>0</v>
      </c>
      <c r="BK289" s="48" t="n">
        <f aca="false">IF(AND((58-N(V_L3_Mes)+1)&gt;N(V_L3_Gracia),(58-N(V_L3_Mes)+1)&lt;=N(V_L3_Gracia)+N(V_L3_Cuotas),N(V_L3_Cuotas)&gt;0),IF((58-N(V_L3_Mes)+1)=N(V_L3_Gracia)+N(V_L3_Cuotas),IF((58-N(V_L3_Mes)+1)=1,N(V_L3_Monto),BJ$290),PMT(N(V_L3_Tasa)/12,N(V_L3_Cuotas),-N(V_L3_Monto))-BK$288),0)*BK$9</f>
        <v>0</v>
      </c>
      <c r="BL289" s="48" t="n">
        <f aca="false">IF(AND((59-N(V_L3_Mes)+1)&gt;N(V_L3_Gracia),(59-N(V_L3_Mes)+1)&lt;=N(V_L3_Gracia)+N(V_L3_Cuotas),N(V_L3_Cuotas)&gt;0),IF((59-N(V_L3_Mes)+1)=N(V_L3_Gracia)+N(V_L3_Cuotas),IF((59-N(V_L3_Mes)+1)=1,N(V_L3_Monto),BK$290),PMT(N(V_L3_Tasa)/12,N(V_L3_Cuotas),-N(V_L3_Monto))-BL$288),0)*BL$9</f>
        <v>0</v>
      </c>
      <c r="BM289" s="48" t="n">
        <f aca="false">IF(AND((60-N(V_L3_Mes)+1)&gt;N(V_L3_Gracia),(60-N(V_L3_Mes)+1)&lt;=N(V_L3_Gracia)+N(V_L3_Cuotas),N(V_L3_Cuotas)&gt;0),IF((60-N(V_L3_Mes)+1)=N(V_L3_Gracia)+N(V_L3_Cuotas),IF((60-N(V_L3_Mes)+1)=1,N(V_L3_Monto),BL$290),PMT(N(V_L3_Tasa)/12,N(V_L3_Cuotas),-N(V_L3_Monto))-BM$288),0)*BM$9</f>
        <v>0</v>
      </c>
      <c r="BN289" s="48" t="n">
        <f aca="false">IF(AND((61-N(V_L3_Mes)+1)&gt;N(V_L3_Gracia),(61-N(V_L3_Mes)+1)&lt;=N(V_L3_Gracia)+N(V_L3_Cuotas),N(V_L3_Cuotas)&gt;0),IF((61-N(V_L3_Mes)+1)=N(V_L3_Gracia)+N(V_L3_Cuotas),IF((61-N(V_L3_Mes)+1)=1,N(V_L3_Monto),BM$290),PMT(N(V_L3_Tasa)/12,N(V_L3_Cuotas),-N(V_L3_Monto))-BN$288),0)*BN$9</f>
        <v>0</v>
      </c>
      <c r="BO289" s="48" t="n">
        <f aca="false">IF(AND((62-N(V_L3_Mes)+1)&gt;N(V_L3_Gracia),(62-N(V_L3_Mes)+1)&lt;=N(V_L3_Gracia)+N(V_L3_Cuotas),N(V_L3_Cuotas)&gt;0),IF((62-N(V_L3_Mes)+1)=N(V_L3_Gracia)+N(V_L3_Cuotas),IF((62-N(V_L3_Mes)+1)=1,N(V_L3_Monto),BN$290),PMT(N(V_L3_Tasa)/12,N(V_L3_Cuotas),-N(V_L3_Monto))-BO$288),0)*BO$9</f>
        <v>0</v>
      </c>
      <c r="BP289" s="48" t="n">
        <f aca="false">IF(AND((63-N(V_L3_Mes)+1)&gt;N(V_L3_Gracia),(63-N(V_L3_Mes)+1)&lt;=N(V_L3_Gracia)+N(V_L3_Cuotas),N(V_L3_Cuotas)&gt;0),IF((63-N(V_L3_Mes)+1)=N(V_L3_Gracia)+N(V_L3_Cuotas),IF((63-N(V_L3_Mes)+1)=1,N(V_L3_Monto),BO$290),PMT(N(V_L3_Tasa)/12,N(V_L3_Cuotas),-N(V_L3_Monto))-BP$288),0)*BP$9</f>
        <v>0</v>
      </c>
      <c r="BQ289" s="48" t="n">
        <f aca="false">IF(AND((64-N(V_L3_Mes)+1)&gt;N(V_L3_Gracia),(64-N(V_L3_Mes)+1)&lt;=N(V_L3_Gracia)+N(V_L3_Cuotas),N(V_L3_Cuotas)&gt;0),IF((64-N(V_L3_Mes)+1)=N(V_L3_Gracia)+N(V_L3_Cuotas),IF((64-N(V_L3_Mes)+1)=1,N(V_L3_Monto),BP$290),PMT(N(V_L3_Tasa)/12,N(V_L3_Cuotas),-N(V_L3_Monto))-BQ$288),0)*BQ$9</f>
        <v>0</v>
      </c>
      <c r="BR289" s="48" t="n">
        <f aca="false">IF(AND((65-N(V_L3_Mes)+1)&gt;N(V_L3_Gracia),(65-N(V_L3_Mes)+1)&lt;=N(V_L3_Gracia)+N(V_L3_Cuotas),N(V_L3_Cuotas)&gt;0),IF((65-N(V_L3_Mes)+1)=N(V_L3_Gracia)+N(V_L3_Cuotas),IF((65-N(V_L3_Mes)+1)=1,N(V_L3_Monto),BQ$290),PMT(N(V_L3_Tasa)/12,N(V_L3_Cuotas),-N(V_L3_Monto))-BR$288),0)*BR$9</f>
        <v>0</v>
      </c>
      <c r="BS289" s="48" t="n">
        <f aca="false">IF(AND((66-N(V_L3_Mes)+1)&gt;N(V_L3_Gracia),(66-N(V_L3_Mes)+1)&lt;=N(V_L3_Gracia)+N(V_L3_Cuotas),N(V_L3_Cuotas)&gt;0),IF((66-N(V_L3_Mes)+1)=N(V_L3_Gracia)+N(V_L3_Cuotas),IF((66-N(V_L3_Mes)+1)=1,N(V_L3_Monto),BR$290),PMT(N(V_L3_Tasa)/12,N(V_L3_Cuotas),-N(V_L3_Monto))-BS$288),0)*BS$9</f>
        <v>0</v>
      </c>
      <c r="BT289" s="48" t="n">
        <f aca="false">IF(AND((67-N(V_L3_Mes)+1)&gt;N(V_L3_Gracia),(67-N(V_L3_Mes)+1)&lt;=N(V_L3_Gracia)+N(V_L3_Cuotas),N(V_L3_Cuotas)&gt;0),IF((67-N(V_L3_Mes)+1)=N(V_L3_Gracia)+N(V_L3_Cuotas),IF((67-N(V_L3_Mes)+1)=1,N(V_L3_Monto),BS$290),PMT(N(V_L3_Tasa)/12,N(V_L3_Cuotas),-N(V_L3_Monto))-BT$288),0)*BT$9</f>
        <v>0</v>
      </c>
      <c r="BU289" s="48" t="n">
        <f aca="false">IF(AND((68-N(V_L3_Mes)+1)&gt;N(V_L3_Gracia),(68-N(V_L3_Mes)+1)&lt;=N(V_L3_Gracia)+N(V_L3_Cuotas),N(V_L3_Cuotas)&gt;0),IF((68-N(V_L3_Mes)+1)=N(V_L3_Gracia)+N(V_L3_Cuotas),IF((68-N(V_L3_Mes)+1)=1,N(V_L3_Monto),BT$290),PMT(N(V_L3_Tasa)/12,N(V_L3_Cuotas),-N(V_L3_Monto))-BU$288),0)*BU$9</f>
        <v>0</v>
      </c>
      <c r="BV289" s="48" t="n">
        <f aca="false">IF(AND((69-N(V_L3_Mes)+1)&gt;N(V_L3_Gracia),(69-N(V_L3_Mes)+1)&lt;=N(V_L3_Gracia)+N(V_L3_Cuotas),N(V_L3_Cuotas)&gt;0),IF((69-N(V_L3_Mes)+1)=N(V_L3_Gracia)+N(V_L3_Cuotas),IF((69-N(V_L3_Mes)+1)=1,N(V_L3_Monto),BU$290),PMT(N(V_L3_Tasa)/12,N(V_L3_Cuotas),-N(V_L3_Monto))-BV$288),0)*BV$9</f>
        <v>0</v>
      </c>
      <c r="BW289" s="48" t="n">
        <f aca="false">IF(AND((70-N(V_L3_Mes)+1)&gt;N(V_L3_Gracia),(70-N(V_L3_Mes)+1)&lt;=N(V_L3_Gracia)+N(V_L3_Cuotas),N(V_L3_Cuotas)&gt;0),IF((70-N(V_L3_Mes)+1)=N(V_L3_Gracia)+N(V_L3_Cuotas),IF((70-N(V_L3_Mes)+1)=1,N(V_L3_Monto),BV$290),PMT(N(V_L3_Tasa)/12,N(V_L3_Cuotas),-N(V_L3_Monto))-BW$288),0)*BW$9</f>
        <v>0</v>
      </c>
      <c r="BX289" s="48" t="n">
        <f aca="false">IF(AND((71-N(V_L3_Mes)+1)&gt;N(V_L3_Gracia),(71-N(V_L3_Mes)+1)&lt;=N(V_L3_Gracia)+N(V_L3_Cuotas),N(V_L3_Cuotas)&gt;0),IF((71-N(V_L3_Mes)+1)=N(V_L3_Gracia)+N(V_L3_Cuotas),IF((71-N(V_L3_Mes)+1)=1,N(V_L3_Monto),BW$290),PMT(N(V_L3_Tasa)/12,N(V_L3_Cuotas),-N(V_L3_Monto))-BX$288),0)*BX$9</f>
        <v>0</v>
      </c>
      <c r="BY289" s="48" t="n">
        <f aca="false">IF(AND((72-N(V_L3_Mes)+1)&gt;N(V_L3_Gracia),(72-N(V_L3_Mes)+1)&lt;=N(V_L3_Gracia)+N(V_L3_Cuotas),N(V_L3_Cuotas)&gt;0),IF((72-N(V_L3_Mes)+1)=N(V_L3_Gracia)+N(V_L3_Cuotas),IF((72-N(V_L3_Mes)+1)=1,N(V_L3_Monto),BX$290),PMT(N(V_L3_Tasa)/12,N(V_L3_Cuotas),-N(V_L3_Monto))-BY$288),0)*BY$9</f>
        <v>0</v>
      </c>
      <c r="BZ289" s="48" t="n">
        <f aca="false">IF(AND((73-N(V_L3_Mes)+1)&gt;N(V_L3_Gracia),(73-N(V_L3_Mes)+1)&lt;=N(V_L3_Gracia)+N(V_L3_Cuotas),N(V_L3_Cuotas)&gt;0),IF((73-N(V_L3_Mes)+1)=N(V_L3_Gracia)+N(V_L3_Cuotas),IF((73-N(V_L3_Mes)+1)=1,N(V_L3_Monto),BY$290),PMT(N(V_L3_Tasa)/12,N(V_L3_Cuotas),-N(V_L3_Monto))-BZ$288),0)*BZ$9</f>
        <v>0</v>
      </c>
      <c r="CA289" s="48" t="n">
        <f aca="false">IF(AND((74-N(V_L3_Mes)+1)&gt;N(V_L3_Gracia),(74-N(V_L3_Mes)+1)&lt;=N(V_L3_Gracia)+N(V_L3_Cuotas),N(V_L3_Cuotas)&gt;0),IF((74-N(V_L3_Mes)+1)=N(V_L3_Gracia)+N(V_L3_Cuotas),IF((74-N(V_L3_Mes)+1)=1,N(V_L3_Monto),BZ$290),PMT(N(V_L3_Tasa)/12,N(V_L3_Cuotas),-N(V_L3_Monto))-CA$288),0)*CA$9</f>
        <v>0</v>
      </c>
      <c r="CB289" s="48" t="n">
        <f aca="false">IF(AND((75-N(V_L3_Mes)+1)&gt;N(V_L3_Gracia),(75-N(V_L3_Mes)+1)&lt;=N(V_L3_Gracia)+N(V_L3_Cuotas),N(V_L3_Cuotas)&gt;0),IF((75-N(V_L3_Mes)+1)=N(V_L3_Gracia)+N(V_L3_Cuotas),IF((75-N(V_L3_Mes)+1)=1,N(V_L3_Monto),CA$290),PMT(N(V_L3_Tasa)/12,N(V_L3_Cuotas),-N(V_L3_Monto))-CB$288),0)*CB$9</f>
        <v>0</v>
      </c>
      <c r="CC289" s="48" t="n">
        <f aca="false">IF(AND((76-N(V_L3_Mes)+1)&gt;N(V_L3_Gracia),(76-N(V_L3_Mes)+1)&lt;=N(V_L3_Gracia)+N(V_L3_Cuotas),N(V_L3_Cuotas)&gt;0),IF((76-N(V_L3_Mes)+1)=N(V_L3_Gracia)+N(V_L3_Cuotas),IF((76-N(V_L3_Mes)+1)=1,N(V_L3_Monto),CB$290),PMT(N(V_L3_Tasa)/12,N(V_L3_Cuotas),-N(V_L3_Monto))-CC$288),0)*CC$9</f>
        <v>0</v>
      </c>
      <c r="CD289" s="48" t="n">
        <f aca="false">IF(AND((77-N(V_L3_Mes)+1)&gt;N(V_L3_Gracia),(77-N(V_L3_Mes)+1)&lt;=N(V_L3_Gracia)+N(V_L3_Cuotas),N(V_L3_Cuotas)&gt;0),IF((77-N(V_L3_Mes)+1)=N(V_L3_Gracia)+N(V_L3_Cuotas),IF((77-N(V_L3_Mes)+1)=1,N(V_L3_Monto),CC$290),PMT(N(V_L3_Tasa)/12,N(V_L3_Cuotas),-N(V_L3_Monto))-CD$288),0)*CD$9</f>
        <v>0</v>
      </c>
      <c r="CE289" s="48" t="n">
        <f aca="false">IF(AND((78-N(V_L3_Mes)+1)&gt;N(V_L3_Gracia),(78-N(V_L3_Mes)+1)&lt;=N(V_L3_Gracia)+N(V_L3_Cuotas),N(V_L3_Cuotas)&gt;0),IF((78-N(V_L3_Mes)+1)=N(V_L3_Gracia)+N(V_L3_Cuotas),IF((78-N(V_L3_Mes)+1)=1,N(V_L3_Monto),CD$290),PMT(N(V_L3_Tasa)/12,N(V_L3_Cuotas),-N(V_L3_Monto))-CE$288),0)*CE$9</f>
        <v>0</v>
      </c>
      <c r="CF289" s="48" t="n">
        <f aca="false">IF(AND((79-N(V_L3_Mes)+1)&gt;N(V_L3_Gracia),(79-N(V_L3_Mes)+1)&lt;=N(V_L3_Gracia)+N(V_L3_Cuotas),N(V_L3_Cuotas)&gt;0),IF((79-N(V_L3_Mes)+1)=N(V_L3_Gracia)+N(V_L3_Cuotas),IF((79-N(V_L3_Mes)+1)=1,N(V_L3_Monto),CE$290),PMT(N(V_L3_Tasa)/12,N(V_L3_Cuotas),-N(V_L3_Monto))-CF$288),0)*CF$9</f>
        <v>0</v>
      </c>
      <c r="CG289" s="48" t="n">
        <f aca="false">IF(AND((80-N(V_L3_Mes)+1)&gt;N(V_L3_Gracia),(80-N(V_L3_Mes)+1)&lt;=N(V_L3_Gracia)+N(V_L3_Cuotas),N(V_L3_Cuotas)&gt;0),IF((80-N(V_L3_Mes)+1)=N(V_L3_Gracia)+N(V_L3_Cuotas),IF((80-N(V_L3_Mes)+1)=1,N(V_L3_Monto),CF$290),PMT(N(V_L3_Tasa)/12,N(V_L3_Cuotas),-N(V_L3_Monto))-CG$288),0)*CG$9</f>
        <v>0</v>
      </c>
      <c r="CH289" s="48" t="n">
        <f aca="false">IF(AND((81-N(V_L3_Mes)+1)&gt;N(V_L3_Gracia),(81-N(V_L3_Mes)+1)&lt;=N(V_L3_Gracia)+N(V_L3_Cuotas),N(V_L3_Cuotas)&gt;0),IF((81-N(V_L3_Mes)+1)=N(V_L3_Gracia)+N(V_L3_Cuotas),IF((81-N(V_L3_Mes)+1)=1,N(V_L3_Monto),CG$290),PMT(N(V_L3_Tasa)/12,N(V_L3_Cuotas),-N(V_L3_Monto))-CH$288),0)*CH$9</f>
        <v>0</v>
      </c>
      <c r="CI289" s="48" t="n">
        <f aca="false">IF(AND((82-N(V_L3_Mes)+1)&gt;N(V_L3_Gracia),(82-N(V_L3_Mes)+1)&lt;=N(V_L3_Gracia)+N(V_L3_Cuotas),N(V_L3_Cuotas)&gt;0),IF((82-N(V_L3_Mes)+1)=N(V_L3_Gracia)+N(V_L3_Cuotas),IF((82-N(V_L3_Mes)+1)=1,N(V_L3_Monto),CH$290),PMT(N(V_L3_Tasa)/12,N(V_L3_Cuotas),-N(V_L3_Monto))-CI$288),0)*CI$9</f>
        <v>0</v>
      </c>
      <c r="CJ289" s="48" t="n">
        <f aca="false">IF(AND((83-N(V_L3_Mes)+1)&gt;N(V_L3_Gracia),(83-N(V_L3_Mes)+1)&lt;=N(V_L3_Gracia)+N(V_L3_Cuotas),N(V_L3_Cuotas)&gt;0),IF((83-N(V_L3_Mes)+1)=N(V_L3_Gracia)+N(V_L3_Cuotas),IF((83-N(V_L3_Mes)+1)=1,N(V_L3_Monto),CI$290),PMT(N(V_L3_Tasa)/12,N(V_L3_Cuotas),-N(V_L3_Monto))-CJ$288),0)*CJ$9</f>
        <v>0</v>
      </c>
      <c r="CK289" s="48" t="n">
        <f aca="false">IF(AND((84-N(V_L3_Mes)+1)&gt;N(V_L3_Gracia),(84-N(V_L3_Mes)+1)&lt;=N(V_L3_Gracia)+N(V_L3_Cuotas),N(V_L3_Cuotas)&gt;0),IF((84-N(V_L3_Mes)+1)=N(V_L3_Gracia)+N(V_L3_Cuotas),IF((84-N(V_L3_Mes)+1)=1,N(V_L3_Monto),CJ$290),PMT(N(V_L3_Tasa)/12,N(V_L3_Cuotas),-N(V_L3_Monto))-CK$288),0)*CK$9</f>
        <v>0</v>
      </c>
      <c r="CL289" s="48" t="n">
        <f aca="false">IF(AND((85-N(V_L3_Mes)+1)&gt;N(V_L3_Gracia),(85-N(V_L3_Mes)+1)&lt;=N(V_L3_Gracia)+N(V_L3_Cuotas),N(V_L3_Cuotas)&gt;0),IF((85-N(V_L3_Mes)+1)=N(V_L3_Gracia)+N(V_L3_Cuotas),IF((85-N(V_L3_Mes)+1)=1,N(V_L3_Monto),CK$290),PMT(N(V_L3_Tasa)/12,N(V_L3_Cuotas),-N(V_L3_Monto))-CL$288),0)*CL$9</f>
        <v>0</v>
      </c>
      <c r="CM289" s="48" t="n">
        <f aca="false">IF(AND((86-N(V_L3_Mes)+1)&gt;N(V_L3_Gracia),(86-N(V_L3_Mes)+1)&lt;=N(V_L3_Gracia)+N(V_L3_Cuotas),N(V_L3_Cuotas)&gt;0),IF((86-N(V_L3_Mes)+1)=N(V_L3_Gracia)+N(V_L3_Cuotas),IF((86-N(V_L3_Mes)+1)=1,N(V_L3_Monto),CL$290),PMT(N(V_L3_Tasa)/12,N(V_L3_Cuotas),-N(V_L3_Monto))-CM$288),0)*CM$9</f>
        <v>0</v>
      </c>
      <c r="CN289" s="48" t="n">
        <f aca="false">IF(AND((87-N(V_L3_Mes)+1)&gt;N(V_L3_Gracia),(87-N(V_L3_Mes)+1)&lt;=N(V_L3_Gracia)+N(V_L3_Cuotas),N(V_L3_Cuotas)&gt;0),IF((87-N(V_L3_Mes)+1)=N(V_L3_Gracia)+N(V_L3_Cuotas),IF((87-N(V_L3_Mes)+1)=1,N(V_L3_Monto),CM$290),PMT(N(V_L3_Tasa)/12,N(V_L3_Cuotas),-N(V_L3_Monto))-CN$288),0)*CN$9</f>
        <v>0</v>
      </c>
      <c r="CO289" s="48" t="n">
        <f aca="false">IF(AND((88-N(V_L3_Mes)+1)&gt;N(V_L3_Gracia),(88-N(V_L3_Mes)+1)&lt;=N(V_L3_Gracia)+N(V_L3_Cuotas),N(V_L3_Cuotas)&gt;0),IF((88-N(V_L3_Mes)+1)=N(V_L3_Gracia)+N(V_L3_Cuotas),IF((88-N(V_L3_Mes)+1)=1,N(V_L3_Monto),CN$290),PMT(N(V_L3_Tasa)/12,N(V_L3_Cuotas),-N(V_L3_Monto))-CO$288),0)*CO$9</f>
        <v>0</v>
      </c>
      <c r="CP289" s="48" t="n">
        <f aca="false">IF(AND((89-N(V_L3_Mes)+1)&gt;N(V_L3_Gracia),(89-N(V_L3_Mes)+1)&lt;=N(V_L3_Gracia)+N(V_L3_Cuotas),N(V_L3_Cuotas)&gt;0),IF((89-N(V_L3_Mes)+1)=N(V_L3_Gracia)+N(V_L3_Cuotas),IF((89-N(V_L3_Mes)+1)=1,N(V_L3_Monto),CO$290),PMT(N(V_L3_Tasa)/12,N(V_L3_Cuotas),-N(V_L3_Monto))-CP$288),0)*CP$9</f>
        <v>0</v>
      </c>
      <c r="CQ289" s="48" t="n">
        <f aca="false">IF(AND((90-N(V_L3_Mes)+1)&gt;N(V_L3_Gracia),(90-N(V_L3_Mes)+1)&lt;=N(V_L3_Gracia)+N(V_L3_Cuotas),N(V_L3_Cuotas)&gt;0),IF((90-N(V_L3_Mes)+1)=N(V_L3_Gracia)+N(V_L3_Cuotas),IF((90-N(V_L3_Mes)+1)=1,N(V_L3_Monto),CP$290),PMT(N(V_L3_Tasa)/12,N(V_L3_Cuotas),-N(V_L3_Monto))-CQ$288),0)*CQ$9</f>
        <v>0</v>
      </c>
      <c r="CR289" s="48" t="n">
        <f aca="false">IF(AND((91-N(V_L3_Mes)+1)&gt;N(V_L3_Gracia),(91-N(V_L3_Mes)+1)&lt;=N(V_L3_Gracia)+N(V_L3_Cuotas),N(V_L3_Cuotas)&gt;0),IF((91-N(V_L3_Mes)+1)=N(V_L3_Gracia)+N(V_L3_Cuotas),IF((91-N(V_L3_Mes)+1)=1,N(V_L3_Monto),CQ$290),PMT(N(V_L3_Tasa)/12,N(V_L3_Cuotas),-N(V_L3_Monto))-CR$288),0)*CR$9</f>
        <v>0</v>
      </c>
      <c r="CS289" s="48" t="n">
        <f aca="false">IF(AND((92-N(V_L3_Mes)+1)&gt;N(V_L3_Gracia),(92-N(V_L3_Mes)+1)&lt;=N(V_L3_Gracia)+N(V_L3_Cuotas),N(V_L3_Cuotas)&gt;0),IF((92-N(V_L3_Mes)+1)=N(V_L3_Gracia)+N(V_L3_Cuotas),IF((92-N(V_L3_Mes)+1)=1,N(V_L3_Monto),CR$290),PMT(N(V_L3_Tasa)/12,N(V_L3_Cuotas),-N(V_L3_Monto))-CS$288),0)*CS$9</f>
        <v>0</v>
      </c>
      <c r="CT289" s="48" t="n">
        <f aca="false">IF(AND((93-N(V_L3_Mes)+1)&gt;N(V_L3_Gracia),(93-N(V_L3_Mes)+1)&lt;=N(V_L3_Gracia)+N(V_L3_Cuotas),N(V_L3_Cuotas)&gt;0),IF((93-N(V_L3_Mes)+1)=N(V_L3_Gracia)+N(V_L3_Cuotas),IF((93-N(V_L3_Mes)+1)=1,N(V_L3_Monto),CS$290),PMT(N(V_L3_Tasa)/12,N(V_L3_Cuotas),-N(V_L3_Monto))-CT$288),0)*CT$9</f>
        <v>0</v>
      </c>
      <c r="CU289" s="48" t="n">
        <f aca="false">IF(AND((94-N(V_L3_Mes)+1)&gt;N(V_L3_Gracia),(94-N(V_L3_Mes)+1)&lt;=N(V_L3_Gracia)+N(V_L3_Cuotas),N(V_L3_Cuotas)&gt;0),IF((94-N(V_L3_Mes)+1)=N(V_L3_Gracia)+N(V_L3_Cuotas),IF((94-N(V_L3_Mes)+1)=1,N(V_L3_Monto),CT$290),PMT(N(V_L3_Tasa)/12,N(V_L3_Cuotas),-N(V_L3_Monto))-CU$288),0)*CU$9</f>
        <v>0</v>
      </c>
      <c r="CV289" s="48" t="n">
        <f aca="false">IF(AND((95-N(V_L3_Mes)+1)&gt;N(V_L3_Gracia),(95-N(V_L3_Mes)+1)&lt;=N(V_L3_Gracia)+N(V_L3_Cuotas),N(V_L3_Cuotas)&gt;0),IF((95-N(V_L3_Mes)+1)=N(V_L3_Gracia)+N(V_L3_Cuotas),IF((95-N(V_L3_Mes)+1)=1,N(V_L3_Monto),CU$290),PMT(N(V_L3_Tasa)/12,N(V_L3_Cuotas),-N(V_L3_Monto))-CV$288),0)*CV$9</f>
        <v>0</v>
      </c>
      <c r="CW289" s="48" t="n">
        <f aca="false">IF(AND((96-N(V_L3_Mes)+1)&gt;N(V_L3_Gracia),(96-N(V_L3_Mes)+1)&lt;=N(V_L3_Gracia)+N(V_L3_Cuotas),N(V_L3_Cuotas)&gt;0),IF((96-N(V_L3_Mes)+1)=N(V_L3_Gracia)+N(V_L3_Cuotas),IF((96-N(V_L3_Mes)+1)=1,N(V_L3_Monto),CV$290),PMT(N(V_L3_Tasa)/12,N(V_L3_Cuotas),-N(V_L3_Monto))-CW$288),0)*CW$9</f>
        <v>0</v>
      </c>
      <c r="CX289" s="48" t="n">
        <f aca="false">IF(AND((97-N(V_L3_Mes)+1)&gt;N(V_L3_Gracia),(97-N(V_L3_Mes)+1)&lt;=N(V_L3_Gracia)+N(V_L3_Cuotas),N(V_L3_Cuotas)&gt;0),IF((97-N(V_L3_Mes)+1)=N(V_L3_Gracia)+N(V_L3_Cuotas),IF((97-N(V_L3_Mes)+1)=1,N(V_L3_Monto),CW$290),PMT(N(V_L3_Tasa)/12,N(V_L3_Cuotas),-N(V_L3_Monto))-CX$288),0)*CX$9</f>
        <v>0</v>
      </c>
      <c r="CY289" s="48" t="n">
        <f aca="false">IF(AND((98-N(V_L3_Mes)+1)&gt;N(V_L3_Gracia),(98-N(V_L3_Mes)+1)&lt;=N(V_L3_Gracia)+N(V_L3_Cuotas),N(V_L3_Cuotas)&gt;0),IF((98-N(V_L3_Mes)+1)=N(V_L3_Gracia)+N(V_L3_Cuotas),IF((98-N(V_L3_Mes)+1)=1,N(V_L3_Monto),CX$290),PMT(N(V_L3_Tasa)/12,N(V_L3_Cuotas),-N(V_L3_Monto))-CY$288),0)*CY$9</f>
        <v>0</v>
      </c>
      <c r="CZ289" s="48" t="n">
        <f aca="false">IF(AND((99-N(V_L3_Mes)+1)&gt;N(V_L3_Gracia),(99-N(V_L3_Mes)+1)&lt;=N(V_L3_Gracia)+N(V_L3_Cuotas),N(V_L3_Cuotas)&gt;0),IF((99-N(V_L3_Mes)+1)=N(V_L3_Gracia)+N(V_L3_Cuotas),IF((99-N(V_L3_Mes)+1)=1,N(V_L3_Monto),CY$290),PMT(N(V_L3_Tasa)/12,N(V_L3_Cuotas),-N(V_L3_Monto))-CZ$288),0)*CZ$9</f>
        <v>0</v>
      </c>
      <c r="DA289" s="48" t="n">
        <f aca="false">IF(AND((100-N(V_L3_Mes)+1)&gt;N(V_L3_Gracia),(100-N(V_L3_Mes)+1)&lt;=N(V_L3_Gracia)+N(V_L3_Cuotas),N(V_L3_Cuotas)&gt;0),IF((100-N(V_L3_Mes)+1)=N(V_L3_Gracia)+N(V_L3_Cuotas),IF((100-N(V_L3_Mes)+1)=1,N(V_L3_Monto),CZ$290),PMT(N(V_L3_Tasa)/12,N(V_L3_Cuotas),-N(V_L3_Monto))-DA$288),0)*DA$9</f>
        <v>0</v>
      </c>
      <c r="DB289" s="48" t="n">
        <f aca="false">IF(AND((101-N(V_L3_Mes)+1)&gt;N(V_L3_Gracia),(101-N(V_L3_Mes)+1)&lt;=N(V_L3_Gracia)+N(V_L3_Cuotas),N(V_L3_Cuotas)&gt;0),IF((101-N(V_L3_Mes)+1)=N(V_L3_Gracia)+N(V_L3_Cuotas),IF((101-N(V_L3_Mes)+1)=1,N(V_L3_Monto),DA$290),PMT(N(V_L3_Tasa)/12,N(V_L3_Cuotas),-N(V_L3_Monto))-DB$288),0)*DB$9</f>
        <v>0</v>
      </c>
      <c r="DC289" s="48" t="n">
        <f aca="false">IF(AND((102-N(V_L3_Mes)+1)&gt;N(V_L3_Gracia),(102-N(V_L3_Mes)+1)&lt;=N(V_L3_Gracia)+N(V_L3_Cuotas),N(V_L3_Cuotas)&gt;0),IF((102-N(V_L3_Mes)+1)=N(V_L3_Gracia)+N(V_L3_Cuotas),IF((102-N(V_L3_Mes)+1)=1,N(V_L3_Monto),DB$290),PMT(N(V_L3_Tasa)/12,N(V_L3_Cuotas),-N(V_L3_Monto))-DC$288),0)*DC$9</f>
        <v>0</v>
      </c>
      <c r="DD289" s="48" t="n">
        <f aca="false">IF(AND((103-N(V_L3_Mes)+1)&gt;N(V_L3_Gracia),(103-N(V_L3_Mes)+1)&lt;=N(V_L3_Gracia)+N(V_L3_Cuotas),N(V_L3_Cuotas)&gt;0),IF((103-N(V_L3_Mes)+1)=N(V_L3_Gracia)+N(V_L3_Cuotas),IF((103-N(V_L3_Mes)+1)=1,N(V_L3_Monto),DC$290),PMT(N(V_L3_Tasa)/12,N(V_L3_Cuotas),-N(V_L3_Monto))-DD$288),0)*DD$9</f>
        <v>0</v>
      </c>
      <c r="DE289" s="48" t="n">
        <f aca="false">IF(AND((104-N(V_L3_Mes)+1)&gt;N(V_L3_Gracia),(104-N(V_L3_Mes)+1)&lt;=N(V_L3_Gracia)+N(V_L3_Cuotas),N(V_L3_Cuotas)&gt;0),IF((104-N(V_L3_Mes)+1)=N(V_L3_Gracia)+N(V_L3_Cuotas),IF((104-N(V_L3_Mes)+1)=1,N(V_L3_Monto),DD$290),PMT(N(V_L3_Tasa)/12,N(V_L3_Cuotas),-N(V_L3_Monto))-DE$288),0)*DE$9</f>
        <v>0</v>
      </c>
      <c r="DF289" s="48" t="n">
        <f aca="false">IF(AND((105-N(V_L3_Mes)+1)&gt;N(V_L3_Gracia),(105-N(V_L3_Mes)+1)&lt;=N(V_L3_Gracia)+N(V_L3_Cuotas),N(V_L3_Cuotas)&gt;0),IF((105-N(V_L3_Mes)+1)=N(V_L3_Gracia)+N(V_L3_Cuotas),IF((105-N(V_L3_Mes)+1)=1,N(V_L3_Monto),DE$290),PMT(N(V_L3_Tasa)/12,N(V_L3_Cuotas),-N(V_L3_Monto))-DF$288),0)*DF$9</f>
        <v>0</v>
      </c>
      <c r="DG289" s="48" t="n">
        <f aca="false">IF(AND((106-N(V_L3_Mes)+1)&gt;N(V_L3_Gracia),(106-N(V_L3_Mes)+1)&lt;=N(V_L3_Gracia)+N(V_L3_Cuotas),N(V_L3_Cuotas)&gt;0),IF((106-N(V_L3_Mes)+1)=N(V_L3_Gracia)+N(V_L3_Cuotas),IF((106-N(V_L3_Mes)+1)=1,N(V_L3_Monto),DF$290),PMT(N(V_L3_Tasa)/12,N(V_L3_Cuotas),-N(V_L3_Monto))-DG$288),0)*DG$9</f>
        <v>0</v>
      </c>
      <c r="DH289" s="48" t="n">
        <f aca="false">IF(AND((107-N(V_L3_Mes)+1)&gt;N(V_L3_Gracia),(107-N(V_L3_Mes)+1)&lt;=N(V_L3_Gracia)+N(V_L3_Cuotas),N(V_L3_Cuotas)&gt;0),IF((107-N(V_L3_Mes)+1)=N(V_L3_Gracia)+N(V_L3_Cuotas),IF((107-N(V_L3_Mes)+1)=1,N(V_L3_Monto),DG$290),PMT(N(V_L3_Tasa)/12,N(V_L3_Cuotas),-N(V_L3_Monto))-DH$288),0)*DH$9</f>
        <v>0</v>
      </c>
      <c r="DI289" s="48" t="n">
        <f aca="false">IF(AND((108-N(V_L3_Mes)+1)&gt;N(V_L3_Gracia),(108-N(V_L3_Mes)+1)&lt;=N(V_L3_Gracia)+N(V_L3_Cuotas),N(V_L3_Cuotas)&gt;0),IF((108-N(V_L3_Mes)+1)=N(V_L3_Gracia)+N(V_L3_Cuotas),IF((108-N(V_L3_Mes)+1)=1,N(V_L3_Monto),DH$290),PMT(N(V_L3_Tasa)/12,N(V_L3_Cuotas),-N(V_L3_Monto))-DI$288),0)*DI$9</f>
        <v>0</v>
      </c>
      <c r="DJ289" s="48" t="n">
        <f aca="false">IF(AND((109-N(V_L3_Mes)+1)&gt;N(V_L3_Gracia),(109-N(V_L3_Mes)+1)&lt;=N(V_L3_Gracia)+N(V_L3_Cuotas),N(V_L3_Cuotas)&gt;0),IF((109-N(V_L3_Mes)+1)=N(V_L3_Gracia)+N(V_L3_Cuotas),IF((109-N(V_L3_Mes)+1)=1,N(V_L3_Monto),DI$290),PMT(N(V_L3_Tasa)/12,N(V_L3_Cuotas),-N(V_L3_Monto))-DJ$288),0)*DJ$9</f>
        <v>0</v>
      </c>
      <c r="DK289" s="48" t="n">
        <f aca="false">IF(AND((110-N(V_L3_Mes)+1)&gt;N(V_L3_Gracia),(110-N(V_L3_Mes)+1)&lt;=N(V_L3_Gracia)+N(V_L3_Cuotas),N(V_L3_Cuotas)&gt;0),IF((110-N(V_L3_Mes)+1)=N(V_L3_Gracia)+N(V_L3_Cuotas),IF((110-N(V_L3_Mes)+1)=1,N(V_L3_Monto),DJ$290),PMT(N(V_L3_Tasa)/12,N(V_L3_Cuotas),-N(V_L3_Monto))-DK$288),0)*DK$9</f>
        <v>0</v>
      </c>
      <c r="DL289" s="48" t="n">
        <f aca="false">IF(AND((111-N(V_L3_Mes)+1)&gt;N(V_L3_Gracia),(111-N(V_L3_Mes)+1)&lt;=N(V_L3_Gracia)+N(V_L3_Cuotas),N(V_L3_Cuotas)&gt;0),IF((111-N(V_L3_Mes)+1)=N(V_L3_Gracia)+N(V_L3_Cuotas),IF((111-N(V_L3_Mes)+1)=1,N(V_L3_Monto),DK$290),PMT(N(V_L3_Tasa)/12,N(V_L3_Cuotas),-N(V_L3_Monto))-DL$288),0)*DL$9</f>
        <v>0</v>
      </c>
      <c r="DM289" s="48" t="n">
        <f aca="false">IF(AND((112-N(V_L3_Mes)+1)&gt;N(V_L3_Gracia),(112-N(V_L3_Mes)+1)&lt;=N(V_L3_Gracia)+N(V_L3_Cuotas),N(V_L3_Cuotas)&gt;0),IF((112-N(V_L3_Mes)+1)=N(V_L3_Gracia)+N(V_L3_Cuotas),IF((112-N(V_L3_Mes)+1)=1,N(V_L3_Monto),DL$290),PMT(N(V_L3_Tasa)/12,N(V_L3_Cuotas),-N(V_L3_Monto))-DM$288),0)*DM$9</f>
        <v>0</v>
      </c>
      <c r="DN289" s="48" t="n">
        <f aca="false">IF(AND((113-N(V_L3_Mes)+1)&gt;N(V_L3_Gracia),(113-N(V_L3_Mes)+1)&lt;=N(V_L3_Gracia)+N(V_L3_Cuotas),N(V_L3_Cuotas)&gt;0),IF((113-N(V_L3_Mes)+1)=N(V_L3_Gracia)+N(V_L3_Cuotas),IF((113-N(V_L3_Mes)+1)=1,N(V_L3_Monto),DM$290),PMT(N(V_L3_Tasa)/12,N(V_L3_Cuotas),-N(V_L3_Monto))-DN$288),0)*DN$9</f>
        <v>0</v>
      </c>
      <c r="DO289" s="48" t="n">
        <f aca="false">IF(AND((114-N(V_L3_Mes)+1)&gt;N(V_L3_Gracia),(114-N(V_L3_Mes)+1)&lt;=N(V_L3_Gracia)+N(V_L3_Cuotas),N(V_L3_Cuotas)&gt;0),IF((114-N(V_L3_Mes)+1)=N(V_L3_Gracia)+N(V_L3_Cuotas),IF((114-N(V_L3_Mes)+1)=1,N(V_L3_Monto),DN$290),PMT(N(V_L3_Tasa)/12,N(V_L3_Cuotas),-N(V_L3_Monto))-DO$288),0)*DO$9</f>
        <v>0</v>
      </c>
      <c r="DP289" s="48" t="n">
        <f aca="false">IF(AND((115-N(V_L3_Mes)+1)&gt;N(V_L3_Gracia),(115-N(V_L3_Mes)+1)&lt;=N(V_L3_Gracia)+N(V_L3_Cuotas),N(V_L3_Cuotas)&gt;0),IF((115-N(V_L3_Mes)+1)=N(V_L3_Gracia)+N(V_L3_Cuotas),IF((115-N(V_L3_Mes)+1)=1,N(V_L3_Monto),DO$290),PMT(N(V_L3_Tasa)/12,N(V_L3_Cuotas),-N(V_L3_Monto))-DP$288),0)*DP$9</f>
        <v>0</v>
      </c>
      <c r="DQ289" s="48" t="n">
        <f aca="false">IF(AND((116-N(V_L3_Mes)+1)&gt;N(V_L3_Gracia),(116-N(V_L3_Mes)+1)&lt;=N(V_L3_Gracia)+N(V_L3_Cuotas),N(V_L3_Cuotas)&gt;0),IF((116-N(V_L3_Mes)+1)=N(V_L3_Gracia)+N(V_L3_Cuotas),IF((116-N(V_L3_Mes)+1)=1,N(V_L3_Monto),DP$290),PMT(N(V_L3_Tasa)/12,N(V_L3_Cuotas),-N(V_L3_Monto))-DQ$288),0)*DQ$9</f>
        <v>0</v>
      </c>
      <c r="DR289" s="48" t="n">
        <f aca="false">IF(AND((117-N(V_L3_Mes)+1)&gt;N(V_L3_Gracia),(117-N(V_L3_Mes)+1)&lt;=N(V_L3_Gracia)+N(V_L3_Cuotas),N(V_L3_Cuotas)&gt;0),IF((117-N(V_L3_Mes)+1)=N(V_L3_Gracia)+N(V_L3_Cuotas),IF((117-N(V_L3_Mes)+1)=1,N(V_L3_Monto),DQ$290),PMT(N(V_L3_Tasa)/12,N(V_L3_Cuotas),-N(V_L3_Monto))-DR$288),0)*DR$9</f>
        <v>0</v>
      </c>
      <c r="DS289" s="48" t="n">
        <f aca="false">IF(AND((118-N(V_L3_Mes)+1)&gt;N(V_L3_Gracia),(118-N(V_L3_Mes)+1)&lt;=N(V_L3_Gracia)+N(V_L3_Cuotas),N(V_L3_Cuotas)&gt;0),IF((118-N(V_L3_Mes)+1)=N(V_L3_Gracia)+N(V_L3_Cuotas),IF((118-N(V_L3_Mes)+1)=1,N(V_L3_Monto),DR$290),PMT(N(V_L3_Tasa)/12,N(V_L3_Cuotas),-N(V_L3_Monto))-DS$288),0)*DS$9</f>
        <v>0</v>
      </c>
      <c r="DT289" s="48" t="n">
        <f aca="false">IF(AND((119-N(V_L3_Mes)+1)&gt;N(V_L3_Gracia),(119-N(V_L3_Mes)+1)&lt;=N(V_L3_Gracia)+N(V_L3_Cuotas),N(V_L3_Cuotas)&gt;0),IF((119-N(V_L3_Mes)+1)=N(V_L3_Gracia)+N(V_L3_Cuotas),IF((119-N(V_L3_Mes)+1)=1,N(V_L3_Monto),DS$290),PMT(N(V_L3_Tasa)/12,N(V_L3_Cuotas),-N(V_L3_Monto))-DT$288),0)*DT$9</f>
        <v>0</v>
      </c>
      <c r="DU289" s="48" t="n">
        <f aca="false">IF(AND((120-N(V_L3_Mes)+1)&gt;N(V_L3_Gracia),(120-N(V_L3_Mes)+1)&lt;=N(V_L3_Gracia)+N(V_L3_Cuotas),N(V_L3_Cuotas)&gt;0),IF((120-N(V_L3_Mes)+1)=N(V_L3_Gracia)+N(V_L3_Cuotas),IF((120-N(V_L3_Mes)+1)=1,N(V_L3_Monto),DT$290),PMT(N(V_L3_Tasa)/12,N(V_L3_Cuotas),-N(V_L3_Monto))-DU$288),0)*DU$9</f>
        <v>0</v>
      </c>
      <c r="DV289" s="48" t="n">
        <f aca="false">IF(AND((121-N(V_L3_Mes)+1)&gt;N(V_L3_Gracia),(121-N(V_L3_Mes)+1)&lt;=N(V_L3_Gracia)+N(V_L3_Cuotas),N(V_L3_Cuotas)&gt;0),IF((121-N(V_L3_Mes)+1)=N(V_L3_Gracia)+N(V_L3_Cuotas),IF((121-N(V_L3_Mes)+1)=1,N(V_L3_Monto),DU$290),PMT(N(V_L3_Tasa)/12,N(V_L3_Cuotas),-N(V_L3_Monto))-DV$288),0)*DV$9</f>
        <v>0</v>
      </c>
      <c r="DW289" s="48" t="n">
        <f aca="false">IF(AND((122-N(V_L3_Mes)+1)&gt;N(V_L3_Gracia),(122-N(V_L3_Mes)+1)&lt;=N(V_L3_Gracia)+N(V_L3_Cuotas),N(V_L3_Cuotas)&gt;0),IF((122-N(V_L3_Mes)+1)=N(V_L3_Gracia)+N(V_L3_Cuotas),IF((122-N(V_L3_Mes)+1)=1,N(V_L3_Monto),DV$290),PMT(N(V_L3_Tasa)/12,N(V_L3_Cuotas),-N(V_L3_Monto))-DW$288),0)*DW$9</f>
        <v>0</v>
      </c>
      <c r="DX289" s="48" t="n">
        <f aca="false">IF(AND((123-N(V_L3_Mes)+1)&gt;N(V_L3_Gracia),(123-N(V_L3_Mes)+1)&lt;=N(V_L3_Gracia)+N(V_L3_Cuotas),N(V_L3_Cuotas)&gt;0),IF((123-N(V_L3_Mes)+1)=N(V_L3_Gracia)+N(V_L3_Cuotas),IF((123-N(V_L3_Mes)+1)=1,N(V_L3_Monto),DW$290),PMT(N(V_L3_Tasa)/12,N(V_L3_Cuotas),-N(V_L3_Monto))-DX$288),0)*DX$9</f>
        <v>0</v>
      </c>
      <c r="DY289" s="48" t="n">
        <f aca="false">IF(AND((124-N(V_L3_Mes)+1)&gt;N(V_L3_Gracia),(124-N(V_L3_Mes)+1)&lt;=N(V_L3_Gracia)+N(V_L3_Cuotas),N(V_L3_Cuotas)&gt;0),IF((124-N(V_L3_Mes)+1)=N(V_L3_Gracia)+N(V_L3_Cuotas),IF((124-N(V_L3_Mes)+1)=1,N(V_L3_Monto),DX$290),PMT(N(V_L3_Tasa)/12,N(V_L3_Cuotas),-N(V_L3_Monto))-DY$288),0)*DY$9</f>
        <v>0</v>
      </c>
      <c r="DZ289" s="48" t="n">
        <f aca="false">IF(AND((125-N(V_L3_Mes)+1)&gt;N(V_L3_Gracia),(125-N(V_L3_Mes)+1)&lt;=N(V_L3_Gracia)+N(V_L3_Cuotas),N(V_L3_Cuotas)&gt;0),IF((125-N(V_L3_Mes)+1)=N(V_L3_Gracia)+N(V_L3_Cuotas),IF((125-N(V_L3_Mes)+1)=1,N(V_L3_Monto),DY$290),PMT(N(V_L3_Tasa)/12,N(V_L3_Cuotas),-N(V_L3_Monto))-DZ$288),0)*DZ$9</f>
        <v>0</v>
      </c>
      <c r="EA289" s="48" t="n">
        <f aca="false">IF(AND((126-N(V_L3_Mes)+1)&gt;N(V_L3_Gracia),(126-N(V_L3_Mes)+1)&lt;=N(V_L3_Gracia)+N(V_L3_Cuotas),N(V_L3_Cuotas)&gt;0),IF((126-N(V_L3_Mes)+1)=N(V_L3_Gracia)+N(V_L3_Cuotas),IF((126-N(V_L3_Mes)+1)=1,N(V_L3_Monto),DZ$290),PMT(N(V_L3_Tasa)/12,N(V_L3_Cuotas),-N(V_L3_Monto))-EA$288),0)*EA$9</f>
        <v>0</v>
      </c>
      <c r="EB289" s="48" t="n">
        <f aca="false">IF(AND((127-N(V_L3_Mes)+1)&gt;N(V_L3_Gracia),(127-N(V_L3_Mes)+1)&lt;=N(V_L3_Gracia)+N(V_L3_Cuotas),N(V_L3_Cuotas)&gt;0),IF((127-N(V_L3_Mes)+1)=N(V_L3_Gracia)+N(V_L3_Cuotas),IF((127-N(V_L3_Mes)+1)=1,N(V_L3_Monto),EA$290),PMT(N(V_L3_Tasa)/12,N(V_L3_Cuotas),-N(V_L3_Monto))-EB$288),0)*EB$9</f>
        <v>0</v>
      </c>
      <c r="EC289" s="48" t="n">
        <f aca="false">IF(AND((128-N(V_L3_Mes)+1)&gt;N(V_L3_Gracia),(128-N(V_L3_Mes)+1)&lt;=N(V_L3_Gracia)+N(V_L3_Cuotas),N(V_L3_Cuotas)&gt;0),IF((128-N(V_L3_Mes)+1)=N(V_L3_Gracia)+N(V_L3_Cuotas),IF((128-N(V_L3_Mes)+1)=1,N(V_L3_Monto),EB$290),PMT(N(V_L3_Tasa)/12,N(V_L3_Cuotas),-N(V_L3_Monto))-EC$288),0)*EC$9</f>
        <v>0</v>
      </c>
      <c r="ED289" s="48" t="n">
        <f aca="false">IF(AND((129-N(V_L3_Mes)+1)&gt;N(V_L3_Gracia),(129-N(V_L3_Mes)+1)&lt;=N(V_L3_Gracia)+N(V_L3_Cuotas),N(V_L3_Cuotas)&gt;0),IF((129-N(V_L3_Mes)+1)=N(V_L3_Gracia)+N(V_L3_Cuotas),IF((129-N(V_L3_Mes)+1)=1,N(V_L3_Monto),EC$290),PMT(N(V_L3_Tasa)/12,N(V_L3_Cuotas),-N(V_L3_Monto))-ED$288),0)*ED$9</f>
        <v>0</v>
      </c>
      <c r="EE289" s="48" t="n">
        <f aca="false">IF(AND((130-N(V_L3_Mes)+1)&gt;N(V_L3_Gracia),(130-N(V_L3_Mes)+1)&lt;=N(V_L3_Gracia)+N(V_L3_Cuotas),N(V_L3_Cuotas)&gt;0),IF((130-N(V_L3_Mes)+1)=N(V_L3_Gracia)+N(V_L3_Cuotas),IF((130-N(V_L3_Mes)+1)=1,N(V_L3_Monto),ED$290),PMT(N(V_L3_Tasa)/12,N(V_L3_Cuotas),-N(V_L3_Monto))-EE$288),0)*EE$9</f>
        <v>0</v>
      </c>
      <c r="EF289" s="48" t="n">
        <f aca="false">IF(AND((131-N(V_L3_Mes)+1)&gt;N(V_L3_Gracia),(131-N(V_L3_Mes)+1)&lt;=N(V_L3_Gracia)+N(V_L3_Cuotas),N(V_L3_Cuotas)&gt;0),IF((131-N(V_L3_Mes)+1)=N(V_L3_Gracia)+N(V_L3_Cuotas),IF((131-N(V_L3_Mes)+1)=1,N(V_L3_Monto),EE$290),PMT(N(V_L3_Tasa)/12,N(V_L3_Cuotas),-N(V_L3_Monto))-EF$288),0)*EF$9</f>
        <v>0</v>
      </c>
      <c r="EG289" s="48" t="n">
        <f aca="false">IF(AND((132-N(V_L3_Mes)+1)&gt;N(V_L3_Gracia),(132-N(V_L3_Mes)+1)&lt;=N(V_L3_Gracia)+N(V_L3_Cuotas),N(V_L3_Cuotas)&gt;0),IF((132-N(V_L3_Mes)+1)=N(V_L3_Gracia)+N(V_L3_Cuotas),IF((132-N(V_L3_Mes)+1)=1,N(V_L3_Monto),EF$290),PMT(N(V_L3_Tasa)/12,N(V_L3_Cuotas),-N(V_L3_Monto))-EG$288),0)*EG$9</f>
        <v>0</v>
      </c>
      <c r="EH289" s="48" t="n">
        <f aca="false">IF(AND((133-N(V_L3_Mes)+1)&gt;N(V_L3_Gracia),(133-N(V_L3_Mes)+1)&lt;=N(V_L3_Gracia)+N(V_L3_Cuotas),N(V_L3_Cuotas)&gt;0),IF((133-N(V_L3_Mes)+1)=N(V_L3_Gracia)+N(V_L3_Cuotas),IF((133-N(V_L3_Mes)+1)=1,N(V_L3_Monto),EG$290),PMT(N(V_L3_Tasa)/12,N(V_L3_Cuotas),-N(V_L3_Monto))-EH$288),0)*EH$9</f>
        <v>0</v>
      </c>
      <c r="EI289" s="48" t="n">
        <f aca="false">IF(AND((134-N(V_L3_Mes)+1)&gt;N(V_L3_Gracia),(134-N(V_L3_Mes)+1)&lt;=N(V_L3_Gracia)+N(V_L3_Cuotas),N(V_L3_Cuotas)&gt;0),IF((134-N(V_L3_Mes)+1)=N(V_L3_Gracia)+N(V_L3_Cuotas),IF((134-N(V_L3_Mes)+1)=1,N(V_L3_Monto),EH$290),PMT(N(V_L3_Tasa)/12,N(V_L3_Cuotas),-N(V_L3_Monto))-EI$288),0)*EI$9</f>
        <v>0</v>
      </c>
      <c r="EJ289" s="48" t="n">
        <f aca="false">IF(AND((135-N(V_L3_Mes)+1)&gt;N(V_L3_Gracia),(135-N(V_L3_Mes)+1)&lt;=N(V_L3_Gracia)+N(V_L3_Cuotas),N(V_L3_Cuotas)&gt;0),IF((135-N(V_L3_Mes)+1)=N(V_L3_Gracia)+N(V_L3_Cuotas),IF((135-N(V_L3_Mes)+1)=1,N(V_L3_Monto),EI$290),PMT(N(V_L3_Tasa)/12,N(V_L3_Cuotas),-N(V_L3_Monto))-EJ$288),0)*EJ$9</f>
        <v>0</v>
      </c>
      <c r="EK289" s="48" t="n">
        <f aca="false">IF(AND((136-N(V_L3_Mes)+1)&gt;N(V_L3_Gracia),(136-N(V_L3_Mes)+1)&lt;=N(V_L3_Gracia)+N(V_L3_Cuotas),N(V_L3_Cuotas)&gt;0),IF((136-N(V_L3_Mes)+1)=N(V_L3_Gracia)+N(V_L3_Cuotas),IF((136-N(V_L3_Mes)+1)=1,N(V_L3_Monto),EJ$290),PMT(N(V_L3_Tasa)/12,N(V_L3_Cuotas),-N(V_L3_Monto))-EK$288),0)*EK$9</f>
        <v>0</v>
      </c>
      <c r="EL289" s="48" t="n">
        <f aca="false">IF(AND((137-N(V_L3_Mes)+1)&gt;N(V_L3_Gracia),(137-N(V_L3_Mes)+1)&lt;=N(V_L3_Gracia)+N(V_L3_Cuotas),N(V_L3_Cuotas)&gt;0),IF((137-N(V_L3_Mes)+1)=N(V_L3_Gracia)+N(V_L3_Cuotas),IF((137-N(V_L3_Mes)+1)=1,N(V_L3_Monto),EK$290),PMT(N(V_L3_Tasa)/12,N(V_L3_Cuotas),-N(V_L3_Monto))-EL$288),0)*EL$9</f>
        <v>0</v>
      </c>
      <c r="EM289" s="48" t="n">
        <f aca="false">IF(AND((138-N(V_L3_Mes)+1)&gt;N(V_L3_Gracia),(138-N(V_L3_Mes)+1)&lt;=N(V_L3_Gracia)+N(V_L3_Cuotas),N(V_L3_Cuotas)&gt;0),IF((138-N(V_L3_Mes)+1)=N(V_L3_Gracia)+N(V_L3_Cuotas),IF((138-N(V_L3_Mes)+1)=1,N(V_L3_Monto),EL$290),PMT(N(V_L3_Tasa)/12,N(V_L3_Cuotas),-N(V_L3_Monto))-EM$288),0)*EM$9</f>
        <v>0</v>
      </c>
      <c r="EN289" s="48" t="n">
        <f aca="false">IF(AND((139-N(V_L3_Mes)+1)&gt;N(V_L3_Gracia),(139-N(V_L3_Mes)+1)&lt;=N(V_L3_Gracia)+N(V_L3_Cuotas),N(V_L3_Cuotas)&gt;0),IF((139-N(V_L3_Mes)+1)=N(V_L3_Gracia)+N(V_L3_Cuotas),IF((139-N(V_L3_Mes)+1)=1,N(V_L3_Monto),EM$290),PMT(N(V_L3_Tasa)/12,N(V_L3_Cuotas),-N(V_L3_Monto))-EN$288),0)*EN$9</f>
        <v>0</v>
      </c>
      <c r="EO289" s="48" t="n">
        <f aca="false">IF(AND((140-N(V_L3_Mes)+1)&gt;N(V_L3_Gracia),(140-N(V_L3_Mes)+1)&lt;=N(V_L3_Gracia)+N(V_L3_Cuotas),N(V_L3_Cuotas)&gt;0),IF((140-N(V_L3_Mes)+1)=N(V_L3_Gracia)+N(V_L3_Cuotas),IF((140-N(V_L3_Mes)+1)=1,N(V_L3_Monto),EN$290),PMT(N(V_L3_Tasa)/12,N(V_L3_Cuotas),-N(V_L3_Monto))-EO$288),0)*EO$9</f>
        <v>0</v>
      </c>
      <c r="EP289" s="48" t="n">
        <f aca="false">IF(AND((141-N(V_L3_Mes)+1)&gt;N(V_L3_Gracia),(141-N(V_L3_Mes)+1)&lt;=N(V_L3_Gracia)+N(V_L3_Cuotas),N(V_L3_Cuotas)&gt;0),IF((141-N(V_L3_Mes)+1)=N(V_L3_Gracia)+N(V_L3_Cuotas),IF((141-N(V_L3_Mes)+1)=1,N(V_L3_Monto),EO$290),PMT(N(V_L3_Tasa)/12,N(V_L3_Cuotas),-N(V_L3_Monto))-EP$288),0)*EP$9</f>
        <v>0</v>
      </c>
      <c r="EQ289" s="48" t="n">
        <f aca="false">IF(AND((142-N(V_L3_Mes)+1)&gt;N(V_L3_Gracia),(142-N(V_L3_Mes)+1)&lt;=N(V_L3_Gracia)+N(V_L3_Cuotas),N(V_L3_Cuotas)&gt;0),IF((142-N(V_L3_Mes)+1)=N(V_L3_Gracia)+N(V_L3_Cuotas),IF((142-N(V_L3_Mes)+1)=1,N(V_L3_Monto),EP$290),PMT(N(V_L3_Tasa)/12,N(V_L3_Cuotas),-N(V_L3_Monto))-EQ$288),0)*EQ$9</f>
        <v>0</v>
      </c>
      <c r="ER289" s="48" t="n">
        <f aca="false">IF(AND((143-N(V_L3_Mes)+1)&gt;N(V_L3_Gracia),(143-N(V_L3_Mes)+1)&lt;=N(V_L3_Gracia)+N(V_L3_Cuotas),N(V_L3_Cuotas)&gt;0),IF((143-N(V_L3_Mes)+1)=N(V_L3_Gracia)+N(V_L3_Cuotas),IF((143-N(V_L3_Mes)+1)=1,N(V_L3_Monto),EQ$290),PMT(N(V_L3_Tasa)/12,N(V_L3_Cuotas),-N(V_L3_Monto))-ER$288),0)*ER$9</f>
        <v>0</v>
      </c>
      <c r="ES289" s="48" t="n">
        <f aca="false">IF(AND((144-N(V_L3_Mes)+1)&gt;N(V_L3_Gracia),(144-N(V_L3_Mes)+1)&lt;=N(V_L3_Gracia)+N(V_L3_Cuotas),N(V_L3_Cuotas)&gt;0),IF((144-N(V_L3_Mes)+1)=N(V_L3_Gracia)+N(V_L3_Cuotas),IF((144-N(V_L3_Mes)+1)=1,N(V_L3_Monto),ER$290),PMT(N(V_L3_Tasa)/12,N(V_L3_Cuotas),-N(V_L3_Monto))-ES$288),0)*ES$9</f>
        <v>0</v>
      </c>
    </row>
    <row r="290" customFormat="false" ht="15" hidden="false" customHeight="false" outlineLevel="0" collapsed="false">
      <c r="A290" s="11" t="s">
        <v>1408</v>
      </c>
      <c r="B290" s="15" t="s">
        <v>1233</v>
      </c>
      <c r="C290" s="15" t="s">
        <v>508</v>
      </c>
      <c r="E290" s="54" t="n">
        <f aca="false">INDEX(F290:ES290,1,MIN(144,Fin))</f>
        <v>0</v>
      </c>
      <c r="F290" s="48" t="n">
        <f aca="false">IF((1-N(V_L3_Mes)+1)&lt;1,0,IF((1-N(V_L3_Mes)+1)=1,N(V_L3_Monto),0)-F$289)</f>
        <v>0</v>
      </c>
      <c r="G290" s="48" t="n">
        <f aca="false">IF((2-N(V_L3_Mes)+1)&lt;1,0,IF((2-N(V_L3_Mes)+1)=1,N(V_L3_Monto),F$290)-G$289)</f>
        <v>0</v>
      </c>
      <c r="H290" s="48" t="n">
        <f aca="false">IF((3-N(V_L3_Mes)+1)&lt;1,0,IF((3-N(V_L3_Mes)+1)=1,N(V_L3_Monto),G$290)-H$289)</f>
        <v>0</v>
      </c>
      <c r="I290" s="48" t="n">
        <f aca="false">IF((4-N(V_L3_Mes)+1)&lt;1,0,IF((4-N(V_L3_Mes)+1)=1,N(V_L3_Monto),H$290)-I$289)</f>
        <v>0</v>
      </c>
      <c r="J290" s="48" t="n">
        <f aca="false">IF((5-N(V_L3_Mes)+1)&lt;1,0,IF((5-N(V_L3_Mes)+1)=1,N(V_L3_Monto),I$290)-J$289)</f>
        <v>0</v>
      </c>
      <c r="K290" s="48" t="n">
        <f aca="false">IF((6-N(V_L3_Mes)+1)&lt;1,0,IF((6-N(V_L3_Mes)+1)=1,N(V_L3_Monto),J$290)-K$289)</f>
        <v>0</v>
      </c>
      <c r="L290" s="48" t="n">
        <f aca="false">IF((7-N(V_L3_Mes)+1)&lt;1,0,IF((7-N(V_L3_Mes)+1)=1,N(V_L3_Monto),K$290)-L$289)</f>
        <v>0</v>
      </c>
      <c r="M290" s="48" t="n">
        <f aca="false">IF((8-N(V_L3_Mes)+1)&lt;1,0,IF((8-N(V_L3_Mes)+1)=1,N(V_L3_Monto),L$290)-M$289)</f>
        <v>0</v>
      </c>
      <c r="N290" s="48" t="n">
        <f aca="false">IF((9-N(V_L3_Mes)+1)&lt;1,0,IF((9-N(V_L3_Mes)+1)=1,N(V_L3_Monto),M$290)-N$289)</f>
        <v>0</v>
      </c>
      <c r="O290" s="48" t="n">
        <f aca="false">IF((10-N(V_L3_Mes)+1)&lt;1,0,IF((10-N(V_L3_Mes)+1)=1,N(V_L3_Monto),N$290)-O$289)</f>
        <v>0</v>
      </c>
      <c r="P290" s="48" t="n">
        <f aca="false">IF((11-N(V_L3_Mes)+1)&lt;1,0,IF((11-N(V_L3_Mes)+1)=1,N(V_L3_Monto),O$290)-P$289)</f>
        <v>0</v>
      </c>
      <c r="Q290" s="48" t="n">
        <f aca="false">IF((12-N(V_L3_Mes)+1)&lt;1,0,IF((12-N(V_L3_Mes)+1)=1,N(V_L3_Monto),P$290)-Q$289)</f>
        <v>0</v>
      </c>
      <c r="R290" s="48" t="n">
        <f aca="false">IF((13-N(V_L3_Mes)+1)&lt;1,0,IF((13-N(V_L3_Mes)+1)=1,N(V_L3_Monto),Q$290)-R$289)</f>
        <v>0</v>
      </c>
      <c r="S290" s="48" t="n">
        <f aca="false">IF((14-N(V_L3_Mes)+1)&lt;1,0,IF((14-N(V_L3_Mes)+1)=1,N(V_L3_Monto),R$290)-S$289)</f>
        <v>0</v>
      </c>
      <c r="T290" s="48" t="n">
        <f aca="false">IF((15-N(V_L3_Mes)+1)&lt;1,0,IF((15-N(V_L3_Mes)+1)=1,N(V_L3_Monto),S$290)-T$289)</f>
        <v>0</v>
      </c>
      <c r="U290" s="48" t="n">
        <f aca="false">IF((16-N(V_L3_Mes)+1)&lt;1,0,IF((16-N(V_L3_Mes)+1)=1,N(V_L3_Monto),T$290)-U$289)</f>
        <v>0</v>
      </c>
      <c r="V290" s="48" t="n">
        <f aca="false">IF((17-N(V_L3_Mes)+1)&lt;1,0,IF((17-N(V_L3_Mes)+1)=1,N(V_L3_Monto),U$290)-V$289)</f>
        <v>0</v>
      </c>
      <c r="W290" s="48" t="n">
        <f aca="false">IF((18-N(V_L3_Mes)+1)&lt;1,0,IF((18-N(V_L3_Mes)+1)=1,N(V_L3_Monto),V$290)-W$289)</f>
        <v>0</v>
      </c>
      <c r="X290" s="48" t="n">
        <f aca="false">IF((19-N(V_L3_Mes)+1)&lt;1,0,IF((19-N(V_L3_Mes)+1)=1,N(V_L3_Monto),W$290)-X$289)</f>
        <v>0</v>
      </c>
      <c r="Y290" s="48" t="n">
        <f aca="false">IF((20-N(V_L3_Mes)+1)&lt;1,0,IF((20-N(V_L3_Mes)+1)=1,N(V_L3_Monto),X$290)-Y$289)</f>
        <v>0</v>
      </c>
      <c r="Z290" s="48" t="n">
        <f aca="false">IF((21-N(V_L3_Mes)+1)&lt;1,0,IF((21-N(V_L3_Mes)+1)=1,N(V_L3_Monto),Y$290)-Z$289)</f>
        <v>0</v>
      </c>
      <c r="AA290" s="48" t="n">
        <f aca="false">IF((22-N(V_L3_Mes)+1)&lt;1,0,IF((22-N(V_L3_Mes)+1)=1,N(V_L3_Monto),Z$290)-AA$289)</f>
        <v>0</v>
      </c>
      <c r="AB290" s="48" t="n">
        <f aca="false">IF((23-N(V_L3_Mes)+1)&lt;1,0,IF((23-N(V_L3_Mes)+1)=1,N(V_L3_Monto),AA$290)-AB$289)</f>
        <v>0</v>
      </c>
      <c r="AC290" s="48" t="n">
        <f aca="false">IF((24-N(V_L3_Mes)+1)&lt;1,0,IF((24-N(V_L3_Mes)+1)=1,N(V_L3_Monto),AB$290)-AC$289)</f>
        <v>0</v>
      </c>
      <c r="AD290" s="48" t="n">
        <f aca="false">IF((25-N(V_L3_Mes)+1)&lt;1,0,IF((25-N(V_L3_Mes)+1)=1,N(V_L3_Monto),AC$290)-AD$289)</f>
        <v>0</v>
      </c>
      <c r="AE290" s="48" t="n">
        <f aca="false">IF((26-N(V_L3_Mes)+1)&lt;1,0,IF((26-N(V_L3_Mes)+1)=1,N(V_L3_Monto),AD$290)-AE$289)</f>
        <v>0</v>
      </c>
      <c r="AF290" s="48" t="n">
        <f aca="false">IF((27-N(V_L3_Mes)+1)&lt;1,0,IF((27-N(V_L3_Mes)+1)=1,N(V_L3_Monto),AE$290)-AF$289)</f>
        <v>0</v>
      </c>
      <c r="AG290" s="48" t="n">
        <f aca="false">IF((28-N(V_L3_Mes)+1)&lt;1,0,IF((28-N(V_L3_Mes)+1)=1,N(V_L3_Monto),AF$290)-AG$289)</f>
        <v>0</v>
      </c>
      <c r="AH290" s="48" t="n">
        <f aca="false">IF((29-N(V_L3_Mes)+1)&lt;1,0,IF((29-N(V_L3_Mes)+1)=1,N(V_L3_Monto),AG$290)-AH$289)</f>
        <v>0</v>
      </c>
      <c r="AI290" s="48" t="n">
        <f aca="false">IF((30-N(V_L3_Mes)+1)&lt;1,0,IF((30-N(V_L3_Mes)+1)=1,N(V_L3_Monto),AH$290)-AI$289)</f>
        <v>0</v>
      </c>
      <c r="AJ290" s="48" t="n">
        <f aca="false">IF((31-N(V_L3_Mes)+1)&lt;1,0,IF((31-N(V_L3_Mes)+1)=1,N(V_L3_Monto),AI$290)-AJ$289)</f>
        <v>0</v>
      </c>
      <c r="AK290" s="48" t="n">
        <f aca="false">IF((32-N(V_L3_Mes)+1)&lt;1,0,IF((32-N(V_L3_Mes)+1)=1,N(V_L3_Monto),AJ$290)-AK$289)</f>
        <v>0</v>
      </c>
      <c r="AL290" s="48" t="n">
        <f aca="false">IF((33-N(V_L3_Mes)+1)&lt;1,0,IF((33-N(V_L3_Mes)+1)=1,N(V_L3_Monto),AK$290)-AL$289)</f>
        <v>0</v>
      </c>
      <c r="AM290" s="48" t="n">
        <f aca="false">IF((34-N(V_L3_Mes)+1)&lt;1,0,IF((34-N(V_L3_Mes)+1)=1,N(V_L3_Monto),AL$290)-AM$289)</f>
        <v>0</v>
      </c>
      <c r="AN290" s="48" t="n">
        <f aca="false">IF((35-N(V_L3_Mes)+1)&lt;1,0,IF((35-N(V_L3_Mes)+1)=1,N(V_L3_Monto),AM$290)-AN$289)</f>
        <v>0</v>
      </c>
      <c r="AO290" s="48" t="n">
        <f aca="false">IF((36-N(V_L3_Mes)+1)&lt;1,0,IF((36-N(V_L3_Mes)+1)=1,N(V_L3_Monto),AN$290)-AO$289)</f>
        <v>0</v>
      </c>
      <c r="AP290" s="48" t="n">
        <f aca="false">IF((37-N(V_L3_Mes)+1)&lt;1,0,IF((37-N(V_L3_Mes)+1)=1,N(V_L3_Monto),AO$290)-AP$289)</f>
        <v>0</v>
      </c>
      <c r="AQ290" s="48" t="n">
        <f aca="false">IF((38-N(V_L3_Mes)+1)&lt;1,0,IF((38-N(V_L3_Mes)+1)=1,N(V_L3_Monto),AP$290)-AQ$289)</f>
        <v>0</v>
      </c>
      <c r="AR290" s="48" t="n">
        <f aca="false">IF((39-N(V_L3_Mes)+1)&lt;1,0,IF((39-N(V_L3_Mes)+1)=1,N(V_L3_Monto),AQ$290)-AR$289)</f>
        <v>0</v>
      </c>
      <c r="AS290" s="48" t="n">
        <f aca="false">IF((40-N(V_L3_Mes)+1)&lt;1,0,IF((40-N(V_L3_Mes)+1)=1,N(V_L3_Monto),AR$290)-AS$289)</f>
        <v>0</v>
      </c>
      <c r="AT290" s="48" t="n">
        <f aca="false">IF((41-N(V_L3_Mes)+1)&lt;1,0,IF((41-N(V_L3_Mes)+1)=1,N(V_L3_Monto),AS$290)-AT$289)</f>
        <v>0</v>
      </c>
      <c r="AU290" s="48" t="n">
        <f aca="false">IF((42-N(V_L3_Mes)+1)&lt;1,0,IF((42-N(V_L3_Mes)+1)=1,N(V_L3_Monto),AT$290)-AU$289)</f>
        <v>0</v>
      </c>
      <c r="AV290" s="48" t="n">
        <f aca="false">IF((43-N(V_L3_Mes)+1)&lt;1,0,IF((43-N(V_L3_Mes)+1)=1,N(V_L3_Monto),AU$290)-AV$289)</f>
        <v>0</v>
      </c>
      <c r="AW290" s="48" t="n">
        <f aca="false">IF((44-N(V_L3_Mes)+1)&lt;1,0,IF((44-N(V_L3_Mes)+1)=1,N(V_L3_Monto),AV$290)-AW$289)</f>
        <v>0</v>
      </c>
      <c r="AX290" s="48" t="n">
        <f aca="false">IF((45-N(V_L3_Mes)+1)&lt;1,0,IF((45-N(V_L3_Mes)+1)=1,N(V_L3_Monto),AW$290)-AX$289)</f>
        <v>0</v>
      </c>
      <c r="AY290" s="48" t="n">
        <f aca="false">IF((46-N(V_L3_Mes)+1)&lt;1,0,IF((46-N(V_L3_Mes)+1)=1,N(V_L3_Monto),AX$290)-AY$289)</f>
        <v>0</v>
      </c>
      <c r="AZ290" s="48" t="n">
        <f aca="false">IF((47-N(V_L3_Mes)+1)&lt;1,0,IF((47-N(V_L3_Mes)+1)=1,N(V_L3_Monto),AY$290)-AZ$289)</f>
        <v>0</v>
      </c>
      <c r="BA290" s="48" t="n">
        <f aca="false">IF((48-N(V_L3_Mes)+1)&lt;1,0,IF((48-N(V_L3_Mes)+1)=1,N(V_L3_Monto),AZ$290)-BA$289)</f>
        <v>0</v>
      </c>
      <c r="BB290" s="48" t="n">
        <f aca="false">IF((49-N(V_L3_Mes)+1)&lt;1,0,IF((49-N(V_L3_Mes)+1)=1,N(V_L3_Monto),BA$290)-BB$289)</f>
        <v>0</v>
      </c>
      <c r="BC290" s="48" t="n">
        <f aca="false">IF((50-N(V_L3_Mes)+1)&lt;1,0,IF((50-N(V_L3_Mes)+1)=1,N(V_L3_Monto),BB$290)-BC$289)</f>
        <v>0</v>
      </c>
      <c r="BD290" s="48" t="n">
        <f aca="false">IF((51-N(V_L3_Mes)+1)&lt;1,0,IF((51-N(V_L3_Mes)+1)=1,N(V_L3_Monto),BC$290)-BD$289)</f>
        <v>0</v>
      </c>
      <c r="BE290" s="48" t="n">
        <f aca="false">IF((52-N(V_L3_Mes)+1)&lt;1,0,IF((52-N(V_L3_Mes)+1)=1,N(V_L3_Monto),BD$290)-BE$289)</f>
        <v>0</v>
      </c>
      <c r="BF290" s="48" t="n">
        <f aca="false">IF((53-N(V_L3_Mes)+1)&lt;1,0,IF((53-N(V_L3_Mes)+1)=1,N(V_L3_Monto),BE$290)-BF$289)</f>
        <v>0</v>
      </c>
      <c r="BG290" s="48" t="n">
        <f aca="false">IF((54-N(V_L3_Mes)+1)&lt;1,0,IF((54-N(V_L3_Mes)+1)=1,N(V_L3_Monto),BF$290)-BG$289)</f>
        <v>0</v>
      </c>
      <c r="BH290" s="48" t="n">
        <f aca="false">IF((55-N(V_L3_Mes)+1)&lt;1,0,IF((55-N(V_L3_Mes)+1)=1,N(V_L3_Monto),BG$290)-BH$289)</f>
        <v>0</v>
      </c>
      <c r="BI290" s="48" t="n">
        <f aca="false">IF((56-N(V_L3_Mes)+1)&lt;1,0,IF((56-N(V_L3_Mes)+1)=1,N(V_L3_Monto),BH$290)-BI$289)</f>
        <v>0</v>
      </c>
      <c r="BJ290" s="48" t="n">
        <f aca="false">IF((57-N(V_L3_Mes)+1)&lt;1,0,IF((57-N(V_L3_Mes)+1)=1,N(V_L3_Monto),BI$290)-BJ$289)</f>
        <v>0</v>
      </c>
      <c r="BK290" s="48" t="n">
        <f aca="false">IF((58-N(V_L3_Mes)+1)&lt;1,0,IF((58-N(V_L3_Mes)+1)=1,N(V_L3_Monto),BJ$290)-BK$289)</f>
        <v>0</v>
      </c>
      <c r="BL290" s="48" t="n">
        <f aca="false">IF((59-N(V_L3_Mes)+1)&lt;1,0,IF((59-N(V_L3_Mes)+1)=1,N(V_L3_Monto),BK$290)-BL$289)</f>
        <v>0</v>
      </c>
      <c r="BM290" s="48" t="n">
        <f aca="false">IF((60-N(V_L3_Mes)+1)&lt;1,0,IF((60-N(V_L3_Mes)+1)=1,N(V_L3_Monto),BL$290)-BM$289)</f>
        <v>0</v>
      </c>
      <c r="BN290" s="48" t="n">
        <f aca="false">IF((61-N(V_L3_Mes)+1)&lt;1,0,IF((61-N(V_L3_Mes)+1)=1,N(V_L3_Monto),BM$290)-BN$289)</f>
        <v>0</v>
      </c>
      <c r="BO290" s="48" t="n">
        <f aca="false">IF((62-N(V_L3_Mes)+1)&lt;1,0,IF((62-N(V_L3_Mes)+1)=1,N(V_L3_Monto),BN$290)-BO$289)</f>
        <v>0</v>
      </c>
      <c r="BP290" s="48" t="n">
        <f aca="false">IF((63-N(V_L3_Mes)+1)&lt;1,0,IF((63-N(V_L3_Mes)+1)=1,N(V_L3_Monto),BO$290)-BP$289)</f>
        <v>0</v>
      </c>
      <c r="BQ290" s="48" t="n">
        <f aca="false">IF((64-N(V_L3_Mes)+1)&lt;1,0,IF((64-N(V_L3_Mes)+1)=1,N(V_L3_Monto),BP$290)-BQ$289)</f>
        <v>0</v>
      </c>
      <c r="BR290" s="48" t="n">
        <f aca="false">IF((65-N(V_L3_Mes)+1)&lt;1,0,IF((65-N(V_L3_Mes)+1)=1,N(V_L3_Monto),BQ$290)-BR$289)</f>
        <v>0</v>
      </c>
      <c r="BS290" s="48" t="n">
        <f aca="false">IF((66-N(V_L3_Mes)+1)&lt;1,0,IF((66-N(V_L3_Mes)+1)=1,N(V_L3_Monto),BR$290)-BS$289)</f>
        <v>0</v>
      </c>
      <c r="BT290" s="48" t="n">
        <f aca="false">IF((67-N(V_L3_Mes)+1)&lt;1,0,IF((67-N(V_L3_Mes)+1)=1,N(V_L3_Monto),BS$290)-BT$289)</f>
        <v>0</v>
      </c>
      <c r="BU290" s="48" t="n">
        <f aca="false">IF((68-N(V_L3_Mes)+1)&lt;1,0,IF((68-N(V_L3_Mes)+1)=1,N(V_L3_Monto),BT$290)-BU$289)</f>
        <v>0</v>
      </c>
      <c r="BV290" s="48" t="n">
        <f aca="false">IF((69-N(V_L3_Mes)+1)&lt;1,0,IF((69-N(V_L3_Mes)+1)=1,N(V_L3_Monto),BU$290)-BV$289)</f>
        <v>0</v>
      </c>
      <c r="BW290" s="48" t="n">
        <f aca="false">IF((70-N(V_L3_Mes)+1)&lt;1,0,IF((70-N(V_L3_Mes)+1)=1,N(V_L3_Monto),BV$290)-BW$289)</f>
        <v>0</v>
      </c>
      <c r="BX290" s="48" t="n">
        <f aca="false">IF((71-N(V_L3_Mes)+1)&lt;1,0,IF((71-N(V_L3_Mes)+1)=1,N(V_L3_Monto),BW$290)-BX$289)</f>
        <v>0</v>
      </c>
      <c r="BY290" s="48" t="n">
        <f aca="false">IF((72-N(V_L3_Mes)+1)&lt;1,0,IF((72-N(V_L3_Mes)+1)=1,N(V_L3_Monto),BX$290)-BY$289)</f>
        <v>0</v>
      </c>
      <c r="BZ290" s="48" t="n">
        <f aca="false">IF((73-N(V_L3_Mes)+1)&lt;1,0,IF((73-N(V_L3_Mes)+1)=1,N(V_L3_Monto),BY$290)-BZ$289)</f>
        <v>0</v>
      </c>
      <c r="CA290" s="48" t="n">
        <f aca="false">IF((74-N(V_L3_Mes)+1)&lt;1,0,IF((74-N(V_L3_Mes)+1)=1,N(V_L3_Monto),BZ$290)-CA$289)</f>
        <v>0</v>
      </c>
      <c r="CB290" s="48" t="n">
        <f aca="false">IF((75-N(V_L3_Mes)+1)&lt;1,0,IF((75-N(V_L3_Mes)+1)=1,N(V_L3_Monto),CA$290)-CB$289)</f>
        <v>0</v>
      </c>
      <c r="CC290" s="48" t="n">
        <f aca="false">IF((76-N(V_L3_Mes)+1)&lt;1,0,IF((76-N(V_L3_Mes)+1)=1,N(V_L3_Monto),CB$290)-CC$289)</f>
        <v>0</v>
      </c>
      <c r="CD290" s="48" t="n">
        <f aca="false">IF((77-N(V_L3_Mes)+1)&lt;1,0,IF((77-N(V_L3_Mes)+1)=1,N(V_L3_Monto),CC$290)-CD$289)</f>
        <v>0</v>
      </c>
      <c r="CE290" s="48" t="n">
        <f aca="false">IF((78-N(V_L3_Mes)+1)&lt;1,0,IF((78-N(V_L3_Mes)+1)=1,N(V_L3_Monto),CD$290)-CE$289)</f>
        <v>0</v>
      </c>
      <c r="CF290" s="48" t="n">
        <f aca="false">IF((79-N(V_L3_Mes)+1)&lt;1,0,IF((79-N(V_L3_Mes)+1)=1,N(V_L3_Monto),CE$290)-CF$289)</f>
        <v>0</v>
      </c>
      <c r="CG290" s="48" t="n">
        <f aca="false">IF((80-N(V_L3_Mes)+1)&lt;1,0,IF((80-N(V_L3_Mes)+1)=1,N(V_L3_Monto),CF$290)-CG$289)</f>
        <v>0</v>
      </c>
      <c r="CH290" s="48" t="n">
        <f aca="false">IF((81-N(V_L3_Mes)+1)&lt;1,0,IF((81-N(V_L3_Mes)+1)=1,N(V_L3_Monto),CG$290)-CH$289)</f>
        <v>0</v>
      </c>
      <c r="CI290" s="48" t="n">
        <f aca="false">IF((82-N(V_L3_Mes)+1)&lt;1,0,IF((82-N(V_L3_Mes)+1)=1,N(V_L3_Monto),CH$290)-CI$289)</f>
        <v>0</v>
      </c>
      <c r="CJ290" s="48" t="n">
        <f aca="false">IF((83-N(V_L3_Mes)+1)&lt;1,0,IF((83-N(V_L3_Mes)+1)=1,N(V_L3_Monto),CI$290)-CJ$289)</f>
        <v>0</v>
      </c>
      <c r="CK290" s="48" t="n">
        <f aca="false">IF((84-N(V_L3_Mes)+1)&lt;1,0,IF((84-N(V_L3_Mes)+1)=1,N(V_L3_Monto),CJ$290)-CK$289)</f>
        <v>0</v>
      </c>
      <c r="CL290" s="48" t="n">
        <f aca="false">IF((85-N(V_L3_Mes)+1)&lt;1,0,IF((85-N(V_L3_Mes)+1)=1,N(V_L3_Monto),CK$290)-CL$289)</f>
        <v>0</v>
      </c>
      <c r="CM290" s="48" t="n">
        <f aca="false">IF((86-N(V_L3_Mes)+1)&lt;1,0,IF((86-N(V_L3_Mes)+1)=1,N(V_L3_Monto),CL$290)-CM$289)</f>
        <v>0</v>
      </c>
      <c r="CN290" s="48" t="n">
        <f aca="false">IF((87-N(V_L3_Mes)+1)&lt;1,0,IF((87-N(V_L3_Mes)+1)=1,N(V_L3_Monto),CM$290)-CN$289)</f>
        <v>0</v>
      </c>
      <c r="CO290" s="48" t="n">
        <f aca="false">IF((88-N(V_L3_Mes)+1)&lt;1,0,IF((88-N(V_L3_Mes)+1)=1,N(V_L3_Monto),CN$290)-CO$289)</f>
        <v>0</v>
      </c>
      <c r="CP290" s="48" t="n">
        <f aca="false">IF((89-N(V_L3_Mes)+1)&lt;1,0,IF((89-N(V_L3_Mes)+1)=1,N(V_L3_Monto),CO$290)-CP$289)</f>
        <v>0</v>
      </c>
      <c r="CQ290" s="48" t="n">
        <f aca="false">IF((90-N(V_L3_Mes)+1)&lt;1,0,IF((90-N(V_L3_Mes)+1)=1,N(V_L3_Monto),CP$290)-CQ$289)</f>
        <v>0</v>
      </c>
      <c r="CR290" s="48" t="n">
        <f aca="false">IF((91-N(V_L3_Mes)+1)&lt;1,0,IF((91-N(V_L3_Mes)+1)=1,N(V_L3_Monto),CQ$290)-CR$289)</f>
        <v>0</v>
      </c>
      <c r="CS290" s="48" t="n">
        <f aca="false">IF((92-N(V_L3_Mes)+1)&lt;1,0,IF((92-N(V_L3_Mes)+1)=1,N(V_L3_Monto),CR$290)-CS$289)</f>
        <v>0</v>
      </c>
      <c r="CT290" s="48" t="n">
        <f aca="false">IF((93-N(V_L3_Mes)+1)&lt;1,0,IF((93-N(V_L3_Mes)+1)=1,N(V_L3_Monto),CS$290)-CT$289)</f>
        <v>0</v>
      </c>
      <c r="CU290" s="48" t="n">
        <f aca="false">IF((94-N(V_L3_Mes)+1)&lt;1,0,IF((94-N(V_L3_Mes)+1)=1,N(V_L3_Monto),CT$290)-CU$289)</f>
        <v>0</v>
      </c>
      <c r="CV290" s="48" t="n">
        <f aca="false">IF((95-N(V_L3_Mes)+1)&lt;1,0,IF((95-N(V_L3_Mes)+1)=1,N(V_L3_Monto),CU$290)-CV$289)</f>
        <v>0</v>
      </c>
      <c r="CW290" s="48" t="n">
        <f aca="false">IF((96-N(V_L3_Mes)+1)&lt;1,0,IF((96-N(V_L3_Mes)+1)=1,N(V_L3_Monto),CV$290)-CW$289)</f>
        <v>0</v>
      </c>
      <c r="CX290" s="48" t="n">
        <f aca="false">IF((97-N(V_L3_Mes)+1)&lt;1,0,IF((97-N(V_L3_Mes)+1)=1,N(V_L3_Monto),CW$290)-CX$289)</f>
        <v>0</v>
      </c>
      <c r="CY290" s="48" t="n">
        <f aca="false">IF((98-N(V_L3_Mes)+1)&lt;1,0,IF((98-N(V_L3_Mes)+1)=1,N(V_L3_Monto),CX$290)-CY$289)</f>
        <v>0</v>
      </c>
      <c r="CZ290" s="48" t="n">
        <f aca="false">IF((99-N(V_L3_Mes)+1)&lt;1,0,IF((99-N(V_L3_Mes)+1)=1,N(V_L3_Monto),CY$290)-CZ$289)</f>
        <v>0</v>
      </c>
      <c r="DA290" s="48" t="n">
        <f aca="false">IF((100-N(V_L3_Mes)+1)&lt;1,0,IF((100-N(V_L3_Mes)+1)=1,N(V_L3_Monto),CZ$290)-DA$289)</f>
        <v>0</v>
      </c>
      <c r="DB290" s="48" t="n">
        <f aca="false">IF((101-N(V_L3_Mes)+1)&lt;1,0,IF((101-N(V_L3_Mes)+1)=1,N(V_L3_Monto),DA$290)-DB$289)</f>
        <v>0</v>
      </c>
      <c r="DC290" s="48" t="n">
        <f aca="false">IF((102-N(V_L3_Mes)+1)&lt;1,0,IF((102-N(V_L3_Mes)+1)=1,N(V_L3_Monto),DB$290)-DC$289)</f>
        <v>0</v>
      </c>
      <c r="DD290" s="48" t="n">
        <f aca="false">IF((103-N(V_L3_Mes)+1)&lt;1,0,IF((103-N(V_L3_Mes)+1)=1,N(V_L3_Monto),DC$290)-DD$289)</f>
        <v>0</v>
      </c>
      <c r="DE290" s="48" t="n">
        <f aca="false">IF((104-N(V_L3_Mes)+1)&lt;1,0,IF((104-N(V_L3_Mes)+1)=1,N(V_L3_Monto),DD$290)-DE$289)</f>
        <v>0</v>
      </c>
      <c r="DF290" s="48" t="n">
        <f aca="false">IF((105-N(V_L3_Mes)+1)&lt;1,0,IF((105-N(V_L3_Mes)+1)=1,N(V_L3_Monto),DE$290)-DF$289)</f>
        <v>0</v>
      </c>
      <c r="DG290" s="48" t="n">
        <f aca="false">IF((106-N(V_L3_Mes)+1)&lt;1,0,IF((106-N(V_L3_Mes)+1)=1,N(V_L3_Monto),DF$290)-DG$289)</f>
        <v>0</v>
      </c>
      <c r="DH290" s="48" t="n">
        <f aca="false">IF((107-N(V_L3_Mes)+1)&lt;1,0,IF((107-N(V_L3_Mes)+1)=1,N(V_L3_Monto),DG$290)-DH$289)</f>
        <v>0</v>
      </c>
      <c r="DI290" s="48" t="n">
        <f aca="false">IF((108-N(V_L3_Mes)+1)&lt;1,0,IF((108-N(V_L3_Mes)+1)=1,N(V_L3_Monto),DH$290)-DI$289)</f>
        <v>0</v>
      </c>
      <c r="DJ290" s="48" t="n">
        <f aca="false">IF((109-N(V_L3_Mes)+1)&lt;1,0,IF((109-N(V_L3_Mes)+1)=1,N(V_L3_Monto),DI$290)-DJ$289)</f>
        <v>0</v>
      </c>
      <c r="DK290" s="48" t="n">
        <f aca="false">IF((110-N(V_L3_Mes)+1)&lt;1,0,IF((110-N(V_L3_Mes)+1)=1,N(V_L3_Monto),DJ$290)-DK$289)</f>
        <v>0</v>
      </c>
      <c r="DL290" s="48" t="n">
        <f aca="false">IF((111-N(V_L3_Mes)+1)&lt;1,0,IF((111-N(V_L3_Mes)+1)=1,N(V_L3_Monto),DK$290)-DL$289)</f>
        <v>0</v>
      </c>
      <c r="DM290" s="48" t="n">
        <f aca="false">IF((112-N(V_L3_Mes)+1)&lt;1,0,IF((112-N(V_L3_Mes)+1)=1,N(V_L3_Monto),DL$290)-DM$289)</f>
        <v>0</v>
      </c>
      <c r="DN290" s="48" t="n">
        <f aca="false">IF((113-N(V_L3_Mes)+1)&lt;1,0,IF((113-N(V_L3_Mes)+1)=1,N(V_L3_Monto),DM$290)-DN$289)</f>
        <v>0</v>
      </c>
      <c r="DO290" s="48" t="n">
        <f aca="false">IF((114-N(V_L3_Mes)+1)&lt;1,0,IF((114-N(V_L3_Mes)+1)=1,N(V_L3_Monto),DN$290)-DO$289)</f>
        <v>0</v>
      </c>
      <c r="DP290" s="48" t="n">
        <f aca="false">IF((115-N(V_L3_Mes)+1)&lt;1,0,IF((115-N(V_L3_Mes)+1)=1,N(V_L3_Monto),DO$290)-DP$289)</f>
        <v>0</v>
      </c>
      <c r="DQ290" s="48" t="n">
        <f aca="false">IF((116-N(V_L3_Mes)+1)&lt;1,0,IF((116-N(V_L3_Mes)+1)=1,N(V_L3_Monto),DP$290)-DQ$289)</f>
        <v>0</v>
      </c>
      <c r="DR290" s="48" t="n">
        <f aca="false">IF((117-N(V_L3_Mes)+1)&lt;1,0,IF((117-N(V_L3_Mes)+1)=1,N(V_L3_Monto),DQ$290)-DR$289)</f>
        <v>0</v>
      </c>
      <c r="DS290" s="48" t="n">
        <f aca="false">IF((118-N(V_L3_Mes)+1)&lt;1,0,IF((118-N(V_L3_Mes)+1)=1,N(V_L3_Monto),DR$290)-DS$289)</f>
        <v>0</v>
      </c>
      <c r="DT290" s="48" t="n">
        <f aca="false">IF((119-N(V_L3_Mes)+1)&lt;1,0,IF((119-N(V_L3_Mes)+1)=1,N(V_L3_Monto),DS$290)-DT$289)</f>
        <v>0</v>
      </c>
      <c r="DU290" s="48" t="n">
        <f aca="false">IF((120-N(V_L3_Mes)+1)&lt;1,0,IF((120-N(V_L3_Mes)+1)=1,N(V_L3_Monto),DT$290)-DU$289)</f>
        <v>0</v>
      </c>
      <c r="DV290" s="48" t="n">
        <f aca="false">IF((121-N(V_L3_Mes)+1)&lt;1,0,IF((121-N(V_L3_Mes)+1)=1,N(V_L3_Monto),DU$290)-DV$289)</f>
        <v>0</v>
      </c>
      <c r="DW290" s="48" t="n">
        <f aca="false">IF((122-N(V_L3_Mes)+1)&lt;1,0,IF((122-N(V_L3_Mes)+1)=1,N(V_L3_Monto),DV$290)-DW$289)</f>
        <v>0</v>
      </c>
      <c r="DX290" s="48" t="n">
        <f aca="false">IF((123-N(V_L3_Mes)+1)&lt;1,0,IF((123-N(V_L3_Mes)+1)=1,N(V_L3_Monto),DW$290)-DX$289)</f>
        <v>0</v>
      </c>
      <c r="DY290" s="48" t="n">
        <f aca="false">IF((124-N(V_L3_Mes)+1)&lt;1,0,IF((124-N(V_L3_Mes)+1)=1,N(V_L3_Monto),DX$290)-DY$289)</f>
        <v>0</v>
      </c>
      <c r="DZ290" s="48" t="n">
        <f aca="false">IF((125-N(V_L3_Mes)+1)&lt;1,0,IF((125-N(V_L3_Mes)+1)=1,N(V_L3_Monto),DY$290)-DZ$289)</f>
        <v>0</v>
      </c>
      <c r="EA290" s="48" t="n">
        <f aca="false">IF((126-N(V_L3_Mes)+1)&lt;1,0,IF((126-N(V_L3_Mes)+1)=1,N(V_L3_Monto),DZ$290)-EA$289)</f>
        <v>0</v>
      </c>
      <c r="EB290" s="48" t="n">
        <f aca="false">IF((127-N(V_L3_Mes)+1)&lt;1,0,IF((127-N(V_L3_Mes)+1)=1,N(V_L3_Monto),EA$290)-EB$289)</f>
        <v>0</v>
      </c>
      <c r="EC290" s="48" t="n">
        <f aca="false">IF((128-N(V_L3_Mes)+1)&lt;1,0,IF((128-N(V_L3_Mes)+1)=1,N(V_L3_Monto),EB$290)-EC$289)</f>
        <v>0</v>
      </c>
      <c r="ED290" s="48" t="n">
        <f aca="false">IF((129-N(V_L3_Mes)+1)&lt;1,0,IF((129-N(V_L3_Mes)+1)=1,N(V_L3_Monto),EC$290)-ED$289)</f>
        <v>0</v>
      </c>
      <c r="EE290" s="48" t="n">
        <f aca="false">IF((130-N(V_L3_Mes)+1)&lt;1,0,IF((130-N(V_L3_Mes)+1)=1,N(V_L3_Monto),ED$290)-EE$289)</f>
        <v>0</v>
      </c>
      <c r="EF290" s="48" t="n">
        <f aca="false">IF((131-N(V_L3_Mes)+1)&lt;1,0,IF((131-N(V_L3_Mes)+1)=1,N(V_L3_Monto),EE$290)-EF$289)</f>
        <v>0</v>
      </c>
      <c r="EG290" s="48" t="n">
        <f aca="false">IF((132-N(V_L3_Mes)+1)&lt;1,0,IF((132-N(V_L3_Mes)+1)=1,N(V_L3_Monto),EF$290)-EG$289)</f>
        <v>0</v>
      </c>
      <c r="EH290" s="48" t="n">
        <f aca="false">IF((133-N(V_L3_Mes)+1)&lt;1,0,IF((133-N(V_L3_Mes)+1)=1,N(V_L3_Monto),EG$290)-EH$289)</f>
        <v>0</v>
      </c>
      <c r="EI290" s="48" t="n">
        <f aca="false">IF((134-N(V_L3_Mes)+1)&lt;1,0,IF((134-N(V_L3_Mes)+1)=1,N(V_L3_Monto),EH$290)-EI$289)</f>
        <v>0</v>
      </c>
      <c r="EJ290" s="48" t="n">
        <f aca="false">IF((135-N(V_L3_Mes)+1)&lt;1,0,IF((135-N(V_L3_Mes)+1)=1,N(V_L3_Monto),EI$290)-EJ$289)</f>
        <v>0</v>
      </c>
      <c r="EK290" s="48" t="n">
        <f aca="false">IF((136-N(V_L3_Mes)+1)&lt;1,0,IF((136-N(V_L3_Mes)+1)=1,N(V_L3_Monto),EJ$290)-EK$289)</f>
        <v>0</v>
      </c>
      <c r="EL290" s="48" t="n">
        <f aca="false">IF((137-N(V_L3_Mes)+1)&lt;1,0,IF((137-N(V_L3_Mes)+1)=1,N(V_L3_Monto),EK$290)-EL$289)</f>
        <v>0</v>
      </c>
      <c r="EM290" s="48" t="n">
        <f aca="false">IF((138-N(V_L3_Mes)+1)&lt;1,0,IF((138-N(V_L3_Mes)+1)=1,N(V_L3_Monto),EL$290)-EM$289)</f>
        <v>0</v>
      </c>
      <c r="EN290" s="48" t="n">
        <f aca="false">IF((139-N(V_L3_Mes)+1)&lt;1,0,IF((139-N(V_L3_Mes)+1)=1,N(V_L3_Monto),EM$290)-EN$289)</f>
        <v>0</v>
      </c>
      <c r="EO290" s="48" t="n">
        <f aca="false">IF((140-N(V_L3_Mes)+1)&lt;1,0,IF((140-N(V_L3_Mes)+1)=1,N(V_L3_Monto),EN$290)-EO$289)</f>
        <v>0</v>
      </c>
      <c r="EP290" s="48" t="n">
        <f aca="false">IF((141-N(V_L3_Mes)+1)&lt;1,0,IF((141-N(V_L3_Mes)+1)=1,N(V_L3_Monto),EO$290)-EP$289)</f>
        <v>0</v>
      </c>
      <c r="EQ290" s="48" t="n">
        <f aca="false">IF((142-N(V_L3_Mes)+1)&lt;1,0,IF((142-N(V_L3_Mes)+1)=1,N(V_L3_Monto),EP$290)-EQ$289)</f>
        <v>0</v>
      </c>
      <c r="ER290" s="48" t="n">
        <f aca="false">IF((143-N(V_L3_Mes)+1)&lt;1,0,IF((143-N(V_L3_Mes)+1)=1,N(V_L3_Monto),EQ$290)-ER$289)</f>
        <v>0</v>
      </c>
      <c r="ES290" s="48" t="n">
        <f aca="false">IF((144-N(V_L3_Mes)+1)&lt;1,0,IF((144-N(V_L3_Mes)+1)=1,N(V_L3_Monto),ER$290)-ES$289)</f>
        <v>0</v>
      </c>
    </row>
    <row r="291" customFormat="false" ht="15" hidden="false" customHeight="false" outlineLevel="0" collapsed="false">
      <c r="A291" s="13"/>
      <c r="B291" s="12" t="s">
        <v>1234</v>
      </c>
      <c r="C291" s="13"/>
      <c r="D291" s="13"/>
      <c r="E291" s="13"/>
    </row>
    <row r="292" customFormat="false" ht="15" hidden="false" customHeight="false" outlineLevel="0" collapsed="false">
      <c r="A292" s="11" t="s">
        <v>1409</v>
      </c>
      <c r="B292" s="15" t="s">
        <v>1236</v>
      </c>
      <c r="C292" s="15" t="s">
        <v>508</v>
      </c>
      <c r="E292" s="54" t="n">
        <f aca="false">SUM(F292:ES292)</f>
        <v>2791587</v>
      </c>
      <c r="F292" s="48" t="n">
        <f aca="false">IF(F$8=1,IF(Reales!$C$73="PYG",IF(F$10&gt;0,N(Reales!F73)/F$10,0),N(Reales!F73)),F$279+F$283+F$287)</f>
        <v>2791587</v>
      </c>
      <c r="G292" s="48" t="n">
        <f aca="false">IF(G$8=1,IF(Reales!$C$73="PYG",IF(G$10&gt;0,N(Reales!G73)/G$10,0),N(Reales!G73)),G$279+G$283+G$287)</f>
        <v>0</v>
      </c>
      <c r="H292" s="48" t="n">
        <f aca="false">IF(H$8=1,IF(Reales!$C$73="PYG",IF(H$10&gt;0,N(Reales!H73)/H$10,0),N(Reales!H73)),H$279+H$283+H$287)</f>
        <v>0</v>
      </c>
      <c r="I292" s="48" t="n">
        <f aca="false">IF(I$8=1,IF(Reales!$C$73="PYG",IF(I$10&gt;0,N(Reales!I73)/I$10,0),N(Reales!I73)),I$279+I$283+I$287)</f>
        <v>0</v>
      </c>
      <c r="J292" s="48" t="n">
        <f aca="false">IF(J$8=1,IF(Reales!$C$73="PYG",IF(J$10&gt;0,N(Reales!J73)/J$10,0),N(Reales!J73)),J$279+J$283+J$287)</f>
        <v>0</v>
      </c>
      <c r="K292" s="48" t="n">
        <f aca="false">IF(K$8=1,IF(Reales!$C$73="PYG",IF(K$10&gt;0,N(Reales!K73)/K$10,0),N(Reales!K73)),K$279+K$283+K$287)</f>
        <v>0</v>
      </c>
      <c r="L292" s="48" t="n">
        <f aca="false">IF(L$8=1,IF(Reales!$C$73="PYG",IF(L$10&gt;0,N(Reales!L73)/L$10,0),N(Reales!L73)),L$279+L$283+L$287)</f>
        <v>0</v>
      </c>
      <c r="M292" s="48" t="n">
        <f aca="false">IF(M$8=1,IF(Reales!$C$73="PYG",IF(M$10&gt;0,N(Reales!M73)/M$10,0),N(Reales!M73)),M$279+M$283+M$287)</f>
        <v>0</v>
      </c>
      <c r="N292" s="48" t="n">
        <f aca="false">IF(N$8=1,IF(Reales!$C$73="PYG",IF(N$10&gt;0,N(Reales!N73)/N$10,0),N(Reales!N73)),N$279+N$283+N$287)</f>
        <v>0</v>
      </c>
      <c r="O292" s="48" t="n">
        <f aca="false">IF(O$8=1,IF(Reales!$C$73="PYG",IF(O$10&gt;0,N(Reales!O73)/O$10,0),N(Reales!O73)),O$279+O$283+O$287)</f>
        <v>0</v>
      </c>
      <c r="P292" s="48" t="n">
        <f aca="false">IF(P$8=1,IF(Reales!$C$73="PYG",IF(P$10&gt;0,N(Reales!P73)/P$10,0),N(Reales!P73)),P$279+P$283+P$287)</f>
        <v>0</v>
      </c>
      <c r="Q292" s="48" t="n">
        <f aca="false">IF(Q$8=1,IF(Reales!$C$73="PYG",IF(Q$10&gt;0,N(Reales!Q73)/Q$10,0),N(Reales!Q73)),Q$279+Q$283+Q$287)</f>
        <v>0</v>
      </c>
      <c r="R292" s="48" t="n">
        <f aca="false">IF(R$8=1,IF(Reales!$C$73="PYG",IF(R$10&gt;0,N(Reales!R73)/R$10,0),N(Reales!R73)),R$279+R$283+R$287)</f>
        <v>0</v>
      </c>
      <c r="S292" s="48" t="n">
        <f aca="false">IF(S$8=1,IF(Reales!$C$73="PYG",IF(S$10&gt;0,N(Reales!S73)/S$10,0),N(Reales!S73)),S$279+S$283+S$287)</f>
        <v>0</v>
      </c>
      <c r="T292" s="48" t="n">
        <f aca="false">IF(T$8=1,IF(Reales!$C$73="PYG",IF(T$10&gt;0,N(Reales!T73)/T$10,0),N(Reales!T73)),T$279+T$283+T$287)</f>
        <v>0</v>
      </c>
      <c r="U292" s="48" t="n">
        <f aca="false">IF(U$8=1,IF(Reales!$C$73="PYG",IF(U$10&gt;0,N(Reales!U73)/U$10,0),N(Reales!U73)),U$279+U$283+U$287)</f>
        <v>0</v>
      </c>
      <c r="V292" s="48" t="n">
        <f aca="false">IF(V$8=1,IF(Reales!$C$73="PYG",IF(V$10&gt;0,N(Reales!V73)/V$10,0),N(Reales!V73)),V$279+V$283+V$287)</f>
        <v>0</v>
      </c>
      <c r="W292" s="48" t="n">
        <f aca="false">IF(W$8=1,IF(Reales!$C$73="PYG",IF(W$10&gt;0,N(Reales!W73)/W$10,0),N(Reales!W73)),W$279+W$283+W$287)</f>
        <v>0</v>
      </c>
      <c r="X292" s="48" t="n">
        <f aca="false">IF(X$8=1,IF(Reales!$C$73="PYG",IF(X$10&gt;0,N(Reales!X73)/X$10,0),N(Reales!X73)),X$279+X$283+X$287)</f>
        <v>0</v>
      </c>
      <c r="Y292" s="48" t="n">
        <f aca="false">IF(Y$8=1,IF(Reales!$C$73="PYG",IF(Y$10&gt;0,N(Reales!Y73)/Y$10,0),N(Reales!Y73)),Y$279+Y$283+Y$287)</f>
        <v>0</v>
      </c>
      <c r="Z292" s="48" t="n">
        <f aca="false">IF(Z$8=1,IF(Reales!$C$73="PYG",IF(Z$10&gt;0,N(Reales!Z73)/Z$10,0),N(Reales!Z73)),Z$279+Z$283+Z$287)</f>
        <v>0</v>
      </c>
      <c r="AA292" s="48" t="n">
        <f aca="false">IF(AA$8=1,IF(Reales!$C$73="PYG",IF(AA$10&gt;0,N(Reales!AA73)/AA$10,0),N(Reales!AA73)),AA$279+AA$283+AA$287)</f>
        <v>0</v>
      </c>
      <c r="AB292" s="48" t="n">
        <f aca="false">IF(AB$8=1,IF(Reales!$C$73="PYG",IF(AB$10&gt;0,N(Reales!AB73)/AB$10,0),N(Reales!AB73)),AB$279+AB$283+AB$287)</f>
        <v>0</v>
      </c>
      <c r="AC292" s="48" t="n">
        <f aca="false">IF(AC$8=1,IF(Reales!$C$73="PYG",IF(AC$10&gt;0,N(Reales!AC73)/AC$10,0),N(Reales!AC73)),AC$279+AC$283+AC$287)</f>
        <v>0</v>
      </c>
      <c r="AD292" s="48" t="n">
        <f aca="false">IF(AD$8=1,IF(Reales!$C$73="PYG",IF(AD$10&gt;0,N(Reales!AD73)/AD$10,0),N(Reales!AD73)),AD$279+AD$283+AD$287)</f>
        <v>0</v>
      </c>
      <c r="AE292" s="48" t="n">
        <f aca="false">IF(AE$8=1,IF(Reales!$C$73="PYG",IF(AE$10&gt;0,N(Reales!AE73)/AE$10,0),N(Reales!AE73)),AE$279+AE$283+AE$287)</f>
        <v>0</v>
      </c>
      <c r="AF292" s="48" t="n">
        <f aca="false">IF(AF$8=1,IF(Reales!$C$73="PYG",IF(AF$10&gt;0,N(Reales!AF73)/AF$10,0),N(Reales!AF73)),AF$279+AF$283+AF$287)</f>
        <v>0</v>
      </c>
      <c r="AG292" s="48" t="n">
        <f aca="false">IF(AG$8=1,IF(Reales!$C$73="PYG",IF(AG$10&gt;0,N(Reales!AG73)/AG$10,0),N(Reales!AG73)),AG$279+AG$283+AG$287)</f>
        <v>0</v>
      </c>
      <c r="AH292" s="48" t="n">
        <f aca="false">IF(AH$8=1,IF(Reales!$C$73="PYG",IF(AH$10&gt;0,N(Reales!AH73)/AH$10,0),N(Reales!AH73)),AH$279+AH$283+AH$287)</f>
        <v>0</v>
      </c>
      <c r="AI292" s="48" t="n">
        <f aca="false">IF(AI$8=1,IF(Reales!$C$73="PYG",IF(AI$10&gt;0,N(Reales!AI73)/AI$10,0),N(Reales!AI73)),AI$279+AI$283+AI$287)</f>
        <v>0</v>
      </c>
      <c r="AJ292" s="48" t="n">
        <f aca="false">IF(AJ$8=1,IF(Reales!$C$73="PYG",IF(AJ$10&gt;0,N(Reales!AJ73)/AJ$10,0),N(Reales!AJ73)),AJ$279+AJ$283+AJ$287)</f>
        <v>0</v>
      </c>
      <c r="AK292" s="48" t="n">
        <f aca="false">IF(AK$8=1,IF(Reales!$C$73="PYG",IF(AK$10&gt;0,N(Reales!AK73)/AK$10,0),N(Reales!AK73)),AK$279+AK$283+AK$287)</f>
        <v>0</v>
      </c>
      <c r="AL292" s="48" t="n">
        <f aca="false">IF(AL$8=1,IF(Reales!$C$73="PYG",IF(AL$10&gt;0,N(Reales!AL73)/AL$10,0),N(Reales!AL73)),AL$279+AL$283+AL$287)</f>
        <v>0</v>
      </c>
      <c r="AM292" s="48" t="n">
        <f aca="false">IF(AM$8=1,IF(Reales!$C$73="PYG",IF(AM$10&gt;0,N(Reales!AM73)/AM$10,0),N(Reales!AM73)),AM$279+AM$283+AM$287)</f>
        <v>0</v>
      </c>
      <c r="AN292" s="48" t="n">
        <f aca="false">IF(AN$8=1,IF(Reales!$C$73="PYG",IF(AN$10&gt;0,N(Reales!AN73)/AN$10,0),N(Reales!AN73)),AN$279+AN$283+AN$287)</f>
        <v>0</v>
      </c>
      <c r="AO292" s="48" t="n">
        <f aca="false">IF(AO$8=1,IF(Reales!$C$73="PYG",IF(AO$10&gt;0,N(Reales!AO73)/AO$10,0),N(Reales!AO73)),AO$279+AO$283+AO$287)</f>
        <v>0</v>
      </c>
      <c r="AP292" s="48" t="n">
        <f aca="false">IF(AP$8=1,IF(Reales!$C$73="PYG",IF(AP$10&gt;0,N(Reales!AP73)/AP$10,0),N(Reales!AP73)),AP$279+AP$283+AP$287)</f>
        <v>0</v>
      </c>
      <c r="AQ292" s="48" t="n">
        <f aca="false">IF(AQ$8=1,IF(Reales!$C$73="PYG",IF(AQ$10&gt;0,N(Reales!AQ73)/AQ$10,0),N(Reales!AQ73)),AQ$279+AQ$283+AQ$287)</f>
        <v>0</v>
      </c>
      <c r="AR292" s="48" t="n">
        <f aca="false">IF(AR$8=1,IF(Reales!$C$73="PYG",IF(AR$10&gt;0,N(Reales!AR73)/AR$10,0),N(Reales!AR73)),AR$279+AR$283+AR$287)</f>
        <v>0</v>
      </c>
      <c r="AS292" s="48" t="n">
        <f aca="false">IF(AS$8=1,IF(Reales!$C$73="PYG",IF(AS$10&gt;0,N(Reales!AS73)/AS$10,0),N(Reales!AS73)),AS$279+AS$283+AS$287)</f>
        <v>0</v>
      </c>
      <c r="AT292" s="48" t="n">
        <f aca="false">IF(AT$8=1,IF(Reales!$C$73="PYG",IF(AT$10&gt;0,N(Reales!AT73)/AT$10,0),N(Reales!AT73)),AT$279+AT$283+AT$287)</f>
        <v>0</v>
      </c>
      <c r="AU292" s="48" t="n">
        <f aca="false">IF(AU$8=1,IF(Reales!$C$73="PYG",IF(AU$10&gt;0,N(Reales!AU73)/AU$10,0),N(Reales!AU73)),AU$279+AU$283+AU$287)</f>
        <v>0</v>
      </c>
      <c r="AV292" s="48" t="n">
        <f aca="false">IF(AV$8=1,IF(Reales!$C$73="PYG",IF(AV$10&gt;0,N(Reales!AV73)/AV$10,0),N(Reales!AV73)),AV$279+AV$283+AV$287)</f>
        <v>0</v>
      </c>
      <c r="AW292" s="48" t="n">
        <f aca="false">IF(AW$8=1,IF(Reales!$C$73="PYG",IF(AW$10&gt;0,N(Reales!AW73)/AW$10,0),N(Reales!AW73)),AW$279+AW$283+AW$287)</f>
        <v>0</v>
      </c>
      <c r="AX292" s="48" t="n">
        <f aca="false">IF(AX$8=1,IF(Reales!$C$73="PYG",IF(AX$10&gt;0,N(Reales!AX73)/AX$10,0),N(Reales!AX73)),AX$279+AX$283+AX$287)</f>
        <v>0</v>
      </c>
      <c r="AY292" s="48" t="n">
        <f aca="false">IF(AY$8=1,IF(Reales!$C$73="PYG",IF(AY$10&gt;0,N(Reales!AY73)/AY$10,0),N(Reales!AY73)),AY$279+AY$283+AY$287)</f>
        <v>0</v>
      </c>
      <c r="AZ292" s="48" t="n">
        <f aca="false">IF(AZ$8=1,IF(Reales!$C$73="PYG",IF(AZ$10&gt;0,N(Reales!AZ73)/AZ$10,0),N(Reales!AZ73)),AZ$279+AZ$283+AZ$287)</f>
        <v>0</v>
      </c>
      <c r="BA292" s="48" t="n">
        <f aca="false">IF(BA$8=1,IF(Reales!$C$73="PYG",IF(BA$10&gt;0,N(Reales!BA73)/BA$10,0),N(Reales!BA73)),BA$279+BA$283+BA$287)</f>
        <v>0</v>
      </c>
      <c r="BB292" s="48" t="n">
        <f aca="false">IF(BB$8=1,IF(Reales!$C$73="PYG",IF(BB$10&gt;0,N(Reales!BB73)/BB$10,0),N(Reales!BB73)),BB$279+BB$283+BB$287)</f>
        <v>0</v>
      </c>
      <c r="BC292" s="48" t="n">
        <f aca="false">IF(BC$8=1,IF(Reales!$C$73="PYG",IF(BC$10&gt;0,N(Reales!BC73)/BC$10,0),N(Reales!BC73)),BC$279+BC$283+BC$287)</f>
        <v>0</v>
      </c>
      <c r="BD292" s="48" t="n">
        <f aca="false">IF(BD$8=1,IF(Reales!$C$73="PYG",IF(BD$10&gt;0,N(Reales!BD73)/BD$10,0),N(Reales!BD73)),BD$279+BD$283+BD$287)</f>
        <v>0</v>
      </c>
      <c r="BE292" s="48" t="n">
        <f aca="false">IF(BE$8=1,IF(Reales!$C$73="PYG",IF(BE$10&gt;0,N(Reales!BE73)/BE$10,0),N(Reales!BE73)),BE$279+BE$283+BE$287)</f>
        <v>0</v>
      </c>
      <c r="BF292" s="48" t="n">
        <f aca="false">IF(BF$8=1,IF(Reales!$C$73="PYG",IF(BF$10&gt;0,N(Reales!BF73)/BF$10,0),N(Reales!BF73)),BF$279+BF$283+BF$287)</f>
        <v>0</v>
      </c>
      <c r="BG292" s="48" t="n">
        <f aca="false">IF(BG$8=1,IF(Reales!$C$73="PYG",IF(BG$10&gt;0,N(Reales!BG73)/BG$10,0),N(Reales!BG73)),BG$279+BG$283+BG$287)</f>
        <v>0</v>
      </c>
      <c r="BH292" s="48" t="n">
        <f aca="false">IF(BH$8=1,IF(Reales!$C$73="PYG",IF(BH$10&gt;0,N(Reales!BH73)/BH$10,0),N(Reales!BH73)),BH$279+BH$283+BH$287)</f>
        <v>0</v>
      </c>
      <c r="BI292" s="48" t="n">
        <f aca="false">IF(BI$8=1,IF(Reales!$C$73="PYG",IF(BI$10&gt;0,N(Reales!BI73)/BI$10,0),N(Reales!BI73)),BI$279+BI$283+BI$287)</f>
        <v>0</v>
      </c>
      <c r="BJ292" s="48" t="n">
        <f aca="false">IF(BJ$8=1,IF(Reales!$C$73="PYG",IF(BJ$10&gt;0,N(Reales!BJ73)/BJ$10,0),N(Reales!BJ73)),BJ$279+BJ$283+BJ$287)</f>
        <v>0</v>
      </c>
      <c r="BK292" s="48" t="n">
        <f aca="false">IF(BK$8=1,IF(Reales!$C$73="PYG",IF(BK$10&gt;0,N(Reales!BK73)/BK$10,0),N(Reales!BK73)),BK$279+BK$283+BK$287)</f>
        <v>0</v>
      </c>
      <c r="BL292" s="48" t="n">
        <f aca="false">IF(BL$8=1,IF(Reales!$C$73="PYG",IF(BL$10&gt;0,N(Reales!BL73)/BL$10,0),N(Reales!BL73)),BL$279+BL$283+BL$287)</f>
        <v>0</v>
      </c>
      <c r="BM292" s="48" t="n">
        <f aca="false">IF(BM$8=1,IF(Reales!$C$73="PYG",IF(BM$10&gt;0,N(Reales!BM73)/BM$10,0),N(Reales!BM73)),BM$279+BM$283+BM$287)</f>
        <v>0</v>
      </c>
      <c r="BN292" s="48" t="n">
        <f aca="false">IF(BN$8=1,IF(Reales!$C$73="PYG",IF(BN$10&gt;0,N(Reales!BN73)/BN$10,0),N(Reales!BN73)),BN$279+BN$283+BN$287)</f>
        <v>0</v>
      </c>
      <c r="BO292" s="48" t="n">
        <f aca="false">IF(BO$8=1,IF(Reales!$C$73="PYG",IF(BO$10&gt;0,N(Reales!BO73)/BO$10,0),N(Reales!BO73)),BO$279+BO$283+BO$287)</f>
        <v>0</v>
      </c>
      <c r="BP292" s="48" t="n">
        <f aca="false">IF(BP$8=1,IF(Reales!$C$73="PYG",IF(BP$10&gt;0,N(Reales!BP73)/BP$10,0),N(Reales!BP73)),BP$279+BP$283+BP$287)</f>
        <v>0</v>
      </c>
      <c r="BQ292" s="48" t="n">
        <f aca="false">IF(BQ$8=1,IF(Reales!$C$73="PYG",IF(BQ$10&gt;0,N(Reales!BQ73)/BQ$10,0),N(Reales!BQ73)),BQ$279+BQ$283+BQ$287)</f>
        <v>0</v>
      </c>
      <c r="BR292" s="48" t="n">
        <f aca="false">IF(BR$8=1,IF(Reales!$C$73="PYG",IF(BR$10&gt;0,N(Reales!BR73)/BR$10,0),N(Reales!BR73)),BR$279+BR$283+BR$287)</f>
        <v>0</v>
      </c>
      <c r="BS292" s="48" t="n">
        <f aca="false">IF(BS$8=1,IF(Reales!$C$73="PYG",IF(BS$10&gt;0,N(Reales!BS73)/BS$10,0),N(Reales!BS73)),BS$279+BS$283+BS$287)</f>
        <v>0</v>
      </c>
      <c r="BT292" s="48" t="n">
        <f aca="false">IF(BT$8=1,IF(Reales!$C$73="PYG",IF(BT$10&gt;0,N(Reales!BT73)/BT$10,0),N(Reales!BT73)),BT$279+BT$283+BT$287)</f>
        <v>0</v>
      </c>
      <c r="BU292" s="48" t="n">
        <f aca="false">IF(BU$8=1,IF(Reales!$C$73="PYG",IF(BU$10&gt;0,N(Reales!BU73)/BU$10,0),N(Reales!BU73)),BU$279+BU$283+BU$287)</f>
        <v>0</v>
      </c>
      <c r="BV292" s="48" t="n">
        <f aca="false">IF(BV$8=1,IF(Reales!$C$73="PYG",IF(BV$10&gt;0,N(Reales!BV73)/BV$10,0),N(Reales!BV73)),BV$279+BV$283+BV$287)</f>
        <v>0</v>
      </c>
      <c r="BW292" s="48" t="n">
        <f aca="false">IF(BW$8=1,IF(Reales!$C$73="PYG",IF(BW$10&gt;0,N(Reales!BW73)/BW$10,0),N(Reales!BW73)),BW$279+BW$283+BW$287)</f>
        <v>0</v>
      </c>
      <c r="BX292" s="48" t="n">
        <f aca="false">IF(BX$8=1,IF(Reales!$C$73="PYG",IF(BX$10&gt;0,N(Reales!BX73)/BX$10,0),N(Reales!BX73)),BX$279+BX$283+BX$287)</f>
        <v>0</v>
      </c>
      <c r="BY292" s="48" t="n">
        <f aca="false">IF(BY$8=1,IF(Reales!$C$73="PYG",IF(BY$10&gt;0,N(Reales!BY73)/BY$10,0),N(Reales!BY73)),BY$279+BY$283+BY$287)</f>
        <v>0</v>
      </c>
      <c r="BZ292" s="48" t="n">
        <f aca="false">IF(BZ$8=1,IF(Reales!$C$73="PYG",IF(BZ$10&gt;0,N(Reales!BZ73)/BZ$10,0),N(Reales!BZ73)),BZ$279+BZ$283+BZ$287)</f>
        <v>0</v>
      </c>
      <c r="CA292" s="48" t="n">
        <f aca="false">IF(CA$8=1,IF(Reales!$C$73="PYG",IF(CA$10&gt;0,N(Reales!CA73)/CA$10,0),N(Reales!CA73)),CA$279+CA$283+CA$287)</f>
        <v>0</v>
      </c>
      <c r="CB292" s="48" t="n">
        <f aca="false">IF(CB$8=1,IF(Reales!$C$73="PYG",IF(CB$10&gt;0,N(Reales!CB73)/CB$10,0),N(Reales!CB73)),CB$279+CB$283+CB$287)</f>
        <v>0</v>
      </c>
      <c r="CC292" s="48" t="n">
        <f aca="false">IF(CC$8=1,IF(Reales!$C$73="PYG",IF(CC$10&gt;0,N(Reales!CC73)/CC$10,0),N(Reales!CC73)),CC$279+CC$283+CC$287)</f>
        <v>0</v>
      </c>
      <c r="CD292" s="48" t="n">
        <f aca="false">IF(CD$8=1,IF(Reales!$C$73="PYG",IF(CD$10&gt;0,N(Reales!CD73)/CD$10,0),N(Reales!CD73)),CD$279+CD$283+CD$287)</f>
        <v>0</v>
      </c>
      <c r="CE292" s="48" t="n">
        <f aca="false">IF(CE$8=1,IF(Reales!$C$73="PYG",IF(CE$10&gt;0,N(Reales!CE73)/CE$10,0),N(Reales!CE73)),CE$279+CE$283+CE$287)</f>
        <v>0</v>
      </c>
      <c r="CF292" s="48" t="n">
        <f aca="false">IF(CF$8=1,IF(Reales!$C$73="PYG",IF(CF$10&gt;0,N(Reales!CF73)/CF$10,0),N(Reales!CF73)),CF$279+CF$283+CF$287)</f>
        <v>0</v>
      </c>
      <c r="CG292" s="48" t="n">
        <f aca="false">IF(CG$8=1,IF(Reales!$C$73="PYG",IF(CG$10&gt;0,N(Reales!CG73)/CG$10,0),N(Reales!CG73)),CG$279+CG$283+CG$287)</f>
        <v>0</v>
      </c>
      <c r="CH292" s="48" t="n">
        <f aca="false">IF(CH$8=1,IF(Reales!$C$73="PYG",IF(CH$10&gt;0,N(Reales!CH73)/CH$10,0),N(Reales!CH73)),CH$279+CH$283+CH$287)</f>
        <v>0</v>
      </c>
      <c r="CI292" s="48" t="n">
        <f aca="false">IF(CI$8=1,IF(Reales!$C$73="PYG",IF(CI$10&gt;0,N(Reales!CI73)/CI$10,0),N(Reales!CI73)),CI$279+CI$283+CI$287)</f>
        <v>0</v>
      </c>
      <c r="CJ292" s="48" t="n">
        <f aca="false">IF(CJ$8=1,IF(Reales!$C$73="PYG",IF(CJ$10&gt;0,N(Reales!CJ73)/CJ$10,0),N(Reales!CJ73)),CJ$279+CJ$283+CJ$287)</f>
        <v>0</v>
      </c>
      <c r="CK292" s="48" t="n">
        <f aca="false">IF(CK$8=1,IF(Reales!$C$73="PYG",IF(CK$10&gt;0,N(Reales!CK73)/CK$10,0),N(Reales!CK73)),CK$279+CK$283+CK$287)</f>
        <v>0</v>
      </c>
      <c r="CL292" s="48" t="n">
        <f aca="false">IF(CL$8=1,IF(Reales!$C$73="PYG",IF(CL$10&gt;0,N(Reales!CL73)/CL$10,0),N(Reales!CL73)),CL$279+CL$283+CL$287)</f>
        <v>0</v>
      </c>
      <c r="CM292" s="48" t="n">
        <f aca="false">IF(CM$8=1,IF(Reales!$C$73="PYG",IF(CM$10&gt;0,N(Reales!CM73)/CM$10,0),N(Reales!CM73)),CM$279+CM$283+CM$287)</f>
        <v>0</v>
      </c>
      <c r="CN292" s="48" t="n">
        <f aca="false">IF(CN$8=1,IF(Reales!$C$73="PYG",IF(CN$10&gt;0,N(Reales!CN73)/CN$10,0),N(Reales!CN73)),CN$279+CN$283+CN$287)</f>
        <v>0</v>
      </c>
      <c r="CO292" s="48" t="n">
        <f aca="false">IF(CO$8=1,IF(Reales!$C$73="PYG",IF(CO$10&gt;0,N(Reales!CO73)/CO$10,0),N(Reales!CO73)),CO$279+CO$283+CO$287)</f>
        <v>0</v>
      </c>
      <c r="CP292" s="48" t="n">
        <f aca="false">IF(CP$8=1,IF(Reales!$C$73="PYG",IF(CP$10&gt;0,N(Reales!CP73)/CP$10,0),N(Reales!CP73)),CP$279+CP$283+CP$287)</f>
        <v>0</v>
      </c>
      <c r="CQ292" s="48" t="n">
        <f aca="false">IF(CQ$8=1,IF(Reales!$C$73="PYG",IF(CQ$10&gt;0,N(Reales!CQ73)/CQ$10,0),N(Reales!CQ73)),CQ$279+CQ$283+CQ$287)</f>
        <v>0</v>
      </c>
      <c r="CR292" s="48" t="n">
        <f aca="false">IF(CR$8=1,IF(Reales!$C$73="PYG",IF(CR$10&gt;0,N(Reales!CR73)/CR$10,0),N(Reales!CR73)),CR$279+CR$283+CR$287)</f>
        <v>0</v>
      </c>
      <c r="CS292" s="48" t="n">
        <f aca="false">IF(CS$8=1,IF(Reales!$C$73="PYG",IF(CS$10&gt;0,N(Reales!CS73)/CS$10,0),N(Reales!CS73)),CS$279+CS$283+CS$287)</f>
        <v>0</v>
      </c>
      <c r="CT292" s="48" t="n">
        <f aca="false">IF(CT$8=1,IF(Reales!$C$73="PYG",IF(CT$10&gt;0,N(Reales!CT73)/CT$10,0),N(Reales!CT73)),CT$279+CT$283+CT$287)</f>
        <v>0</v>
      </c>
      <c r="CU292" s="48" t="n">
        <f aca="false">IF(CU$8=1,IF(Reales!$C$73="PYG",IF(CU$10&gt;0,N(Reales!CU73)/CU$10,0),N(Reales!CU73)),CU$279+CU$283+CU$287)</f>
        <v>0</v>
      </c>
      <c r="CV292" s="48" t="n">
        <f aca="false">IF(CV$8=1,IF(Reales!$C$73="PYG",IF(CV$10&gt;0,N(Reales!CV73)/CV$10,0),N(Reales!CV73)),CV$279+CV$283+CV$287)</f>
        <v>0</v>
      </c>
      <c r="CW292" s="48" t="n">
        <f aca="false">IF(CW$8=1,IF(Reales!$C$73="PYG",IF(CW$10&gt;0,N(Reales!CW73)/CW$10,0),N(Reales!CW73)),CW$279+CW$283+CW$287)</f>
        <v>0</v>
      </c>
      <c r="CX292" s="48" t="n">
        <f aca="false">IF(CX$8=1,IF(Reales!$C$73="PYG",IF(CX$10&gt;0,N(Reales!CX73)/CX$10,0),N(Reales!CX73)),CX$279+CX$283+CX$287)</f>
        <v>0</v>
      </c>
      <c r="CY292" s="48" t="n">
        <f aca="false">IF(CY$8=1,IF(Reales!$C$73="PYG",IF(CY$10&gt;0,N(Reales!CY73)/CY$10,0),N(Reales!CY73)),CY$279+CY$283+CY$287)</f>
        <v>0</v>
      </c>
      <c r="CZ292" s="48" t="n">
        <f aca="false">IF(CZ$8=1,IF(Reales!$C$73="PYG",IF(CZ$10&gt;0,N(Reales!CZ73)/CZ$10,0),N(Reales!CZ73)),CZ$279+CZ$283+CZ$287)</f>
        <v>0</v>
      </c>
      <c r="DA292" s="48" t="n">
        <f aca="false">IF(DA$8=1,IF(Reales!$C$73="PYG",IF(DA$10&gt;0,N(Reales!DA73)/DA$10,0),N(Reales!DA73)),DA$279+DA$283+DA$287)</f>
        <v>0</v>
      </c>
      <c r="DB292" s="48" t="n">
        <f aca="false">IF(DB$8=1,IF(Reales!$C$73="PYG",IF(DB$10&gt;0,N(Reales!DB73)/DB$10,0),N(Reales!DB73)),DB$279+DB$283+DB$287)</f>
        <v>0</v>
      </c>
      <c r="DC292" s="48" t="n">
        <f aca="false">IF(DC$8=1,IF(Reales!$C$73="PYG",IF(DC$10&gt;0,N(Reales!DC73)/DC$10,0),N(Reales!DC73)),DC$279+DC$283+DC$287)</f>
        <v>0</v>
      </c>
      <c r="DD292" s="48" t="n">
        <f aca="false">IF(DD$8=1,IF(Reales!$C$73="PYG",IF(DD$10&gt;0,N(Reales!DD73)/DD$10,0),N(Reales!DD73)),DD$279+DD$283+DD$287)</f>
        <v>0</v>
      </c>
      <c r="DE292" s="48" t="n">
        <f aca="false">IF(DE$8=1,IF(Reales!$C$73="PYG",IF(DE$10&gt;0,N(Reales!DE73)/DE$10,0),N(Reales!DE73)),DE$279+DE$283+DE$287)</f>
        <v>0</v>
      </c>
      <c r="DF292" s="48" t="n">
        <f aca="false">IF(DF$8=1,IF(Reales!$C$73="PYG",IF(DF$10&gt;0,N(Reales!DF73)/DF$10,0),N(Reales!DF73)),DF$279+DF$283+DF$287)</f>
        <v>0</v>
      </c>
      <c r="DG292" s="48" t="n">
        <f aca="false">IF(DG$8=1,IF(Reales!$C$73="PYG",IF(DG$10&gt;0,N(Reales!DG73)/DG$10,0),N(Reales!DG73)),DG$279+DG$283+DG$287)</f>
        <v>0</v>
      </c>
      <c r="DH292" s="48" t="n">
        <f aca="false">IF(DH$8=1,IF(Reales!$C$73="PYG",IF(DH$10&gt;0,N(Reales!DH73)/DH$10,0),N(Reales!DH73)),DH$279+DH$283+DH$287)</f>
        <v>0</v>
      </c>
      <c r="DI292" s="48" t="n">
        <f aca="false">IF(DI$8=1,IF(Reales!$C$73="PYG",IF(DI$10&gt;0,N(Reales!DI73)/DI$10,0),N(Reales!DI73)),DI$279+DI$283+DI$287)</f>
        <v>0</v>
      </c>
      <c r="DJ292" s="48" t="n">
        <f aca="false">IF(DJ$8=1,IF(Reales!$C$73="PYG",IF(DJ$10&gt;0,N(Reales!DJ73)/DJ$10,0),N(Reales!DJ73)),DJ$279+DJ$283+DJ$287)</f>
        <v>0</v>
      </c>
      <c r="DK292" s="48" t="n">
        <f aca="false">IF(DK$8=1,IF(Reales!$C$73="PYG",IF(DK$10&gt;0,N(Reales!DK73)/DK$10,0),N(Reales!DK73)),DK$279+DK$283+DK$287)</f>
        <v>0</v>
      </c>
      <c r="DL292" s="48" t="n">
        <f aca="false">IF(DL$8=1,IF(Reales!$C$73="PYG",IF(DL$10&gt;0,N(Reales!DL73)/DL$10,0),N(Reales!DL73)),DL$279+DL$283+DL$287)</f>
        <v>0</v>
      </c>
      <c r="DM292" s="48" t="n">
        <f aca="false">IF(DM$8=1,IF(Reales!$C$73="PYG",IF(DM$10&gt;0,N(Reales!DM73)/DM$10,0),N(Reales!DM73)),DM$279+DM$283+DM$287)</f>
        <v>0</v>
      </c>
      <c r="DN292" s="48" t="n">
        <f aca="false">IF(DN$8=1,IF(Reales!$C$73="PYG",IF(DN$10&gt;0,N(Reales!DN73)/DN$10,0),N(Reales!DN73)),DN$279+DN$283+DN$287)</f>
        <v>0</v>
      </c>
      <c r="DO292" s="48" t="n">
        <f aca="false">IF(DO$8=1,IF(Reales!$C$73="PYG",IF(DO$10&gt;0,N(Reales!DO73)/DO$10,0),N(Reales!DO73)),DO$279+DO$283+DO$287)</f>
        <v>0</v>
      </c>
      <c r="DP292" s="48" t="n">
        <f aca="false">IF(DP$8=1,IF(Reales!$C$73="PYG",IF(DP$10&gt;0,N(Reales!DP73)/DP$10,0),N(Reales!DP73)),DP$279+DP$283+DP$287)</f>
        <v>0</v>
      </c>
      <c r="DQ292" s="48" t="n">
        <f aca="false">IF(DQ$8=1,IF(Reales!$C$73="PYG",IF(DQ$10&gt;0,N(Reales!DQ73)/DQ$10,0),N(Reales!DQ73)),DQ$279+DQ$283+DQ$287)</f>
        <v>0</v>
      </c>
      <c r="DR292" s="48" t="n">
        <f aca="false">IF(DR$8=1,IF(Reales!$C$73="PYG",IF(DR$10&gt;0,N(Reales!DR73)/DR$10,0),N(Reales!DR73)),DR$279+DR$283+DR$287)</f>
        <v>0</v>
      </c>
      <c r="DS292" s="48" t="n">
        <f aca="false">IF(DS$8=1,IF(Reales!$C$73="PYG",IF(DS$10&gt;0,N(Reales!DS73)/DS$10,0),N(Reales!DS73)),DS$279+DS$283+DS$287)</f>
        <v>0</v>
      </c>
      <c r="DT292" s="48" t="n">
        <f aca="false">IF(DT$8=1,IF(Reales!$C$73="PYG",IF(DT$10&gt;0,N(Reales!DT73)/DT$10,0),N(Reales!DT73)),DT$279+DT$283+DT$287)</f>
        <v>0</v>
      </c>
      <c r="DU292" s="48" t="n">
        <f aca="false">IF(DU$8=1,IF(Reales!$C$73="PYG",IF(DU$10&gt;0,N(Reales!DU73)/DU$10,0),N(Reales!DU73)),DU$279+DU$283+DU$287)</f>
        <v>0</v>
      </c>
      <c r="DV292" s="48" t="n">
        <f aca="false">IF(DV$8=1,IF(Reales!$C$73="PYG",IF(DV$10&gt;0,N(Reales!DV73)/DV$10,0),N(Reales!DV73)),DV$279+DV$283+DV$287)</f>
        <v>0</v>
      </c>
      <c r="DW292" s="48" t="n">
        <f aca="false">IF(DW$8=1,IF(Reales!$C$73="PYG",IF(DW$10&gt;0,N(Reales!DW73)/DW$10,0),N(Reales!DW73)),DW$279+DW$283+DW$287)</f>
        <v>0</v>
      </c>
      <c r="DX292" s="48" t="n">
        <f aca="false">IF(DX$8=1,IF(Reales!$C$73="PYG",IF(DX$10&gt;0,N(Reales!DX73)/DX$10,0),N(Reales!DX73)),DX$279+DX$283+DX$287)</f>
        <v>0</v>
      </c>
      <c r="DY292" s="48" t="n">
        <f aca="false">IF(DY$8=1,IF(Reales!$C$73="PYG",IF(DY$10&gt;0,N(Reales!DY73)/DY$10,0),N(Reales!DY73)),DY$279+DY$283+DY$287)</f>
        <v>0</v>
      </c>
      <c r="DZ292" s="48" t="n">
        <f aca="false">IF(DZ$8=1,IF(Reales!$C$73="PYG",IF(DZ$10&gt;0,N(Reales!DZ73)/DZ$10,0),N(Reales!DZ73)),DZ$279+DZ$283+DZ$287)</f>
        <v>0</v>
      </c>
      <c r="EA292" s="48" t="n">
        <f aca="false">IF(EA$8=1,IF(Reales!$C$73="PYG",IF(EA$10&gt;0,N(Reales!EA73)/EA$10,0),N(Reales!EA73)),EA$279+EA$283+EA$287)</f>
        <v>0</v>
      </c>
      <c r="EB292" s="48" t="n">
        <f aca="false">IF(EB$8=1,IF(Reales!$C$73="PYG",IF(EB$10&gt;0,N(Reales!EB73)/EB$10,0),N(Reales!EB73)),EB$279+EB$283+EB$287)</f>
        <v>0</v>
      </c>
      <c r="EC292" s="48" t="n">
        <f aca="false">IF(EC$8=1,IF(Reales!$C$73="PYG",IF(EC$10&gt;0,N(Reales!EC73)/EC$10,0),N(Reales!EC73)),EC$279+EC$283+EC$287)</f>
        <v>0</v>
      </c>
      <c r="ED292" s="48" t="n">
        <f aca="false">IF(ED$8=1,IF(Reales!$C$73="PYG",IF(ED$10&gt;0,N(Reales!ED73)/ED$10,0),N(Reales!ED73)),ED$279+ED$283+ED$287)</f>
        <v>0</v>
      </c>
      <c r="EE292" s="48" t="n">
        <f aca="false">IF(EE$8=1,IF(Reales!$C$73="PYG",IF(EE$10&gt;0,N(Reales!EE73)/EE$10,0),N(Reales!EE73)),EE$279+EE$283+EE$287)</f>
        <v>0</v>
      </c>
      <c r="EF292" s="48" t="n">
        <f aca="false">IF(EF$8=1,IF(Reales!$C$73="PYG",IF(EF$10&gt;0,N(Reales!EF73)/EF$10,0),N(Reales!EF73)),EF$279+EF$283+EF$287)</f>
        <v>0</v>
      </c>
      <c r="EG292" s="48" t="n">
        <f aca="false">IF(EG$8=1,IF(Reales!$C$73="PYG",IF(EG$10&gt;0,N(Reales!EG73)/EG$10,0),N(Reales!EG73)),EG$279+EG$283+EG$287)</f>
        <v>0</v>
      </c>
      <c r="EH292" s="48" t="n">
        <f aca="false">IF(EH$8=1,IF(Reales!$C$73="PYG",IF(EH$10&gt;0,N(Reales!EH73)/EH$10,0),N(Reales!EH73)),EH$279+EH$283+EH$287)</f>
        <v>0</v>
      </c>
      <c r="EI292" s="48" t="n">
        <f aca="false">IF(EI$8=1,IF(Reales!$C$73="PYG",IF(EI$10&gt;0,N(Reales!EI73)/EI$10,0),N(Reales!EI73)),EI$279+EI$283+EI$287)</f>
        <v>0</v>
      </c>
      <c r="EJ292" s="48" t="n">
        <f aca="false">IF(EJ$8=1,IF(Reales!$C$73="PYG",IF(EJ$10&gt;0,N(Reales!EJ73)/EJ$10,0),N(Reales!EJ73)),EJ$279+EJ$283+EJ$287)</f>
        <v>0</v>
      </c>
      <c r="EK292" s="48" t="n">
        <f aca="false">IF(EK$8=1,IF(Reales!$C$73="PYG",IF(EK$10&gt;0,N(Reales!EK73)/EK$10,0),N(Reales!EK73)),EK$279+EK$283+EK$287)</f>
        <v>0</v>
      </c>
      <c r="EL292" s="48" t="n">
        <f aca="false">IF(EL$8=1,IF(Reales!$C$73="PYG",IF(EL$10&gt;0,N(Reales!EL73)/EL$10,0),N(Reales!EL73)),EL$279+EL$283+EL$287)</f>
        <v>0</v>
      </c>
      <c r="EM292" s="48" t="n">
        <f aca="false">IF(EM$8=1,IF(Reales!$C$73="PYG",IF(EM$10&gt;0,N(Reales!EM73)/EM$10,0),N(Reales!EM73)),EM$279+EM$283+EM$287)</f>
        <v>0</v>
      </c>
      <c r="EN292" s="48" t="n">
        <f aca="false">IF(EN$8=1,IF(Reales!$C$73="PYG",IF(EN$10&gt;0,N(Reales!EN73)/EN$10,0),N(Reales!EN73)),EN$279+EN$283+EN$287)</f>
        <v>0</v>
      </c>
      <c r="EO292" s="48" t="n">
        <f aca="false">IF(EO$8=1,IF(Reales!$C$73="PYG",IF(EO$10&gt;0,N(Reales!EO73)/EO$10,0),N(Reales!EO73)),EO$279+EO$283+EO$287)</f>
        <v>0</v>
      </c>
      <c r="EP292" s="48" t="n">
        <f aca="false">IF(EP$8=1,IF(Reales!$C$73="PYG",IF(EP$10&gt;0,N(Reales!EP73)/EP$10,0),N(Reales!EP73)),EP$279+EP$283+EP$287)</f>
        <v>0</v>
      </c>
      <c r="EQ292" s="48" t="n">
        <f aca="false">IF(EQ$8=1,IF(Reales!$C$73="PYG",IF(EQ$10&gt;0,N(Reales!EQ73)/EQ$10,0),N(Reales!EQ73)),EQ$279+EQ$283+EQ$287)</f>
        <v>0</v>
      </c>
      <c r="ER292" s="48" t="n">
        <f aca="false">IF(ER$8=1,IF(Reales!$C$73="PYG",IF(ER$10&gt;0,N(Reales!ER73)/ER$10,0),N(Reales!ER73)),ER$279+ER$283+ER$287)</f>
        <v>0</v>
      </c>
      <c r="ES292" s="48" t="n">
        <f aca="false">IF(ES$8=1,IF(Reales!$C$73="PYG",IF(ES$10&gt;0,N(Reales!ES73)/ES$10,0),N(Reales!ES73)),ES$279+ES$283+ES$287)</f>
        <v>0</v>
      </c>
    </row>
    <row r="293" customFormat="false" ht="15" hidden="false" customHeight="false" outlineLevel="0" collapsed="false">
      <c r="A293" s="11" t="s">
        <v>1410</v>
      </c>
      <c r="B293" s="15" t="s">
        <v>1238</v>
      </c>
      <c r="C293" s="15" t="s">
        <v>508</v>
      </c>
      <c r="E293" s="54" t="n">
        <f aca="false">SUM(F293:ES293)</f>
        <v>2791587</v>
      </c>
      <c r="F293" s="48" t="n">
        <f aca="false">IF(F$8=1,IF(Reales!$C$75="PYG",IF(F$10&gt;0,N(Reales!F75)/F$10,0),N(Reales!F75)),MAX(0,MIN(0-0+F$292,F$281+F$285+F$289)))</f>
        <v>0</v>
      </c>
      <c r="G293" s="48" t="n">
        <f aca="false">IF(G$8=1,IF(Reales!$C$75="PYG",IF(G$10&gt;0,N(Reales!G75)/G$10,0),N(Reales!G75)),MAX(0,MIN(F$304-F$301+G$292,G$281+G$285+G$289)))</f>
        <v>0</v>
      </c>
      <c r="H293" s="48" t="n">
        <f aca="false">IF(H$8=1,IF(Reales!$C$75="PYG",IF(H$10&gt;0,N(Reales!H75)/H$10,0),N(Reales!H75)),MAX(0,MIN(G$304-G$301+H$292,H$281+H$285+H$289)))</f>
        <v>0</v>
      </c>
      <c r="I293" s="48" t="n">
        <f aca="false">IF(I$8=1,IF(Reales!$C$75="PYG",IF(I$10&gt;0,N(Reales!I75)/I$10,0),N(Reales!I75)),MAX(0,MIN(H$304-H$301+I$292,I$281+I$285+I$289)))</f>
        <v>0</v>
      </c>
      <c r="J293" s="48" t="n">
        <f aca="false">IF(J$8=1,IF(Reales!$C$75="PYG",IF(J$10&gt;0,N(Reales!J75)/J$10,0),N(Reales!J75)),MAX(0,MIN(I$304-I$301+J$292,J$281+J$285+J$289)))</f>
        <v>0</v>
      </c>
      <c r="K293" s="48" t="n">
        <f aca="false">IF(K$8=1,IF(Reales!$C$75="PYG",IF(K$10&gt;0,N(Reales!K75)/K$10,0),N(Reales!K75)),MAX(0,MIN(J$304-J$301+K$292,K$281+K$285+K$289)))</f>
        <v>0</v>
      </c>
      <c r="L293" s="48" t="n">
        <f aca="false">IF(L$8=1,IF(Reales!$C$75="PYG",IF(L$10&gt;0,N(Reales!L75)/L$10,0),N(Reales!L75)),MAX(0,MIN(K$304-K$301+L$292,L$281+L$285+L$289)))</f>
        <v>42123.3040946878</v>
      </c>
      <c r="M293" s="48" t="n">
        <f aca="false">IF(M$8=1,IF(Reales!$C$75="PYG",IF(M$10&gt;0,N(Reales!M75)/M$10,0),N(Reales!M75)),MAX(0,MIN(L$304-L$301+M$292,M$281+M$285+M$289)))</f>
        <v>42439.2288753979</v>
      </c>
      <c r="N293" s="48" t="n">
        <f aca="false">IF(N$8=1,IF(Reales!$C$75="PYG",IF(N$10&gt;0,N(Reales!N75)/N$10,0),N(Reales!N75)),MAX(0,MIN(M$304-M$301+N$292,N$281+N$285+N$289)))</f>
        <v>42757.5230919634</v>
      </c>
      <c r="O293" s="48" t="n">
        <f aca="false">IF(O$8=1,IF(Reales!$C$75="PYG",IF(O$10&gt;0,N(Reales!O75)/O$10,0),N(Reales!O75)),MAX(0,MIN(N$304-N$301+O$292,O$281+O$285+O$289)))</f>
        <v>43078.2045151531</v>
      </c>
      <c r="P293" s="48" t="n">
        <f aca="false">IF(P$8=1,IF(Reales!$C$75="PYG",IF(P$10&gt;0,N(Reales!P75)/P$10,0),N(Reales!P75)),MAX(0,MIN(O$304-O$301+P$292,P$281+P$285+P$289)))</f>
        <v>43401.2910490168</v>
      </c>
      <c r="Q293" s="48" t="n">
        <f aca="false">IF(Q$8=1,IF(Reales!$C$75="PYG",IF(Q$10&gt;0,N(Reales!Q75)/Q$10,0),N(Reales!Q75)),MAX(0,MIN(P$304-P$301+Q$292,Q$281+Q$285+Q$289)))</f>
        <v>43726.8007318844</v>
      </c>
      <c r="R293" s="48" t="n">
        <f aca="false">IF(R$8=1,IF(Reales!$C$75="PYG",IF(R$10&gt;0,N(Reales!R75)/R$10,0),N(Reales!R75)),MAX(0,MIN(Q$304-Q$301+R$292,R$281+R$285+R$289)))</f>
        <v>44054.7517373735</v>
      </c>
      <c r="S293" s="48" t="n">
        <f aca="false">IF(S$8=1,IF(Reales!$C$75="PYG",IF(S$10&gt;0,N(Reales!S75)/S$10,0),N(Reales!S75)),MAX(0,MIN(R$304-R$301+S$292,S$281+S$285+S$289)))</f>
        <v>44385.1623754038</v>
      </c>
      <c r="T293" s="48" t="n">
        <f aca="false">IF(T$8=1,IF(Reales!$C$75="PYG",IF(T$10&gt;0,N(Reales!T75)/T$10,0),N(Reales!T75)),MAX(0,MIN(S$304-S$301+T$292,T$281+T$285+T$289)))</f>
        <v>44718.0510932194</v>
      </c>
      <c r="U293" s="48" t="n">
        <f aca="false">IF(U$8=1,IF(Reales!$C$75="PYG",IF(U$10&gt;0,N(Reales!U75)/U$10,0),N(Reales!U75)),MAX(0,MIN(T$304-T$301+U$292,U$281+U$285+U$289)))</f>
        <v>45053.4364764185</v>
      </c>
      <c r="V293" s="48" t="n">
        <f aca="false">IF(V$8=1,IF(Reales!$C$75="PYG",IF(V$10&gt;0,N(Reales!V75)/V$10,0),N(Reales!V75)),MAX(0,MIN(U$304-U$301+V$292,V$281+V$285+V$289)))</f>
        <v>45391.3372499916</v>
      </c>
      <c r="W293" s="48" t="n">
        <f aca="false">IF(W$8=1,IF(Reales!$C$75="PYG",IF(W$10&gt;0,N(Reales!W75)/W$10,0),N(Reales!W75)),MAX(0,MIN(V$304-V$301+W$292,W$281+W$285+W$289)))</f>
        <v>45731.7722793666</v>
      </c>
      <c r="X293" s="48" t="n">
        <f aca="false">IF(X$8=1,IF(Reales!$C$75="PYG",IF(X$10&gt;0,N(Reales!X75)/X$10,0),N(Reales!X75)),MAX(0,MIN(W$304-W$301+X$292,X$281+X$285+X$289)))</f>
        <v>46074.7605714618</v>
      </c>
      <c r="Y293" s="48" t="n">
        <f aca="false">IF(Y$8=1,IF(Reales!$C$75="PYG",IF(Y$10&gt;0,N(Reales!Y75)/Y$10,0),N(Reales!Y75)),MAX(0,MIN(X$304-X$301+Y$292,Y$281+Y$285+Y$289)))</f>
        <v>46420.3212757478</v>
      </c>
      <c r="Z293" s="48" t="n">
        <f aca="false">IF(Z$8=1,IF(Reales!$C$75="PYG",IF(Z$10&gt;0,N(Reales!Z75)/Z$10,0),N(Reales!Z75)),MAX(0,MIN(Y$304-Y$301+Z$292,Z$281+Z$285+Z$289)))</f>
        <v>46768.4736853159</v>
      </c>
      <c r="AA293" s="48" t="n">
        <f aca="false">IF(AA$8=1,IF(Reales!$C$75="PYG",IF(AA$10&gt;0,N(Reales!AA75)/AA$10,0),N(Reales!AA75)),MAX(0,MIN(Z$304-Z$301+AA$292,AA$281+AA$285+AA$289)))</f>
        <v>47119.2372379558</v>
      </c>
      <c r="AB293" s="48" t="n">
        <f aca="false">IF(AB$8=1,IF(Reales!$C$75="PYG",IF(AB$10&gt;0,N(Reales!AB75)/AB$10,0),N(Reales!AB75)),MAX(0,MIN(AA$304-AA$301+AB$292,AB$281+AB$285+AB$289)))</f>
        <v>47472.6315172404</v>
      </c>
      <c r="AC293" s="48" t="n">
        <f aca="false">IF(AC$8=1,IF(Reales!$C$75="PYG",IF(AC$10&gt;0,N(Reales!AC75)/AC$10,0),N(Reales!AC75)),MAX(0,MIN(AB$304-AB$301+AC$292,AC$281+AC$285+AC$289)))</f>
        <v>47828.6762536197</v>
      </c>
      <c r="AD293" s="48" t="n">
        <f aca="false">IF(AD$8=1,IF(Reales!$C$75="PYG",IF(AD$10&gt;0,N(Reales!AD75)/AD$10,0),N(Reales!AD75)),MAX(0,MIN(AC$304-AC$301+AD$292,AD$281+AD$285+AD$289)))</f>
        <v>48187.3913255219</v>
      </c>
      <c r="AE293" s="48" t="n">
        <f aca="false">IF(AE$8=1,IF(Reales!$C$75="PYG",IF(AE$10&gt;0,N(Reales!AE75)/AE$10,0),N(Reales!AE75)),MAX(0,MIN(AD$304-AD$301+AE$292,AE$281+AE$285+AE$289)))</f>
        <v>48548.7967604633</v>
      </c>
      <c r="AF293" s="48" t="n">
        <f aca="false">IF(AF$8=1,IF(Reales!$C$75="PYG",IF(AF$10&gt;0,N(Reales!AF75)/AF$10,0),N(Reales!AF75)),MAX(0,MIN(AE$304-AE$301+AF$292,AF$281+AF$285+AF$289)))</f>
        <v>48912.9127361668</v>
      </c>
      <c r="AG293" s="48" t="n">
        <f aca="false">IF(AG$8=1,IF(Reales!$C$75="PYG",IF(AG$10&gt;0,N(Reales!AG75)/AG$10,0),N(Reales!AG75)),MAX(0,MIN(AF$304-AF$301+AG$292,AG$281+AG$285+AG$289)))</f>
        <v>49279.759581688</v>
      </c>
      <c r="AH293" s="48" t="n">
        <f aca="false">IF(AH$8=1,IF(Reales!$C$75="PYG",IF(AH$10&gt;0,N(Reales!AH75)/AH$10,0),N(Reales!AH75)),MAX(0,MIN(AG$304-AG$301+AH$292,AH$281+AH$285+AH$289)))</f>
        <v>49649.3577785507</v>
      </c>
      <c r="AI293" s="48" t="n">
        <f aca="false">IF(AI$8=1,IF(Reales!$C$75="PYG",IF(AI$10&gt;0,N(Reales!AI75)/AI$10,0),N(Reales!AI75)),MAX(0,MIN(AH$304-AH$301+AI$292,AI$281+AI$285+AI$289)))</f>
        <v>50021.7279618898</v>
      </c>
      <c r="AJ293" s="48" t="n">
        <f aca="false">IF(AJ$8=1,IF(Reales!$C$75="PYG",IF(AJ$10&gt;0,N(Reales!AJ75)/AJ$10,0),N(Reales!AJ75)),MAX(0,MIN(AI$304-AI$301+AJ$292,AJ$281+AJ$285+AJ$289)))</f>
        <v>50396.890921604</v>
      </c>
      <c r="AK293" s="48" t="n">
        <f aca="false">IF(AK$8=1,IF(Reales!$C$75="PYG",IF(AK$10&gt;0,N(Reales!AK75)/AK$10,0),N(Reales!AK75)),MAX(0,MIN(AJ$304-AJ$301+AK$292,AK$281+AK$285+AK$289)))</f>
        <v>50774.867603516</v>
      </c>
      <c r="AL293" s="48" t="n">
        <f aca="false">IF(AL$8=1,IF(Reales!$C$75="PYG",IF(AL$10&gt;0,N(Reales!AL75)/AL$10,0),N(Reales!AL75)),MAX(0,MIN(AK$304-AK$301+AL$292,AL$281+AL$285+AL$289)))</f>
        <v>51155.6791105424</v>
      </c>
      <c r="AM293" s="48" t="n">
        <f aca="false">IF(AM$8=1,IF(Reales!$C$75="PYG",IF(AM$10&gt;0,N(Reales!AM75)/AM$10,0),N(Reales!AM75)),MAX(0,MIN(AL$304-AL$301+AM$292,AM$281+AM$285+AM$289)))</f>
        <v>51539.3467038715</v>
      </c>
      <c r="AN293" s="48" t="n">
        <f aca="false">IF(AN$8=1,IF(Reales!$C$75="PYG",IF(AN$10&gt;0,N(Reales!AN75)/AN$10,0),N(Reales!AN75)),MAX(0,MIN(AM$304-AM$301+AN$292,AN$281+AN$285+AN$289)))</f>
        <v>51925.8918041505</v>
      </c>
      <c r="AO293" s="48" t="n">
        <f aca="false">IF(AO$8=1,IF(Reales!$C$75="PYG",IF(AO$10&gt;0,N(Reales!AO75)/AO$10,0),N(Reales!AO75)),MAX(0,MIN(AN$304-AN$301+AO$292,AO$281+AO$285+AO$289)))</f>
        <v>52315.3359926816</v>
      </c>
      <c r="AP293" s="48" t="n">
        <f aca="false">IF(AP$8=1,IF(Reales!$C$75="PYG",IF(AP$10&gt;0,N(Reales!AP75)/AP$10,0),N(Reales!AP75)),MAX(0,MIN(AO$304-AO$301+AP$292,AP$281+AP$285+AP$289)))</f>
        <v>52707.7010126267</v>
      </c>
      <c r="AQ293" s="48" t="n">
        <f aca="false">IF(AQ$8=1,IF(Reales!$C$75="PYG",IF(AQ$10&gt;0,N(Reales!AQ75)/AQ$10,0),N(Reales!AQ75)),MAX(0,MIN(AP$304-AP$301+AQ$292,AQ$281+AQ$285+AQ$289)))</f>
        <v>53103.0087702214</v>
      </c>
      <c r="AR293" s="48" t="n">
        <f aca="false">IF(AR$8=1,IF(Reales!$C$75="PYG",IF(AR$10&gt;0,N(Reales!AR75)/AR$10,0),N(Reales!AR75)),MAX(0,MIN(AQ$304-AQ$301+AR$292,AR$281+AR$285+AR$289)))</f>
        <v>53501.2813359981</v>
      </c>
      <c r="AS293" s="48" t="n">
        <f aca="false">IF(AS$8=1,IF(Reales!$C$75="PYG",IF(AS$10&gt;0,N(Reales!AS75)/AS$10,0),N(Reales!AS75)),MAX(0,MIN(AR$304-AR$301+AS$292,AS$281+AS$285+AS$289)))</f>
        <v>53902.5409460181</v>
      </c>
      <c r="AT293" s="48" t="n">
        <f aca="false">IF(AT$8=1,IF(Reales!$C$75="PYG",IF(AT$10&gt;0,N(Reales!AT75)/AT$10,0),N(Reales!AT75)),MAX(0,MIN(AS$304-AS$301+AT$292,AT$281+AT$285+AT$289)))</f>
        <v>54306.8100031132</v>
      </c>
      <c r="AU293" s="48" t="n">
        <f aca="false">IF(AU$8=1,IF(Reales!$C$75="PYG",IF(AU$10&gt;0,N(Reales!AU75)/AU$10,0),N(Reales!AU75)),MAX(0,MIN(AT$304-AT$301+AU$292,AU$281+AU$285+AU$289)))</f>
        <v>54714.1110781366</v>
      </c>
      <c r="AV293" s="48" t="n">
        <f aca="false">IF(AV$8=1,IF(Reales!$C$75="PYG",IF(AV$10&gt;0,N(Reales!AV75)/AV$10,0),N(Reales!AV75)),MAX(0,MIN(AU$304-AU$301+AV$292,AV$281+AV$285+AV$289)))</f>
        <v>55124.4669112226</v>
      </c>
      <c r="AW293" s="48" t="n">
        <f aca="false">IF(AW$8=1,IF(Reales!$C$75="PYG",IF(AW$10&gt;0,N(Reales!AW75)/AW$10,0),N(Reales!AW75)),MAX(0,MIN(AV$304-AV$301+AW$292,AW$281+AW$285+AW$289)))</f>
        <v>55537.9004130568</v>
      </c>
      <c r="AX293" s="48" t="n">
        <f aca="false">IF(AX$8=1,IF(Reales!$C$75="PYG",IF(AX$10&gt;0,N(Reales!AX75)/AX$10,0),N(Reales!AX75)),MAX(0,MIN(AW$304-AW$301+AX$292,AX$281+AX$285+AX$289)))</f>
        <v>55954.4346661547</v>
      </c>
      <c r="AY293" s="48" t="n">
        <f aca="false">IF(AY$8=1,IF(Reales!$C$75="PYG",IF(AY$10&gt;0,N(Reales!AY75)/AY$10,0),N(Reales!AY75)),MAX(0,MIN(AX$304-AX$301+AY$292,AY$281+AY$285+AY$289)))</f>
        <v>56374.0929261509</v>
      </c>
      <c r="AZ293" s="48" t="n">
        <f aca="false">IF(AZ$8=1,IF(Reales!$C$75="PYG",IF(AZ$10&gt;0,N(Reales!AZ75)/AZ$10,0),N(Reales!AZ75)),MAX(0,MIN(AY$304-AY$301+AZ$292,AZ$281+AZ$285+AZ$289)))</f>
        <v>56796.898623097</v>
      </c>
      <c r="BA293" s="48" t="n">
        <f aca="false">IF(BA$8=1,IF(Reales!$C$75="PYG",IF(BA$10&gt;0,N(Reales!BA75)/BA$10,0),N(Reales!BA75)),MAX(0,MIN(AZ$304-AZ$301+BA$292,BA$281+BA$285+BA$289)))</f>
        <v>57222.8753627702</v>
      </c>
      <c r="BB293" s="48" t="n">
        <f aca="false">IF(BB$8=1,IF(Reales!$C$75="PYG",IF(BB$10&gt;0,N(Reales!BB75)/BB$10,0),N(Reales!BB75)),MAX(0,MIN(BA$304-BA$301+BB$292,BB$281+BB$285+BB$289)))</f>
        <v>57652.046927991</v>
      </c>
      <c r="BC293" s="48" t="n">
        <f aca="false">IF(BC$8=1,IF(Reales!$C$75="PYG",IF(BC$10&gt;0,N(Reales!BC75)/BC$10,0),N(Reales!BC75)),MAX(0,MIN(BB$304-BB$301+BC$292,BC$281+BC$285+BC$289)))</f>
        <v>58084.4372799509</v>
      </c>
      <c r="BD293" s="48" t="n">
        <f aca="false">IF(BD$8=1,IF(Reales!$C$75="PYG",IF(BD$10&gt;0,N(Reales!BD75)/BD$10,0),N(Reales!BD75)),MAX(0,MIN(BC$304-BC$301+BD$292,BD$281+BD$285+BD$289)))</f>
        <v>58520.0705595506</v>
      </c>
      <c r="BE293" s="48" t="n">
        <f aca="false">IF(BE$8=1,IF(Reales!$C$75="PYG",IF(BE$10&gt;0,N(Reales!BE75)/BE$10,0),N(Reales!BE75)),MAX(0,MIN(BD$304-BD$301+BE$292,BE$281+BE$285+BE$289)))</f>
        <v>58958.9710887472</v>
      </c>
      <c r="BF293" s="48" t="n">
        <f aca="false">IF(BF$8=1,IF(Reales!$C$75="PYG",IF(BF$10&gt;0,N(Reales!BF75)/BF$10,0),N(Reales!BF75)),MAX(0,MIN(BE$304-BE$301+BF$292,BF$281+BF$285+BF$289)))</f>
        <v>59401.1633719128</v>
      </c>
      <c r="BG293" s="48" t="n">
        <f aca="false">IF(BG$8=1,IF(Reales!$C$75="PYG",IF(BG$10&gt;0,N(Reales!BG75)/BG$10,0),N(Reales!BG75)),MAX(0,MIN(BF$304-BF$301+BG$292,BG$281+BG$285+BG$289)))</f>
        <v>59846.6720972021</v>
      </c>
      <c r="BH293" s="48" t="n">
        <f aca="false">IF(BH$8=1,IF(Reales!$C$75="PYG",IF(BH$10&gt;0,N(Reales!BH75)/BH$10,0),N(Reales!BH75)),MAX(0,MIN(BG$304-BG$301+BH$292,BH$281+BH$285+BH$289)))</f>
        <v>60295.5221379312</v>
      </c>
      <c r="BI293" s="48" t="n">
        <f aca="false">IF(BI$8=1,IF(Reales!$C$75="PYG",IF(BI$10&gt;0,N(Reales!BI75)/BI$10,0),N(Reales!BI75)),MAX(0,MIN(BH$304-BH$301+BI$292,BI$281+BI$285+BI$289)))</f>
        <v>60747.7385539656</v>
      </c>
      <c r="BJ293" s="48" t="n">
        <f aca="false">IF(BJ$8=1,IF(Reales!$C$75="PYG",IF(BJ$10&gt;0,N(Reales!BJ75)/BJ$10,0),N(Reales!BJ75)),MAX(0,MIN(BI$304-BI$301+BJ$292,BJ$281+BJ$285+BJ$289)))</f>
        <v>61203.3465931204</v>
      </c>
      <c r="BK293" s="48" t="n">
        <f aca="false">IF(BK$8=1,IF(Reales!$C$75="PYG",IF(BK$10&gt;0,N(Reales!BK75)/BK$10,0),N(Reales!BK75)),MAX(0,MIN(BJ$304-BJ$301+BK$292,BK$281+BK$285+BK$289)))</f>
        <v>61662.3716925688</v>
      </c>
      <c r="BL293" s="48" t="n">
        <f aca="false">IF(BL$8=1,IF(Reales!$C$75="PYG",IF(BL$10&gt;0,N(Reales!BL75)/BL$10,0),N(Reales!BL75)),MAX(0,MIN(BK$304-BK$301+BL$292,BL$281+BL$285+BL$289)))</f>
        <v>62124.839480263</v>
      </c>
      <c r="BM293" s="48" t="n">
        <f aca="false">IF(BM$8=1,IF(Reales!$C$75="PYG",IF(BM$10&gt;0,N(Reales!BM75)/BM$10,0),N(Reales!BM75)),MAX(0,MIN(BL$304-BL$301+BM$292,BM$281+BM$285+BM$289)))</f>
        <v>62590.7757763667</v>
      </c>
      <c r="BN293" s="48" t="n">
        <f aca="false">IF(BN$8=1,IF(Reales!$C$75="PYG",IF(BN$10&gt;0,N(Reales!BN75)/BN$10,0),N(Reales!BN75)),MAX(0,MIN(BM$304-BM$301+BN$292,BN$281+BN$285+BN$289)))</f>
        <v>0</v>
      </c>
      <c r="BO293" s="48" t="n">
        <f aca="false">IF(BO$8=1,IF(Reales!$C$75="PYG",IF(BO$10&gt;0,N(Reales!BO75)/BO$10,0),N(Reales!BO75)),MAX(0,MIN(BN$304-BN$301+BO$292,BO$281+BO$285+BO$289)))</f>
        <v>0</v>
      </c>
      <c r="BP293" s="48" t="n">
        <f aca="false">IF(BP$8=1,IF(Reales!$C$75="PYG",IF(BP$10&gt;0,N(Reales!BP75)/BP$10,0),N(Reales!BP75)),MAX(0,MIN(BO$304-BO$301+BP$292,BP$281+BP$285+BP$289)))</f>
        <v>0</v>
      </c>
      <c r="BQ293" s="48" t="n">
        <f aca="false">IF(BQ$8=1,IF(Reales!$C$75="PYG",IF(BQ$10&gt;0,N(Reales!BQ75)/BQ$10,0),N(Reales!BQ75)),MAX(0,MIN(BP$304-BP$301+BQ$292,BQ$281+BQ$285+BQ$289)))</f>
        <v>0</v>
      </c>
      <c r="BR293" s="48" t="n">
        <f aca="false">IF(BR$8=1,IF(Reales!$C$75="PYG",IF(BR$10&gt;0,N(Reales!BR75)/BR$10,0),N(Reales!BR75)),MAX(0,MIN(BQ$304-BQ$301+BR$292,BR$281+BR$285+BR$289)))</f>
        <v>0</v>
      </c>
      <c r="BS293" s="48" t="n">
        <f aca="false">IF(BS$8=1,IF(Reales!$C$75="PYG",IF(BS$10&gt;0,N(Reales!BS75)/BS$10,0),N(Reales!BS75)),MAX(0,MIN(BR$304-BR$301+BS$292,BS$281+BS$285+BS$289)))</f>
        <v>0</v>
      </c>
      <c r="BT293" s="48" t="n">
        <f aca="false">IF(BT$8=1,IF(Reales!$C$75="PYG",IF(BT$10&gt;0,N(Reales!BT75)/BT$10,0),N(Reales!BT75)),MAX(0,MIN(BS$304-BS$301+BT$292,BT$281+BT$285+BT$289)))</f>
        <v>0</v>
      </c>
      <c r="BU293" s="48" t="n">
        <f aca="false">IF(BU$8=1,IF(Reales!$C$75="PYG",IF(BU$10&gt;0,N(Reales!BU75)/BU$10,0),N(Reales!BU75)),MAX(0,MIN(BT$304-BT$301+BU$292,BU$281+BU$285+BU$289)))</f>
        <v>0</v>
      </c>
      <c r="BV293" s="48" t="n">
        <f aca="false">IF(BV$8=1,IF(Reales!$C$75="PYG",IF(BV$10&gt;0,N(Reales!BV75)/BV$10,0),N(Reales!BV75)),MAX(0,MIN(BU$304-BU$301+BV$292,BV$281+BV$285+BV$289)))</f>
        <v>0</v>
      </c>
      <c r="BW293" s="48" t="n">
        <f aca="false">IF(BW$8=1,IF(Reales!$C$75="PYG",IF(BW$10&gt;0,N(Reales!BW75)/BW$10,0),N(Reales!BW75)),MAX(0,MIN(BV$304-BV$301+BW$292,BW$281+BW$285+BW$289)))</f>
        <v>0</v>
      </c>
      <c r="BX293" s="48" t="n">
        <f aca="false">IF(BX$8=1,IF(Reales!$C$75="PYG",IF(BX$10&gt;0,N(Reales!BX75)/BX$10,0),N(Reales!BX75)),MAX(0,MIN(BW$304-BW$301+BX$292,BX$281+BX$285+BX$289)))</f>
        <v>0</v>
      </c>
      <c r="BY293" s="48" t="n">
        <f aca="false">IF(BY$8=1,IF(Reales!$C$75="PYG",IF(BY$10&gt;0,N(Reales!BY75)/BY$10,0),N(Reales!BY75)),MAX(0,MIN(BX$304-BX$301+BY$292,BY$281+BY$285+BY$289)))</f>
        <v>0</v>
      </c>
      <c r="BZ293" s="48" t="n">
        <f aca="false">IF(BZ$8=1,IF(Reales!$C$75="PYG",IF(BZ$10&gt;0,N(Reales!BZ75)/BZ$10,0),N(Reales!BZ75)),MAX(0,MIN(BY$304-BY$301+BZ$292,BZ$281+BZ$285+BZ$289)))</f>
        <v>0</v>
      </c>
      <c r="CA293" s="48" t="n">
        <f aca="false">IF(CA$8=1,IF(Reales!$C$75="PYG",IF(CA$10&gt;0,N(Reales!CA75)/CA$10,0),N(Reales!CA75)),MAX(0,MIN(BZ$304-BZ$301+CA$292,CA$281+CA$285+CA$289)))</f>
        <v>0</v>
      </c>
      <c r="CB293" s="48" t="n">
        <f aca="false">IF(CB$8=1,IF(Reales!$C$75="PYG",IF(CB$10&gt;0,N(Reales!CB75)/CB$10,0),N(Reales!CB75)),MAX(0,MIN(CA$304-CA$301+CB$292,CB$281+CB$285+CB$289)))</f>
        <v>0</v>
      </c>
      <c r="CC293" s="48" t="n">
        <f aca="false">IF(CC$8=1,IF(Reales!$C$75="PYG",IF(CC$10&gt;0,N(Reales!CC75)/CC$10,0),N(Reales!CC75)),MAX(0,MIN(CB$304-CB$301+CC$292,CC$281+CC$285+CC$289)))</f>
        <v>0</v>
      </c>
      <c r="CD293" s="48" t="n">
        <f aca="false">IF(CD$8=1,IF(Reales!$C$75="PYG",IF(CD$10&gt;0,N(Reales!CD75)/CD$10,0),N(Reales!CD75)),MAX(0,MIN(CC$304-CC$301+CD$292,CD$281+CD$285+CD$289)))</f>
        <v>0</v>
      </c>
      <c r="CE293" s="48" t="n">
        <f aca="false">IF(CE$8=1,IF(Reales!$C$75="PYG",IF(CE$10&gt;0,N(Reales!CE75)/CE$10,0),N(Reales!CE75)),MAX(0,MIN(CD$304-CD$301+CE$292,CE$281+CE$285+CE$289)))</f>
        <v>0</v>
      </c>
      <c r="CF293" s="48" t="n">
        <f aca="false">IF(CF$8=1,IF(Reales!$C$75="PYG",IF(CF$10&gt;0,N(Reales!CF75)/CF$10,0),N(Reales!CF75)),MAX(0,MIN(CE$304-CE$301+CF$292,CF$281+CF$285+CF$289)))</f>
        <v>0</v>
      </c>
      <c r="CG293" s="48" t="n">
        <f aca="false">IF(CG$8=1,IF(Reales!$C$75="PYG",IF(CG$10&gt;0,N(Reales!CG75)/CG$10,0),N(Reales!CG75)),MAX(0,MIN(CF$304-CF$301+CG$292,CG$281+CG$285+CG$289)))</f>
        <v>0</v>
      </c>
      <c r="CH293" s="48" t="n">
        <f aca="false">IF(CH$8=1,IF(Reales!$C$75="PYG",IF(CH$10&gt;0,N(Reales!CH75)/CH$10,0),N(Reales!CH75)),MAX(0,MIN(CG$304-CG$301+CH$292,CH$281+CH$285+CH$289)))</f>
        <v>0</v>
      </c>
      <c r="CI293" s="48" t="n">
        <f aca="false">IF(CI$8=1,IF(Reales!$C$75="PYG",IF(CI$10&gt;0,N(Reales!CI75)/CI$10,0),N(Reales!CI75)),MAX(0,MIN(CH$304-CH$301+CI$292,CI$281+CI$285+CI$289)))</f>
        <v>0</v>
      </c>
      <c r="CJ293" s="48" t="n">
        <f aca="false">IF(CJ$8=1,IF(Reales!$C$75="PYG",IF(CJ$10&gt;0,N(Reales!CJ75)/CJ$10,0),N(Reales!CJ75)),MAX(0,MIN(CI$304-CI$301+CJ$292,CJ$281+CJ$285+CJ$289)))</f>
        <v>0</v>
      </c>
      <c r="CK293" s="48" t="n">
        <f aca="false">IF(CK$8=1,IF(Reales!$C$75="PYG",IF(CK$10&gt;0,N(Reales!CK75)/CK$10,0),N(Reales!CK75)),MAX(0,MIN(CJ$304-CJ$301+CK$292,CK$281+CK$285+CK$289)))</f>
        <v>0</v>
      </c>
      <c r="CL293" s="48" t="n">
        <f aca="false">IF(CL$8=1,IF(Reales!$C$75="PYG",IF(CL$10&gt;0,N(Reales!CL75)/CL$10,0),N(Reales!CL75)),MAX(0,MIN(CK$304-CK$301+CL$292,CL$281+CL$285+CL$289)))</f>
        <v>0</v>
      </c>
      <c r="CM293" s="48" t="n">
        <f aca="false">IF(CM$8=1,IF(Reales!$C$75="PYG",IF(CM$10&gt;0,N(Reales!CM75)/CM$10,0),N(Reales!CM75)),MAX(0,MIN(CL$304-CL$301+CM$292,CM$281+CM$285+CM$289)))</f>
        <v>0</v>
      </c>
      <c r="CN293" s="48" t="n">
        <f aca="false">IF(CN$8=1,IF(Reales!$C$75="PYG",IF(CN$10&gt;0,N(Reales!CN75)/CN$10,0),N(Reales!CN75)),MAX(0,MIN(CM$304-CM$301+CN$292,CN$281+CN$285+CN$289)))</f>
        <v>0</v>
      </c>
      <c r="CO293" s="48" t="n">
        <f aca="false">IF(CO$8=1,IF(Reales!$C$75="PYG",IF(CO$10&gt;0,N(Reales!CO75)/CO$10,0),N(Reales!CO75)),MAX(0,MIN(CN$304-CN$301+CO$292,CO$281+CO$285+CO$289)))</f>
        <v>0</v>
      </c>
      <c r="CP293" s="48" t="n">
        <f aca="false">IF(CP$8=1,IF(Reales!$C$75="PYG",IF(CP$10&gt;0,N(Reales!CP75)/CP$10,0),N(Reales!CP75)),MAX(0,MIN(CO$304-CO$301+CP$292,CP$281+CP$285+CP$289)))</f>
        <v>0</v>
      </c>
      <c r="CQ293" s="48" t="n">
        <f aca="false">IF(CQ$8=1,IF(Reales!$C$75="PYG",IF(CQ$10&gt;0,N(Reales!CQ75)/CQ$10,0),N(Reales!CQ75)),MAX(0,MIN(CP$304-CP$301+CQ$292,CQ$281+CQ$285+CQ$289)))</f>
        <v>0</v>
      </c>
      <c r="CR293" s="48" t="n">
        <f aca="false">IF(CR$8=1,IF(Reales!$C$75="PYG",IF(CR$10&gt;0,N(Reales!CR75)/CR$10,0),N(Reales!CR75)),MAX(0,MIN(CQ$304-CQ$301+CR$292,CR$281+CR$285+CR$289)))</f>
        <v>0</v>
      </c>
      <c r="CS293" s="48" t="n">
        <f aca="false">IF(CS$8=1,IF(Reales!$C$75="PYG",IF(CS$10&gt;0,N(Reales!CS75)/CS$10,0),N(Reales!CS75)),MAX(0,MIN(CR$304-CR$301+CS$292,CS$281+CS$285+CS$289)))</f>
        <v>0</v>
      </c>
      <c r="CT293" s="48" t="n">
        <f aca="false">IF(CT$8=1,IF(Reales!$C$75="PYG",IF(CT$10&gt;0,N(Reales!CT75)/CT$10,0),N(Reales!CT75)),MAX(0,MIN(CS$304-CS$301+CT$292,CT$281+CT$285+CT$289)))</f>
        <v>0</v>
      </c>
      <c r="CU293" s="48" t="n">
        <f aca="false">IF(CU$8=1,IF(Reales!$C$75="PYG",IF(CU$10&gt;0,N(Reales!CU75)/CU$10,0),N(Reales!CU75)),MAX(0,MIN(CT$304-CT$301+CU$292,CU$281+CU$285+CU$289)))</f>
        <v>0</v>
      </c>
      <c r="CV293" s="48" t="n">
        <f aca="false">IF(CV$8=1,IF(Reales!$C$75="PYG",IF(CV$10&gt;0,N(Reales!CV75)/CV$10,0),N(Reales!CV75)),MAX(0,MIN(CU$304-CU$301+CV$292,CV$281+CV$285+CV$289)))</f>
        <v>0</v>
      </c>
      <c r="CW293" s="48" t="n">
        <f aca="false">IF(CW$8=1,IF(Reales!$C$75="PYG",IF(CW$10&gt;0,N(Reales!CW75)/CW$10,0),N(Reales!CW75)),MAX(0,MIN(CV$304-CV$301+CW$292,CW$281+CW$285+CW$289)))</f>
        <v>0</v>
      </c>
      <c r="CX293" s="48" t="n">
        <f aca="false">IF(CX$8=1,IF(Reales!$C$75="PYG",IF(CX$10&gt;0,N(Reales!CX75)/CX$10,0),N(Reales!CX75)),MAX(0,MIN(CW$304-CW$301+CX$292,CX$281+CX$285+CX$289)))</f>
        <v>0</v>
      </c>
      <c r="CY293" s="48" t="n">
        <f aca="false">IF(CY$8=1,IF(Reales!$C$75="PYG",IF(CY$10&gt;0,N(Reales!CY75)/CY$10,0),N(Reales!CY75)),MAX(0,MIN(CX$304-CX$301+CY$292,CY$281+CY$285+CY$289)))</f>
        <v>0</v>
      </c>
      <c r="CZ293" s="48" t="n">
        <f aca="false">IF(CZ$8=1,IF(Reales!$C$75="PYG",IF(CZ$10&gt;0,N(Reales!CZ75)/CZ$10,0),N(Reales!CZ75)),MAX(0,MIN(CY$304-CY$301+CZ$292,CZ$281+CZ$285+CZ$289)))</f>
        <v>0</v>
      </c>
      <c r="DA293" s="48" t="n">
        <f aca="false">IF(DA$8=1,IF(Reales!$C$75="PYG",IF(DA$10&gt;0,N(Reales!DA75)/DA$10,0),N(Reales!DA75)),MAX(0,MIN(CZ$304-CZ$301+DA$292,DA$281+DA$285+DA$289)))</f>
        <v>0</v>
      </c>
      <c r="DB293" s="48" t="n">
        <f aca="false">IF(DB$8=1,IF(Reales!$C$75="PYG",IF(DB$10&gt;0,N(Reales!DB75)/DB$10,0),N(Reales!DB75)),MAX(0,MIN(DA$304-DA$301+DB$292,DB$281+DB$285+DB$289)))</f>
        <v>0</v>
      </c>
      <c r="DC293" s="48" t="n">
        <f aca="false">IF(DC$8=1,IF(Reales!$C$75="PYG",IF(DC$10&gt;0,N(Reales!DC75)/DC$10,0),N(Reales!DC75)),MAX(0,MIN(DB$304-DB$301+DC$292,DC$281+DC$285+DC$289)))</f>
        <v>0</v>
      </c>
      <c r="DD293" s="48" t="n">
        <f aca="false">IF(DD$8=1,IF(Reales!$C$75="PYG",IF(DD$10&gt;0,N(Reales!DD75)/DD$10,0),N(Reales!DD75)),MAX(0,MIN(DC$304-DC$301+DD$292,DD$281+DD$285+DD$289)))</f>
        <v>0</v>
      </c>
      <c r="DE293" s="48" t="n">
        <f aca="false">IF(DE$8=1,IF(Reales!$C$75="PYG",IF(DE$10&gt;0,N(Reales!DE75)/DE$10,0),N(Reales!DE75)),MAX(0,MIN(DD$304-DD$301+DE$292,DE$281+DE$285+DE$289)))</f>
        <v>0</v>
      </c>
      <c r="DF293" s="48" t="n">
        <f aca="false">IF(DF$8=1,IF(Reales!$C$75="PYG",IF(DF$10&gt;0,N(Reales!DF75)/DF$10,0),N(Reales!DF75)),MAX(0,MIN(DE$304-DE$301+DF$292,DF$281+DF$285+DF$289)))</f>
        <v>0</v>
      </c>
      <c r="DG293" s="48" t="n">
        <f aca="false">IF(DG$8=1,IF(Reales!$C$75="PYG",IF(DG$10&gt;0,N(Reales!DG75)/DG$10,0),N(Reales!DG75)),MAX(0,MIN(DF$304-DF$301+DG$292,DG$281+DG$285+DG$289)))</f>
        <v>0</v>
      </c>
      <c r="DH293" s="48" t="n">
        <f aca="false">IF(DH$8=1,IF(Reales!$C$75="PYG",IF(DH$10&gt;0,N(Reales!DH75)/DH$10,0),N(Reales!DH75)),MAX(0,MIN(DG$304-DG$301+DH$292,DH$281+DH$285+DH$289)))</f>
        <v>0</v>
      </c>
      <c r="DI293" s="48" t="n">
        <f aca="false">IF(DI$8=1,IF(Reales!$C$75="PYG",IF(DI$10&gt;0,N(Reales!DI75)/DI$10,0),N(Reales!DI75)),MAX(0,MIN(DH$304-DH$301+DI$292,DI$281+DI$285+DI$289)))</f>
        <v>0</v>
      </c>
      <c r="DJ293" s="48" t="n">
        <f aca="false">IF(DJ$8=1,IF(Reales!$C$75="PYG",IF(DJ$10&gt;0,N(Reales!DJ75)/DJ$10,0),N(Reales!DJ75)),MAX(0,MIN(DI$304-DI$301+DJ$292,DJ$281+DJ$285+DJ$289)))</f>
        <v>0</v>
      </c>
      <c r="DK293" s="48" t="n">
        <f aca="false">IF(DK$8=1,IF(Reales!$C$75="PYG",IF(DK$10&gt;0,N(Reales!DK75)/DK$10,0),N(Reales!DK75)),MAX(0,MIN(DJ$304-DJ$301+DK$292,DK$281+DK$285+DK$289)))</f>
        <v>0</v>
      </c>
      <c r="DL293" s="48" t="n">
        <f aca="false">IF(DL$8=1,IF(Reales!$C$75="PYG",IF(DL$10&gt;0,N(Reales!DL75)/DL$10,0),N(Reales!DL75)),MAX(0,MIN(DK$304-DK$301+DL$292,DL$281+DL$285+DL$289)))</f>
        <v>0</v>
      </c>
      <c r="DM293" s="48" t="n">
        <f aca="false">IF(DM$8=1,IF(Reales!$C$75="PYG",IF(DM$10&gt;0,N(Reales!DM75)/DM$10,0),N(Reales!DM75)),MAX(0,MIN(DL$304-DL$301+DM$292,DM$281+DM$285+DM$289)))</f>
        <v>0</v>
      </c>
      <c r="DN293" s="48" t="n">
        <f aca="false">IF(DN$8=1,IF(Reales!$C$75="PYG",IF(DN$10&gt;0,N(Reales!DN75)/DN$10,0),N(Reales!DN75)),MAX(0,MIN(DM$304-DM$301+DN$292,DN$281+DN$285+DN$289)))</f>
        <v>0</v>
      </c>
      <c r="DO293" s="48" t="n">
        <f aca="false">IF(DO$8=1,IF(Reales!$C$75="PYG",IF(DO$10&gt;0,N(Reales!DO75)/DO$10,0),N(Reales!DO75)),MAX(0,MIN(DN$304-DN$301+DO$292,DO$281+DO$285+DO$289)))</f>
        <v>0</v>
      </c>
      <c r="DP293" s="48" t="n">
        <f aca="false">IF(DP$8=1,IF(Reales!$C$75="PYG",IF(DP$10&gt;0,N(Reales!DP75)/DP$10,0),N(Reales!DP75)),MAX(0,MIN(DO$304-DO$301+DP$292,DP$281+DP$285+DP$289)))</f>
        <v>0</v>
      </c>
      <c r="DQ293" s="48" t="n">
        <f aca="false">IF(DQ$8=1,IF(Reales!$C$75="PYG",IF(DQ$10&gt;0,N(Reales!DQ75)/DQ$10,0),N(Reales!DQ75)),MAX(0,MIN(DP$304-DP$301+DQ$292,DQ$281+DQ$285+DQ$289)))</f>
        <v>0</v>
      </c>
      <c r="DR293" s="48" t="n">
        <f aca="false">IF(DR$8=1,IF(Reales!$C$75="PYG",IF(DR$10&gt;0,N(Reales!DR75)/DR$10,0),N(Reales!DR75)),MAX(0,MIN(DQ$304-DQ$301+DR$292,DR$281+DR$285+DR$289)))</f>
        <v>0</v>
      </c>
      <c r="DS293" s="48" t="n">
        <f aca="false">IF(DS$8=1,IF(Reales!$C$75="PYG",IF(DS$10&gt;0,N(Reales!DS75)/DS$10,0),N(Reales!DS75)),MAX(0,MIN(DR$304-DR$301+DS$292,DS$281+DS$285+DS$289)))</f>
        <v>0</v>
      </c>
      <c r="DT293" s="48" t="n">
        <f aca="false">IF(DT$8=1,IF(Reales!$C$75="PYG",IF(DT$10&gt;0,N(Reales!DT75)/DT$10,0),N(Reales!DT75)),MAX(0,MIN(DS$304-DS$301+DT$292,DT$281+DT$285+DT$289)))</f>
        <v>0</v>
      </c>
      <c r="DU293" s="48" t="n">
        <f aca="false">IF(DU$8=1,IF(Reales!$C$75="PYG",IF(DU$10&gt;0,N(Reales!DU75)/DU$10,0),N(Reales!DU75)),MAX(0,MIN(DT$304-DT$301+DU$292,DU$281+DU$285+DU$289)))</f>
        <v>0</v>
      </c>
      <c r="DV293" s="48" t="n">
        <f aca="false">IF(DV$8=1,IF(Reales!$C$75="PYG",IF(DV$10&gt;0,N(Reales!DV75)/DV$10,0),N(Reales!DV75)),MAX(0,MIN(DU$304-DU$301+DV$292,DV$281+DV$285+DV$289)))</f>
        <v>0</v>
      </c>
      <c r="DW293" s="48" t="n">
        <f aca="false">IF(DW$8=1,IF(Reales!$C$75="PYG",IF(DW$10&gt;0,N(Reales!DW75)/DW$10,0),N(Reales!DW75)),MAX(0,MIN(DV$304-DV$301+DW$292,DW$281+DW$285+DW$289)))</f>
        <v>0</v>
      </c>
      <c r="DX293" s="48" t="n">
        <f aca="false">IF(DX$8=1,IF(Reales!$C$75="PYG",IF(DX$10&gt;0,N(Reales!DX75)/DX$10,0),N(Reales!DX75)),MAX(0,MIN(DW$304-DW$301+DX$292,DX$281+DX$285+DX$289)))</f>
        <v>0</v>
      </c>
      <c r="DY293" s="48" t="n">
        <f aca="false">IF(DY$8=1,IF(Reales!$C$75="PYG",IF(DY$10&gt;0,N(Reales!DY75)/DY$10,0),N(Reales!DY75)),MAX(0,MIN(DX$304-DX$301+DY$292,DY$281+DY$285+DY$289)))</f>
        <v>0</v>
      </c>
      <c r="DZ293" s="48" t="n">
        <f aca="false">IF(DZ$8=1,IF(Reales!$C$75="PYG",IF(DZ$10&gt;0,N(Reales!DZ75)/DZ$10,0),N(Reales!DZ75)),MAX(0,MIN(DY$304-DY$301+DZ$292,DZ$281+DZ$285+DZ$289)))</f>
        <v>0</v>
      </c>
      <c r="EA293" s="48" t="n">
        <f aca="false">IF(EA$8=1,IF(Reales!$C$75="PYG",IF(EA$10&gt;0,N(Reales!EA75)/EA$10,0),N(Reales!EA75)),MAX(0,MIN(DZ$304-DZ$301+EA$292,EA$281+EA$285+EA$289)))</f>
        <v>0</v>
      </c>
      <c r="EB293" s="48" t="n">
        <f aca="false">IF(EB$8=1,IF(Reales!$C$75="PYG",IF(EB$10&gt;0,N(Reales!EB75)/EB$10,0),N(Reales!EB75)),MAX(0,MIN(EA$304-EA$301+EB$292,EB$281+EB$285+EB$289)))</f>
        <v>0</v>
      </c>
      <c r="EC293" s="48" t="n">
        <f aca="false">IF(EC$8=1,IF(Reales!$C$75="PYG",IF(EC$10&gt;0,N(Reales!EC75)/EC$10,0),N(Reales!EC75)),MAX(0,MIN(EB$304-EB$301+EC$292,EC$281+EC$285+EC$289)))</f>
        <v>0</v>
      </c>
      <c r="ED293" s="48" t="n">
        <f aca="false">IF(ED$8=1,IF(Reales!$C$75="PYG",IF(ED$10&gt;0,N(Reales!ED75)/ED$10,0),N(Reales!ED75)),MAX(0,MIN(EC$304-EC$301+ED$292,ED$281+ED$285+ED$289)))</f>
        <v>0</v>
      </c>
      <c r="EE293" s="48" t="n">
        <f aca="false">IF(EE$8=1,IF(Reales!$C$75="PYG",IF(EE$10&gt;0,N(Reales!EE75)/EE$10,0),N(Reales!EE75)),MAX(0,MIN(ED$304-ED$301+EE$292,EE$281+EE$285+EE$289)))</f>
        <v>0</v>
      </c>
      <c r="EF293" s="48" t="n">
        <f aca="false">IF(EF$8=1,IF(Reales!$C$75="PYG",IF(EF$10&gt;0,N(Reales!EF75)/EF$10,0),N(Reales!EF75)),MAX(0,MIN(EE$304-EE$301+EF$292,EF$281+EF$285+EF$289)))</f>
        <v>0</v>
      </c>
      <c r="EG293" s="48" t="n">
        <f aca="false">IF(EG$8=1,IF(Reales!$C$75="PYG",IF(EG$10&gt;0,N(Reales!EG75)/EG$10,0),N(Reales!EG75)),MAX(0,MIN(EF$304-EF$301+EG$292,EG$281+EG$285+EG$289)))</f>
        <v>0</v>
      </c>
      <c r="EH293" s="48" t="n">
        <f aca="false">IF(EH$8=1,IF(Reales!$C$75="PYG",IF(EH$10&gt;0,N(Reales!EH75)/EH$10,0),N(Reales!EH75)),MAX(0,MIN(EG$304-EG$301+EH$292,EH$281+EH$285+EH$289)))</f>
        <v>0</v>
      </c>
      <c r="EI293" s="48" t="n">
        <f aca="false">IF(EI$8=1,IF(Reales!$C$75="PYG",IF(EI$10&gt;0,N(Reales!EI75)/EI$10,0),N(Reales!EI75)),MAX(0,MIN(EH$304-EH$301+EI$292,EI$281+EI$285+EI$289)))</f>
        <v>0</v>
      </c>
      <c r="EJ293" s="48" t="n">
        <f aca="false">IF(EJ$8=1,IF(Reales!$C$75="PYG",IF(EJ$10&gt;0,N(Reales!EJ75)/EJ$10,0),N(Reales!EJ75)),MAX(0,MIN(EI$304-EI$301+EJ$292,EJ$281+EJ$285+EJ$289)))</f>
        <v>0</v>
      </c>
      <c r="EK293" s="48" t="n">
        <f aca="false">IF(EK$8=1,IF(Reales!$C$75="PYG",IF(EK$10&gt;0,N(Reales!EK75)/EK$10,0),N(Reales!EK75)),MAX(0,MIN(EJ$304-EJ$301+EK$292,EK$281+EK$285+EK$289)))</f>
        <v>0</v>
      </c>
      <c r="EL293" s="48" t="n">
        <f aca="false">IF(EL$8=1,IF(Reales!$C$75="PYG",IF(EL$10&gt;0,N(Reales!EL75)/EL$10,0),N(Reales!EL75)),MAX(0,MIN(EK$304-EK$301+EL$292,EL$281+EL$285+EL$289)))</f>
        <v>0</v>
      </c>
      <c r="EM293" s="48" t="n">
        <f aca="false">IF(EM$8=1,IF(Reales!$C$75="PYG",IF(EM$10&gt;0,N(Reales!EM75)/EM$10,0),N(Reales!EM75)),MAX(0,MIN(EL$304-EL$301+EM$292,EM$281+EM$285+EM$289)))</f>
        <v>0</v>
      </c>
      <c r="EN293" s="48" t="n">
        <f aca="false">IF(EN$8=1,IF(Reales!$C$75="PYG",IF(EN$10&gt;0,N(Reales!EN75)/EN$10,0),N(Reales!EN75)),MAX(0,MIN(EM$304-EM$301+EN$292,EN$281+EN$285+EN$289)))</f>
        <v>0</v>
      </c>
      <c r="EO293" s="48" t="n">
        <f aca="false">IF(EO$8=1,IF(Reales!$C$75="PYG",IF(EO$10&gt;0,N(Reales!EO75)/EO$10,0),N(Reales!EO75)),MAX(0,MIN(EN$304-EN$301+EO$292,EO$281+EO$285+EO$289)))</f>
        <v>0</v>
      </c>
      <c r="EP293" s="48" t="n">
        <f aca="false">IF(EP$8=1,IF(Reales!$C$75="PYG",IF(EP$10&gt;0,N(Reales!EP75)/EP$10,0),N(Reales!EP75)),MAX(0,MIN(EO$304-EO$301+EP$292,EP$281+EP$285+EP$289)))</f>
        <v>0</v>
      </c>
      <c r="EQ293" s="48" t="n">
        <f aca="false">IF(EQ$8=1,IF(Reales!$C$75="PYG",IF(EQ$10&gt;0,N(Reales!EQ75)/EQ$10,0),N(Reales!EQ75)),MAX(0,MIN(EP$304-EP$301+EQ$292,EQ$281+EQ$285+EQ$289)))</f>
        <v>0</v>
      </c>
      <c r="ER293" s="48" t="n">
        <f aca="false">IF(ER$8=1,IF(Reales!$C$75="PYG",IF(ER$10&gt;0,N(Reales!ER75)/ER$10,0),N(Reales!ER75)),MAX(0,MIN(EQ$304-EQ$301+ER$292,ER$281+ER$285+ER$289)))</f>
        <v>0</v>
      </c>
      <c r="ES293" s="48" t="n">
        <f aca="false">IF(ES$8=1,IF(Reales!$C$75="PYG",IF(ES$10&gt;0,N(Reales!ES75)/ES$10,0),N(Reales!ES75)),MAX(0,MIN(ER$304-ER$301+ES$292,ES$281+ES$285+ES$289)))</f>
        <v>0</v>
      </c>
    </row>
    <row r="294" customFormat="false" ht="15" hidden="false" customHeight="false" outlineLevel="0" collapsed="false">
      <c r="A294" s="11" t="s">
        <v>1411</v>
      </c>
      <c r="B294" s="15" t="s">
        <v>1240</v>
      </c>
      <c r="C294" s="15" t="s">
        <v>508</v>
      </c>
      <c r="E294" s="54" t="n">
        <f aca="false">SUM(F294:ES294)</f>
        <v>1139710</v>
      </c>
      <c r="F294" s="48" t="n">
        <f aca="false">IF(F$8=1,IF(Reales!$C$76="PYG",IF(F$10&gt;0,N(Reales!F76)/F$10,0),N(Reales!F76)),SUMIF(Ap_MesV,1,Ap_MontoV)*F$9)</f>
        <v>767782</v>
      </c>
      <c r="G294" s="48" t="n">
        <f aca="false">IF(G$8=1,IF(Reales!$C$76="PYG",IF(G$10&gt;0,N(Reales!G76)/G$10,0),N(Reales!G76)),SUMIF(Ap_MesV,2,Ap_MontoV)*G$9)</f>
        <v>0</v>
      </c>
      <c r="H294" s="48" t="n">
        <f aca="false">IF(H$8=1,IF(Reales!$C$76="PYG",IF(H$10&gt;0,N(Reales!H76)/H$10,0),N(Reales!H76)),SUMIF(Ap_MesV,3,Ap_MontoV)*H$9)</f>
        <v>0</v>
      </c>
      <c r="I294" s="48" t="n">
        <f aca="false">IF(I$8=1,IF(Reales!$C$76="PYG",IF(I$10&gt;0,N(Reales!I76)/I$10,0),N(Reales!I76)),SUMIF(Ap_MesV,4,Ap_MontoV)*I$9)</f>
        <v>0</v>
      </c>
      <c r="J294" s="48" t="n">
        <f aca="false">IF(J$8=1,IF(Reales!$C$76="PYG",IF(J$10&gt;0,N(Reales!J76)/J$10,0),N(Reales!J76)),SUMIF(Ap_MesV,5,Ap_MontoV)*J$9)</f>
        <v>0</v>
      </c>
      <c r="K294" s="48" t="n">
        <f aca="false">IF(K$8=1,IF(Reales!$C$76="PYG",IF(K$10&gt;0,N(Reales!K76)/K$10,0),N(Reales!K76)),SUMIF(Ap_MesV,6,Ap_MontoV)*K$9)</f>
        <v>0</v>
      </c>
      <c r="L294" s="48" t="n">
        <f aca="false">IF(L$8=1,IF(Reales!$C$76="PYG",IF(L$10&gt;0,N(Reales!L76)/L$10,0),N(Reales!L76)),SUMIF(Ap_MesV,7,Ap_MontoV)*L$9)</f>
        <v>0</v>
      </c>
      <c r="M294" s="48" t="n">
        <f aca="false">IF(M$8=1,IF(Reales!$C$76="PYG",IF(M$10&gt;0,N(Reales!M76)/M$10,0),N(Reales!M76)),SUMIF(Ap_MesV,8,Ap_MontoV)*M$9)</f>
        <v>0</v>
      </c>
      <c r="N294" s="48" t="n">
        <f aca="false">IF(N$8=1,IF(Reales!$C$76="PYG",IF(N$10&gt;0,N(Reales!N76)/N$10,0),N(Reales!N76)),SUMIF(Ap_MesV,9,Ap_MontoV)*N$9)</f>
        <v>0</v>
      </c>
      <c r="O294" s="48" t="n">
        <f aca="false">IF(O$8=1,IF(Reales!$C$76="PYG",IF(O$10&gt;0,N(Reales!O76)/O$10,0),N(Reales!O76)),SUMIF(Ap_MesV,10,Ap_MontoV)*O$9)</f>
        <v>0</v>
      </c>
      <c r="P294" s="48" t="n">
        <f aca="false">IF(P$8=1,IF(Reales!$C$76="PYG",IF(P$10&gt;0,N(Reales!P76)/P$10,0),N(Reales!P76)),SUMIF(Ap_MesV,11,Ap_MontoV)*P$9)</f>
        <v>0</v>
      </c>
      <c r="Q294" s="48" t="n">
        <f aca="false">IF(Q$8=1,IF(Reales!$C$76="PYG",IF(Q$10&gt;0,N(Reales!Q76)/Q$10,0),N(Reales!Q76)),SUMIF(Ap_MesV,12,Ap_MontoV)*Q$9)</f>
        <v>0</v>
      </c>
      <c r="R294" s="48" t="n">
        <f aca="false">IF(R$8=1,IF(Reales!$C$76="PYG",IF(R$10&gt;0,N(Reales!R76)/R$10,0),N(Reales!R76)),SUMIF(Ap_MesV,13,Ap_MontoV)*R$9)</f>
        <v>371928</v>
      </c>
      <c r="S294" s="48" t="n">
        <f aca="false">IF(S$8=1,IF(Reales!$C$76="PYG",IF(S$10&gt;0,N(Reales!S76)/S$10,0),N(Reales!S76)),SUMIF(Ap_MesV,14,Ap_MontoV)*S$9)</f>
        <v>0</v>
      </c>
      <c r="T294" s="48" t="n">
        <f aca="false">IF(T$8=1,IF(Reales!$C$76="PYG",IF(T$10&gt;0,N(Reales!T76)/T$10,0),N(Reales!T76)),SUMIF(Ap_MesV,15,Ap_MontoV)*T$9)</f>
        <v>0</v>
      </c>
      <c r="U294" s="48" t="n">
        <f aca="false">IF(U$8=1,IF(Reales!$C$76="PYG",IF(U$10&gt;0,N(Reales!U76)/U$10,0),N(Reales!U76)),SUMIF(Ap_MesV,16,Ap_MontoV)*U$9)</f>
        <v>0</v>
      </c>
      <c r="V294" s="48" t="n">
        <f aca="false">IF(V$8=1,IF(Reales!$C$76="PYG",IF(V$10&gt;0,N(Reales!V76)/V$10,0),N(Reales!V76)),SUMIF(Ap_MesV,17,Ap_MontoV)*V$9)</f>
        <v>0</v>
      </c>
      <c r="W294" s="48" t="n">
        <f aca="false">IF(W$8=1,IF(Reales!$C$76="PYG",IF(W$10&gt;0,N(Reales!W76)/W$10,0),N(Reales!W76)),SUMIF(Ap_MesV,18,Ap_MontoV)*W$9)</f>
        <v>0</v>
      </c>
      <c r="X294" s="48" t="n">
        <f aca="false">IF(X$8=1,IF(Reales!$C$76="PYG",IF(X$10&gt;0,N(Reales!X76)/X$10,0),N(Reales!X76)),SUMIF(Ap_MesV,19,Ap_MontoV)*X$9)</f>
        <v>0</v>
      </c>
      <c r="Y294" s="48" t="n">
        <f aca="false">IF(Y$8=1,IF(Reales!$C$76="PYG",IF(Y$10&gt;0,N(Reales!Y76)/Y$10,0),N(Reales!Y76)),SUMIF(Ap_MesV,20,Ap_MontoV)*Y$9)</f>
        <v>0</v>
      </c>
      <c r="Z294" s="48" t="n">
        <f aca="false">IF(Z$8=1,IF(Reales!$C$76="PYG",IF(Z$10&gt;0,N(Reales!Z76)/Z$10,0),N(Reales!Z76)),SUMIF(Ap_MesV,21,Ap_MontoV)*Z$9)</f>
        <v>0</v>
      </c>
      <c r="AA294" s="48" t="n">
        <f aca="false">IF(AA$8=1,IF(Reales!$C$76="PYG",IF(AA$10&gt;0,N(Reales!AA76)/AA$10,0),N(Reales!AA76)),SUMIF(Ap_MesV,22,Ap_MontoV)*AA$9)</f>
        <v>0</v>
      </c>
      <c r="AB294" s="48" t="n">
        <f aca="false">IF(AB$8=1,IF(Reales!$C$76="PYG",IF(AB$10&gt;0,N(Reales!AB76)/AB$10,0),N(Reales!AB76)),SUMIF(Ap_MesV,23,Ap_MontoV)*AB$9)</f>
        <v>0</v>
      </c>
      <c r="AC294" s="48" t="n">
        <f aca="false">IF(AC$8=1,IF(Reales!$C$76="PYG",IF(AC$10&gt;0,N(Reales!AC76)/AC$10,0),N(Reales!AC76)),SUMIF(Ap_MesV,24,Ap_MontoV)*AC$9)</f>
        <v>0</v>
      </c>
      <c r="AD294" s="48" t="n">
        <f aca="false">IF(AD$8=1,IF(Reales!$C$76="PYG",IF(AD$10&gt;0,N(Reales!AD76)/AD$10,0),N(Reales!AD76)),SUMIF(Ap_MesV,25,Ap_MontoV)*AD$9)</f>
        <v>0</v>
      </c>
      <c r="AE294" s="48" t="n">
        <f aca="false">IF(AE$8=1,IF(Reales!$C$76="PYG",IF(AE$10&gt;0,N(Reales!AE76)/AE$10,0),N(Reales!AE76)),SUMIF(Ap_MesV,26,Ap_MontoV)*AE$9)</f>
        <v>0</v>
      </c>
      <c r="AF294" s="48" t="n">
        <f aca="false">IF(AF$8=1,IF(Reales!$C$76="PYG",IF(AF$10&gt;0,N(Reales!AF76)/AF$10,0),N(Reales!AF76)),SUMIF(Ap_MesV,27,Ap_MontoV)*AF$9)</f>
        <v>0</v>
      </c>
      <c r="AG294" s="48" t="n">
        <f aca="false">IF(AG$8=1,IF(Reales!$C$76="PYG",IF(AG$10&gt;0,N(Reales!AG76)/AG$10,0),N(Reales!AG76)),SUMIF(Ap_MesV,28,Ap_MontoV)*AG$9)</f>
        <v>0</v>
      </c>
      <c r="AH294" s="48" t="n">
        <f aca="false">IF(AH$8=1,IF(Reales!$C$76="PYG",IF(AH$10&gt;0,N(Reales!AH76)/AH$10,0),N(Reales!AH76)),SUMIF(Ap_MesV,29,Ap_MontoV)*AH$9)</f>
        <v>0</v>
      </c>
      <c r="AI294" s="48" t="n">
        <f aca="false">IF(AI$8=1,IF(Reales!$C$76="PYG",IF(AI$10&gt;0,N(Reales!AI76)/AI$10,0),N(Reales!AI76)),SUMIF(Ap_MesV,30,Ap_MontoV)*AI$9)</f>
        <v>0</v>
      </c>
      <c r="AJ294" s="48" t="n">
        <f aca="false">IF(AJ$8=1,IF(Reales!$C$76="PYG",IF(AJ$10&gt;0,N(Reales!AJ76)/AJ$10,0),N(Reales!AJ76)),SUMIF(Ap_MesV,31,Ap_MontoV)*AJ$9)</f>
        <v>0</v>
      </c>
      <c r="AK294" s="48" t="n">
        <f aca="false">IF(AK$8=1,IF(Reales!$C$76="PYG",IF(AK$10&gt;0,N(Reales!AK76)/AK$10,0),N(Reales!AK76)),SUMIF(Ap_MesV,32,Ap_MontoV)*AK$9)</f>
        <v>0</v>
      </c>
      <c r="AL294" s="48" t="n">
        <f aca="false">IF(AL$8=1,IF(Reales!$C$76="PYG",IF(AL$10&gt;0,N(Reales!AL76)/AL$10,0),N(Reales!AL76)),SUMIF(Ap_MesV,33,Ap_MontoV)*AL$9)</f>
        <v>0</v>
      </c>
      <c r="AM294" s="48" t="n">
        <f aca="false">IF(AM$8=1,IF(Reales!$C$76="PYG",IF(AM$10&gt;0,N(Reales!AM76)/AM$10,0),N(Reales!AM76)),SUMIF(Ap_MesV,34,Ap_MontoV)*AM$9)</f>
        <v>0</v>
      </c>
      <c r="AN294" s="48" t="n">
        <f aca="false">IF(AN$8=1,IF(Reales!$C$76="PYG",IF(AN$10&gt;0,N(Reales!AN76)/AN$10,0),N(Reales!AN76)),SUMIF(Ap_MesV,35,Ap_MontoV)*AN$9)</f>
        <v>0</v>
      </c>
      <c r="AO294" s="48" t="n">
        <f aca="false">IF(AO$8=1,IF(Reales!$C$76="PYG",IF(AO$10&gt;0,N(Reales!AO76)/AO$10,0),N(Reales!AO76)),SUMIF(Ap_MesV,36,Ap_MontoV)*AO$9)</f>
        <v>0</v>
      </c>
      <c r="AP294" s="48" t="n">
        <f aca="false">IF(AP$8=1,IF(Reales!$C$76="PYG",IF(AP$10&gt;0,N(Reales!AP76)/AP$10,0),N(Reales!AP76)),SUMIF(Ap_MesV,37,Ap_MontoV)*AP$9)</f>
        <v>0</v>
      </c>
      <c r="AQ294" s="48" t="n">
        <f aca="false">IF(AQ$8=1,IF(Reales!$C$76="PYG",IF(AQ$10&gt;0,N(Reales!AQ76)/AQ$10,0),N(Reales!AQ76)),SUMIF(Ap_MesV,38,Ap_MontoV)*AQ$9)</f>
        <v>0</v>
      </c>
      <c r="AR294" s="48" t="n">
        <f aca="false">IF(AR$8=1,IF(Reales!$C$76="PYG",IF(AR$10&gt;0,N(Reales!AR76)/AR$10,0),N(Reales!AR76)),SUMIF(Ap_MesV,39,Ap_MontoV)*AR$9)</f>
        <v>0</v>
      </c>
      <c r="AS294" s="48" t="n">
        <f aca="false">IF(AS$8=1,IF(Reales!$C$76="PYG",IF(AS$10&gt;0,N(Reales!AS76)/AS$10,0),N(Reales!AS76)),SUMIF(Ap_MesV,40,Ap_MontoV)*AS$9)</f>
        <v>0</v>
      </c>
      <c r="AT294" s="48" t="n">
        <f aca="false">IF(AT$8=1,IF(Reales!$C$76="PYG",IF(AT$10&gt;0,N(Reales!AT76)/AT$10,0),N(Reales!AT76)),SUMIF(Ap_MesV,41,Ap_MontoV)*AT$9)</f>
        <v>0</v>
      </c>
      <c r="AU294" s="48" t="n">
        <f aca="false">IF(AU$8=1,IF(Reales!$C$76="PYG",IF(AU$10&gt;0,N(Reales!AU76)/AU$10,0),N(Reales!AU76)),SUMIF(Ap_MesV,42,Ap_MontoV)*AU$9)</f>
        <v>0</v>
      </c>
      <c r="AV294" s="48" t="n">
        <f aca="false">IF(AV$8=1,IF(Reales!$C$76="PYG",IF(AV$10&gt;0,N(Reales!AV76)/AV$10,0),N(Reales!AV76)),SUMIF(Ap_MesV,43,Ap_MontoV)*AV$9)</f>
        <v>0</v>
      </c>
      <c r="AW294" s="48" t="n">
        <f aca="false">IF(AW$8=1,IF(Reales!$C$76="PYG",IF(AW$10&gt;0,N(Reales!AW76)/AW$10,0),N(Reales!AW76)),SUMIF(Ap_MesV,44,Ap_MontoV)*AW$9)</f>
        <v>0</v>
      </c>
      <c r="AX294" s="48" t="n">
        <f aca="false">IF(AX$8=1,IF(Reales!$C$76="PYG",IF(AX$10&gt;0,N(Reales!AX76)/AX$10,0),N(Reales!AX76)),SUMIF(Ap_MesV,45,Ap_MontoV)*AX$9)</f>
        <v>0</v>
      </c>
      <c r="AY294" s="48" t="n">
        <f aca="false">IF(AY$8=1,IF(Reales!$C$76="PYG",IF(AY$10&gt;0,N(Reales!AY76)/AY$10,0),N(Reales!AY76)),SUMIF(Ap_MesV,46,Ap_MontoV)*AY$9)</f>
        <v>0</v>
      </c>
      <c r="AZ294" s="48" t="n">
        <f aca="false">IF(AZ$8=1,IF(Reales!$C$76="PYG",IF(AZ$10&gt;0,N(Reales!AZ76)/AZ$10,0),N(Reales!AZ76)),SUMIF(Ap_MesV,47,Ap_MontoV)*AZ$9)</f>
        <v>0</v>
      </c>
      <c r="BA294" s="48" t="n">
        <f aca="false">IF(BA$8=1,IF(Reales!$C$76="PYG",IF(BA$10&gt;0,N(Reales!BA76)/BA$10,0),N(Reales!BA76)),SUMIF(Ap_MesV,48,Ap_MontoV)*BA$9)</f>
        <v>0</v>
      </c>
      <c r="BB294" s="48" t="n">
        <f aca="false">IF(BB$8=1,IF(Reales!$C$76="PYG",IF(BB$10&gt;0,N(Reales!BB76)/BB$10,0),N(Reales!BB76)),SUMIF(Ap_MesV,49,Ap_MontoV)*BB$9)</f>
        <v>0</v>
      </c>
      <c r="BC294" s="48" t="n">
        <f aca="false">IF(BC$8=1,IF(Reales!$C$76="PYG",IF(BC$10&gt;0,N(Reales!BC76)/BC$10,0),N(Reales!BC76)),SUMIF(Ap_MesV,50,Ap_MontoV)*BC$9)</f>
        <v>0</v>
      </c>
      <c r="BD294" s="48" t="n">
        <f aca="false">IF(BD$8=1,IF(Reales!$C$76="PYG",IF(BD$10&gt;0,N(Reales!BD76)/BD$10,0),N(Reales!BD76)),SUMIF(Ap_MesV,51,Ap_MontoV)*BD$9)</f>
        <v>0</v>
      </c>
      <c r="BE294" s="48" t="n">
        <f aca="false">IF(BE$8=1,IF(Reales!$C$76="PYG",IF(BE$10&gt;0,N(Reales!BE76)/BE$10,0),N(Reales!BE76)),SUMIF(Ap_MesV,52,Ap_MontoV)*BE$9)</f>
        <v>0</v>
      </c>
      <c r="BF294" s="48" t="n">
        <f aca="false">IF(BF$8=1,IF(Reales!$C$76="PYG",IF(BF$10&gt;0,N(Reales!BF76)/BF$10,0),N(Reales!BF76)),SUMIF(Ap_MesV,53,Ap_MontoV)*BF$9)</f>
        <v>0</v>
      </c>
      <c r="BG294" s="48" t="n">
        <f aca="false">IF(BG$8=1,IF(Reales!$C$76="PYG",IF(BG$10&gt;0,N(Reales!BG76)/BG$10,0),N(Reales!BG76)),SUMIF(Ap_MesV,54,Ap_MontoV)*BG$9)</f>
        <v>0</v>
      </c>
      <c r="BH294" s="48" t="n">
        <f aca="false">IF(BH$8=1,IF(Reales!$C$76="PYG",IF(BH$10&gt;0,N(Reales!BH76)/BH$10,0),N(Reales!BH76)),SUMIF(Ap_MesV,55,Ap_MontoV)*BH$9)</f>
        <v>0</v>
      </c>
      <c r="BI294" s="48" t="n">
        <f aca="false">IF(BI$8=1,IF(Reales!$C$76="PYG",IF(BI$10&gt;0,N(Reales!BI76)/BI$10,0),N(Reales!BI76)),SUMIF(Ap_MesV,56,Ap_MontoV)*BI$9)</f>
        <v>0</v>
      </c>
      <c r="BJ294" s="48" t="n">
        <f aca="false">IF(BJ$8=1,IF(Reales!$C$76="PYG",IF(BJ$10&gt;0,N(Reales!BJ76)/BJ$10,0),N(Reales!BJ76)),SUMIF(Ap_MesV,57,Ap_MontoV)*BJ$9)</f>
        <v>0</v>
      </c>
      <c r="BK294" s="48" t="n">
        <f aca="false">IF(BK$8=1,IF(Reales!$C$76="PYG",IF(BK$10&gt;0,N(Reales!BK76)/BK$10,0),N(Reales!BK76)),SUMIF(Ap_MesV,58,Ap_MontoV)*BK$9)</f>
        <v>0</v>
      </c>
      <c r="BL294" s="48" t="n">
        <f aca="false">IF(BL$8=1,IF(Reales!$C$76="PYG",IF(BL$10&gt;0,N(Reales!BL76)/BL$10,0),N(Reales!BL76)),SUMIF(Ap_MesV,59,Ap_MontoV)*BL$9)</f>
        <v>0</v>
      </c>
      <c r="BM294" s="48" t="n">
        <f aca="false">IF(BM$8=1,IF(Reales!$C$76="PYG",IF(BM$10&gt;0,N(Reales!BM76)/BM$10,0),N(Reales!BM76)),SUMIF(Ap_MesV,60,Ap_MontoV)*BM$9)</f>
        <v>0</v>
      </c>
      <c r="BN294" s="48" t="n">
        <f aca="false">IF(BN$8=1,IF(Reales!$C$76="PYG",IF(BN$10&gt;0,N(Reales!BN76)/BN$10,0),N(Reales!BN76)),SUMIF(Ap_MesV,61,Ap_MontoV)*BN$9)</f>
        <v>0</v>
      </c>
      <c r="BO294" s="48" t="n">
        <f aca="false">IF(BO$8=1,IF(Reales!$C$76="PYG",IF(BO$10&gt;0,N(Reales!BO76)/BO$10,0),N(Reales!BO76)),SUMIF(Ap_MesV,62,Ap_MontoV)*BO$9)</f>
        <v>0</v>
      </c>
      <c r="BP294" s="48" t="n">
        <f aca="false">IF(BP$8=1,IF(Reales!$C$76="PYG",IF(BP$10&gt;0,N(Reales!BP76)/BP$10,0),N(Reales!BP76)),SUMIF(Ap_MesV,63,Ap_MontoV)*BP$9)</f>
        <v>0</v>
      </c>
      <c r="BQ294" s="48" t="n">
        <f aca="false">IF(BQ$8=1,IF(Reales!$C$76="PYG",IF(BQ$10&gt;0,N(Reales!BQ76)/BQ$10,0),N(Reales!BQ76)),SUMIF(Ap_MesV,64,Ap_MontoV)*BQ$9)</f>
        <v>0</v>
      </c>
      <c r="BR294" s="48" t="n">
        <f aca="false">IF(BR$8=1,IF(Reales!$C$76="PYG",IF(BR$10&gt;0,N(Reales!BR76)/BR$10,0),N(Reales!BR76)),SUMIF(Ap_MesV,65,Ap_MontoV)*BR$9)</f>
        <v>0</v>
      </c>
      <c r="BS294" s="48" t="n">
        <f aca="false">IF(BS$8=1,IF(Reales!$C$76="PYG",IF(BS$10&gt;0,N(Reales!BS76)/BS$10,0),N(Reales!BS76)),SUMIF(Ap_MesV,66,Ap_MontoV)*BS$9)</f>
        <v>0</v>
      </c>
      <c r="BT294" s="48" t="n">
        <f aca="false">IF(BT$8=1,IF(Reales!$C$76="PYG",IF(BT$10&gt;0,N(Reales!BT76)/BT$10,0),N(Reales!BT76)),SUMIF(Ap_MesV,67,Ap_MontoV)*BT$9)</f>
        <v>0</v>
      </c>
      <c r="BU294" s="48" t="n">
        <f aca="false">IF(BU$8=1,IF(Reales!$C$76="PYG",IF(BU$10&gt;0,N(Reales!BU76)/BU$10,0),N(Reales!BU76)),SUMIF(Ap_MesV,68,Ap_MontoV)*BU$9)</f>
        <v>0</v>
      </c>
      <c r="BV294" s="48" t="n">
        <f aca="false">IF(BV$8=1,IF(Reales!$C$76="PYG",IF(BV$10&gt;0,N(Reales!BV76)/BV$10,0),N(Reales!BV76)),SUMIF(Ap_MesV,69,Ap_MontoV)*BV$9)</f>
        <v>0</v>
      </c>
      <c r="BW294" s="48" t="n">
        <f aca="false">IF(BW$8=1,IF(Reales!$C$76="PYG",IF(BW$10&gt;0,N(Reales!BW76)/BW$10,0),N(Reales!BW76)),SUMIF(Ap_MesV,70,Ap_MontoV)*BW$9)</f>
        <v>0</v>
      </c>
      <c r="BX294" s="48" t="n">
        <f aca="false">IF(BX$8=1,IF(Reales!$C$76="PYG",IF(BX$10&gt;0,N(Reales!BX76)/BX$10,0),N(Reales!BX76)),SUMIF(Ap_MesV,71,Ap_MontoV)*BX$9)</f>
        <v>0</v>
      </c>
      <c r="BY294" s="48" t="n">
        <f aca="false">IF(BY$8=1,IF(Reales!$C$76="PYG",IF(BY$10&gt;0,N(Reales!BY76)/BY$10,0),N(Reales!BY76)),SUMIF(Ap_MesV,72,Ap_MontoV)*BY$9)</f>
        <v>0</v>
      </c>
      <c r="BZ294" s="48" t="n">
        <f aca="false">IF(BZ$8=1,IF(Reales!$C$76="PYG",IF(BZ$10&gt;0,N(Reales!BZ76)/BZ$10,0),N(Reales!BZ76)),SUMIF(Ap_MesV,73,Ap_MontoV)*BZ$9)</f>
        <v>0</v>
      </c>
      <c r="CA294" s="48" t="n">
        <f aca="false">IF(CA$8=1,IF(Reales!$C$76="PYG",IF(CA$10&gt;0,N(Reales!CA76)/CA$10,0),N(Reales!CA76)),SUMIF(Ap_MesV,74,Ap_MontoV)*CA$9)</f>
        <v>0</v>
      </c>
      <c r="CB294" s="48" t="n">
        <f aca="false">IF(CB$8=1,IF(Reales!$C$76="PYG",IF(CB$10&gt;0,N(Reales!CB76)/CB$10,0),N(Reales!CB76)),SUMIF(Ap_MesV,75,Ap_MontoV)*CB$9)</f>
        <v>0</v>
      </c>
      <c r="CC294" s="48" t="n">
        <f aca="false">IF(CC$8=1,IF(Reales!$C$76="PYG",IF(CC$10&gt;0,N(Reales!CC76)/CC$10,0),N(Reales!CC76)),SUMIF(Ap_MesV,76,Ap_MontoV)*CC$9)</f>
        <v>0</v>
      </c>
      <c r="CD294" s="48" t="n">
        <f aca="false">IF(CD$8=1,IF(Reales!$C$76="PYG",IF(CD$10&gt;0,N(Reales!CD76)/CD$10,0),N(Reales!CD76)),SUMIF(Ap_MesV,77,Ap_MontoV)*CD$9)</f>
        <v>0</v>
      </c>
      <c r="CE294" s="48" t="n">
        <f aca="false">IF(CE$8=1,IF(Reales!$C$76="PYG",IF(CE$10&gt;0,N(Reales!CE76)/CE$10,0),N(Reales!CE76)),SUMIF(Ap_MesV,78,Ap_MontoV)*CE$9)</f>
        <v>0</v>
      </c>
      <c r="CF294" s="48" t="n">
        <f aca="false">IF(CF$8=1,IF(Reales!$C$76="PYG",IF(CF$10&gt;0,N(Reales!CF76)/CF$10,0),N(Reales!CF76)),SUMIF(Ap_MesV,79,Ap_MontoV)*CF$9)</f>
        <v>0</v>
      </c>
      <c r="CG294" s="48" t="n">
        <f aca="false">IF(CG$8=1,IF(Reales!$C$76="PYG",IF(CG$10&gt;0,N(Reales!CG76)/CG$10,0),N(Reales!CG76)),SUMIF(Ap_MesV,80,Ap_MontoV)*CG$9)</f>
        <v>0</v>
      </c>
      <c r="CH294" s="48" t="n">
        <f aca="false">IF(CH$8=1,IF(Reales!$C$76="PYG",IF(CH$10&gt;0,N(Reales!CH76)/CH$10,0),N(Reales!CH76)),SUMIF(Ap_MesV,81,Ap_MontoV)*CH$9)</f>
        <v>0</v>
      </c>
      <c r="CI294" s="48" t="n">
        <f aca="false">IF(CI$8=1,IF(Reales!$C$76="PYG",IF(CI$10&gt;0,N(Reales!CI76)/CI$10,0),N(Reales!CI76)),SUMIF(Ap_MesV,82,Ap_MontoV)*CI$9)</f>
        <v>0</v>
      </c>
      <c r="CJ294" s="48" t="n">
        <f aca="false">IF(CJ$8=1,IF(Reales!$C$76="PYG",IF(CJ$10&gt;0,N(Reales!CJ76)/CJ$10,0),N(Reales!CJ76)),SUMIF(Ap_MesV,83,Ap_MontoV)*CJ$9)</f>
        <v>0</v>
      </c>
      <c r="CK294" s="48" t="n">
        <f aca="false">IF(CK$8=1,IF(Reales!$C$76="PYG",IF(CK$10&gt;0,N(Reales!CK76)/CK$10,0),N(Reales!CK76)),SUMIF(Ap_MesV,84,Ap_MontoV)*CK$9)</f>
        <v>0</v>
      </c>
      <c r="CL294" s="48" t="n">
        <f aca="false">IF(CL$8=1,IF(Reales!$C$76="PYG",IF(CL$10&gt;0,N(Reales!CL76)/CL$10,0),N(Reales!CL76)),SUMIF(Ap_MesV,85,Ap_MontoV)*CL$9)</f>
        <v>0</v>
      </c>
      <c r="CM294" s="48" t="n">
        <f aca="false">IF(CM$8=1,IF(Reales!$C$76="PYG",IF(CM$10&gt;0,N(Reales!CM76)/CM$10,0),N(Reales!CM76)),SUMIF(Ap_MesV,86,Ap_MontoV)*CM$9)</f>
        <v>0</v>
      </c>
      <c r="CN294" s="48" t="n">
        <f aca="false">IF(CN$8=1,IF(Reales!$C$76="PYG",IF(CN$10&gt;0,N(Reales!CN76)/CN$10,0),N(Reales!CN76)),SUMIF(Ap_MesV,87,Ap_MontoV)*CN$9)</f>
        <v>0</v>
      </c>
      <c r="CO294" s="48" t="n">
        <f aca="false">IF(CO$8=1,IF(Reales!$C$76="PYG",IF(CO$10&gt;0,N(Reales!CO76)/CO$10,0),N(Reales!CO76)),SUMIF(Ap_MesV,88,Ap_MontoV)*CO$9)</f>
        <v>0</v>
      </c>
      <c r="CP294" s="48" t="n">
        <f aca="false">IF(CP$8=1,IF(Reales!$C$76="PYG",IF(CP$10&gt;0,N(Reales!CP76)/CP$10,0),N(Reales!CP76)),SUMIF(Ap_MesV,89,Ap_MontoV)*CP$9)</f>
        <v>0</v>
      </c>
      <c r="CQ294" s="48" t="n">
        <f aca="false">IF(CQ$8=1,IF(Reales!$C$76="PYG",IF(CQ$10&gt;0,N(Reales!CQ76)/CQ$10,0),N(Reales!CQ76)),SUMIF(Ap_MesV,90,Ap_MontoV)*CQ$9)</f>
        <v>0</v>
      </c>
      <c r="CR294" s="48" t="n">
        <f aca="false">IF(CR$8=1,IF(Reales!$C$76="PYG",IF(CR$10&gt;0,N(Reales!CR76)/CR$10,0),N(Reales!CR76)),SUMIF(Ap_MesV,91,Ap_MontoV)*CR$9)</f>
        <v>0</v>
      </c>
      <c r="CS294" s="48" t="n">
        <f aca="false">IF(CS$8=1,IF(Reales!$C$76="PYG",IF(CS$10&gt;0,N(Reales!CS76)/CS$10,0),N(Reales!CS76)),SUMIF(Ap_MesV,92,Ap_MontoV)*CS$9)</f>
        <v>0</v>
      </c>
      <c r="CT294" s="48" t="n">
        <f aca="false">IF(CT$8=1,IF(Reales!$C$76="PYG",IF(CT$10&gt;0,N(Reales!CT76)/CT$10,0),N(Reales!CT76)),SUMIF(Ap_MesV,93,Ap_MontoV)*CT$9)</f>
        <v>0</v>
      </c>
      <c r="CU294" s="48" t="n">
        <f aca="false">IF(CU$8=1,IF(Reales!$C$76="PYG",IF(CU$10&gt;0,N(Reales!CU76)/CU$10,0),N(Reales!CU76)),SUMIF(Ap_MesV,94,Ap_MontoV)*CU$9)</f>
        <v>0</v>
      </c>
      <c r="CV294" s="48" t="n">
        <f aca="false">IF(CV$8=1,IF(Reales!$C$76="PYG",IF(CV$10&gt;0,N(Reales!CV76)/CV$10,0),N(Reales!CV76)),SUMIF(Ap_MesV,95,Ap_MontoV)*CV$9)</f>
        <v>0</v>
      </c>
      <c r="CW294" s="48" t="n">
        <f aca="false">IF(CW$8=1,IF(Reales!$C$76="PYG",IF(CW$10&gt;0,N(Reales!CW76)/CW$10,0),N(Reales!CW76)),SUMIF(Ap_MesV,96,Ap_MontoV)*CW$9)</f>
        <v>0</v>
      </c>
      <c r="CX294" s="48" t="n">
        <f aca="false">IF(CX$8=1,IF(Reales!$C$76="PYG",IF(CX$10&gt;0,N(Reales!CX76)/CX$10,0),N(Reales!CX76)),SUMIF(Ap_MesV,97,Ap_MontoV)*CX$9)</f>
        <v>0</v>
      </c>
      <c r="CY294" s="48" t="n">
        <f aca="false">IF(CY$8=1,IF(Reales!$C$76="PYG",IF(CY$10&gt;0,N(Reales!CY76)/CY$10,0),N(Reales!CY76)),SUMIF(Ap_MesV,98,Ap_MontoV)*CY$9)</f>
        <v>0</v>
      </c>
      <c r="CZ294" s="48" t="n">
        <f aca="false">IF(CZ$8=1,IF(Reales!$C$76="PYG",IF(CZ$10&gt;0,N(Reales!CZ76)/CZ$10,0),N(Reales!CZ76)),SUMIF(Ap_MesV,99,Ap_MontoV)*CZ$9)</f>
        <v>0</v>
      </c>
      <c r="DA294" s="48" t="n">
        <f aca="false">IF(DA$8=1,IF(Reales!$C$76="PYG",IF(DA$10&gt;0,N(Reales!DA76)/DA$10,0),N(Reales!DA76)),SUMIF(Ap_MesV,100,Ap_MontoV)*DA$9)</f>
        <v>0</v>
      </c>
      <c r="DB294" s="48" t="n">
        <f aca="false">IF(DB$8=1,IF(Reales!$C$76="PYG",IF(DB$10&gt;0,N(Reales!DB76)/DB$10,0),N(Reales!DB76)),SUMIF(Ap_MesV,101,Ap_MontoV)*DB$9)</f>
        <v>0</v>
      </c>
      <c r="DC294" s="48" t="n">
        <f aca="false">IF(DC$8=1,IF(Reales!$C$76="PYG",IF(DC$10&gt;0,N(Reales!DC76)/DC$10,0),N(Reales!DC76)),SUMIF(Ap_MesV,102,Ap_MontoV)*DC$9)</f>
        <v>0</v>
      </c>
      <c r="DD294" s="48" t="n">
        <f aca="false">IF(DD$8=1,IF(Reales!$C$76="PYG",IF(DD$10&gt;0,N(Reales!DD76)/DD$10,0),N(Reales!DD76)),SUMIF(Ap_MesV,103,Ap_MontoV)*DD$9)</f>
        <v>0</v>
      </c>
      <c r="DE294" s="48" t="n">
        <f aca="false">IF(DE$8=1,IF(Reales!$C$76="PYG",IF(DE$10&gt;0,N(Reales!DE76)/DE$10,0),N(Reales!DE76)),SUMIF(Ap_MesV,104,Ap_MontoV)*DE$9)</f>
        <v>0</v>
      </c>
      <c r="DF294" s="48" t="n">
        <f aca="false">IF(DF$8=1,IF(Reales!$C$76="PYG",IF(DF$10&gt;0,N(Reales!DF76)/DF$10,0),N(Reales!DF76)),SUMIF(Ap_MesV,105,Ap_MontoV)*DF$9)</f>
        <v>0</v>
      </c>
      <c r="DG294" s="48" t="n">
        <f aca="false">IF(DG$8=1,IF(Reales!$C$76="PYG",IF(DG$10&gt;0,N(Reales!DG76)/DG$10,0),N(Reales!DG76)),SUMIF(Ap_MesV,106,Ap_MontoV)*DG$9)</f>
        <v>0</v>
      </c>
      <c r="DH294" s="48" t="n">
        <f aca="false">IF(DH$8=1,IF(Reales!$C$76="PYG",IF(DH$10&gt;0,N(Reales!DH76)/DH$10,0),N(Reales!DH76)),SUMIF(Ap_MesV,107,Ap_MontoV)*DH$9)</f>
        <v>0</v>
      </c>
      <c r="DI294" s="48" t="n">
        <f aca="false">IF(DI$8=1,IF(Reales!$C$76="PYG",IF(DI$10&gt;0,N(Reales!DI76)/DI$10,0),N(Reales!DI76)),SUMIF(Ap_MesV,108,Ap_MontoV)*DI$9)</f>
        <v>0</v>
      </c>
      <c r="DJ294" s="48" t="n">
        <f aca="false">IF(DJ$8=1,IF(Reales!$C$76="PYG",IF(DJ$10&gt;0,N(Reales!DJ76)/DJ$10,0),N(Reales!DJ76)),SUMIF(Ap_MesV,109,Ap_MontoV)*DJ$9)</f>
        <v>0</v>
      </c>
      <c r="DK294" s="48" t="n">
        <f aca="false">IF(DK$8=1,IF(Reales!$C$76="PYG",IF(DK$10&gt;0,N(Reales!DK76)/DK$10,0),N(Reales!DK76)),SUMIF(Ap_MesV,110,Ap_MontoV)*DK$9)</f>
        <v>0</v>
      </c>
      <c r="DL294" s="48" t="n">
        <f aca="false">IF(DL$8=1,IF(Reales!$C$76="PYG",IF(DL$10&gt;0,N(Reales!DL76)/DL$10,0),N(Reales!DL76)),SUMIF(Ap_MesV,111,Ap_MontoV)*DL$9)</f>
        <v>0</v>
      </c>
      <c r="DM294" s="48" t="n">
        <f aca="false">IF(DM$8=1,IF(Reales!$C$76="PYG",IF(DM$10&gt;0,N(Reales!DM76)/DM$10,0),N(Reales!DM76)),SUMIF(Ap_MesV,112,Ap_MontoV)*DM$9)</f>
        <v>0</v>
      </c>
      <c r="DN294" s="48" t="n">
        <f aca="false">IF(DN$8=1,IF(Reales!$C$76="PYG",IF(DN$10&gt;0,N(Reales!DN76)/DN$10,0),N(Reales!DN76)),SUMIF(Ap_MesV,113,Ap_MontoV)*DN$9)</f>
        <v>0</v>
      </c>
      <c r="DO294" s="48" t="n">
        <f aca="false">IF(DO$8=1,IF(Reales!$C$76="PYG",IF(DO$10&gt;0,N(Reales!DO76)/DO$10,0),N(Reales!DO76)),SUMIF(Ap_MesV,114,Ap_MontoV)*DO$9)</f>
        <v>0</v>
      </c>
      <c r="DP294" s="48" t="n">
        <f aca="false">IF(DP$8=1,IF(Reales!$C$76="PYG",IF(DP$10&gt;0,N(Reales!DP76)/DP$10,0),N(Reales!DP76)),SUMIF(Ap_MesV,115,Ap_MontoV)*DP$9)</f>
        <v>0</v>
      </c>
      <c r="DQ294" s="48" t="n">
        <f aca="false">IF(DQ$8=1,IF(Reales!$C$76="PYG",IF(DQ$10&gt;0,N(Reales!DQ76)/DQ$10,0),N(Reales!DQ76)),SUMIF(Ap_MesV,116,Ap_MontoV)*DQ$9)</f>
        <v>0</v>
      </c>
      <c r="DR294" s="48" t="n">
        <f aca="false">IF(DR$8=1,IF(Reales!$C$76="PYG",IF(DR$10&gt;0,N(Reales!DR76)/DR$10,0),N(Reales!DR76)),SUMIF(Ap_MesV,117,Ap_MontoV)*DR$9)</f>
        <v>0</v>
      </c>
      <c r="DS294" s="48" t="n">
        <f aca="false">IF(DS$8=1,IF(Reales!$C$76="PYG",IF(DS$10&gt;0,N(Reales!DS76)/DS$10,0),N(Reales!DS76)),SUMIF(Ap_MesV,118,Ap_MontoV)*DS$9)</f>
        <v>0</v>
      </c>
      <c r="DT294" s="48" t="n">
        <f aca="false">IF(DT$8=1,IF(Reales!$C$76="PYG",IF(DT$10&gt;0,N(Reales!DT76)/DT$10,0),N(Reales!DT76)),SUMIF(Ap_MesV,119,Ap_MontoV)*DT$9)</f>
        <v>0</v>
      </c>
      <c r="DU294" s="48" t="n">
        <f aca="false">IF(DU$8=1,IF(Reales!$C$76="PYG",IF(DU$10&gt;0,N(Reales!DU76)/DU$10,0),N(Reales!DU76)),SUMIF(Ap_MesV,120,Ap_MontoV)*DU$9)</f>
        <v>0</v>
      </c>
      <c r="DV294" s="48" t="n">
        <f aca="false">IF(DV$8=1,IF(Reales!$C$76="PYG",IF(DV$10&gt;0,N(Reales!DV76)/DV$10,0),N(Reales!DV76)),SUMIF(Ap_MesV,121,Ap_MontoV)*DV$9)</f>
        <v>0</v>
      </c>
      <c r="DW294" s="48" t="n">
        <f aca="false">IF(DW$8=1,IF(Reales!$C$76="PYG",IF(DW$10&gt;0,N(Reales!DW76)/DW$10,0),N(Reales!DW76)),SUMIF(Ap_MesV,122,Ap_MontoV)*DW$9)</f>
        <v>0</v>
      </c>
      <c r="DX294" s="48" t="n">
        <f aca="false">IF(DX$8=1,IF(Reales!$C$76="PYG",IF(DX$10&gt;0,N(Reales!DX76)/DX$10,0),N(Reales!DX76)),SUMIF(Ap_MesV,123,Ap_MontoV)*DX$9)</f>
        <v>0</v>
      </c>
      <c r="DY294" s="48" t="n">
        <f aca="false">IF(DY$8=1,IF(Reales!$C$76="PYG",IF(DY$10&gt;0,N(Reales!DY76)/DY$10,0),N(Reales!DY76)),SUMIF(Ap_MesV,124,Ap_MontoV)*DY$9)</f>
        <v>0</v>
      </c>
      <c r="DZ294" s="48" t="n">
        <f aca="false">IF(DZ$8=1,IF(Reales!$C$76="PYG",IF(DZ$10&gt;0,N(Reales!DZ76)/DZ$10,0),N(Reales!DZ76)),SUMIF(Ap_MesV,125,Ap_MontoV)*DZ$9)</f>
        <v>0</v>
      </c>
      <c r="EA294" s="48" t="n">
        <f aca="false">IF(EA$8=1,IF(Reales!$C$76="PYG",IF(EA$10&gt;0,N(Reales!EA76)/EA$10,0),N(Reales!EA76)),SUMIF(Ap_MesV,126,Ap_MontoV)*EA$9)</f>
        <v>0</v>
      </c>
      <c r="EB294" s="48" t="n">
        <f aca="false">IF(EB$8=1,IF(Reales!$C$76="PYG",IF(EB$10&gt;0,N(Reales!EB76)/EB$10,0),N(Reales!EB76)),SUMIF(Ap_MesV,127,Ap_MontoV)*EB$9)</f>
        <v>0</v>
      </c>
      <c r="EC294" s="48" t="n">
        <f aca="false">IF(EC$8=1,IF(Reales!$C$76="PYG",IF(EC$10&gt;0,N(Reales!EC76)/EC$10,0),N(Reales!EC76)),SUMIF(Ap_MesV,128,Ap_MontoV)*EC$9)</f>
        <v>0</v>
      </c>
      <c r="ED294" s="48" t="n">
        <f aca="false">IF(ED$8=1,IF(Reales!$C$76="PYG",IF(ED$10&gt;0,N(Reales!ED76)/ED$10,0),N(Reales!ED76)),SUMIF(Ap_MesV,129,Ap_MontoV)*ED$9)</f>
        <v>0</v>
      </c>
      <c r="EE294" s="48" t="n">
        <f aca="false">IF(EE$8=1,IF(Reales!$C$76="PYG",IF(EE$10&gt;0,N(Reales!EE76)/EE$10,0),N(Reales!EE76)),SUMIF(Ap_MesV,130,Ap_MontoV)*EE$9)</f>
        <v>0</v>
      </c>
      <c r="EF294" s="48" t="n">
        <f aca="false">IF(EF$8=1,IF(Reales!$C$76="PYG",IF(EF$10&gt;0,N(Reales!EF76)/EF$10,0),N(Reales!EF76)),SUMIF(Ap_MesV,131,Ap_MontoV)*EF$9)</f>
        <v>0</v>
      </c>
      <c r="EG294" s="48" t="n">
        <f aca="false">IF(EG$8=1,IF(Reales!$C$76="PYG",IF(EG$10&gt;0,N(Reales!EG76)/EG$10,0),N(Reales!EG76)),SUMIF(Ap_MesV,132,Ap_MontoV)*EG$9)</f>
        <v>0</v>
      </c>
      <c r="EH294" s="48" t="n">
        <f aca="false">IF(EH$8=1,IF(Reales!$C$76="PYG",IF(EH$10&gt;0,N(Reales!EH76)/EH$10,0),N(Reales!EH76)),SUMIF(Ap_MesV,133,Ap_MontoV)*EH$9)</f>
        <v>0</v>
      </c>
      <c r="EI294" s="48" t="n">
        <f aca="false">IF(EI$8=1,IF(Reales!$C$76="PYG",IF(EI$10&gt;0,N(Reales!EI76)/EI$10,0),N(Reales!EI76)),SUMIF(Ap_MesV,134,Ap_MontoV)*EI$9)</f>
        <v>0</v>
      </c>
      <c r="EJ294" s="48" t="n">
        <f aca="false">IF(EJ$8=1,IF(Reales!$C$76="PYG",IF(EJ$10&gt;0,N(Reales!EJ76)/EJ$10,0),N(Reales!EJ76)),SUMIF(Ap_MesV,135,Ap_MontoV)*EJ$9)</f>
        <v>0</v>
      </c>
      <c r="EK294" s="48" t="n">
        <f aca="false">IF(EK$8=1,IF(Reales!$C$76="PYG",IF(EK$10&gt;0,N(Reales!EK76)/EK$10,0),N(Reales!EK76)),SUMIF(Ap_MesV,136,Ap_MontoV)*EK$9)</f>
        <v>0</v>
      </c>
      <c r="EL294" s="48" t="n">
        <f aca="false">IF(EL$8=1,IF(Reales!$C$76="PYG",IF(EL$10&gt;0,N(Reales!EL76)/EL$10,0),N(Reales!EL76)),SUMIF(Ap_MesV,137,Ap_MontoV)*EL$9)</f>
        <v>0</v>
      </c>
      <c r="EM294" s="48" t="n">
        <f aca="false">IF(EM$8=1,IF(Reales!$C$76="PYG",IF(EM$10&gt;0,N(Reales!EM76)/EM$10,0),N(Reales!EM76)),SUMIF(Ap_MesV,138,Ap_MontoV)*EM$9)</f>
        <v>0</v>
      </c>
      <c r="EN294" s="48" t="n">
        <f aca="false">IF(EN$8=1,IF(Reales!$C$76="PYG",IF(EN$10&gt;0,N(Reales!EN76)/EN$10,0),N(Reales!EN76)),SUMIF(Ap_MesV,139,Ap_MontoV)*EN$9)</f>
        <v>0</v>
      </c>
      <c r="EO294" s="48" t="n">
        <f aca="false">IF(EO$8=1,IF(Reales!$C$76="PYG",IF(EO$10&gt;0,N(Reales!EO76)/EO$10,0),N(Reales!EO76)),SUMIF(Ap_MesV,140,Ap_MontoV)*EO$9)</f>
        <v>0</v>
      </c>
      <c r="EP294" s="48" t="n">
        <f aca="false">IF(EP$8=1,IF(Reales!$C$76="PYG",IF(EP$10&gt;0,N(Reales!EP76)/EP$10,0),N(Reales!EP76)),SUMIF(Ap_MesV,141,Ap_MontoV)*EP$9)</f>
        <v>0</v>
      </c>
      <c r="EQ294" s="48" t="n">
        <f aca="false">IF(EQ$8=1,IF(Reales!$C$76="PYG",IF(EQ$10&gt;0,N(Reales!EQ76)/EQ$10,0),N(Reales!EQ76)),SUMIF(Ap_MesV,142,Ap_MontoV)*EQ$9)</f>
        <v>0</v>
      </c>
      <c r="ER294" s="48" t="n">
        <f aca="false">IF(ER$8=1,IF(Reales!$C$76="PYG",IF(ER$10&gt;0,N(Reales!ER76)/ER$10,0),N(Reales!ER76)),SUMIF(Ap_MesV,143,Ap_MontoV)*ER$9)</f>
        <v>0</v>
      </c>
      <c r="ES294" s="48" t="n">
        <f aca="false">IF(ES$8=1,IF(Reales!$C$76="PYG",IF(ES$10&gt;0,N(Reales!ES76)/ES$10,0),N(Reales!ES76)),SUMIF(Ap_MesV,144,Ap_MontoV)*ES$9)</f>
        <v>0</v>
      </c>
    </row>
    <row r="295" customFormat="false" ht="15" hidden="false" customHeight="false" outlineLevel="0" collapsed="false">
      <c r="A295" s="11" t="s">
        <v>1412</v>
      </c>
      <c r="B295" s="15" t="s">
        <v>1242</v>
      </c>
      <c r="C295" s="15" t="s">
        <v>1057</v>
      </c>
      <c r="F295" s="34" t="n">
        <f aca="false">IF(AND(N(V_LC_Lim)&gt;0,1&gt;=MAX(1,N(V_LC_Desde)),1&lt;=IF(N(V_LC_Hasta)=0,Fin,N(V_LC_Hasta))),1,0)</f>
        <v>0</v>
      </c>
      <c r="G295" s="34" t="n">
        <f aca="false">IF(AND(N(V_LC_Lim)&gt;0,2&gt;=MAX(1,N(V_LC_Desde)),2&lt;=IF(N(V_LC_Hasta)=0,Fin,N(V_LC_Hasta))),1,0)</f>
        <v>0</v>
      </c>
      <c r="H295" s="34" t="n">
        <f aca="false">IF(AND(N(V_LC_Lim)&gt;0,3&gt;=MAX(1,N(V_LC_Desde)),3&lt;=IF(N(V_LC_Hasta)=0,Fin,N(V_LC_Hasta))),1,0)</f>
        <v>0</v>
      </c>
      <c r="I295" s="34" t="n">
        <f aca="false">IF(AND(N(V_LC_Lim)&gt;0,4&gt;=MAX(1,N(V_LC_Desde)),4&lt;=IF(N(V_LC_Hasta)=0,Fin,N(V_LC_Hasta))),1,0)</f>
        <v>0</v>
      </c>
      <c r="J295" s="34" t="n">
        <f aca="false">IF(AND(N(V_LC_Lim)&gt;0,5&gt;=MAX(1,N(V_LC_Desde)),5&lt;=IF(N(V_LC_Hasta)=0,Fin,N(V_LC_Hasta))),1,0)</f>
        <v>0</v>
      </c>
      <c r="K295" s="34" t="n">
        <f aca="false">IF(AND(N(V_LC_Lim)&gt;0,6&gt;=MAX(1,N(V_LC_Desde)),6&lt;=IF(N(V_LC_Hasta)=0,Fin,N(V_LC_Hasta))),1,0)</f>
        <v>0</v>
      </c>
      <c r="L295" s="34" t="n">
        <f aca="false">IF(AND(N(V_LC_Lim)&gt;0,7&gt;=MAX(1,N(V_LC_Desde)),7&lt;=IF(N(V_LC_Hasta)=0,Fin,N(V_LC_Hasta))),1,0)</f>
        <v>0</v>
      </c>
      <c r="M295" s="34" t="n">
        <f aca="false">IF(AND(N(V_LC_Lim)&gt;0,8&gt;=MAX(1,N(V_LC_Desde)),8&lt;=IF(N(V_LC_Hasta)=0,Fin,N(V_LC_Hasta))),1,0)</f>
        <v>0</v>
      </c>
      <c r="N295" s="34" t="n">
        <f aca="false">IF(AND(N(V_LC_Lim)&gt;0,9&gt;=MAX(1,N(V_LC_Desde)),9&lt;=IF(N(V_LC_Hasta)=0,Fin,N(V_LC_Hasta))),1,0)</f>
        <v>0</v>
      </c>
      <c r="O295" s="34" t="n">
        <f aca="false">IF(AND(N(V_LC_Lim)&gt;0,10&gt;=MAX(1,N(V_LC_Desde)),10&lt;=IF(N(V_LC_Hasta)=0,Fin,N(V_LC_Hasta))),1,0)</f>
        <v>0</v>
      </c>
      <c r="P295" s="34" t="n">
        <f aca="false">IF(AND(N(V_LC_Lim)&gt;0,11&gt;=MAX(1,N(V_LC_Desde)),11&lt;=IF(N(V_LC_Hasta)=0,Fin,N(V_LC_Hasta))),1,0)</f>
        <v>0</v>
      </c>
      <c r="Q295" s="34" t="n">
        <f aca="false">IF(AND(N(V_LC_Lim)&gt;0,12&gt;=MAX(1,N(V_LC_Desde)),12&lt;=IF(N(V_LC_Hasta)=0,Fin,N(V_LC_Hasta))),1,0)</f>
        <v>0</v>
      </c>
      <c r="R295" s="34" t="n">
        <f aca="false">IF(AND(N(V_LC_Lim)&gt;0,13&gt;=MAX(1,N(V_LC_Desde)),13&lt;=IF(N(V_LC_Hasta)=0,Fin,N(V_LC_Hasta))),1,0)</f>
        <v>0</v>
      </c>
      <c r="S295" s="34" t="n">
        <f aca="false">IF(AND(N(V_LC_Lim)&gt;0,14&gt;=MAX(1,N(V_LC_Desde)),14&lt;=IF(N(V_LC_Hasta)=0,Fin,N(V_LC_Hasta))),1,0)</f>
        <v>0</v>
      </c>
      <c r="T295" s="34" t="n">
        <f aca="false">IF(AND(N(V_LC_Lim)&gt;0,15&gt;=MAX(1,N(V_LC_Desde)),15&lt;=IF(N(V_LC_Hasta)=0,Fin,N(V_LC_Hasta))),1,0)</f>
        <v>0</v>
      </c>
      <c r="U295" s="34" t="n">
        <f aca="false">IF(AND(N(V_LC_Lim)&gt;0,16&gt;=MAX(1,N(V_LC_Desde)),16&lt;=IF(N(V_LC_Hasta)=0,Fin,N(V_LC_Hasta))),1,0)</f>
        <v>0</v>
      </c>
      <c r="V295" s="34" t="n">
        <f aca="false">IF(AND(N(V_LC_Lim)&gt;0,17&gt;=MAX(1,N(V_LC_Desde)),17&lt;=IF(N(V_LC_Hasta)=0,Fin,N(V_LC_Hasta))),1,0)</f>
        <v>0</v>
      </c>
      <c r="W295" s="34" t="n">
        <f aca="false">IF(AND(N(V_LC_Lim)&gt;0,18&gt;=MAX(1,N(V_LC_Desde)),18&lt;=IF(N(V_LC_Hasta)=0,Fin,N(V_LC_Hasta))),1,0)</f>
        <v>0</v>
      </c>
      <c r="X295" s="34" t="n">
        <f aca="false">IF(AND(N(V_LC_Lim)&gt;0,19&gt;=MAX(1,N(V_LC_Desde)),19&lt;=IF(N(V_LC_Hasta)=0,Fin,N(V_LC_Hasta))),1,0)</f>
        <v>0</v>
      </c>
      <c r="Y295" s="34" t="n">
        <f aca="false">IF(AND(N(V_LC_Lim)&gt;0,20&gt;=MAX(1,N(V_LC_Desde)),20&lt;=IF(N(V_LC_Hasta)=0,Fin,N(V_LC_Hasta))),1,0)</f>
        <v>0</v>
      </c>
      <c r="Z295" s="34" t="n">
        <f aca="false">IF(AND(N(V_LC_Lim)&gt;0,21&gt;=MAX(1,N(V_LC_Desde)),21&lt;=IF(N(V_LC_Hasta)=0,Fin,N(V_LC_Hasta))),1,0)</f>
        <v>0</v>
      </c>
      <c r="AA295" s="34" t="n">
        <f aca="false">IF(AND(N(V_LC_Lim)&gt;0,22&gt;=MAX(1,N(V_LC_Desde)),22&lt;=IF(N(V_LC_Hasta)=0,Fin,N(V_LC_Hasta))),1,0)</f>
        <v>0</v>
      </c>
      <c r="AB295" s="34" t="n">
        <f aca="false">IF(AND(N(V_LC_Lim)&gt;0,23&gt;=MAX(1,N(V_LC_Desde)),23&lt;=IF(N(V_LC_Hasta)=0,Fin,N(V_LC_Hasta))),1,0)</f>
        <v>0</v>
      </c>
      <c r="AC295" s="34" t="n">
        <f aca="false">IF(AND(N(V_LC_Lim)&gt;0,24&gt;=MAX(1,N(V_LC_Desde)),24&lt;=IF(N(V_LC_Hasta)=0,Fin,N(V_LC_Hasta))),1,0)</f>
        <v>0</v>
      </c>
      <c r="AD295" s="34" t="n">
        <f aca="false">IF(AND(N(V_LC_Lim)&gt;0,25&gt;=MAX(1,N(V_LC_Desde)),25&lt;=IF(N(V_LC_Hasta)=0,Fin,N(V_LC_Hasta))),1,0)</f>
        <v>0</v>
      </c>
      <c r="AE295" s="34" t="n">
        <f aca="false">IF(AND(N(V_LC_Lim)&gt;0,26&gt;=MAX(1,N(V_LC_Desde)),26&lt;=IF(N(V_LC_Hasta)=0,Fin,N(V_LC_Hasta))),1,0)</f>
        <v>0</v>
      </c>
      <c r="AF295" s="34" t="n">
        <f aca="false">IF(AND(N(V_LC_Lim)&gt;0,27&gt;=MAX(1,N(V_LC_Desde)),27&lt;=IF(N(V_LC_Hasta)=0,Fin,N(V_LC_Hasta))),1,0)</f>
        <v>0</v>
      </c>
      <c r="AG295" s="34" t="n">
        <f aca="false">IF(AND(N(V_LC_Lim)&gt;0,28&gt;=MAX(1,N(V_LC_Desde)),28&lt;=IF(N(V_LC_Hasta)=0,Fin,N(V_LC_Hasta))),1,0)</f>
        <v>0</v>
      </c>
      <c r="AH295" s="34" t="n">
        <f aca="false">IF(AND(N(V_LC_Lim)&gt;0,29&gt;=MAX(1,N(V_LC_Desde)),29&lt;=IF(N(V_LC_Hasta)=0,Fin,N(V_LC_Hasta))),1,0)</f>
        <v>0</v>
      </c>
      <c r="AI295" s="34" t="n">
        <f aca="false">IF(AND(N(V_LC_Lim)&gt;0,30&gt;=MAX(1,N(V_LC_Desde)),30&lt;=IF(N(V_LC_Hasta)=0,Fin,N(V_LC_Hasta))),1,0)</f>
        <v>0</v>
      </c>
      <c r="AJ295" s="34" t="n">
        <f aca="false">IF(AND(N(V_LC_Lim)&gt;0,31&gt;=MAX(1,N(V_LC_Desde)),31&lt;=IF(N(V_LC_Hasta)=0,Fin,N(V_LC_Hasta))),1,0)</f>
        <v>0</v>
      </c>
      <c r="AK295" s="34" t="n">
        <f aca="false">IF(AND(N(V_LC_Lim)&gt;0,32&gt;=MAX(1,N(V_LC_Desde)),32&lt;=IF(N(V_LC_Hasta)=0,Fin,N(V_LC_Hasta))),1,0)</f>
        <v>0</v>
      </c>
      <c r="AL295" s="34" t="n">
        <f aca="false">IF(AND(N(V_LC_Lim)&gt;0,33&gt;=MAX(1,N(V_LC_Desde)),33&lt;=IF(N(V_LC_Hasta)=0,Fin,N(V_LC_Hasta))),1,0)</f>
        <v>0</v>
      </c>
      <c r="AM295" s="34" t="n">
        <f aca="false">IF(AND(N(V_LC_Lim)&gt;0,34&gt;=MAX(1,N(V_LC_Desde)),34&lt;=IF(N(V_LC_Hasta)=0,Fin,N(V_LC_Hasta))),1,0)</f>
        <v>0</v>
      </c>
      <c r="AN295" s="34" t="n">
        <f aca="false">IF(AND(N(V_LC_Lim)&gt;0,35&gt;=MAX(1,N(V_LC_Desde)),35&lt;=IF(N(V_LC_Hasta)=0,Fin,N(V_LC_Hasta))),1,0)</f>
        <v>0</v>
      </c>
      <c r="AO295" s="34" t="n">
        <f aca="false">IF(AND(N(V_LC_Lim)&gt;0,36&gt;=MAX(1,N(V_LC_Desde)),36&lt;=IF(N(V_LC_Hasta)=0,Fin,N(V_LC_Hasta))),1,0)</f>
        <v>0</v>
      </c>
      <c r="AP295" s="34" t="n">
        <f aca="false">IF(AND(N(V_LC_Lim)&gt;0,37&gt;=MAX(1,N(V_LC_Desde)),37&lt;=IF(N(V_LC_Hasta)=0,Fin,N(V_LC_Hasta))),1,0)</f>
        <v>0</v>
      </c>
      <c r="AQ295" s="34" t="n">
        <f aca="false">IF(AND(N(V_LC_Lim)&gt;0,38&gt;=MAX(1,N(V_LC_Desde)),38&lt;=IF(N(V_LC_Hasta)=0,Fin,N(V_LC_Hasta))),1,0)</f>
        <v>0</v>
      </c>
      <c r="AR295" s="34" t="n">
        <f aca="false">IF(AND(N(V_LC_Lim)&gt;0,39&gt;=MAX(1,N(V_LC_Desde)),39&lt;=IF(N(V_LC_Hasta)=0,Fin,N(V_LC_Hasta))),1,0)</f>
        <v>0</v>
      </c>
      <c r="AS295" s="34" t="n">
        <f aca="false">IF(AND(N(V_LC_Lim)&gt;0,40&gt;=MAX(1,N(V_LC_Desde)),40&lt;=IF(N(V_LC_Hasta)=0,Fin,N(V_LC_Hasta))),1,0)</f>
        <v>0</v>
      </c>
      <c r="AT295" s="34" t="n">
        <f aca="false">IF(AND(N(V_LC_Lim)&gt;0,41&gt;=MAX(1,N(V_LC_Desde)),41&lt;=IF(N(V_LC_Hasta)=0,Fin,N(V_LC_Hasta))),1,0)</f>
        <v>0</v>
      </c>
      <c r="AU295" s="34" t="n">
        <f aca="false">IF(AND(N(V_LC_Lim)&gt;0,42&gt;=MAX(1,N(V_LC_Desde)),42&lt;=IF(N(V_LC_Hasta)=0,Fin,N(V_LC_Hasta))),1,0)</f>
        <v>0</v>
      </c>
      <c r="AV295" s="34" t="n">
        <f aca="false">IF(AND(N(V_LC_Lim)&gt;0,43&gt;=MAX(1,N(V_LC_Desde)),43&lt;=IF(N(V_LC_Hasta)=0,Fin,N(V_LC_Hasta))),1,0)</f>
        <v>0</v>
      </c>
      <c r="AW295" s="34" t="n">
        <f aca="false">IF(AND(N(V_LC_Lim)&gt;0,44&gt;=MAX(1,N(V_LC_Desde)),44&lt;=IF(N(V_LC_Hasta)=0,Fin,N(V_LC_Hasta))),1,0)</f>
        <v>0</v>
      </c>
      <c r="AX295" s="34" t="n">
        <f aca="false">IF(AND(N(V_LC_Lim)&gt;0,45&gt;=MAX(1,N(V_LC_Desde)),45&lt;=IF(N(V_LC_Hasta)=0,Fin,N(V_LC_Hasta))),1,0)</f>
        <v>0</v>
      </c>
      <c r="AY295" s="34" t="n">
        <f aca="false">IF(AND(N(V_LC_Lim)&gt;0,46&gt;=MAX(1,N(V_LC_Desde)),46&lt;=IF(N(V_LC_Hasta)=0,Fin,N(V_LC_Hasta))),1,0)</f>
        <v>0</v>
      </c>
      <c r="AZ295" s="34" t="n">
        <f aca="false">IF(AND(N(V_LC_Lim)&gt;0,47&gt;=MAX(1,N(V_LC_Desde)),47&lt;=IF(N(V_LC_Hasta)=0,Fin,N(V_LC_Hasta))),1,0)</f>
        <v>0</v>
      </c>
      <c r="BA295" s="34" t="n">
        <f aca="false">IF(AND(N(V_LC_Lim)&gt;0,48&gt;=MAX(1,N(V_LC_Desde)),48&lt;=IF(N(V_LC_Hasta)=0,Fin,N(V_LC_Hasta))),1,0)</f>
        <v>0</v>
      </c>
      <c r="BB295" s="34" t="n">
        <f aca="false">IF(AND(N(V_LC_Lim)&gt;0,49&gt;=MAX(1,N(V_LC_Desde)),49&lt;=IF(N(V_LC_Hasta)=0,Fin,N(V_LC_Hasta))),1,0)</f>
        <v>0</v>
      </c>
      <c r="BC295" s="34" t="n">
        <f aca="false">IF(AND(N(V_LC_Lim)&gt;0,50&gt;=MAX(1,N(V_LC_Desde)),50&lt;=IF(N(V_LC_Hasta)=0,Fin,N(V_LC_Hasta))),1,0)</f>
        <v>0</v>
      </c>
      <c r="BD295" s="34" t="n">
        <f aca="false">IF(AND(N(V_LC_Lim)&gt;0,51&gt;=MAX(1,N(V_LC_Desde)),51&lt;=IF(N(V_LC_Hasta)=0,Fin,N(V_LC_Hasta))),1,0)</f>
        <v>0</v>
      </c>
      <c r="BE295" s="34" t="n">
        <f aca="false">IF(AND(N(V_LC_Lim)&gt;0,52&gt;=MAX(1,N(V_LC_Desde)),52&lt;=IF(N(V_LC_Hasta)=0,Fin,N(V_LC_Hasta))),1,0)</f>
        <v>0</v>
      </c>
      <c r="BF295" s="34" t="n">
        <f aca="false">IF(AND(N(V_LC_Lim)&gt;0,53&gt;=MAX(1,N(V_LC_Desde)),53&lt;=IF(N(V_LC_Hasta)=0,Fin,N(V_LC_Hasta))),1,0)</f>
        <v>0</v>
      </c>
      <c r="BG295" s="34" t="n">
        <f aca="false">IF(AND(N(V_LC_Lim)&gt;0,54&gt;=MAX(1,N(V_LC_Desde)),54&lt;=IF(N(V_LC_Hasta)=0,Fin,N(V_LC_Hasta))),1,0)</f>
        <v>0</v>
      </c>
      <c r="BH295" s="34" t="n">
        <f aca="false">IF(AND(N(V_LC_Lim)&gt;0,55&gt;=MAX(1,N(V_LC_Desde)),55&lt;=IF(N(V_LC_Hasta)=0,Fin,N(V_LC_Hasta))),1,0)</f>
        <v>0</v>
      </c>
      <c r="BI295" s="34" t="n">
        <f aca="false">IF(AND(N(V_LC_Lim)&gt;0,56&gt;=MAX(1,N(V_LC_Desde)),56&lt;=IF(N(V_LC_Hasta)=0,Fin,N(V_LC_Hasta))),1,0)</f>
        <v>0</v>
      </c>
      <c r="BJ295" s="34" t="n">
        <f aca="false">IF(AND(N(V_LC_Lim)&gt;0,57&gt;=MAX(1,N(V_LC_Desde)),57&lt;=IF(N(V_LC_Hasta)=0,Fin,N(V_LC_Hasta))),1,0)</f>
        <v>0</v>
      </c>
      <c r="BK295" s="34" t="n">
        <f aca="false">IF(AND(N(V_LC_Lim)&gt;0,58&gt;=MAX(1,N(V_LC_Desde)),58&lt;=IF(N(V_LC_Hasta)=0,Fin,N(V_LC_Hasta))),1,0)</f>
        <v>0</v>
      </c>
      <c r="BL295" s="34" t="n">
        <f aca="false">IF(AND(N(V_LC_Lim)&gt;0,59&gt;=MAX(1,N(V_LC_Desde)),59&lt;=IF(N(V_LC_Hasta)=0,Fin,N(V_LC_Hasta))),1,0)</f>
        <v>0</v>
      </c>
      <c r="BM295" s="34" t="n">
        <f aca="false">IF(AND(N(V_LC_Lim)&gt;0,60&gt;=MAX(1,N(V_LC_Desde)),60&lt;=IF(N(V_LC_Hasta)=0,Fin,N(V_LC_Hasta))),1,0)</f>
        <v>0</v>
      </c>
      <c r="BN295" s="34" t="n">
        <f aca="false">IF(AND(N(V_LC_Lim)&gt;0,61&gt;=MAX(1,N(V_LC_Desde)),61&lt;=IF(N(V_LC_Hasta)=0,Fin,N(V_LC_Hasta))),1,0)</f>
        <v>0</v>
      </c>
      <c r="BO295" s="34" t="n">
        <f aca="false">IF(AND(N(V_LC_Lim)&gt;0,62&gt;=MAX(1,N(V_LC_Desde)),62&lt;=IF(N(V_LC_Hasta)=0,Fin,N(V_LC_Hasta))),1,0)</f>
        <v>0</v>
      </c>
      <c r="BP295" s="34" t="n">
        <f aca="false">IF(AND(N(V_LC_Lim)&gt;0,63&gt;=MAX(1,N(V_LC_Desde)),63&lt;=IF(N(V_LC_Hasta)=0,Fin,N(V_LC_Hasta))),1,0)</f>
        <v>0</v>
      </c>
      <c r="BQ295" s="34" t="n">
        <f aca="false">IF(AND(N(V_LC_Lim)&gt;0,64&gt;=MAX(1,N(V_LC_Desde)),64&lt;=IF(N(V_LC_Hasta)=0,Fin,N(V_LC_Hasta))),1,0)</f>
        <v>0</v>
      </c>
      <c r="BR295" s="34" t="n">
        <f aca="false">IF(AND(N(V_LC_Lim)&gt;0,65&gt;=MAX(1,N(V_LC_Desde)),65&lt;=IF(N(V_LC_Hasta)=0,Fin,N(V_LC_Hasta))),1,0)</f>
        <v>0</v>
      </c>
      <c r="BS295" s="34" t="n">
        <f aca="false">IF(AND(N(V_LC_Lim)&gt;0,66&gt;=MAX(1,N(V_LC_Desde)),66&lt;=IF(N(V_LC_Hasta)=0,Fin,N(V_LC_Hasta))),1,0)</f>
        <v>0</v>
      </c>
      <c r="BT295" s="34" t="n">
        <f aca="false">IF(AND(N(V_LC_Lim)&gt;0,67&gt;=MAX(1,N(V_LC_Desde)),67&lt;=IF(N(V_LC_Hasta)=0,Fin,N(V_LC_Hasta))),1,0)</f>
        <v>0</v>
      </c>
      <c r="BU295" s="34" t="n">
        <f aca="false">IF(AND(N(V_LC_Lim)&gt;0,68&gt;=MAX(1,N(V_LC_Desde)),68&lt;=IF(N(V_LC_Hasta)=0,Fin,N(V_LC_Hasta))),1,0)</f>
        <v>0</v>
      </c>
      <c r="BV295" s="34" t="n">
        <f aca="false">IF(AND(N(V_LC_Lim)&gt;0,69&gt;=MAX(1,N(V_LC_Desde)),69&lt;=IF(N(V_LC_Hasta)=0,Fin,N(V_LC_Hasta))),1,0)</f>
        <v>0</v>
      </c>
      <c r="BW295" s="34" t="n">
        <f aca="false">IF(AND(N(V_LC_Lim)&gt;0,70&gt;=MAX(1,N(V_LC_Desde)),70&lt;=IF(N(V_LC_Hasta)=0,Fin,N(V_LC_Hasta))),1,0)</f>
        <v>0</v>
      </c>
      <c r="BX295" s="34" t="n">
        <f aca="false">IF(AND(N(V_LC_Lim)&gt;0,71&gt;=MAX(1,N(V_LC_Desde)),71&lt;=IF(N(V_LC_Hasta)=0,Fin,N(V_LC_Hasta))),1,0)</f>
        <v>0</v>
      </c>
      <c r="BY295" s="34" t="n">
        <f aca="false">IF(AND(N(V_LC_Lim)&gt;0,72&gt;=MAX(1,N(V_LC_Desde)),72&lt;=IF(N(V_LC_Hasta)=0,Fin,N(V_LC_Hasta))),1,0)</f>
        <v>0</v>
      </c>
      <c r="BZ295" s="34" t="n">
        <f aca="false">IF(AND(N(V_LC_Lim)&gt;0,73&gt;=MAX(1,N(V_LC_Desde)),73&lt;=IF(N(V_LC_Hasta)=0,Fin,N(V_LC_Hasta))),1,0)</f>
        <v>0</v>
      </c>
      <c r="CA295" s="34" t="n">
        <f aca="false">IF(AND(N(V_LC_Lim)&gt;0,74&gt;=MAX(1,N(V_LC_Desde)),74&lt;=IF(N(V_LC_Hasta)=0,Fin,N(V_LC_Hasta))),1,0)</f>
        <v>0</v>
      </c>
      <c r="CB295" s="34" t="n">
        <f aca="false">IF(AND(N(V_LC_Lim)&gt;0,75&gt;=MAX(1,N(V_LC_Desde)),75&lt;=IF(N(V_LC_Hasta)=0,Fin,N(V_LC_Hasta))),1,0)</f>
        <v>0</v>
      </c>
      <c r="CC295" s="34" t="n">
        <f aca="false">IF(AND(N(V_LC_Lim)&gt;0,76&gt;=MAX(1,N(V_LC_Desde)),76&lt;=IF(N(V_LC_Hasta)=0,Fin,N(V_LC_Hasta))),1,0)</f>
        <v>0</v>
      </c>
      <c r="CD295" s="34" t="n">
        <f aca="false">IF(AND(N(V_LC_Lim)&gt;0,77&gt;=MAX(1,N(V_LC_Desde)),77&lt;=IF(N(V_LC_Hasta)=0,Fin,N(V_LC_Hasta))),1,0)</f>
        <v>0</v>
      </c>
      <c r="CE295" s="34" t="n">
        <f aca="false">IF(AND(N(V_LC_Lim)&gt;0,78&gt;=MAX(1,N(V_LC_Desde)),78&lt;=IF(N(V_LC_Hasta)=0,Fin,N(V_LC_Hasta))),1,0)</f>
        <v>0</v>
      </c>
      <c r="CF295" s="34" t="n">
        <f aca="false">IF(AND(N(V_LC_Lim)&gt;0,79&gt;=MAX(1,N(V_LC_Desde)),79&lt;=IF(N(V_LC_Hasta)=0,Fin,N(V_LC_Hasta))),1,0)</f>
        <v>0</v>
      </c>
      <c r="CG295" s="34" t="n">
        <f aca="false">IF(AND(N(V_LC_Lim)&gt;0,80&gt;=MAX(1,N(V_LC_Desde)),80&lt;=IF(N(V_LC_Hasta)=0,Fin,N(V_LC_Hasta))),1,0)</f>
        <v>0</v>
      </c>
      <c r="CH295" s="34" t="n">
        <f aca="false">IF(AND(N(V_LC_Lim)&gt;0,81&gt;=MAX(1,N(V_LC_Desde)),81&lt;=IF(N(V_LC_Hasta)=0,Fin,N(V_LC_Hasta))),1,0)</f>
        <v>0</v>
      </c>
      <c r="CI295" s="34" t="n">
        <f aca="false">IF(AND(N(V_LC_Lim)&gt;0,82&gt;=MAX(1,N(V_LC_Desde)),82&lt;=IF(N(V_LC_Hasta)=0,Fin,N(V_LC_Hasta))),1,0)</f>
        <v>0</v>
      </c>
      <c r="CJ295" s="34" t="n">
        <f aca="false">IF(AND(N(V_LC_Lim)&gt;0,83&gt;=MAX(1,N(V_LC_Desde)),83&lt;=IF(N(V_LC_Hasta)=0,Fin,N(V_LC_Hasta))),1,0)</f>
        <v>0</v>
      </c>
      <c r="CK295" s="34" t="n">
        <f aca="false">IF(AND(N(V_LC_Lim)&gt;0,84&gt;=MAX(1,N(V_LC_Desde)),84&lt;=IF(N(V_LC_Hasta)=0,Fin,N(V_LC_Hasta))),1,0)</f>
        <v>0</v>
      </c>
      <c r="CL295" s="34" t="n">
        <f aca="false">IF(AND(N(V_LC_Lim)&gt;0,85&gt;=MAX(1,N(V_LC_Desde)),85&lt;=IF(N(V_LC_Hasta)=0,Fin,N(V_LC_Hasta))),1,0)</f>
        <v>0</v>
      </c>
      <c r="CM295" s="34" t="n">
        <f aca="false">IF(AND(N(V_LC_Lim)&gt;0,86&gt;=MAX(1,N(V_LC_Desde)),86&lt;=IF(N(V_LC_Hasta)=0,Fin,N(V_LC_Hasta))),1,0)</f>
        <v>0</v>
      </c>
      <c r="CN295" s="34" t="n">
        <f aca="false">IF(AND(N(V_LC_Lim)&gt;0,87&gt;=MAX(1,N(V_LC_Desde)),87&lt;=IF(N(V_LC_Hasta)=0,Fin,N(V_LC_Hasta))),1,0)</f>
        <v>0</v>
      </c>
      <c r="CO295" s="34" t="n">
        <f aca="false">IF(AND(N(V_LC_Lim)&gt;0,88&gt;=MAX(1,N(V_LC_Desde)),88&lt;=IF(N(V_LC_Hasta)=0,Fin,N(V_LC_Hasta))),1,0)</f>
        <v>0</v>
      </c>
      <c r="CP295" s="34" t="n">
        <f aca="false">IF(AND(N(V_LC_Lim)&gt;0,89&gt;=MAX(1,N(V_LC_Desde)),89&lt;=IF(N(V_LC_Hasta)=0,Fin,N(V_LC_Hasta))),1,0)</f>
        <v>0</v>
      </c>
      <c r="CQ295" s="34" t="n">
        <f aca="false">IF(AND(N(V_LC_Lim)&gt;0,90&gt;=MAX(1,N(V_LC_Desde)),90&lt;=IF(N(V_LC_Hasta)=0,Fin,N(V_LC_Hasta))),1,0)</f>
        <v>0</v>
      </c>
      <c r="CR295" s="34" t="n">
        <f aca="false">IF(AND(N(V_LC_Lim)&gt;0,91&gt;=MAX(1,N(V_LC_Desde)),91&lt;=IF(N(V_LC_Hasta)=0,Fin,N(V_LC_Hasta))),1,0)</f>
        <v>0</v>
      </c>
      <c r="CS295" s="34" t="n">
        <f aca="false">IF(AND(N(V_LC_Lim)&gt;0,92&gt;=MAX(1,N(V_LC_Desde)),92&lt;=IF(N(V_LC_Hasta)=0,Fin,N(V_LC_Hasta))),1,0)</f>
        <v>0</v>
      </c>
      <c r="CT295" s="34" t="n">
        <f aca="false">IF(AND(N(V_LC_Lim)&gt;0,93&gt;=MAX(1,N(V_LC_Desde)),93&lt;=IF(N(V_LC_Hasta)=0,Fin,N(V_LC_Hasta))),1,0)</f>
        <v>0</v>
      </c>
      <c r="CU295" s="34" t="n">
        <f aca="false">IF(AND(N(V_LC_Lim)&gt;0,94&gt;=MAX(1,N(V_LC_Desde)),94&lt;=IF(N(V_LC_Hasta)=0,Fin,N(V_LC_Hasta))),1,0)</f>
        <v>0</v>
      </c>
      <c r="CV295" s="34" t="n">
        <f aca="false">IF(AND(N(V_LC_Lim)&gt;0,95&gt;=MAX(1,N(V_LC_Desde)),95&lt;=IF(N(V_LC_Hasta)=0,Fin,N(V_LC_Hasta))),1,0)</f>
        <v>0</v>
      </c>
      <c r="CW295" s="34" t="n">
        <f aca="false">IF(AND(N(V_LC_Lim)&gt;0,96&gt;=MAX(1,N(V_LC_Desde)),96&lt;=IF(N(V_LC_Hasta)=0,Fin,N(V_LC_Hasta))),1,0)</f>
        <v>0</v>
      </c>
      <c r="CX295" s="34" t="n">
        <f aca="false">IF(AND(N(V_LC_Lim)&gt;0,97&gt;=MAX(1,N(V_LC_Desde)),97&lt;=IF(N(V_LC_Hasta)=0,Fin,N(V_LC_Hasta))),1,0)</f>
        <v>0</v>
      </c>
      <c r="CY295" s="34" t="n">
        <f aca="false">IF(AND(N(V_LC_Lim)&gt;0,98&gt;=MAX(1,N(V_LC_Desde)),98&lt;=IF(N(V_LC_Hasta)=0,Fin,N(V_LC_Hasta))),1,0)</f>
        <v>0</v>
      </c>
      <c r="CZ295" s="34" t="n">
        <f aca="false">IF(AND(N(V_LC_Lim)&gt;0,99&gt;=MAX(1,N(V_LC_Desde)),99&lt;=IF(N(V_LC_Hasta)=0,Fin,N(V_LC_Hasta))),1,0)</f>
        <v>0</v>
      </c>
      <c r="DA295" s="34" t="n">
        <f aca="false">IF(AND(N(V_LC_Lim)&gt;0,100&gt;=MAX(1,N(V_LC_Desde)),100&lt;=IF(N(V_LC_Hasta)=0,Fin,N(V_LC_Hasta))),1,0)</f>
        <v>0</v>
      </c>
      <c r="DB295" s="34" t="n">
        <f aca="false">IF(AND(N(V_LC_Lim)&gt;0,101&gt;=MAX(1,N(V_LC_Desde)),101&lt;=IF(N(V_LC_Hasta)=0,Fin,N(V_LC_Hasta))),1,0)</f>
        <v>0</v>
      </c>
      <c r="DC295" s="34" t="n">
        <f aca="false">IF(AND(N(V_LC_Lim)&gt;0,102&gt;=MAX(1,N(V_LC_Desde)),102&lt;=IF(N(V_LC_Hasta)=0,Fin,N(V_LC_Hasta))),1,0)</f>
        <v>0</v>
      </c>
      <c r="DD295" s="34" t="n">
        <f aca="false">IF(AND(N(V_LC_Lim)&gt;0,103&gt;=MAX(1,N(V_LC_Desde)),103&lt;=IF(N(V_LC_Hasta)=0,Fin,N(V_LC_Hasta))),1,0)</f>
        <v>0</v>
      </c>
      <c r="DE295" s="34" t="n">
        <f aca="false">IF(AND(N(V_LC_Lim)&gt;0,104&gt;=MAX(1,N(V_LC_Desde)),104&lt;=IF(N(V_LC_Hasta)=0,Fin,N(V_LC_Hasta))),1,0)</f>
        <v>0</v>
      </c>
      <c r="DF295" s="34" t="n">
        <f aca="false">IF(AND(N(V_LC_Lim)&gt;0,105&gt;=MAX(1,N(V_LC_Desde)),105&lt;=IF(N(V_LC_Hasta)=0,Fin,N(V_LC_Hasta))),1,0)</f>
        <v>0</v>
      </c>
      <c r="DG295" s="34" t="n">
        <f aca="false">IF(AND(N(V_LC_Lim)&gt;0,106&gt;=MAX(1,N(V_LC_Desde)),106&lt;=IF(N(V_LC_Hasta)=0,Fin,N(V_LC_Hasta))),1,0)</f>
        <v>0</v>
      </c>
      <c r="DH295" s="34" t="n">
        <f aca="false">IF(AND(N(V_LC_Lim)&gt;0,107&gt;=MAX(1,N(V_LC_Desde)),107&lt;=IF(N(V_LC_Hasta)=0,Fin,N(V_LC_Hasta))),1,0)</f>
        <v>0</v>
      </c>
      <c r="DI295" s="34" t="n">
        <f aca="false">IF(AND(N(V_LC_Lim)&gt;0,108&gt;=MAX(1,N(V_LC_Desde)),108&lt;=IF(N(V_LC_Hasta)=0,Fin,N(V_LC_Hasta))),1,0)</f>
        <v>0</v>
      </c>
      <c r="DJ295" s="34" t="n">
        <f aca="false">IF(AND(N(V_LC_Lim)&gt;0,109&gt;=MAX(1,N(V_LC_Desde)),109&lt;=IF(N(V_LC_Hasta)=0,Fin,N(V_LC_Hasta))),1,0)</f>
        <v>0</v>
      </c>
      <c r="DK295" s="34" t="n">
        <f aca="false">IF(AND(N(V_LC_Lim)&gt;0,110&gt;=MAX(1,N(V_LC_Desde)),110&lt;=IF(N(V_LC_Hasta)=0,Fin,N(V_LC_Hasta))),1,0)</f>
        <v>0</v>
      </c>
      <c r="DL295" s="34" t="n">
        <f aca="false">IF(AND(N(V_LC_Lim)&gt;0,111&gt;=MAX(1,N(V_LC_Desde)),111&lt;=IF(N(V_LC_Hasta)=0,Fin,N(V_LC_Hasta))),1,0)</f>
        <v>0</v>
      </c>
      <c r="DM295" s="34" t="n">
        <f aca="false">IF(AND(N(V_LC_Lim)&gt;0,112&gt;=MAX(1,N(V_LC_Desde)),112&lt;=IF(N(V_LC_Hasta)=0,Fin,N(V_LC_Hasta))),1,0)</f>
        <v>0</v>
      </c>
      <c r="DN295" s="34" t="n">
        <f aca="false">IF(AND(N(V_LC_Lim)&gt;0,113&gt;=MAX(1,N(V_LC_Desde)),113&lt;=IF(N(V_LC_Hasta)=0,Fin,N(V_LC_Hasta))),1,0)</f>
        <v>0</v>
      </c>
      <c r="DO295" s="34" t="n">
        <f aca="false">IF(AND(N(V_LC_Lim)&gt;0,114&gt;=MAX(1,N(V_LC_Desde)),114&lt;=IF(N(V_LC_Hasta)=0,Fin,N(V_LC_Hasta))),1,0)</f>
        <v>0</v>
      </c>
      <c r="DP295" s="34" t="n">
        <f aca="false">IF(AND(N(V_LC_Lim)&gt;0,115&gt;=MAX(1,N(V_LC_Desde)),115&lt;=IF(N(V_LC_Hasta)=0,Fin,N(V_LC_Hasta))),1,0)</f>
        <v>0</v>
      </c>
      <c r="DQ295" s="34" t="n">
        <f aca="false">IF(AND(N(V_LC_Lim)&gt;0,116&gt;=MAX(1,N(V_LC_Desde)),116&lt;=IF(N(V_LC_Hasta)=0,Fin,N(V_LC_Hasta))),1,0)</f>
        <v>0</v>
      </c>
      <c r="DR295" s="34" t="n">
        <f aca="false">IF(AND(N(V_LC_Lim)&gt;0,117&gt;=MAX(1,N(V_LC_Desde)),117&lt;=IF(N(V_LC_Hasta)=0,Fin,N(V_LC_Hasta))),1,0)</f>
        <v>0</v>
      </c>
      <c r="DS295" s="34" t="n">
        <f aca="false">IF(AND(N(V_LC_Lim)&gt;0,118&gt;=MAX(1,N(V_LC_Desde)),118&lt;=IF(N(V_LC_Hasta)=0,Fin,N(V_LC_Hasta))),1,0)</f>
        <v>0</v>
      </c>
      <c r="DT295" s="34" t="n">
        <f aca="false">IF(AND(N(V_LC_Lim)&gt;0,119&gt;=MAX(1,N(V_LC_Desde)),119&lt;=IF(N(V_LC_Hasta)=0,Fin,N(V_LC_Hasta))),1,0)</f>
        <v>0</v>
      </c>
      <c r="DU295" s="34" t="n">
        <f aca="false">IF(AND(N(V_LC_Lim)&gt;0,120&gt;=MAX(1,N(V_LC_Desde)),120&lt;=IF(N(V_LC_Hasta)=0,Fin,N(V_LC_Hasta))),1,0)</f>
        <v>0</v>
      </c>
      <c r="DV295" s="34" t="n">
        <f aca="false">IF(AND(N(V_LC_Lim)&gt;0,121&gt;=MAX(1,N(V_LC_Desde)),121&lt;=IF(N(V_LC_Hasta)=0,Fin,N(V_LC_Hasta))),1,0)</f>
        <v>0</v>
      </c>
      <c r="DW295" s="34" t="n">
        <f aca="false">IF(AND(N(V_LC_Lim)&gt;0,122&gt;=MAX(1,N(V_LC_Desde)),122&lt;=IF(N(V_LC_Hasta)=0,Fin,N(V_LC_Hasta))),1,0)</f>
        <v>0</v>
      </c>
      <c r="DX295" s="34" t="n">
        <f aca="false">IF(AND(N(V_LC_Lim)&gt;0,123&gt;=MAX(1,N(V_LC_Desde)),123&lt;=IF(N(V_LC_Hasta)=0,Fin,N(V_LC_Hasta))),1,0)</f>
        <v>0</v>
      </c>
      <c r="DY295" s="34" t="n">
        <f aca="false">IF(AND(N(V_LC_Lim)&gt;0,124&gt;=MAX(1,N(V_LC_Desde)),124&lt;=IF(N(V_LC_Hasta)=0,Fin,N(V_LC_Hasta))),1,0)</f>
        <v>0</v>
      </c>
      <c r="DZ295" s="34" t="n">
        <f aca="false">IF(AND(N(V_LC_Lim)&gt;0,125&gt;=MAX(1,N(V_LC_Desde)),125&lt;=IF(N(V_LC_Hasta)=0,Fin,N(V_LC_Hasta))),1,0)</f>
        <v>0</v>
      </c>
      <c r="EA295" s="34" t="n">
        <f aca="false">IF(AND(N(V_LC_Lim)&gt;0,126&gt;=MAX(1,N(V_LC_Desde)),126&lt;=IF(N(V_LC_Hasta)=0,Fin,N(V_LC_Hasta))),1,0)</f>
        <v>0</v>
      </c>
      <c r="EB295" s="34" t="n">
        <f aca="false">IF(AND(N(V_LC_Lim)&gt;0,127&gt;=MAX(1,N(V_LC_Desde)),127&lt;=IF(N(V_LC_Hasta)=0,Fin,N(V_LC_Hasta))),1,0)</f>
        <v>0</v>
      </c>
      <c r="EC295" s="34" t="n">
        <f aca="false">IF(AND(N(V_LC_Lim)&gt;0,128&gt;=MAX(1,N(V_LC_Desde)),128&lt;=IF(N(V_LC_Hasta)=0,Fin,N(V_LC_Hasta))),1,0)</f>
        <v>0</v>
      </c>
      <c r="ED295" s="34" t="n">
        <f aca="false">IF(AND(N(V_LC_Lim)&gt;0,129&gt;=MAX(1,N(V_LC_Desde)),129&lt;=IF(N(V_LC_Hasta)=0,Fin,N(V_LC_Hasta))),1,0)</f>
        <v>0</v>
      </c>
      <c r="EE295" s="34" t="n">
        <f aca="false">IF(AND(N(V_LC_Lim)&gt;0,130&gt;=MAX(1,N(V_LC_Desde)),130&lt;=IF(N(V_LC_Hasta)=0,Fin,N(V_LC_Hasta))),1,0)</f>
        <v>0</v>
      </c>
      <c r="EF295" s="34" t="n">
        <f aca="false">IF(AND(N(V_LC_Lim)&gt;0,131&gt;=MAX(1,N(V_LC_Desde)),131&lt;=IF(N(V_LC_Hasta)=0,Fin,N(V_LC_Hasta))),1,0)</f>
        <v>0</v>
      </c>
      <c r="EG295" s="34" t="n">
        <f aca="false">IF(AND(N(V_LC_Lim)&gt;0,132&gt;=MAX(1,N(V_LC_Desde)),132&lt;=IF(N(V_LC_Hasta)=0,Fin,N(V_LC_Hasta))),1,0)</f>
        <v>0</v>
      </c>
      <c r="EH295" s="34" t="n">
        <f aca="false">IF(AND(N(V_LC_Lim)&gt;0,133&gt;=MAX(1,N(V_LC_Desde)),133&lt;=IF(N(V_LC_Hasta)=0,Fin,N(V_LC_Hasta))),1,0)</f>
        <v>0</v>
      </c>
      <c r="EI295" s="34" t="n">
        <f aca="false">IF(AND(N(V_LC_Lim)&gt;0,134&gt;=MAX(1,N(V_LC_Desde)),134&lt;=IF(N(V_LC_Hasta)=0,Fin,N(V_LC_Hasta))),1,0)</f>
        <v>0</v>
      </c>
      <c r="EJ295" s="34" t="n">
        <f aca="false">IF(AND(N(V_LC_Lim)&gt;0,135&gt;=MAX(1,N(V_LC_Desde)),135&lt;=IF(N(V_LC_Hasta)=0,Fin,N(V_LC_Hasta))),1,0)</f>
        <v>0</v>
      </c>
      <c r="EK295" s="34" t="n">
        <f aca="false">IF(AND(N(V_LC_Lim)&gt;0,136&gt;=MAX(1,N(V_LC_Desde)),136&lt;=IF(N(V_LC_Hasta)=0,Fin,N(V_LC_Hasta))),1,0)</f>
        <v>0</v>
      </c>
      <c r="EL295" s="34" t="n">
        <f aca="false">IF(AND(N(V_LC_Lim)&gt;0,137&gt;=MAX(1,N(V_LC_Desde)),137&lt;=IF(N(V_LC_Hasta)=0,Fin,N(V_LC_Hasta))),1,0)</f>
        <v>0</v>
      </c>
      <c r="EM295" s="34" t="n">
        <f aca="false">IF(AND(N(V_LC_Lim)&gt;0,138&gt;=MAX(1,N(V_LC_Desde)),138&lt;=IF(N(V_LC_Hasta)=0,Fin,N(V_LC_Hasta))),1,0)</f>
        <v>0</v>
      </c>
      <c r="EN295" s="34" t="n">
        <f aca="false">IF(AND(N(V_LC_Lim)&gt;0,139&gt;=MAX(1,N(V_LC_Desde)),139&lt;=IF(N(V_LC_Hasta)=0,Fin,N(V_LC_Hasta))),1,0)</f>
        <v>0</v>
      </c>
      <c r="EO295" s="34" t="n">
        <f aca="false">IF(AND(N(V_LC_Lim)&gt;0,140&gt;=MAX(1,N(V_LC_Desde)),140&lt;=IF(N(V_LC_Hasta)=0,Fin,N(V_LC_Hasta))),1,0)</f>
        <v>0</v>
      </c>
      <c r="EP295" s="34" t="n">
        <f aca="false">IF(AND(N(V_LC_Lim)&gt;0,141&gt;=MAX(1,N(V_LC_Desde)),141&lt;=IF(N(V_LC_Hasta)=0,Fin,N(V_LC_Hasta))),1,0)</f>
        <v>0</v>
      </c>
      <c r="EQ295" s="34" t="n">
        <f aca="false">IF(AND(N(V_LC_Lim)&gt;0,142&gt;=MAX(1,N(V_LC_Desde)),142&lt;=IF(N(V_LC_Hasta)=0,Fin,N(V_LC_Hasta))),1,0)</f>
        <v>0</v>
      </c>
      <c r="ER295" s="34" t="n">
        <f aca="false">IF(AND(N(V_LC_Lim)&gt;0,143&gt;=MAX(1,N(V_LC_Desde)),143&lt;=IF(N(V_LC_Hasta)=0,Fin,N(V_LC_Hasta))),1,0)</f>
        <v>0</v>
      </c>
      <c r="ES295" s="34" t="n">
        <f aca="false">IF(AND(N(V_LC_Lim)&gt;0,144&gt;=MAX(1,N(V_LC_Desde)),144&lt;=IF(N(V_LC_Hasta)=0,Fin,N(V_LC_Hasta))),1,0)</f>
        <v>0</v>
      </c>
    </row>
    <row r="296" customFormat="false" ht="15" hidden="false" customHeight="false" outlineLevel="0" collapsed="false">
      <c r="A296" s="11" t="s">
        <v>1413</v>
      </c>
      <c r="B296" s="15" t="s">
        <v>1244</v>
      </c>
      <c r="C296" s="15" t="s">
        <v>508</v>
      </c>
      <c r="E296" s="54" t="n">
        <f aca="false">SUM(F296:ES296)</f>
        <v>0</v>
      </c>
      <c r="F296" s="48" t="n">
        <f aca="false">IF(F$8=1,0,0*N(V_LC_Tasa)/12*F$9)</f>
        <v>0</v>
      </c>
      <c r="G296" s="48" t="n">
        <f aca="false">IF(G$8=1,0,F$301*N(V_LC_Tasa)/12*G$9)</f>
        <v>0</v>
      </c>
      <c r="H296" s="48" t="n">
        <f aca="false">IF(H$8=1,0,G$301*N(V_LC_Tasa)/12*H$9)</f>
        <v>0</v>
      </c>
      <c r="I296" s="48" t="n">
        <f aca="false">IF(I$8=1,0,H$301*N(V_LC_Tasa)/12*I$9)</f>
        <v>0</v>
      </c>
      <c r="J296" s="48" t="n">
        <f aca="false">IF(J$8=1,0,I$301*N(V_LC_Tasa)/12*J$9)</f>
        <v>0</v>
      </c>
      <c r="K296" s="48" t="n">
        <f aca="false">IF(K$8=1,0,J$301*N(V_LC_Tasa)/12*K$9)</f>
        <v>0</v>
      </c>
      <c r="L296" s="48" t="n">
        <f aca="false">IF(L$8=1,0,K$301*N(V_LC_Tasa)/12*L$9)</f>
        <v>0</v>
      </c>
      <c r="M296" s="48" t="n">
        <f aca="false">IF(M$8=1,0,L$301*N(V_LC_Tasa)/12*M$9)</f>
        <v>0</v>
      </c>
      <c r="N296" s="48" t="n">
        <f aca="false">IF(N$8=1,0,M$301*N(V_LC_Tasa)/12*N$9)</f>
        <v>0</v>
      </c>
      <c r="O296" s="48" t="n">
        <f aca="false">IF(O$8=1,0,N$301*N(V_LC_Tasa)/12*O$9)</f>
        <v>0</v>
      </c>
      <c r="P296" s="48" t="n">
        <f aca="false">IF(P$8=1,0,O$301*N(V_LC_Tasa)/12*P$9)</f>
        <v>0</v>
      </c>
      <c r="Q296" s="48" t="n">
        <f aca="false">IF(Q$8=1,0,P$301*N(V_LC_Tasa)/12*Q$9)</f>
        <v>0</v>
      </c>
      <c r="R296" s="48" t="n">
        <f aca="false">IF(R$8=1,0,Q$301*N(V_LC_Tasa)/12*R$9)</f>
        <v>0</v>
      </c>
      <c r="S296" s="48" t="n">
        <f aca="false">IF(S$8=1,0,R$301*N(V_LC_Tasa)/12*S$9)</f>
        <v>0</v>
      </c>
      <c r="T296" s="48" t="n">
        <f aca="false">IF(T$8=1,0,S$301*N(V_LC_Tasa)/12*T$9)</f>
        <v>0</v>
      </c>
      <c r="U296" s="48" t="n">
        <f aca="false">IF(U$8=1,0,T$301*N(V_LC_Tasa)/12*U$9)</f>
        <v>0</v>
      </c>
      <c r="V296" s="48" t="n">
        <f aca="false">IF(V$8=1,0,U$301*N(V_LC_Tasa)/12*V$9)</f>
        <v>0</v>
      </c>
      <c r="W296" s="48" t="n">
        <f aca="false">IF(W$8=1,0,V$301*N(V_LC_Tasa)/12*W$9)</f>
        <v>0</v>
      </c>
      <c r="X296" s="48" t="n">
        <f aca="false">IF(X$8=1,0,W$301*N(V_LC_Tasa)/12*X$9)</f>
        <v>0</v>
      </c>
      <c r="Y296" s="48" t="n">
        <f aca="false">IF(Y$8=1,0,X$301*N(V_LC_Tasa)/12*Y$9)</f>
        <v>0</v>
      </c>
      <c r="Z296" s="48" t="n">
        <f aca="false">IF(Z$8=1,0,Y$301*N(V_LC_Tasa)/12*Z$9)</f>
        <v>0</v>
      </c>
      <c r="AA296" s="48" t="n">
        <f aca="false">IF(AA$8=1,0,Z$301*N(V_LC_Tasa)/12*AA$9)</f>
        <v>0</v>
      </c>
      <c r="AB296" s="48" t="n">
        <f aca="false">IF(AB$8=1,0,AA$301*N(V_LC_Tasa)/12*AB$9)</f>
        <v>0</v>
      </c>
      <c r="AC296" s="48" t="n">
        <f aca="false">IF(AC$8=1,0,AB$301*N(V_LC_Tasa)/12*AC$9)</f>
        <v>0</v>
      </c>
      <c r="AD296" s="48" t="n">
        <f aca="false">IF(AD$8=1,0,AC$301*N(V_LC_Tasa)/12*AD$9)</f>
        <v>0</v>
      </c>
      <c r="AE296" s="48" t="n">
        <f aca="false">IF(AE$8=1,0,AD$301*N(V_LC_Tasa)/12*AE$9)</f>
        <v>0</v>
      </c>
      <c r="AF296" s="48" t="n">
        <f aca="false">IF(AF$8=1,0,AE$301*N(V_LC_Tasa)/12*AF$9)</f>
        <v>0</v>
      </c>
      <c r="AG296" s="48" t="n">
        <f aca="false">IF(AG$8=1,0,AF$301*N(V_LC_Tasa)/12*AG$9)</f>
        <v>0</v>
      </c>
      <c r="AH296" s="48" t="n">
        <f aca="false">IF(AH$8=1,0,AG$301*N(V_LC_Tasa)/12*AH$9)</f>
        <v>0</v>
      </c>
      <c r="AI296" s="48" t="n">
        <f aca="false">IF(AI$8=1,0,AH$301*N(V_LC_Tasa)/12*AI$9)</f>
        <v>0</v>
      </c>
      <c r="AJ296" s="48" t="n">
        <f aca="false">IF(AJ$8=1,0,AI$301*N(V_LC_Tasa)/12*AJ$9)</f>
        <v>0</v>
      </c>
      <c r="AK296" s="48" t="n">
        <f aca="false">IF(AK$8=1,0,AJ$301*N(V_LC_Tasa)/12*AK$9)</f>
        <v>0</v>
      </c>
      <c r="AL296" s="48" t="n">
        <f aca="false">IF(AL$8=1,0,AK$301*N(V_LC_Tasa)/12*AL$9)</f>
        <v>0</v>
      </c>
      <c r="AM296" s="48" t="n">
        <f aca="false">IF(AM$8=1,0,AL$301*N(V_LC_Tasa)/12*AM$9)</f>
        <v>0</v>
      </c>
      <c r="AN296" s="48" t="n">
        <f aca="false">IF(AN$8=1,0,AM$301*N(V_LC_Tasa)/12*AN$9)</f>
        <v>0</v>
      </c>
      <c r="AO296" s="48" t="n">
        <f aca="false">IF(AO$8=1,0,AN$301*N(V_LC_Tasa)/12*AO$9)</f>
        <v>0</v>
      </c>
      <c r="AP296" s="48" t="n">
        <f aca="false">IF(AP$8=1,0,AO$301*N(V_LC_Tasa)/12*AP$9)</f>
        <v>0</v>
      </c>
      <c r="AQ296" s="48" t="n">
        <f aca="false">IF(AQ$8=1,0,AP$301*N(V_LC_Tasa)/12*AQ$9)</f>
        <v>0</v>
      </c>
      <c r="AR296" s="48" t="n">
        <f aca="false">IF(AR$8=1,0,AQ$301*N(V_LC_Tasa)/12*AR$9)</f>
        <v>0</v>
      </c>
      <c r="AS296" s="48" t="n">
        <f aca="false">IF(AS$8=1,0,AR$301*N(V_LC_Tasa)/12*AS$9)</f>
        <v>0</v>
      </c>
      <c r="AT296" s="48" t="n">
        <f aca="false">IF(AT$8=1,0,AS$301*N(V_LC_Tasa)/12*AT$9)</f>
        <v>0</v>
      </c>
      <c r="AU296" s="48" t="n">
        <f aca="false">IF(AU$8=1,0,AT$301*N(V_LC_Tasa)/12*AU$9)</f>
        <v>0</v>
      </c>
      <c r="AV296" s="48" t="n">
        <f aca="false">IF(AV$8=1,0,AU$301*N(V_LC_Tasa)/12*AV$9)</f>
        <v>0</v>
      </c>
      <c r="AW296" s="48" t="n">
        <f aca="false">IF(AW$8=1,0,AV$301*N(V_LC_Tasa)/12*AW$9)</f>
        <v>0</v>
      </c>
      <c r="AX296" s="48" t="n">
        <f aca="false">IF(AX$8=1,0,AW$301*N(V_LC_Tasa)/12*AX$9)</f>
        <v>0</v>
      </c>
      <c r="AY296" s="48" t="n">
        <f aca="false">IF(AY$8=1,0,AX$301*N(V_LC_Tasa)/12*AY$9)</f>
        <v>0</v>
      </c>
      <c r="AZ296" s="48" t="n">
        <f aca="false">IF(AZ$8=1,0,AY$301*N(V_LC_Tasa)/12*AZ$9)</f>
        <v>0</v>
      </c>
      <c r="BA296" s="48" t="n">
        <f aca="false">IF(BA$8=1,0,AZ$301*N(V_LC_Tasa)/12*BA$9)</f>
        <v>0</v>
      </c>
      <c r="BB296" s="48" t="n">
        <f aca="false">IF(BB$8=1,0,BA$301*N(V_LC_Tasa)/12*BB$9)</f>
        <v>0</v>
      </c>
      <c r="BC296" s="48" t="n">
        <f aca="false">IF(BC$8=1,0,BB$301*N(V_LC_Tasa)/12*BC$9)</f>
        <v>0</v>
      </c>
      <c r="BD296" s="48" t="n">
        <f aca="false">IF(BD$8=1,0,BC$301*N(V_LC_Tasa)/12*BD$9)</f>
        <v>0</v>
      </c>
      <c r="BE296" s="48" t="n">
        <f aca="false">IF(BE$8=1,0,BD$301*N(V_LC_Tasa)/12*BE$9)</f>
        <v>0</v>
      </c>
      <c r="BF296" s="48" t="n">
        <f aca="false">IF(BF$8=1,0,BE$301*N(V_LC_Tasa)/12*BF$9)</f>
        <v>0</v>
      </c>
      <c r="BG296" s="48" t="n">
        <f aca="false">IF(BG$8=1,0,BF$301*N(V_LC_Tasa)/12*BG$9)</f>
        <v>0</v>
      </c>
      <c r="BH296" s="48" t="n">
        <f aca="false">IF(BH$8=1,0,BG$301*N(V_LC_Tasa)/12*BH$9)</f>
        <v>0</v>
      </c>
      <c r="BI296" s="48" t="n">
        <f aca="false">IF(BI$8=1,0,BH$301*N(V_LC_Tasa)/12*BI$9)</f>
        <v>0</v>
      </c>
      <c r="BJ296" s="48" t="n">
        <f aca="false">IF(BJ$8=1,0,BI$301*N(V_LC_Tasa)/12*BJ$9)</f>
        <v>0</v>
      </c>
      <c r="BK296" s="48" t="n">
        <f aca="false">IF(BK$8=1,0,BJ$301*N(V_LC_Tasa)/12*BK$9)</f>
        <v>0</v>
      </c>
      <c r="BL296" s="48" t="n">
        <f aca="false">IF(BL$8=1,0,BK$301*N(V_LC_Tasa)/12*BL$9)</f>
        <v>0</v>
      </c>
      <c r="BM296" s="48" t="n">
        <f aca="false">IF(BM$8=1,0,BL$301*N(V_LC_Tasa)/12*BM$9)</f>
        <v>0</v>
      </c>
      <c r="BN296" s="48" t="n">
        <f aca="false">IF(BN$8=1,0,BM$301*N(V_LC_Tasa)/12*BN$9)</f>
        <v>0</v>
      </c>
      <c r="BO296" s="48" t="n">
        <f aca="false">IF(BO$8=1,0,BN$301*N(V_LC_Tasa)/12*BO$9)</f>
        <v>0</v>
      </c>
      <c r="BP296" s="48" t="n">
        <f aca="false">IF(BP$8=1,0,BO$301*N(V_LC_Tasa)/12*BP$9)</f>
        <v>0</v>
      </c>
      <c r="BQ296" s="48" t="n">
        <f aca="false">IF(BQ$8=1,0,BP$301*N(V_LC_Tasa)/12*BQ$9)</f>
        <v>0</v>
      </c>
      <c r="BR296" s="48" t="n">
        <f aca="false">IF(BR$8=1,0,BQ$301*N(V_LC_Tasa)/12*BR$9)</f>
        <v>0</v>
      </c>
      <c r="BS296" s="48" t="n">
        <f aca="false">IF(BS$8=1,0,BR$301*N(V_LC_Tasa)/12*BS$9)</f>
        <v>0</v>
      </c>
      <c r="BT296" s="48" t="n">
        <f aca="false">IF(BT$8=1,0,BS$301*N(V_LC_Tasa)/12*BT$9)</f>
        <v>0</v>
      </c>
      <c r="BU296" s="48" t="n">
        <f aca="false">IF(BU$8=1,0,BT$301*N(V_LC_Tasa)/12*BU$9)</f>
        <v>0</v>
      </c>
      <c r="BV296" s="48" t="n">
        <f aca="false">IF(BV$8=1,0,BU$301*N(V_LC_Tasa)/12*BV$9)</f>
        <v>0</v>
      </c>
      <c r="BW296" s="48" t="n">
        <f aca="false">IF(BW$8=1,0,BV$301*N(V_LC_Tasa)/12*BW$9)</f>
        <v>0</v>
      </c>
      <c r="BX296" s="48" t="n">
        <f aca="false">IF(BX$8=1,0,BW$301*N(V_LC_Tasa)/12*BX$9)</f>
        <v>0</v>
      </c>
      <c r="BY296" s="48" t="n">
        <f aca="false">IF(BY$8=1,0,BX$301*N(V_LC_Tasa)/12*BY$9)</f>
        <v>0</v>
      </c>
      <c r="BZ296" s="48" t="n">
        <f aca="false">IF(BZ$8=1,0,BY$301*N(V_LC_Tasa)/12*BZ$9)</f>
        <v>0</v>
      </c>
      <c r="CA296" s="48" t="n">
        <f aca="false">IF(CA$8=1,0,BZ$301*N(V_LC_Tasa)/12*CA$9)</f>
        <v>0</v>
      </c>
      <c r="CB296" s="48" t="n">
        <f aca="false">IF(CB$8=1,0,CA$301*N(V_LC_Tasa)/12*CB$9)</f>
        <v>0</v>
      </c>
      <c r="CC296" s="48" t="n">
        <f aca="false">IF(CC$8=1,0,CB$301*N(V_LC_Tasa)/12*CC$9)</f>
        <v>0</v>
      </c>
      <c r="CD296" s="48" t="n">
        <f aca="false">IF(CD$8=1,0,CC$301*N(V_LC_Tasa)/12*CD$9)</f>
        <v>0</v>
      </c>
      <c r="CE296" s="48" t="n">
        <f aca="false">IF(CE$8=1,0,CD$301*N(V_LC_Tasa)/12*CE$9)</f>
        <v>0</v>
      </c>
      <c r="CF296" s="48" t="n">
        <f aca="false">IF(CF$8=1,0,CE$301*N(V_LC_Tasa)/12*CF$9)</f>
        <v>0</v>
      </c>
      <c r="CG296" s="48" t="n">
        <f aca="false">IF(CG$8=1,0,CF$301*N(V_LC_Tasa)/12*CG$9)</f>
        <v>0</v>
      </c>
      <c r="CH296" s="48" t="n">
        <f aca="false">IF(CH$8=1,0,CG$301*N(V_LC_Tasa)/12*CH$9)</f>
        <v>0</v>
      </c>
      <c r="CI296" s="48" t="n">
        <f aca="false">IF(CI$8=1,0,CH$301*N(V_LC_Tasa)/12*CI$9)</f>
        <v>0</v>
      </c>
      <c r="CJ296" s="48" t="n">
        <f aca="false">IF(CJ$8=1,0,CI$301*N(V_LC_Tasa)/12*CJ$9)</f>
        <v>0</v>
      </c>
      <c r="CK296" s="48" t="n">
        <f aca="false">IF(CK$8=1,0,CJ$301*N(V_LC_Tasa)/12*CK$9)</f>
        <v>0</v>
      </c>
      <c r="CL296" s="48" t="n">
        <f aca="false">IF(CL$8=1,0,CK$301*N(V_LC_Tasa)/12*CL$9)</f>
        <v>0</v>
      </c>
      <c r="CM296" s="48" t="n">
        <f aca="false">IF(CM$8=1,0,CL$301*N(V_LC_Tasa)/12*CM$9)</f>
        <v>0</v>
      </c>
      <c r="CN296" s="48" t="n">
        <f aca="false">IF(CN$8=1,0,CM$301*N(V_LC_Tasa)/12*CN$9)</f>
        <v>0</v>
      </c>
      <c r="CO296" s="48" t="n">
        <f aca="false">IF(CO$8=1,0,CN$301*N(V_LC_Tasa)/12*CO$9)</f>
        <v>0</v>
      </c>
      <c r="CP296" s="48" t="n">
        <f aca="false">IF(CP$8=1,0,CO$301*N(V_LC_Tasa)/12*CP$9)</f>
        <v>0</v>
      </c>
      <c r="CQ296" s="48" t="n">
        <f aca="false">IF(CQ$8=1,0,CP$301*N(V_LC_Tasa)/12*CQ$9)</f>
        <v>0</v>
      </c>
      <c r="CR296" s="48" t="n">
        <f aca="false">IF(CR$8=1,0,CQ$301*N(V_LC_Tasa)/12*CR$9)</f>
        <v>0</v>
      </c>
      <c r="CS296" s="48" t="n">
        <f aca="false">IF(CS$8=1,0,CR$301*N(V_LC_Tasa)/12*CS$9)</f>
        <v>0</v>
      </c>
      <c r="CT296" s="48" t="n">
        <f aca="false">IF(CT$8=1,0,CS$301*N(V_LC_Tasa)/12*CT$9)</f>
        <v>0</v>
      </c>
      <c r="CU296" s="48" t="n">
        <f aca="false">IF(CU$8=1,0,CT$301*N(V_LC_Tasa)/12*CU$9)</f>
        <v>0</v>
      </c>
      <c r="CV296" s="48" t="n">
        <f aca="false">IF(CV$8=1,0,CU$301*N(V_LC_Tasa)/12*CV$9)</f>
        <v>0</v>
      </c>
      <c r="CW296" s="48" t="n">
        <f aca="false">IF(CW$8=1,0,CV$301*N(V_LC_Tasa)/12*CW$9)</f>
        <v>0</v>
      </c>
      <c r="CX296" s="48" t="n">
        <f aca="false">IF(CX$8=1,0,CW$301*N(V_LC_Tasa)/12*CX$9)</f>
        <v>0</v>
      </c>
      <c r="CY296" s="48" t="n">
        <f aca="false">IF(CY$8=1,0,CX$301*N(V_LC_Tasa)/12*CY$9)</f>
        <v>0</v>
      </c>
      <c r="CZ296" s="48" t="n">
        <f aca="false">IF(CZ$8=1,0,CY$301*N(V_LC_Tasa)/12*CZ$9)</f>
        <v>0</v>
      </c>
      <c r="DA296" s="48" t="n">
        <f aca="false">IF(DA$8=1,0,CZ$301*N(V_LC_Tasa)/12*DA$9)</f>
        <v>0</v>
      </c>
      <c r="DB296" s="48" t="n">
        <f aca="false">IF(DB$8=1,0,DA$301*N(V_LC_Tasa)/12*DB$9)</f>
        <v>0</v>
      </c>
      <c r="DC296" s="48" t="n">
        <f aca="false">IF(DC$8=1,0,DB$301*N(V_LC_Tasa)/12*DC$9)</f>
        <v>0</v>
      </c>
      <c r="DD296" s="48" t="n">
        <f aca="false">IF(DD$8=1,0,DC$301*N(V_LC_Tasa)/12*DD$9)</f>
        <v>0</v>
      </c>
      <c r="DE296" s="48" t="n">
        <f aca="false">IF(DE$8=1,0,DD$301*N(V_LC_Tasa)/12*DE$9)</f>
        <v>0</v>
      </c>
      <c r="DF296" s="48" t="n">
        <f aca="false">IF(DF$8=1,0,DE$301*N(V_LC_Tasa)/12*DF$9)</f>
        <v>0</v>
      </c>
      <c r="DG296" s="48" t="n">
        <f aca="false">IF(DG$8=1,0,DF$301*N(V_LC_Tasa)/12*DG$9)</f>
        <v>0</v>
      </c>
      <c r="DH296" s="48" t="n">
        <f aca="false">IF(DH$8=1,0,DG$301*N(V_LC_Tasa)/12*DH$9)</f>
        <v>0</v>
      </c>
      <c r="DI296" s="48" t="n">
        <f aca="false">IF(DI$8=1,0,DH$301*N(V_LC_Tasa)/12*DI$9)</f>
        <v>0</v>
      </c>
      <c r="DJ296" s="48" t="n">
        <f aca="false">IF(DJ$8=1,0,DI$301*N(V_LC_Tasa)/12*DJ$9)</f>
        <v>0</v>
      </c>
      <c r="DK296" s="48" t="n">
        <f aca="false">IF(DK$8=1,0,DJ$301*N(V_LC_Tasa)/12*DK$9)</f>
        <v>0</v>
      </c>
      <c r="DL296" s="48" t="n">
        <f aca="false">IF(DL$8=1,0,DK$301*N(V_LC_Tasa)/12*DL$9)</f>
        <v>0</v>
      </c>
      <c r="DM296" s="48" t="n">
        <f aca="false">IF(DM$8=1,0,DL$301*N(V_LC_Tasa)/12*DM$9)</f>
        <v>0</v>
      </c>
      <c r="DN296" s="48" t="n">
        <f aca="false">IF(DN$8=1,0,DM$301*N(V_LC_Tasa)/12*DN$9)</f>
        <v>0</v>
      </c>
      <c r="DO296" s="48" t="n">
        <f aca="false">IF(DO$8=1,0,DN$301*N(V_LC_Tasa)/12*DO$9)</f>
        <v>0</v>
      </c>
      <c r="DP296" s="48" t="n">
        <f aca="false">IF(DP$8=1,0,DO$301*N(V_LC_Tasa)/12*DP$9)</f>
        <v>0</v>
      </c>
      <c r="DQ296" s="48" t="n">
        <f aca="false">IF(DQ$8=1,0,DP$301*N(V_LC_Tasa)/12*DQ$9)</f>
        <v>0</v>
      </c>
      <c r="DR296" s="48" t="n">
        <f aca="false">IF(DR$8=1,0,DQ$301*N(V_LC_Tasa)/12*DR$9)</f>
        <v>0</v>
      </c>
      <c r="DS296" s="48" t="n">
        <f aca="false">IF(DS$8=1,0,DR$301*N(V_LC_Tasa)/12*DS$9)</f>
        <v>0</v>
      </c>
      <c r="DT296" s="48" t="n">
        <f aca="false">IF(DT$8=1,0,DS$301*N(V_LC_Tasa)/12*DT$9)</f>
        <v>0</v>
      </c>
      <c r="DU296" s="48" t="n">
        <f aca="false">IF(DU$8=1,0,DT$301*N(V_LC_Tasa)/12*DU$9)</f>
        <v>0</v>
      </c>
      <c r="DV296" s="48" t="n">
        <f aca="false">IF(DV$8=1,0,DU$301*N(V_LC_Tasa)/12*DV$9)</f>
        <v>0</v>
      </c>
      <c r="DW296" s="48" t="n">
        <f aca="false">IF(DW$8=1,0,DV$301*N(V_LC_Tasa)/12*DW$9)</f>
        <v>0</v>
      </c>
      <c r="DX296" s="48" t="n">
        <f aca="false">IF(DX$8=1,0,DW$301*N(V_LC_Tasa)/12*DX$9)</f>
        <v>0</v>
      </c>
      <c r="DY296" s="48" t="n">
        <f aca="false">IF(DY$8=1,0,DX$301*N(V_LC_Tasa)/12*DY$9)</f>
        <v>0</v>
      </c>
      <c r="DZ296" s="48" t="n">
        <f aca="false">IF(DZ$8=1,0,DY$301*N(V_LC_Tasa)/12*DZ$9)</f>
        <v>0</v>
      </c>
      <c r="EA296" s="48" t="n">
        <f aca="false">IF(EA$8=1,0,DZ$301*N(V_LC_Tasa)/12*EA$9)</f>
        <v>0</v>
      </c>
      <c r="EB296" s="48" t="n">
        <f aca="false">IF(EB$8=1,0,EA$301*N(V_LC_Tasa)/12*EB$9)</f>
        <v>0</v>
      </c>
      <c r="EC296" s="48" t="n">
        <f aca="false">IF(EC$8=1,0,EB$301*N(V_LC_Tasa)/12*EC$9)</f>
        <v>0</v>
      </c>
      <c r="ED296" s="48" t="n">
        <f aca="false">IF(ED$8=1,0,EC$301*N(V_LC_Tasa)/12*ED$9)</f>
        <v>0</v>
      </c>
      <c r="EE296" s="48" t="n">
        <f aca="false">IF(EE$8=1,0,ED$301*N(V_LC_Tasa)/12*EE$9)</f>
        <v>0</v>
      </c>
      <c r="EF296" s="48" t="n">
        <f aca="false">IF(EF$8=1,0,EE$301*N(V_LC_Tasa)/12*EF$9)</f>
        <v>0</v>
      </c>
      <c r="EG296" s="48" t="n">
        <f aca="false">IF(EG$8=1,0,EF$301*N(V_LC_Tasa)/12*EG$9)</f>
        <v>0</v>
      </c>
      <c r="EH296" s="48" t="n">
        <f aca="false">IF(EH$8=1,0,EG$301*N(V_LC_Tasa)/12*EH$9)</f>
        <v>0</v>
      </c>
      <c r="EI296" s="48" t="n">
        <f aca="false">IF(EI$8=1,0,EH$301*N(V_LC_Tasa)/12*EI$9)</f>
        <v>0</v>
      </c>
      <c r="EJ296" s="48" t="n">
        <f aca="false">IF(EJ$8=1,0,EI$301*N(V_LC_Tasa)/12*EJ$9)</f>
        <v>0</v>
      </c>
      <c r="EK296" s="48" t="n">
        <f aca="false">IF(EK$8=1,0,EJ$301*N(V_LC_Tasa)/12*EK$9)</f>
        <v>0</v>
      </c>
      <c r="EL296" s="48" t="n">
        <f aca="false">IF(EL$8=1,0,EK$301*N(V_LC_Tasa)/12*EL$9)</f>
        <v>0</v>
      </c>
      <c r="EM296" s="48" t="n">
        <f aca="false">IF(EM$8=1,0,EL$301*N(V_LC_Tasa)/12*EM$9)</f>
        <v>0</v>
      </c>
      <c r="EN296" s="48" t="n">
        <f aca="false">IF(EN$8=1,0,EM$301*N(V_LC_Tasa)/12*EN$9)</f>
        <v>0</v>
      </c>
      <c r="EO296" s="48" t="n">
        <f aca="false">IF(EO$8=1,0,EN$301*N(V_LC_Tasa)/12*EO$9)</f>
        <v>0</v>
      </c>
      <c r="EP296" s="48" t="n">
        <f aca="false">IF(EP$8=1,0,EO$301*N(V_LC_Tasa)/12*EP$9)</f>
        <v>0</v>
      </c>
      <c r="EQ296" s="48" t="n">
        <f aca="false">IF(EQ$8=1,0,EP$301*N(V_LC_Tasa)/12*EQ$9)</f>
        <v>0</v>
      </c>
      <c r="ER296" s="48" t="n">
        <f aca="false">IF(ER$8=1,0,EQ$301*N(V_LC_Tasa)/12*ER$9)</f>
        <v>0</v>
      </c>
      <c r="ES296" s="48" t="n">
        <f aca="false">IF(ES$8=1,0,ER$301*N(V_LC_Tasa)/12*ES$9)</f>
        <v>0</v>
      </c>
    </row>
    <row r="297" customFormat="false" ht="15" hidden="false" customHeight="false" outlineLevel="0" collapsed="false">
      <c r="A297" s="11" t="s">
        <v>1414</v>
      </c>
      <c r="B297" s="15" t="s">
        <v>1246</v>
      </c>
      <c r="C297" s="15" t="s">
        <v>508</v>
      </c>
      <c r="E297" s="54" t="n">
        <f aca="false">MIN(F297:ES297)</f>
        <v>-311740.118672618</v>
      </c>
      <c r="F297" s="48" t="n">
        <f aca="false">0+F$272-F$273+F$292-F$293-F$261*F$9+F$294</f>
        <v>535727.93036656</v>
      </c>
      <c r="G297" s="48" t="n">
        <f aca="false">F$310+G$272-G$273+G$292-G$293-G$261*G$9+G$294</f>
        <v>555194.83809215</v>
      </c>
      <c r="H297" s="48" t="n">
        <f aca="false">G$310+H$272-H$273+H$292-H$293-H$261*H$9+H$294</f>
        <v>574661.745817739</v>
      </c>
      <c r="I297" s="48" t="n">
        <f aca="false">H$310+I$272-I$273+I$292-I$293-I$261*I$9+I$294</f>
        <v>594128.653543329</v>
      </c>
      <c r="J297" s="48" t="n">
        <f aca="false">I$310+J$272-J$273+J$292-J$293-J$261*J$9+J$294</f>
        <v>613595.561268919</v>
      </c>
      <c r="K297" s="48" t="n">
        <f aca="false">J$310+K$272-K$273+K$292-K$293-K$261*K$9+K$294</f>
        <v>633062.468994509</v>
      </c>
      <c r="L297" s="48" t="n">
        <f aca="false">K$310+L$272-L$273+L$292-L$293-L$261*L$9+L$294</f>
        <v>610406.072625411</v>
      </c>
      <c r="M297" s="48" t="n">
        <f aca="false">L$310+M$272-M$273+M$292-M$293-M$261*M$9+M$294</f>
        <v>587781.268734384</v>
      </c>
      <c r="N297" s="48" t="n">
        <f aca="false">M$310+N$272-N$273+N$292-N$293-N$261*N$9+N$294</f>
        <v>565188.294265013</v>
      </c>
      <c r="O297" s="48" t="n">
        <f aca="false">N$310+O$272-O$273+O$292-O$293-O$261*O$9+O$294</f>
        <v>542627.387937962</v>
      </c>
      <c r="P297" s="48" t="n">
        <f aca="false">O$310+P$272-P$273+P$292-P$293-P$261*P$9+P$294</f>
        <v>520098.790264297</v>
      </c>
      <c r="Q297" s="48" t="n">
        <f aca="false">P$310+Q$272-Q$273+Q$292-Q$293-Q$261*Q$9+Q$294</f>
        <v>497602.743558918</v>
      </c>
      <c r="R297" s="48" t="n">
        <f aca="false">Q$310+R$272-R$273+R$292-R$293-R$261*R$9+R$294</f>
        <v>129920.95007682</v>
      </c>
      <c r="S297" s="48" t="n">
        <f aca="false">R$310+S$272-S$273+S$292-S$293-S$261*S$9+S$294</f>
        <v>145489.642054168</v>
      </c>
      <c r="T297" s="48" t="n">
        <f aca="false">S$310+T$272-T$273+T$292-T$293-T$261*T$9+T$294</f>
        <v>161091.622903299</v>
      </c>
      <c r="U297" s="48" t="n">
        <f aca="false">T$310+U$272-U$273+U$292-U$293-U$261*U$9+U$294</f>
        <v>176727.142290749</v>
      </c>
      <c r="V297" s="48" t="n">
        <f aca="false">U$310+V$272-V$273+V$292-V$293-V$261*V$9+V$294</f>
        <v>192396.451755556</v>
      </c>
      <c r="W297" s="48" t="n">
        <f aca="false">V$310+W$272-W$273+W$292-W$293-W$261*W$9+W$294</f>
        <v>208099.804723301</v>
      </c>
      <c r="X297" s="48" t="n">
        <f aca="false">W$310+X$272-X$273+X$292-X$293-X$261*X$9+X$294</f>
        <v>223837.456520255</v>
      </c>
      <c r="Y297" s="48" t="n">
        <f aca="false">X$310+Y$272-Y$273+Y$292-Y$293-Y$261*Y$9+Y$294</f>
        <v>239609.664387639</v>
      </c>
      <c r="Z297" s="48" t="n">
        <f aca="false">Y$310+Z$272-Z$273+Z$292-Z$293-Z$261*Z$9+Z$294</f>
        <v>255416.687495978</v>
      </c>
      <c r="AA297" s="48" t="n">
        <f aca="false">Z$310+AA$272-AA$273+AA$292-AA$293-AA$261*AA$9+AA$294</f>
        <v>271258.786959582</v>
      </c>
      <c r="AB297" s="48" t="n">
        <f aca="false">AA$310+AB$272-AB$273+AB$292-AB$293-AB$261*AB$9+AB$294</f>
        <v>287136.225851114</v>
      </c>
      <c r="AC297" s="48" t="n">
        <f aca="false">AB$310+AC$272-AC$273+AC$292-AC$293-AC$261*AC$9+AC$294</f>
        <v>303049.269216285</v>
      </c>
      <c r="AD297" s="48" t="n">
        <f aca="false">AC$310+AD$272-AD$273+AD$292-AD$293-AD$261*AD$9+AD$294</f>
        <v>-311740.118672618</v>
      </c>
      <c r="AE297" s="48" t="n">
        <f aca="false">AD$310+AE$272-AE$273+AE$292-AE$293-AE$261*AE$9+AE$294</f>
        <v>-259166.435385604</v>
      </c>
      <c r="AF297" s="48" t="n">
        <f aca="false">AE$310+AF$272-AF$273+AF$292-AF$293-AF$261*AF$9+AF$294</f>
        <v>-206556.340501019</v>
      </c>
      <c r="AG297" s="48" t="n">
        <f aca="false">AF$310+AG$272-AG$273+AG$292-AG$293-AG$261*AG$9+AG$294</f>
        <v>-153909.560931882</v>
      </c>
      <c r="AH297" s="48" t="n">
        <f aca="false">AG$310+AH$272-AH$273+AH$292-AH$293-AH$261*AH$9+AH$294</f>
        <v>-101225.821543058</v>
      </c>
      <c r="AI297" s="48" t="n">
        <f aca="false">AH$310+AI$272-AI$273+AI$292-AI$293-AI$261*AI$9+AI$294</f>
        <v>-48504.845135901</v>
      </c>
      <c r="AJ297" s="48" t="n">
        <f aca="false">AI$310+AJ$272-AJ$273+AJ$292-AJ$293-AJ$261*AJ$9+AJ$294</f>
        <v>4253.64756722766</v>
      </c>
      <c r="AK297" s="48" t="n">
        <f aca="false">AJ$310+AK$272-AK$273+AK$292-AK$293-AK$261*AK$9+AK$294</f>
        <v>57049.9379385475</v>
      </c>
      <c r="AL297" s="48" t="n">
        <f aca="false">AK$310+AL$272-AL$273+AL$292-AL$293-AL$261*AL$9+AL$294</f>
        <v>109884.30946057</v>
      </c>
      <c r="AM297" s="48" t="n">
        <f aca="false">AL$310+AM$272-AM$273+AM$292-AM$293-AM$261*AM$9+AM$294</f>
        <v>162757.047741925</v>
      </c>
      <c r="AN297" s="48" t="n">
        <f aca="false">AM$310+AN$272-AN$273+AN$292-AN$293-AN$261*AN$9+AN$294</f>
        <v>215668.440533309</v>
      </c>
      <c r="AO297" s="48" t="n">
        <f aca="false">AN$310+AO$272-AO$273+AO$292-AO$293-AO$261*AO$9+AO$294</f>
        <v>268618.777743545</v>
      </c>
      <c r="AP297" s="48" t="n">
        <f aca="false">AO$310+AP$272-AP$273+AP$292-AP$293-AP$261*AP$9+AP$294</f>
        <v>-204392.169462803</v>
      </c>
      <c r="AQ297" s="48" t="n">
        <f aca="false">AP$310+AQ$272-AQ$273+AQ$292-AQ$293-AQ$261*AQ$9+AQ$294</f>
        <v>-118554.515960079</v>
      </c>
      <c r="AR297" s="48" t="n">
        <f aca="false">AQ$310+AR$272-AR$273+AR$292-AR$293-AR$261*AR$9+AR$294</f>
        <v>-32677.0352007774</v>
      </c>
      <c r="AS297" s="48" t="n">
        <f aca="false">AR$310+AS$272-AS$273+AS$292-AS$293-AS$261*AS$9+AS$294</f>
        <v>53240.5715195262</v>
      </c>
      <c r="AT297" s="48" t="n">
        <f aca="false">AS$310+AT$272-AT$273+AT$292-AT$293-AT$261*AT$9+AT$294</f>
        <v>139198.605145539</v>
      </c>
      <c r="AU297" s="48" t="n">
        <f aca="false">AT$310+AU$272-AU$273+AU$292-AU$293-AU$261*AU$9+AU$294</f>
        <v>225197.368879055</v>
      </c>
      <c r="AV297" s="48" t="n">
        <f aca="false">AU$310+AV$272-AV$273+AV$292-AV$293-AV$261*AV$9+AV$294</f>
        <v>311237.168195879</v>
      </c>
      <c r="AW297" s="48" t="n">
        <f aca="false">AV$310+AW$272-AW$273+AW$292-AW$293-AW$261*AW$9+AW$294</f>
        <v>397318.310862886</v>
      </c>
      <c r="AX297" s="48" t="n">
        <f aca="false">AW$310+AX$272-AX$273+AX$292-AX$293-AX$261*AX$9+AX$294</f>
        <v>483441.106955204</v>
      </c>
      <c r="AY297" s="48" t="n">
        <f aca="false">AX$310+AY$272-AY$273+AY$292-AY$293-AY$261*AY$9+AY$294</f>
        <v>569605.86887352</v>
      </c>
      <c r="AZ297" s="48" t="n">
        <f aca="false">AY$310+AZ$272-AZ$273+AZ$292-AZ$293-AZ$261*AZ$9+AZ$294</f>
        <v>655812.911361532</v>
      </c>
      <c r="BA297" s="48" t="n">
        <f aca="false">AZ$310+BA$272-BA$273+BA$292-BA$293-BA$261*BA$9+BA$294</f>
        <v>742062.551523511</v>
      </c>
      <c r="BB297" s="48" t="n">
        <f aca="false">BA$310+BB$272-BB$273+BB$292-BB$293-BB$261*BB$9+BB$294</f>
        <v>791565.146132667</v>
      </c>
      <c r="BC297" s="48" t="n">
        <f aca="false">BB$310+BC$272-BC$273+BC$292-BC$293-BC$261*BC$9+BC$294</f>
        <v>879220.52748288</v>
      </c>
      <c r="BD297" s="48" t="n">
        <f aca="false">BC$310+BD$272-BD$273+BD$292-BD$293-BD$261*BD$9+BD$294</f>
        <v>966919.472161052</v>
      </c>
      <c r="BE297" s="48" t="n">
        <f aca="false">BD$310+BE$272-BE$273+BE$292-BE$293-BE$261*BE$9+BE$294</f>
        <v>1054662.30689214</v>
      </c>
      <c r="BF297" s="48" t="n">
        <f aca="false">BE$310+BF$272-BF$273+BF$292-BF$293-BF$261*BF$9+BF$294</f>
        <v>337495.98247063</v>
      </c>
      <c r="BG297" s="48" t="n">
        <f aca="false">BF$310+BG$272-BG$273+BG$292-BG$293-BG$261*BG$9+BG$294</f>
        <v>425327.587302567</v>
      </c>
      <c r="BH297" s="48" t="n">
        <f aca="false">BG$310+BH$272-BH$273+BH$292-BH$293-BH$261*BH$9+BH$294</f>
        <v>513204.077138578</v>
      </c>
      <c r="BI297" s="48" t="n">
        <f aca="false">BH$310+BI$272-BI$273+BI$292-BI$293-BI$261*BI$9+BI$294</f>
        <v>601125.788616192</v>
      </c>
      <c r="BJ297" s="48" t="n">
        <f aca="false">BI$310+BJ$272-BJ$273+BJ$292-BJ$293-BJ$261*BJ$9+BJ$294</f>
        <v>689093.060897721</v>
      </c>
      <c r="BK297" s="48" t="n">
        <f aca="false">BJ$310+BK$272-BK$273+BK$292-BK$293-BK$261*BK$9+BK$294</f>
        <v>777106.235689195</v>
      </c>
      <c r="BL297" s="48" t="n">
        <f aca="false">BK$310+BL$272-BL$273+BL$292-BL$293-BL$261*BL$9+BL$294</f>
        <v>865165.657259439</v>
      </c>
      <c r="BM297" s="48" t="n">
        <f aca="false">BL$310+BM$272-BM$273+BM$292-BM$293-BM$261*BM$9+BM$294</f>
        <v>953271.672459291</v>
      </c>
      <c r="BN297" s="48" t="n">
        <f aca="false">BM$310+BN$272-BN$273+BN$292-BN$293-BN$261*BN$9+BN$294</f>
        <v>1070847.25778852</v>
      </c>
      <c r="BO297" s="48" t="n">
        <f aca="false">BN$310+BO$272-BO$273+BO$292-BO$293-BO$261*BO$9+BO$294</f>
        <v>1226147.69958635</v>
      </c>
      <c r="BP297" s="48" t="n">
        <f aca="false">BO$310+BP$272-BP$273+BP$292-BP$293-BP$261*BP$9+BP$294</f>
        <v>1381448.14138417</v>
      </c>
      <c r="BQ297" s="48" t="n">
        <f aca="false">BP$310+BQ$272-BQ$273+BQ$292-BQ$293-BQ$261*BQ$9+BQ$294</f>
        <v>1536748.583182</v>
      </c>
      <c r="BR297" s="48" t="n">
        <f aca="false">BQ$310+BR$272-BR$273+BR$292-BR$293-BR$261*BR$9+BR$294</f>
        <v>228122.480611604</v>
      </c>
      <c r="BS297" s="48" t="n">
        <f aca="false">BR$310+BS$272-BS$273+BS$292-BS$293-BS$261*BS$9+BS$294</f>
        <v>383422.92240943</v>
      </c>
      <c r="BT297" s="48" t="n">
        <f aca="false">BS$310+BT$272-BT$273+BT$292-BT$293-BT$261*BT$9+BT$294</f>
        <v>538723.364207257</v>
      </c>
      <c r="BU297" s="48" t="n">
        <f aca="false">BT$310+BU$272-BU$273+BU$292-BU$293-BU$261*BU$9+BU$294</f>
        <v>694023.806005083</v>
      </c>
      <c r="BV297" s="48" t="n">
        <f aca="false">BU$310+BV$272-BV$273+BV$292-BV$293-BV$261*BV$9+BV$294</f>
        <v>849324.247802909</v>
      </c>
      <c r="BW297" s="48" t="n">
        <f aca="false">BV$310+BW$272-BW$273+BW$292-BW$293-BW$261*BW$9+BW$294</f>
        <v>1004624.68960073</v>
      </c>
      <c r="BX297" s="48" t="n">
        <f aca="false">BW$310+BX$272-BX$273+BX$292-BX$293-BX$261*BX$9+BX$294</f>
        <v>1159925.13139856</v>
      </c>
      <c r="BY297" s="48" t="n">
        <f aca="false">BX$310+BY$272-BY$273+BY$292-BY$293-BY$261*BY$9+BY$294</f>
        <v>1315225.57319639</v>
      </c>
      <c r="BZ297" s="48" t="n">
        <f aca="false">BY$310+BZ$272-BZ$273+BZ$292-BZ$293-BZ$261*BZ$9+BZ$294</f>
        <v>1436551.70246101</v>
      </c>
      <c r="CA297" s="48" t="n">
        <f aca="false">BZ$310+CA$272-CA$273+CA$292-CA$293-CA$261*CA$9+CA$294</f>
        <v>1595967.72495041</v>
      </c>
      <c r="CB297" s="48" t="n">
        <f aca="false">CA$310+CB$272-CB$273+CB$292-CB$293-CB$261*CB$9+CB$294</f>
        <v>1755383.74743981</v>
      </c>
      <c r="CC297" s="48" t="n">
        <f aca="false">CB$310+CC$272-CC$273+CC$292-CC$293-CC$261*CC$9+CC$294</f>
        <v>1914799.76992921</v>
      </c>
      <c r="CD297" s="48" t="n">
        <f aca="false">CC$310+CD$272-CD$273+CD$292-CD$293-CD$261*CD$9+CD$294</f>
        <v>280027.099844691</v>
      </c>
      <c r="CE297" s="48" t="n">
        <f aca="false">CD$310+CE$272-CE$273+CE$292-CE$293-CE$261*CE$9+CE$294</f>
        <v>439443.122334091</v>
      </c>
      <c r="CF297" s="48" t="n">
        <f aca="false">CE$310+CF$272-CF$273+CF$292-CF$293-CF$261*CF$9+CF$294</f>
        <v>598859.144823491</v>
      </c>
      <c r="CG297" s="48" t="n">
        <f aca="false">CF$310+CG$272-CG$273+CG$292-CG$293-CG$261*CG$9+CG$294</f>
        <v>758275.167312891</v>
      </c>
      <c r="CH297" s="48" t="n">
        <f aca="false">CG$310+CH$272-CH$273+CH$292-CH$293-CH$261*CH$9+CH$294</f>
        <v>917691.189802291</v>
      </c>
      <c r="CI297" s="48" t="n">
        <f aca="false">CH$310+CI$272-CI$273+CI$292-CI$293-CI$261*CI$9+CI$294</f>
        <v>1077107.21229169</v>
      </c>
      <c r="CJ297" s="48" t="n">
        <f aca="false">CI$310+CJ$272-CJ$273+CJ$292-CJ$293-CJ$261*CJ$9+CJ$294</f>
        <v>1236523.23478109</v>
      </c>
      <c r="CK297" s="48" t="n">
        <f aca="false">CJ$310+CK$272-CK$273+CK$292-CK$293-CK$261*CK$9+CK$294</f>
        <v>1395939.25727049</v>
      </c>
      <c r="CL297" s="48" t="n">
        <f aca="false">CK$310+CL$272-CL$273+CL$292-CL$293-CL$261*CL$9+CL$294</f>
        <v>1521040.85812226</v>
      </c>
      <c r="CM297" s="48" t="n">
        <f aca="false">CL$310+CM$272-CM$273+CM$292-CM$293-CM$261*CM$9+CM$294</f>
        <v>1684600.67666855</v>
      </c>
      <c r="CN297" s="48" t="n">
        <f aca="false">CM$310+CN$272-CN$273+CN$292-CN$293-CN$261*CN$9+CN$294</f>
        <v>1848160.49521483</v>
      </c>
      <c r="CO297" s="48" t="n">
        <f aca="false">CN$310+CO$272-CO$273+CO$292-CO$293-CO$261*CO$9+CO$294</f>
        <v>2011720.31376112</v>
      </c>
      <c r="CP297" s="48" t="n">
        <f aca="false">CO$310+CP$272-CP$273+CP$292-CP$293-CP$261*CP$9+CP$294</f>
        <v>331704.471434611</v>
      </c>
      <c r="CQ297" s="48" t="n">
        <f aca="false">CP$310+CQ$272-CQ$273+CQ$292-CQ$293-CQ$261*CQ$9+CQ$294</f>
        <v>495264.289980899</v>
      </c>
      <c r="CR297" s="48" t="n">
        <f aca="false">CQ$310+CR$272-CR$273+CR$292-CR$293-CR$261*CR$9+CR$294</f>
        <v>658824.108527186</v>
      </c>
      <c r="CS297" s="48" t="n">
        <f aca="false">CR$310+CS$272-CS$273+CS$292-CS$293-CS$261*CS$9+CS$294</f>
        <v>822383.927073474</v>
      </c>
      <c r="CT297" s="48" t="n">
        <f aca="false">CS$310+CT$272-CT$273+CT$292-CT$293-CT$261*CT$9+CT$294</f>
        <v>985943.745619761</v>
      </c>
      <c r="CU297" s="48" t="n">
        <f aca="false">CT$310+CU$272-CU$273+CU$292-CU$293-CU$261*CU$9+CU$294</f>
        <v>1149503.56416605</v>
      </c>
      <c r="CV297" s="48" t="n">
        <f aca="false">CU$310+CV$272-CV$273+CV$292-CV$293-CV$261*CV$9+CV$294</f>
        <v>1313063.38271234</v>
      </c>
      <c r="CW297" s="48" t="n">
        <f aca="false">CV$310+CW$272-CW$273+CW$292-CW$293-CW$261*CW$9+CW$294</f>
        <v>1476623.20125862</v>
      </c>
      <c r="CX297" s="48" t="n">
        <f aca="false">CW$310+CX$272-CX$273+CX$292-CX$293-CX$261*CX$9+CX$294</f>
        <v>1605525.0789582</v>
      </c>
      <c r="CY297" s="48" t="n">
        <f aca="false">CX$310+CY$272-CY$273+CY$292-CY$293-CY$261*CY$9+CY$294</f>
        <v>1773256.8086071</v>
      </c>
      <c r="CZ297" s="48" t="n">
        <f aca="false">CY$310+CZ$272-CZ$273+CZ$292-CZ$293-CZ$261*CZ$9+CZ$294</f>
        <v>1940988.53825601</v>
      </c>
      <c r="DA297" s="48" t="n">
        <f aca="false">CZ$310+DA$272-DA$273+DA$292-DA$293-DA$261*DA$9+DA$294</f>
        <v>2108720.26790492</v>
      </c>
      <c r="DB297" s="48" t="n">
        <f aca="false">DA$310+DB$272-DB$273+DB$292-DB$293-DB$261*DB$9+DB$294</f>
        <v>383150.783998376</v>
      </c>
      <c r="DC297" s="48" t="n">
        <f aca="false">DB$310+DC$272-DC$273+DC$292-DC$293-DC$261*DC$9+DC$294</f>
        <v>550882.513647284</v>
      </c>
      <c r="DD297" s="48" t="n">
        <f aca="false">DC$310+DD$272-DD$273+DD$292-DD$293-DD$261*DD$9+DD$294</f>
        <v>718614.243296191</v>
      </c>
      <c r="DE297" s="48" t="n">
        <f aca="false">DD$310+DE$272-DE$273+DE$292-DE$293-DE$261*DE$9+DE$294</f>
        <v>886345.972945099</v>
      </c>
      <c r="DF297" s="48" t="n">
        <f aca="false">DE$310+DF$272-DF$273+DF$292-DF$293-DF$261*DF$9+DF$294</f>
        <v>1054077.70259401</v>
      </c>
      <c r="DG297" s="48" t="n">
        <f aca="false">DF$310+DG$272-DG$273+DG$292-DG$293-DG$261*DG$9+DG$294</f>
        <v>1221809.43224291</v>
      </c>
      <c r="DH297" s="48" t="n">
        <f aca="false">DG$310+DH$272-DH$273+DH$292-DH$293-DH$261*DH$9+DH$294</f>
        <v>1389541.16189182</v>
      </c>
      <c r="DI297" s="48" t="n">
        <f aca="false">DH$310+DI$272-DI$273+DI$292-DI$293-DI$261*DI$9+DI$294</f>
        <v>1557272.89154073</v>
      </c>
      <c r="DJ297" s="48" t="n">
        <f aca="false">DI$310+DJ$272-DJ$273+DJ$292-DJ$293-DJ$261*DJ$9+DJ$294</f>
        <v>1689999.71669704</v>
      </c>
      <c r="DK297" s="48" t="n">
        <f aca="false">DJ$310+DK$272-DK$273+DK$292-DK$293-DK$261*DK$9+DK$294</f>
        <v>1861931.35981212</v>
      </c>
      <c r="DL297" s="48" t="n">
        <f aca="false">DK$310+DL$272-DL$273+DL$292-DL$293-DL$261*DL$9+DL$294</f>
        <v>2033863.00292721</v>
      </c>
      <c r="DM297" s="48" t="n">
        <f aca="false">DL$310+DM$272-DM$273+DM$292-DM$293-DM$261*DM$9+DM$294</f>
        <v>2205794.6460423</v>
      </c>
      <c r="DN297" s="48" t="n">
        <f aca="false">DM$310+DN$272-DN$273+DN$292-DN$293-DN$261*DN$9+DN$294</f>
        <v>434362.142370492</v>
      </c>
      <c r="DO297" s="48" t="n">
        <f aca="false">DN$310+DO$272-DO$273+DO$292-DO$293-DO$261*DO$9+DO$294</f>
        <v>606293.785485578</v>
      </c>
      <c r="DP297" s="48" t="n">
        <f aca="false">DO$310+DP$272-DP$273+DP$292-DP$293-DP$261*DP$9+DP$294</f>
        <v>778225.428600664</v>
      </c>
      <c r="DQ297" s="48" t="n">
        <f aca="false">DP$310+DQ$272-DQ$273+DQ$292-DQ$293-DQ$261*DQ$9+DQ$294</f>
        <v>950157.07171575</v>
      </c>
      <c r="DR297" s="48" t="n">
        <f aca="false">DQ$310+DR$272-DR$273+DR$292-DR$293-DR$261*DR$9+DR$294</f>
        <v>1122088.71483084</v>
      </c>
      <c r="DS297" s="48" t="n">
        <f aca="false">DR$310+DS$272-DS$273+DS$292-DS$293-DS$261*DS$9+DS$294</f>
        <v>1294020.35794592</v>
      </c>
      <c r="DT297" s="48" t="n">
        <f aca="false">DS$310+DT$272-DT$273+DT$292-DT$293-DT$261*DT$9+DT$294</f>
        <v>1465952.00106101</v>
      </c>
      <c r="DU297" s="48" t="n">
        <f aca="false">DT$310+DU$272-DU$273+DU$292-DU$293-DU$261*DU$9+DU$294</f>
        <v>1637883.64417609</v>
      </c>
      <c r="DV297" s="48" t="n">
        <f aca="false">DU$310+DV$272-DV$273+DV$292-DV$293-DV$261*DV$9+DV$294</f>
        <v>1637883.64417609</v>
      </c>
      <c r="DW297" s="48" t="n">
        <f aca="false">DV$310+DW$272-DW$273+DW$292-DW$293-DW$261*DW$9+DW$294</f>
        <v>1637883.64417609</v>
      </c>
      <c r="DX297" s="48" t="n">
        <f aca="false">DW$310+DX$272-DX$273+DX$292-DX$293-DX$261*DX$9+DX$294</f>
        <v>1637883.64417609</v>
      </c>
      <c r="DY297" s="48" t="n">
        <f aca="false">DX$310+DY$272-DY$273+DY$292-DY$293-DY$261*DY$9+DY$294</f>
        <v>1637883.64417609</v>
      </c>
      <c r="DZ297" s="48" t="n">
        <f aca="false">DY$310+DZ$272-DZ$273+DZ$292-DZ$293-DZ$261*DZ$9+DZ$294</f>
        <v>1637883.64417609</v>
      </c>
      <c r="EA297" s="48" t="n">
        <f aca="false">DZ$310+EA$272-EA$273+EA$292-EA$293-EA$261*EA$9+EA$294</f>
        <v>1637883.64417609</v>
      </c>
      <c r="EB297" s="48" t="n">
        <f aca="false">EA$310+EB$272-EB$273+EB$292-EB$293-EB$261*EB$9+EB$294</f>
        <v>1637883.64417609</v>
      </c>
      <c r="EC297" s="48" t="n">
        <f aca="false">EB$310+EC$272-EC$273+EC$292-EC$293-EC$261*EC$9+EC$294</f>
        <v>1637883.64417609</v>
      </c>
      <c r="ED297" s="48" t="n">
        <f aca="false">EC$310+ED$272-ED$273+ED$292-ED$293-ED$261*ED$9+ED$294</f>
        <v>1637883.64417609</v>
      </c>
      <c r="EE297" s="48" t="n">
        <f aca="false">ED$310+EE$272-EE$273+EE$292-EE$293-EE$261*EE$9+EE$294</f>
        <v>1637883.64417609</v>
      </c>
      <c r="EF297" s="48" t="n">
        <f aca="false">EE$310+EF$272-EF$273+EF$292-EF$293-EF$261*EF$9+EF$294</f>
        <v>1637883.64417609</v>
      </c>
      <c r="EG297" s="48" t="n">
        <f aca="false">EF$310+EG$272-EG$273+EG$292-EG$293-EG$261*EG$9+EG$294</f>
        <v>1637883.64417609</v>
      </c>
      <c r="EH297" s="48" t="n">
        <f aca="false">EG$310+EH$272-EH$273+EH$292-EH$293-EH$261*EH$9+EH$294</f>
        <v>1637883.64417609</v>
      </c>
      <c r="EI297" s="48" t="n">
        <f aca="false">EH$310+EI$272-EI$273+EI$292-EI$293-EI$261*EI$9+EI$294</f>
        <v>1637883.64417609</v>
      </c>
      <c r="EJ297" s="48" t="n">
        <f aca="false">EI$310+EJ$272-EJ$273+EJ$292-EJ$293-EJ$261*EJ$9+EJ$294</f>
        <v>1637883.64417609</v>
      </c>
      <c r="EK297" s="48" t="n">
        <f aca="false">EJ$310+EK$272-EK$273+EK$292-EK$293-EK$261*EK$9+EK$294</f>
        <v>1637883.64417609</v>
      </c>
      <c r="EL297" s="48" t="n">
        <f aca="false">EK$310+EL$272-EL$273+EL$292-EL$293-EL$261*EL$9+EL$294</f>
        <v>1637883.64417609</v>
      </c>
      <c r="EM297" s="48" t="n">
        <f aca="false">EL$310+EM$272-EM$273+EM$292-EM$293-EM$261*EM$9+EM$294</f>
        <v>1637883.64417609</v>
      </c>
      <c r="EN297" s="48" t="n">
        <f aca="false">EM$310+EN$272-EN$273+EN$292-EN$293-EN$261*EN$9+EN$294</f>
        <v>1637883.64417609</v>
      </c>
      <c r="EO297" s="48" t="n">
        <f aca="false">EN$310+EO$272-EO$273+EO$292-EO$293-EO$261*EO$9+EO$294</f>
        <v>1637883.64417609</v>
      </c>
      <c r="EP297" s="48" t="n">
        <f aca="false">EO$310+EP$272-EP$273+EP$292-EP$293-EP$261*EP$9+EP$294</f>
        <v>1637883.64417609</v>
      </c>
      <c r="EQ297" s="48" t="n">
        <f aca="false">EP$310+EQ$272-EQ$273+EQ$292-EQ$293-EQ$261*EQ$9+EQ$294</f>
        <v>1637883.64417609</v>
      </c>
      <c r="ER297" s="48" t="n">
        <f aca="false">EQ$310+ER$272-ER$273+ER$292-ER$293-ER$261*ER$9+ER$294</f>
        <v>1637883.64417609</v>
      </c>
      <c r="ES297" s="48" t="n">
        <f aca="false">ER$310+ES$272-ES$273+ES$292-ES$293-ES$261*ES$9+ES$294</f>
        <v>1637883.64417609</v>
      </c>
    </row>
    <row r="298" customFormat="false" ht="15" hidden="false" customHeight="false" outlineLevel="0" collapsed="false">
      <c r="A298" s="11" t="s">
        <v>1415</v>
      </c>
      <c r="B298" s="15" t="s">
        <v>422</v>
      </c>
      <c r="C298" s="15" t="s">
        <v>508</v>
      </c>
      <c r="F298" s="48" t="n">
        <f aca="false">F$227*V_CajaMin/DiasMes*F$9</f>
        <v>39863.0136986301</v>
      </c>
      <c r="G298" s="48" t="n">
        <f aca="false">G$227*V_CajaMin/DiasMes*G$9</f>
        <v>39863.0136986301</v>
      </c>
      <c r="H298" s="48" t="n">
        <f aca="false">H$227*V_CajaMin/DiasMes*H$9</f>
        <v>39863.0136986301</v>
      </c>
      <c r="I298" s="48" t="n">
        <f aca="false">I$227*V_CajaMin/DiasMes*I$9</f>
        <v>39863.0136986301</v>
      </c>
      <c r="J298" s="48" t="n">
        <f aca="false">J$227*V_CajaMin/DiasMes*J$9</f>
        <v>39863.0136986301</v>
      </c>
      <c r="K298" s="48" t="n">
        <f aca="false">K$227*V_CajaMin/DiasMes*K$9</f>
        <v>39863.0136986301</v>
      </c>
      <c r="L298" s="48" t="n">
        <f aca="false">L$227*V_CajaMin/DiasMes*L$9</f>
        <v>39863.0136986301</v>
      </c>
      <c r="M298" s="48" t="n">
        <f aca="false">M$227*V_CajaMin/DiasMes*M$9</f>
        <v>39863.0136986301</v>
      </c>
      <c r="N298" s="48" t="n">
        <f aca="false">N$227*V_CajaMin/DiasMes*N$9</f>
        <v>39863.0136986301</v>
      </c>
      <c r="O298" s="48" t="n">
        <f aca="false">O$227*V_CajaMin/DiasMes*O$9</f>
        <v>39863.0136986301</v>
      </c>
      <c r="P298" s="48" t="n">
        <f aca="false">P$227*V_CajaMin/DiasMes*P$9</f>
        <v>39863.0136986301</v>
      </c>
      <c r="Q298" s="48" t="n">
        <f aca="false">Q$227*V_CajaMin/DiasMes*Q$9</f>
        <v>39863.0136986301</v>
      </c>
      <c r="R298" s="48" t="n">
        <f aca="false">R$227*V_CajaMin/DiasMes*R$9</f>
        <v>50804.3835616438</v>
      </c>
      <c r="S298" s="48" t="n">
        <f aca="false">S$227*V_CajaMin/DiasMes*S$9</f>
        <v>50804.3835616438</v>
      </c>
      <c r="T298" s="48" t="n">
        <f aca="false">T$227*V_CajaMin/DiasMes*T$9</f>
        <v>50804.3835616438</v>
      </c>
      <c r="U298" s="48" t="n">
        <f aca="false">U$227*V_CajaMin/DiasMes*U$9</f>
        <v>50804.3835616438</v>
      </c>
      <c r="V298" s="48" t="n">
        <f aca="false">V$227*V_CajaMin/DiasMes*V$9</f>
        <v>50804.3835616438</v>
      </c>
      <c r="W298" s="48" t="n">
        <f aca="false">W$227*V_CajaMin/DiasMes*W$9</f>
        <v>50804.3835616438</v>
      </c>
      <c r="X298" s="48" t="n">
        <f aca="false">X$227*V_CajaMin/DiasMes*X$9</f>
        <v>50804.3835616438</v>
      </c>
      <c r="Y298" s="48" t="n">
        <f aca="false">Y$227*V_CajaMin/DiasMes*Y$9</f>
        <v>50804.3835616438</v>
      </c>
      <c r="Z298" s="48" t="n">
        <f aca="false">Z$227*V_CajaMin/DiasMes*Z$9</f>
        <v>50804.3835616438</v>
      </c>
      <c r="AA298" s="48" t="n">
        <f aca="false">AA$227*V_CajaMin/DiasMes*AA$9</f>
        <v>50804.3835616438</v>
      </c>
      <c r="AB298" s="48" t="n">
        <f aca="false">AB$227*V_CajaMin/DiasMes*AB$9</f>
        <v>50804.3835616438</v>
      </c>
      <c r="AC298" s="48" t="n">
        <f aca="false">AC$227*V_CajaMin/DiasMes*AC$9</f>
        <v>50804.3835616438</v>
      </c>
      <c r="AD298" s="48" t="n">
        <f aca="false">AD$227*V_CajaMin/DiasMes*AD$9</f>
        <v>61960.5945205479</v>
      </c>
      <c r="AE298" s="48" t="n">
        <f aca="false">AE$227*V_CajaMin/DiasMes*AE$9</f>
        <v>61960.5945205479</v>
      </c>
      <c r="AF298" s="48" t="n">
        <f aca="false">AF$227*V_CajaMin/DiasMes*AF$9</f>
        <v>61960.5945205479</v>
      </c>
      <c r="AG298" s="48" t="n">
        <f aca="false">AG$227*V_CajaMin/DiasMes*AG$9</f>
        <v>61960.5945205479</v>
      </c>
      <c r="AH298" s="48" t="n">
        <f aca="false">AH$227*V_CajaMin/DiasMes*AH$9</f>
        <v>61960.5945205479</v>
      </c>
      <c r="AI298" s="48" t="n">
        <f aca="false">AI$227*V_CajaMin/DiasMes*AI$9</f>
        <v>61960.5945205479</v>
      </c>
      <c r="AJ298" s="48" t="n">
        <f aca="false">AJ$227*V_CajaMin/DiasMes*AJ$9</f>
        <v>61960.5945205479</v>
      </c>
      <c r="AK298" s="48" t="n">
        <f aca="false">AK$227*V_CajaMin/DiasMes*AK$9</f>
        <v>61960.5945205479</v>
      </c>
      <c r="AL298" s="48" t="n">
        <f aca="false">AL$227*V_CajaMin/DiasMes*AL$9</f>
        <v>61960.5945205479</v>
      </c>
      <c r="AM298" s="48" t="n">
        <f aca="false">AM$227*V_CajaMin/DiasMes*AM$9</f>
        <v>61960.5945205479</v>
      </c>
      <c r="AN298" s="48" t="n">
        <f aca="false">AN$227*V_CajaMin/DiasMes*AN$9</f>
        <v>61960.5945205479</v>
      </c>
      <c r="AO298" s="48" t="n">
        <f aca="false">AO$227*V_CajaMin/DiasMes*AO$9</f>
        <v>61960.5945205479</v>
      </c>
      <c r="AP298" s="48" t="n">
        <f aca="false">AP$227*V_CajaMin/DiasMes*AP$9</f>
        <v>71387.1569589041</v>
      </c>
      <c r="AQ298" s="48" t="n">
        <f aca="false">AQ$227*V_CajaMin/DiasMes*AQ$9</f>
        <v>71387.1569589041</v>
      </c>
      <c r="AR298" s="48" t="n">
        <f aca="false">AR$227*V_CajaMin/DiasMes*AR$9</f>
        <v>71387.1569589041</v>
      </c>
      <c r="AS298" s="48" t="n">
        <f aca="false">AS$227*V_CajaMin/DiasMes*AS$9</f>
        <v>71387.1569589041</v>
      </c>
      <c r="AT298" s="48" t="n">
        <f aca="false">AT$227*V_CajaMin/DiasMes*AT$9</f>
        <v>71387.1569589041</v>
      </c>
      <c r="AU298" s="48" t="n">
        <f aca="false">AU$227*V_CajaMin/DiasMes*AU$9</f>
        <v>71387.1569589041</v>
      </c>
      <c r="AV298" s="48" t="n">
        <f aca="false">AV$227*V_CajaMin/DiasMes*AV$9</f>
        <v>71387.1569589041</v>
      </c>
      <c r="AW298" s="48" t="n">
        <f aca="false">AW$227*V_CajaMin/DiasMes*AW$9</f>
        <v>71387.1569589041</v>
      </c>
      <c r="AX298" s="48" t="n">
        <f aca="false">AX$227*V_CajaMin/DiasMes*AX$9</f>
        <v>71387.1569589041</v>
      </c>
      <c r="AY298" s="48" t="n">
        <f aca="false">AY$227*V_CajaMin/DiasMes*AY$9</f>
        <v>71387.1569589041</v>
      </c>
      <c r="AZ298" s="48" t="n">
        <f aca="false">AZ$227*V_CajaMin/DiasMes*AZ$9</f>
        <v>71387.1569589041</v>
      </c>
      <c r="BA298" s="48" t="n">
        <f aca="false">BA$227*V_CajaMin/DiasMes*BA$9</f>
        <v>71387.1569589041</v>
      </c>
      <c r="BB298" s="48" t="n">
        <f aca="false">BB$227*V_CajaMin/DiasMes*BB$9</f>
        <v>72101.0285284932</v>
      </c>
      <c r="BC298" s="48" t="n">
        <f aca="false">BC$227*V_CajaMin/DiasMes*BC$9</f>
        <v>72101.0285284932</v>
      </c>
      <c r="BD298" s="48" t="n">
        <f aca="false">BD$227*V_CajaMin/DiasMes*BD$9</f>
        <v>72101.0285284932</v>
      </c>
      <c r="BE298" s="48" t="n">
        <f aca="false">BE$227*V_CajaMin/DiasMes*BE$9</f>
        <v>72101.0285284932</v>
      </c>
      <c r="BF298" s="48" t="n">
        <f aca="false">BF$227*V_CajaMin/DiasMes*BF$9</f>
        <v>72101.0285284932</v>
      </c>
      <c r="BG298" s="48" t="n">
        <f aca="false">BG$227*V_CajaMin/DiasMes*BG$9</f>
        <v>72101.0285284932</v>
      </c>
      <c r="BH298" s="48" t="n">
        <f aca="false">BH$227*V_CajaMin/DiasMes*BH$9</f>
        <v>72101.0285284932</v>
      </c>
      <c r="BI298" s="48" t="n">
        <f aca="false">BI$227*V_CajaMin/DiasMes*BI$9</f>
        <v>72101.0285284932</v>
      </c>
      <c r="BJ298" s="48" t="n">
        <f aca="false">BJ$227*V_CajaMin/DiasMes*BJ$9</f>
        <v>72101.0285284932</v>
      </c>
      <c r="BK298" s="48" t="n">
        <f aca="false">BK$227*V_CajaMin/DiasMes*BK$9</f>
        <v>72101.0285284932</v>
      </c>
      <c r="BL298" s="48" t="n">
        <f aca="false">BL$227*V_CajaMin/DiasMes*BL$9</f>
        <v>72101.0285284932</v>
      </c>
      <c r="BM298" s="48" t="n">
        <f aca="false">BM$227*V_CajaMin/DiasMes*BM$9</f>
        <v>72101.0285284932</v>
      </c>
      <c r="BN298" s="48" t="n">
        <f aca="false">BN$227*V_CajaMin/DiasMes*BN$9</f>
        <v>72822.0388137781</v>
      </c>
      <c r="BO298" s="48" t="n">
        <f aca="false">BO$227*V_CajaMin/DiasMes*BO$9</f>
        <v>72822.0388137781</v>
      </c>
      <c r="BP298" s="48" t="n">
        <f aca="false">BP$227*V_CajaMin/DiasMes*BP$9</f>
        <v>72822.0388137781</v>
      </c>
      <c r="BQ298" s="48" t="n">
        <f aca="false">BQ$227*V_CajaMin/DiasMes*BQ$9</f>
        <v>72822.0388137781</v>
      </c>
      <c r="BR298" s="48" t="n">
        <f aca="false">BR$227*V_CajaMin/DiasMes*BR$9</f>
        <v>72822.0388137781</v>
      </c>
      <c r="BS298" s="48" t="n">
        <f aca="false">BS$227*V_CajaMin/DiasMes*BS$9</f>
        <v>72822.0388137781</v>
      </c>
      <c r="BT298" s="48" t="n">
        <f aca="false">BT$227*V_CajaMin/DiasMes*BT$9</f>
        <v>72822.0388137781</v>
      </c>
      <c r="BU298" s="48" t="n">
        <f aca="false">BU$227*V_CajaMin/DiasMes*BU$9</f>
        <v>72822.0388137781</v>
      </c>
      <c r="BV298" s="48" t="n">
        <f aca="false">BV$227*V_CajaMin/DiasMes*BV$9</f>
        <v>72822.0388137781</v>
      </c>
      <c r="BW298" s="48" t="n">
        <f aca="false">BW$227*V_CajaMin/DiasMes*BW$9</f>
        <v>72822.0388137781</v>
      </c>
      <c r="BX298" s="48" t="n">
        <f aca="false">BX$227*V_CajaMin/DiasMes*BX$9</f>
        <v>72822.0388137781</v>
      </c>
      <c r="BY298" s="48" t="n">
        <f aca="false">BY$227*V_CajaMin/DiasMes*BY$9</f>
        <v>72822.0388137781</v>
      </c>
      <c r="BZ298" s="48" t="n">
        <f aca="false">BZ$227*V_CajaMin/DiasMes*BZ$9</f>
        <v>73550.2592019159</v>
      </c>
      <c r="CA298" s="48" t="n">
        <f aca="false">CA$227*V_CajaMin/DiasMes*CA$9</f>
        <v>73550.2592019159</v>
      </c>
      <c r="CB298" s="48" t="n">
        <f aca="false">CB$227*V_CajaMin/DiasMes*CB$9</f>
        <v>73550.2592019159</v>
      </c>
      <c r="CC298" s="48" t="n">
        <f aca="false">CC$227*V_CajaMin/DiasMes*CC$9</f>
        <v>73550.2592019159</v>
      </c>
      <c r="CD298" s="48" t="n">
        <f aca="false">CD$227*V_CajaMin/DiasMes*CD$9</f>
        <v>73550.2592019159</v>
      </c>
      <c r="CE298" s="48" t="n">
        <f aca="false">CE$227*V_CajaMin/DiasMes*CE$9</f>
        <v>73550.2592019159</v>
      </c>
      <c r="CF298" s="48" t="n">
        <f aca="false">CF$227*V_CajaMin/DiasMes*CF$9</f>
        <v>73550.2592019159</v>
      </c>
      <c r="CG298" s="48" t="n">
        <f aca="false">CG$227*V_CajaMin/DiasMes*CG$9</f>
        <v>73550.2592019159</v>
      </c>
      <c r="CH298" s="48" t="n">
        <f aca="false">CH$227*V_CajaMin/DiasMes*CH$9</f>
        <v>73550.2592019159</v>
      </c>
      <c r="CI298" s="48" t="n">
        <f aca="false">CI$227*V_CajaMin/DiasMes*CI$9</f>
        <v>73550.2592019159</v>
      </c>
      <c r="CJ298" s="48" t="n">
        <f aca="false">CJ$227*V_CajaMin/DiasMes*CJ$9</f>
        <v>73550.2592019159</v>
      </c>
      <c r="CK298" s="48" t="n">
        <f aca="false">CK$227*V_CajaMin/DiasMes*CK$9</f>
        <v>73550.2592019159</v>
      </c>
      <c r="CL298" s="48" t="n">
        <f aca="false">CL$227*V_CajaMin/DiasMes*CL$9</f>
        <v>74285.761793935</v>
      </c>
      <c r="CM298" s="48" t="n">
        <f aca="false">CM$227*V_CajaMin/DiasMes*CM$9</f>
        <v>74285.761793935</v>
      </c>
      <c r="CN298" s="48" t="n">
        <f aca="false">CN$227*V_CajaMin/DiasMes*CN$9</f>
        <v>74285.761793935</v>
      </c>
      <c r="CO298" s="48" t="n">
        <f aca="false">CO$227*V_CajaMin/DiasMes*CO$9</f>
        <v>74285.761793935</v>
      </c>
      <c r="CP298" s="48" t="n">
        <f aca="false">CP$227*V_CajaMin/DiasMes*CP$9</f>
        <v>74285.761793935</v>
      </c>
      <c r="CQ298" s="48" t="n">
        <f aca="false">CQ$227*V_CajaMin/DiasMes*CQ$9</f>
        <v>74285.761793935</v>
      </c>
      <c r="CR298" s="48" t="n">
        <f aca="false">CR$227*V_CajaMin/DiasMes*CR$9</f>
        <v>74285.761793935</v>
      </c>
      <c r="CS298" s="48" t="n">
        <f aca="false">CS$227*V_CajaMin/DiasMes*CS$9</f>
        <v>74285.761793935</v>
      </c>
      <c r="CT298" s="48" t="n">
        <f aca="false">CT$227*V_CajaMin/DiasMes*CT$9</f>
        <v>74285.761793935</v>
      </c>
      <c r="CU298" s="48" t="n">
        <f aca="false">CU$227*V_CajaMin/DiasMes*CU$9</f>
        <v>74285.761793935</v>
      </c>
      <c r="CV298" s="48" t="n">
        <f aca="false">CV$227*V_CajaMin/DiasMes*CV$9</f>
        <v>74285.761793935</v>
      </c>
      <c r="CW298" s="48" t="n">
        <f aca="false">CW$227*V_CajaMin/DiasMes*CW$9</f>
        <v>74285.761793935</v>
      </c>
      <c r="CX298" s="48" t="n">
        <f aca="false">CX$227*V_CajaMin/DiasMes*CX$9</f>
        <v>75028.6194118744</v>
      </c>
      <c r="CY298" s="48" t="n">
        <f aca="false">CY$227*V_CajaMin/DiasMes*CY$9</f>
        <v>75028.6194118744</v>
      </c>
      <c r="CZ298" s="48" t="n">
        <f aca="false">CZ$227*V_CajaMin/DiasMes*CZ$9</f>
        <v>75028.6194118744</v>
      </c>
      <c r="DA298" s="48" t="n">
        <f aca="false">DA$227*V_CajaMin/DiasMes*DA$9</f>
        <v>75028.6194118744</v>
      </c>
      <c r="DB298" s="48" t="n">
        <f aca="false">DB$227*V_CajaMin/DiasMes*DB$9</f>
        <v>75028.6194118744</v>
      </c>
      <c r="DC298" s="48" t="n">
        <f aca="false">DC$227*V_CajaMin/DiasMes*DC$9</f>
        <v>75028.6194118744</v>
      </c>
      <c r="DD298" s="48" t="n">
        <f aca="false">DD$227*V_CajaMin/DiasMes*DD$9</f>
        <v>75028.6194118744</v>
      </c>
      <c r="DE298" s="48" t="n">
        <f aca="false">DE$227*V_CajaMin/DiasMes*DE$9</f>
        <v>75028.6194118744</v>
      </c>
      <c r="DF298" s="48" t="n">
        <f aca="false">DF$227*V_CajaMin/DiasMes*DF$9</f>
        <v>75028.6194118744</v>
      </c>
      <c r="DG298" s="48" t="n">
        <f aca="false">DG$227*V_CajaMin/DiasMes*DG$9</f>
        <v>75028.6194118744</v>
      </c>
      <c r="DH298" s="48" t="n">
        <f aca="false">DH$227*V_CajaMin/DiasMes*DH$9</f>
        <v>75028.6194118744</v>
      </c>
      <c r="DI298" s="48" t="n">
        <f aca="false">DI$227*V_CajaMin/DiasMes*DI$9</f>
        <v>75028.6194118744</v>
      </c>
      <c r="DJ298" s="48" t="n">
        <f aca="false">DJ$227*V_CajaMin/DiasMes*DJ$9</f>
        <v>75778.9056059931</v>
      </c>
      <c r="DK298" s="48" t="n">
        <f aca="false">DK$227*V_CajaMin/DiasMes*DK$9</f>
        <v>75778.9056059931</v>
      </c>
      <c r="DL298" s="48" t="n">
        <f aca="false">DL$227*V_CajaMin/DiasMes*DL$9</f>
        <v>75778.9056059931</v>
      </c>
      <c r="DM298" s="48" t="n">
        <f aca="false">DM$227*V_CajaMin/DiasMes*DM$9</f>
        <v>75778.9056059931</v>
      </c>
      <c r="DN298" s="48" t="n">
        <f aca="false">DN$227*V_CajaMin/DiasMes*DN$9</f>
        <v>75778.9056059931</v>
      </c>
      <c r="DO298" s="48" t="n">
        <f aca="false">DO$227*V_CajaMin/DiasMes*DO$9</f>
        <v>75778.9056059931</v>
      </c>
      <c r="DP298" s="48" t="n">
        <f aca="false">DP$227*V_CajaMin/DiasMes*DP$9</f>
        <v>75778.9056059931</v>
      </c>
      <c r="DQ298" s="48" t="n">
        <f aca="false">DQ$227*V_CajaMin/DiasMes*DQ$9</f>
        <v>75778.9056059931</v>
      </c>
      <c r="DR298" s="48" t="n">
        <f aca="false">DR$227*V_CajaMin/DiasMes*DR$9</f>
        <v>75778.9056059931</v>
      </c>
      <c r="DS298" s="48" t="n">
        <f aca="false">DS$227*V_CajaMin/DiasMes*DS$9</f>
        <v>75778.9056059931</v>
      </c>
      <c r="DT298" s="48" t="n">
        <f aca="false">DT$227*V_CajaMin/DiasMes*DT$9</f>
        <v>75778.9056059931</v>
      </c>
      <c r="DU298" s="48" t="n">
        <f aca="false">DU$227*V_CajaMin/DiasMes*DU$9</f>
        <v>75778.9056059931</v>
      </c>
      <c r="DV298" s="48" t="n">
        <f aca="false">DV$227*V_CajaMin/DiasMes*DV$9</f>
        <v>0</v>
      </c>
      <c r="DW298" s="48" t="n">
        <f aca="false">DW$227*V_CajaMin/DiasMes*DW$9</f>
        <v>0</v>
      </c>
      <c r="DX298" s="48" t="n">
        <f aca="false">DX$227*V_CajaMin/DiasMes*DX$9</f>
        <v>0</v>
      </c>
      <c r="DY298" s="48" t="n">
        <f aca="false">DY$227*V_CajaMin/DiasMes*DY$9</f>
        <v>0</v>
      </c>
      <c r="DZ298" s="48" t="n">
        <f aca="false">DZ$227*V_CajaMin/DiasMes*DZ$9</f>
        <v>0</v>
      </c>
      <c r="EA298" s="48" t="n">
        <f aca="false">EA$227*V_CajaMin/DiasMes*EA$9</f>
        <v>0</v>
      </c>
      <c r="EB298" s="48" t="n">
        <f aca="false">EB$227*V_CajaMin/DiasMes*EB$9</f>
        <v>0</v>
      </c>
      <c r="EC298" s="48" t="n">
        <f aca="false">EC$227*V_CajaMin/DiasMes*EC$9</f>
        <v>0</v>
      </c>
      <c r="ED298" s="48" t="n">
        <f aca="false">ED$227*V_CajaMin/DiasMes*ED$9</f>
        <v>0</v>
      </c>
      <c r="EE298" s="48" t="n">
        <f aca="false">EE$227*V_CajaMin/DiasMes*EE$9</f>
        <v>0</v>
      </c>
      <c r="EF298" s="48" t="n">
        <f aca="false">EF$227*V_CajaMin/DiasMes*EF$9</f>
        <v>0</v>
      </c>
      <c r="EG298" s="48" t="n">
        <f aca="false">EG$227*V_CajaMin/DiasMes*EG$9</f>
        <v>0</v>
      </c>
      <c r="EH298" s="48" t="n">
        <f aca="false">EH$227*V_CajaMin/DiasMes*EH$9</f>
        <v>0</v>
      </c>
      <c r="EI298" s="48" t="n">
        <f aca="false">EI$227*V_CajaMin/DiasMes*EI$9</f>
        <v>0</v>
      </c>
      <c r="EJ298" s="48" t="n">
        <f aca="false">EJ$227*V_CajaMin/DiasMes*EJ$9</f>
        <v>0</v>
      </c>
      <c r="EK298" s="48" t="n">
        <f aca="false">EK$227*V_CajaMin/DiasMes*EK$9</f>
        <v>0</v>
      </c>
      <c r="EL298" s="48" t="n">
        <f aca="false">EL$227*V_CajaMin/DiasMes*EL$9</f>
        <v>0</v>
      </c>
      <c r="EM298" s="48" t="n">
        <f aca="false">EM$227*V_CajaMin/DiasMes*EM$9</f>
        <v>0</v>
      </c>
      <c r="EN298" s="48" t="n">
        <f aca="false">EN$227*V_CajaMin/DiasMes*EN$9</f>
        <v>0</v>
      </c>
      <c r="EO298" s="48" t="n">
        <f aca="false">EO$227*V_CajaMin/DiasMes*EO$9</f>
        <v>0</v>
      </c>
      <c r="EP298" s="48" t="n">
        <f aca="false">EP$227*V_CajaMin/DiasMes*EP$9</f>
        <v>0</v>
      </c>
      <c r="EQ298" s="48" t="n">
        <f aca="false">EQ$227*V_CajaMin/DiasMes*EQ$9</f>
        <v>0</v>
      </c>
      <c r="ER298" s="48" t="n">
        <f aca="false">ER$227*V_CajaMin/DiasMes*ER$9</f>
        <v>0</v>
      </c>
      <c r="ES298" s="48" t="n">
        <f aca="false">ES$227*V_CajaMin/DiasMes*ES$9</f>
        <v>0</v>
      </c>
    </row>
    <row r="299" customFormat="false" ht="15" hidden="false" customHeight="false" outlineLevel="0" collapsed="false">
      <c r="A299" s="11" t="s">
        <v>1416</v>
      </c>
      <c r="B299" s="15" t="s">
        <v>1249</v>
      </c>
      <c r="C299" s="15" t="s">
        <v>508</v>
      </c>
      <c r="E299" s="54" t="n">
        <f aca="false">SUM(F299:ES299)</f>
        <v>0</v>
      </c>
      <c r="F299" s="48" t="n">
        <f aca="false">IF(F$8=1,0,IF(F$295=1,MIN(MAX(0,N(V_LC_Lim)-0),MAX(0,F$298-F$297)),0)*F$9)</f>
        <v>0</v>
      </c>
      <c r="G299" s="48" t="n">
        <f aca="false">IF(G$8=1,0,IF(G$295=1,MIN(MAX(0,N(V_LC_Lim)-F$301),MAX(0,G$298-G$297)),0)*G$9)</f>
        <v>0</v>
      </c>
      <c r="H299" s="48" t="n">
        <f aca="false">IF(H$8=1,0,IF(H$295=1,MIN(MAX(0,N(V_LC_Lim)-G$301),MAX(0,H$298-H$297)),0)*H$9)</f>
        <v>0</v>
      </c>
      <c r="I299" s="48" t="n">
        <f aca="false">IF(I$8=1,0,IF(I$295=1,MIN(MAX(0,N(V_LC_Lim)-H$301),MAX(0,I$298-I$297)),0)*I$9)</f>
        <v>0</v>
      </c>
      <c r="J299" s="48" t="n">
        <f aca="false">IF(J$8=1,0,IF(J$295=1,MIN(MAX(0,N(V_LC_Lim)-I$301),MAX(0,J$298-J$297)),0)*J$9)</f>
        <v>0</v>
      </c>
      <c r="K299" s="48" t="n">
        <f aca="false">IF(K$8=1,0,IF(K$295=1,MIN(MAX(0,N(V_LC_Lim)-J$301),MAX(0,K$298-K$297)),0)*K$9)</f>
        <v>0</v>
      </c>
      <c r="L299" s="48" t="n">
        <f aca="false">IF(L$8=1,0,IF(L$295=1,MIN(MAX(0,N(V_LC_Lim)-K$301),MAX(0,L$298-L$297)),0)*L$9)</f>
        <v>0</v>
      </c>
      <c r="M299" s="48" t="n">
        <f aca="false">IF(M$8=1,0,IF(M$295=1,MIN(MAX(0,N(V_LC_Lim)-L$301),MAX(0,M$298-M$297)),0)*M$9)</f>
        <v>0</v>
      </c>
      <c r="N299" s="48" t="n">
        <f aca="false">IF(N$8=1,0,IF(N$295=1,MIN(MAX(0,N(V_LC_Lim)-M$301),MAX(0,N$298-N$297)),0)*N$9)</f>
        <v>0</v>
      </c>
      <c r="O299" s="48" t="n">
        <f aca="false">IF(O$8=1,0,IF(O$295=1,MIN(MAX(0,N(V_LC_Lim)-N$301),MAX(0,O$298-O$297)),0)*O$9)</f>
        <v>0</v>
      </c>
      <c r="P299" s="48" t="n">
        <f aca="false">IF(P$8=1,0,IF(P$295=1,MIN(MAX(0,N(V_LC_Lim)-O$301),MAX(0,P$298-P$297)),0)*P$9)</f>
        <v>0</v>
      </c>
      <c r="Q299" s="48" t="n">
        <f aca="false">IF(Q$8=1,0,IF(Q$295=1,MIN(MAX(0,N(V_LC_Lim)-P$301),MAX(0,Q$298-Q$297)),0)*Q$9)</f>
        <v>0</v>
      </c>
      <c r="R299" s="48" t="n">
        <f aca="false">IF(R$8=1,0,IF(R$295=1,MIN(MAX(0,N(V_LC_Lim)-Q$301),MAX(0,R$298-R$297)),0)*R$9)</f>
        <v>0</v>
      </c>
      <c r="S299" s="48" t="n">
        <f aca="false">IF(S$8=1,0,IF(S$295=1,MIN(MAX(0,N(V_LC_Lim)-R$301),MAX(0,S$298-S$297)),0)*S$9)</f>
        <v>0</v>
      </c>
      <c r="T299" s="48" t="n">
        <f aca="false">IF(T$8=1,0,IF(T$295=1,MIN(MAX(0,N(V_LC_Lim)-S$301),MAX(0,T$298-T$297)),0)*T$9)</f>
        <v>0</v>
      </c>
      <c r="U299" s="48" t="n">
        <f aca="false">IF(U$8=1,0,IF(U$295=1,MIN(MAX(0,N(V_LC_Lim)-T$301),MAX(0,U$298-U$297)),0)*U$9)</f>
        <v>0</v>
      </c>
      <c r="V299" s="48" t="n">
        <f aca="false">IF(V$8=1,0,IF(V$295=1,MIN(MAX(0,N(V_LC_Lim)-U$301),MAX(0,V$298-V$297)),0)*V$9)</f>
        <v>0</v>
      </c>
      <c r="W299" s="48" t="n">
        <f aca="false">IF(W$8=1,0,IF(W$295=1,MIN(MAX(0,N(V_LC_Lim)-V$301),MAX(0,W$298-W$297)),0)*W$9)</f>
        <v>0</v>
      </c>
      <c r="X299" s="48" t="n">
        <f aca="false">IF(X$8=1,0,IF(X$295=1,MIN(MAX(0,N(V_LC_Lim)-W$301),MAX(0,X$298-X$297)),0)*X$9)</f>
        <v>0</v>
      </c>
      <c r="Y299" s="48" t="n">
        <f aca="false">IF(Y$8=1,0,IF(Y$295=1,MIN(MAX(0,N(V_LC_Lim)-X$301),MAX(0,Y$298-Y$297)),0)*Y$9)</f>
        <v>0</v>
      </c>
      <c r="Z299" s="48" t="n">
        <f aca="false">IF(Z$8=1,0,IF(Z$295=1,MIN(MAX(0,N(V_LC_Lim)-Y$301),MAX(0,Z$298-Z$297)),0)*Z$9)</f>
        <v>0</v>
      </c>
      <c r="AA299" s="48" t="n">
        <f aca="false">IF(AA$8=1,0,IF(AA$295=1,MIN(MAX(0,N(V_LC_Lim)-Z$301),MAX(0,AA$298-AA$297)),0)*AA$9)</f>
        <v>0</v>
      </c>
      <c r="AB299" s="48" t="n">
        <f aca="false">IF(AB$8=1,0,IF(AB$295=1,MIN(MAX(0,N(V_LC_Lim)-AA$301),MAX(0,AB$298-AB$297)),0)*AB$9)</f>
        <v>0</v>
      </c>
      <c r="AC299" s="48" t="n">
        <f aca="false">IF(AC$8=1,0,IF(AC$295=1,MIN(MAX(0,N(V_LC_Lim)-AB$301),MAX(0,AC$298-AC$297)),0)*AC$9)</f>
        <v>0</v>
      </c>
      <c r="AD299" s="48" t="n">
        <f aca="false">IF(AD$8=1,0,IF(AD$295=1,MIN(MAX(0,N(V_LC_Lim)-AC$301),MAX(0,AD$298-AD$297)),0)*AD$9)</f>
        <v>0</v>
      </c>
      <c r="AE299" s="48" t="n">
        <f aca="false">IF(AE$8=1,0,IF(AE$295=1,MIN(MAX(0,N(V_LC_Lim)-AD$301),MAX(0,AE$298-AE$297)),0)*AE$9)</f>
        <v>0</v>
      </c>
      <c r="AF299" s="48" t="n">
        <f aca="false">IF(AF$8=1,0,IF(AF$295=1,MIN(MAX(0,N(V_LC_Lim)-AE$301),MAX(0,AF$298-AF$297)),0)*AF$9)</f>
        <v>0</v>
      </c>
      <c r="AG299" s="48" t="n">
        <f aca="false">IF(AG$8=1,0,IF(AG$295=1,MIN(MAX(0,N(V_LC_Lim)-AF$301),MAX(0,AG$298-AG$297)),0)*AG$9)</f>
        <v>0</v>
      </c>
      <c r="AH299" s="48" t="n">
        <f aca="false">IF(AH$8=1,0,IF(AH$295=1,MIN(MAX(0,N(V_LC_Lim)-AG$301),MAX(0,AH$298-AH$297)),0)*AH$9)</f>
        <v>0</v>
      </c>
      <c r="AI299" s="48" t="n">
        <f aca="false">IF(AI$8=1,0,IF(AI$295=1,MIN(MAX(0,N(V_LC_Lim)-AH$301),MAX(0,AI$298-AI$297)),0)*AI$9)</f>
        <v>0</v>
      </c>
      <c r="AJ299" s="48" t="n">
        <f aca="false">IF(AJ$8=1,0,IF(AJ$295=1,MIN(MAX(0,N(V_LC_Lim)-AI$301),MAX(0,AJ$298-AJ$297)),0)*AJ$9)</f>
        <v>0</v>
      </c>
      <c r="AK299" s="48" t="n">
        <f aca="false">IF(AK$8=1,0,IF(AK$295=1,MIN(MAX(0,N(V_LC_Lim)-AJ$301),MAX(0,AK$298-AK$297)),0)*AK$9)</f>
        <v>0</v>
      </c>
      <c r="AL299" s="48" t="n">
        <f aca="false">IF(AL$8=1,0,IF(AL$295=1,MIN(MAX(0,N(V_LC_Lim)-AK$301),MAX(0,AL$298-AL$297)),0)*AL$9)</f>
        <v>0</v>
      </c>
      <c r="AM299" s="48" t="n">
        <f aca="false">IF(AM$8=1,0,IF(AM$295=1,MIN(MAX(0,N(V_LC_Lim)-AL$301),MAX(0,AM$298-AM$297)),0)*AM$9)</f>
        <v>0</v>
      </c>
      <c r="AN299" s="48" t="n">
        <f aca="false">IF(AN$8=1,0,IF(AN$295=1,MIN(MAX(0,N(V_LC_Lim)-AM$301),MAX(0,AN$298-AN$297)),0)*AN$9)</f>
        <v>0</v>
      </c>
      <c r="AO299" s="48" t="n">
        <f aca="false">IF(AO$8=1,0,IF(AO$295=1,MIN(MAX(0,N(V_LC_Lim)-AN$301),MAX(0,AO$298-AO$297)),0)*AO$9)</f>
        <v>0</v>
      </c>
      <c r="AP299" s="48" t="n">
        <f aca="false">IF(AP$8=1,0,IF(AP$295=1,MIN(MAX(0,N(V_LC_Lim)-AO$301),MAX(0,AP$298-AP$297)),0)*AP$9)</f>
        <v>0</v>
      </c>
      <c r="AQ299" s="48" t="n">
        <f aca="false">IF(AQ$8=1,0,IF(AQ$295=1,MIN(MAX(0,N(V_LC_Lim)-AP$301),MAX(0,AQ$298-AQ$297)),0)*AQ$9)</f>
        <v>0</v>
      </c>
      <c r="AR299" s="48" t="n">
        <f aca="false">IF(AR$8=1,0,IF(AR$295=1,MIN(MAX(0,N(V_LC_Lim)-AQ$301),MAX(0,AR$298-AR$297)),0)*AR$9)</f>
        <v>0</v>
      </c>
      <c r="AS299" s="48" t="n">
        <f aca="false">IF(AS$8=1,0,IF(AS$295=1,MIN(MAX(0,N(V_LC_Lim)-AR$301),MAX(0,AS$298-AS$297)),0)*AS$9)</f>
        <v>0</v>
      </c>
      <c r="AT299" s="48" t="n">
        <f aca="false">IF(AT$8=1,0,IF(AT$295=1,MIN(MAX(0,N(V_LC_Lim)-AS$301),MAX(0,AT$298-AT$297)),0)*AT$9)</f>
        <v>0</v>
      </c>
      <c r="AU299" s="48" t="n">
        <f aca="false">IF(AU$8=1,0,IF(AU$295=1,MIN(MAX(0,N(V_LC_Lim)-AT$301),MAX(0,AU$298-AU$297)),0)*AU$9)</f>
        <v>0</v>
      </c>
      <c r="AV299" s="48" t="n">
        <f aca="false">IF(AV$8=1,0,IF(AV$295=1,MIN(MAX(0,N(V_LC_Lim)-AU$301),MAX(0,AV$298-AV$297)),0)*AV$9)</f>
        <v>0</v>
      </c>
      <c r="AW299" s="48" t="n">
        <f aca="false">IF(AW$8=1,0,IF(AW$295=1,MIN(MAX(0,N(V_LC_Lim)-AV$301),MAX(0,AW$298-AW$297)),0)*AW$9)</f>
        <v>0</v>
      </c>
      <c r="AX299" s="48" t="n">
        <f aca="false">IF(AX$8=1,0,IF(AX$295=1,MIN(MAX(0,N(V_LC_Lim)-AW$301),MAX(0,AX$298-AX$297)),0)*AX$9)</f>
        <v>0</v>
      </c>
      <c r="AY299" s="48" t="n">
        <f aca="false">IF(AY$8=1,0,IF(AY$295=1,MIN(MAX(0,N(V_LC_Lim)-AX$301),MAX(0,AY$298-AY$297)),0)*AY$9)</f>
        <v>0</v>
      </c>
      <c r="AZ299" s="48" t="n">
        <f aca="false">IF(AZ$8=1,0,IF(AZ$295=1,MIN(MAX(0,N(V_LC_Lim)-AY$301),MAX(0,AZ$298-AZ$297)),0)*AZ$9)</f>
        <v>0</v>
      </c>
      <c r="BA299" s="48" t="n">
        <f aca="false">IF(BA$8=1,0,IF(BA$295=1,MIN(MAX(0,N(V_LC_Lim)-AZ$301),MAX(0,BA$298-BA$297)),0)*BA$9)</f>
        <v>0</v>
      </c>
      <c r="BB299" s="48" t="n">
        <f aca="false">IF(BB$8=1,0,IF(BB$295=1,MIN(MAX(0,N(V_LC_Lim)-BA$301),MAX(0,BB$298-BB$297)),0)*BB$9)</f>
        <v>0</v>
      </c>
      <c r="BC299" s="48" t="n">
        <f aca="false">IF(BC$8=1,0,IF(BC$295=1,MIN(MAX(0,N(V_LC_Lim)-BB$301),MAX(0,BC$298-BC$297)),0)*BC$9)</f>
        <v>0</v>
      </c>
      <c r="BD299" s="48" t="n">
        <f aca="false">IF(BD$8=1,0,IF(BD$295=1,MIN(MAX(0,N(V_LC_Lim)-BC$301),MAX(0,BD$298-BD$297)),0)*BD$9)</f>
        <v>0</v>
      </c>
      <c r="BE299" s="48" t="n">
        <f aca="false">IF(BE$8=1,0,IF(BE$295=1,MIN(MAX(0,N(V_LC_Lim)-BD$301),MAX(0,BE$298-BE$297)),0)*BE$9)</f>
        <v>0</v>
      </c>
      <c r="BF299" s="48" t="n">
        <f aca="false">IF(BF$8=1,0,IF(BF$295=1,MIN(MAX(0,N(V_LC_Lim)-BE$301),MAX(0,BF$298-BF$297)),0)*BF$9)</f>
        <v>0</v>
      </c>
      <c r="BG299" s="48" t="n">
        <f aca="false">IF(BG$8=1,0,IF(BG$295=1,MIN(MAX(0,N(V_LC_Lim)-BF$301),MAX(0,BG$298-BG$297)),0)*BG$9)</f>
        <v>0</v>
      </c>
      <c r="BH299" s="48" t="n">
        <f aca="false">IF(BH$8=1,0,IF(BH$295=1,MIN(MAX(0,N(V_LC_Lim)-BG$301),MAX(0,BH$298-BH$297)),0)*BH$9)</f>
        <v>0</v>
      </c>
      <c r="BI299" s="48" t="n">
        <f aca="false">IF(BI$8=1,0,IF(BI$295=1,MIN(MAX(0,N(V_LC_Lim)-BH$301),MAX(0,BI$298-BI$297)),0)*BI$9)</f>
        <v>0</v>
      </c>
      <c r="BJ299" s="48" t="n">
        <f aca="false">IF(BJ$8=1,0,IF(BJ$295=1,MIN(MAX(0,N(V_LC_Lim)-BI$301),MAX(0,BJ$298-BJ$297)),0)*BJ$9)</f>
        <v>0</v>
      </c>
      <c r="BK299" s="48" t="n">
        <f aca="false">IF(BK$8=1,0,IF(BK$295=1,MIN(MAX(0,N(V_LC_Lim)-BJ$301),MAX(0,BK$298-BK$297)),0)*BK$9)</f>
        <v>0</v>
      </c>
      <c r="BL299" s="48" t="n">
        <f aca="false">IF(BL$8=1,0,IF(BL$295=1,MIN(MAX(0,N(V_LC_Lim)-BK$301),MAX(0,BL$298-BL$297)),0)*BL$9)</f>
        <v>0</v>
      </c>
      <c r="BM299" s="48" t="n">
        <f aca="false">IF(BM$8=1,0,IF(BM$295=1,MIN(MAX(0,N(V_LC_Lim)-BL$301),MAX(0,BM$298-BM$297)),0)*BM$9)</f>
        <v>0</v>
      </c>
      <c r="BN299" s="48" t="n">
        <f aca="false">IF(BN$8=1,0,IF(BN$295=1,MIN(MAX(0,N(V_LC_Lim)-BM$301),MAX(0,BN$298-BN$297)),0)*BN$9)</f>
        <v>0</v>
      </c>
      <c r="BO299" s="48" t="n">
        <f aca="false">IF(BO$8=1,0,IF(BO$295=1,MIN(MAX(0,N(V_LC_Lim)-BN$301),MAX(0,BO$298-BO$297)),0)*BO$9)</f>
        <v>0</v>
      </c>
      <c r="BP299" s="48" t="n">
        <f aca="false">IF(BP$8=1,0,IF(BP$295=1,MIN(MAX(0,N(V_LC_Lim)-BO$301),MAX(0,BP$298-BP$297)),0)*BP$9)</f>
        <v>0</v>
      </c>
      <c r="BQ299" s="48" t="n">
        <f aca="false">IF(BQ$8=1,0,IF(BQ$295=1,MIN(MAX(0,N(V_LC_Lim)-BP$301),MAX(0,BQ$298-BQ$297)),0)*BQ$9)</f>
        <v>0</v>
      </c>
      <c r="BR299" s="48" t="n">
        <f aca="false">IF(BR$8=1,0,IF(BR$295=1,MIN(MAX(0,N(V_LC_Lim)-BQ$301),MAX(0,BR$298-BR$297)),0)*BR$9)</f>
        <v>0</v>
      </c>
      <c r="BS299" s="48" t="n">
        <f aca="false">IF(BS$8=1,0,IF(BS$295=1,MIN(MAX(0,N(V_LC_Lim)-BR$301),MAX(0,BS$298-BS$297)),0)*BS$9)</f>
        <v>0</v>
      </c>
      <c r="BT299" s="48" t="n">
        <f aca="false">IF(BT$8=1,0,IF(BT$295=1,MIN(MAX(0,N(V_LC_Lim)-BS$301),MAX(0,BT$298-BT$297)),0)*BT$9)</f>
        <v>0</v>
      </c>
      <c r="BU299" s="48" t="n">
        <f aca="false">IF(BU$8=1,0,IF(BU$295=1,MIN(MAX(0,N(V_LC_Lim)-BT$301),MAX(0,BU$298-BU$297)),0)*BU$9)</f>
        <v>0</v>
      </c>
      <c r="BV299" s="48" t="n">
        <f aca="false">IF(BV$8=1,0,IF(BV$295=1,MIN(MAX(0,N(V_LC_Lim)-BU$301),MAX(0,BV$298-BV$297)),0)*BV$9)</f>
        <v>0</v>
      </c>
      <c r="BW299" s="48" t="n">
        <f aca="false">IF(BW$8=1,0,IF(BW$295=1,MIN(MAX(0,N(V_LC_Lim)-BV$301),MAX(0,BW$298-BW$297)),0)*BW$9)</f>
        <v>0</v>
      </c>
      <c r="BX299" s="48" t="n">
        <f aca="false">IF(BX$8=1,0,IF(BX$295=1,MIN(MAX(0,N(V_LC_Lim)-BW$301),MAX(0,BX$298-BX$297)),0)*BX$9)</f>
        <v>0</v>
      </c>
      <c r="BY299" s="48" t="n">
        <f aca="false">IF(BY$8=1,0,IF(BY$295=1,MIN(MAX(0,N(V_LC_Lim)-BX$301),MAX(0,BY$298-BY$297)),0)*BY$9)</f>
        <v>0</v>
      </c>
      <c r="BZ299" s="48" t="n">
        <f aca="false">IF(BZ$8=1,0,IF(BZ$295=1,MIN(MAX(0,N(V_LC_Lim)-BY$301),MAX(0,BZ$298-BZ$297)),0)*BZ$9)</f>
        <v>0</v>
      </c>
      <c r="CA299" s="48" t="n">
        <f aca="false">IF(CA$8=1,0,IF(CA$295=1,MIN(MAX(0,N(V_LC_Lim)-BZ$301),MAX(0,CA$298-CA$297)),0)*CA$9)</f>
        <v>0</v>
      </c>
      <c r="CB299" s="48" t="n">
        <f aca="false">IF(CB$8=1,0,IF(CB$295=1,MIN(MAX(0,N(V_LC_Lim)-CA$301),MAX(0,CB$298-CB$297)),0)*CB$9)</f>
        <v>0</v>
      </c>
      <c r="CC299" s="48" t="n">
        <f aca="false">IF(CC$8=1,0,IF(CC$295=1,MIN(MAX(0,N(V_LC_Lim)-CB$301),MAX(0,CC$298-CC$297)),0)*CC$9)</f>
        <v>0</v>
      </c>
      <c r="CD299" s="48" t="n">
        <f aca="false">IF(CD$8=1,0,IF(CD$295=1,MIN(MAX(0,N(V_LC_Lim)-CC$301),MAX(0,CD$298-CD$297)),0)*CD$9)</f>
        <v>0</v>
      </c>
      <c r="CE299" s="48" t="n">
        <f aca="false">IF(CE$8=1,0,IF(CE$295=1,MIN(MAX(0,N(V_LC_Lim)-CD$301),MAX(0,CE$298-CE$297)),0)*CE$9)</f>
        <v>0</v>
      </c>
      <c r="CF299" s="48" t="n">
        <f aca="false">IF(CF$8=1,0,IF(CF$295=1,MIN(MAX(0,N(V_LC_Lim)-CE$301),MAX(0,CF$298-CF$297)),0)*CF$9)</f>
        <v>0</v>
      </c>
      <c r="CG299" s="48" t="n">
        <f aca="false">IF(CG$8=1,0,IF(CG$295=1,MIN(MAX(0,N(V_LC_Lim)-CF$301),MAX(0,CG$298-CG$297)),0)*CG$9)</f>
        <v>0</v>
      </c>
      <c r="CH299" s="48" t="n">
        <f aca="false">IF(CH$8=1,0,IF(CH$295=1,MIN(MAX(0,N(V_LC_Lim)-CG$301),MAX(0,CH$298-CH$297)),0)*CH$9)</f>
        <v>0</v>
      </c>
      <c r="CI299" s="48" t="n">
        <f aca="false">IF(CI$8=1,0,IF(CI$295=1,MIN(MAX(0,N(V_LC_Lim)-CH$301),MAX(0,CI$298-CI$297)),0)*CI$9)</f>
        <v>0</v>
      </c>
      <c r="CJ299" s="48" t="n">
        <f aca="false">IF(CJ$8=1,0,IF(CJ$295=1,MIN(MAX(0,N(V_LC_Lim)-CI$301),MAX(0,CJ$298-CJ$297)),0)*CJ$9)</f>
        <v>0</v>
      </c>
      <c r="CK299" s="48" t="n">
        <f aca="false">IF(CK$8=1,0,IF(CK$295=1,MIN(MAX(0,N(V_LC_Lim)-CJ$301),MAX(0,CK$298-CK$297)),0)*CK$9)</f>
        <v>0</v>
      </c>
      <c r="CL299" s="48" t="n">
        <f aca="false">IF(CL$8=1,0,IF(CL$295=1,MIN(MAX(0,N(V_LC_Lim)-CK$301),MAX(0,CL$298-CL$297)),0)*CL$9)</f>
        <v>0</v>
      </c>
      <c r="CM299" s="48" t="n">
        <f aca="false">IF(CM$8=1,0,IF(CM$295=1,MIN(MAX(0,N(V_LC_Lim)-CL$301),MAX(0,CM$298-CM$297)),0)*CM$9)</f>
        <v>0</v>
      </c>
      <c r="CN299" s="48" t="n">
        <f aca="false">IF(CN$8=1,0,IF(CN$295=1,MIN(MAX(0,N(V_LC_Lim)-CM$301),MAX(0,CN$298-CN$297)),0)*CN$9)</f>
        <v>0</v>
      </c>
      <c r="CO299" s="48" t="n">
        <f aca="false">IF(CO$8=1,0,IF(CO$295=1,MIN(MAX(0,N(V_LC_Lim)-CN$301),MAX(0,CO$298-CO$297)),0)*CO$9)</f>
        <v>0</v>
      </c>
      <c r="CP299" s="48" t="n">
        <f aca="false">IF(CP$8=1,0,IF(CP$295=1,MIN(MAX(0,N(V_LC_Lim)-CO$301),MAX(0,CP$298-CP$297)),0)*CP$9)</f>
        <v>0</v>
      </c>
      <c r="CQ299" s="48" t="n">
        <f aca="false">IF(CQ$8=1,0,IF(CQ$295=1,MIN(MAX(0,N(V_LC_Lim)-CP$301),MAX(0,CQ$298-CQ$297)),0)*CQ$9)</f>
        <v>0</v>
      </c>
      <c r="CR299" s="48" t="n">
        <f aca="false">IF(CR$8=1,0,IF(CR$295=1,MIN(MAX(0,N(V_LC_Lim)-CQ$301),MAX(0,CR$298-CR$297)),0)*CR$9)</f>
        <v>0</v>
      </c>
      <c r="CS299" s="48" t="n">
        <f aca="false">IF(CS$8=1,0,IF(CS$295=1,MIN(MAX(0,N(V_LC_Lim)-CR$301),MAX(0,CS$298-CS$297)),0)*CS$9)</f>
        <v>0</v>
      </c>
      <c r="CT299" s="48" t="n">
        <f aca="false">IF(CT$8=1,0,IF(CT$295=1,MIN(MAX(0,N(V_LC_Lim)-CS$301),MAX(0,CT$298-CT$297)),0)*CT$9)</f>
        <v>0</v>
      </c>
      <c r="CU299" s="48" t="n">
        <f aca="false">IF(CU$8=1,0,IF(CU$295=1,MIN(MAX(0,N(V_LC_Lim)-CT$301),MAX(0,CU$298-CU$297)),0)*CU$9)</f>
        <v>0</v>
      </c>
      <c r="CV299" s="48" t="n">
        <f aca="false">IF(CV$8=1,0,IF(CV$295=1,MIN(MAX(0,N(V_LC_Lim)-CU$301),MAX(0,CV$298-CV$297)),0)*CV$9)</f>
        <v>0</v>
      </c>
      <c r="CW299" s="48" t="n">
        <f aca="false">IF(CW$8=1,0,IF(CW$295=1,MIN(MAX(0,N(V_LC_Lim)-CV$301),MAX(0,CW$298-CW$297)),0)*CW$9)</f>
        <v>0</v>
      </c>
      <c r="CX299" s="48" t="n">
        <f aca="false">IF(CX$8=1,0,IF(CX$295=1,MIN(MAX(0,N(V_LC_Lim)-CW$301),MAX(0,CX$298-CX$297)),0)*CX$9)</f>
        <v>0</v>
      </c>
      <c r="CY299" s="48" t="n">
        <f aca="false">IF(CY$8=1,0,IF(CY$295=1,MIN(MAX(0,N(V_LC_Lim)-CX$301),MAX(0,CY$298-CY$297)),0)*CY$9)</f>
        <v>0</v>
      </c>
      <c r="CZ299" s="48" t="n">
        <f aca="false">IF(CZ$8=1,0,IF(CZ$295=1,MIN(MAX(0,N(V_LC_Lim)-CY$301),MAX(0,CZ$298-CZ$297)),0)*CZ$9)</f>
        <v>0</v>
      </c>
      <c r="DA299" s="48" t="n">
        <f aca="false">IF(DA$8=1,0,IF(DA$295=1,MIN(MAX(0,N(V_LC_Lim)-CZ$301),MAX(0,DA$298-DA$297)),0)*DA$9)</f>
        <v>0</v>
      </c>
      <c r="DB299" s="48" t="n">
        <f aca="false">IF(DB$8=1,0,IF(DB$295=1,MIN(MAX(0,N(V_LC_Lim)-DA$301),MAX(0,DB$298-DB$297)),0)*DB$9)</f>
        <v>0</v>
      </c>
      <c r="DC299" s="48" t="n">
        <f aca="false">IF(DC$8=1,0,IF(DC$295=1,MIN(MAX(0,N(V_LC_Lim)-DB$301),MAX(0,DC$298-DC$297)),0)*DC$9)</f>
        <v>0</v>
      </c>
      <c r="DD299" s="48" t="n">
        <f aca="false">IF(DD$8=1,0,IF(DD$295=1,MIN(MAX(0,N(V_LC_Lim)-DC$301),MAX(0,DD$298-DD$297)),0)*DD$9)</f>
        <v>0</v>
      </c>
      <c r="DE299" s="48" t="n">
        <f aca="false">IF(DE$8=1,0,IF(DE$295=1,MIN(MAX(0,N(V_LC_Lim)-DD$301),MAX(0,DE$298-DE$297)),0)*DE$9)</f>
        <v>0</v>
      </c>
      <c r="DF299" s="48" t="n">
        <f aca="false">IF(DF$8=1,0,IF(DF$295=1,MIN(MAX(0,N(V_LC_Lim)-DE$301),MAX(0,DF$298-DF$297)),0)*DF$9)</f>
        <v>0</v>
      </c>
      <c r="DG299" s="48" t="n">
        <f aca="false">IF(DG$8=1,0,IF(DG$295=1,MIN(MAX(0,N(V_LC_Lim)-DF$301),MAX(0,DG$298-DG$297)),0)*DG$9)</f>
        <v>0</v>
      </c>
      <c r="DH299" s="48" t="n">
        <f aca="false">IF(DH$8=1,0,IF(DH$295=1,MIN(MAX(0,N(V_LC_Lim)-DG$301),MAX(0,DH$298-DH$297)),0)*DH$9)</f>
        <v>0</v>
      </c>
      <c r="DI299" s="48" t="n">
        <f aca="false">IF(DI$8=1,0,IF(DI$295=1,MIN(MAX(0,N(V_LC_Lim)-DH$301),MAX(0,DI$298-DI$297)),0)*DI$9)</f>
        <v>0</v>
      </c>
      <c r="DJ299" s="48" t="n">
        <f aca="false">IF(DJ$8=1,0,IF(DJ$295=1,MIN(MAX(0,N(V_LC_Lim)-DI$301),MAX(0,DJ$298-DJ$297)),0)*DJ$9)</f>
        <v>0</v>
      </c>
      <c r="DK299" s="48" t="n">
        <f aca="false">IF(DK$8=1,0,IF(DK$295=1,MIN(MAX(0,N(V_LC_Lim)-DJ$301),MAX(0,DK$298-DK$297)),0)*DK$9)</f>
        <v>0</v>
      </c>
      <c r="DL299" s="48" t="n">
        <f aca="false">IF(DL$8=1,0,IF(DL$295=1,MIN(MAX(0,N(V_LC_Lim)-DK$301),MAX(0,DL$298-DL$297)),0)*DL$9)</f>
        <v>0</v>
      </c>
      <c r="DM299" s="48" t="n">
        <f aca="false">IF(DM$8=1,0,IF(DM$295=1,MIN(MAX(0,N(V_LC_Lim)-DL$301),MAX(0,DM$298-DM$297)),0)*DM$9)</f>
        <v>0</v>
      </c>
      <c r="DN299" s="48" t="n">
        <f aca="false">IF(DN$8=1,0,IF(DN$295=1,MIN(MAX(0,N(V_LC_Lim)-DM$301),MAX(0,DN$298-DN$297)),0)*DN$9)</f>
        <v>0</v>
      </c>
      <c r="DO299" s="48" t="n">
        <f aca="false">IF(DO$8=1,0,IF(DO$295=1,MIN(MAX(0,N(V_LC_Lim)-DN$301),MAX(0,DO$298-DO$297)),0)*DO$9)</f>
        <v>0</v>
      </c>
      <c r="DP299" s="48" t="n">
        <f aca="false">IF(DP$8=1,0,IF(DP$295=1,MIN(MAX(0,N(V_LC_Lim)-DO$301),MAX(0,DP$298-DP$297)),0)*DP$9)</f>
        <v>0</v>
      </c>
      <c r="DQ299" s="48" t="n">
        <f aca="false">IF(DQ$8=1,0,IF(DQ$295=1,MIN(MAX(0,N(V_LC_Lim)-DP$301),MAX(0,DQ$298-DQ$297)),0)*DQ$9)</f>
        <v>0</v>
      </c>
      <c r="DR299" s="48" t="n">
        <f aca="false">IF(DR$8=1,0,IF(DR$295=1,MIN(MAX(0,N(V_LC_Lim)-DQ$301),MAX(0,DR$298-DR$297)),0)*DR$9)</f>
        <v>0</v>
      </c>
      <c r="DS299" s="48" t="n">
        <f aca="false">IF(DS$8=1,0,IF(DS$295=1,MIN(MAX(0,N(V_LC_Lim)-DR$301),MAX(0,DS$298-DS$297)),0)*DS$9)</f>
        <v>0</v>
      </c>
      <c r="DT299" s="48" t="n">
        <f aca="false">IF(DT$8=1,0,IF(DT$295=1,MIN(MAX(0,N(V_LC_Lim)-DS$301),MAX(0,DT$298-DT$297)),0)*DT$9)</f>
        <v>0</v>
      </c>
      <c r="DU299" s="48" t="n">
        <f aca="false">IF(DU$8=1,0,IF(DU$295=1,MIN(MAX(0,N(V_LC_Lim)-DT$301),MAX(0,DU$298-DU$297)),0)*DU$9)</f>
        <v>0</v>
      </c>
      <c r="DV299" s="48" t="n">
        <f aca="false">IF(DV$8=1,0,IF(DV$295=1,MIN(MAX(0,N(V_LC_Lim)-DU$301),MAX(0,DV$298-DV$297)),0)*DV$9)</f>
        <v>0</v>
      </c>
      <c r="DW299" s="48" t="n">
        <f aca="false">IF(DW$8=1,0,IF(DW$295=1,MIN(MAX(0,N(V_LC_Lim)-DV$301),MAX(0,DW$298-DW$297)),0)*DW$9)</f>
        <v>0</v>
      </c>
      <c r="DX299" s="48" t="n">
        <f aca="false">IF(DX$8=1,0,IF(DX$295=1,MIN(MAX(0,N(V_LC_Lim)-DW$301),MAX(0,DX$298-DX$297)),0)*DX$9)</f>
        <v>0</v>
      </c>
      <c r="DY299" s="48" t="n">
        <f aca="false">IF(DY$8=1,0,IF(DY$295=1,MIN(MAX(0,N(V_LC_Lim)-DX$301),MAX(0,DY$298-DY$297)),0)*DY$9)</f>
        <v>0</v>
      </c>
      <c r="DZ299" s="48" t="n">
        <f aca="false">IF(DZ$8=1,0,IF(DZ$295=1,MIN(MAX(0,N(V_LC_Lim)-DY$301),MAX(0,DZ$298-DZ$297)),0)*DZ$9)</f>
        <v>0</v>
      </c>
      <c r="EA299" s="48" t="n">
        <f aca="false">IF(EA$8=1,0,IF(EA$295=1,MIN(MAX(0,N(V_LC_Lim)-DZ$301),MAX(0,EA$298-EA$297)),0)*EA$9)</f>
        <v>0</v>
      </c>
      <c r="EB299" s="48" t="n">
        <f aca="false">IF(EB$8=1,0,IF(EB$295=1,MIN(MAX(0,N(V_LC_Lim)-EA$301),MAX(0,EB$298-EB$297)),0)*EB$9)</f>
        <v>0</v>
      </c>
      <c r="EC299" s="48" t="n">
        <f aca="false">IF(EC$8=1,0,IF(EC$295=1,MIN(MAX(0,N(V_LC_Lim)-EB$301),MAX(0,EC$298-EC$297)),0)*EC$9)</f>
        <v>0</v>
      </c>
      <c r="ED299" s="48" t="n">
        <f aca="false">IF(ED$8=1,0,IF(ED$295=1,MIN(MAX(0,N(V_LC_Lim)-EC$301),MAX(0,ED$298-ED$297)),0)*ED$9)</f>
        <v>0</v>
      </c>
      <c r="EE299" s="48" t="n">
        <f aca="false">IF(EE$8=1,0,IF(EE$295=1,MIN(MAX(0,N(V_LC_Lim)-ED$301),MAX(0,EE$298-EE$297)),0)*EE$9)</f>
        <v>0</v>
      </c>
      <c r="EF299" s="48" t="n">
        <f aca="false">IF(EF$8=1,0,IF(EF$295=1,MIN(MAX(0,N(V_LC_Lim)-EE$301),MAX(0,EF$298-EF$297)),0)*EF$9)</f>
        <v>0</v>
      </c>
      <c r="EG299" s="48" t="n">
        <f aca="false">IF(EG$8=1,0,IF(EG$295=1,MIN(MAX(0,N(V_LC_Lim)-EF$301),MAX(0,EG$298-EG$297)),0)*EG$9)</f>
        <v>0</v>
      </c>
      <c r="EH299" s="48" t="n">
        <f aca="false">IF(EH$8=1,0,IF(EH$295=1,MIN(MAX(0,N(V_LC_Lim)-EG$301),MAX(0,EH$298-EH$297)),0)*EH$9)</f>
        <v>0</v>
      </c>
      <c r="EI299" s="48" t="n">
        <f aca="false">IF(EI$8=1,0,IF(EI$295=1,MIN(MAX(0,N(V_LC_Lim)-EH$301),MAX(0,EI$298-EI$297)),0)*EI$9)</f>
        <v>0</v>
      </c>
      <c r="EJ299" s="48" t="n">
        <f aca="false">IF(EJ$8=1,0,IF(EJ$295=1,MIN(MAX(0,N(V_LC_Lim)-EI$301),MAX(0,EJ$298-EJ$297)),0)*EJ$9)</f>
        <v>0</v>
      </c>
      <c r="EK299" s="48" t="n">
        <f aca="false">IF(EK$8=1,0,IF(EK$295=1,MIN(MAX(0,N(V_LC_Lim)-EJ$301),MAX(0,EK$298-EK$297)),0)*EK$9)</f>
        <v>0</v>
      </c>
      <c r="EL299" s="48" t="n">
        <f aca="false">IF(EL$8=1,0,IF(EL$295=1,MIN(MAX(0,N(V_LC_Lim)-EK$301),MAX(0,EL$298-EL$297)),0)*EL$9)</f>
        <v>0</v>
      </c>
      <c r="EM299" s="48" t="n">
        <f aca="false">IF(EM$8=1,0,IF(EM$295=1,MIN(MAX(0,N(V_LC_Lim)-EL$301),MAX(0,EM$298-EM$297)),0)*EM$9)</f>
        <v>0</v>
      </c>
      <c r="EN299" s="48" t="n">
        <f aca="false">IF(EN$8=1,0,IF(EN$295=1,MIN(MAX(0,N(V_LC_Lim)-EM$301),MAX(0,EN$298-EN$297)),0)*EN$9)</f>
        <v>0</v>
      </c>
      <c r="EO299" s="48" t="n">
        <f aca="false">IF(EO$8=1,0,IF(EO$295=1,MIN(MAX(0,N(V_LC_Lim)-EN$301),MAX(0,EO$298-EO$297)),0)*EO$9)</f>
        <v>0</v>
      </c>
      <c r="EP299" s="48" t="n">
        <f aca="false">IF(EP$8=1,0,IF(EP$295=1,MIN(MAX(0,N(V_LC_Lim)-EO$301),MAX(0,EP$298-EP$297)),0)*EP$9)</f>
        <v>0</v>
      </c>
      <c r="EQ299" s="48" t="n">
        <f aca="false">IF(EQ$8=1,0,IF(EQ$295=1,MIN(MAX(0,N(V_LC_Lim)-EP$301),MAX(0,EQ$298-EQ$297)),0)*EQ$9)</f>
        <v>0</v>
      </c>
      <c r="ER299" s="48" t="n">
        <f aca="false">IF(ER$8=1,0,IF(ER$295=1,MIN(MAX(0,N(V_LC_Lim)-EQ$301),MAX(0,ER$298-ER$297)),0)*ER$9)</f>
        <v>0</v>
      </c>
      <c r="ES299" s="48" t="n">
        <f aca="false">IF(ES$8=1,0,IF(ES$295=1,MIN(MAX(0,N(V_LC_Lim)-ER$301),MAX(0,ES$298-ES$297)),0)*ES$9)</f>
        <v>0</v>
      </c>
    </row>
    <row r="300" customFormat="false" ht="15" hidden="false" customHeight="false" outlineLevel="0" collapsed="false">
      <c r="A300" s="11" t="s">
        <v>1417</v>
      </c>
      <c r="B300" s="15" t="s">
        <v>1251</v>
      </c>
      <c r="C300" s="15" t="s">
        <v>508</v>
      </c>
      <c r="E300" s="54" t="n">
        <f aca="false">SUM(F300:ES300)</f>
        <v>0</v>
      </c>
      <c r="F300" s="48" t="n">
        <f aca="false">IF(F$8=1,0,IF(F$295=1,MIN(0,MAX(0,F$297-F$298)),0)*F$9)</f>
        <v>0</v>
      </c>
      <c r="G300" s="48" t="n">
        <f aca="false">IF(G$8=1,0,IF(G$295=1,MIN(F$301,MAX(0,G$297-G$298)),F$301)*G$9)</f>
        <v>0</v>
      </c>
      <c r="H300" s="48" t="n">
        <f aca="false">IF(H$8=1,0,IF(H$295=1,MIN(G$301,MAX(0,H$297-H$298)),G$301)*H$9)</f>
        <v>0</v>
      </c>
      <c r="I300" s="48" t="n">
        <f aca="false">IF(I$8=1,0,IF(I$295=1,MIN(H$301,MAX(0,I$297-I$298)),H$301)*I$9)</f>
        <v>0</v>
      </c>
      <c r="J300" s="48" t="n">
        <f aca="false">IF(J$8=1,0,IF(J$295=1,MIN(I$301,MAX(0,J$297-J$298)),I$301)*J$9)</f>
        <v>0</v>
      </c>
      <c r="K300" s="48" t="n">
        <f aca="false">IF(K$8=1,0,IF(K$295=1,MIN(J$301,MAX(0,K$297-K$298)),J$301)*K$9)</f>
        <v>0</v>
      </c>
      <c r="L300" s="48" t="n">
        <f aca="false">IF(L$8=1,0,IF(L$295=1,MIN(K$301,MAX(0,L$297-L$298)),K$301)*L$9)</f>
        <v>0</v>
      </c>
      <c r="M300" s="48" t="n">
        <f aca="false">IF(M$8=1,0,IF(M$295=1,MIN(L$301,MAX(0,M$297-M$298)),L$301)*M$9)</f>
        <v>0</v>
      </c>
      <c r="N300" s="48" t="n">
        <f aca="false">IF(N$8=1,0,IF(N$295=1,MIN(M$301,MAX(0,N$297-N$298)),M$301)*N$9)</f>
        <v>0</v>
      </c>
      <c r="O300" s="48" t="n">
        <f aca="false">IF(O$8=1,0,IF(O$295=1,MIN(N$301,MAX(0,O$297-O$298)),N$301)*O$9)</f>
        <v>0</v>
      </c>
      <c r="P300" s="48" t="n">
        <f aca="false">IF(P$8=1,0,IF(P$295=1,MIN(O$301,MAX(0,P$297-P$298)),O$301)*P$9)</f>
        <v>0</v>
      </c>
      <c r="Q300" s="48" t="n">
        <f aca="false">IF(Q$8=1,0,IF(Q$295=1,MIN(P$301,MAX(0,Q$297-Q$298)),P$301)*Q$9)</f>
        <v>0</v>
      </c>
      <c r="R300" s="48" t="n">
        <f aca="false">IF(R$8=1,0,IF(R$295=1,MIN(Q$301,MAX(0,R$297-R$298)),Q$301)*R$9)</f>
        <v>0</v>
      </c>
      <c r="S300" s="48" t="n">
        <f aca="false">IF(S$8=1,0,IF(S$295=1,MIN(R$301,MAX(0,S$297-S$298)),R$301)*S$9)</f>
        <v>0</v>
      </c>
      <c r="T300" s="48" t="n">
        <f aca="false">IF(T$8=1,0,IF(T$295=1,MIN(S$301,MAX(0,T$297-T$298)),S$301)*T$9)</f>
        <v>0</v>
      </c>
      <c r="U300" s="48" t="n">
        <f aca="false">IF(U$8=1,0,IF(U$295=1,MIN(T$301,MAX(0,U$297-U$298)),T$301)*U$9)</f>
        <v>0</v>
      </c>
      <c r="V300" s="48" t="n">
        <f aca="false">IF(V$8=1,0,IF(V$295=1,MIN(U$301,MAX(0,V$297-V$298)),U$301)*V$9)</f>
        <v>0</v>
      </c>
      <c r="W300" s="48" t="n">
        <f aca="false">IF(W$8=1,0,IF(W$295=1,MIN(V$301,MAX(0,W$297-W$298)),V$301)*W$9)</f>
        <v>0</v>
      </c>
      <c r="X300" s="48" t="n">
        <f aca="false">IF(X$8=1,0,IF(X$295=1,MIN(W$301,MAX(0,X$297-X$298)),W$301)*X$9)</f>
        <v>0</v>
      </c>
      <c r="Y300" s="48" t="n">
        <f aca="false">IF(Y$8=1,0,IF(Y$295=1,MIN(X$301,MAX(0,Y$297-Y$298)),X$301)*Y$9)</f>
        <v>0</v>
      </c>
      <c r="Z300" s="48" t="n">
        <f aca="false">IF(Z$8=1,0,IF(Z$295=1,MIN(Y$301,MAX(0,Z$297-Z$298)),Y$301)*Z$9)</f>
        <v>0</v>
      </c>
      <c r="AA300" s="48" t="n">
        <f aca="false">IF(AA$8=1,0,IF(AA$295=1,MIN(Z$301,MAX(0,AA$297-AA$298)),Z$301)*AA$9)</f>
        <v>0</v>
      </c>
      <c r="AB300" s="48" t="n">
        <f aca="false">IF(AB$8=1,0,IF(AB$295=1,MIN(AA$301,MAX(0,AB$297-AB$298)),AA$301)*AB$9)</f>
        <v>0</v>
      </c>
      <c r="AC300" s="48" t="n">
        <f aca="false">IF(AC$8=1,0,IF(AC$295=1,MIN(AB$301,MAX(0,AC$297-AC$298)),AB$301)*AC$9)</f>
        <v>0</v>
      </c>
      <c r="AD300" s="48" t="n">
        <f aca="false">IF(AD$8=1,0,IF(AD$295=1,MIN(AC$301,MAX(0,AD$297-AD$298)),AC$301)*AD$9)</f>
        <v>0</v>
      </c>
      <c r="AE300" s="48" t="n">
        <f aca="false">IF(AE$8=1,0,IF(AE$295=1,MIN(AD$301,MAX(0,AE$297-AE$298)),AD$301)*AE$9)</f>
        <v>0</v>
      </c>
      <c r="AF300" s="48" t="n">
        <f aca="false">IF(AF$8=1,0,IF(AF$295=1,MIN(AE$301,MAX(0,AF$297-AF$298)),AE$301)*AF$9)</f>
        <v>0</v>
      </c>
      <c r="AG300" s="48" t="n">
        <f aca="false">IF(AG$8=1,0,IF(AG$295=1,MIN(AF$301,MAX(0,AG$297-AG$298)),AF$301)*AG$9)</f>
        <v>0</v>
      </c>
      <c r="AH300" s="48" t="n">
        <f aca="false">IF(AH$8=1,0,IF(AH$295=1,MIN(AG$301,MAX(0,AH$297-AH$298)),AG$301)*AH$9)</f>
        <v>0</v>
      </c>
      <c r="AI300" s="48" t="n">
        <f aca="false">IF(AI$8=1,0,IF(AI$295=1,MIN(AH$301,MAX(0,AI$297-AI$298)),AH$301)*AI$9)</f>
        <v>0</v>
      </c>
      <c r="AJ300" s="48" t="n">
        <f aca="false">IF(AJ$8=1,0,IF(AJ$295=1,MIN(AI$301,MAX(0,AJ$297-AJ$298)),AI$301)*AJ$9)</f>
        <v>0</v>
      </c>
      <c r="AK300" s="48" t="n">
        <f aca="false">IF(AK$8=1,0,IF(AK$295=1,MIN(AJ$301,MAX(0,AK$297-AK$298)),AJ$301)*AK$9)</f>
        <v>0</v>
      </c>
      <c r="AL300" s="48" t="n">
        <f aca="false">IF(AL$8=1,0,IF(AL$295=1,MIN(AK$301,MAX(0,AL$297-AL$298)),AK$301)*AL$9)</f>
        <v>0</v>
      </c>
      <c r="AM300" s="48" t="n">
        <f aca="false">IF(AM$8=1,0,IF(AM$295=1,MIN(AL$301,MAX(0,AM$297-AM$298)),AL$301)*AM$9)</f>
        <v>0</v>
      </c>
      <c r="AN300" s="48" t="n">
        <f aca="false">IF(AN$8=1,0,IF(AN$295=1,MIN(AM$301,MAX(0,AN$297-AN$298)),AM$301)*AN$9)</f>
        <v>0</v>
      </c>
      <c r="AO300" s="48" t="n">
        <f aca="false">IF(AO$8=1,0,IF(AO$295=1,MIN(AN$301,MAX(0,AO$297-AO$298)),AN$301)*AO$9)</f>
        <v>0</v>
      </c>
      <c r="AP300" s="48" t="n">
        <f aca="false">IF(AP$8=1,0,IF(AP$295=1,MIN(AO$301,MAX(0,AP$297-AP$298)),AO$301)*AP$9)</f>
        <v>0</v>
      </c>
      <c r="AQ300" s="48" t="n">
        <f aca="false">IF(AQ$8=1,0,IF(AQ$295=1,MIN(AP$301,MAX(0,AQ$297-AQ$298)),AP$301)*AQ$9)</f>
        <v>0</v>
      </c>
      <c r="AR300" s="48" t="n">
        <f aca="false">IF(AR$8=1,0,IF(AR$295=1,MIN(AQ$301,MAX(0,AR$297-AR$298)),AQ$301)*AR$9)</f>
        <v>0</v>
      </c>
      <c r="AS300" s="48" t="n">
        <f aca="false">IF(AS$8=1,0,IF(AS$295=1,MIN(AR$301,MAX(0,AS$297-AS$298)),AR$301)*AS$9)</f>
        <v>0</v>
      </c>
      <c r="AT300" s="48" t="n">
        <f aca="false">IF(AT$8=1,0,IF(AT$295=1,MIN(AS$301,MAX(0,AT$297-AT$298)),AS$301)*AT$9)</f>
        <v>0</v>
      </c>
      <c r="AU300" s="48" t="n">
        <f aca="false">IF(AU$8=1,0,IF(AU$295=1,MIN(AT$301,MAX(0,AU$297-AU$298)),AT$301)*AU$9)</f>
        <v>0</v>
      </c>
      <c r="AV300" s="48" t="n">
        <f aca="false">IF(AV$8=1,0,IF(AV$295=1,MIN(AU$301,MAX(0,AV$297-AV$298)),AU$301)*AV$9)</f>
        <v>0</v>
      </c>
      <c r="AW300" s="48" t="n">
        <f aca="false">IF(AW$8=1,0,IF(AW$295=1,MIN(AV$301,MAX(0,AW$297-AW$298)),AV$301)*AW$9)</f>
        <v>0</v>
      </c>
      <c r="AX300" s="48" t="n">
        <f aca="false">IF(AX$8=1,0,IF(AX$295=1,MIN(AW$301,MAX(0,AX$297-AX$298)),AW$301)*AX$9)</f>
        <v>0</v>
      </c>
      <c r="AY300" s="48" t="n">
        <f aca="false">IF(AY$8=1,0,IF(AY$295=1,MIN(AX$301,MAX(0,AY$297-AY$298)),AX$301)*AY$9)</f>
        <v>0</v>
      </c>
      <c r="AZ300" s="48" t="n">
        <f aca="false">IF(AZ$8=1,0,IF(AZ$295=1,MIN(AY$301,MAX(0,AZ$297-AZ$298)),AY$301)*AZ$9)</f>
        <v>0</v>
      </c>
      <c r="BA300" s="48" t="n">
        <f aca="false">IF(BA$8=1,0,IF(BA$295=1,MIN(AZ$301,MAX(0,BA$297-BA$298)),AZ$301)*BA$9)</f>
        <v>0</v>
      </c>
      <c r="BB300" s="48" t="n">
        <f aca="false">IF(BB$8=1,0,IF(BB$295=1,MIN(BA$301,MAX(0,BB$297-BB$298)),BA$301)*BB$9)</f>
        <v>0</v>
      </c>
      <c r="BC300" s="48" t="n">
        <f aca="false">IF(BC$8=1,0,IF(BC$295=1,MIN(BB$301,MAX(0,BC$297-BC$298)),BB$301)*BC$9)</f>
        <v>0</v>
      </c>
      <c r="BD300" s="48" t="n">
        <f aca="false">IF(BD$8=1,0,IF(BD$295=1,MIN(BC$301,MAX(0,BD$297-BD$298)),BC$301)*BD$9)</f>
        <v>0</v>
      </c>
      <c r="BE300" s="48" t="n">
        <f aca="false">IF(BE$8=1,0,IF(BE$295=1,MIN(BD$301,MAX(0,BE$297-BE$298)),BD$301)*BE$9)</f>
        <v>0</v>
      </c>
      <c r="BF300" s="48" t="n">
        <f aca="false">IF(BF$8=1,0,IF(BF$295=1,MIN(BE$301,MAX(0,BF$297-BF$298)),BE$301)*BF$9)</f>
        <v>0</v>
      </c>
      <c r="BG300" s="48" t="n">
        <f aca="false">IF(BG$8=1,0,IF(BG$295=1,MIN(BF$301,MAX(0,BG$297-BG$298)),BF$301)*BG$9)</f>
        <v>0</v>
      </c>
      <c r="BH300" s="48" t="n">
        <f aca="false">IF(BH$8=1,0,IF(BH$295=1,MIN(BG$301,MAX(0,BH$297-BH$298)),BG$301)*BH$9)</f>
        <v>0</v>
      </c>
      <c r="BI300" s="48" t="n">
        <f aca="false">IF(BI$8=1,0,IF(BI$295=1,MIN(BH$301,MAX(0,BI$297-BI$298)),BH$301)*BI$9)</f>
        <v>0</v>
      </c>
      <c r="BJ300" s="48" t="n">
        <f aca="false">IF(BJ$8=1,0,IF(BJ$295=1,MIN(BI$301,MAX(0,BJ$297-BJ$298)),BI$301)*BJ$9)</f>
        <v>0</v>
      </c>
      <c r="BK300" s="48" t="n">
        <f aca="false">IF(BK$8=1,0,IF(BK$295=1,MIN(BJ$301,MAX(0,BK$297-BK$298)),BJ$301)*BK$9)</f>
        <v>0</v>
      </c>
      <c r="BL300" s="48" t="n">
        <f aca="false">IF(BL$8=1,0,IF(BL$295=1,MIN(BK$301,MAX(0,BL$297-BL$298)),BK$301)*BL$9)</f>
        <v>0</v>
      </c>
      <c r="BM300" s="48" t="n">
        <f aca="false">IF(BM$8=1,0,IF(BM$295=1,MIN(BL$301,MAX(0,BM$297-BM$298)),BL$301)*BM$9)</f>
        <v>0</v>
      </c>
      <c r="BN300" s="48" t="n">
        <f aca="false">IF(BN$8=1,0,IF(BN$295=1,MIN(BM$301,MAX(0,BN$297-BN$298)),BM$301)*BN$9)</f>
        <v>0</v>
      </c>
      <c r="BO300" s="48" t="n">
        <f aca="false">IF(BO$8=1,0,IF(BO$295=1,MIN(BN$301,MAX(0,BO$297-BO$298)),BN$301)*BO$9)</f>
        <v>0</v>
      </c>
      <c r="BP300" s="48" t="n">
        <f aca="false">IF(BP$8=1,0,IF(BP$295=1,MIN(BO$301,MAX(0,BP$297-BP$298)),BO$301)*BP$9)</f>
        <v>0</v>
      </c>
      <c r="BQ300" s="48" t="n">
        <f aca="false">IF(BQ$8=1,0,IF(BQ$295=1,MIN(BP$301,MAX(0,BQ$297-BQ$298)),BP$301)*BQ$9)</f>
        <v>0</v>
      </c>
      <c r="BR300" s="48" t="n">
        <f aca="false">IF(BR$8=1,0,IF(BR$295=1,MIN(BQ$301,MAX(0,BR$297-BR$298)),BQ$301)*BR$9)</f>
        <v>0</v>
      </c>
      <c r="BS300" s="48" t="n">
        <f aca="false">IF(BS$8=1,0,IF(BS$295=1,MIN(BR$301,MAX(0,BS$297-BS$298)),BR$301)*BS$9)</f>
        <v>0</v>
      </c>
      <c r="BT300" s="48" t="n">
        <f aca="false">IF(BT$8=1,0,IF(BT$295=1,MIN(BS$301,MAX(0,BT$297-BT$298)),BS$301)*BT$9)</f>
        <v>0</v>
      </c>
      <c r="BU300" s="48" t="n">
        <f aca="false">IF(BU$8=1,0,IF(BU$295=1,MIN(BT$301,MAX(0,BU$297-BU$298)),BT$301)*BU$9)</f>
        <v>0</v>
      </c>
      <c r="BV300" s="48" t="n">
        <f aca="false">IF(BV$8=1,0,IF(BV$295=1,MIN(BU$301,MAX(0,BV$297-BV$298)),BU$301)*BV$9)</f>
        <v>0</v>
      </c>
      <c r="BW300" s="48" t="n">
        <f aca="false">IF(BW$8=1,0,IF(BW$295=1,MIN(BV$301,MAX(0,BW$297-BW$298)),BV$301)*BW$9)</f>
        <v>0</v>
      </c>
      <c r="BX300" s="48" t="n">
        <f aca="false">IF(BX$8=1,0,IF(BX$295=1,MIN(BW$301,MAX(0,BX$297-BX$298)),BW$301)*BX$9)</f>
        <v>0</v>
      </c>
      <c r="BY300" s="48" t="n">
        <f aca="false">IF(BY$8=1,0,IF(BY$295=1,MIN(BX$301,MAX(0,BY$297-BY$298)),BX$301)*BY$9)</f>
        <v>0</v>
      </c>
      <c r="BZ300" s="48" t="n">
        <f aca="false">IF(BZ$8=1,0,IF(BZ$295=1,MIN(BY$301,MAX(0,BZ$297-BZ$298)),BY$301)*BZ$9)</f>
        <v>0</v>
      </c>
      <c r="CA300" s="48" t="n">
        <f aca="false">IF(CA$8=1,0,IF(CA$295=1,MIN(BZ$301,MAX(0,CA$297-CA$298)),BZ$301)*CA$9)</f>
        <v>0</v>
      </c>
      <c r="CB300" s="48" t="n">
        <f aca="false">IF(CB$8=1,0,IF(CB$295=1,MIN(CA$301,MAX(0,CB$297-CB$298)),CA$301)*CB$9)</f>
        <v>0</v>
      </c>
      <c r="CC300" s="48" t="n">
        <f aca="false">IF(CC$8=1,0,IF(CC$295=1,MIN(CB$301,MAX(0,CC$297-CC$298)),CB$301)*CC$9)</f>
        <v>0</v>
      </c>
      <c r="CD300" s="48" t="n">
        <f aca="false">IF(CD$8=1,0,IF(CD$295=1,MIN(CC$301,MAX(0,CD$297-CD$298)),CC$301)*CD$9)</f>
        <v>0</v>
      </c>
      <c r="CE300" s="48" t="n">
        <f aca="false">IF(CE$8=1,0,IF(CE$295=1,MIN(CD$301,MAX(0,CE$297-CE$298)),CD$301)*CE$9)</f>
        <v>0</v>
      </c>
      <c r="CF300" s="48" t="n">
        <f aca="false">IF(CF$8=1,0,IF(CF$295=1,MIN(CE$301,MAX(0,CF$297-CF$298)),CE$301)*CF$9)</f>
        <v>0</v>
      </c>
      <c r="CG300" s="48" t="n">
        <f aca="false">IF(CG$8=1,0,IF(CG$295=1,MIN(CF$301,MAX(0,CG$297-CG$298)),CF$301)*CG$9)</f>
        <v>0</v>
      </c>
      <c r="CH300" s="48" t="n">
        <f aca="false">IF(CH$8=1,0,IF(CH$295=1,MIN(CG$301,MAX(0,CH$297-CH$298)),CG$301)*CH$9)</f>
        <v>0</v>
      </c>
      <c r="CI300" s="48" t="n">
        <f aca="false">IF(CI$8=1,0,IF(CI$295=1,MIN(CH$301,MAX(0,CI$297-CI$298)),CH$301)*CI$9)</f>
        <v>0</v>
      </c>
      <c r="CJ300" s="48" t="n">
        <f aca="false">IF(CJ$8=1,0,IF(CJ$295=1,MIN(CI$301,MAX(0,CJ$297-CJ$298)),CI$301)*CJ$9)</f>
        <v>0</v>
      </c>
      <c r="CK300" s="48" t="n">
        <f aca="false">IF(CK$8=1,0,IF(CK$295=1,MIN(CJ$301,MAX(0,CK$297-CK$298)),CJ$301)*CK$9)</f>
        <v>0</v>
      </c>
      <c r="CL300" s="48" t="n">
        <f aca="false">IF(CL$8=1,0,IF(CL$295=1,MIN(CK$301,MAX(0,CL$297-CL$298)),CK$301)*CL$9)</f>
        <v>0</v>
      </c>
      <c r="CM300" s="48" t="n">
        <f aca="false">IF(CM$8=1,0,IF(CM$295=1,MIN(CL$301,MAX(0,CM$297-CM$298)),CL$301)*CM$9)</f>
        <v>0</v>
      </c>
      <c r="CN300" s="48" t="n">
        <f aca="false">IF(CN$8=1,0,IF(CN$295=1,MIN(CM$301,MAX(0,CN$297-CN$298)),CM$301)*CN$9)</f>
        <v>0</v>
      </c>
      <c r="CO300" s="48" t="n">
        <f aca="false">IF(CO$8=1,0,IF(CO$295=1,MIN(CN$301,MAX(0,CO$297-CO$298)),CN$301)*CO$9)</f>
        <v>0</v>
      </c>
      <c r="CP300" s="48" t="n">
        <f aca="false">IF(CP$8=1,0,IF(CP$295=1,MIN(CO$301,MAX(0,CP$297-CP$298)),CO$301)*CP$9)</f>
        <v>0</v>
      </c>
      <c r="CQ300" s="48" t="n">
        <f aca="false">IF(CQ$8=1,0,IF(CQ$295=1,MIN(CP$301,MAX(0,CQ$297-CQ$298)),CP$301)*CQ$9)</f>
        <v>0</v>
      </c>
      <c r="CR300" s="48" t="n">
        <f aca="false">IF(CR$8=1,0,IF(CR$295=1,MIN(CQ$301,MAX(0,CR$297-CR$298)),CQ$301)*CR$9)</f>
        <v>0</v>
      </c>
      <c r="CS300" s="48" t="n">
        <f aca="false">IF(CS$8=1,0,IF(CS$295=1,MIN(CR$301,MAX(0,CS$297-CS$298)),CR$301)*CS$9)</f>
        <v>0</v>
      </c>
      <c r="CT300" s="48" t="n">
        <f aca="false">IF(CT$8=1,0,IF(CT$295=1,MIN(CS$301,MAX(0,CT$297-CT$298)),CS$301)*CT$9)</f>
        <v>0</v>
      </c>
      <c r="CU300" s="48" t="n">
        <f aca="false">IF(CU$8=1,0,IF(CU$295=1,MIN(CT$301,MAX(0,CU$297-CU$298)),CT$301)*CU$9)</f>
        <v>0</v>
      </c>
      <c r="CV300" s="48" t="n">
        <f aca="false">IF(CV$8=1,0,IF(CV$295=1,MIN(CU$301,MAX(0,CV$297-CV$298)),CU$301)*CV$9)</f>
        <v>0</v>
      </c>
      <c r="CW300" s="48" t="n">
        <f aca="false">IF(CW$8=1,0,IF(CW$295=1,MIN(CV$301,MAX(0,CW$297-CW$298)),CV$301)*CW$9)</f>
        <v>0</v>
      </c>
      <c r="CX300" s="48" t="n">
        <f aca="false">IF(CX$8=1,0,IF(CX$295=1,MIN(CW$301,MAX(0,CX$297-CX$298)),CW$301)*CX$9)</f>
        <v>0</v>
      </c>
      <c r="CY300" s="48" t="n">
        <f aca="false">IF(CY$8=1,0,IF(CY$295=1,MIN(CX$301,MAX(0,CY$297-CY$298)),CX$301)*CY$9)</f>
        <v>0</v>
      </c>
      <c r="CZ300" s="48" t="n">
        <f aca="false">IF(CZ$8=1,0,IF(CZ$295=1,MIN(CY$301,MAX(0,CZ$297-CZ$298)),CY$301)*CZ$9)</f>
        <v>0</v>
      </c>
      <c r="DA300" s="48" t="n">
        <f aca="false">IF(DA$8=1,0,IF(DA$295=1,MIN(CZ$301,MAX(0,DA$297-DA$298)),CZ$301)*DA$9)</f>
        <v>0</v>
      </c>
      <c r="DB300" s="48" t="n">
        <f aca="false">IF(DB$8=1,0,IF(DB$295=1,MIN(DA$301,MAX(0,DB$297-DB$298)),DA$301)*DB$9)</f>
        <v>0</v>
      </c>
      <c r="DC300" s="48" t="n">
        <f aca="false">IF(DC$8=1,0,IF(DC$295=1,MIN(DB$301,MAX(0,DC$297-DC$298)),DB$301)*DC$9)</f>
        <v>0</v>
      </c>
      <c r="DD300" s="48" t="n">
        <f aca="false">IF(DD$8=1,0,IF(DD$295=1,MIN(DC$301,MAX(0,DD$297-DD$298)),DC$301)*DD$9)</f>
        <v>0</v>
      </c>
      <c r="DE300" s="48" t="n">
        <f aca="false">IF(DE$8=1,0,IF(DE$295=1,MIN(DD$301,MAX(0,DE$297-DE$298)),DD$301)*DE$9)</f>
        <v>0</v>
      </c>
      <c r="DF300" s="48" t="n">
        <f aca="false">IF(DF$8=1,0,IF(DF$295=1,MIN(DE$301,MAX(0,DF$297-DF$298)),DE$301)*DF$9)</f>
        <v>0</v>
      </c>
      <c r="DG300" s="48" t="n">
        <f aca="false">IF(DG$8=1,0,IF(DG$295=1,MIN(DF$301,MAX(0,DG$297-DG$298)),DF$301)*DG$9)</f>
        <v>0</v>
      </c>
      <c r="DH300" s="48" t="n">
        <f aca="false">IF(DH$8=1,0,IF(DH$295=1,MIN(DG$301,MAX(0,DH$297-DH$298)),DG$301)*DH$9)</f>
        <v>0</v>
      </c>
      <c r="DI300" s="48" t="n">
        <f aca="false">IF(DI$8=1,0,IF(DI$295=1,MIN(DH$301,MAX(0,DI$297-DI$298)),DH$301)*DI$9)</f>
        <v>0</v>
      </c>
      <c r="DJ300" s="48" t="n">
        <f aca="false">IF(DJ$8=1,0,IF(DJ$295=1,MIN(DI$301,MAX(0,DJ$297-DJ$298)),DI$301)*DJ$9)</f>
        <v>0</v>
      </c>
      <c r="DK300" s="48" t="n">
        <f aca="false">IF(DK$8=1,0,IF(DK$295=1,MIN(DJ$301,MAX(0,DK$297-DK$298)),DJ$301)*DK$9)</f>
        <v>0</v>
      </c>
      <c r="DL300" s="48" t="n">
        <f aca="false">IF(DL$8=1,0,IF(DL$295=1,MIN(DK$301,MAX(0,DL$297-DL$298)),DK$301)*DL$9)</f>
        <v>0</v>
      </c>
      <c r="DM300" s="48" t="n">
        <f aca="false">IF(DM$8=1,0,IF(DM$295=1,MIN(DL$301,MAX(0,DM$297-DM$298)),DL$301)*DM$9)</f>
        <v>0</v>
      </c>
      <c r="DN300" s="48" t="n">
        <f aca="false">IF(DN$8=1,0,IF(DN$295=1,MIN(DM$301,MAX(0,DN$297-DN$298)),DM$301)*DN$9)</f>
        <v>0</v>
      </c>
      <c r="DO300" s="48" t="n">
        <f aca="false">IF(DO$8=1,0,IF(DO$295=1,MIN(DN$301,MAX(0,DO$297-DO$298)),DN$301)*DO$9)</f>
        <v>0</v>
      </c>
      <c r="DP300" s="48" t="n">
        <f aca="false">IF(DP$8=1,0,IF(DP$295=1,MIN(DO$301,MAX(0,DP$297-DP$298)),DO$301)*DP$9)</f>
        <v>0</v>
      </c>
      <c r="DQ300" s="48" t="n">
        <f aca="false">IF(DQ$8=1,0,IF(DQ$295=1,MIN(DP$301,MAX(0,DQ$297-DQ$298)),DP$301)*DQ$9)</f>
        <v>0</v>
      </c>
      <c r="DR300" s="48" t="n">
        <f aca="false">IF(DR$8=1,0,IF(DR$295=1,MIN(DQ$301,MAX(0,DR$297-DR$298)),DQ$301)*DR$9)</f>
        <v>0</v>
      </c>
      <c r="DS300" s="48" t="n">
        <f aca="false">IF(DS$8=1,0,IF(DS$295=1,MIN(DR$301,MAX(0,DS$297-DS$298)),DR$301)*DS$9)</f>
        <v>0</v>
      </c>
      <c r="DT300" s="48" t="n">
        <f aca="false">IF(DT$8=1,0,IF(DT$295=1,MIN(DS$301,MAX(0,DT$297-DT$298)),DS$301)*DT$9)</f>
        <v>0</v>
      </c>
      <c r="DU300" s="48" t="n">
        <f aca="false">IF(DU$8=1,0,IF(DU$295=1,MIN(DT$301,MAX(0,DU$297-DU$298)),DT$301)*DU$9)</f>
        <v>0</v>
      </c>
      <c r="DV300" s="48" t="n">
        <f aca="false">IF(DV$8=1,0,IF(DV$295=1,MIN(DU$301,MAX(0,DV$297-DV$298)),DU$301)*DV$9)</f>
        <v>0</v>
      </c>
      <c r="DW300" s="48" t="n">
        <f aca="false">IF(DW$8=1,0,IF(DW$295=1,MIN(DV$301,MAX(0,DW$297-DW$298)),DV$301)*DW$9)</f>
        <v>0</v>
      </c>
      <c r="DX300" s="48" t="n">
        <f aca="false">IF(DX$8=1,0,IF(DX$295=1,MIN(DW$301,MAX(0,DX$297-DX$298)),DW$301)*DX$9)</f>
        <v>0</v>
      </c>
      <c r="DY300" s="48" t="n">
        <f aca="false">IF(DY$8=1,0,IF(DY$295=1,MIN(DX$301,MAX(0,DY$297-DY$298)),DX$301)*DY$9)</f>
        <v>0</v>
      </c>
      <c r="DZ300" s="48" t="n">
        <f aca="false">IF(DZ$8=1,0,IF(DZ$295=1,MIN(DY$301,MAX(0,DZ$297-DZ$298)),DY$301)*DZ$9)</f>
        <v>0</v>
      </c>
      <c r="EA300" s="48" t="n">
        <f aca="false">IF(EA$8=1,0,IF(EA$295=1,MIN(DZ$301,MAX(0,EA$297-EA$298)),DZ$301)*EA$9)</f>
        <v>0</v>
      </c>
      <c r="EB300" s="48" t="n">
        <f aca="false">IF(EB$8=1,0,IF(EB$295=1,MIN(EA$301,MAX(0,EB$297-EB$298)),EA$301)*EB$9)</f>
        <v>0</v>
      </c>
      <c r="EC300" s="48" t="n">
        <f aca="false">IF(EC$8=1,0,IF(EC$295=1,MIN(EB$301,MAX(0,EC$297-EC$298)),EB$301)*EC$9)</f>
        <v>0</v>
      </c>
      <c r="ED300" s="48" t="n">
        <f aca="false">IF(ED$8=1,0,IF(ED$295=1,MIN(EC$301,MAX(0,ED$297-ED$298)),EC$301)*ED$9)</f>
        <v>0</v>
      </c>
      <c r="EE300" s="48" t="n">
        <f aca="false">IF(EE$8=1,0,IF(EE$295=1,MIN(ED$301,MAX(0,EE$297-EE$298)),ED$301)*EE$9)</f>
        <v>0</v>
      </c>
      <c r="EF300" s="48" t="n">
        <f aca="false">IF(EF$8=1,0,IF(EF$295=1,MIN(EE$301,MAX(0,EF$297-EF$298)),EE$301)*EF$9)</f>
        <v>0</v>
      </c>
      <c r="EG300" s="48" t="n">
        <f aca="false">IF(EG$8=1,0,IF(EG$295=1,MIN(EF$301,MAX(0,EG$297-EG$298)),EF$301)*EG$9)</f>
        <v>0</v>
      </c>
      <c r="EH300" s="48" t="n">
        <f aca="false">IF(EH$8=1,0,IF(EH$295=1,MIN(EG$301,MAX(0,EH$297-EH$298)),EG$301)*EH$9)</f>
        <v>0</v>
      </c>
      <c r="EI300" s="48" t="n">
        <f aca="false">IF(EI$8=1,0,IF(EI$295=1,MIN(EH$301,MAX(0,EI$297-EI$298)),EH$301)*EI$9)</f>
        <v>0</v>
      </c>
      <c r="EJ300" s="48" t="n">
        <f aca="false">IF(EJ$8=1,0,IF(EJ$295=1,MIN(EI$301,MAX(0,EJ$297-EJ$298)),EI$301)*EJ$9)</f>
        <v>0</v>
      </c>
      <c r="EK300" s="48" t="n">
        <f aca="false">IF(EK$8=1,0,IF(EK$295=1,MIN(EJ$301,MAX(0,EK$297-EK$298)),EJ$301)*EK$9)</f>
        <v>0</v>
      </c>
      <c r="EL300" s="48" t="n">
        <f aca="false">IF(EL$8=1,0,IF(EL$295=1,MIN(EK$301,MAX(0,EL$297-EL$298)),EK$301)*EL$9)</f>
        <v>0</v>
      </c>
      <c r="EM300" s="48" t="n">
        <f aca="false">IF(EM$8=1,0,IF(EM$295=1,MIN(EL$301,MAX(0,EM$297-EM$298)),EL$301)*EM$9)</f>
        <v>0</v>
      </c>
      <c r="EN300" s="48" t="n">
        <f aca="false">IF(EN$8=1,0,IF(EN$295=1,MIN(EM$301,MAX(0,EN$297-EN$298)),EM$301)*EN$9)</f>
        <v>0</v>
      </c>
      <c r="EO300" s="48" t="n">
        <f aca="false">IF(EO$8=1,0,IF(EO$295=1,MIN(EN$301,MAX(0,EO$297-EO$298)),EN$301)*EO$9)</f>
        <v>0</v>
      </c>
      <c r="EP300" s="48" t="n">
        <f aca="false">IF(EP$8=1,0,IF(EP$295=1,MIN(EO$301,MAX(0,EP$297-EP$298)),EO$301)*EP$9)</f>
        <v>0</v>
      </c>
      <c r="EQ300" s="48" t="n">
        <f aca="false">IF(EQ$8=1,0,IF(EQ$295=1,MIN(EP$301,MAX(0,EQ$297-EQ$298)),EP$301)*EQ$9)</f>
        <v>0</v>
      </c>
      <c r="ER300" s="48" t="n">
        <f aca="false">IF(ER$8=1,0,IF(ER$295=1,MIN(EQ$301,MAX(0,ER$297-ER$298)),EQ$301)*ER$9)</f>
        <v>0</v>
      </c>
      <c r="ES300" s="48" t="n">
        <f aca="false">IF(ES$8=1,0,IF(ES$295=1,MIN(ER$301,MAX(0,ES$297-ES$298)),ER$301)*ES$9)</f>
        <v>0</v>
      </c>
    </row>
    <row r="301" customFormat="false" ht="15" hidden="false" customHeight="false" outlineLevel="0" collapsed="false">
      <c r="A301" s="11" t="s">
        <v>1418</v>
      </c>
      <c r="B301" s="15" t="s">
        <v>1253</v>
      </c>
      <c r="C301" s="15" t="s">
        <v>508</v>
      </c>
      <c r="E301" s="54" t="n">
        <f aca="false">MAX(F301:ES301)</f>
        <v>0</v>
      </c>
      <c r="F301" s="48" t="n">
        <f aca="false">IF(F$8=1,IF(1=Corte,N(V_LC_Saldo0),0),0+F$299-F$300)</f>
        <v>0</v>
      </c>
      <c r="G301" s="48" t="n">
        <f aca="false">IF(G$8=1,IF(2=Corte,N(V_LC_Saldo0),0),F$301+G$299-G$300)</f>
        <v>0</v>
      </c>
      <c r="H301" s="48" t="n">
        <f aca="false">IF(H$8=1,IF(3=Corte,N(V_LC_Saldo0),0),G$301+H$299-H$300)</f>
        <v>0</v>
      </c>
      <c r="I301" s="48" t="n">
        <f aca="false">IF(I$8=1,IF(4=Corte,N(V_LC_Saldo0),0),H$301+I$299-I$300)</f>
        <v>0</v>
      </c>
      <c r="J301" s="48" t="n">
        <f aca="false">IF(J$8=1,IF(5=Corte,N(V_LC_Saldo0),0),I$301+J$299-J$300)</f>
        <v>0</v>
      </c>
      <c r="K301" s="48" t="n">
        <f aca="false">IF(K$8=1,IF(6=Corte,N(V_LC_Saldo0),0),J$301+K$299-K$300)</f>
        <v>0</v>
      </c>
      <c r="L301" s="48" t="n">
        <f aca="false">IF(L$8=1,IF(7=Corte,N(V_LC_Saldo0),0),K$301+L$299-L$300)</f>
        <v>0</v>
      </c>
      <c r="M301" s="48" t="n">
        <f aca="false">IF(M$8=1,IF(8=Corte,N(V_LC_Saldo0),0),L$301+M$299-M$300)</f>
        <v>0</v>
      </c>
      <c r="N301" s="48" t="n">
        <f aca="false">IF(N$8=1,IF(9=Corte,N(V_LC_Saldo0),0),M$301+N$299-N$300)</f>
        <v>0</v>
      </c>
      <c r="O301" s="48" t="n">
        <f aca="false">IF(O$8=1,IF(10=Corte,N(V_LC_Saldo0),0),N$301+O$299-O$300)</f>
        <v>0</v>
      </c>
      <c r="P301" s="48" t="n">
        <f aca="false">IF(P$8=1,IF(11=Corte,N(V_LC_Saldo0),0),O$301+P$299-P$300)</f>
        <v>0</v>
      </c>
      <c r="Q301" s="48" t="n">
        <f aca="false">IF(Q$8=1,IF(12=Corte,N(V_LC_Saldo0),0),P$301+Q$299-Q$300)</f>
        <v>0</v>
      </c>
      <c r="R301" s="48" t="n">
        <f aca="false">IF(R$8=1,IF(13=Corte,N(V_LC_Saldo0),0),Q$301+R$299-R$300)</f>
        <v>0</v>
      </c>
      <c r="S301" s="48" t="n">
        <f aca="false">IF(S$8=1,IF(14=Corte,N(V_LC_Saldo0),0),R$301+S$299-S$300)</f>
        <v>0</v>
      </c>
      <c r="T301" s="48" t="n">
        <f aca="false">IF(T$8=1,IF(15=Corte,N(V_LC_Saldo0),0),S$301+T$299-T$300)</f>
        <v>0</v>
      </c>
      <c r="U301" s="48" t="n">
        <f aca="false">IF(U$8=1,IF(16=Corte,N(V_LC_Saldo0),0),T$301+U$299-U$300)</f>
        <v>0</v>
      </c>
      <c r="V301" s="48" t="n">
        <f aca="false">IF(V$8=1,IF(17=Corte,N(V_LC_Saldo0),0),U$301+V$299-V$300)</f>
        <v>0</v>
      </c>
      <c r="W301" s="48" t="n">
        <f aca="false">IF(W$8=1,IF(18=Corte,N(V_LC_Saldo0),0),V$301+W$299-W$300)</f>
        <v>0</v>
      </c>
      <c r="X301" s="48" t="n">
        <f aca="false">IF(X$8=1,IF(19=Corte,N(V_LC_Saldo0),0),W$301+X$299-X$300)</f>
        <v>0</v>
      </c>
      <c r="Y301" s="48" t="n">
        <f aca="false">IF(Y$8=1,IF(20=Corte,N(V_LC_Saldo0),0),X$301+Y$299-Y$300)</f>
        <v>0</v>
      </c>
      <c r="Z301" s="48" t="n">
        <f aca="false">IF(Z$8=1,IF(21=Corte,N(V_LC_Saldo0),0),Y$301+Z$299-Z$300)</f>
        <v>0</v>
      </c>
      <c r="AA301" s="48" t="n">
        <f aca="false">IF(AA$8=1,IF(22=Corte,N(V_LC_Saldo0),0),Z$301+AA$299-AA$300)</f>
        <v>0</v>
      </c>
      <c r="AB301" s="48" t="n">
        <f aca="false">IF(AB$8=1,IF(23=Corte,N(V_LC_Saldo0),0),AA$301+AB$299-AB$300)</f>
        <v>0</v>
      </c>
      <c r="AC301" s="48" t="n">
        <f aca="false">IF(AC$8=1,IF(24=Corte,N(V_LC_Saldo0),0),AB$301+AC$299-AC$300)</f>
        <v>0</v>
      </c>
      <c r="AD301" s="48" t="n">
        <f aca="false">IF(AD$8=1,IF(25=Corte,N(V_LC_Saldo0),0),AC$301+AD$299-AD$300)</f>
        <v>0</v>
      </c>
      <c r="AE301" s="48" t="n">
        <f aca="false">IF(AE$8=1,IF(26=Corte,N(V_LC_Saldo0),0),AD$301+AE$299-AE$300)</f>
        <v>0</v>
      </c>
      <c r="AF301" s="48" t="n">
        <f aca="false">IF(AF$8=1,IF(27=Corte,N(V_LC_Saldo0),0),AE$301+AF$299-AF$300)</f>
        <v>0</v>
      </c>
      <c r="AG301" s="48" t="n">
        <f aca="false">IF(AG$8=1,IF(28=Corte,N(V_LC_Saldo0),0),AF$301+AG$299-AG$300)</f>
        <v>0</v>
      </c>
      <c r="AH301" s="48" t="n">
        <f aca="false">IF(AH$8=1,IF(29=Corte,N(V_LC_Saldo0),0),AG$301+AH$299-AH$300)</f>
        <v>0</v>
      </c>
      <c r="AI301" s="48" t="n">
        <f aca="false">IF(AI$8=1,IF(30=Corte,N(V_LC_Saldo0),0),AH$301+AI$299-AI$300)</f>
        <v>0</v>
      </c>
      <c r="AJ301" s="48" t="n">
        <f aca="false">IF(AJ$8=1,IF(31=Corte,N(V_LC_Saldo0),0),AI$301+AJ$299-AJ$300)</f>
        <v>0</v>
      </c>
      <c r="AK301" s="48" t="n">
        <f aca="false">IF(AK$8=1,IF(32=Corte,N(V_LC_Saldo0),0),AJ$301+AK$299-AK$300)</f>
        <v>0</v>
      </c>
      <c r="AL301" s="48" t="n">
        <f aca="false">IF(AL$8=1,IF(33=Corte,N(V_LC_Saldo0),0),AK$301+AL$299-AL$300)</f>
        <v>0</v>
      </c>
      <c r="AM301" s="48" t="n">
        <f aca="false">IF(AM$8=1,IF(34=Corte,N(V_LC_Saldo0),0),AL$301+AM$299-AM$300)</f>
        <v>0</v>
      </c>
      <c r="AN301" s="48" t="n">
        <f aca="false">IF(AN$8=1,IF(35=Corte,N(V_LC_Saldo0),0),AM$301+AN$299-AN$300)</f>
        <v>0</v>
      </c>
      <c r="AO301" s="48" t="n">
        <f aca="false">IF(AO$8=1,IF(36=Corte,N(V_LC_Saldo0),0),AN$301+AO$299-AO$300)</f>
        <v>0</v>
      </c>
      <c r="AP301" s="48" t="n">
        <f aca="false">IF(AP$8=1,IF(37=Corte,N(V_LC_Saldo0),0),AO$301+AP$299-AP$300)</f>
        <v>0</v>
      </c>
      <c r="AQ301" s="48" t="n">
        <f aca="false">IF(AQ$8=1,IF(38=Corte,N(V_LC_Saldo0),0),AP$301+AQ$299-AQ$300)</f>
        <v>0</v>
      </c>
      <c r="AR301" s="48" t="n">
        <f aca="false">IF(AR$8=1,IF(39=Corte,N(V_LC_Saldo0),0),AQ$301+AR$299-AR$300)</f>
        <v>0</v>
      </c>
      <c r="AS301" s="48" t="n">
        <f aca="false">IF(AS$8=1,IF(40=Corte,N(V_LC_Saldo0),0),AR$301+AS$299-AS$300)</f>
        <v>0</v>
      </c>
      <c r="AT301" s="48" t="n">
        <f aca="false">IF(AT$8=1,IF(41=Corte,N(V_LC_Saldo0),0),AS$301+AT$299-AT$300)</f>
        <v>0</v>
      </c>
      <c r="AU301" s="48" t="n">
        <f aca="false">IF(AU$8=1,IF(42=Corte,N(V_LC_Saldo0),0),AT$301+AU$299-AU$300)</f>
        <v>0</v>
      </c>
      <c r="AV301" s="48" t="n">
        <f aca="false">IF(AV$8=1,IF(43=Corte,N(V_LC_Saldo0),0),AU$301+AV$299-AV$300)</f>
        <v>0</v>
      </c>
      <c r="AW301" s="48" t="n">
        <f aca="false">IF(AW$8=1,IF(44=Corte,N(V_LC_Saldo0),0),AV$301+AW$299-AW$300)</f>
        <v>0</v>
      </c>
      <c r="AX301" s="48" t="n">
        <f aca="false">IF(AX$8=1,IF(45=Corte,N(V_LC_Saldo0),0),AW$301+AX$299-AX$300)</f>
        <v>0</v>
      </c>
      <c r="AY301" s="48" t="n">
        <f aca="false">IF(AY$8=1,IF(46=Corte,N(V_LC_Saldo0),0),AX$301+AY$299-AY$300)</f>
        <v>0</v>
      </c>
      <c r="AZ301" s="48" t="n">
        <f aca="false">IF(AZ$8=1,IF(47=Corte,N(V_LC_Saldo0),0),AY$301+AZ$299-AZ$300)</f>
        <v>0</v>
      </c>
      <c r="BA301" s="48" t="n">
        <f aca="false">IF(BA$8=1,IF(48=Corte,N(V_LC_Saldo0),0),AZ$301+BA$299-BA$300)</f>
        <v>0</v>
      </c>
      <c r="BB301" s="48" t="n">
        <f aca="false">IF(BB$8=1,IF(49=Corte,N(V_LC_Saldo0),0),BA$301+BB$299-BB$300)</f>
        <v>0</v>
      </c>
      <c r="BC301" s="48" t="n">
        <f aca="false">IF(BC$8=1,IF(50=Corte,N(V_LC_Saldo0),0),BB$301+BC$299-BC$300)</f>
        <v>0</v>
      </c>
      <c r="BD301" s="48" t="n">
        <f aca="false">IF(BD$8=1,IF(51=Corte,N(V_LC_Saldo0),0),BC$301+BD$299-BD$300)</f>
        <v>0</v>
      </c>
      <c r="BE301" s="48" t="n">
        <f aca="false">IF(BE$8=1,IF(52=Corte,N(V_LC_Saldo0),0),BD$301+BE$299-BE$300)</f>
        <v>0</v>
      </c>
      <c r="BF301" s="48" t="n">
        <f aca="false">IF(BF$8=1,IF(53=Corte,N(V_LC_Saldo0),0),BE$301+BF$299-BF$300)</f>
        <v>0</v>
      </c>
      <c r="BG301" s="48" t="n">
        <f aca="false">IF(BG$8=1,IF(54=Corte,N(V_LC_Saldo0),0),BF$301+BG$299-BG$300)</f>
        <v>0</v>
      </c>
      <c r="BH301" s="48" t="n">
        <f aca="false">IF(BH$8=1,IF(55=Corte,N(V_LC_Saldo0),0),BG$301+BH$299-BH$300)</f>
        <v>0</v>
      </c>
      <c r="BI301" s="48" t="n">
        <f aca="false">IF(BI$8=1,IF(56=Corte,N(V_LC_Saldo0),0),BH$301+BI$299-BI$300)</f>
        <v>0</v>
      </c>
      <c r="BJ301" s="48" t="n">
        <f aca="false">IF(BJ$8=1,IF(57=Corte,N(V_LC_Saldo0),0),BI$301+BJ$299-BJ$300)</f>
        <v>0</v>
      </c>
      <c r="BK301" s="48" t="n">
        <f aca="false">IF(BK$8=1,IF(58=Corte,N(V_LC_Saldo0),0),BJ$301+BK$299-BK$300)</f>
        <v>0</v>
      </c>
      <c r="BL301" s="48" t="n">
        <f aca="false">IF(BL$8=1,IF(59=Corte,N(V_LC_Saldo0),0),BK$301+BL$299-BL$300)</f>
        <v>0</v>
      </c>
      <c r="BM301" s="48" t="n">
        <f aca="false">IF(BM$8=1,IF(60=Corte,N(V_LC_Saldo0),0),BL$301+BM$299-BM$300)</f>
        <v>0</v>
      </c>
      <c r="BN301" s="48" t="n">
        <f aca="false">IF(BN$8=1,IF(61=Corte,N(V_LC_Saldo0),0),BM$301+BN$299-BN$300)</f>
        <v>0</v>
      </c>
      <c r="BO301" s="48" t="n">
        <f aca="false">IF(BO$8=1,IF(62=Corte,N(V_LC_Saldo0),0),BN$301+BO$299-BO$300)</f>
        <v>0</v>
      </c>
      <c r="BP301" s="48" t="n">
        <f aca="false">IF(BP$8=1,IF(63=Corte,N(V_LC_Saldo0),0),BO$301+BP$299-BP$300)</f>
        <v>0</v>
      </c>
      <c r="BQ301" s="48" t="n">
        <f aca="false">IF(BQ$8=1,IF(64=Corte,N(V_LC_Saldo0),0),BP$301+BQ$299-BQ$300)</f>
        <v>0</v>
      </c>
      <c r="BR301" s="48" t="n">
        <f aca="false">IF(BR$8=1,IF(65=Corte,N(V_LC_Saldo0),0),BQ$301+BR$299-BR$300)</f>
        <v>0</v>
      </c>
      <c r="BS301" s="48" t="n">
        <f aca="false">IF(BS$8=1,IF(66=Corte,N(V_LC_Saldo0),0),BR$301+BS$299-BS$300)</f>
        <v>0</v>
      </c>
      <c r="BT301" s="48" t="n">
        <f aca="false">IF(BT$8=1,IF(67=Corte,N(V_LC_Saldo0),0),BS$301+BT$299-BT$300)</f>
        <v>0</v>
      </c>
      <c r="BU301" s="48" t="n">
        <f aca="false">IF(BU$8=1,IF(68=Corte,N(V_LC_Saldo0),0),BT$301+BU$299-BU$300)</f>
        <v>0</v>
      </c>
      <c r="BV301" s="48" t="n">
        <f aca="false">IF(BV$8=1,IF(69=Corte,N(V_LC_Saldo0),0),BU$301+BV$299-BV$300)</f>
        <v>0</v>
      </c>
      <c r="BW301" s="48" t="n">
        <f aca="false">IF(BW$8=1,IF(70=Corte,N(V_LC_Saldo0),0),BV$301+BW$299-BW$300)</f>
        <v>0</v>
      </c>
      <c r="BX301" s="48" t="n">
        <f aca="false">IF(BX$8=1,IF(71=Corte,N(V_LC_Saldo0),0),BW$301+BX$299-BX$300)</f>
        <v>0</v>
      </c>
      <c r="BY301" s="48" t="n">
        <f aca="false">IF(BY$8=1,IF(72=Corte,N(V_LC_Saldo0),0),BX$301+BY$299-BY$300)</f>
        <v>0</v>
      </c>
      <c r="BZ301" s="48" t="n">
        <f aca="false">IF(BZ$8=1,IF(73=Corte,N(V_LC_Saldo0),0),BY$301+BZ$299-BZ$300)</f>
        <v>0</v>
      </c>
      <c r="CA301" s="48" t="n">
        <f aca="false">IF(CA$8=1,IF(74=Corte,N(V_LC_Saldo0),0),BZ$301+CA$299-CA$300)</f>
        <v>0</v>
      </c>
      <c r="CB301" s="48" t="n">
        <f aca="false">IF(CB$8=1,IF(75=Corte,N(V_LC_Saldo0),0),CA$301+CB$299-CB$300)</f>
        <v>0</v>
      </c>
      <c r="CC301" s="48" t="n">
        <f aca="false">IF(CC$8=1,IF(76=Corte,N(V_LC_Saldo0),0),CB$301+CC$299-CC$300)</f>
        <v>0</v>
      </c>
      <c r="CD301" s="48" t="n">
        <f aca="false">IF(CD$8=1,IF(77=Corte,N(V_LC_Saldo0),0),CC$301+CD$299-CD$300)</f>
        <v>0</v>
      </c>
      <c r="CE301" s="48" t="n">
        <f aca="false">IF(CE$8=1,IF(78=Corte,N(V_LC_Saldo0),0),CD$301+CE$299-CE$300)</f>
        <v>0</v>
      </c>
      <c r="CF301" s="48" t="n">
        <f aca="false">IF(CF$8=1,IF(79=Corte,N(V_LC_Saldo0),0),CE$301+CF$299-CF$300)</f>
        <v>0</v>
      </c>
      <c r="CG301" s="48" t="n">
        <f aca="false">IF(CG$8=1,IF(80=Corte,N(V_LC_Saldo0),0),CF$301+CG$299-CG$300)</f>
        <v>0</v>
      </c>
      <c r="CH301" s="48" t="n">
        <f aca="false">IF(CH$8=1,IF(81=Corte,N(V_LC_Saldo0),0),CG$301+CH$299-CH$300)</f>
        <v>0</v>
      </c>
      <c r="CI301" s="48" t="n">
        <f aca="false">IF(CI$8=1,IF(82=Corte,N(V_LC_Saldo0),0),CH$301+CI$299-CI$300)</f>
        <v>0</v>
      </c>
      <c r="CJ301" s="48" t="n">
        <f aca="false">IF(CJ$8=1,IF(83=Corte,N(V_LC_Saldo0),0),CI$301+CJ$299-CJ$300)</f>
        <v>0</v>
      </c>
      <c r="CK301" s="48" t="n">
        <f aca="false">IF(CK$8=1,IF(84=Corte,N(V_LC_Saldo0),0),CJ$301+CK$299-CK$300)</f>
        <v>0</v>
      </c>
      <c r="CL301" s="48" t="n">
        <f aca="false">IF(CL$8=1,IF(85=Corte,N(V_LC_Saldo0),0),CK$301+CL$299-CL$300)</f>
        <v>0</v>
      </c>
      <c r="CM301" s="48" t="n">
        <f aca="false">IF(CM$8=1,IF(86=Corte,N(V_LC_Saldo0),0),CL$301+CM$299-CM$300)</f>
        <v>0</v>
      </c>
      <c r="CN301" s="48" t="n">
        <f aca="false">IF(CN$8=1,IF(87=Corte,N(V_LC_Saldo0),0),CM$301+CN$299-CN$300)</f>
        <v>0</v>
      </c>
      <c r="CO301" s="48" t="n">
        <f aca="false">IF(CO$8=1,IF(88=Corte,N(V_LC_Saldo0),0),CN$301+CO$299-CO$300)</f>
        <v>0</v>
      </c>
      <c r="CP301" s="48" t="n">
        <f aca="false">IF(CP$8=1,IF(89=Corte,N(V_LC_Saldo0),0),CO$301+CP$299-CP$300)</f>
        <v>0</v>
      </c>
      <c r="CQ301" s="48" t="n">
        <f aca="false">IF(CQ$8=1,IF(90=Corte,N(V_LC_Saldo0),0),CP$301+CQ$299-CQ$300)</f>
        <v>0</v>
      </c>
      <c r="CR301" s="48" t="n">
        <f aca="false">IF(CR$8=1,IF(91=Corte,N(V_LC_Saldo0),0),CQ$301+CR$299-CR$300)</f>
        <v>0</v>
      </c>
      <c r="CS301" s="48" t="n">
        <f aca="false">IF(CS$8=1,IF(92=Corte,N(V_LC_Saldo0),0),CR$301+CS$299-CS$300)</f>
        <v>0</v>
      </c>
      <c r="CT301" s="48" t="n">
        <f aca="false">IF(CT$8=1,IF(93=Corte,N(V_LC_Saldo0),0),CS$301+CT$299-CT$300)</f>
        <v>0</v>
      </c>
      <c r="CU301" s="48" t="n">
        <f aca="false">IF(CU$8=1,IF(94=Corte,N(V_LC_Saldo0),0),CT$301+CU$299-CU$300)</f>
        <v>0</v>
      </c>
      <c r="CV301" s="48" t="n">
        <f aca="false">IF(CV$8=1,IF(95=Corte,N(V_LC_Saldo0),0),CU$301+CV$299-CV$300)</f>
        <v>0</v>
      </c>
      <c r="CW301" s="48" t="n">
        <f aca="false">IF(CW$8=1,IF(96=Corte,N(V_LC_Saldo0),0),CV$301+CW$299-CW$300)</f>
        <v>0</v>
      </c>
      <c r="CX301" s="48" t="n">
        <f aca="false">IF(CX$8=1,IF(97=Corte,N(V_LC_Saldo0),0),CW$301+CX$299-CX$300)</f>
        <v>0</v>
      </c>
      <c r="CY301" s="48" t="n">
        <f aca="false">IF(CY$8=1,IF(98=Corte,N(V_LC_Saldo0),0),CX$301+CY$299-CY$300)</f>
        <v>0</v>
      </c>
      <c r="CZ301" s="48" t="n">
        <f aca="false">IF(CZ$8=1,IF(99=Corte,N(V_LC_Saldo0),0),CY$301+CZ$299-CZ$300)</f>
        <v>0</v>
      </c>
      <c r="DA301" s="48" t="n">
        <f aca="false">IF(DA$8=1,IF(100=Corte,N(V_LC_Saldo0),0),CZ$301+DA$299-DA$300)</f>
        <v>0</v>
      </c>
      <c r="DB301" s="48" t="n">
        <f aca="false">IF(DB$8=1,IF(101=Corte,N(V_LC_Saldo0),0),DA$301+DB$299-DB$300)</f>
        <v>0</v>
      </c>
      <c r="DC301" s="48" t="n">
        <f aca="false">IF(DC$8=1,IF(102=Corte,N(V_LC_Saldo0),0),DB$301+DC$299-DC$300)</f>
        <v>0</v>
      </c>
      <c r="DD301" s="48" t="n">
        <f aca="false">IF(DD$8=1,IF(103=Corte,N(V_LC_Saldo0),0),DC$301+DD$299-DD$300)</f>
        <v>0</v>
      </c>
      <c r="DE301" s="48" t="n">
        <f aca="false">IF(DE$8=1,IF(104=Corte,N(V_LC_Saldo0),0),DD$301+DE$299-DE$300)</f>
        <v>0</v>
      </c>
      <c r="DF301" s="48" t="n">
        <f aca="false">IF(DF$8=1,IF(105=Corte,N(V_LC_Saldo0),0),DE$301+DF$299-DF$300)</f>
        <v>0</v>
      </c>
      <c r="DG301" s="48" t="n">
        <f aca="false">IF(DG$8=1,IF(106=Corte,N(V_LC_Saldo0),0),DF$301+DG$299-DG$300)</f>
        <v>0</v>
      </c>
      <c r="DH301" s="48" t="n">
        <f aca="false">IF(DH$8=1,IF(107=Corte,N(V_LC_Saldo0),0),DG$301+DH$299-DH$300)</f>
        <v>0</v>
      </c>
      <c r="DI301" s="48" t="n">
        <f aca="false">IF(DI$8=1,IF(108=Corte,N(V_LC_Saldo0),0),DH$301+DI$299-DI$300)</f>
        <v>0</v>
      </c>
      <c r="DJ301" s="48" t="n">
        <f aca="false">IF(DJ$8=1,IF(109=Corte,N(V_LC_Saldo0),0),DI$301+DJ$299-DJ$300)</f>
        <v>0</v>
      </c>
      <c r="DK301" s="48" t="n">
        <f aca="false">IF(DK$8=1,IF(110=Corte,N(V_LC_Saldo0),0),DJ$301+DK$299-DK$300)</f>
        <v>0</v>
      </c>
      <c r="DL301" s="48" t="n">
        <f aca="false">IF(DL$8=1,IF(111=Corte,N(V_LC_Saldo0),0),DK$301+DL$299-DL$300)</f>
        <v>0</v>
      </c>
      <c r="DM301" s="48" t="n">
        <f aca="false">IF(DM$8=1,IF(112=Corte,N(V_LC_Saldo0),0),DL$301+DM$299-DM$300)</f>
        <v>0</v>
      </c>
      <c r="DN301" s="48" t="n">
        <f aca="false">IF(DN$8=1,IF(113=Corte,N(V_LC_Saldo0),0),DM$301+DN$299-DN$300)</f>
        <v>0</v>
      </c>
      <c r="DO301" s="48" t="n">
        <f aca="false">IF(DO$8=1,IF(114=Corte,N(V_LC_Saldo0),0),DN$301+DO$299-DO$300)</f>
        <v>0</v>
      </c>
      <c r="DP301" s="48" t="n">
        <f aca="false">IF(DP$8=1,IF(115=Corte,N(V_LC_Saldo0),0),DO$301+DP$299-DP$300)</f>
        <v>0</v>
      </c>
      <c r="DQ301" s="48" t="n">
        <f aca="false">IF(DQ$8=1,IF(116=Corte,N(V_LC_Saldo0),0),DP$301+DQ$299-DQ$300)</f>
        <v>0</v>
      </c>
      <c r="DR301" s="48" t="n">
        <f aca="false">IF(DR$8=1,IF(117=Corte,N(V_LC_Saldo0),0),DQ$301+DR$299-DR$300)</f>
        <v>0</v>
      </c>
      <c r="DS301" s="48" t="n">
        <f aca="false">IF(DS$8=1,IF(118=Corte,N(V_LC_Saldo0),0),DR$301+DS$299-DS$300)</f>
        <v>0</v>
      </c>
      <c r="DT301" s="48" t="n">
        <f aca="false">IF(DT$8=1,IF(119=Corte,N(V_LC_Saldo0),0),DS$301+DT$299-DT$300)</f>
        <v>0</v>
      </c>
      <c r="DU301" s="48" t="n">
        <f aca="false">IF(DU$8=1,IF(120=Corte,N(V_LC_Saldo0),0),DT$301+DU$299-DU$300)</f>
        <v>0</v>
      </c>
      <c r="DV301" s="48" t="n">
        <f aca="false">IF(DV$8=1,IF(121=Corte,N(V_LC_Saldo0),0),DU$301+DV$299-DV$300)</f>
        <v>0</v>
      </c>
      <c r="DW301" s="48" t="n">
        <f aca="false">IF(DW$8=1,IF(122=Corte,N(V_LC_Saldo0),0),DV$301+DW$299-DW$300)</f>
        <v>0</v>
      </c>
      <c r="DX301" s="48" t="n">
        <f aca="false">IF(DX$8=1,IF(123=Corte,N(V_LC_Saldo0),0),DW$301+DX$299-DX$300)</f>
        <v>0</v>
      </c>
      <c r="DY301" s="48" t="n">
        <f aca="false">IF(DY$8=1,IF(124=Corte,N(V_LC_Saldo0),0),DX$301+DY$299-DY$300)</f>
        <v>0</v>
      </c>
      <c r="DZ301" s="48" t="n">
        <f aca="false">IF(DZ$8=1,IF(125=Corte,N(V_LC_Saldo0),0),DY$301+DZ$299-DZ$300)</f>
        <v>0</v>
      </c>
      <c r="EA301" s="48" t="n">
        <f aca="false">IF(EA$8=1,IF(126=Corte,N(V_LC_Saldo0),0),DZ$301+EA$299-EA$300)</f>
        <v>0</v>
      </c>
      <c r="EB301" s="48" t="n">
        <f aca="false">IF(EB$8=1,IF(127=Corte,N(V_LC_Saldo0),0),EA$301+EB$299-EB$300)</f>
        <v>0</v>
      </c>
      <c r="EC301" s="48" t="n">
        <f aca="false">IF(EC$8=1,IF(128=Corte,N(V_LC_Saldo0),0),EB$301+EC$299-EC$300)</f>
        <v>0</v>
      </c>
      <c r="ED301" s="48" t="n">
        <f aca="false">IF(ED$8=1,IF(129=Corte,N(V_LC_Saldo0),0),EC$301+ED$299-ED$300)</f>
        <v>0</v>
      </c>
      <c r="EE301" s="48" t="n">
        <f aca="false">IF(EE$8=1,IF(130=Corte,N(V_LC_Saldo0),0),ED$301+EE$299-EE$300)</f>
        <v>0</v>
      </c>
      <c r="EF301" s="48" t="n">
        <f aca="false">IF(EF$8=1,IF(131=Corte,N(V_LC_Saldo0),0),EE$301+EF$299-EF$300)</f>
        <v>0</v>
      </c>
      <c r="EG301" s="48" t="n">
        <f aca="false">IF(EG$8=1,IF(132=Corte,N(V_LC_Saldo0),0),EF$301+EG$299-EG$300)</f>
        <v>0</v>
      </c>
      <c r="EH301" s="48" t="n">
        <f aca="false">IF(EH$8=1,IF(133=Corte,N(V_LC_Saldo0),0),EG$301+EH$299-EH$300)</f>
        <v>0</v>
      </c>
      <c r="EI301" s="48" t="n">
        <f aca="false">IF(EI$8=1,IF(134=Corte,N(V_LC_Saldo0),0),EH$301+EI$299-EI$300)</f>
        <v>0</v>
      </c>
      <c r="EJ301" s="48" t="n">
        <f aca="false">IF(EJ$8=1,IF(135=Corte,N(V_LC_Saldo0),0),EI$301+EJ$299-EJ$300)</f>
        <v>0</v>
      </c>
      <c r="EK301" s="48" t="n">
        <f aca="false">IF(EK$8=1,IF(136=Corte,N(V_LC_Saldo0),0),EJ$301+EK$299-EK$300)</f>
        <v>0</v>
      </c>
      <c r="EL301" s="48" t="n">
        <f aca="false">IF(EL$8=1,IF(137=Corte,N(V_LC_Saldo0),0),EK$301+EL$299-EL$300)</f>
        <v>0</v>
      </c>
      <c r="EM301" s="48" t="n">
        <f aca="false">IF(EM$8=1,IF(138=Corte,N(V_LC_Saldo0),0),EL$301+EM$299-EM$300)</f>
        <v>0</v>
      </c>
      <c r="EN301" s="48" t="n">
        <f aca="false">IF(EN$8=1,IF(139=Corte,N(V_LC_Saldo0),0),EM$301+EN$299-EN$300)</f>
        <v>0</v>
      </c>
      <c r="EO301" s="48" t="n">
        <f aca="false">IF(EO$8=1,IF(140=Corte,N(V_LC_Saldo0),0),EN$301+EO$299-EO$300)</f>
        <v>0</v>
      </c>
      <c r="EP301" s="48" t="n">
        <f aca="false">IF(EP$8=1,IF(141=Corte,N(V_LC_Saldo0),0),EO$301+EP$299-EP$300)</f>
        <v>0</v>
      </c>
      <c r="EQ301" s="48" t="n">
        <f aca="false">IF(EQ$8=1,IF(142=Corte,N(V_LC_Saldo0),0),EP$301+EQ$299-EQ$300)</f>
        <v>0</v>
      </c>
      <c r="ER301" s="48" t="n">
        <f aca="false">IF(ER$8=1,IF(143=Corte,N(V_LC_Saldo0),0),EQ$301+ER$299-ER$300)</f>
        <v>0</v>
      </c>
      <c r="ES301" s="48" t="n">
        <f aca="false">IF(ES$8=1,IF(144=Corte,N(V_LC_Saldo0),0),ER$301+ES$299-ES$300)</f>
        <v>0</v>
      </c>
    </row>
    <row r="302" customFormat="false" ht="15" hidden="false" customHeight="false" outlineLevel="0" collapsed="false">
      <c r="A302" s="11" t="s">
        <v>1419</v>
      </c>
      <c r="B302" s="15" t="s">
        <v>1255</v>
      </c>
      <c r="C302" s="15" t="s">
        <v>508</v>
      </c>
      <c r="E302" s="54" t="n">
        <f aca="false">SUM(F302:ES302)</f>
        <v>2791587</v>
      </c>
      <c r="F302" s="48" t="n">
        <f aca="false">F$292+F$299</f>
        <v>2791587</v>
      </c>
      <c r="G302" s="48" t="n">
        <f aca="false">G$292+G$299</f>
        <v>0</v>
      </c>
      <c r="H302" s="48" t="n">
        <f aca="false">H$292+H$299</f>
        <v>0</v>
      </c>
      <c r="I302" s="48" t="n">
        <f aca="false">I$292+I$299</f>
        <v>0</v>
      </c>
      <c r="J302" s="48" t="n">
        <f aca="false">J$292+J$299</f>
        <v>0</v>
      </c>
      <c r="K302" s="48" t="n">
        <f aca="false">K$292+K$299</f>
        <v>0</v>
      </c>
      <c r="L302" s="48" t="n">
        <f aca="false">L$292+L$299</f>
        <v>0</v>
      </c>
      <c r="M302" s="48" t="n">
        <f aca="false">M$292+M$299</f>
        <v>0</v>
      </c>
      <c r="N302" s="48" t="n">
        <f aca="false">N$292+N$299</f>
        <v>0</v>
      </c>
      <c r="O302" s="48" t="n">
        <f aca="false">O$292+O$299</f>
        <v>0</v>
      </c>
      <c r="P302" s="48" t="n">
        <f aca="false">P$292+P$299</f>
        <v>0</v>
      </c>
      <c r="Q302" s="48" t="n">
        <f aca="false">Q$292+Q$299</f>
        <v>0</v>
      </c>
      <c r="R302" s="48" t="n">
        <f aca="false">R$292+R$299</f>
        <v>0</v>
      </c>
      <c r="S302" s="48" t="n">
        <f aca="false">S$292+S$299</f>
        <v>0</v>
      </c>
      <c r="T302" s="48" t="n">
        <f aca="false">T$292+T$299</f>
        <v>0</v>
      </c>
      <c r="U302" s="48" t="n">
        <f aca="false">U$292+U$299</f>
        <v>0</v>
      </c>
      <c r="V302" s="48" t="n">
        <f aca="false">V$292+V$299</f>
        <v>0</v>
      </c>
      <c r="W302" s="48" t="n">
        <f aca="false">W$292+W$299</f>
        <v>0</v>
      </c>
      <c r="X302" s="48" t="n">
        <f aca="false">X$292+X$299</f>
        <v>0</v>
      </c>
      <c r="Y302" s="48" t="n">
        <f aca="false">Y$292+Y$299</f>
        <v>0</v>
      </c>
      <c r="Z302" s="48" t="n">
        <f aca="false">Z$292+Z$299</f>
        <v>0</v>
      </c>
      <c r="AA302" s="48" t="n">
        <f aca="false">AA$292+AA$299</f>
        <v>0</v>
      </c>
      <c r="AB302" s="48" t="n">
        <f aca="false">AB$292+AB$299</f>
        <v>0</v>
      </c>
      <c r="AC302" s="48" t="n">
        <f aca="false">AC$292+AC$299</f>
        <v>0</v>
      </c>
      <c r="AD302" s="48" t="n">
        <f aca="false">AD$292+AD$299</f>
        <v>0</v>
      </c>
      <c r="AE302" s="48" t="n">
        <f aca="false">AE$292+AE$299</f>
        <v>0</v>
      </c>
      <c r="AF302" s="48" t="n">
        <f aca="false">AF$292+AF$299</f>
        <v>0</v>
      </c>
      <c r="AG302" s="48" t="n">
        <f aca="false">AG$292+AG$299</f>
        <v>0</v>
      </c>
      <c r="AH302" s="48" t="n">
        <f aca="false">AH$292+AH$299</f>
        <v>0</v>
      </c>
      <c r="AI302" s="48" t="n">
        <f aca="false">AI$292+AI$299</f>
        <v>0</v>
      </c>
      <c r="AJ302" s="48" t="n">
        <f aca="false">AJ$292+AJ$299</f>
        <v>0</v>
      </c>
      <c r="AK302" s="48" t="n">
        <f aca="false">AK$292+AK$299</f>
        <v>0</v>
      </c>
      <c r="AL302" s="48" t="n">
        <f aca="false">AL$292+AL$299</f>
        <v>0</v>
      </c>
      <c r="AM302" s="48" t="n">
        <f aca="false">AM$292+AM$299</f>
        <v>0</v>
      </c>
      <c r="AN302" s="48" t="n">
        <f aca="false">AN$292+AN$299</f>
        <v>0</v>
      </c>
      <c r="AO302" s="48" t="n">
        <f aca="false">AO$292+AO$299</f>
        <v>0</v>
      </c>
      <c r="AP302" s="48" t="n">
        <f aca="false">AP$292+AP$299</f>
        <v>0</v>
      </c>
      <c r="AQ302" s="48" t="n">
        <f aca="false">AQ$292+AQ$299</f>
        <v>0</v>
      </c>
      <c r="AR302" s="48" t="n">
        <f aca="false">AR$292+AR$299</f>
        <v>0</v>
      </c>
      <c r="AS302" s="48" t="n">
        <f aca="false">AS$292+AS$299</f>
        <v>0</v>
      </c>
      <c r="AT302" s="48" t="n">
        <f aca="false">AT$292+AT$299</f>
        <v>0</v>
      </c>
      <c r="AU302" s="48" t="n">
        <f aca="false">AU$292+AU$299</f>
        <v>0</v>
      </c>
      <c r="AV302" s="48" t="n">
        <f aca="false">AV$292+AV$299</f>
        <v>0</v>
      </c>
      <c r="AW302" s="48" t="n">
        <f aca="false">AW$292+AW$299</f>
        <v>0</v>
      </c>
      <c r="AX302" s="48" t="n">
        <f aca="false">AX$292+AX$299</f>
        <v>0</v>
      </c>
      <c r="AY302" s="48" t="n">
        <f aca="false">AY$292+AY$299</f>
        <v>0</v>
      </c>
      <c r="AZ302" s="48" t="n">
        <f aca="false">AZ$292+AZ$299</f>
        <v>0</v>
      </c>
      <c r="BA302" s="48" t="n">
        <f aca="false">BA$292+BA$299</f>
        <v>0</v>
      </c>
      <c r="BB302" s="48" t="n">
        <f aca="false">BB$292+BB$299</f>
        <v>0</v>
      </c>
      <c r="BC302" s="48" t="n">
        <f aca="false">BC$292+BC$299</f>
        <v>0</v>
      </c>
      <c r="BD302" s="48" t="n">
        <f aca="false">BD$292+BD$299</f>
        <v>0</v>
      </c>
      <c r="BE302" s="48" t="n">
        <f aca="false">BE$292+BE$299</f>
        <v>0</v>
      </c>
      <c r="BF302" s="48" t="n">
        <f aca="false">BF$292+BF$299</f>
        <v>0</v>
      </c>
      <c r="BG302" s="48" t="n">
        <f aca="false">BG$292+BG$299</f>
        <v>0</v>
      </c>
      <c r="BH302" s="48" t="n">
        <f aca="false">BH$292+BH$299</f>
        <v>0</v>
      </c>
      <c r="BI302" s="48" t="n">
        <f aca="false">BI$292+BI$299</f>
        <v>0</v>
      </c>
      <c r="BJ302" s="48" t="n">
        <f aca="false">BJ$292+BJ$299</f>
        <v>0</v>
      </c>
      <c r="BK302" s="48" t="n">
        <f aca="false">BK$292+BK$299</f>
        <v>0</v>
      </c>
      <c r="BL302" s="48" t="n">
        <f aca="false">BL$292+BL$299</f>
        <v>0</v>
      </c>
      <c r="BM302" s="48" t="n">
        <f aca="false">BM$292+BM$299</f>
        <v>0</v>
      </c>
      <c r="BN302" s="48" t="n">
        <f aca="false">BN$292+BN$299</f>
        <v>0</v>
      </c>
      <c r="BO302" s="48" t="n">
        <f aca="false">BO$292+BO$299</f>
        <v>0</v>
      </c>
      <c r="BP302" s="48" t="n">
        <f aca="false">BP$292+BP$299</f>
        <v>0</v>
      </c>
      <c r="BQ302" s="48" t="n">
        <f aca="false">BQ$292+BQ$299</f>
        <v>0</v>
      </c>
      <c r="BR302" s="48" t="n">
        <f aca="false">BR$292+BR$299</f>
        <v>0</v>
      </c>
      <c r="BS302" s="48" t="n">
        <f aca="false">BS$292+BS$299</f>
        <v>0</v>
      </c>
      <c r="BT302" s="48" t="n">
        <f aca="false">BT$292+BT$299</f>
        <v>0</v>
      </c>
      <c r="BU302" s="48" t="n">
        <f aca="false">BU$292+BU$299</f>
        <v>0</v>
      </c>
      <c r="BV302" s="48" t="n">
        <f aca="false">BV$292+BV$299</f>
        <v>0</v>
      </c>
      <c r="BW302" s="48" t="n">
        <f aca="false">BW$292+BW$299</f>
        <v>0</v>
      </c>
      <c r="BX302" s="48" t="n">
        <f aca="false">BX$292+BX$299</f>
        <v>0</v>
      </c>
      <c r="BY302" s="48" t="n">
        <f aca="false">BY$292+BY$299</f>
        <v>0</v>
      </c>
      <c r="BZ302" s="48" t="n">
        <f aca="false">BZ$292+BZ$299</f>
        <v>0</v>
      </c>
      <c r="CA302" s="48" t="n">
        <f aca="false">CA$292+CA$299</f>
        <v>0</v>
      </c>
      <c r="CB302" s="48" t="n">
        <f aca="false">CB$292+CB$299</f>
        <v>0</v>
      </c>
      <c r="CC302" s="48" t="n">
        <f aca="false">CC$292+CC$299</f>
        <v>0</v>
      </c>
      <c r="CD302" s="48" t="n">
        <f aca="false">CD$292+CD$299</f>
        <v>0</v>
      </c>
      <c r="CE302" s="48" t="n">
        <f aca="false">CE$292+CE$299</f>
        <v>0</v>
      </c>
      <c r="CF302" s="48" t="n">
        <f aca="false">CF$292+CF$299</f>
        <v>0</v>
      </c>
      <c r="CG302" s="48" t="n">
        <f aca="false">CG$292+CG$299</f>
        <v>0</v>
      </c>
      <c r="CH302" s="48" t="n">
        <f aca="false">CH$292+CH$299</f>
        <v>0</v>
      </c>
      <c r="CI302" s="48" t="n">
        <f aca="false">CI$292+CI$299</f>
        <v>0</v>
      </c>
      <c r="CJ302" s="48" t="n">
        <f aca="false">CJ$292+CJ$299</f>
        <v>0</v>
      </c>
      <c r="CK302" s="48" t="n">
        <f aca="false">CK$292+CK$299</f>
        <v>0</v>
      </c>
      <c r="CL302" s="48" t="n">
        <f aca="false">CL$292+CL$299</f>
        <v>0</v>
      </c>
      <c r="CM302" s="48" t="n">
        <f aca="false">CM$292+CM$299</f>
        <v>0</v>
      </c>
      <c r="CN302" s="48" t="n">
        <f aca="false">CN$292+CN$299</f>
        <v>0</v>
      </c>
      <c r="CO302" s="48" t="n">
        <f aca="false">CO$292+CO$299</f>
        <v>0</v>
      </c>
      <c r="CP302" s="48" t="n">
        <f aca="false">CP$292+CP$299</f>
        <v>0</v>
      </c>
      <c r="CQ302" s="48" t="n">
        <f aca="false">CQ$292+CQ$299</f>
        <v>0</v>
      </c>
      <c r="CR302" s="48" t="n">
        <f aca="false">CR$292+CR$299</f>
        <v>0</v>
      </c>
      <c r="CS302" s="48" t="n">
        <f aca="false">CS$292+CS$299</f>
        <v>0</v>
      </c>
      <c r="CT302" s="48" t="n">
        <f aca="false">CT$292+CT$299</f>
        <v>0</v>
      </c>
      <c r="CU302" s="48" t="n">
        <f aca="false">CU$292+CU$299</f>
        <v>0</v>
      </c>
      <c r="CV302" s="48" t="n">
        <f aca="false">CV$292+CV$299</f>
        <v>0</v>
      </c>
      <c r="CW302" s="48" t="n">
        <f aca="false">CW$292+CW$299</f>
        <v>0</v>
      </c>
      <c r="CX302" s="48" t="n">
        <f aca="false">CX$292+CX$299</f>
        <v>0</v>
      </c>
      <c r="CY302" s="48" t="n">
        <f aca="false">CY$292+CY$299</f>
        <v>0</v>
      </c>
      <c r="CZ302" s="48" t="n">
        <f aca="false">CZ$292+CZ$299</f>
        <v>0</v>
      </c>
      <c r="DA302" s="48" t="n">
        <f aca="false">DA$292+DA$299</f>
        <v>0</v>
      </c>
      <c r="DB302" s="48" t="n">
        <f aca="false">DB$292+DB$299</f>
        <v>0</v>
      </c>
      <c r="DC302" s="48" t="n">
        <f aca="false">DC$292+DC$299</f>
        <v>0</v>
      </c>
      <c r="DD302" s="48" t="n">
        <f aca="false">DD$292+DD$299</f>
        <v>0</v>
      </c>
      <c r="DE302" s="48" t="n">
        <f aca="false">DE$292+DE$299</f>
        <v>0</v>
      </c>
      <c r="DF302" s="48" t="n">
        <f aca="false">DF$292+DF$299</f>
        <v>0</v>
      </c>
      <c r="DG302" s="48" t="n">
        <f aca="false">DG$292+DG$299</f>
        <v>0</v>
      </c>
      <c r="DH302" s="48" t="n">
        <f aca="false">DH$292+DH$299</f>
        <v>0</v>
      </c>
      <c r="DI302" s="48" t="n">
        <f aca="false">DI$292+DI$299</f>
        <v>0</v>
      </c>
      <c r="DJ302" s="48" t="n">
        <f aca="false">DJ$292+DJ$299</f>
        <v>0</v>
      </c>
      <c r="DK302" s="48" t="n">
        <f aca="false">DK$292+DK$299</f>
        <v>0</v>
      </c>
      <c r="DL302" s="48" t="n">
        <f aca="false">DL$292+DL$299</f>
        <v>0</v>
      </c>
      <c r="DM302" s="48" t="n">
        <f aca="false">DM$292+DM$299</f>
        <v>0</v>
      </c>
      <c r="DN302" s="48" t="n">
        <f aca="false">DN$292+DN$299</f>
        <v>0</v>
      </c>
      <c r="DO302" s="48" t="n">
        <f aca="false">DO$292+DO$299</f>
        <v>0</v>
      </c>
      <c r="DP302" s="48" t="n">
        <f aca="false">DP$292+DP$299</f>
        <v>0</v>
      </c>
      <c r="DQ302" s="48" t="n">
        <f aca="false">DQ$292+DQ$299</f>
        <v>0</v>
      </c>
      <c r="DR302" s="48" t="n">
        <f aca="false">DR$292+DR$299</f>
        <v>0</v>
      </c>
      <c r="DS302" s="48" t="n">
        <f aca="false">DS$292+DS$299</f>
        <v>0</v>
      </c>
      <c r="DT302" s="48" t="n">
        <f aca="false">DT$292+DT$299</f>
        <v>0</v>
      </c>
      <c r="DU302" s="48" t="n">
        <f aca="false">DU$292+DU$299</f>
        <v>0</v>
      </c>
      <c r="DV302" s="48" t="n">
        <f aca="false">DV$292+DV$299</f>
        <v>0</v>
      </c>
      <c r="DW302" s="48" t="n">
        <f aca="false">DW$292+DW$299</f>
        <v>0</v>
      </c>
      <c r="DX302" s="48" t="n">
        <f aca="false">DX$292+DX$299</f>
        <v>0</v>
      </c>
      <c r="DY302" s="48" t="n">
        <f aca="false">DY$292+DY$299</f>
        <v>0</v>
      </c>
      <c r="DZ302" s="48" t="n">
        <f aca="false">DZ$292+DZ$299</f>
        <v>0</v>
      </c>
      <c r="EA302" s="48" t="n">
        <f aca="false">EA$292+EA$299</f>
        <v>0</v>
      </c>
      <c r="EB302" s="48" t="n">
        <f aca="false">EB$292+EB$299</f>
        <v>0</v>
      </c>
      <c r="EC302" s="48" t="n">
        <f aca="false">EC$292+EC$299</f>
        <v>0</v>
      </c>
      <c r="ED302" s="48" t="n">
        <f aca="false">ED$292+ED$299</f>
        <v>0</v>
      </c>
      <c r="EE302" s="48" t="n">
        <f aca="false">EE$292+EE$299</f>
        <v>0</v>
      </c>
      <c r="EF302" s="48" t="n">
        <f aca="false">EF$292+EF$299</f>
        <v>0</v>
      </c>
      <c r="EG302" s="48" t="n">
        <f aca="false">EG$292+EG$299</f>
        <v>0</v>
      </c>
      <c r="EH302" s="48" t="n">
        <f aca="false">EH$292+EH$299</f>
        <v>0</v>
      </c>
      <c r="EI302" s="48" t="n">
        <f aca="false">EI$292+EI$299</f>
        <v>0</v>
      </c>
      <c r="EJ302" s="48" t="n">
        <f aca="false">EJ$292+EJ$299</f>
        <v>0</v>
      </c>
      <c r="EK302" s="48" t="n">
        <f aca="false">EK$292+EK$299</f>
        <v>0</v>
      </c>
      <c r="EL302" s="48" t="n">
        <f aca="false">EL$292+EL$299</f>
        <v>0</v>
      </c>
      <c r="EM302" s="48" t="n">
        <f aca="false">EM$292+EM$299</f>
        <v>0</v>
      </c>
      <c r="EN302" s="48" t="n">
        <f aca="false">EN$292+EN$299</f>
        <v>0</v>
      </c>
      <c r="EO302" s="48" t="n">
        <f aca="false">EO$292+EO$299</f>
        <v>0</v>
      </c>
      <c r="EP302" s="48" t="n">
        <f aca="false">EP$292+EP$299</f>
        <v>0</v>
      </c>
      <c r="EQ302" s="48" t="n">
        <f aca="false">EQ$292+EQ$299</f>
        <v>0</v>
      </c>
      <c r="ER302" s="48" t="n">
        <f aca="false">ER$292+ER$299</f>
        <v>0</v>
      </c>
      <c r="ES302" s="48" t="n">
        <f aca="false">ES$292+ES$299</f>
        <v>0</v>
      </c>
    </row>
    <row r="303" customFormat="false" ht="15" hidden="false" customHeight="false" outlineLevel="0" collapsed="false">
      <c r="A303" s="11" t="s">
        <v>1420</v>
      </c>
      <c r="B303" s="15" t="s">
        <v>1257</v>
      </c>
      <c r="C303" s="15" t="s">
        <v>508</v>
      </c>
      <c r="E303" s="54" t="n">
        <f aca="false">SUM(F303:ES303)</f>
        <v>2791587</v>
      </c>
      <c r="F303" s="48" t="n">
        <f aca="false">F$293+F$300</f>
        <v>0</v>
      </c>
      <c r="G303" s="48" t="n">
        <f aca="false">G$293+G$300</f>
        <v>0</v>
      </c>
      <c r="H303" s="48" t="n">
        <f aca="false">H$293+H$300</f>
        <v>0</v>
      </c>
      <c r="I303" s="48" t="n">
        <f aca="false">I$293+I$300</f>
        <v>0</v>
      </c>
      <c r="J303" s="48" t="n">
        <f aca="false">J$293+J$300</f>
        <v>0</v>
      </c>
      <c r="K303" s="48" t="n">
        <f aca="false">K$293+K$300</f>
        <v>0</v>
      </c>
      <c r="L303" s="48" t="n">
        <f aca="false">L$293+L$300</f>
        <v>42123.3040946878</v>
      </c>
      <c r="M303" s="48" t="n">
        <f aca="false">M$293+M$300</f>
        <v>42439.2288753979</v>
      </c>
      <c r="N303" s="48" t="n">
        <f aca="false">N$293+N$300</f>
        <v>42757.5230919634</v>
      </c>
      <c r="O303" s="48" t="n">
        <f aca="false">O$293+O$300</f>
        <v>43078.2045151531</v>
      </c>
      <c r="P303" s="48" t="n">
        <f aca="false">P$293+P$300</f>
        <v>43401.2910490168</v>
      </c>
      <c r="Q303" s="48" t="n">
        <f aca="false">Q$293+Q$300</f>
        <v>43726.8007318844</v>
      </c>
      <c r="R303" s="48" t="n">
        <f aca="false">R$293+R$300</f>
        <v>44054.7517373735</v>
      </c>
      <c r="S303" s="48" t="n">
        <f aca="false">S$293+S$300</f>
        <v>44385.1623754038</v>
      </c>
      <c r="T303" s="48" t="n">
        <f aca="false">T$293+T$300</f>
        <v>44718.0510932194</v>
      </c>
      <c r="U303" s="48" t="n">
        <f aca="false">U$293+U$300</f>
        <v>45053.4364764185</v>
      </c>
      <c r="V303" s="48" t="n">
        <f aca="false">V$293+V$300</f>
        <v>45391.3372499916</v>
      </c>
      <c r="W303" s="48" t="n">
        <f aca="false">W$293+W$300</f>
        <v>45731.7722793666</v>
      </c>
      <c r="X303" s="48" t="n">
        <f aca="false">X$293+X$300</f>
        <v>46074.7605714618</v>
      </c>
      <c r="Y303" s="48" t="n">
        <f aca="false">Y$293+Y$300</f>
        <v>46420.3212757478</v>
      </c>
      <c r="Z303" s="48" t="n">
        <f aca="false">Z$293+Z$300</f>
        <v>46768.4736853159</v>
      </c>
      <c r="AA303" s="48" t="n">
        <f aca="false">AA$293+AA$300</f>
        <v>47119.2372379558</v>
      </c>
      <c r="AB303" s="48" t="n">
        <f aca="false">AB$293+AB$300</f>
        <v>47472.6315172404</v>
      </c>
      <c r="AC303" s="48" t="n">
        <f aca="false">AC$293+AC$300</f>
        <v>47828.6762536197</v>
      </c>
      <c r="AD303" s="48" t="n">
        <f aca="false">AD$293+AD$300</f>
        <v>48187.3913255219</v>
      </c>
      <c r="AE303" s="48" t="n">
        <f aca="false">AE$293+AE$300</f>
        <v>48548.7967604633</v>
      </c>
      <c r="AF303" s="48" t="n">
        <f aca="false">AF$293+AF$300</f>
        <v>48912.9127361668</v>
      </c>
      <c r="AG303" s="48" t="n">
        <f aca="false">AG$293+AG$300</f>
        <v>49279.759581688</v>
      </c>
      <c r="AH303" s="48" t="n">
        <f aca="false">AH$293+AH$300</f>
        <v>49649.3577785507</v>
      </c>
      <c r="AI303" s="48" t="n">
        <f aca="false">AI$293+AI$300</f>
        <v>50021.7279618898</v>
      </c>
      <c r="AJ303" s="48" t="n">
        <f aca="false">AJ$293+AJ$300</f>
        <v>50396.890921604</v>
      </c>
      <c r="AK303" s="48" t="n">
        <f aca="false">AK$293+AK$300</f>
        <v>50774.867603516</v>
      </c>
      <c r="AL303" s="48" t="n">
        <f aca="false">AL$293+AL$300</f>
        <v>51155.6791105424</v>
      </c>
      <c r="AM303" s="48" t="n">
        <f aca="false">AM$293+AM$300</f>
        <v>51539.3467038715</v>
      </c>
      <c r="AN303" s="48" t="n">
        <f aca="false">AN$293+AN$300</f>
        <v>51925.8918041505</v>
      </c>
      <c r="AO303" s="48" t="n">
        <f aca="false">AO$293+AO$300</f>
        <v>52315.3359926816</v>
      </c>
      <c r="AP303" s="48" t="n">
        <f aca="false">AP$293+AP$300</f>
        <v>52707.7010126267</v>
      </c>
      <c r="AQ303" s="48" t="n">
        <f aca="false">AQ$293+AQ$300</f>
        <v>53103.0087702214</v>
      </c>
      <c r="AR303" s="48" t="n">
        <f aca="false">AR$293+AR$300</f>
        <v>53501.2813359981</v>
      </c>
      <c r="AS303" s="48" t="n">
        <f aca="false">AS$293+AS$300</f>
        <v>53902.5409460181</v>
      </c>
      <c r="AT303" s="48" t="n">
        <f aca="false">AT$293+AT$300</f>
        <v>54306.8100031132</v>
      </c>
      <c r="AU303" s="48" t="n">
        <f aca="false">AU$293+AU$300</f>
        <v>54714.1110781366</v>
      </c>
      <c r="AV303" s="48" t="n">
        <f aca="false">AV$293+AV$300</f>
        <v>55124.4669112226</v>
      </c>
      <c r="AW303" s="48" t="n">
        <f aca="false">AW$293+AW$300</f>
        <v>55537.9004130568</v>
      </c>
      <c r="AX303" s="48" t="n">
        <f aca="false">AX$293+AX$300</f>
        <v>55954.4346661547</v>
      </c>
      <c r="AY303" s="48" t="n">
        <f aca="false">AY$293+AY$300</f>
        <v>56374.0929261509</v>
      </c>
      <c r="AZ303" s="48" t="n">
        <f aca="false">AZ$293+AZ$300</f>
        <v>56796.898623097</v>
      </c>
      <c r="BA303" s="48" t="n">
        <f aca="false">BA$293+BA$300</f>
        <v>57222.8753627702</v>
      </c>
      <c r="BB303" s="48" t="n">
        <f aca="false">BB$293+BB$300</f>
        <v>57652.046927991</v>
      </c>
      <c r="BC303" s="48" t="n">
        <f aca="false">BC$293+BC$300</f>
        <v>58084.4372799509</v>
      </c>
      <c r="BD303" s="48" t="n">
        <f aca="false">BD$293+BD$300</f>
        <v>58520.0705595506</v>
      </c>
      <c r="BE303" s="48" t="n">
        <f aca="false">BE$293+BE$300</f>
        <v>58958.9710887472</v>
      </c>
      <c r="BF303" s="48" t="n">
        <f aca="false">BF$293+BF$300</f>
        <v>59401.1633719128</v>
      </c>
      <c r="BG303" s="48" t="n">
        <f aca="false">BG$293+BG$300</f>
        <v>59846.6720972021</v>
      </c>
      <c r="BH303" s="48" t="n">
        <f aca="false">BH$293+BH$300</f>
        <v>60295.5221379312</v>
      </c>
      <c r="BI303" s="48" t="n">
        <f aca="false">BI$293+BI$300</f>
        <v>60747.7385539656</v>
      </c>
      <c r="BJ303" s="48" t="n">
        <f aca="false">BJ$293+BJ$300</f>
        <v>61203.3465931204</v>
      </c>
      <c r="BK303" s="48" t="n">
        <f aca="false">BK$293+BK$300</f>
        <v>61662.3716925688</v>
      </c>
      <c r="BL303" s="48" t="n">
        <f aca="false">BL$293+BL$300</f>
        <v>62124.839480263</v>
      </c>
      <c r="BM303" s="48" t="n">
        <f aca="false">BM$293+BM$300</f>
        <v>62590.7757763667</v>
      </c>
      <c r="BN303" s="48" t="n">
        <f aca="false">BN$293+BN$300</f>
        <v>0</v>
      </c>
      <c r="BO303" s="48" t="n">
        <f aca="false">BO$293+BO$300</f>
        <v>0</v>
      </c>
      <c r="BP303" s="48" t="n">
        <f aca="false">BP$293+BP$300</f>
        <v>0</v>
      </c>
      <c r="BQ303" s="48" t="n">
        <f aca="false">BQ$293+BQ$300</f>
        <v>0</v>
      </c>
      <c r="BR303" s="48" t="n">
        <f aca="false">BR$293+BR$300</f>
        <v>0</v>
      </c>
      <c r="BS303" s="48" t="n">
        <f aca="false">BS$293+BS$300</f>
        <v>0</v>
      </c>
      <c r="BT303" s="48" t="n">
        <f aca="false">BT$293+BT$300</f>
        <v>0</v>
      </c>
      <c r="BU303" s="48" t="n">
        <f aca="false">BU$293+BU$300</f>
        <v>0</v>
      </c>
      <c r="BV303" s="48" t="n">
        <f aca="false">BV$293+BV$300</f>
        <v>0</v>
      </c>
      <c r="BW303" s="48" t="n">
        <f aca="false">BW$293+BW$300</f>
        <v>0</v>
      </c>
      <c r="BX303" s="48" t="n">
        <f aca="false">BX$293+BX$300</f>
        <v>0</v>
      </c>
      <c r="BY303" s="48" t="n">
        <f aca="false">BY$293+BY$300</f>
        <v>0</v>
      </c>
      <c r="BZ303" s="48" t="n">
        <f aca="false">BZ$293+BZ$300</f>
        <v>0</v>
      </c>
      <c r="CA303" s="48" t="n">
        <f aca="false">CA$293+CA$300</f>
        <v>0</v>
      </c>
      <c r="CB303" s="48" t="n">
        <f aca="false">CB$293+CB$300</f>
        <v>0</v>
      </c>
      <c r="CC303" s="48" t="n">
        <f aca="false">CC$293+CC$300</f>
        <v>0</v>
      </c>
      <c r="CD303" s="48" t="n">
        <f aca="false">CD$293+CD$300</f>
        <v>0</v>
      </c>
      <c r="CE303" s="48" t="n">
        <f aca="false">CE$293+CE$300</f>
        <v>0</v>
      </c>
      <c r="CF303" s="48" t="n">
        <f aca="false">CF$293+CF$300</f>
        <v>0</v>
      </c>
      <c r="CG303" s="48" t="n">
        <f aca="false">CG$293+CG$300</f>
        <v>0</v>
      </c>
      <c r="CH303" s="48" t="n">
        <f aca="false">CH$293+CH$300</f>
        <v>0</v>
      </c>
      <c r="CI303" s="48" t="n">
        <f aca="false">CI$293+CI$300</f>
        <v>0</v>
      </c>
      <c r="CJ303" s="48" t="n">
        <f aca="false">CJ$293+CJ$300</f>
        <v>0</v>
      </c>
      <c r="CK303" s="48" t="n">
        <f aca="false">CK$293+CK$300</f>
        <v>0</v>
      </c>
      <c r="CL303" s="48" t="n">
        <f aca="false">CL$293+CL$300</f>
        <v>0</v>
      </c>
      <c r="CM303" s="48" t="n">
        <f aca="false">CM$293+CM$300</f>
        <v>0</v>
      </c>
      <c r="CN303" s="48" t="n">
        <f aca="false">CN$293+CN$300</f>
        <v>0</v>
      </c>
      <c r="CO303" s="48" t="n">
        <f aca="false">CO$293+CO$300</f>
        <v>0</v>
      </c>
      <c r="CP303" s="48" t="n">
        <f aca="false">CP$293+CP$300</f>
        <v>0</v>
      </c>
      <c r="CQ303" s="48" t="n">
        <f aca="false">CQ$293+CQ$300</f>
        <v>0</v>
      </c>
      <c r="CR303" s="48" t="n">
        <f aca="false">CR$293+CR$300</f>
        <v>0</v>
      </c>
      <c r="CS303" s="48" t="n">
        <f aca="false">CS$293+CS$300</f>
        <v>0</v>
      </c>
      <c r="CT303" s="48" t="n">
        <f aca="false">CT$293+CT$300</f>
        <v>0</v>
      </c>
      <c r="CU303" s="48" t="n">
        <f aca="false">CU$293+CU$300</f>
        <v>0</v>
      </c>
      <c r="CV303" s="48" t="n">
        <f aca="false">CV$293+CV$300</f>
        <v>0</v>
      </c>
      <c r="CW303" s="48" t="n">
        <f aca="false">CW$293+CW$300</f>
        <v>0</v>
      </c>
      <c r="CX303" s="48" t="n">
        <f aca="false">CX$293+CX$300</f>
        <v>0</v>
      </c>
      <c r="CY303" s="48" t="n">
        <f aca="false">CY$293+CY$300</f>
        <v>0</v>
      </c>
      <c r="CZ303" s="48" t="n">
        <f aca="false">CZ$293+CZ$300</f>
        <v>0</v>
      </c>
      <c r="DA303" s="48" t="n">
        <f aca="false">DA$293+DA$300</f>
        <v>0</v>
      </c>
      <c r="DB303" s="48" t="n">
        <f aca="false">DB$293+DB$300</f>
        <v>0</v>
      </c>
      <c r="DC303" s="48" t="n">
        <f aca="false">DC$293+DC$300</f>
        <v>0</v>
      </c>
      <c r="DD303" s="48" t="n">
        <f aca="false">DD$293+DD$300</f>
        <v>0</v>
      </c>
      <c r="DE303" s="48" t="n">
        <f aca="false">DE$293+DE$300</f>
        <v>0</v>
      </c>
      <c r="DF303" s="48" t="n">
        <f aca="false">DF$293+DF$300</f>
        <v>0</v>
      </c>
      <c r="DG303" s="48" t="n">
        <f aca="false">DG$293+DG$300</f>
        <v>0</v>
      </c>
      <c r="DH303" s="48" t="n">
        <f aca="false">DH$293+DH$300</f>
        <v>0</v>
      </c>
      <c r="DI303" s="48" t="n">
        <f aca="false">DI$293+DI$300</f>
        <v>0</v>
      </c>
      <c r="DJ303" s="48" t="n">
        <f aca="false">DJ$293+DJ$300</f>
        <v>0</v>
      </c>
      <c r="DK303" s="48" t="n">
        <f aca="false">DK$293+DK$300</f>
        <v>0</v>
      </c>
      <c r="DL303" s="48" t="n">
        <f aca="false">DL$293+DL$300</f>
        <v>0</v>
      </c>
      <c r="DM303" s="48" t="n">
        <f aca="false">DM$293+DM$300</f>
        <v>0</v>
      </c>
      <c r="DN303" s="48" t="n">
        <f aca="false">DN$293+DN$300</f>
        <v>0</v>
      </c>
      <c r="DO303" s="48" t="n">
        <f aca="false">DO$293+DO$300</f>
        <v>0</v>
      </c>
      <c r="DP303" s="48" t="n">
        <f aca="false">DP$293+DP$300</f>
        <v>0</v>
      </c>
      <c r="DQ303" s="48" t="n">
        <f aca="false">DQ$293+DQ$300</f>
        <v>0</v>
      </c>
      <c r="DR303" s="48" t="n">
        <f aca="false">DR$293+DR$300</f>
        <v>0</v>
      </c>
      <c r="DS303" s="48" t="n">
        <f aca="false">DS$293+DS$300</f>
        <v>0</v>
      </c>
      <c r="DT303" s="48" t="n">
        <f aca="false">DT$293+DT$300</f>
        <v>0</v>
      </c>
      <c r="DU303" s="48" t="n">
        <f aca="false">DU$293+DU$300</f>
        <v>0</v>
      </c>
      <c r="DV303" s="48" t="n">
        <f aca="false">DV$293+DV$300</f>
        <v>0</v>
      </c>
      <c r="DW303" s="48" t="n">
        <f aca="false">DW$293+DW$300</f>
        <v>0</v>
      </c>
      <c r="DX303" s="48" t="n">
        <f aca="false">DX$293+DX$300</f>
        <v>0</v>
      </c>
      <c r="DY303" s="48" t="n">
        <f aca="false">DY$293+DY$300</f>
        <v>0</v>
      </c>
      <c r="DZ303" s="48" t="n">
        <f aca="false">DZ$293+DZ$300</f>
        <v>0</v>
      </c>
      <c r="EA303" s="48" t="n">
        <f aca="false">EA$293+EA$300</f>
        <v>0</v>
      </c>
      <c r="EB303" s="48" t="n">
        <f aca="false">EB$293+EB$300</f>
        <v>0</v>
      </c>
      <c r="EC303" s="48" t="n">
        <f aca="false">EC$293+EC$300</f>
        <v>0</v>
      </c>
      <c r="ED303" s="48" t="n">
        <f aca="false">ED$293+ED$300</f>
        <v>0</v>
      </c>
      <c r="EE303" s="48" t="n">
        <f aca="false">EE$293+EE$300</f>
        <v>0</v>
      </c>
      <c r="EF303" s="48" t="n">
        <f aca="false">EF$293+EF$300</f>
        <v>0</v>
      </c>
      <c r="EG303" s="48" t="n">
        <f aca="false">EG$293+EG$300</f>
        <v>0</v>
      </c>
      <c r="EH303" s="48" t="n">
        <f aca="false">EH$293+EH$300</f>
        <v>0</v>
      </c>
      <c r="EI303" s="48" t="n">
        <f aca="false">EI$293+EI$300</f>
        <v>0</v>
      </c>
      <c r="EJ303" s="48" t="n">
        <f aca="false">EJ$293+EJ$300</f>
        <v>0</v>
      </c>
      <c r="EK303" s="48" t="n">
        <f aca="false">EK$293+EK$300</f>
        <v>0</v>
      </c>
      <c r="EL303" s="48" t="n">
        <f aca="false">EL$293+EL$300</f>
        <v>0</v>
      </c>
      <c r="EM303" s="48" t="n">
        <f aca="false">EM$293+EM$300</f>
        <v>0</v>
      </c>
      <c r="EN303" s="48" t="n">
        <f aca="false">EN$293+EN$300</f>
        <v>0</v>
      </c>
      <c r="EO303" s="48" t="n">
        <f aca="false">EO$293+EO$300</f>
        <v>0</v>
      </c>
      <c r="EP303" s="48" t="n">
        <f aca="false">EP$293+EP$300</f>
        <v>0</v>
      </c>
      <c r="EQ303" s="48" t="n">
        <f aca="false">EQ$293+EQ$300</f>
        <v>0</v>
      </c>
      <c r="ER303" s="48" t="n">
        <f aca="false">ER$293+ER$300</f>
        <v>0</v>
      </c>
      <c r="ES303" s="48" t="n">
        <f aca="false">ES$293+ES$300</f>
        <v>0</v>
      </c>
    </row>
    <row r="304" customFormat="false" ht="15" hidden="false" customHeight="false" outlineLevel="0" collapsed="false">
      <c r="A304" s="11" t="s">
        <v>1421</v>
      </c>
      <c r="B304" s="67" t="s">
        <v>1259</v>
      </c>
      <c r="C304" s="15" t="s">
        <v>508</v>
      </c>
      <c r="E304" s="54" t="n">
        <f aca="false">MAX(F304:ES304)</f>
        <v>2791587</v>
      </c>
      <c r="F304" s="19" t="n">
        <f aca="false">0+F$302-F$303</f>
        <v>2791587</v>
      </c>
      <c r="G304" s="19" t="n">
        <f aca="false">F$304+G$302-G$303</f>
        <v>2791587</v>
      </c>
      <c r="H304" s="19" t="n">
        <f aca="false">G$304+H$302-H$303</f>
        <v>2791587</v>
      </c>
      <c r="I304" s="19" t="n">
        <f aca="false">H$304+I$302-I$303</f>
        <v>2791587</v>
      </c>
      <c r="J304" s="19" t="n">
        <f aca="false">I$304+J$302-J$303</f>
        <v>2791587</v>
      </c>
      <c r="K304" s="19" t="n">
        <f aca="false">J$304+K$302-K$303</f>
        <v>2791587</v>
      </c>
      <c r="L304" s="19" t="n">
        <f aca="false">K$304+L$302-L$303</f>
        <v>2749463.69590531</v>
      </c>
      <c r="M304" s="19" t="n">
        <f aca="false">L$304+M$302-M$303</f>
        <v>2707024.46702991</v>
      </c>
      <c r="N304" s="19" t="n">
        <f aca="false">M$304+N$302-N$303</f>
        <v>2664266.94393795</v>
      </c>
      <c r="O304" s="19" t="n">
        <f aca="false">N$304+O$302-O$303</f>
        <v>2621188.7394228</v>
      </c>
      <c r="P304" s="19" t="n">
        <f aca="false">O$304+P$302-P$303</f>
        <v>2577787.44837378</v>
      </c>
      <c r="Q304" s="19" t="n">
        <f aca="false">P$304+Q$302-Q$303</f>
        <v>2534060.6476419</v>
      </c>
      <c r="R304" s="19" t="n">
        <f aca="false">Q$304+R$302-R$303</f>
        <v>2490005.89590452</v>
      </c>
      <c r="S304" s="19" t="n">
        <f aca="false">R$304+S$302-S$303</f>
        <v>2445620.73352912</v>
      </c>
      <c r="T304" s="19" t="n">
        <f aca="false">S$304+T$302-T$303</f>
        <v>2400902.6824359</v>
      </c>
      <c r="U304" s="19" t="n">
        <f aca="false">T$304+U$302-U$303</f>
        <v>2355849.24595948</v>
      </c>
      <c r="V304" s="19" t="n">
        <f aca="false">U$304+V$302-V$303</f>
        <v>2310457.90870949</v>
      </c>
      <c r="W304" s="19" t="n">
        <f aca="false">V$304+W$302-W$303</f>
        <v>2264726.13643012</v>
      </c>
      <c r="X304" s="19" t="n">
        <f aca="false">W$304+X$302-X$303</f>
        <v>2218651.37585866</v>
      </c>
      <c r="Y304" s="19" t="n">
        <f aca="false">X$304+Y$302-Y$303</f>
        <v>2172231.05458292</v>
      </c>
      <c r="Z304" s="19" t="n">
        <f aca="false">Y$304+Z$302-Z$303</f>
        <v>2125462.5808976</v>
      </c>
      <c r="AA304" s="19" t="n">
        <f aca="false">Z$304+AA$302-AA$303</f>
        <v>2078343.34365964</v>
      </c>
      <c r="AB304" s="19" t="n">
        <f aca="false">AA$304+AB$302-AB$303</f>
        <v>2030870.7121424</v>
      </c>
      <c r="AC304" s="19" t="n">
        <f aca="false">AB$304+AC$302-AC$303</f>
        <v>1983042.03588878</v>
      </c>
      <c r="AD304" s="19" t="n">
        <f aca="false">AC$304+AD$302-AD$303</f>
        <v>1934854.64456326</v>
      </c>
      <c r="AE304" s="19" t="n">
        <f aca="false">AD$304+AE$302-AE$303</f>
        <v>1886305.8478028</v>
      </c>
      <c r="AF304" s="19" t="n">
        <f aca="false">AE$304+AF$302-AF$303</f>
        <v>1837392.93506663</v>
      </c>
      <c r="AG304" s="19" t="n">
        <f aca="false">AF$304+AG$302-AG$303</f>
        <v>1788113.17548494</v>
      </c>
      <c r="AH304" s="19" t="n">
        <f aca="false">AG$304+AH$302-AH$303</f>
        <v>1738463.81770639</v>
      </c>
      <c r="AI304" s="19" t="n">
        <f aca="false">AH$304+AI$302-AI$303</f>
        <v>1688442.0897445</v>
      </c>
      <c r="AJ304" s="19" t="n">
        <f aca="false">AI$304+AJ$302-AJ$303</f>
        <v>1638045.1988229</v>
      </c>
      <c r="AK304" s="19" t="n">
        <f aca="false">AJ$304+AK$302-AK$303</f>
        <v>1587270.33121938</v>
      </c>
      <c r="AL304" s="19" t="n">
        <f aca="false">AK$304+AL$302-AL$303</f>
        <v>1536114.65210884</v>
      </c>
      <c r="AM304" s="19" t="n">
        <f aca="false">AL$304+AM$302-AM$303</f>
        <v>1484575.30540497</v>
      </c>
      <c r="AN304" s="19" t="n">
        <f aca="false">AM$304+AN$302-AN$303</f>
        <v>1432649.41360082</v>
      </c>
      <c r="AO304" s="19" t="n">
        <f aca="false">AN$304+AO$302-AO$303</f>
        <v>1380334.07760814</v>
      </c>
      <c r="AP304" s="19" t="n">
        <f aca="false">AO$304+AP$302-AP$303</f>
        <v>1327626.37659551</v>
      </c>
      <c r="AQ304" s="19" t="n">
        <f aca="false">AP$304+AQ$302-AQ$303</f>
        <v>1274523.36782529</v>
      </c>
      <c r="AR304" s="19" t="n">
        <f aca="false">AQ$304+AR$302-AR$303</f>
        <v>1221022.08648929</v>
      </c>
      <c r="AS304" s="19" t="n">
        <f aca="false">AR$304+AS$302-AS$303</f>
        <v>1167119.54554327</v>
      </c>
      <c r="AT304" s="19" t="n">
        <f aca="false">AS$304+AT$302-AT$303</f>
        <v>1112812.73554016</v>
      </c>
      <c r="AU304" s="19" t="n">
        <f aca="false">AT$304+AU$302-AU$303</f>
        <v>1058098.62446202</v>
      </c>
      <c r="AV304" s="19" t="n">
        <f aca="false">AU$304+AV$302-AV$303</f>
        <v>1002974.1575508</v>
      </c>
      <c r="AW304" s="19" t="n">
        <f aca="false">AV$304+AW$302-AW$303</f>
        <v>947436.257137743</v>
      </c>
      <c r="AX304" s="19" t="n">
        <f aca="false">AW$304+AX$302-AX$303</f>
        <v>891481.822471588</v>
      </c>
      <c r="AY304" s="19" t="n">
        <f aca="false">AX$304+AY$302-AY$303</f>
        <v>835107.729545437</v>
      </c>
      <c r="AZ304" s="19" t="n">
        <f aca="false">AY$304+AZ$302-AZ$303</f>
        <v>778310.83092234</v>
      </c>
      <c r="BA304" s="19" t="n">
        <f aca="false">AZ$304+BA$302-BA$303</f>
        <v>721087.95555957</v>
      </c>
      <c r="BB304" s="19" t="n">
        <f aca="false">BA$304+BB$302-BB$303</f>
        <v>663435.908631579</v>
      </c>
      <c r="BC304" s="19" t="n">
        <f aca="false">BB$304+BC$302-BC$303</f>
        <v>605351.471351628</v>
      </c>
      <c r="BD304" s="19" t="n">
        <f aca="false">BC$304+BD$302-BD$303</f>
        <v>546831.400792078</v>
      </c>
      <c r="BE304" s="19" t="n">
        <f aca="false">BD$304+BE$302-BE$303</f>
        <v>487872.429703331</v>
      </c>
      <c r="BF304" s="19" t="n">
        <f aca="false">BE$304+BF$302-BF$303</f>
        <v>428471.266331418</v>
      </c>
      <c r="BG304" s="19" t="n">
        <f aca="false">BF$304+BG$302-BG$303</f>
        <v>368624.594234216</v>
      </c>
      <c r="BH304" s="19" t="n">
        <f aca="false">BG$304+BH$302-BH$303</f>
        <v>308329.072096285</v>
      </c>
      <c r="BI304" s="19" t="n">
        <f aca="false">BH$304+BI$302-BI$303</f>
        <v>247581.333542319</v>
      </c>
      <c r="BJ304" s="19" t="n">
        <f aca="false">BI$304+BJ$302-BJ$303</f>
        <v>186377.986949199</v>
      </c>
      <c r="BK304" s="19" t="n">
        <f aca="false">BJ$304+BK$302-BK$303</f>
        <v>124715.61525663</v>
      </c>
      <c r="BL304" s="19" t="n">
        <f aca="false">BK$304+BL$302-BL$303</f>
        <v>62590.7757763667</v>
      </c>
      <c r="BM304" s="19" t="n">
        <f aca="false">BL$304+BM$302-BM$303</f>
        <v>0</v>
      </c>
      <c r="BN304" s="19" t="n">
        <f aca="false">BM$304+BN$302-BN$303</f>
        <v>0</v>
      </c>
      <c r="BO304" s="19" t="n">
        <f aca="false">BN$304+BO$302-BO$303</f>
        <v>0</v>
      </c>
      <c r="BP304" s="19" t="n">
        <f aca="false">BO$304+BP$302-BP$303</f>
        <v>0</v>
      </c>
      <c r="BQ304" s="19" t="n">
        <f aca="false">BP$304+BQ$302-BQ$303</f>
        <v>0</v>
      </c>
      <c r="BR304" s="19" t="n">
        <f aca="false">BQ$304+BR$302-BR$303</f>
        <v>0</v>
      </c>
      <c r="BS304" s="19" t="n">
        <f aca="false">BR$304+BS$302-BS$303</f>
        <v>0</v>
      </c>
      <c r="BT304" s="19" t="n">
        <f aca="false">BS$304+BT$302-BT$303</f>
        <v>0</v>
      </c>
      <c r="BU304" s="19" t="n">
        <f aca="false">BT$304+BU$302-BU$303</f>
        <v>0</v>
      </c>
      <c r="BV304" s="19" t="n">
        <f aca="false">BU$304+BV$302-BV$303</f>
        <v>0</v>
      </c>
      <c r="BW304" s="19" t="n">
        <f aca="false">BV$304+BW$302-BW$303</f>
        <v>0</v>
      </c>
      <c r="BX304" s="19" t="n">
        <f aca="false">BW$304+BX$302-BX$303</f>
        <v>0</v>
      </c>
      <c r="BY304" s="19" t="n">
        <f aca="false">BX$304+BY$302-BY$303</f>
        <v>0</v>
      </c>
      <c r="BZ304" s="19" t="n">
        <f aca="false">BY$304+BZ$302-BZ$303</f>
        <v>0</v>
      </c>
      <c r="CA304" s="19" t="n">
        <f aca="false">BZ$304+CA$302-CA$303</f>
        <v>0</v>
      </c>
      <c r="CB304" s="19" t="n">
        <f aca="false">CA$304+CB$302-CB$303</f>
        <v>0</v>
      </c>
      <c r="CC304" s="19" t="n">
        <f aca="false">CB$304+CC$302-CC$303</f>
        <v>0</v>
      </c>
      <c r="CD304" s="19" t="n">
        <f aca="false">CC$304+CD$302-CD$303</f>
        <v>0</v>
      </c>
      <c r="CE304" s="19" t="n">
        <f aca="false">CD$304+CE$302-CE$303</f>
        <v>0</v>
      </c>
      <c r="CF304" s="19" t="n">
        <f aca="false">CE$304+CF$302-CF$303</f>
        <v>0</v>
      </c>
      <c r="CG304" s="19" t="n">
        <f aca="false">CF$304+CG$302-CG$303</f>
        <v>0</v>
      </c>
      <c r="CH304" s="19" t="n">
        <f aca="false">CG$304+CH$302-CH$303</f>
        <v>0</v>
      </c>
      <c r="CI304" s="19" t="n">
        <f aca="false">CH$304+CI$302-CI$303</f>
        <v>0</v>
      </c>
      <c r="CJ304" s="19" t="n">
        <f aca="false">CI$304+CJ$302-CJ$303</f>
        <v>0</v>
      </c>
      <c r="CK304" s="19" t="n">
        <f aca="false">CJ$304+CK$302-CK$303</f>
        <v>0</v>
      </c>
      <c r="CL304" s="19" t="n">
        <f aca="false">CK$304+CL$302-CL$303</f>
        <v>0</v>
      </c>
      <c r="CM304" s="19" t="n">
        <f aca="false">CL$304+CM$302-CM$303</f>
        <v>0</v>
      </c>
      <c r="CN304" s="19" t="n">
        <f aca="false">CM$304+CN$302-CN$303</f>
        <v>0</v>
      </c>
      <c r="CO304" s="19" t="n">
        <f aca="false">CN$304+CO$302-CO$303</f>
        <v>0</v>
      </c>
      <c r="CP304" s="19" t="n">
        <f aca="false">CO$304+CP$302-CP$303</f>
        <v>0</v>
      </c>
      <c r="CQ304" s="19" t="n">
        <f aca="false">CP$304+CQ$302-CQ$303</f>
        <v>0</v>
      </c>
      <c r="CR304" s="19" t="n">
        <f aca="false">CQ$304+CR$302-CR$303</f>
        <v>0</v>
      </c>
      <c r="CS304" s="19" t="n">
        <f aca="false">CR$304+CS$302-CS$303</f>
        <v>0</v>
      </c>
      <c r="CT304" s="19" t="n">
        <f aca="false">CS$304+CT$302-CT$303</f>
        <v>0</v>
      </c>
      <c r="CU304" s="19" t="n">
        <f aca="false">CT$304+CU$302-CU$303</f>
        <v>0</v>
      </c>
      <c r="CV304" s="19" t="n">
        <f aca="false">CU$304+CV$302-CV$303</f>
        <v>0</v>
      </c>
      <c r="CW304" s="19" t="n">
        <f aca="false">CV$304+CW$302-CW$303</f>
        <v>0</v>
      </c>
      <c r="CX304" s="19" t="n">
        <f aca="false">CW$304+CX$302-CX$303</f>
        <v>0</v>
      </c>
      <c r="CY304" s="19" t="n">
        <f aca="false">CX$304+CY$302-CY$303</f>
        <v>0</v>
      </c>
      <c r="CZ304" s="19" t="n">
        <f aca="false">CY$304+CZ$302-CZ$303</f>
        <v>0</v>
      </c>
      <c r="DA304" s="19" t="n">
        <f aca="false">CZ$304+DA$302-DA$303</f>
        <v>0</v>
      </c>
      <c r="DB304" s="19" t="n">
        <f aca="false">DA$304+DB$302-DB$303</f>
        <v>0</v>
      </c>
      <c r="DC304" s="19" t="n">
        <f aca="false">DB$304+DC$302-DC$303</f>
        <v>0</v>
      </c>
      <c r="DD304" s="19" t="n">
        <f aca="false">DC$304+DD$302-DD$303</f>
        <v>0</v>
      </c>
      <c r="DE304" s="19" t="n">
        <f aca="false">DD$304+DE$302-DE$303</f>
        <v>0</v>
      </c>
      <c r="DF304" s="19" t="n">
        <f aca="false">DE$304+DF$302-DF$303</f>
        <v>0</v>
      </c>
      <c r="DG304" s="19" t="n">
        <f aca="false">DF$304+DG$302-DG$303</f>
        <v>0</v>
      </c>
      <c r="DH304" s="19" t="n">
        <f aca="false">DG$304+DH$302-DH$303</f>
        <v>0</v>
      </c>
      <c r="DI304" s="19" t="n">
        <f aca="false">DH$304+DI$302-DI$303</f>
        <v>0</v>
      </c>
      <c r="DJ304" s="19" t="n">
        <f aca="false">DI$304+DJ$302-DJ$303</f>
        <v>0</v>
      </c>
      <c r="DK304" s="19" t="n">
        <f aca="false">DJ$304+DK$302-DK$303</f>
        <v>0</v>
      </c>
      <c r="DL304" s="19" t="n">
        <f aca="false">DK$304+DL$302-DL$303</f>
        <v>0</v>
      </c>
      <c r="DM304" s="19" t="n">
        <f aca="false">DL$304+DM$302-DM$303</f>
        <v>0</v>
      </c>
      <c r="DN304" s="19" t="n">
        <f aca="false">DM$304+DN$302-DN$303</f>
        <v>0</v>
      </c>
      <c r="DO304" s="19" t="n">
        <f aca="false">DN$304+DO$302-DO$303</f>
        <v>0</v>
      </c>
      <c r="DP304" s="19" t="n">
        <f aca="false">DO$304+DP$302-DP$303</f>
        <v>0</v>
      </c>
      <c r="DQ304" s="19" t="n">
        <f aca="false">DP$304+DQ$302-DQ$303</f>
        <v>0</v>
      </c>
      <c r="DR304" s="19" t="n">
        <f aca="false">DQ$304+DR$302-DR$303</f>
        <v>0</v>
      </c>
      <c r="DS304" s="19" t="n">
        <f aca="false">DR$304+DS$302-DS$303</f>
        <v>0</v>
      </c>
      <c r="DT304" s="19" t="n">
        <f aca="false">DS$304+DT$302-DT$303</f>
        <v>0</v>
      </c>
      <c r="DU304" s="19" t="n">
        <f aca="false">DT$304+DU$302-DU$303</f>
        <v>0</v>
      </c>
      <c r="DV304" s="19" t="n">
        <f aca="false">DU$304+DV$302-DV$303</f>
        <v>0</v>
      </c>
      <c r="DW304" s="19" t="n">
        <f aca="false">DV$304+DW$302-DW$303</f>
        <v>0</v>
      </c>
      <c r="DX304" s="19" t="n">
        <f aca="false">DW$304+DX$302-DX$303</f>
        <v>0</v>
      </c>
      <c r="DY304" s="19" t="n">
        <f aca="false">DX$304+DY$302-DY$303</f>
        <v>0</v>
      </c>
      <c r="DZ304" s="19" t="n">
        <f aca="false">DY$304+DZ$302-DZ$303</f>
        <v>0</v>
      </c>
      <c r="EA304" s="19" t="n">
        <f aca="false">DZ$304+EA$302-EA$303</f>
        <v>0</v>
      </c>
      <c r="EB304" s="19" t="n">
        <f aca="false">EA$304+EB$302-EB$303</f>
        <v>0</v>
      </c>
      <c r="EC304" s="19" t="n">
        <f aca="false">EB$304+EC$302-EC$303</f>
        <v>0</v>
      </c>
      <c r="ED304" s="19" t="n">
        <f aca="false">EC$304+ED$302-ED$303</f>
        <v>0</v>
      </c>
      <c r="EE304" s="19" t="n">
        <f aca="false">ED$304+EE$302-EE$303</f>
        <v>0</v>
      </c>
      <c r="EF304" s="19" t="n">
        <f aca="false">EE$304+EF$302-EF$303</f>
        <v>0</v>
      </c>
      <c r="EG304" s="19" t="n">
        <f aca="false">EF$304+EG$302-EG$303</f>
        <v>0</v>
      </c>
      <c r="EH304" s="19" t="n">
        <f aca="false">EG$304+EH$302-EH$303</f>
        <v>0</v>
      </c>
      <c r="EI304" s="19" t="n">
        <f aca="false">EH$304+EI$302-EI$303</f>
        <v>0</v>
      </c>
      <c r="EJ304" s="19" t="n">
        <f aca="false">EI$304+EJ$302-EJ$303</f>
        <v>0</v>
      </c>
      <c r="EK304" s="19" t="n">
        <f aca="false">EJ$304+EK$302-EK$303</f>
        <v>0</v>
      </c>
      <c r="EL304" s="19" t="n">
        <f aca="false">EK$304+EL$302-EL$303</f>
        <v>0</v>
      </c>
      <c r="EM304" s="19" t="n">
        <f aca="false">EL$304+EM$302-EM$303</f>
        <v>0</v>
      </c>
      <c r="EN304" s="19" t="n">
        <f aca="false">EM$304+EN$302-EN$303</f>
        <v>0</v>
      </c>
      <c r="EO304" s="19" t="n">
        <f aca="false">EN$304+EO$302-EO$303</f>
        <v>0</v>
      </c>
      <c r="EP304" s="19" t="n">
        <f aca="false">EO$304+EP$302-EP$303</f>
        <v>0</v>
      </c>
      <c r="EQ304" s="19" t="n">
        <f aca="false">EP$304+EQ$302-EQ$303</f>
        <v>0</v>
      </c>
      <c r="ER304" s="19" t="n">
        <f aca="false">EQ$304+ER$302-ER$303</f>
        <v>0</v>
      </c>
      <c r="ES304" s="19" t="n">
        <f aca="false">ER$304+ES$302-ES$303</f>
        <v>0</v>
      </c>
    </row>
    <row r="305" customFormat="false" ht="15" hidden="false" customHeight="false" outlineLevel="0" collapsed="false">
      <c r="A305" s="11" t="s">
        <v>1422</v>
      </c>
      <c r="B305" s="15" t="s">
        <v>1261</v>
      </c>
      <c r="C305" s="15" t="s">
        <v>508</v>
      </c>
      <c r="E305" s="54" t="n">
        <f aca="false">MIN(F305:ES305)</f>
        <v>-311740.118672618</v>
      </c>
      <c r="F305" s="48" t="n">
        <f aca="false">F$297+F$299-F$300</f>
        <v>535727.93036656</v>
      </c>
      <c r="G305" s="48" t="n">
        <f aca="false">G$297+G$299-G$300</f>
        <v>555194.83809215</v>
      </c>
      <c r="H305" s="48" t="n">
        <f aca="false">H$297+H$299-H$300</f>
        <v>574661.745817739</v>
      </c>
      <c r="I305" s="48" t="n">
        <f aca="false">I$297+I$299-I$300</f>
        <v>594128.653543329</v>
      </c>
      <c r="J305" s="48" t="n">
        <f aca="false">J$297+J$299-J$300</f>
        <v>613595.561268919</v>
      </c>
      <c r="K305" s="48" t="n">
        <f aca="false">K$297+K$299-K$300</f>
        <v>633062.468994509</v>
      </c>
      <c r="L305" s="48" t="n">
        <f aca="false">L$297+L$299-L$300</f>
        <v>610406.072625411</v>
      </c>
      <c r="M305" s="48" t="n">
        <f aca="false">M$297+M$299-M$300</f>
        <v>587781.268734384</v>
      </c>
      <c r="N305" s="48" t="n">
        <f aca="false">N$297+N$299-N$300</f>
        <v>565188.294265013</v>
      </c>
      <c r="O305" s="48" t="n">
        <f aca="false">O$297+O$299-O$300</f>
        <v>542627.387937962</v>
      </c>
      <c r="P305" s="48" t="n">
        <f aca="false">P$297+P$299-P$300</f>
        <v>520098.790264297</v>
      </c>
      <c r="Q305" s="48" t="n">
        <f aca="false">Q$297+Q$299-Q$300</f>
        <v>497602.743558918</v>
      </c>
      <c r="R305" s="48" t="n">
        <f aca="false">R$297+R$299-R$300</f>
        <v>129920.95007682</v>
      </c>
      <c r="S305" s="48" t="n">
        <f aca="false">S$297+S$299-S$300</f>
        <v>145489.642054168</v>
      </c>
      <c r="T305" s="48" t="n">
        <f aca="false">T$297+T$299-T$300</f>
        <v>161091.622903299</v>
      </c>
      <c r="U305" s="48" t="n">
        <f aca="false">U$297+U$299-U$300</f>
        <v>176727.142290749</v>
      </c>
      <c r="V305" s="48" t="n">
        <f aca="false">V$297+V$299-V$300</f>
        <v>192396.451755556</v>
      </c>
      <c r="W305" s="48" t="n">
        <f aca="false">W$297+W$299-W$300</f>
        <v>208099.804723301</v>
      </c>
      <c r="X305" s="48" t="n">
        <f aca="false">X$297+X$299-X$300</f>
        <v>223837.456520255</v>
      </c>
      <c r="Y305" s="48" t="n">
        <f aca="false">Y$297+Y$299-Y$300</f>
        <v>239609.664387639</v>
      </c>
      <c r="Z305" s="48" t="n">
        <f aca="false">Z$297+Z$299-Z$300</f>
        <v>255416.687495978</v>
      </c>
      <c r="AA305" s="48" t="n">
        <f aca="false">AA$297+AA$299-AA$300</f>
        <v>271258.786959582</v>
      </c>
      <c r="AB305" s="48" t="n">
        <f aca="false">AB$297+AB$299-AB$300</f>
        <v>287136.225851114</v>
      </c>
      <c r="AC305" s="48" t="n">
        <f aca="false">AC$297+AC$299-AC$300</f>
        <v>303049.269216285</v>
      </c>
      <c r="AD305" s="48" t="n">
        <f aca="false">AD$297+AD$299-AD$300</f>
        <v>-311740.118672618</v>
      </c>
      <c r="AE305" s="48" t="n">
        <f aca="false">AE$297+AE$299-AE$300</f>
        <v>-259166.435385604</v>
      </c>
      <c r="AF305" s="48" t="n">
        <f aca="false">AF$297+AF$299-AF$300</f>
        <v>-206556.340501019</v>
      </c>
      <c r="AG305" s="48" t="n">
        <f aca="false">AG$297+AG$299-AG$300</f>
        <v>-153909.560931882</v>
      </c>
      <c r="AH305" s="48" t="n">
        <f aca="false">AH$297+AH$299-AH$300</f>
        <v>-101225.821543058</v>
      </c>
      <c r="AI305" s="48" t="n">
        <f aca="false">AI$297+AI$299-AI$300</f>
        <v>-48504.845135901</v>
      </c>
      <c r="AJ305" s="48" t="n">
        <f aca="false">AJ$297+AJ$299-AJ$300</f>
        <v>4253.64756722766</v>
      </c>
      <c r="AK305" s="48" t="n">
        <f aca="false">AK$297+AK$299-AK$300</f>
        <v>57049.9379385475</v>
      </c>
      <c r="AL305" s="48" t="n">
        <f aca="false">AL$297+AL$299-AL$300</f>
        <v>109884.30946057</v>
      </c>
      <c r="AM305" s="48" t="n">
        <f aca="false">AM$297+AM$299-AM$300</f>
        <v>162757.047741925</v>
      </c>
      <c r="AN305" s="48" t="n">
        <f aca="false">AN$297+AN$299-AN$300</f>
        <v>215668.440533309</v>
      </c>
      <c r="AO305" s="48" t="n">
        <f aca="false">AO$297+AO$299-AO$300</f>
        <v>268618.777743545</v>
      </c>
      <c r="AP305" s="48" t="n">
        <f aca="false">AP$297+AP$299-AP$300</f>
        <v>-204392.169462803</v>
      </c>
      <c r="AQ305" s="48" t="n">
        <f aca="false">AQ$297+AQ$299-AQ$300</f>
        <v>-118554.515960079</v>
      </c>
      <c r="AR305" s="48" t="n">
        <f aca="false">AR$297+AR$299-AR$300</f>
        <v>-32677.0352007774</v>
      </c>
      <c r="AS305" s="48" t="n">
        <f aca="false">AS$297+AS$299-AS$300</f>
        <v>53240.5715195262</v>
      </c>
      <c r="AT305" s="48" t="n">
        <f aca="false">AT$297+AT$299-AT$300</f>
        <v>139198.605145539</v>
      </c>
      <c r="AU305" s="48" t="n">
        <f aca="false">AU$297+AU$299-AU$300</f>
        <v>225197.368879055</v>
      </c>
      <c r="AV305" s="48" t="n">
        <f aca="false">AV$297+AV$299-AV$300</f>
        <v>311237.168195879</v>
      </c>
      <c r="AW305" s="48" t="n">
        <f aca="false">AW$297+AW$299-AW$300</f>
        <v>397318.310862886</v>
      </c>
      <c r="AX305" s="48" t="n">
        <f aca="false">AX$297+AX$299-AX$300</f>
        <v>483441.106955204</v>
      </c>
      <c r="AY305" s="48" t="n">
        <f aca="false">AY$297+AY$299-AY$300</f>
        <v>569605.86887352</v>
      </c>
      <c r="AZ305" s="48" t="n">
        <f aca="false">AZ$297+AZ$299-AZ$300</f>
        <v>655812.911361532</v>
      </c>
      <c r="BA305" s="48" t="n">
        <f aca="false">BA$297+BA$299-BA$300</f>
        <v>742062.551523511</v>
      </c>
      <c r="BB305" s="48" t="n">
        <f aca="false">BB$297+BB$299-BB$300</f>
        <v>791565.146132667</v>
      </c>
      <c r="BC305" s="48" t="n">
        <f aca="false">BC$297+BC$299-BC$300</f>
        <v>879220.52748288</v>
      </c>
      <c r="BD305" s="48" t="n">
        <f aca="false">BD$297+BD$299-BD$300</f>
        <v>966919.472161052</v>
      </c>
      <c r="BE305" s="48" t="n">
        <f aca="false">BE$297+BE$299-BE$300</f>
        <v>1054662.30689214</v>
      </c>
      <c r="BF305" s="48" t="n">
        <f aca="false">BF$297+BF$299-BF$300</f>
        <v>337495.98247063</v>
      </c>
      <c r="BG305" s="48" t="n">
        <f aca="false">BG$297+BG$299-BG$300</f>
        <v>425327.587302567</v>
      </c>
      <c r="BH305" s="48" t="n">
        <f aca="false">BH$297+BH$299-BH$300</f>
        <v>513204.077138578</v>
      </c>
      <c r="BI305" s="48" t="n">
        <f aca="false">BI$297+BI$299-BI$300</f>
        <v>601125.788616192</v>
      </c>
      <c r="BJ305" s="48" t="n">
        <f aca="false">BJ$297+BJ$299-BJ$300</f>
        <v>689093.060897721</v>
      </c>
      <c r="BK305" s="48" t="n">
        <f aca="false">BK$297+BK$299-BK$300</f>
        <v>777106.235689195</v>
      </c>
      <c r="BL305" s="48" t="n">
        <f aca="false">BL$297+BL$299-BL$300</f>
        <v>865165.657259439</v>
      </c>
      <c r="BM305" s="48" t="n">
        <f aca="false">BM$297+BM$299-BM$300</f>
        <v>953271.672459291</v>
      </c>
      <c r="BN305" s="48" t="n">
        <f aca="false">BN$297+BN$299-BN$300</f>
        <v>1070847.25778852</v>
      </c>
      <c r="BO305" s="48" t="n">
        <f aca="false">BO$297+BO$299-BO$300</f>
        <v>1226147.69958635</v>
      </c>
      <c r="BP305" s="48" t="n">
        <f aca="false">BP$297+BP$299-BP$300</f>
        <v>1381448.14138417</v>
      </c>
      <c r="BQ305" s="48" t="n">
        <f aca="false">BQ$297+BQ$299-BQ$300</f>
        <v>1536748.583182</v>
      </c>
      <c r="BR305" s="48" t="n">
        <f aca="false">BR$297+BR$299-BR$300</f>
        <v>228122.480611604</v>
      </c>
      <c r="BS305" s="48" t="n">
        <f aca="false">BS$297+BS$299-BS$300</f>
        <v>383422.92240943</v>
      </c>
      <c r="BT305" s="48" t="n">
        <f aca="false">BT$297+BT$299-BT$300</f>
        <v>538723.364207257</v>
      </c>
      <c r="BU305" s="48" t="n">
        <f aca="false">BU$297+BU$299-BU$300</f>
        <v>694023.806005083</v>
      </c>
      <c r="BV305" s="48" t="n">
        <f aca="false">BV$297+BV$299-BV$300</f>
        <v>849324.247802909</v>
      </c>
      <c r="BW305" s="48" t="n">
        <f aca="false">BW$297+BW$299-BW$300</f>
        <v>1004624.68960073</v>
      </c>
      <c r="BX305" s="48" t="n">
        <f aca="false">BX$297+BX$299-BX$300</f>
        <v>1159925.13139856</v>
      </c>
      <c r="BY305" s="48" t="n">
        <f aca="false">BY$297+BY$299-BY$300</f>
        <v>1315225.57319639</v>
      </c>
      <c r="BZ305" s="48" t="n">
        <f aca="false">BZ$297+BZ$299-BZ$300</f>
        <v>1436551.70246101</v>
      </c>
      <c r="CA305" s="48" t="n">
        <f aca="false">CA$297+CA$299-CA$300</f>
        <v>1595967.72495041</v>
      </c>
      <c r="CB305" s="48" t="n">
        <f aca="false">CB$297+CB$299-CB$300</f>
        <v>1755383.74743981</v>
      </c>
      <c r="CC305" s="48" t="n">
        <f aca="false">CC$297+CC$299-CC$300</f>
        <v>1914799.76992921</v>
      </c>
      <c r="CD305" s="48" t="n">
        <f aca="false">CD$297+CD$299-CD$300</f>
        <v>280027.099844691</v>
      </c>
      <c r="CE305" s="48" t="n">
        <f aca="false">CE$297+CE$299-CE$300</f>
        <v>439443.122334091</v>
      </c>
      <c r="CF305" s="48" t="n">
        <f aca="false">CF$297+CF$299-CF$300</f>
        <v>598859.144823491</v>
      </c>
      <c r="CG305" s="48" t="n">
        <f aca="false">CG$297+CG$299-CG$300</f>
        <v>758275.167312891</v>
      </c>
      <c r="CH305" s="48" t="n">
        <f aca="false">CH$297+CH$299-CH$300</f>
        <v>917691.189802291</v>
      </c>
      <c r="CI305" s="48" t="n">
        <f aca="false">CI$297+CI$299-CI$300</f>
        <v>1077107.21229169</v>
      </c>
      <c r="CJ305" s="48" t="n">
        <f aca="false">CJ$297+CJ$299-CJ$300</f>
        <v>1236523.23478109</v>
      </c>
      <c r="CK305" s="48" t="n">
        <f aca="false">CK$297+CK$299-CK$300</f>
        <v>1395939.25727049</v>
      </c>
      <c r="CL305" s="48" t="n">
        <f aca="false">CL$297+CL$299-CL$300</f>
        <v>1521040.85812226</v>
      </c>
      <c r="CM305" s="48" t="n">
        <f aca="false">CM$297+CM$299-CM$300</f>
        <v>1684600.67666855</v>
      </c>
      <c r="CN305" s="48" t="n">
        <f aca="false">CN$297+CN$299-CN$300</f>
        <v>1848160.49521483</v>
      </c>
      <c r="CO305" s="48" t="n">
        <f aca="false">CO$297+CO$299-CO$300</f>
        <v>2011720.31376112</v>
      </c>
      <c r="CP305" s="48" t="n">
        <f aca="false">CP$297+CP$299-CP$300</f>
        <v>331704.471434611</v>
      </c>
      <c r="CQ305" s="48" t="n">
        <f aca="false">CQ$297+CQ$299-CQ$300</f>
        <v>495264.289980899</v>
      </c>
      <c r="CR305" s="48" t="n">
        <f aca="false">CR$297+CR$299-CR$300</f>
        <v>658824.108527186</v>
      </c>
      <c r="CS305" s="48" t="n">
        <f aca="false">CS$297+CS$299-CS$300</f>
        <v>822383.927073474</v>
      </c>
      <c r="CT305" s="48" t="n">
        <f aca="false">CT$297+CT$299-CT$300</f>
        <v>985943.745619761</v>
      </c>
      <c r="CU305" s="48" t="n">
        <f aca="false">CU$297+CU$299-CU$300</f>
        <v>1149503.56416605</v>
      </c>
      <c r="CV305" s="48" t="n">
        <f aca="false">CV$297+CV$299-CV$300</f>
        <v>1313063.38271234</v>
      </c>
      <c r="CW305" s="48" t="n">
        <f aca="false">CW$297+CW$299-CW$300</f>
        <v>1476623.20125862</v>
      </c>
      <c r="CX305" s="48" t="n">
        <f aca="false">CX$297+CX$299-CX$300</f>
        <v>1605525.0789582</v>
      </c>
      <c r="CY305" s="48" t="n">
        <f aca="false">CY$297+CY$299-CY$300</f>
        <v>1773256.8086071</v>
      </c>
      <c r="CZ305" s="48" t="n">
        <f aca="false">CZ$297+CZ$299-CZ$300</f>
        <v>1940988.53825601</v>
      </c>
      <c r="DA305" s="48" t="n">
        <f aca="false">DA$297+DA$299-DA$300</f>
        <v>2108720.26790492</v>
      </c>
      <c r="DB305" s="48" t="n">
        <f aca="false">DB$297+DB$299-DB$300</f>
        <v>383150.783998376</v>
      </c>
      <c r="DC305" s="48" t="n">
        <f aca="false">DC$297+DC$299-DC$300</f>
        <v>550882.513647284</v>
      </c>
      <c r="DD305" s="48" t="n">
        <f aca="false">DD$297+DD$299-DD$300</f>
        <v>718614.243296191</v>
      </c>
      <c r="DE305" s="48" t="n">
        <f aca="false">DE$297+DE$299-DE$300</f>
        <v>886345.972945099</v>
      </c>
      <c r="DF305" s="48" t="n">
        <f aca="false">DF$297+DF$299-DF$300</f>
        <v>1054077.70259401</v>
      </c>
      <c r="DG305" s="48" t="n">
        <f aca="false">DG$297+DG$299-DG$300</f>
        <v>1221809.43224291</v>
      </c>
      <c r="DH305" s="48" t="n">
        <f aca="false">DH$297+DH$299-DH$300</f>
        <v>1389541.16189182</v>
      </c>
      <c r="DI305" s="48" t="n">
        <f aca="false">DI$297+DI$299-DI$300</f>
        <v>1557272.89154073</v>
      </c>
      <c r="DJ305" s="48" t="n">
        <f aca="false">DJ$297+DJ$299-DJ$300</f>
        <v>1689999.71669704</v>
      </c>
      <c r="DK305" s="48" t="n">
        <f aca="false">DK$297+DK$299-DK$300</f>
        <v>1861931.35981212</v>
      </c>
      <c r="DL305" s="48" t="n">
        <f aca="false">DL$297+DL$299-DL$300</f>
        <v>2033863.00292721</v>
      </c>
      <c r="DM305" s="48" t="n">
        <f aca="false">DM$297+DM$299-DM$300</f>
        <v>2205794.6460423</v>
      </c>
      <c r="DN305" s="48" t="n">
        <f aca="false">DN$297+DN$299-DN$300</f>
        <v>434362.142370492</v>
      </c>
      <c r="DO305" s="48" t="n">
        <f aca="false">DO$297+DO$299-DO$300</f>
        <v>606293.785485578</v>
      </c>
      <c r="DP305" s="48" t="n">
        <f aca="false">DP$297+DP$299-DP$300</f>
        <v>778225.428600664</v>
      </c>
      <c r="DQ305" s="48" t="n">
        <f aca="false">DQ$297+DQ$299-DQ$300</f>
        <v>950157.07171575</v>
      </c>
      <c r="DR305" s="48" t="n">
        <f aca="false">DR$297+DR$299-DR$300</f>
        <v>1122088.71483084</v>
      </c>
      <c r="DS305" s="48" t="n">
        <f aca="false">DS$297+DS$299-DS$300</f>
        <v>1294020.35794592</v>
      </c>
      <c r="DT305" s="48" t="n">
        <f aca="false">DT$297+DT$299-DT$300</f>
        <v>1465952.00106101</v>
      </c>
      <c r="DU305" s="48" t="n">
        <f aca="false">DU$297+DU$299-DU$300</f>
        <v>1637883.64417609</v>
      </c>
      <c r="DV305" s="48" t="n">
        <f aca="false">DV$297+DV$299-DV$300</f>
        <v>1637883.64417609</v>
      </c>
      <c r="DW305" s="48" t="n">
        <f aca="false">DW$297+DW$299-DW$300</f>
        <v>1637883.64417609</v>
      </c>
      <c r="DX305" s="48" t="n">
        <f aca="false">DX$297+DX$299-DX$300</f>
        <v>1637883.64417609</v>
      </c>
      <c r="DY305" s="48" t="n">
        <f aca="false">DY$297+DY$299-DY$300</f>
        <v>1637883.64417609</v>
      </c>
      <c r="DZ305" s="48" t="n">
        <f aca="false">DZ$297+DZ$299-DZ$300</f>
        <v>1637883.64417609</v>
      </c>
      <c r="EA305" s="48" t="n">
        <f aca="false">EA$297+EA$299-EA$300</f>
        <v>1637883.64417609</v>
      </c>
      <c r="EB305" s="48" t="n">
        <f aca="false">EB$297+EB$299-EB$300</f>
        <v>1637883.64417609</v>
      </c>
      <c r="EC305" s="48" t="n">
        <f aca="false">EC$297+EC$299-EC$300</f>
        <v>1637883.64417609</v>
      </c>
      <c r="ED305" s="48" t="n">
        <f aca="false">ED$297+ED$299-ED$300</f>
        <v>1637883.64417609</v>
      </c>
      <c r="EE305" s="48" t="n">
        <f aca="false">EE$297+EE$299-EE$300</f>
        <v>1637883.64417609</v>
      </c>
      <c r="EF305" s="48" t="n">
        <f aca="false">EF$297+EF$299-EF$300</f>
        <v>1637883.64417609</v>
      </c>
      <c r="EG305" s="48" t="n">
        <f aca="false">EG$297+EG$299-EG$300</f>
        <v>1637883.64417609</v>
      </c>
      <c r="EH305" s="48" t="n">
        <f aca="false">EH$297+EH$299-EH$300</f>
        <v>1637883.64417609</v>
      </c>
      <c r="EI305" s="48" t="n">
        <f aca="false">EI$297+EI$299-EI$300</f>
        <v>1637883.64417609</v>
      </c>
      <c r="EJ305" s="48" t="n">
        <f aca="false">EJ$297+EJ$299-EJ$300</f>
        <v>1637883.64417609</v>
      </c>
      <c r="EK305" s="48" t="n">
        <f aca="false">EK$297+EK$299-EK$300</f>
        <v>1637883.64417609</v>
      </c>
      <c r="EL305" s="48" t="n">
        <f aca="false">EL$297+EL$299-EL$300</f>
        <v>1637883.64417609</v>
      </c>
      <c r="EM305" s="48" t="n">
        <f aca="false">EM$297+EM$299-EM$300</f>
        <v>1637883.64417609</v>
      </c>
      <c r="EN305" s="48" t="n">
        <f aca="false">EN$297+EN$299-EN$300</f>
        <v>1637883.64417609</v>
      </c>
      <c r="EO305" s="48" t="n">
        <f aca="false">EO$297+EO$299-EO$300</f>
        <v>1637883.64417609</v>
      </c>
      <c r="EP305" s="48" t="n">
        <f aca="false">EP$297+EP$299-EP$300</f>
        <v>1637883.64417609</v>
      </c>
      <c r="EQ305" s="48" t="n">
        <f aca="false">EQ$297+EQ$299-EQ$300</f>
        <v>1637883.64417609</v>
      </c>
      <c r="ER305" s="48" t="n">
        <f aca="false">ER$297+ER$299-ER$300</f>
        <v>1637883.64417609</v>
      </c>
      <c r="ES305" s="48" t="n">
        <f aca="false">ES$297+ES$299-ES$300</f>
        <v>1637883.64417609</v>
      </c>
    </row>
    <row r="306" customFormat="false" ht="15" hidden="false" customHeight="false" outlineLevel="0" collapsed="false">
      <c r="A306" s="11" t="s">
        <v>1423</v>
      </c>
      <c r="B306" s="15" t="s">
        <v>1263</v>
      </c>
      <c r="C306" s="15" t="s">
        <v>508</v>
      </c>
      <c r="F306" s="48" t="n">
        <f aca="false">IF(F$7=1,F$263,0+F$263)</f>
        <v>13500.8903089231</v>
      </c>
      <c r="G306" s="48" t="n">
        <f aca="false">IF(G$7=1,G$263,F$306+G$263)</f>
        <v>27001.7806178461</v>
      </c>
      <c r="H306" s="48" t="n">
        <f aca="false">IF(H$7=1,H$263,G$306+H$263)</f>
        <v>40502.6709267692</v>
      </c>
      <c r="I306" s="48" t="n">
        <f aca="false">IF(I$7=1,I$263,H$306+I$263)</f>
        <v>54003.5612356923</v>
      </c>
      <c r="J306" s="48" t="n">
        <f aca="false">IF(J$7=1,J$263,I$306+J$263)</f>
        <v>67504.4515446154</v>
      </c>
      <c r="K306" s="48" t="n">
        <f aca="false">IF(K$7=1,K$263,J$306+K$263)</f>
        <v>81005.3418535384</v>
      </c>
      <c r="L306" s="48" t="n">
        <f aca="false">IF(L$7=1,L$263,K$306+L$263)</f>
        <v>94506.2321624615</v>
      </c>
      <c r="M306" s="48" t="n">
        <f aca="false">IF(M$7=1,M$263,L$306+M$263)</f>
        <v>108354.639730166</v>
      </c>
      <c r="N306" s="48" t="n">
        <f aca="false">IF(N$7=1,N$263,M$306+N$263)</f>
        <v>122553.170936092</v>
      </c>
      <c r="O306" s="48" t="n">
        <f aca="false">IF(O$7=1,O$263,N$306+O$263)</f>
        <v>137104.451707527</v>
      </c>
      <c r="P306" s="48" t="n">
        <f aca="false">IF(P$7=1,P$263,O$306+P$263)</f>
        <v>152011.127666212</v>
      </c>
      <c r="Q306" s="48" t="n">
        <f aca="false">IF(Q$7=1,Q$263,P$306+Q$263)</f>
        <v>167275.864276051</v>
      </c>
      <c r="R306" s="48" t="n">
        <f aca="false">IF(R$7=1,R$263,Q$306+R$263)</f>
        <v>52791.0519009191</v>
      </c>
      <c r="S306" s="48" t="n">
        <f aca="false">IF(S$7=1,S$263,R$306+S$263)</f>
        <v>105945.555503672</v>
      </c>
      <c r="T306" s="48" t="n">
        <f aca="false">IF(T$7=1,T$263,S$306+T$263)</f>
        <v>159466.236696021</v>
      </c>
      <c r="U306" s="48" t="n">
        <f aca="false">IF(U$7=1,U$263,T$306+U$263)</f>
        <v>213355.84180989</v>
      </c>
      <c r="V306" s="48" t="n">
        <f aca="false">IF(V$7=1,V$263,U$306+V$263)</f>
        <v>267617.137774689</v>
      </c>
      <c r="W306" s="48" t="n">
        <f aca="false">IF(W$7=1,W$263,V$306+W$263)</f>
        <v>322252.9122718</v>
      </c>
      <c r="X306" s="48" t="n">
        <f aca="false">IF(X$7=1,X$263,W$306+X$263)</f>
        <v>377265.973890217</v>
      </c>
      <c r="Y306" s="48" t="n">
        <f aca="false">IF(Y$7=1,Y$263,X$306+Y$263)</f>
        <v>432659.152283347</v>
      </c>
      <c r="Z306" s="48" t="n">
        <f aca="false">IF(Z$7=1,Z$263,Y$306+Z$263)</f>
        <v>488435.298327003</v>
      </c>
      <c r="AA306" s="48" t="n">
        <f aca="false">IF(AA$7=1,AA$263,Z$306+AA$263)</f>
        <v>544597.284278563</v>
      </c>
      <c r="AB306" s="48" t="n">
        <f aca="false">IF(AB$7=1,AB$263,AA$306+AB$263)</f>
        <v>601148.003937336</v>
      </c>
      <c r="AC306" s="48" t="n">
        <f aca="false">IF(AC$7=1,AC$263,AB$306+AC$263)</f>
        <v>658090.372806125</v>
      </c>
      <c r="AD306" s="48" t="n">
        <f aca="false">IF(AD$7=1,AD$263,AC$306+AD$263)</f>
        <v>93925.5833190423</v>
      </c>
      <c r="AE306" s="48" t="n">
        <f aca="false">IF(AE$7=1,AE$263,AD$306+AE$263)</f>
        <v>188248.71261652</v>
      </c>
      <c r="AF306" s="48" t="n">
        <f aca="false">IF(AF$7=1,AF$263,AE$306+AF$263)</f>
        <v>282972.369487272</v>
      </c>
      <c r="AG306" s="48" t="n">
        <f aca="false">IF(AG$7=1,AG$263,AF$306+AG$263)</f>
        <v>378099.557888097</v>
      </c>
      <c r="AH306" s="48" t="n">
        <f aca="false">IF(AH$7=1,AH$263,AG$306+AH$263)</f>
        <v>473633.304305471</v>
      </c>
      <c r="AI306" s="48" t="n">
        <f aca="false">IF(AI$7=1,AI$263,AH$306+AI$263)</f>
        <v>569576.657924518</v>
      </c>
      <c r="AJ306" s="48" t="n">
        <f aca="false">IF(AJ$7=1,AJ$263,AI$306+AJ$263)</f>
        <v>665932.690799251</v>
      </c>
      <c r="AK306" s="48" t="n">
        <f aca="false">IF(AK$7=1,AK$263,AJ$306+AK$263)</f>
        <v>762704.498024087</v>
      </c>
      <c r="AL306" s="48" t="n">
        <f aca="false">IF(AL$7=1,AL$263,AK$306+AL$263)</f>
        <v>859895.197906652</v>
      </c>
      <c r="AM306" s="48" t="n">
        <f aca="false">IF(AM$7=1,AM$263,AL$306+AM$263)</f>
        <v>957507.932141878</v>
      </c>
      <c r="AN306" s="48" t="n">
        <f aca="false">IF(AN$7=1,AN$263,AM$306+AN$263)</f>
        <v>1055545.86598741</v>
      </c>
      <c r="AO306" s="48" t="n">
        <f aca="false">IF(AO$7=1,AO$263,AN$306+AO$263)</f>
        <v>1154012.18844033</v>
      </c>
      <c r="AP306" s="48" t="n">
        <f aca="false">IF(AP$7=1,AP$263,AO$306+AP$263)</f>
        <v>131706.472989591</v>
      </c>
      <c r="AQ306" s="48" t="n">
        <f aca="false">IF(AQ$7=1,AQ$263,AP$306+AQ$263)</f>
        <v>263847.784512537</v>
      </c>
      <c r="AR306" s="48" t="n">
        <f aca="false">IF(AR$7=1,AR$263,AQ$306+AR$263)</f>
        <v>396427.195857836</v>
      </c>
      <c r="AS306" s="48" t="n">
        <f aca="false">IF(AS$7=1,AS$263,AR$306+AS$263)</f>
        <v>529447.992774158</v>
      </c>
      <c r="AT306" s="48" t="n">
        <f aca="false">IF(AT$7=1,AT$263,AS$306+AT$263)</f>
        <v>662913.485653284</v>
      </c>
      <c r="AU306" s="48" t="n">
        <f aca="false">IF(AU$7=1,AU$263,AT$306+AU$263)</f>
        <v>796827.009714936</v>
      </c>
      <c r="AV306" s="48" t="n">
        <f aca="false">IF(AV$7=1,AV$263,AU$306+AV$263)</f>
        <v>931191.925192983</v>
      </c>
      <c r="AW306" s="48" t="n">
        <f aca="false">IF(AW$7=1,AW$263,AV$306+AW$263)</f>
        <v>1066011.61752305</v>
      </c>
      <c r="AX306" s="48" t="n">
        <f aca="false">IF(AX$7=1,AX$263,AW$306+AX$263)</f>
        <v>1201289.49753152</v>
      </c>
      <c r="AY306" s="48" t="n">
        <f aca="false">IF(AY$7=1,AY$263,AX$306+AY$263)</f>
        <v>1337029.00162599</v>
      </c>
      <c r="AZ306" s="48" t="n">
        <f aca="false">IF(AZ$7=1,AZ$263,AY$306+AZ$263)</f>
        <v>1473233.5919871</v>
      </c>
      <c r="BA306" s="48" t="n">
        <f aca="false">IF(BA$7=1,BA$263,AZ$306+BA$263)</f>
        <v>1609906.75676184</v>
      </c>
      <c r="BB306" s="48" t="n">
        <f aca="false">IF(BB$7=1,BB$263,BA$306+BB$263)</f>
        <v>138464.838493007</v>
      </c>
      <c r="BC306" s="48" t="n">
        <f aca="false">IF(BC$7=1,BC$263,BB$306+BC$263)</f>
        <v>277405.306373171</v>
      </c>
      <c r="BD306" s="48" t="n">
        <f aca="false">IF(BD$7=1,BD$263,BC$306+BD$263)</f>
        <v>416824.970860893</v>
      </c>
      <c r="BE306" s="48" t="n">
        <f aca="false">IF(BE$7=1,BE$263,BD$306+BE$263)</f>
        <v>556727.425930733</v>
      </c>
      <c r="BF306" s="48" t="n">
        <f aca="false">IF(BF$7=1,BF$263,BE$306+BF$263)</f>
        <v>697116.292512054</v>
      </c>
      <c r="BG306" s="48" t="n">
        <f aca="false">IF(BG$7=1,BG$263,BF$306+BG$263)</f>
        <v>837995.218691194</v>
      </c>
      <c r="BH306" s="48" t="n">
        <f aca="false">IF(BH$7=1,BH$263,BG$306+BH$263)</f>
        <v>979367.879915135</v>
      </c>
      <c r="BI306" s="48" t="n">
        <f aca="false">IF(BI$7=1,BI$263,BH$306+BI$263)</f>
        <v>1121237.97919671</v>
      </c>
      <c r="BJ306" s="48" t="n">
        <f aca="false">IF(BJ$7=1,BJ$263,BI$306+BJ$263)</f>
        <v>1263609.24732136</v>
      </c>
      <c r="BK306" s="48" t="n">
        <f aca="false">IF(BK$7=1,BK$263,BJ$306+BK$263)</f>
        <v>1406485.44305541</v>
      </c>
      <c r="BL306" s="48" t="n">
        <f aca="false">IF(BL$7=1,BL$263,BK$306+BL$263)</f>
        <v>1549870.35335591</v>
      </c>
      <c r="BM306" s="48" t="n">
        <f aca="false">IF(BM$7=1,BM$263,BL$306+BM$263)</f>
        <v>1693767.79358213</v>
      </c>
      <c r="BN306" s="48" t="n">
        <f aca="false">IF(BN$7=1,BN$263,BM$306+BN$263)</f>
        <v>149515.724381159</v>
      </c>
      <c r="BO306" s="48" t="n">
        <f aca="false">IF(BO$7=1,BO$263,BN$306+BO$263)</f>
        <v>299031.448762319</v>
      </c>
      <c r="BP306" s="48" t="n">
        <f aca="false">IF(BP$7=1,BP$263,BO$306+BP$263)</f>
        <v>448547.173143478</v>
      </c>
      <c r="BQ306" s="48" t="n">
        <f aca="false">IF(BQ$7=1,BQ$263,BP$306+BQ$263)</f>
        <v>598062.897524638</v>
      </c>
      <c r="BR306" s="48" t="n">
        <f aca="false">IF(BR$7=1,BR$263,BQ$306+BR$263)</f>
        <v>747578.621905797</v>
      </c>
      <c r="BS306" s="48" t="n">
        <f aca="false">IF(BS$7=1,BS$263,BR$306+BS$263)</f>
        <v>897094.346286957</v>
      </c>
      <c r="BT306" s="48" t="n">
        <f aca="false">IF(BT$7=1,BT$263,BS$306+BT$263)</f>
        <v>1046610.07066812</v>
      </c>
      <c r="BU306" s="48" t="n">
        <f aca="false">IF(BU$7=1,BU$263,BT$306+BU$263)</f>
        <v>1196125.79504928</v>
      </c>
      <c r="BV306" s="48" t="n">
        <f aca="false">IF(BV$7=1,BV$263,BU$306+BV$263)</f>
        <v>1345641.51943044</v>
      </c>
      <c r="BW306" s="48" t="n">
        <f aca="false">IF(BW$7=1,BW$263,BV$306+BW$263)</f>
        <v>1495157.2438116</v>
      </c>
      <c r="BX306" s="48" t="n">
        <f aca="false">IF(BX$7=1,BX$263,BW$306+BX$263)</f>
        <v>1644672.96819275</v>
      </c>
      <c r="BY306" s="48" t="n">
        <f aca="false">IF(BY$7=1,BY$263,BX$306+BY$263)</f>
        <v>1794188.69257391</v>
      </c>
      <c r="BZ306" s="48" t="n">
        <f aca="false">IF(BZ$7=1,BZ$263,BY$306+BZ$263)</f>
        <v>153631.305072733</v>
      </c>
      <c r="CA306" s="48" t="n">
        <f aca="false">IF(CA$7=1,CA$263,BZ$306+CA$263)</f>
        <v>307262.610145466</v>
      </c>
      <c r="CB306" s="48" t="n">
        <f aca="false">IF(CB$7=1,CB$263,CA$306+CB$263)</f>
        <v>460893.9152182</v>
      </c>
      <c r="CC306" s="48" t="n">
        <f aca="false">IF(CC$7=1,CC$263,CB$306+CC$263)</f>
        <v>614525.220290933</v>
      </c>
      <c r="CD306" s="48" t="n">
        <f aca="false">IF(CD$7=1,CD$263,CC$306+CD$263)</f>
        <v>768156.525363666</v>
      </c>
      <c r="CE306" s="48" t="n">
        <f aca="false">IF(CE$7=1,CE$263,CD$306+CE$263)</f>
        <v>921787.830436399</v>
      </c>
      <c r="CF306" s="48" t="n">
        <f aca="false">IF(CF$7=1,CF$263,CE$306+CF$263)</f>
        <v>1075419.13550913</v>
      </c>
      <c r="CG306" s="48" t="n">
        <f aca="false">IF(CG$7=1,CG$263,CF$306+CG$263)</f>
        <v>1229050.44058187</v>
      </c>
      <c r="CH306" s="48" t="n">
        <f aca="false">IF(CH$7=1,CH$263,CG$306+CH$263)</f>
        <v>1382681.7456546</v>
      </c>
      <c r="CI306" s="48" t="n">
        <f aca="false">IF(CI$7=1,CI$263,CH$306+CI$263)</f>
        <v>1536313.05072733</v>
      </c>
      <c r="CJ306" s="48" t="n">
        <f aca="false">IF(CJ$7=1,CJ$263,CI$306+CJ$263)</f>
        <v>1689944.35580007</v>
      </c>
      <c r="CK306" s="48" t="n">
        <f aca="false">IF(CK$7=1,CK$263,CJ$306+CK$263)</f>
        <v>1843575.6608728</v>
      </c>
      <c r="CL306" s="48" t="n">
        <f aca="false">IF(CL$7=1,CL$263,CK$306+CL$263)</f>
        <v>157775.101129621</v>
      </c>
      <c r="CM306" s="48" t="n">
        <f aca="false">IF(CM$7=1,CM$263,CL$306+CM$263)</f>
        <v>315550.202259242</v>
      </c>
      <c r="CN306" s="48" t="n">
        <f aca="false">IF(CN$7=1,CN$263,CM$306+CN$263)</f>
        <v>473325.303388862</v>
      </c>
      <c r="CO306" s="48" t="n">
        <f aca="false">IF(CO$7=1,CO$263,CN$306+CO$263)</f>
        <v>631100.404518483</v>
      </c>
      <c r="CP306" s="48" t="n">
        <f aca="false">IF(CP$7=1,CP$263,CO$306+CP$263)</f>
        <v>788875.505648104</v>
      </c>
      <c r="CQ306" s="48" t="n">
        <f aca="false">IF(CQ$7=1,CQ$263,CP$306+CQ$263)</f>
        <v>946650.606777725</v>
      </c>
      <c r="CR306" s="48" t="n">
        <f aca="false">IF(CR$7=1,CR$263,CQ$306+CR$263)</f>
        <v>1104425.70790735</v>
      </c>
      <c r="CS306" s="48" t="n">
        <f aca="false">IF(CS$7=1,CS$263,CR$306+CS$263)</f>
        <v>1262200.80903697</v>
      </c>
      <c r="CT306" s="48" t="n">
        <f aca="false">IF(CT$7=1,CT$263,CS$306+CT$263)</f>
        <v>1419975.91016659</v>
      </c>
      <c r="CU306" s="48" t="n">
        <f aca="false">IF(CU$7=1,CU$263,CT$306+CU$263)</f>
        <v>1577751.01129621</v>
      </c>
      <c r="CV306" s="48" t="n">
        <f aca="false">IF(CV$7=1,CV$263,CU$306+CV$263)</f>
        <v>1735526.11242583</v>
      </c>
      <c r="CW306" s="48" t="n">
        <f aca="false">IF(CW$7=1,CW$263,CV$306+CW$263)</f>
        <v>1893301.21355545</v>
      </c>
      <c r="CX306" s="48" t="n">
        <f aca="false">IF(CX$7=1,CX$263,CW$306+CX$263)</f>
        <v>161947.012232241</v>
      </c>
      <c r="CY306" s="48" t="n">
        <f aca="false">IF(CY$7=1,CY$263,CX$306+CY$263)</f>
        <v>323894.024464482</v>
      </c>
      <c r="CZ306" s="48" t="n">
        <f aca="false">IF(CZ$7=1,CZ$263,CY$306+CZ$263)</f>
        <v>485841.036696723</v>
      </c>
      <c r="DA306" s="48" t="n">
        <f aca="false">IF(DA$7=1,DA$263,CZ$306+DA$263)</f>
        <v>647788.048928964</v>
      </c>
      <c r="DB306" s="48" t="n">
        <f aca="false">IF(DB$7=1,DB$263,DA$306+DB$263)</f>
        <v>809735.061161204</v>
      </c>
      <c r="DC306" s="48" t="n">
        <f aca="false">IF(DC$7=1,DC$263,DB$306+DC$263)</f>
        <v>971682.073393445</v>
      </c>
      <c r="DD306" s="48" t="n">
        <f aca="false">IF(DD$7=1,DD$263,DC$306+DD$263)</f>
        <v>1133629.08562569</v>
      </c>
      <c r="DE306" s="48" t="n">
        <f aca="false">IF(DE$7=1,DE$263,DD$306+DE$263)</f>
        <v>1295576.09785793</v>
      </c>
      <c r="DF306" s="48" t="n">
        <f aca="false">IF(DF$7=1,DF$263,DE$306+DF$263)</f>
        <v>1457523.11009017</v>
      </c>
      <c r="DG306" s="48" t="n">
        <f aca="false">IF(DG$7=1,DG$263,DF$306+DG$263)</f>
        <v>1619470.12232241</v>
      </c>
      <c r="DH306" s="48" t="n">
        <f aca="false">IF(DH$7=1,DH$263,DG$306+DH$263)</f>
        <v>1781417.13455465</v>
      </c>
      <c r="DI306" s="48" t="n">
        <f aca="false">IF(DI$7=1,DI$263,DH$306+DI$263)</f>
        <v>1943364.14678689</v>
      </c>
      <c r="DJ306" s="48" t="n">
        <f aca="false">IF(DJ$7=1,DJ$263,DI$306+DJ$263)</f>
        <v>166146.925698419</v>
      </c>
      <c r="DK306" s="48" t="n">
        <f aca="false">IF(DK$7=1,DK$263,DJ$306+DK$263)</f>
        <v>332293.851396839</v>
      </c>
      <c r="DL306" s="48" t="n">
        <f aca="false">IF(DL$7=1,DL$263,DK$306+DL$263)</f>
        <v>498440.777095258</v>
      </c>
      <c r="DM306" s="48" t="n">
        <f aca="false">IF(DM$7=1,DM$263,DL$306+DM$263)</f>
        <v>664587.702793678</v>
      </c>
      <c r="DN306" s="48" t="n">
        <f aca="false">IF(DN$7=1,DN$263,DM$306+DN$263)</f>
        <v>830734.628492097</v>
      </c>
      <c r="DO306" s="48" t="n">
        <f aca="false">IF(DO$7=1,DO$263,DN$306+DO$263)</f>
        <v>996881.554190517</v>
      </c>
      <c r="DP306" s="48" t="n">
        <f aca="false">IF(DP$7=1,DP$263,DO$306+DP$263)</f>
        <v>1163028.47988894</v>
      </c>
      <c r="DQ306" s="48" t="n">
        <f aca="false">IF(DQ$7=1,DQ$263,DP$306+DQ$263)</f>
        <v>1329175.40558736</v>
      </c>
      <c r="DR306" s="48" t="n">
        <f aca="false">IF(DR$7=1,DR$263,DQ$306+DR$263)</f>
        <v>1495322.33128578</v>
      </c>
      <c r="DS306" s="48" t="n">
        <f aca="false">IF(DS$7=1,DS$263,DR$306+DS$263)</f>
        <v>1661469.25698419</v>
      </c>
      <c r="DT306" s="48" t="n">
        <f aca="false">IF(DT$7=1,DT$263,DS$306+DT$263)</f>
        <v>1827616.18268261</v>
      </c>
      <c r="DU306" s="48" t="n">
        <f aca="false">IF(DU$7=1,DU$263,DT$306+DU$263)</f>
        <v>1993763.10838103</v>
      </c>
      <c r="DV306" s="48" t="n">
        <f aca="false">IF(DV$7=1,DV$263,DU$306+DV$263)</f>
        <v>0</v>
      </c>
      <c r="DW306" s="48" t="n">
        <f aca="false">IF(DW$7=1,DW$263,DV$306+DW$263)</f>
        <v>0</v>
      </c>
      <c r="DX306" s="48" t="n">
        <f aca="false">IF(DX$7=1,DX$263,DW$306+DX$263)</f>
        <v>0</v>
      </c>
      <c r="DY306" s="48" t="n">
        <f aca="false">IF(DY$7=1,DY$263,DX$306+DY$263)</f>
        <v>0</v>
      </c>
      <c r="DZ306" s="48" t="n">
        <f aca="false">IF(DZ$7=1,DZ$263,DY$306+DZ$263)</f>
        <v>0</v>
      </c>
      <c r="EA306" s="48" t="n">
        <f aca="false">IF(EA$7=1,EA$263,DZ$306+EA$263)</f>
        <v>0</v>
      </c>
      <c r="EB306" s="48" t="n">
        <f aca="false">IF(EB$7=1,EB$263,EA$306+EB$263)</f>
        <v>0</v>
      </c>
      <c r="EC306" s="48" t="n">
        <f aca="false">IF(EC$7=1,EC$263,EB$306+EC$263)</f>
        <v>0</v>
      </c>
      <c r="ED306" s="48" t="n">
        <f aca="false">IF(ED$7=1,ED$263,EC$306+ED$263)</f>
        <v>0</v>
      </c>
      <c r="EE306" s="48" t="n">
        <f aca="false">IF(EE$7=1,EE$263,ED$306+EE$263)</f>
        <v>0</v>
      </c>
      <c r="EF306" s="48" t="n">
        <f aca="false">IF(EF$7=1,EF$263,EE$306+EF$263)</f>
        <v>0</v>
      </c>
      <c r="EG306" s="48" t="n">
        <f aca="false">IF(EG$7=1,EG$263,EF$306+EG$263)</f>
        <v>0</v>
      </c>
      <c r="EH306" s="48" t="n">
        <f aca="false">IF(EH$7=1,EH$263,EG$306+EH$263)</f>
        <v>0</v>
      </c>
      <c r="EI306" s="48" t="n">
        <f aca="false">IF(EI$7=1,EI$263,EH$306+EI$263)</f>
        <v>0</v>
      </c>
      <c r="EJ306" s="48" t="n">
        <f aca="false">IF(EJ$7=1,EJ$263,EI$306+EJ$263)</f>
        <v>0</v>
      </c>
      <c r="EK306" s="48" t="n">
        <f aca="false">IF(EK$7=1,EK$263,EJ$306+EK$263)</f>
        <v>0</v>
      </c>
      <c r="EL306" s="48" t="n">
        <f aca="false">IF(EL$7=1,EL$263,EK$306+EL$263)</f>
        <v>0</v>
      </c>
      <c r="EM306" s="48" t="n">
        <f aca="false">IF(EM$7=1,EM$263,EL$306+EM$263)</f>
        <v>0</v>
      </c>
      <c r="EN306" s="48" t="n">
        <f aca="false">IF(EN$7=1,EN$263,EM$306+EN$263)</f>
        <v>0</v>
      </c>
      <c r="EO306" s="48" t="n">
        <f aca="false">IF(EO$7=1,EO$263,EN$306+EO$263)</f>
        <v>0</v>
      </c>
      <c r="EP306" s="48" t="n">
        <f aca="false">IF(EP$7=1,EP$263,EO$306+EP$263)</f>
        <v>0</v>
      </c>
      <c r="EQ306" s="48" t="n">
        <f aca="false">IF(EQ$7=1,EQ$263,EP$306+EQ$263)</f>
        <v>0</v>
      </c>
      <c r="ER306" s="48" t="n">
        <f aca="false">IF(ER$7=1,ER$263,EQ$306+ER$263)</f>
        <v>0</v>
      </c>
      <c r="ES306" s="48" t="n">
        <f aca="false">IF(ES$7=1,ES$263,ER$306+ES$263)</f>
        <v>0</v>
      </c>
    </row>
    <row r="307" customFormat="false" ht="15" hidden="false" customHeight="false" outlineLevel="0" collapsed="false">
      <c r="A307" s="11" t="s">
        <v>1424</v>
      </c>
      <c r="B307" s="15" t="s">
        <v>1265</v>
      </c>
      <c r="C307" s="15" t="s">
        <v>508</v>
      </c>
      <c r="F307" s="48" t="n">
        <f aca="false">0</f>
        <v>0</v>
      </c>
      <c r="G307" s="48" t="n">
        <f aca="false">IF(G$7=1,F$306,F$307)</f>
        <v>0</v>
      </c>
      <c r="H307" s="48" t="n">
        <f aca="false">IF(H$7=1,G$306,G$307)</f>
        <v>0</v>
      </c>
      <c r="I307" s="48" t="n">
        <f aca="false">IF(I$7=1,H$306,H$307)</f>
        <v>0</v>
      </c>
      <c r="J307" s="48" t="n">
        <f aca="false">IF(J$7=1,I$306,I$307)</f>
        <v>0</v>
      </c>
      <c r="K307" s="48" t="n">
        <f aca="false">IF(K$7=1,J$306,J$307)</f>
        <v>0</v>
      </c>
      <c r="L307" s="48" t="n">
        <f aca="false">IF(L$7=1,K$306,K$307)</f>
        <v>0</v>
      </c>
      <c r="M307" s="48" t="n">
        <f aca="false">IF(M$7=1,L$306,L$307)</f>
        <v>0</v>
      </c>
      <c r="N307" s="48" t="n">
        <f aca="false">IF(N$7=1,M$306,M$307)</f>
        <v>0</v>
      </c>
      <c r="O307" s="48" t="n">
        <f aca="false">IF(O$7=1,N$306,N$307)</f>
        <v>0</v>
      </c>
      <c r="P307" s="48" t="n">
        <f aca="false">IF(P$7=1,O$306,O$307)</f>
        <v>0</v>
      </c>
      <c r="Q307" s="48" t="n">
        <f aca="false">IF(Q$7=1,P$306,P$307)</f>
        <v>0</v>
      </c>
      <c r="R307" s="48" t="n">
        <f aca="false">IF(R$7=1,Q$306,Q$307)</f>
        <v>167275.864276051</v>
      </c>
      <c r="S307" s="48" t="n">
        <f aca="false">IF(S$7=1,R$306,R$307)</f>
        <v>167275.864276051</v>
      </c>
      <c r="T307" s="48" t="n">
        <f aca="false">IF(T$7=1,S$306,S$307)</f>
        <v>167275.864276051</v>
      </c>
      <c r="U307" s="48" t="n">
        <f aca="false">IF(U$7=1,T$306,T$307)</f>
        <v>167275.864276051</v>
      </c>
      <c r="V307" s="48" t="n">
        <f aca="false">IF(V$7=1,U$306,U$307)</f>
        <v>167275.864276051</v>
      </c>
      <c r="W307" s="48" t="n">
        <f aca="false">IF(W$7=1,V$306,V$307)</f>
        <v>167275.864276051</v>
      </c>
      <c r="X307" s="48" t="n">
        <f aca="false">IF(X$7=1,W$306,W$307)</f>
        <v>167275.864276051</v>
      </c>
      <c r="Y307" s="48" t="n">
        <f aca="false">IF(Y$7=1,X$306,X$307)</f>
        <v>167275.864276051</v>
      </c>
      <c r="Z307" s="48" t="n">
        <f aca="false">IF(Z$7=1,Y$306,Y$307)</f>
        <v>167275.864276051</v>
      </c>
      <c r="AA307" s="48" t="n">
        <f aca="false">IF(AA$7=1,Z$306,Z$307)</f>
        <v>167275.864276051</v>
      </c>
      <c r="AB307" s="48" t="n">
        <f aca="false">IF(AB$7=1,AA$306,AA$307)</f>
        <v>167275.864276051</v>
      </c>
      <c r="AC307" s="48" t="n">
        <f aca="false">IF(AC$7=1,AB$306,AB$307)</f>
        <v>167275.864276051</v>
      </c>
      <c r="AD307" s="48" t="n">
        <f aca="false">IF(AD$7=1,AC$306,AC$307)</f>
        <v>658090.372806125</v>
      </c>
      <c r="AE307" s="48" t="n">
        <f aca="false">IF(AE$7=1,AD$306,AD$307)</f>
        <v>658090.372806125</v>
      </c>
      <c r="AF307" s="48" t="n">
        <f aca="false">IF(AF$7=1,AE$306,AE$307)</f>
        <v>658090.372806125</v>
      </c>
      <c r="AG307" s="48" t="n">
        <f aca="false">IF(AG$7=1,AF$306,AF$307)</f>
        <v>658090.372806125</v>
      </c>
      <c r="AH307" s="48" t="n">
        <f aca="false">IF(AH$7=1,AG$306,AG$307)</f>
        <v>658090.372806125</v>
      </c>
      <c r="AI307" s="48" t="n">
        <f aca="false">IF(AI$7=1,AH$306,AH$307)</f>
        <v>658090.372806125</v>
      </c>
      <c r="AJ307" s="48" t="n">
        <f aca="false">IF(AJ$7=1,AI$306,AI$307)</f>
        <v>658090.372806125</v>
      </c>
      <c r="AK307" s="48" t="n">
        <f aca="false">IF(AK$7=1,AJ$306,AJ$307)</f>
        <v>658090.372806125</v>
      </c>
      <c r="AL307" s="48" t="n">
        <f aca="false">IF(AL$7=1,AK$306,AK$307)</f>
        <v>658090.372806125</v>
      </c>
      <c r="AM307" s="48" t="n">
        <f aca="false">IF(AM$7=1,AL$306,AL$307)</f>
        <v>658090.372806125</v>
      </c>
      <c r="AN307" s="48" t="n">
        <f aca="false">IF(AN$7=1,AM$306,AM$307)</f>
        <v>658090.372806125</v>
      </c>
      <c r="AO307" s="48" t="n">
        <f aca="false">IF(AO$7=1,AN$306,AN$307)</f>
        <v>658090.372806125</v>
      </c>
      <c r="AP307" s="48" t="n">
        <f aca="false">IF(AP$7=1,AO$306,AO$307)</f>
        <v>1154012.18844033</v>
      </c>
      <c r="AQ307" s="48" t="n">
        <f aca="false">IF(AQ$7=1,AP$306,AP$307)</f>
        <v>1154012.18844033</v>
      </c>
      <c r="AR307" s="48" t="n">
        <f aca="false">IF(AR$7=1,AQ$306,AQ$307)</f>
        <v>1154012.18844033</v>
      </c>
      <c r="AS307" s="48" t="n">
        <f aca="false">IF(AS$7=1,AR$306,AR$307)</f>
        <v>1154012.18844033</v>
      </c>
      <c r="AT307" s="48" t="n">
        <f aca="false">IF(AT$7=1,AS$306,AS$307)</f>
        <v>1154012.18844033</v>
      </c>
      <c r="AU307" s="48" t="n">
        <f aca="false">IF(AU$7=1,AT$306,AT$307)</f>
        <v>1154012.18844033</v>
      </c>
      <c r="AV307" s="48" t="n">
        <f aca="false">IF(AV$7=1,AU$306,AU$307)</f>
        <v>1154012.18844033</v>
      </c>
      <c r="AW307" s="48" t="n">
        <f aca="false">IF(AW$7=1,AV$306,AV$307)</f>
        <v>1154012.18844033</v>
      </c>
      <c r="AX307" s="48" t="n">
        <f aca="false">IF(AX$7=1,AW$306,AW$307)</f>
        <v>1154012.18844033</v>
      </c>
      <c r="AY307" s="48" t="n">
        <f aca="false">IF(AY$7=1,AX$306,AX$307)</f>
        <v>1154012.18844033</v>
      </c>
      <c r="AZ307" s="48" t="n">
        <f aca="false">IF(AZ$7=1,AY$306,AY$307)</f>
        <v>1154012.18844033</v>
      </c>
      <c r="BA307" s="48" t="n">
        <f aca="false">IF(BA$7=1,AZ$306,AZ$307)</f>
        <v>1154012.18844033</v>
      </c>
      <c r="BB307" s="48" t="n">
        <f aca="false">IF(BB$7=1,BA$306,BA$307)</f>
        <v>1609906.75676184</v>
      </c>
      <c r="BC307" s="48" t="n">
        <f aca="false">IF(BC$7=1,BB$306,BB$307)</f>
        <v>1609906.75676184</v>
      </c>
      <c r="BD307" s="48" t="n">
        <f aca="false">IF(BD$7=1,BC$306,BC$307)</f>
        <v>1609906.75676184</v>
      </c>
      <c r="BE307" s="48" t="n">
        <f aca="false">IF(BE$7=1,BD$306,BD$307)</f>
        <v>1609906.75676184</v>
      </c>
      <c r="BF307" s="48" t="n">
        <f aca="false">IF(BF$7=1,BE$306,BE$307)</f>
        <v>1609906.75676184</v>
      </c>
      <c r="BG307" s="48" t="n">
        <f aca="false">IF(BG$7=1,BF$306,BF$307)</f>
        <v>1609906.75676184</v>
      </c>
      <c r="BH307" s="48" t="n">
        <f aca="false">IF(BH$7=1,BG$306,BG$307)</f>
        <v>1609906.75676184</v>
      </c>
      <c r="BI307" s="48" t="n">
        <f aca="false">IF(BI$7=1,BH$306,BH$307)</f>
        <v>1609906.75676184</v>
      </c>
      <c r="BJ307" s="48" t="n">
        <f aca="false">IF(BJ$7=1,BI$306,BI$307)</f>
        <v>1609906.75676184</v>
      </c>
      <c r="BK307" s="48" t="n">
        <f aca="false">IF(BK$7=1,BJ$306,BJ$307)</f>
        <v>1609906.75676184</v>
      </c>
      <c r="BL307" s="48" t="n">
        <f aca="false">IF(BL$7=1,BK$306,BK$307)</f>
        <v>1609906.75676184</v>
      </c>
      <c r="BM307" s="48" t="n">
        <f aca="false">IF(BM$7=1,BL$306,BL$307)</f>
        <v>1609906.75676184</v>
      </c>
      <c r="BN307" s="48" t="n">
        <f aca="false">IF(BN$7=1,BM$306,BM$307)</f>
        <v>1693767.79358213</v>
      </c>
      <c r="BO307" s="48" t="n">
        <f aca="false">IF(BO$7=1,BN$306,BN$307)</f>
        <v>1693767.79358213</v>
      </c>
      <c r="BP307" s="48" t="n">
        <f aca="false">IF(BP$7=1,BO$306,BO$307)</f>
        <v>1693767.79358213</v>
      </c>
      <c r="BQ307" s="48" t="n">
        <f aca="false">IF(BQ$7=1,BP$306,BP$307)</f>
        <v>1693767.79358213</v>
      </c>
      <c r="BR307" s="48" t="n">
        <f aca="false">IF(BR$7=1,BQ$306,BQ$307)</f>
        <v>1693767.79358213</v>
      </c>
      <c r="BS307" s="48" t="n">
        <f aca="false">IF(BS$7=1,BR$306,BR$307)</f>
        <v>1693767.79358213</v>
      </c>
      <c r="BT307" s="48" t="n">
        <f aca="false">IF(BT$7=1,BS$306,BS$307)</f>
        <v>1693767.79358213</v>
      </c>
      <c r="BU307" s="48" t="n">
        <f aca="false">IF(BU$7=1,BT$306,BT$307)</f>
        <v>1693767.79358213</v>
      </c>
      <c r="BV307" s="48" t="n">
        <f aca="false">IF(BV$7=1,BU$306,BU$307)</f>
        <v>1693767.79358213</v>
      </c>
      <c r="BW307" s="48" t="n">
        <f aca="false">IF(BW$7=1,BV$306,BV$307)</f>
        <v>1693767.79358213</v>
      </c>
      <c r="BX307" s="48" t="n">
        <f aca="false">IF(BX$7=1,BW$306,BW$307)</f>
        <v>1693767.79358213</v>
      </c>
      <c r="BY307" s="48" t="n">
        <f aca="false">IF(BY$7=1,BX$306,BX$307)</f>
        <v>1693767.79358213</v>
      </c>
      <c r="BZ307" s="48" t="n">
        <f aca="false">IF(BZ$7=1,BY$306,BY$307)</f>
        <v>1794188.69257391</v>
      </c>
      <c r="CA307" s="48" t="n">
        <f aca="false">IF(CA$7=1,BZ$306,BZ$307)</f>
        <v>1794188.69257391</v>
      </c>
      <c r="CB307" s="48" t="n">
        <f aca="false">IF(CB$7=1,CA$306,CA$307)</f>
        <v>1794188.69257391</v>
      </c>
      <c r="CC307" s="48" t="n">
        <f aca="false">IF(CC$7=1,CB$306,CB$307)</f>
        <v>1794188.69257391</v>
      </c>
      <c r="CD307" s="48" t="n">
        <f aca="false">IF(CD$7=1,CC$306,CC$307)</f>
        <v>1794188.69257391</v>
      </c>
      <c r="CE307" s="48" t="n">
        <f aca="false">IF(CE$7=1,CD$306,CD$307)</f>
        <v>1794188.69257391</v>
      </c>
      <c r="CF307" s="48" t="n">
        <f aca="false">IF(CF$7=1,CE$306,CE$307)</f>
        <v>1794188.69257391</v>
      </c>
      <c r="CG307" s="48" t="n">
        <f aca="false">IF(CG$7=1,CF$306,CF$307)</f>
        <v>1794188.69257391</v>
      </c>
      <c r="CH307" s="48" t="n">
        <f aca="false">IF(CH$7=1,CG$306,CG$307)</f>
        <v>1794188.69257391</v>
      </c>
      <c r="CI307" s="48" t="n">
        <f aca="false">IF(CI$7=1,CH$306,CH$307)</f>
        <v>1794188.69257391</v>
      </c>
      <c r="CJ307" s="48" t="n">
        <f aca="false">IF(CJ$7=1,CI$306,CI$307)</f>
        <v>1794188.69257391</v>
      </c>
      <c r="CK307" s="48" t="n">
        <f aca="false">IF(CK$7=1,CJ$306,CJ$307)</f>
        <v>1794188.69257391</v>
      </c>
      <c r="CL307" s="48" t="n">
        <f aca="false">IF(CL$7=1,CK$306,CK$307)</f>
        <v>1843575.6608728</v>
      </c>
      <c r="CM307" s="48" t="n">
        <f aca="false">IF(CM$7=1,CL$306,CL$307)</f>
        <v>1843575.6608728</v>
      </c>
      <c r="CN307" s="48" t="n">
        <f aca="false">IF(CN$7=1,CM$306,CM$307)</f>
        <v>1843575.6608728</v>
      </c>
      <c r="CO307" s="48" t="n">
        <f aca="false">IF(CO$7=1,CN$306,CN$307)</f>
        <v>1843575.6608728</v>
      </c>
      <c r="CP307" s="48" t="n">
        <f aca="false">IF(CP$7=1,CO$306,CO$307)</f>
        <v>1843575.6608728</v>
      </c>
      <c r="CQ307" s="48" t="n">
        <f aca="false">IF(CQ$7=1,CP$306,CP$307)</f>
        <v>1843575.6608728</v>
      </c>
      <c r="CR307" s="48" t="n">
        <f aca="false">IF(CR$7=1,CQ$306,CQ$307)</f>
        <v>1843575.6608728</v>
      </c>
      <c r="CS307" s="48" t="n">
        <f aca="false">IF(CS$7=1,CR$306,CR$307)</f>
        <v>1843575.6608728</v>
      </c>
      <c r="CT307" s="48" t="n">
        <f aca="false">IF(CT$7=1,CS$306,CS$307)</f>
        <v>1843575.6608728</v>
      </c>
      <c r="CU307" s="48" t="n">
        <f aca="false">IF(CU$7=1,CT$306,CT$307)</f>
        <v>1843575.6608728</v>
      </c>
      <c r="CV307" s="48" t="n">
        <f aca="false">IF(CV$7=1,CU$306,CU$307)</f>
        <v>1843575.6608728</v>
      </c>
      <c r="CW307" s="48" t="n">
        <f aca="false">IF(CW$7=1,CV$306,CV$307)</f>
        <v>1843575.6608728</v>
      </c>
      <c r="CX307" s="48" t="n">
        <f aca="false">IF(CX$7=1,CW$306,CW$307)</f>
        <v>1893301.21355545</v>
      </c>
      <c r="CY307" s="48" t="n">
        <f aca="false">IF(CY$7=1,CX$306,CX$307)</f>
        <v>1893301.21355545</v>
      </c>
      <c r="CZ307" s="48" t="n">
        <f aca="false">IF(CZ$7=1,CY$306,CY$307)</f>
        <v>1893301.21355545</v>
      </c>
      <c r="DA307" s="48" t="n">
        <f aca="false">IF(DA$7=1,CZ$306,CZ$307)</f>
        <v>1893301.21355545</v>
      </c>
      <c r="DB307" s="48" t="n">
        <f aca="false">IF(DB$7=1,DA$306,DA$307)</f>
        <v>1893301.21355545</v>
      </c>
      <c r="DC307" s="48" t="n">
        <f aca="false">IF(DC$7=1,DB$306,DB$307)</f>
        <v>1893301.21355545</v>
      </c>
      <c r="DD307" s="48" t="n">
        <f aca="false">IF(DD$7=1,DC$306,DC$307)</f>
        <v>1893301.21355545</v>
      </c>
      <c r="DE307" s="48" t="n">
        <f aca="false">IF(DE$7=1,DD$306,DD$307)</f>
        <v>1893301.21355545</v>
      </c>
      <c r="DF307" s="48" t="n">
        <f aca="false">IF(DF$7=1,DE$306,DE$307)</f>
        <v>1893301.21355545</v>
      </c>
      <c r="DG307" s="48" t="n">
        <f aca="false">IF(DG$7=1,DF$306,DF$307)</f>
        <v>1893301.21355545</v>
      </c>
      <c r="DH307" s="48" t="n">
        <f aca="false">IF(DH$7=1,DG$306,DG$307)</f>
        <v>1893301.21355545</v>
      </c>
      <c r="DI307" s="48" t="n">
        <f aca="false">IF(DI$7=1,DH$306,DH$307)</f>
        <v>1893301.21355545</v>
      </c>
      <c r="DJ307" s="48" t="n">
        <f aca="false">IF(DJ$7=1,DI$306,DI$307)</f>
        <v>1943364.14678689</v>
      </c>
      <c r="DK307" s="48" t="n">
        <f aca="false">IF(DK$7=1,DJ$306,DJ$307)</f>
        <v>1943364.14678689</v>
      </c>
      <c r="DL307" s="48" t="n">
        <f aca="false">IF(DL$7=1,DK$306,DK$307)</f>
        <v>1943364.14678689</v>
      </c>
      <c r="DM307" s="48" t="n">
        <f aca="false">IF(DM$7=1,DL$306,DL$307)</f>
        <v>1943364.14678689</v>
      </c>
      <c r="DN307" s="48" t="n">
        <f aca="false">IF(DN$7=1,DM$306,DM$307)</f>
        <v>1943364.14678689</v>
      </c>
      <c r="DO307" s="48" t="n">
        <f aca="false">IF(DO$7=1,DN$306,DN$307)</f>
        <v>1943364.14678689</v>
      </c>
      <c r="DP307" s="48" t="n">
        <f aca="false">IF(DP$7=1,DO$306,DO$307)</f>
        <v>1943364.14678689</v>
      </c>
      <c r="DQ307" s="48" t="n">
        <f aca="false">IF(DQ$7=1,DP$306,DP$307)</f>
        <v>1943364.14678689</v>
      </c>
      <c r="DR307" s="48" t="n">
        <f aca="false">IF(DR$7=1,DQ$306,DQ$307)</f>
        <v>1943364.14678689</v>
      </c>
      <c r="DS307" s="48" t="n">
        <f aca="false">IF(DS$7=1,DR$306,DR$307)</f>
        <v>1943364.14678689</v>
      </c>
      <c r="DT307" s="48" t="n">
        <f aca="false">IF(DT$7=1,DS$306,DS$307)</f>
        <v>1943364.14678689</v>
      </c>
      <c r="DU307" s="48" t="n">
        <f aca="false">IF(DU$7=1,DT$306,DT$307)</f>
        <v>1943364.14678689</v>
      </c>
      <c r="DV307" s="48" t="n">
        <f aca="false">IF(DV$7=1,DU$306,DU$307)</f>
        <v>1993763.10838103</v>
      </c>
      <c r="DW307" s="48" t="n">
        <f aca="false">IF(DW$7=1,DV$306,DV$307)</f>
        <v>1993763.10838103</v>
      </c>
      <c r="DX307" s="48" t="n">
        <f aca="false">IF(DX$7=1,DW$306,DW$307)</f>
        <v>1993763.10838103</v>
      </c>
      <c r="DY307" s="48" t="n">
        <f aca="false">IF(DY$7=1,DX$306,DX$307)</f>
        <v>1993763.10838103</v>
      </c>
      <c r="DZ307" s="48" t="n">
        <f aca="false">IF(DZ$7=1,DY$306,DY$307)</f>
        <v>1993763.10838103</v>
      </c>
      <c r="EA307" s="48" t="n">
        <f aca="false">IF(EA$7=1,DZ$306,DZ$307)</f>
        <v>1993763.10838103</v>
      </c>
      <c r="EB307" s="48" t="n">
        <f aca="false">IF(EB$7=1,EA$306,EA$307)</f>
        <v>1993763.10838103</v>
      </c>
      <c r="EC307" s="48" t="n">
        <f aca="false">IF(EC$7=1,EB$306,EB$307)</f>
        <v>1993763.10838103</v>
      </c>
      <c r="ED307" s="48" t="n">
        <f aca="false">IF(ED$7=1,EC$306,EC$307)</f>
        <v>1993763.10838103</v>
      </c>
      <c r="EE307" s="48" t="n">
        <f aca="false">IF(EE$7=1,ED$306,ED$307)</f>
        <v>1993763.10838103</v>
      </c>
      <c r="EF307" s="48" t="n">
        <f aca="false">IF(EF$7=1,EE$306,EE$307)</f>
        <v>1993763.10838103</v>
      </c>
      <c r="EG307" s="48" t="n">
        <f aca="false">IF(EG$7=1,EF$306,EF$307)</f>
        <v>1993763.10838103</v>
      </c>
      <c r="EH307" s="48" t="n">
        <f aca="false">IF(EH$7=1,EG$306,EG$307)</f>
        <v>0</v>
      </c>
      <c r="EI307" s="48" t="n">
        <f aca="false">IF(EI$7=1,EH$306,EH$307)</f>
        <v>0</v>
      </c>
      <c r="EJ307" s="48" t="n">
        <f aca="false">IF(EJ$7=1,EI$306,EI$307)</f>
        <v>0</v>
      </c>
      <c r="EK307" s="48" t="n">
        <f aca="false">IF(EK$7=1,EJ$306,EJ$307)</f>
        <v>0</v>
      </c>
      <c r="EL307" s="48" t="n">
        <f aca="false">IF(EL$7=1,EK$306,EK$307)</f>
        <v>0</v>
      </c>
      <c r="EM307" s="48" t="n">
        <f aca="false">IF(EM$7=1,EL$306,EL$307)</f>
        <v>0</v>
      </c>
      <c r="EN307" s="48" t="n">
        <f aca="false">IF(EN$7=1,EM$306,EM$307)</f>
        <v>0</v>
      </c>
      <c r="EO307" s="48" t="n">
        <f aca="false">IF(EO$7=1,EN$306,EN$307)</f>
        <v>0</v>
      </c>
      <c r="EP307" s="48" t="n">
        <f aca="false">IF(EP$7=1,EO$306,EO$307)</f>
        <v>0</v>
      </c>
      <c r="EQ307" s="48" t="n">
        <f aca="false">IF(EQ$7=1,EP$306,EP$307)</f>
        <v>0</v>
      </c>
      <c r="ER307" s="48" t="n">
        <f aca="false">IF(ER$7=1,EQ$306,EQ$307)</f>
        <v>0</v>
      </c>
      <c r="ES307" s="48" t="n">
        <f aca="false">IF(ES$7=1,ER$306,ER$307)</f>
        <v>0</v>
      </c>
    </row>
    <row r="308" customFormat="false" ht="15" hidden="false" customHeight="false" outlineLevel="0" collapsed="false">
      <c r="A308" s="11" t="s">
        <v>1425</v>
      </c>
      <c r="B308" s="15" t="s">
        <v>1267</v>
      </c>
      <c r="C308" s="15" t="s">
        <v>508</v>
      </c>
      <c r="E308" s="54" t="n">
        <f aca="false">SUM(F308:ES308)</f>
        <v>10319354.5422842</v>
      </c>
      <c r="F308" s="48" t="n">
        <f aca="false">IF(AND(F$7=MAX(1,V_MesDiv),F$6&gt;=2),INDEX(Payout_V,1,MIN(10,F$6-1))*MAX(0,F$307),0)*F$9</f>
        <v>0</v>
      </c>
      <c r="G308" s="48" t="n">
        <f aca="false">IF(AND(G$7=MAX(1,V_MesDiv),G$6&gt;=2),INDEX(Payout_V,1,MIN(10,G$6-1))*MAX(0,G$307),0)*G$9</f>
        <v>0</v>
      </c>
      <c r="H308" s="48" t="n">
        <f aca="false">IF(AND(H$7=MAX(1,V_MesDiv),H$6&gt;=2),INDEX(Payout_V,1,MIN(10,H$6-1))*MAX(0,H$307),0)*H$9</f>
        <v>0</v>
      </c>
      <c r="I308" s="48" t="n">
        <f aca="false">IF(AND(I$7=MAX(1,V_MesDiv),I$6&gt;=2),INDEX(Payout_V,1,MIN(10,I$6-1))*MAX(0,I$307),0)*I$9</f>
        <v>0</v>
      </c>
      <c r="J308" s="48" t="n">
        <f aca="false">IF(AND(J$7=MAX(1,V_MesDiv),J$6&gt;=2),INDEX(Payout_V,1,MIN(10,J$6-1))*MAX(0,J$307),0)*J$9</f>
        <v>0</v>
      </c>
      <c r="K308" s="48" t="n">
        <f aca="false">IF(AND(K$7=MAX(1,V_MesDiv),K$6&gt;=2),INDEX(Payout_V,1,MIN(10,K$6-1))*MAX(0,K$307),0)*K$9</f>
        <v>0</v>
      </c>
      <c r="L308" s="48" t="n">
        <f aca="false">IF(AND(L$7=MAX(1,V_MesDiv),L$6&gt;=2),INDEX(Payout_V,1,MIN(10,L$6-1))*MAX(0,L$307),0)*L$9</f>
        <v>0</v>
      </c>
      <c r="M308" s="48" t="n">
        <f aca="false">IF(AND(M$7=MAX(1,V_MesDiv),M$6&gt;=2),INDEX(Payout_V,1,MIN(10,M$6-1))*MAX(0,M$307),0)*M$9</f>
        <v>0</v>
      </c>
      <c r="N308" s="48" t="n">
        <f aca="false">IF(AND(N$7=MAX(1,V_MesDiv),N$6&gt;=2),INDEX(Payout_V,1,MIN(10,N$6-1))*MAX(0,N$307),0)*N$9</f>
        <v>0</v>
      </c>
      <c r="O308" s="48" t="n">
        <f aca="false">IF(AND(O$7=MAX(1,V_MesDiv),O$6&gt;=2),INDEX(Payout_V,1,MIN(10,O$6-1))*MAX(0,O$307),0)*O$9</f>
        <v>0</v>
      </c>
      <c r="P308" s="48" t="n">
        <f aca="false">IF(AND(P$7=MAX(1,V_MesDiv),P$6&gt;=2),INDEX(Payout_V,1,MIN(10,P$6-1))*MAX(0,P$307),0)*P$9</f>
        <v>0</v>
      </c>
      <c r="Q308" s="48" t="n">
        <f aca="false">IF(AND(Q$7=MAX(1,V_MesDiv),Q$6&gt;=2),INDEX(Payout_V,1,MIN(10,Q$6-1))*MAX(0,Q$307),0)*Q$9</f>
        <v>0</v>
      </c>
      <c r="R308" s="48" t="n">
        <f aca="false">IF(AND(R$7=MAX(1,V_MesDiv),R$6&gt;=2),INDEX(Payout_V,1,MIN(10,R$6-1))*MAX(0,R$307),0)*R$9</f>
        <v>0</v>
      </c>
      <c r="S308" s="48" t="n">
        <f aca="false">IF(AND(S$7=MAX(1,V_MesDiv),S$6&gt;=2),INDEX(Payout_V,1,MIN(10,S$6-1))*MAX(0,S$307),0)*S$9</f>
        <v>0</v>
      </c>
      <c r="T308" s="48" t="n">
        <f aca="false">IF(AND(T$7=MAX(1,V_MesDiv),T$6&gt;=2),INDEX(Payout_V,1,MIN(10,T$6-1))*MAX(0,T$307),0)*T$9</f>
        <v>0</v>
      </c>
      <c r="U308" s="48" t="n">
        <f aca="false">IF(AND(U$7=MAX(1,V_MesDiv),U$6&gt;=2),INDEX(Payout_V,1,MIN(10,U$6-1))*MAX(0,U$307),0)*U$9</f>
        <v>0</v>
      </c>
      <c r="V308" s="48" t="n">
        <f aca="false">IF(AND(V$7=MAX(1,V_MesDiv),V$6&gt;=2),INDEX(Payout_V,1,MIN(10,V$6-1))*MAX(0,V$307),0)*V$9</f>
        <v>0</v>
      </c>
      <c r="W308" s="48" t="n">
        <f aca="false">IF(AND(W$7=MAX(1,V_MesDiv),W$6&gt;=2),INDEX(Payout_V,1,MIN(10,W$6-1))*MAX(0,W$307),0)*W$9</f>
        <v>0</v>
      </c>
      <c r="X308" s="48" t="n">
        <f aca="false">IF(AND(X$7=MAX(1,V_MesDiv),X$6&gt;=2),INDEX(Payout_V,1,MIN(10,X$6-1))*MAX(0,X$307),0)*X$9</f>
        <v>0</v>
      </c>
      <c r="Y308" s="48" t="n">
        <f aca="false">IF(AND(Y$7=MAX(1,V_MesDiv),Y$6&gt;=2),INDEX(Payout_V,1,MIN(10,Y$6-1))*MAX(0,Y$307),0)*Y$9</f>
        <v>0</v>
      </c>
      <c r="Z308" s="48" t="n">
        <f aca="false">IF(AND(Z$7=MAX(1,V_MesDiv),Z$6&gt;=2),INDEX(Payout_V,1,MIN(10,Z$6-1))*MAX(0,Z$307),0)*Z$9</f>
        <v>0</v>
      </c>
      <c r="AA308" s="48" t="n">
        <f aca="false">IF(AND(AA$7=MAX(1,V_MesDiv),AA$6&gt;=2),INDEX(Payout_V,1,MIN(10,AA$6-1))*MAX(0,AA$307),0)*AA$9</f>
        <v>0</v>
      </c>
      <c r="AB308" s="48" t="n">
        <f aca="false">IF(AND(AB$7=MAX(1,V_MesDiv),AB$6&gt;=2),INDEX(Payout_V,1,MIN(10,AB$6-1))*MAX(0,AB$307),0)*AB$9</f>
        <v>0</v>
      </c>
      <c r="AC308" s="48" t="n">
        <f aca="false">IF(AND(AC$7=MAX(1,V_MesDiv),AC$6&gt;=2),INDEX(Payout_V,1,MIN(10,AC$6-1))*MAX(0,AC$307),0)*AC$9</f>
        <v>0</v>
      </c>
      <c r="AD308" s="48" t="n">
        <f aca="false">IF(AND(AD$7=MAX(1,V_MesDiv),AD$6&gt;=2),INDEX(Payout_V,1,MIN(10,AD$6-1))*MAX(0,AD$307),0)*AD$9</f>
        <v>0</v>
      </c>
      <c r="AE308" s="48" t="n">
        <f aca="false">IF(AND(AE$7=MAX(1,V_MesDiv),AE$6&gt;=2),INDEX(Payout_V,1,MIN(10,AE$6-1))*MAX(0,AE$307),0)*AE$9</f>
        <v>0</v>
      </c>
      <c r="AF308" s="48" t="n">
        <f aca="false">IF(AND(AF$7=MAX(1,V_MesDiv),AF$6&gt;=2),INDEX(Payout_V,1,MIN(10,AF$6-1))*MAX(0,AF$307),0)*AF$9</f>
        <v>0</v>
      </c>
      <c r="AG308" s="48" t="n">
        <f aca="false">IF(AND(AG$7=MAX(1,V_MesDiv),AG$6&gt;=2),INDEX(Payout_V,1,MIN(10,AG$6-1))*MAX(0,AG$307),0)*AG$9</f>
        <v>0</v>
      </c>
      <c r="AH308" s="48" t="n">
        <f aca="false">IF(AND(AH$7=MAX(1,V_MesDiv),AH$6&gt;=2),INDEX(Payout_V,1,MIN(10,AH$6-1))*MAX(0,AH$307),0)*AH$9</f>
        <v>0</v>
      </c>
      <c r="AI308" s="48" t="n">
        <f aca="false">IF(AND(AI$7=MAX(1,V_MesDiv),AI$6&gt;=2),INDEX(Payout_V,1,MIN(10,AI$6-1))*MAX(0,AI$307),0)*AI$9</f>
        <v>0</v>
      </c>
      <c r="AJ308" s="48" t="n">
        <f aca="false">IF(AND(AJ$7=MAX(1,V_MesDiv),AJ$6&gt;=2),INDEX(Payout_V,1,MIN(10,AJ$6-1))*MAX(0,AJ$307),0)*AJ$9</f>
        <v>0</v>
      </c>
      <c r="AK308" s="48" t="n">
        <f aca="false">IF(AND(AK$7=MAX(1,V_MesDiv),AK$6&gt;=2),INDEX(Payout_V,1,MIN(10,AK$6-1))*MAX(0,AK$307),0)*AK$9</f>
        <v>0</v>
      </c>
      <c r="AL308" s="48" t="n">
        <f aca="false">IF(AND(AL$7=MAX(1,V_MesDiv),AL$6&gt;=2),INDEX(Payout_V,1,MIN(10,AL$6-1))*MAX(0,AL$307),0)*AL$9</f>
        <v>0</v>
      </c>
      <c r="AM308" s="48" t="n">
        <f aca="false">IF(AND(AM$7=MAX(1,V_MesDiv),AM$6&gt;=2),INDEX(Payout_V,1,MIN(10,AM$6-1))*MAX(0,AM$307),0)*AM$9</f>
        <v>0</v>
      </c>
      <c r="AN308" s="48" t="n">
        <f aca="false">IF(AND(AN$7=MAX(1,V_MesDiv),AN$6&gt;=2),INDEX(Payout_V,1,MIN(10,AN$6-1))*MAX(0,AN$307),0)*AN$9</f>
        <v>0</v>
      </c>
      <c r="AO308" s="48" t="n">
        <f aca="false">IF(AND(AO$7=MAX(1,V_MesDiv),AO$6&gt;=2),INDEX(Payout_V,1,MIN(10,AO$6-1))*MAX(0,AO$307),0)*AO$9</f>
        <v>0</v>
      </c>
      <c r="AP308" s="48" t="n">
        <f aca="false">IF(AND(AP$7=MAX(1,V_MesDiv),AP$6&gt;=2),INDEX(Payout_V,1,MIN(10,AP$6-1))*MAX(0,AP$307),0)*AP$9</f>
        <v>0</v>
      </c>
      <c r="AQ308" s="48" t="n">
        <f aca="false">IF(AND(AQ$7=MAX(1,V_MesDiv),AQ$6&gt;=2),INDEX(Payout_V,1,MIN(10,AQ$6-1))*MAX(0,AQ$307),0)*AQ$9</f>
        <v>0</v>
      </c>
      <c r="AR308" s="48" t="n">
        <f aca="false">IF(AND(AR$7=MAX(1,V_MesDiv),AR$6&gt;=2),INDEX(Payout_V,1,MIN(10,AR$6-1))*MAX(0,AR$307),0)*AR$9</f>
        <v>0</v>
      </c>
      <c r="AS308" s="48" t="n">
        <f aca="false">IF(AND(AS$7=MAX(1,V_MesDiv),AS$6&gt;=2),INDEX(Payout_V,1,MIN(10,AS$6-1))*MAX(0,AS$307),0)*AS$9</f>
        <v>346203.656532099</v>
      </c>
      <c r="AT308" s="48" t="n">
        <f aca="false">IF(AND(AT$7=MAX(1,V_MesDiv),AT$6&gt;=2),INDEX(Payout_V,1,MIN(10,AT$6-1))*MAX(0,AT$307),0)*AT$9</f>
        <v>0</v>
      </c>
      <c r="AU308" s="48" t="n">
        <f aca="false">IF(AND(AU$7=MAX(1,V_MesDiv),AU$6&gt;=2),INDEX(Payout_V,1,MIN(10,AU$6-1))*MAX(0,AU$307),0)*AU$9</f>
        <v>0</v>
      </c>
      <c r="AV308" s="48" t="n">
        <f aca="false">IF(AND(AV$7=MAX(1,V_MesDiv),AV$6&gt;=2),INDEX(Payout_V,1,MIN(10,AV$6-1))*MAX(0,AV$307),0)*AV$9</f>
        <v>0</v>
      </c>
      <c r="AW308" s="48" t="n">
        <f aca="false">IF(AND(AW$7=MAX(1,V_MesDiv),AW$6&gt;=2),INDEX(Payout_V,1,MIN(10,AW$6-1))*MAX(0,AW$307),0)*AW$9</f>
        <v>0</v>
      </c>
      <c r="AX308" s="48" t="n">
        <f aca="false">IF(AND(AX$7=MAX(1,V_MesDiv),AX$6&gt;=2),INDEX(Payout_V,1,MIN(10,AX$6-1))*MAX(0,AX$307),0)*AX$9</f>
        <v>0</v>
      </c>
      <c r="AY308" s="48" t="n">
        <f aca="false">IF(AND(AY$7=MAX(1,V_MesDiv),AY$6&gt;=2),INDEX(Payout_V,1,MIN(10,AY$6-1))*MAX(0,AY$307),0)*AY$9</f>
        <v>0</v>
      </c>
      <c r="AZ308" s="48" t="n">
        <f aca="false">IF(AND(AZ$7=MAX(1,V_MesDiv),AZ$6&gt;=2),INDEX(Payout_V,1,MIN(10,AZ$6-1))*MAX(0,AZ$307),0)*AZ$9</f>
        <v>0</v>
      </c>
      <c r="BA308" s="48" t="n">
        <f aca="false">IF(AND(BA$7=MAX(1,V_MesDiv),BA$6&gt;=2),INDEX(Payout_V,1,MIN(10,BA$6-1))*MAX(0,BA$307),0)*BA$9</f>
        <v>0</v>
      </c>
      <c r="BB308" s="48" t="n">
        <f aca="false">IF(AND(BB$7=MAX(1,V_MesDiv),BB$6&gt;=2),INDEX(Payout_V,1,MIN(10,BB$6-1))*MAX(0,BB$307),0)*BB$9</f>
        <v>0</v>
      </c>
      <c r="BC308" s="48" t="n">
        <f aca="false">IF(AND(BC$7=MAX(1,V_MesDiv),BC$6&gt;=2),INDEX(Payout_V,1,MIN(10,BC$6-1))*MAX(0,BC$307),0)*BC$9</f>
        <v>0</v>
      </c>
      <c r="BD308" s="48" t="n">
        <f aca="false">IF(AND(BD$7=MAX(1,V_MesDiv),BD$6&gt;=2),INDEX(Payout_V,1,MIN(10,BD$6-1))*MAX(0,BD$307),0)*BD$9</f>
        <v>0</v>
      </c>
      <c r="BE308" s="48" t="n">
        <f aca="false">IF(AND(BE$7=MAX(1,V_MesDiv),BE$6&gt;=2),INDEX(Payout_V,1,MIN(10,BE$6-1))*MAX(0,BE$307),0)*BE$9</f>
        <v>804953.378380922</v>
      </c>
      <c r="BF308" s="48" t="n">
        <f aca="false">IF(AND(BF$7=MAX(1,V_MesDiv),BF$6&gt;=2),INDEX(Payout_V,1,MIN(10,BF$6-1))*MAX(0,BF$307),0)*BF$9</f>
        <v>0</v>
      </c>
      <c r="BG308" s="48" t="n">
        <f aca="false">IF(AND(BG$7=MAX(1,V_MesDiv),BG$6&gt;=2),INDEX(Payout_V,1,MIN(10,BG$6-1))*MAX(0,BG$307),0)*BG$9</f>
        <v>0</v>
      </c>
      <c r="BH308" s="48" t="n">
        <f aca="false">IF(AND(BH$7=MAX(1,V_MesDiv),BH$6&gt;=2),INDEX(Payout_V,1,MIN(10,BH$6-1))*MAX(0,BH$307),0)*BH$9</f>
        <v>0</v>
      </c>
      <c r="BI308" s="48" t="n">
        <f aca="false">IF(AND(BI$7=MAX(1,V_MesDiv),BI$6&gt;=2),INDEX(Payout_V,1,MIN(10,BI$6-1))*MAX(0,BI$307),0)*BI$9</f>
        <v>0</v>
      </c>
      <c r="BJ308" s="48" t="n">
        <f aca="false">IF(AND(BJ$7=MAX(1,V_MesDiv),BJ$6&gt;=2),INDEX(Payout_V,1,MIN(10,BJ$6-1))*MAX(0,BJ$307),0)*BJ$9</f>
        <v>0</v>
      </c>
      <c r="BK308" s="48" t="n">
        <f aca="false">IF(AND(BK$7=MAX(1,V_MesDiv),BK$6&gt;=2),INDEX(Payout_V,1,MIN(10,BK$6-1))*MAX(0,BK$307),0)*BK$9</f>
        <v>0</v>
      </c>
      <c r="BL308" s="48" t="n">
        <f aca="false">IF(AND(BL$7=MAX(1,V_MesDiv),BL$6&gt;=2),INDEX(Payout_V,1,MIN(10,BL$6-1))*MAX(0,BL$307),0)*BL$9</f>
        <v>0</v>
      </c>
      <c r="BM308" s="48" t="n">
        <f aca="false">IF(AND(BM$7=MAX(1,V_MesDiv),BM$6&gt;=2),INDEX(Payout_V,1,MIN(10,BM$6-1))*MAX(0,BM$307),0)*BM$9</f>
        <v>0</v>
      </c>
      <c r="BN308" s="48" t="n">
        <f aca="false">IF(AND(BN$7=MAX(1,V_MesDiv),BN$6&gt;=2),INDEX(Payout_V,1,MIN(10,BN$6-1))*MAX(0,BN$307),0)*BN$9</f>
        <v>0</v>
      </c>
      <c r="BO308" s="48" t="n">
        <f aca="false">IF(AND(BO$7=MAX(1,V_MesDiv),BO$6&gt;=2),INDEX(Payout_V,1,MIN(10,BO$6-1))*MAX(0,BO$307),0)*BO$9</f>
        <v>0</v>
      </c>
      <c r="BP308" s="48" t="n">
        <f aca="false">IF(AND(BP$7=MAX(1,V_MesDiv),BP$6&gt;=2),INDEX(Payout_V,1,MIN(10,BP$6-1))*MAX(0,BP$307),0)*BP$9</f>
        <v>0</v>
      </c>
      <c r="BQ308" s="48" t="n">
        <f aca="false">IF(AND(BQ$7=MAX(1,V_MesDiv),BQ$6&gt;=2),INDEX(Payout_V,1,MIN(10,BQ$6-1))*MAX(0,BQ$307),0)*BQ$9</f>
        <v>1693767.79358213</v>
      </c>
      <c r="BR308" s="48" t="n">
        <f aca="false">IF(AND(BR$7=MAX(1,V_MesDiv),BR$6&gt;=2),INDEX(Payout_V,1,MIN(10,BR$6-1))*MAX(0,BR$307),0)*BR$9</f>
        <v>0</v>
      </c>
      <c r="BS308" s="48" t="n">
        <f aca="false">IF(AND(BS$7=MAX(1,V_MesDiv),BS$6&gt;=2),INDEX(Payout_V,1,MIN(10,BS$6-1))*MAX(0,BS$307),0)*BS$9</f>
        <v>0</v>
      </c>
      <c r="BT308" s="48" t="n">
        <f aca="false">IF(AND(BT$7=MAX(1,V_MesDiv),BT$6&gt;=2),INDEX(Payout_V,1,MIN(10,BT$6-1))*MAX(0,BT$307),0)*BT$9</f>
        <v>0</v>
      </c>
      <c r="BU308" s="48" t="n">
        <f aca="false">IF(AND(BU$7=MAX(1,V_MesDiv),BU$6&gt;=2),INDEX(Payout_V,1,MIN(10,BU$6-1))*MAX(0,BU$307),0)*BU$9</f>
        <v>0</v>
      </c>
      <c r="BV308" s="48" t="n">
        <f aca="false">IF(AND(BV$7=MAX(1,V_MesDiv),BV$6&gt;=2),INDEX(Payout_V,1,MIN(10,BV$6-1))*MAX(0,BV$307),0)*BV$9</f>
        <v>0</v>
      </c>
      <c r="BW308" s="48" t="n">
        <f aca="false">IF(AND(BW$7=MAX(1,V_MesDiv),BW$6&gt;=2),INDEX(Payout_V,1,MIN(10,BW$6-1))*MAX(0,BW$307),0)*BW$9</f>
        <v>0</v>
      </c>
      <c r="BX308" s="48" t="n">
        <f aca="false">IF(AND(BX$7=MAX(1,V_MesDiv),BX$6&gt;=2),INDEX(Payout_V,1,MIN(10,BX$6-1))*MAX(0,BX$307),0)*BX$9</f>
        <v>0</v>
      </c>
      <c r="BY308" s="48" t="n">
        <f aca="false">IF(AND(BY$7=MAX(1,V_MesDiv),BY$6&gt;=2),INDEX(Payout_V,1,MIN(10,BY$6-1))*MAX(0,BY$307),0)*BY$9</f>
        <v>0</v>
      </c>
      <c r="BZ308" s="48" t="n">
        <f aca="false">IF(AND(BZ$7=MAX(1,V_MesDiv),BZ$6&gt;=2),INDEX(Payout_V,1,MIN(10,BZ$6-1))*MAX(0,BZ$307),0)*BZ$9</f>
        <v>0</v>
      </c>
      <c r="CA308" s="48" t="n">
        <f aca="false">IF(AND(CA$7=MAX(1,V_MesDiv),CA$6&gt;=2),INDEX(Payout_V,1,MIN(10,CA$6-1))*MAX(0,CA$307),0)*CA$9</f>
        <v>0</v>
      </c>
      <c r="CB308" s="48" t="n">
        <f aca="false">IF(AND(CB$7=MAX(1,V_MesDiv),CB$6&gt;=2),INDEX(Payout_V,1,MIN(10,CB$6-1))*MAX(0,CB$307),0)*CB$9</f>
        <v>0</v>
      </c>
      <c r="CC308" s="48" t="n">
        <f aca="false">IF(AND(CC$7=MAX(1,V_MesDiv),CC$6&gt;=2),INDEX(Payout_V,1,MIN(10,CC$6-1))*MAX(0,CC$307),0)*CC$9</f>
        <v>1794188.69257391</v>
      </c>
      <c r="CD308" s="48" t="n">
        <f aca="false">IF(AND(CD$7=MAX(1,V_MesDiv),CD$6&gt;=2),INDEX(Payout_V,1,MIN(10,CD$6-1))*MAX(0,CD$307),0)*CD$9</f>
        <v>0</v>
      </c>
      <c r="CE308" s="48" t="n">
        <f aca="false">IF(AND(CE$7=MAX(1,V_MesDiv),CE$6&gt;=2),INDEX(Payout_V,1,MIN(10,CE$6-1))*MAX(0,CE$307),0)*CE$9</f>
        <v>0</v>
      </c>
      <c r="CF308" s="48" t="n">
        <f aca="false">IF(AND(CF$7=MAX(1,V_MesDiv),CF$6&gt;=2),INDEX(Payout_V,1,MIN(10,CF$6-1))*MAX(0,CF$307),0)*CF$9</f>
        <v>0</v>
      </c>
      <c r="CG308" s="48" t="n">
        <f aca="false">IF(AND(CG$7=MAX(1,V_MesDiv),CG$6&gt;=2),INDEX(Payout_V,1,MIN(10,CG$6-1))*MAX(0,CG$307),0)*CG$9</f>
        <v>0</v>
      </c>
      <c r="CH308" s="48" t="n">
        <f aca="false">IF(AND(CH$7=MAX(1,V_MesDiv),CH$6&gt;=2),INDEX(Payout_V,1,MIN(10,CH$6-1))*MAX(0,CH$307),0)*CH$9</f>
        <v>0</v>
      </c>
      <c r="CI308" s="48" t="n">
        <f aca="false">IF(AND(CI$7=MAX(1,V_MesDiv),CI$6&gt;=2),INDEX(Payout_V,1,MIN(10,CI$6-1))*MAX(0,CI$307),0)*CI$9</f>
        <v>0</v>
      </c>
      <c r="CJ308" s="48" t="n">
        <f aca="false">IF(AND(CJ$7=MAX(1,V_MesDiv),CJ$6&gt;=2),INDEX(Payout_V,1,MIN(10,CJ$6-1))*MAX(0,CJ$307),0)*CJ$9</f>
        <v>0</v>
      </c>
      <c r="CK308" s="48" t="n">
        <f aca="false">IF(AND(CK$7=MAX(1,V_MesDiv),CK$6&gt;=2),INDEX(Payout_V,1,MIN(10,CK$6-1))*MAX(0,CK$307),0)*CK$9</f>
        <v>0</v>
      </c>
      <c r="CL308" s="48" t="n">
        <f aca="false">IF(AND(CL$7=MAX(1,V_MesDiv),CL$6&gt;=2),INDEX(Payout_V,1,MIN(10,CL$6-1))*MAX(0,CL$307),0)*CL$9</f>
        <v>0</v>
      </c>
      <c r="CM308" s="48" t="n">
        <f aca="false">IF(AND(CM$7=MAX(1,V_MesDiv),CM$6&gt;=2),INDEX(Payout_V,1,MIN(10,CM$6-1))*MAX(0,CM$307),0)*CM$9</f>
        <v>0</v>
      </c>
      <c r="CN308" s="48" t="n">
        <f aca="false">IF(AND(CN$7=MAX(1,V_MesDiv),CN$6&gt;=2),INDEX(Payout_V,1,MIN(10,CN$6-1))*MAX(0,CN$307),0)*CN$9</f>
        <v>0</v>
      </c>
      <c r="CO308" s="48" t="n">
        <f aca="false">IF(AND(CO$7=MAX(1,V_MesDiv),CO$6&gt;=2),INDEX(Payout_V,1,MIN(10,CO$6-1))*MAX(0,CO$307),0)*CO$9</f>
        <v>1843575.6608728</v>
      </c>
      <c r="CP308" s="48" t="n">
        <f aca="false">IF(AND(CP$7=MAX(1,V_MesDiv),CP$6&gt;=2),INDEX(Payout_V,1,MIN(10,CP$6-1))*MAX(0,CP$307),0)*CP$9</f>
        <v>0</v>
      </c>
      <c r="CQ308" s="48" t="n">
        <f aca="false">IF(AND(CQ$7=MAX(1,V_MesDiv),CQ$6&gt;=2),INDEX(Payout_V,1,MIN(10,CQ$6-1))*MAX(0,CQ$307),0)*CQ$9</f>
        <v>0</v>
      </c>
      <c r="CR308" s="48" t="n">
        <f aca="false">IF(AND(CR$7=MAX(1,V_MesDiv),CR$6&gt;=2),INDEX(Payout_V,1,MIN(10,CR$6-1))*MAX(0,CR$307),0)*CR$9</f>
        <v>0</v>
      </c>
      <c r="CS308" s="48" t="n">
        <f aca="false">IF(AND(CS$7=MAX(1,V_MesDiv),CS$6&gt;=2),INDEX(Payout_V,1,MIN(10,CS$6-1))*MAX(0,CS$307),0)*CS$9</f>
        <v>0</v>
      </c>
      <c r="CT308" s="48" t="n">
        <f aca="false">IF(AND(CT$7=MAX(1,V_MesDiv),CT$6&gt;=2),INDEX(Payout_V,1,MIN(10,CT$6-1))*MAX(0,CT$307),0)*CT$9</f>
        <v>0</v>
      </c>
      <c r="CU308" s="48" t="n">
        <f aca="false">IF(AND(CU$7=MAX(1,V_MesDiv),CU$6&gt;=2),INDEX(Payout_V,1,MIN(10,CU$6-1))*MAX(0,CU$307),0)*CU$9</f>
        <v>0</v>
      </c>
      <c r="CV308" s="48" t="n">
        <f aca="false">IF(AND(CV$7=MAX(1,V_MesDiv),CV$6&gt;=2),INDEX(Payout_V,1,MIN(10,CV$6-1))*MAX(0,CV$307),0)*CV$9</f>
        <v>0</v>
      </c>
      <c r="CW308" s="48" t="n">
        <f aca="false">IF(AND(CW$7=MAX(1,V_MesDiv),CW$6&gt;=2),INDEX(Payout_V,1,MIN(10,CW$6-1))*MAX(0,CW$307),0)*CW$9</f>
        <v>0</v>
      </c>
      <c r="CX308" s="48" t="n">
        <f aca="false">IF(AND(CX$7=MAX(1,V_MesDiv),CX$6&gt;=2),INDEX(Payout_V,1,MIN(10,CX$6-1))*MAX(0,CX$307),0)*CX$9</f>
        <v>0</v>
      </c>
      <c r="CY308" s="48" t="n">
        <f aca="false">IF(AND(CY$7=MAX(1,V_MesDiv),CY$6&gt;=2),INDEX(Payout_V,1,MIN(10,CY$6-1))*MAX(0,CY$307),0)*CY$9</f>
        <v>0</v>
      </c>
      <c r="CZ308" s="48" t="n">
        <f aca="false">IF(AND(CZ$7=MAX(1,V_MesDiv),CZ$6&gt;=2),INDEX(Payout_V,1,MIN(10,CZ$6-1))*MAX(0,CZ$307),0)*CZ$9</f>
        <v>0</v>
      </c>
      <c r="DA308" s="48" t="n">
        <f aca="false">IF(AND(DA$7=MAX(1,V_MesDiv),DA$6&gt;=2),INDEX(Payout_V,1,MIN(10,DA$6-1))*MAX(0,DA$307),0)*DA$9</f>
        <v>1893301.21355545</v>
      </c>
      <c r="DB308" s="48" t="n">
        <f aca="false">IF(AND(DB$7=MAX(1,V_MesDiv),DB$6&gt;=2),INDEX(Payout_V,1,MIN(10,DB$6-1))*MAX(0,DB$307),0)*DB$9</f>
        <v>0</v>
      </c>
      <c r="DC308" s="48" t="n">
        <f aca="false">IF(AND(DC$7=MAX(1,V_MesDiv),DC$6&gt;=2),INDEX(Payout_V,1,MIN(10,DC$6-1))*MAX(0,DC$307),0)*DC$9</f>
        <v>0</v>
      </c>
      <c r="DD308" s="48" t="n">
        <f aca="false">IF(AND(DD$7=MAX(1,V_MesDiv),DD$6&gt;=2),INDEX(Payout_V,1,MIN(10,DD$6-1))*MAX(0,DD$307),0)*DD$9</f>
        <v>0</v>
      </c>
      <c r="DE308" s="48" t="n">
        <f aca="false">IF(AND(DE$7=MAX(1,V_MesDiv),DE$6&gt;=2),INDEX(Payout_V,1,MIN(10,DE$6-1))*MAX(0,DE$307),0)*DE$9</f>
        <v>0</v>
      </c>
      <c r="DF308" s="48" t="n">
        <f aca="false">IF(AND(DF$7=MAX(1,V_MesDiv),DF$6&gt;=2),INDEX(Payout_V,1,MIN(10,DF$6-1))*MAX(0,DF$307),0)*DF$9</f>
        <v>0</v>
      </c>
      <c r="DG308" s="48" t="n">
        <f aca="false">IF(AND(DG$7=MAX(1,V_MesDiv),DG$6&gt;=2),INDEX(Payout_V,1,MIN(10,DG$6-1))*MAX(0,DG$307),0)*DG$9</f>
        <v>0</v>
      </c>
      <c r="DH308" s="48" t="n">
        <f aca="false">IF(AND(DH$7=MAX(1,V_MesDiv),DH$6&gt;=2),INDEX(Payout_V,1,MIN(10,DH$6-1))*MAX(0,DH$307),0)*DH$9</f>
        <v>0</v>
      </c>
      <c r="DI308" s="48" t="n">
        <f aca="false">IF(AND(DI$7=MAX(1,V_MesDiv),DI$6&gt;=2),INDEX(Payout_V,1,MIN(10,DI$6-1))*MAX(0,DI$307),0)*DI$9</f>
        <v>0</v>
      </c>
      <c r="DJ308" s="48" t="n">
        <f aca="false">IF(AND(DJ$7=MAX(1,V_MesDiv),DJ$6&gt;=2),INDEX(Payout_V,1,MIN(10,DJ$6-1))*MAX(0,DJ$307),0)*DJ$9</f>
        <v>0</v>
      </c>
      <c r="DK308" s="48" t="n">
        <f aca="false">IF(AND(DK$7=MAX(1,V_MesDiv),DK$6&gt;=2),INDEX(Payout_V,1,MIN(10,DK$6-1))*MAX(0,DK$307),0)*DK$9</f>
        <v>0</v>
      </c>
      <c r="DL308" s="48" t="n">
        <f aca="false">IF(AND(DL$7=MAX(1,V_MesDiv),DL$6&gt;=2),INDEX(Payout_V,1,MIN(10,DL$6-1))*MAX(0,DL$307),0)*DL$9</f>
        <v>0</v>
      </c>
      <c r="DM308" s="48" t="n">
        <f aca="false">IF(AND(DM$7=MAX(1,V_MesDiv),DM$6&gt;=2),INDEX(Payout_V,1,MIN(10,DM$6-1))*MAX(0,DM$307),0)*DM$9</f>
        <v>1943364.14678689</v>
      </c>
      <c r="DN308" s="48" t="n">
        <f aca="false">IF(AND(DN$7=MAX(1,V_MesDiv),DN$6&gt;=2),INDEX(Payout_V,1,MIN(10,DN$6-1))*MAX(0,DN$307),0)*DN$9</f>
        <v>0</v>
      </c>
      <c r="DO308" s="48" t="n">
        <f aca="false">IF(AND(DO$7=MAX(1,V_MesDiv),DO$6&gt;=2),INDEX(Payout_V,1,MIN(10,DO$6-1))*MAX(0,DO$307),0)*DO$9</f>
        <v>0</v>
      </c>
      <c r="DP308" s="48" t="n">
        <f aca="false">IF(AND(DP$7=MAX(1,V_MesDiv),DP$6&gt;=2),INDEX(Payout_V,1,MIN(10,DP$6-1))*MAX(0,DP$307),0)*DP$9</f>
        <v>0</v>
      </c>
      <c r="DQ308" s="48" t="n">
        <f aca="false">IF(AND(DQ$7=MAX(1,V_MesDiv),DQ$6&gt;=2),INDEX(Payout_V,1,MIN(10,DQ$6-1))*MAX(0,DQ$307),0)*DQ$9</f>
        <v>0</v>
      </c>
      <c r="DR308" s="48" t="n">
        <f aca="false">IF(AND(DR$7=MAX(1,V_MesDiv),DR$6&gt;=2),INDEX(Payout_V,1,MIN(10,DR$6-1))*MAX(0,DR$307),0)*DR$9</f>
        <v>0</v>
      </c>
      <c r="DS308" s="48" t="n">
        <f aca="false">IF(AND(DS$7=MAX(1,V_MesDiv),DS$6&gt;=2),INDEX(Payout_V,1,MIN(10,DS$6-1))*MAX(0,DS$307),0)*DS$9</f>
        <v>0</v>
      </c>
      <c r="DT308" s="48" t="n">
        <f aca="false">IF(AND(DT$7=MAX(1,V_MesDiv),DT$6&gt;=2),INDEX(Payout_V,1,MIN(10,DT$6-1))*MAX(0,DT$307),0)*DT$9</f>
        <v>0</v>
      </c>
      <c r="DU308" s="48" t="n">
        <f aca="false">IF(AND(DU$7=MAX(1,V_MesDiv),DU$6&gt;=2),INDEX(Payout_V,1,MIN(10,DU$6-1))*MAX(0,DU$307),0)*DU$9</f>
        <v>0</v>
      </c>
      <c r="DV308" s="48" t="n">
        <f aca="false">IF(AND(DV$7=MAX(1,V_MesDiv),DV$6&gt;=2),INDEX(Payout_V,1,MIN(10,DV$6-1))*MAX(0,DV$307),0)*DV$9</f>
        <v>0</v>
      </c>
      <c r="DW308" s="48" t="n">
        <f aca="false">IF(AND(DW$7=MAX(1,V_MesDiv),DW$6&gt;=2),INDEX(Payout_V,1,MIN(10,DW$6-1))*MAX(0,DW$307),0)*DW$9</f>
        <v>0</v>
      </c>
      <c r="DX308" s="48" t="n">
        <f aca="false">IF(AND(DX$7=MAX(1,V_MesDiv),DX$6&gt;=2),INDEX(Payout_V,1,MIN(10,DX$6-1))*MAX(0,DX$307),0)*DX$9</f>
        <v>0</v>
      </c>
      <c r="DY308" s="48" t="n">
        <f aca="false">IF(AND(DY$7=MAX(1,V_MesDiv),DY$6&gt;=2),INDEX(Payout_V,1,MIN(10,DY$6-1))*MAX(0,DY$307),0)*DY$9</f>
        <v>0</v>
      </c>
      <c r="DZ308" s="48" t="n">
        <f aca="false">IF(AND(DZ$7=MAX(1,V_MesDiv),DZ$6&gt;=2),INDEX(Payout_V,1,MIN(10,DZ$6-1))*MAX(0,DZ$307),0)*DZ$9</f>
        <v>0</v>
      </c>
      <c r="EA308" s="48" t="n">
        <f aca="false">IF(AND(EA$7=MAX(1,V_MesDiv),EA$6&gt;=2),INDEX(Payout_V,1,MIN(10,EA$6-1))*MAX(0,EA$307),0)*EA$9</f>
        <v>0</v>
      </c>
      <c r="EB308" s="48" t="n">
        <f aca="false">IF(AND(EB$7=MAX(1,V_MesDiv),EB$6&gt;=2),INDEX(Payout_V,1,MIN(10,EB$6-1))*MAX(0,EB$307),0)*EB$9</f>
        <v>0</v>
      </c>
      <c r="EC308" s="48" t="n">
        <f aca="false">IF(AND(EC$7=MAX(1,V_MesDiv),EC$6&gt;=2),INDEX(Payout_V,1,MIN(10,EC$6-1))*MAX(0,EC$307),0)*EC$9</f>
        <v>0</v>
      </c>
      <c r="ED308" s="48" t="n">
        <f aca="false">IF(AND(ED$7=MAX(1,V_MesDiv),ED$6&gt;=2),INDEX(Payout_V,1,MIN(10,ED$6-1))*MAX(0,ED$307),0)*ED$9</f>
        <v>0</v>
      </c>
      <c r="EE308" s="48" t="n">
        <f aca="false">IF(AND(EE$7=MAX(1,V_MesDiv),EE$6&gt;=2),INDEX(Payout_V,1,MIN(10,EE$6-1))*MAX(0,EE$307),0)*EE$9</f>
        <v>0</v>
      </c>
      <c r="EF308" s="48" t="n">
        <f aca="false">IF(AND(EF$7=MAX(1,V_MesDiv),EF$6&gt;=2),INDEX(Payout_V,1,MIN(10,EF$6-1))*MAX(0,EF$307),0)*EF$9</f>
        <v>0</v>
      </c>
      <c r="EG308" s="48" t="n">
        <f aca="false">IF(AND(EG$7=MAX(1,V_MesDiv),EG$6&gt;=2),INDEX(Payout_V,1,MIN(10,EG$6-1))*MAX(0,EG$307),0)*EG$9</f>
        <v>0</v>
      </c>
      <c r="EH308" s="48" t="n">
        <f aca="false">IF(AND(EH$7=MAX(1,V_MesDiv),EH$6&gt;=2),INDEX(Payout_V,1,MIN(10,EH$6-1))*MAX(0,EH$307),0)*EH$9</f>
        <v>0</v>
      </c>
      <c r="EI308" s="48" t="n">
        <f aca="false">IF(AND(EI$7=MAX(1,V_MesDiv),EI$6&gt;=2),INDEX(Payout_V,1,MIN(10,EI$6-1))*MAX(0,EI$307),0)*EI$9</f>
        <v>0</v>
      </c>
      <c r="EJ308" s="48" t="n">
        <f aca="false">IF(AND(EJ$7=MAX(1,V_MesDiv),EJ$6&gt;=2),INDEX(Payout_V,1,MIN(10,EJ$6-1))*MAX(0,EJ$307),0)*EJ$9</f>
        <v>0</v>
      </c>
      <c r="EK308" s="48" t="n">
        <f aca="false">IF(AND(EK$7=MAX(1,V_MesDiv),EK$6&gt;=2),INDEX(Payout_V,1,MIN(10,EK$6-1))*MAX(0,EK$307),0)*EK$9</f>
        <v>0</v>
      </c>
      <c r="EL308" s="48" t="n">
        <f aca="false">IF(AND(EL$7=MAX(1,V_MesDiv),EL$6&gt;=2),INDEX(Payout_V,1,MIN(10,EL$6-1))*MAX(0,EL$307),0)*EL$9</f>
        <v>0</v>
      </c>
      <c r="EM308" s="48" t="n">
        <f aca="false">IF(AND(EM$7=MAX(1,V_MesDiv),EM$6&gt;=2),INDEX(Payout_V,1,MIN(10,EM$6-1))*MAX(0,EM$307),0)*EM$9</f>
        <v>0</v>
      </c>
      <c r="EN308" s="48" t="n">
        <f aca="false">IF(AND(EN$7=MAX(1,V_MesDiv),EN$6&gt;=2),INDEX(Payout_V,1,MIN(10,EN$6-1))*MAX(0,EN$307),0)*EN$9</f>
        <v>0</v>
      </c>
      <c r="EO308" s="48" t="n">
        <f aca="false">IF(AND(EO$7=MAX(1,V_MesDiv),EO$6&gt;=2),INDEX(Payout_V,1,MIN(10,EO$6-1))*MAX(0,EO$307),0)*EO$9</f>
        <v>0</v>
      </c>
      <c r="EP308" s="48" t="n">
        <f aca="false">IF(AND(EP$7=MAX(1,V_MesDiv),EP$6&gt;=2),INDEX(Payout_V,1,MIN(10,EP$6-1))*MAX(0,EP$307),0)*EP$9</f>
        <v>0</v>
      </c>
      <c r="EQ308" s="48" t="n">
        <f aca="false">IF(AND(EQ$7=MAX(1,V_MesDiv),EQ$6&gt;=2),INDEX(Payout_V,1,MIN(10,EQ$6-1))*MAX(0,EQ$307),0)*EQ$9</f>
        <v>0</v>
      </c>
      <c r="ER308" s="48" t="n">
        <f aca="false">IF(AND(ER$7=MAX(1,V_MesDiv),ER$6&gt;=2),INDEX(Payout_V,1,MIN(10,ER$6-1))*MAX(0,ER$307),0)*ER$9</f>
        <v>0</v>
      </c>
      <c r="ES308" s="48" t="n">
        <f aca="false">IF(AND(ES$7=MAX(1,V_MesDiv),ES$6&gt;=2),INDEX(Payout_V,1,MIN(10,ES$6-1))*MAX(0,ES$307),0)*ES$9</f>
        <v>0</v>
      </c>
    </row>
    <row r="309" customFormat="false" ht="15" hidden="false" customHeight="false" outlineLevel="0" collapsed="false">
      <c r="A309" s="11" t="s">
        <v>1426</v>
      </c>
      <c r="B309" s="15" t="s">
        <v>1269</v>
      </c>
      <c r="C309" s="15" t="s">
        <v>508</v>
      </c>
      <c r="E309" s="54" t="n">
        <f aca="false">SUM(F309:ES309)</f>
        <v>9743309.6365382</v>
      </c>
      <c r="F309" s="48" t="n">
        <f aca="false">IF(F$8=1,IF(Reales!$C$77="PYG",IF(F$10&gt;0,N(Reales!F77)/F$10,0),N(Reales!F77)),MIN(F$308,MAX(0,F$305-F$298)))</f>
        <v>0</v>
      </c>
      <c r="G309" s="48" t="n">
        <f aca="false">IF(G$8=1,IF(Reales!$C$77="PYG",IF(G$10&gt;0,N(Reales!G77)/G$10,0),N(Reales!G77)),MIN(G$308,MAX(0,G$305-G$298)))</f>
        <v>0</v>
      </c>
      <c r="H309" s="48" t="n">
        <f aca="false">IF(H$8=1,IF(Reales!$C$77="PYG",IF(H$10&gt;0,N(Reales!H77)/H$10,0),N(Reales!H77)),MIN(H$308,MAX(0,H$305-H$298)))</f>
        <v>0</v>
      </c>
      <c r="I309" s="48" t="n">
        <f aca="false">IF(I$8=1,IF(Reales!$C$77="PYG",IF(I$10&gt;0,N(Reales!I77)/I$10,0),N(Reales!I77)),MIN(I$308,MAX(0,I$305-I$298)))</f>
        <v>0</v>
      </c>
      <c r="J309" s="48" t="n">
        <f aca="false">IF(J$8=1,IF(Reales!$C$77="PYG",IF(J$10&gt;0,N(Reales!J77)/J$10,0),N(Reales!J77)),MIN(J$308,MAX(0,J$305-J$298)))</f>
        <v>0</v>
      </c>
      <c r="K309" s="48" t="n">
        <f aca="false">IF(K$8=1,IF(Reales!$C$77="PYG",IF(K$10&gt;0,N(Reales!K77)/K$10,0),N(Reales!K77)),MIN(K$308,MAX(0,K$305-K$298)))</f>
        <v>0</v>
      </c>
      <c r="L309" s="48" t="n">
        <f aca="false">IF(L$8=1,IF(Reales!$C$77="PYG",IF(L$10&gt;0,N(Reales!L77)/L$10,0),N(Reales!L77)),MIN(L$308,MAX(0,L$305-L$298)))</f>
        <v>0</v>
      </c>
      <c r="M309" s="48" t="n">
        <f aca="false">IF(M$8=1,IF(Reales!$C$77="PYG",IF(M$10&gt;0,N(Reales!M77)/M$10,0),N(Reales!M77)),MIN(M$308,MAX(0,M$305-M$298)))</f>
        <v>0</v>
      </c>
      <c r="N309" s="48" t="n">
        <f aca="false">IF(N$8=1,IF(Reales!$C$77="PYG",IF(N$10&gt;0,N(Reales!N77)/N$10,0),N(Reales!N77)),MIN(N$308,MAX(0,N$305-N$298)))</f>
        <v>0</v>
      </c>
      <c r="O309" s="48" t="n">
        <f aca="false">IF(O$8=1,IF(Reales!$C$77="PYG",IF(O$10&gt;0,N(Reales!O77)/O$10,0),N(Reales!O77)),MIN(O$308,MAX(0,O$305-O$298)))</f>
        <v>0</v>
      </c>
      <c r="P309" s="48" t="n">
        <f aca="false">IF(P$8=1,IF(Reales!$C$77="PYG",IF(P$10&gt;0,N(Reales!P77)/P$10,0),N(Reales!P77)),MIN(P$308,MAX(0,P$305-P$298)))</f>
        <v>0</v>
      </c>
      <c r="Q309" s="48" t="n">
        <f aca="false">IF(Q$8=1,IF(Reales!$C$77="PYG",IF(Q$10&gt;0,N(Reales!Q77)/Q$10,0),N(Reales!Q77)),MIN(Q$308,MAX(0,Q$305-Q$298)))</f>
        <v>0</v>
      </c>
      <c r="R309" s="48" t="n">
        <f aca="false">IF(R$8=1,IF(Reales!$C$77="PYG",IF(R$10&gt;0,N(Reales!R77)/R$10,0),N(Reales!R77)),MIN(R$308,MAX(0,R$305-R$298)))</f>
        <v>0</v>
      </c>
      <c r="S309" s="48" t="n">
        <f aca="false">IF(S$8=1,IF(Reales!$C$77="PYG",IF(S$10&gt;0,N(Reales!S77)/S$10,0),N(Reales!S77)),MIN(S$308,MAX(0,S$305-S$298)))</f>
        <v>0</v>
      </c>
      <c r="T309" s="48" t="n">
        <f aca="false">IF(T$8=1,IF(Reales!$C$77="PYG",IF(T$10&gt;0,N(Reales!T77)/T$10,0),N(Reales!T77)),MIN(T$308,MAX(0,T$305-T$298)))</f>
        <v>0</v>
      </c>
      <c r="U309" s="48" t="n">
        <f aca="false">IF(U$8=1,IF(Reales!$C$77="PYG",IF(U$10&gt;0,N(Reales!U77)/U$10,0),N(Reales!U77)),MIN(U$308,MAX(0,U$305-U$298)))</f>
        <v>0</v>
      </c>
      <c r="V309" s="48" t="n">
        <f aca="false">IF(V$8=1,IF(Reales!$C$77="PYG",IF(V$10&gt;0,N(Reales!V77)/V$10,0),N(Reales!V77)),MIN(V$308,MAX(0,V$305-V$298)))</f>
        <v>0</v>
      </c>
      <c r="W309" s="48" t="n">
        <f aca="false">IF(W$8=1,IF(Reales!$C$77="PYG",IF(W$10&gt;0,N(Reales!W77)/W$10,0),N(Reales!W77)),MIN(W$308,MAX(0,W$305-W$298)))</f>
        <v>0</v>
      </c>
      <c r="X309" s="48" t="n">
        <f aca="false">IF(X$8=1,IF(Reales!$C$77="PYG",IF(X$10&gt;0,N(Reales!X77)/X$10,0),N(Reales!X77)),MIN(X$308,MAX(0,X$305-X$298)))</f>
        <v>0</v>
      </c>
      <c r="Y309" s="48" t="n">
        <f aca="false">IF(Y$8=1,IF(Reales!$C$77="PYG",IF(Y$10&gt;0,N(Reales!Y77)/Y$10,0),N(Reales!Y77)),MIN(Y$308,MAX(0,Y$305-Y$298)))</f>
        <v>0</v>
      </c>
      <c r="Z309" s="48" t="n">
        <f aca="false">IF(Z$8=1,IF(Reales!$C$77="PYG",IF(Z$10&gt;0,N(Reales!Z77)/Z$10,0),N(Reales!Z77)),MIN(Z$308,MAX(0,Z$305-Z$298)))</f>
        <v>0</v>
      </c>
      <c r="AA309" s="48" t="n">
        <f aca="false">IF(AA$8=1,IF(Reales!$C$77="PYG",IF(AA$10&gt;0,N(Reales!AA77)/AA$10,0),N(Reales!AA77)),MIN(AA$308,MAX(0,AA$305-AA$298)))</f>
        <v>0</v>
      </c>
      <c r="AB309" s="48" t="n">
        <f aca="false">IF(AB$8=1,IF(Reales!$C$77="PYG",IF(AB$10&gt;0,N(Reales!AB77)/AB$10,0),N(Reales!AB77)),MIN(AB$308,MAX(0,AB$305-AB$298)))</f>
        <v>0</v>
      </c>
      <c r="AC309" s="48" t="n">
        <f aca="false">IF(AC$8=1,IF(Reales!$C$77="PYG",IF(AC$10&gt;0,N(Reales!AC77)/AC$10,0),N(Reales!AC77)),MIN(AC$308,MAX(0,AC$305-AC$298)))</f>
        <v>0</v>
      </c>
      <c r="AD309" s="48" t="n">
        <f aca="false">IF(AD$8=1,IF(Reales!$C$77="PYG",IF(AD$10&gt;0,N(Reales!AD77)/AD$10,0),N(Reales!AD77)),MIN(AD$308,MAX(0,AD$305-AD$298)))</f>
        <v>0</v>
      </c>
      <c r="AE309" s="48" t="n">
        <f aca="false">IF(AE$8=1,IF(Reales!$C$77="PYG",IF(AE$10&gt;0,N(Reales!AE77)/AE$10,0),N(Reales!AE77)),MIN(AE$308,MAX(0,AE$305-AE$298)))</f>
        <v>0</v>
      </c>
      <c r="AF309" s="48" t="n">
        <f aca="false">IF(AF$8=1,IF(Reales!$C$77="PYG",IF(AF$10&gt;0,N(Reales!AF77)/AF$10,0),N(Reales!AF77)),MIN(AF$308,MAX(0,AF$305-AF$298)))</f>
        <v>0</v>
      </c>
      <c r="AG309" s="48" t="n">
        <f aca="false">IF(AG$8=1,IF(Reales!$C$77="PYG",IF(AG$10&gt;0,N(Reales!AG77)/AG$10,0),N(Reales!AG77)),MIN(AG$308,MAX(0,AG$305-AG$298)))</f>
        <v>0</v>
      </c>
      <c r="AH309" s="48" t="n">
        <f aca="false">IF(AH$8=1,IF(Reales!$C$77="PYG",IF(AH$10&gt;0,N(Reales!AH77)/AH$10,0),N(Reales!AH77)),MIN(AH$308,MAX(0,AH$305-AH$298)))</f>
        <v>0</v>
      </c>
      <c r="AI309" s="48" t="n">
        <f aca="false">IF(AI$8=1,IF(Reales!$C$77="PYG",IF(AI$10&gt;0,N(Reales!AI77)/AI$10,0),N(Reales!AI77)),MIN(AI$308,MAX(0,AI$305-AI$298)))</f>
        <v>0</v>
      </c>
      <c r="AJ309" s="48" t="n">
        <f aca="false">IF(AJ$8=1,IF(Reales!$C$77="PYG",IF(AJ$10&gt;0,N(Reales!AJ77)/AJ$10,0),N(Reales!AJ77)),MIN(AJ$308,MAX(0,AJ$305-AJ$298)))</f>
        <v>0</v>
      </c>
      <c r="AK309" s="48" t="n">
        <f aca="false">IF(AK$8=1,IF(Reales!$C$77="PYG",IF(AK$10&gt;0,N(Reales!AK77)/AK$10,0),N(Reales!AK77)),MIN(AK$308,MAX(0,AK$305-AK$298)))</f>
        <v>0</v>
      </c>
      <c r="AL309" s="48" t="n">
        <f aca="false">IF(AL$8=1,IF(Reales!$C$77="PYG",IF(AL$10&gt;0,N(Reales!AL77)/AL$10,0),N(Reales!AL77)),MIN(AL$308,MAX(0,AL$305-AL$298)))</f>
        <v>0</v>
      </c>
      <c r="AM309" s="48" t="n">
        <f aca="false">IF(AM$8=1,IF(Reales!$C$77="PYG",IF(AM$10&gt;0,N(Reales!AM77)/AM$10,0),N(Reales!AM77)),MIN(AM$308,MAX(0,AM$305-AM$298)))</f>
        <v>0</v>
      </c>
      <c r="AN309" s="48" t="n">
        <f aca="false">IF(AN$8=1,IF(Reales!$C$77="PYG",IF(AN$10&gt;0,N(Reales!AN77)/AN$10,0),N(Reales!AN77)),MIN(AN$308,MAX(0,AN$305-AN$298)))</f>
        <v>0</v>
      </c>
      <c r="AO309" s="48" t="n">
        <f aca="false">IF(AO$8=1,IF(Reales!$C$77="PYG",IF(AO$10&gt;0,N(Reales!AO77)/AO$10,0),N(Reales!AO77)),MIN(AO$308,MAX(0,AO$305-AO$298)))</f>
        <v>0</v>
      </c>
      <c r="AP309" s="48" t="n">
        <f aca="false">IF(AP$8=1,IF(Reales!$C$77="PYG",IF(AP$10&gt;0,N(Reales!AP77)/AP$10,0),N(Reales!AP77)),MIN(AP$308,MAX(0,AP$305-AP$298)))</f>
        <v>0</v>
      </c>
      <c r="AQ309" s="48" t="n">
        <f aca="false">IF(AQ$8=1,IF(Reales!$C$77="PYG",IF(AQ$10&gt;0,N(Reales!AQ77)/AQ$10,0),N(Reales!AQ77)),MIN(AQ$308,MAX(0,AQ$305-AQ$298)))</f>
        <v>0</v>
      </c>
      <c r="AR309" s="48" t="n">
        <f aca="false">IF(AR$8=1,IF(Reales!$C$77="PYG",IF(AR$10&gt;0,N(Reales!AR77)/AR$10,0),N(Reales!AR77)),MIN(AR$308,MAX(0,AR$305-AR$298)))</f>
        <v>0</v>
      </c>
      <c r="AS309" s="48" t="n">
        <f aca="false">IF(AS$8=1,IF(Reales!$C$77="PYG",IF(AS$10&gt;0,N(Reales!AS77)/AS$10,0),N(Reales!AS77)),MIN(AS$308,MAX(0,AS$305-AS$298)))</f>
        <v>0</v>
      </c>
      <c r="AT309" s="48" t="n">
        <f aca="false">IF(AT$8=1,IF(Reales!$C$77="PYG",IF(AT$10&gt;0,N(Reales!AT77)/AT$10,0),N(Reales!AT77)),MIN(AT$308,MAX(0,AT$305-AT$298)))</f>
        <v>0</v>
      </c>
      <c r="AU309" s="48" t="n">
        <f aca="false">IF(AU$8=1,IF(Reales!$C$77="PYG",IF(AU$10&gt;0,N(Reales!AU77)/AU$10,0),N(Reales!AU77)),MIN(AU$308,MAX(0,AU$305-AU$298)))</f>
        <v>0</v>
      </c>
      <c r="AV309" s="48" t="n">
        <f aca="false">IF(AV$8=1,IF(Reales!$C$77="PYG",IF(AV$10&gt;0,N(Reales!AV77)/AV$10,0),N(Reales!AV77)),MIN(AV$308,MAX(0,AV$305-AV$298)))</f>
        <v>0</v>
      </c>
      <c r="AW309" s="48" t="n">
        <f aca="false">IF(AW$8=1,IF(Reales!$C$77="PYG",IF(AW$10&gt;0,N(Reales!AW77)/AW$10,0),N(Reales!AW77)),MIN(AW$308,MAX(0,AW$305-AW$298)))</f>
        <v>0</v>
      </c>
      <c r="AX309" s="48" t="n">
        <f aca="false">IF(AX$8=1,IF(Reales!$C$77="PYG",IF(AX$10&gt;0,N(Reales!AX77)/AX$10,0),N(Reales!AX77)),MIN(AX$308,MAX(0,AX$305-AX$298)))</f>
        <v>0</v>
      </c>
      <c r="AY309" s="48" t="n">
        <f aca="false">IF(AY$8=1,IF(Reales!$C$77="PYG",IF(AY$10&gt;0,N(Reales!AY77)/AY$10,0),N(Reales!AY77)),MIN(AY$308,MAX(0,AY$305-AY$298)))</f>
        <v>0</v>
      </c>
      <c r="AZ309" s="48" t="n">
        <f aca="false">IF(AZ$8=1,IF(Reales!$C$77="PYG",IF(AZ$10&gt;0,N(Reales!AZ77)/AZ$10,0),N(Reales!AZ77)),MIN(AZ$308,MAX(0,AZ$305-AZ$298)))</f>
        <v>0</v>
      </c>
      <c r="BA309" s="48" t="n">
        <f aca="false">IF(BA$8=1,IF(Reales!$C$77="PYG",IF(BA$10&gt;0,N(Reales!BA77)/BA$10,0),N(Reales!BA77)),MIN(BA$308,MAX(0,BA$305-BA$298)))</f>
        <v>0</v>
      </c>
      <c r="BB309" s="48" t="n">
        <f aca="false">IF(BB$8=1,IF(Reales!$C$77="PYG",IF(BB$10&gt;0,N(Reales!BB77)/BB$10,0),N(Reales!BB77)),MIN(BB$308,MAX(0,BB$305-BB$298)))</f>
        <v>0</v>
      </c>
      <c r="BC309" s="48" t="n">
        <f aca="false">IF(BC$8=1,IF(Reales!$C$77="PYG",IF(BC$10&gt;0,N(Reales!BC77)/BC$10,0),N(Reales!BC77)),MIN(BC$308,MAX(0,BC$305-BC$298)))</f>
        <v>0</v>
      </c>
      <c r="BD309" s="48" t="n">
        <f aca="false">IF(BD$8=1,IF(Reales!$C$77="PYG",IF(BD$10&gt;0,N(Reales!BD77)/BD$10,0),N(Reales!BD77)),MIN(BD$308,MAX(0,BD$305-BD$298)))</f>
        <v>0</v>
      </c>
      <c r="BE309" s="48" t="n">
        <f aca="false">IF(BE$8=1,IF(Reales!$C$77="PYG",IF(BE$10&gt;0,N(Reales!BE77)/BE$10,0),N(Reales!BE77)),MIN(BE$308,MAX(0,BE$305-BE$298)))</f>
        <v>804953.378380922</v>
      </c>
      <c r="BF309" s="48" t="n">
        <f aca="false">IF(BF$8=1,IF(Reales!$C$77="PYG",IF(BF$10&gt;0,N(Reales!BF77)/BF$10,0),N(Reales!BF77)),MIN(BF$308,MAX(0,BF$305-BF$298)))</f>
        <v>0</v>
      </c>
      <c r="BG309" s="48" t="n">
        <f aca="false">IF(BG$8=1,IF(Reales!$C$77="PYG",IF(BG$10&gt;0,N(Reales!BG77)/BG$10,0),N(Reales!BG77)),MIN(BG$308,MAX(0,BG$305-BG$298)))</f>
        <v>0</v>
      </c>
      <c r="BH309" s="48" t="n">
        <f aca="false">IF(BH$8=1,IF(Reales!$C$77="PYG",IF(BH$10&gt;0,N(Reales!BH77)/BH$10,0),N(Reales!BH77)),MIN(BH$308,MAX(0,BH$305-BH$298)))</f>
        <v>0</v>
      </c>
      <c r="BI309" s="48" t="n">
        <f aca="false">IF(BI$8=1,IF(Reales!$C$77="PYG",IF(BI$10&gt;0,N(Reales!BI77)/BI$10,0),N(Reales!BI77)),MIN(BI$308,MAX(0,BI$305-BI$298)))</f>
        <v>0</v>
      </c>
      <c r="BJ309" s="48" t="n">
        <f aca="false">IF(BJ$8=1,IF(Reales!$C$77="PYG",IF(BJ$10&gt;0,N(Reales!BJ77)/BJ$10,0),N(Reales!BJ77)),MIN(BJ$308,MAX(0,BJ$305-BJ$298)))</f>
        <v>0</v>
      </c>
      <c r="BK309" s="48" t="n">
        <f aca="false">IF(BK$8=1,IF(Reales!$C$77="PYG",IF(BK$10&gt;0,N(Reales!BK77)/BK$10,0),N(Reales!BK77)),MIN(BK$308,MAX(0,BK$305-BK$298)))</f>
        <v>0</v>
      </c>
      <c r="BL309" s="48" t="n">
        <f aca="false">IF(BL$8=1,IF(Reales!$C$77="PYG",IF(BL$10&gt;0,N(Reales!BL77)/BL$10,0),N(Reales!BL77)),MIN(BL$308,MAX(0,BL$305-BL$298)))</f>
        <v>0</v>
      </c>
      <c r="BM309" s="48" t="n">
        <f aca="false">IF(BM$8=1,IF(Reales!$C$77="PYG",IF(BM$10&gt;0,N(Reales!BM77)/BM$10,0),N(Reales!BM77)),MIN(BM$308,MAX(0,BM$305-BM$298)))</f>
        <v>0</v>
      </c>
      <c r="BN309" s="48" t="n">
        <f aca="false">IF(BN$8=1,IF(Reales!$C$77="PYG",IF(BN$10&gt;0,N(Reales!BN77)/BN$10,0),N(Reales!BN77)),MIN(BN$308,MAX(0,BN$305-BN$298)))</f>
        <v>0</v>
      </c>
      <c r="BO309" s="48" t="n">
        <f aca="false">IF(BO$8=1,IF(Reales!$C$77="PYG",IF(BO$10&gt;0,N(Reales!BO77)/BO$10,0),N(Reales!BO77)),MIN(BO$308,MAX(0,BO$305-BO$298)))</f>
        <v>0</v>
      </c>
      <c r="BP309" s="48" t="n">
        <f aca="false">IF(BP$8=1,IF(Reales!$C$77="PYG",IF(BP$10&gt;0,N(Reales!BP77)/BP$10,0),N(Reales!BP77)),MIN(BP$308,MAX(0,BP$305-BP$298)))</f>
        <v>0</v>
      </c>
      <c r="BQ309" s="48" t="n">
        <f aca="false">IF(BQ$8=1,IF(Reales!$C$77="PYG",IF(BQ$10&gt;0,N(Reales!BQ77)/BQ$10,0),N(Reales!BQ77)),MIN(BQ$308,MAX(0,BQ$305-BQ$298)))</f>
        <v>1463926.54436822</v>
      </c>
      <c r="BR309" s="48" t="n">
        <f aca="false">IF(BR$8=1,IF(Reales!$C$77="PYG",IF(BR$10&gt;0,N(Reales!BR77)/BR$10,0),N(Reales!BR77)),MIN(BR$308,MAX(0,BR$305-BR$298)))</f>
        <v>0</v>
      </c>
      <c r="BS309" s="48" t="n">
        <f aca="false">IF(BS$8=1,IF(Reales!$C$77="PYG",IF(BS$10&gt;0,N(Reales!BS77)/BS$10,0),N(Reales!BS77)),MIN(BS$308,MAX(0,BS$305-BS$298)))</f>
        <v>0</v>
      </c>
      <c r="BT309" s="48" t="n">
        <f aca="false">IF(BT$8=1,IF(Reales!$C$77="PYG",IF(BT$10&gt;0,N(Reales!BT77)/BT$10,0),N(Reales!BT77)),MIN(BT$308,MAX(0,BT$305-BT$298)))</f>
        <v>0</v>
      </c>
      <c r="BU309" s="48" t="n">
        <f aca="false">IF(BU$8=1,IF(Reales!$C$77="PYG",IF(BU$10&gt;0,N(Reales!BU77)/BU$10,0),N(Reales!BU77)),MIN(BU$308,MAX(0,BU$305-BU$298)))</f>
        <v>0</v>
      </c>
      <c r="BV309" s="48" t="n">
        <f aca="false">IF(BV$8=1,IF(Reales!$C$77="PYG",IF(BV$10&gt;0,N(Reales!BV77)/BV$10,0),N(Reales!BV77)),MIN(BV$308,MAX(0,BV$305-BV$298)))</f>
        <v>0</v>
      </c>
      <c r="BW309" s="48" t="n">
        <f aca="false">IF(BW$8=1,IF(Reales!$C$77="PYG",IF(BW$10&gt;0,N(Reales!BW77)/BW$10,0),N(Reales!BW77)),MIN(BW$308,MAX(0,BW$305-BW$298)))</f>
        <v>0</v>
      </c>
      <c r="BX309" s="48" t="n">
        <f aca="false">IF(BX$8=1,IF(Reales!$C$77="PYG",IF(BX$10&gt;0,N(Reales!BX77)/BX$10,0),N(Reales!BX77)),MIN(BX$308,MAX(0,BX$305-BX$298)))</f>
        <v>0</v>
      </c>
      <c r="BY309" s="48" t="n">
        <f aca="false">IF(BY$8=1,IF(Reales!$C$77="PYG",IF(BY$10&gt;0,N(Reales!BY77)/BY$10,0),N(Reales!BY77)),MIN(BY$308,MAX(0,BY$305-BY$298)))</f>
        <v>0</v>
      </c>
      <c r="BZ309" s="48" t="n">
        <f aca="false">IF(BZ$8=1,IF(Reales!$C$77="PYG",IF(BZ$10&gt;0,N(Reales!BZ77)/BZ$10,0),N(Reales!BZ77)),MIN(BZ$308,MAX(0,BZ$305-BZ$298)))</f>
        <v>0</v>
      </c>
      <c r="CA309" s="48" t="n">
        <f aca="false">IF(CA$8=1,IF(Reales!$C$77="PYG",IF(CA$10&gt;0,N(Reales!CA77)/CA$10,0),N(Reales!CA77)),MIN(CA$308,MAX(0,CA$305-CA$298)))</f>
        <v>0</v>
      </c>
      <c r="CB309" s="48" t="n">
        <f aca="false">IF(CB$8=1,IF(Reales!$C$77="PYG",IF(CB$10&gt;0,N(Reales!CB77)/CB$10,0),N(Reales!CB77)),MIN(CB$308,MAX(0,CB$305-CB$298)))</f>
        <v>0</v>
      </c>
      <c r="CC309" s="48" t="n">
        <f aca="false">IF(CC$8=1,IF(Reales!$C$77="PYG",IF(CC$10&gt;0,N(Reales!CC77)/CC$10,0),N(Reales!CC77)),MIN(CC$308,MAX(0,CC$305-CC$298)))</f>
        <v>1794188.69257391</v>
      </c>
      <c r="CD309" s="48" t="n">
        <f aca="false">IF(CD$8=1,IF(Reales!$C$77="PYG",IF(CD$10&gt;0,N(Reales!CD77)/CD$10,0),N(Reales!CD77)),MIN(CD$308,MAX(0,CD$305-CD$298)))</f>
        <v>0</v>
      </c>
      <c r="CE309" s="48" t="n">
        <f aca="false">IF(CE$8=1,IF(Reales!$C$77="PYG",IF(CE$10&gt;0,N(Reales!CE77)/CE$10,0),N(Reales!CE77)),MIN(CE$308,MAX(0,CE$305-CE$298)))</f>
        <v>0</v>
      </c>
      <c r="CF309" s="48" t="n">
        <f aca="false">IF(CF$8=1,IF(Reales!$C$77="PYG",IF(CF$10&gt;0,N(Reales!CF77)/CF$10,0),N(Reales!CF77)),MIN(CF$308,MAX(0,CF$305-CF$298)))</f>
        <v>0</v>
      </c>
      <c r="CG309" s="48" t="n">
        <f aca="false">IF(CG$8=1,IF(Reales!$C$77="PYG",IF(CG$10&gt;0,N(Reales!CG77)/CG$10,0),N(Reales!CG77)),MIN(CG$308,MAX(0,CG$305-CG$298)))</f>
        <v>0</v>
      </c>
      <c r="CH309" s="48" t="n">
        <f aca="false">IF(CH$8=1,IF(Reales!$C$77="PYG",IF(CH$10&gt;0,N(Reales!CH77)/CH$10,0),N(Reales!CH77)),MIN(CH$308,MAX(0,CH$305-CH$298)))</f>
        <v>0</v>
      </c>
      <c r="CI309" s="48" t="n">
        <f aca="false">IF(CI$8=1,IF(Reales!$C$77="PYG",IF(CI$10&gt;0,N(Reales!CI77)/CI$10,0),N(Reales!CI77)),MIN(CI$308,MAX(0,CI$305-CI$298)))</f>
        <v>0</v>
      </c>
      <c r="CJ309" s="48" t="n">
        <f aca="false">IF(CJ$8=1,IF(Reales!$C$77="PYG",IF(CJ$10&gt;0,N(Reales!CJ77)/CJ$10,0),N(Reales!CJ77)),MIN(CJ$308,MAX(0,CJ$305-CJ$298)))</f>
        <v>0</v>
      </c>
      <c r="CK309" s="48" t="n">
        <f aca="false">IF(CK$8=1,IF(Reales!$C$77="PYG",IF(CK$10&gt;0,N(Reales!CK77)/CK$10,0),N(Reales!CK77)),MIN(CK$308,MAX(0,CK$305-CK$298)))</f>
        <v>0</v>
      </c>
      <c r="CL309" s="48" t="n">
        <f aca="false">IF(CL$8=1,IF(Reales!$C$77="PYG",IF(CL$10&gt;0,N(Reales!CL77)/CL$10,0),N(Reales!CL77)),MIN(CL$308,MAX(0,CL$305-CL$298)))</f>
        <v>0</v>
      </c>
      <c r="CM309" s="48" t="n">
        <f aca="false">IF(CM$8=1,IF(Reales!$C$77="PYG",IF(CM$10&gt;0,N(Reales!CM77)/CM$10,0),N(Reales!CM77)),MIN(CM$308,MAX(0,CM$305-CM$298)))</f>
        <v>0</v>
      </c>
      <c r="CN309" s="48" t="n">
        <f aca="false">IF(CN$8=1,IF(Reales!$C$77="PYG",IF(CN$10&gt;0,N(Reales!CN77)/CN$10,0),N(Reales!CN77)),MIN(CN$308,MAX(0,CN$305-CN$298)))</f>
        <v>0</v>
      </c>
      <c r="CO309" s="48" t="n">
        <f aca="false">IF(CO$8=1,IF(Reales!$C$77="PYG",IF(CO$10&gt;0,N(Reales!CO77)/CO$10,0),N(Reales!CO77)),MIN(CO$308,MAX(0,CO$305-CO$298)))</f>
        <v>1843575.6608728</v>
      </c>
      <c r="CP309" s="48" t="n">
        <f aca="false">IF(CP$8=1,IF(Reales!$C$77="PYG",IF(CP$10&gt;0,N(Reales!CP77)/CP$10,0),N(Reales!CP77)),MIN(CP$308,MAX(0,CP$305-CP$298)))</f>
        <v>0</v>
      </c>
      <c r="CQ309" s="48" t="n">
        <f aca="false">IF(CQ$8=1,IF(Reales!$C$77="PYG",IF(CQ$10&gt;0,N(Reales!CQ77)/CQ$10,0),N(Reales!CQ77)),MIN(CQ$308,MAX(0,CQ$305-CQ$298)))</f>
        <v>0</v>
      </c>
      <c r="CR309" s="48" t="n">
        <f aca="false">IF(CR$8=1,IF(Reales!$C$77="PYG",IF(CR$10&gt;0,N(Reales!CR77)/CR$10,0),N(Reales!CR77)),MIN(CR$308,MAX(0,CR$305-CR$298)))</f>
        <v>0</v>
      </c>
      <c r="CS309" s="48" t="n">
        <f aca="false">IF(CS$8=1,IF(Reales!$C$77="PYG",IF(CS$10&gt;0,N(Reales!CS77)/CS$10,0),N(Reales!CS77)),MIN(CS$308,MAX(0,CS$305-CS$298)))</f>
        <v>0</v>
      </c>
      <c r="CT309" s="48" t="n">
        <f aca="false">IF(CT$8=1,IF(Reales!$C$77="PYG",IF(CT$10&gt;0,N(Reales!CT77)/CT$10,0),N(Reales!CT77)),MIN(CT$308,MAX(0,CT$305-CT$298)))</f>
        <v>0</v>
      </c>
      <c r="CU309" s="48" t="n">
        <f aca="false">IF(CU$8=1,IF(Reales!$C$77="PYG",IF(CU$10&gt;0,N(Reales!CU77)/CU$10,0),N(Reales!CU77)),MIN(CU$308,MAX(0,CU$305-CU$298)))</f>
        <v>0</v>
      </c>
      <c r="CV309" s="48" t="n">
        <f aca="false">IF(CV$8=1,IF(Reales!$C$77="PYG",IF(CV$10&gt;0,N(Reales!CV77)/CV$10,0),N(Reales!CV77)),MIN(CV$308,MAX(0,CV$305-CV$298)))</f>
        <v>0</v>
      </c>
      <c r="CW309" s="48" t="n">
        <f aca="false">IF(CW$8=1,IF(Reales!$C$77="PYG",IF(CW$10&gt;0,N(Reales!CW77)/CW$10,0),N(Reales!CW77)),MIN(CW$308,MAX(0,CW$305-CW$298)))</f>
        <v>0</v>
      </c>
      <c r="CX309" s="48" t="n">
        <f aca="false">IF(CX$8=1,IF(Reales!$C$77="PYG",IF(CX$10&gt;0,N(Reales!CX77)/CX$10,0),N(Reales!CX77)),MIN(CX$308,MAX(0,CX$305-CX$298)))</f>
        <v>0</v>
      </c>
      <c r="CY309" s="48" t="n">
        <f aca="false">IF(CY$8=1,IF(Reales!$C$77="PYG",IF(CY$10&gt;0,N(Reales!CY77)/CY$10,0),N(Reales!CY77)),MIN(CY$308,MAX(0,CY$305-CY$298)))</f>
        <v>0</v>
      </c>
      <c r="CZ309" s="48" t="n">
        <f aca="false">IF(CZ$8=1,IF(Reales!$C$77="PYG",IF(CZ$10&gt;0,N(Reales!CZ77)/CZ$10,0),N(Reales!CZ77)),MIN(CZ$308,MAX(0,CZ$305-CZ$298)))</f>
        <v>0</v>
      </c>
      <c r="DA309" s="48" t="n">
        <f aca="false">IF(DA$8=1,IF(Reales!$C$77="PYG",IF(DA$10&gt;0,N(Reales!DA77)/DA$10,0),N(Reales!DA77)),MIN(DA$308,MAX(0,DA$305-DA$298)))</f>
        <v>1893301.21355545</v>
      </c>
      <c r="DB309" s="48" t="n">
        <f aca="false">IF(DB$8=1,IF(Reales!$C$77="PYG",IF(DB$10&gt;0,N(Reales!DB77)/DB$10,0),N(Reales!DB77)),MIN(DB$308,MAX(0,DB$305-DB$298)))</f>
        <v>0</v>
      </c>
      <c r="DC309" s="48" t="n">
        <f aca="false">IF(DC$8=1,IF(Reales!$C$77="PYG",IF(DC$10&gt;0,N(Reales!DC77)/DC$10,0),N(Reales!DC77)),MIN(DC$308,MAX(0,DC$305-DC$298)))</f>
        <v>0</v>
      </c>
      <c r="DD309" s="48" t="n">
        <f aca="false">IF(DD$8=1,IF(Reales!$C$77="PYG",IF(DD$10&gt;0,N(Reales!DD77)/DD$10,0),N(Reales!DD77)),MIN(DD$308,MAX(0,DD$305-DD$298)))</f>
        <v>0</v>
      </c>
      <c r="DE309" s="48" t="n">
        <f aca="false">IF(DE$8=1,IF(Reales!$C$77="PYG",IF(DE$10&gt;0,N(Reales!DE77)/DE$10,0),N(Reales!DE77)),MIN(DE$308,MAX(0,DE$305-DE$298)))</f>
        <v>0</v>
      </c>
      <c r="DF309" s="48" t="n">
        <f aca="false">IF(DF$8=1,IF(Reales!$C$77="PYG",IF(DF$10&gt;0,N(Reales!DF77)/DF$10,0),N(Reales!DF77)),MIN(DF$308,MAX(0,DF$305-DF$298)))</f>
        <v>0</v>
      </c>
      <c r="DG309" s="48" t="n">
        <f aca="false">IF(DG$8=1,IF(Reales!$C$77="PYG",IF(DG$10&gt;0,N(Reales!DG77)/DG$10,0),N(Reales!DG77)),MIN(DG$308,MAX(0,DG$305-DG$298)))</f>
        <v>0</v>
      </c>
      <c r="DH309" s="48" t="n">
        <f aca="false">IF(DH$8=1,IF(Reales!$C$77="PYG",IF(DH$10&gt;0,N(Reales!DH77)/DH$10,0),N(Reales!DH77)),MIN(DH$308,MAX(0,DH$305-DH$298)))</f>
        <v>0</v>
      </c>
      <c r="DI309" s="48" t="n">
        <f aca="false">IF(DI$8=1,IF(Reales!$C$77="PYG",IF(DI$10&gt;0,N(Reales!DI77)/DI$10,0),N(Reales!DI77)),MIN(DI$308,MAX(0,DI$305-DI$298)))</f>
        <v>0</v>
      </c>
      <c r="DJ309" s="48" t="n">
        <f aca="false">IF(DJ$8=1,IF(Reales!$C$77="PYG",IF(DJ$10&gt;0,N(Reales!DJ77)/DJ$10,0),N(Reales!DJ77)),MIN(DJ$308,MAX(0,DJ$305-DJ$298)))</f>
        <v>0</v>
      </c>
      <c r="DK309" s="48" t="n">
        <f aca="false">IF(DK$8=1,IF(Reales!$C$77="PYG",IF(DK$10&gt;0,N(Reales!DK77)/DK$10,0),N(Reales!DK77)),MIN(DK$308,MAX(0,DK$305-DK$298)))</f>
        <v>0</v>
      </c>
      <c r="DL309" s="48" t="n">
        <f aca="false">IF(DL$8=1,IF(Reales!$C$77="PYG",IF(DL$10&gt;0,N(Reales!DL77)/DL$10,0),N(Reales!DL77)),MIN(DL$308,MAX(0,DL$305-DL$298)))</f>
        <v>0</v>
      </c>
      <c r="DM309" s="48" t="n">
        <f aca="false">IF(DM$8=1,IF(Reales!$C$77="PYG",IF(DM$10&gt;0,N(Reales!DM77)/DM$10,0),N(Reales!DM77)),MIN(DM$308,MAX(0,DM$305-DM$298)))</f>
        <v>1943364.14678689</v>
      </c>
      <c r="DN309" s="48" t="n">
        <f aca="false">IF(DN$8=1,IF(Reales!$C$77="PYG",IF(DN$10&gt;0,N(Reales!DN77)/DN$10,0),N(Reales!DN77)),MIN(DN$308,MAX(0,DN$305-DN$298)))</f>
        <v>0</v>
      </c>
      <c r="DO309" s="48" t="n">
        <f aca="false">IF(DO$8=1,IF(Reales!$C$77="PYG",IF(DO$10&gt;0,N(Reales!DO77)/DO$10,0),N(Reales!DO77)),MIN(DO$308,MAX(0,DO$305-DO$298)))</f>
        <v>0</v>
      </c>
      <c r="DP309" s="48" t="n">
        <f aca="false">IF(DP$8=1,IF(Reales!$C$77="PYG",IF(DP$10&gt;0,N(Reales!DP77)/DP$10,0),N(Reales!DP77)),MIN(DP$308,MAX(0,DP$305-DP$298)))</f>
        <v>0</v>
      </c>
      <c r="DQ309" s="48" t="n">
        <f aca="false">IF(DQ$8=1,IF(Reales!$C$77="PYG",IF(DQ$10&gt;0,N(Reales!DQ77)/DQ$10,0),N(Reales!DQ77)),MIN(DQ$308,MAX(0,DQ$305-DQ$298)))</f>
        <v>0</v>
      </c>
      <c r="DR309" s="48" t="n">
        <f aca="false">IF(DR$8=1,IF(Reales!$C$77="PYG",IF(DR$10&gt;0,N(Reales!DR77)/DR$10,0),N(Reales!DR77)),MIN(DR$308,MAX(0,DR$305-DR$298)))</f>
        <v>0</v>
      </c>
      <c r="DS309" s="48" t="n">
        <f aca="false">IF(DS$8=1,IF(Reales!$C$77="PYG",IF(DS$10&gt;0,N(Reales!DS77)/DS$10,0),N(Reales!DS77)),MIN(DS$308,MAX(0,DS$305-DS$298)))</f>
        <v>0</v>
      </c>
      <c r="DT309" s="48" t="n">
        <f aca="false">IF(DT$8=1,IF(Reales!$C$77="PYG",IF(DT$10&gt;0,N(Reales!DT77)/DT$10,0),N(Reales!DT77)),MIN(DT$308,MAX(0,DT$305-DT$298)))</f>
        <v>0</v>
      </c>
      <c r="DU309" s="48" t="n">
        <f aca="false">IF(DU$8=1,IF(Reales!$C$77="PYG",IF(DU$10&gt;0,N(Reales!DU77)/DU$10,0),N(Reales!DU77)),MIN(DU$308,MAX(0,DU$305-DU$298)))</f>
        <v>0</v>
      </c>
      <c r="DV309" s="48" t="n">
        <f aca="false">IF(DV$8=1,IF(Reales!$C$77="PYG",IF(DV$10&gt;0,N(Reales!DV77)/DV$10,0),N(Reales!DV77)),MIN(DV$308,MAX(0,DV$305-DV$298)))</f>
        <v>0</v>
      </c>
      <c r="DW309" s="48" t="n">
        <f aca="false">IF(DW$8=1,IF(Reales!$C$77="PYG",IF(DW$10&gt;0,N(Reales!DW77)/DW$10,0),N(Reales!DW77)),MIN(DW$308,MAX(0,DW$305-DW$298)))</f>
        <v>0</v>
      </c>
      <c r="DX309" s="48" t="n">
        <f aca="false">IF(DX$8=1,IF(Reales!$C$77="PYG",IF(DX$10&gt;0,N(Reales!DX77)/DX$10,0),N(Reales!DX77)),MIN(DX$308,MAX(0,DX$305-DX$298)))</f>
        <v>0</v>
      </c>
      <c r="DY309" s="48" t="n">
        <f aca="false">IF(DY$8=1,IF(Reales!$C$77="PYG",IF(DY$10&gt;0,N(Reales!DY77)/DY$10,0),N(Reales!DY77)),MIN(DY$308,MAX(0,DY$305-DY$298)))</f>
        <v>0</v>
      </c>
      <c r="DZ309" s="48" t="n">
        <f aca="false">IF(DZ$8=1,IF(Reales!$C$77="PYG",IF(DZ$10&gt;0,N(Reales!DZ77)/DZ$10,0),N(Reales!DZ77)),MIN(DZ$308,MAX(0,DZ$305-DZ$298)))</f>
        <v>0</v>
      </c>
      <c r="EA309" s="48" t="n">
        <f aca="false">IF(EA$8=1,IF(Reales!$C$77="PYG",IF(EA$10&gt;0,N(Reales!EA77)/EA$10,0),N(Reales!EA77)),MIN(EA$308,MAX(0,EA$305-EA$298)))</f>
        <v>0</v>
      </c>
      <c r="EB309" s="48" t="n">
        <f aca="false">IF(EB$8=1,IF(Reales!$C$77="PYG",IF(EB$10&gt;0,N(Reales!EB77)/EB$10,0),N(Reales!EB77)),MIN(EB$308,MAX(0,EB$305-EB$298)))</f>
        <v>0</v>
      </c>
      <c r="EC309" s="48" t="n">
        <f aca="false">IF(EC$8=1,IF(Reales!$C$77="PYG",IF(EC$10&gt;0,N(Reales!EC77)/EC$10,0),N(Reales!EC77)),MIN(EC$308,MAX(0,EC$305-EC$298)))</f>
        <v>0</v>
      </c>
      <c r="ED309" s="48" t="n">
        <f aca="false">IF(ED$8=1,IF(Reales!$C$77="PYG",IF(ED$10&gt;0,N(Reales!ED77)/ED$10,0),N(Reales!ED77)),MIN(ED$308,MAX(0,ED$305-ED$298)))</f>
        <v>0</v>
      </c>
      <c r="EE309" s="48" t="n">
        <f aca="false">IF(EE$8=1,IF(Reales!$C$77="PYG",IF(EE$10&gt;0,N(Reales!EE77)/EE$10,0),N(Reales!EE77)),MIN(EE$308,MAX(0,EE$305-EE$298)))</f>
        <v>0</v>
      </c>
      <c r="EF309" s="48" t="n">
        <f aca="false">IF(EF$8=1,IF(Reales!$C$77="PYG",IF(EF$10&gt;0,N(Reales!EF77)/EF$10,0),N(Reales!EF77)),MIN(EF$308,MAX(0,EF$305-EF$298)))</f>
        <v>0</v>
      </c>
      <c r="EG309" s="48" t="n">
        <f aca="false">IF(EG$8=1,IF(Reales!$C$77="PYG",IF(EG$10&gt;0,N(Reales!EG77)/EG$10,0),N(Reales!EG77)),MIN(EG$308,MAX(0,EG$305-EG$298)))</f>
        <v>0</v>
      </c>
      <c r="EH309" s="48" t="n">
        <f aca="false">IF(EH$8=1,IF(Reales!$C$77="PYG",IF(EH$10&gt;0,N(Reales!EH77)/EH$10,0),N(Reales!EH77)),MIN(EH$308,MAX(0,EH$305-EH$298)))</f>
        <v>0</v>
      </c>
      <c r="EI309" s="48" t="n">
        <f aca="false">IF(EI$8=1,IF(Reales!$C$77="PYG",IF(EI$10&gt;0,N(Reales!EI77)/EI$10,0),N(Reales!EI77)),MIN(EI$308,MAX(0,EI$305-EI$298)))</f>
        <v>0</v>
      </c>
      <c r="EJ309" s="48" t="n">
        <f aca="false">IF(EJ$8=1,IF(Reales!$C$77="PYG",IF(EJ$10&gt;0,N(Reales!EJ77)/EJ$10,0),N(Reales!EJ77)),MIN(EJ$308,MAX(0,EJ$305-EJ$298)))</f>
        <v>0</v>
      </c>
      <c r="EK309" s="48" t="n">
        <f aca="false">IF(EK$8=1,IF(Reales!$C$77="PYG",IF(EK$10&gt;0,N(Reales!EK77)/EK$10,0),N(Reales!EK77)),MIN(EK$308,MAX(0,EK$305-EK$298)))</f>
        <v>0</v>
      </c>
      <c r="EL309" s="48" t="n">
        <f aca="false">IF(EL$8=1,IF(Reales!$C$77="PYG",IF(EL$10&gt;0,N(Reales!EL77)/EL$10,0),N(Reales!EL77)),MIN(EL$308,MAX(0,EL$305-EL$298)))</f>
        <v>0</v>
      </c>
      <c r="EM309" s="48" t="n">
        <f aca="false">IF(EM$8=1,IF(Reales!$C$77="PYG",IF(EM$10&gt;0,N(Reales!EM77)/EM$10,0),N(Reales!EM77)),MIN(EM$308,MAX(0,EM$305-EM$298)))</f>
        <v>0</v>
      </c>
      <c r="EN309" s="48" t="n">
        <f aca="false">IF(EN$8=1,IF(Reales!$C$77="PYG",IF(EN$10&gt;0,N(Reales!EN77)/EN$10,0),N(Reales!EN77)),MIN(EN$308,MAX(0,EN$305-EN$298)))</f>
        <v>0</v>
      </c>
      <c r="EO309" s="48" t="n">
        <f aca="false">IF(EO$8=1,IF(Reales!$C$77="PYG",IF(EO$10&gt;0,N(Reales!EO77)/EO$10,0),N(Reales!EO77)),MIN(EO$308,MAX(0,EO$305-EO$298)))</f>
        <v>0</v>
      </c>
      <c r="EP309" s="48" t="n">
        <f aca="false">IF(EP$8=1,IF(Reales!$C$77="PYG",IF(EP$10&gt;0,N(Reales!EP77)/EP$10,0),N(Reales!EP77)),MIN(EP$308,MAX(0,EP$305-EP$298)))</f>
        <v>0</v>
      </c>
      <c r="EQ309" s="48" t="n">
        <f aca="false">IF(EQ$8=1,IF(Reales!$C$77="PYG",IF(EQ$10&gt;0,N(Reales!EQ77)/EQ$10,0),N(Reales!EQ77)),MIN(EQ$308,MAX(0,EQ$305-EQ$298)))</f>
        <v>0</v>
      </c>
      <c r="ER309" s="48" t="n">
        <f aca="false">IF(ER$8=1,IF(Reales!$C$77="PYG",IF(ER$10&gt;0,N(Reales!ER77)/ER$10,0),N(Reales!ER77)),MIN(ER$308,MAX(0,ER$305-ER$298)))</f>
        <v>0</v>
      </c>
      <c r="ES309" s="48" t="n">
        <f aca="false">IF(ES$8=1,IF(Reales!$C$77="PYG",IF(ES$10&gt;0,N(Reales!ES77)/ES$10,0),N(Reales!ES77)),MIN(ES$308,MAX(0,ES$305-ES$298)))</f>
        <v>0</v>
      </c>
    </row>
    <row r="310" customFormat="false" ht="15" hidden="false" customHeight="false" outlineLevel="0" collapsed="false">
      <c r="A310" s="11" t="s">
        <v>1427</v>
      </c>
      <c r="B310" s="67" t="s">
        <v>1271</v>
      </c>
      <c r="C310" s="15" t="s">
        <v>508</v>
      </c>
      <c r="E310" s="54" t="n">
        <f aca="false">MIN(F310:ES310)</f>
        <v>-311740.118672618</v>
      </c>
      <c r="F310" s="19" t="n">
        <f aca="false">IF(AND(F$8=1,ISNUMBER(Reales!F79)),IF(Reales!$C$79="PYG",IF(F$10&gt;0,N(Reales!F79)/F$10,0),N(Reales!F79)),F$305-F$309)</f>
        <v>535727.93036656</v>
      </c>
      <c r="G310" s="19" t="n">
        <f aca="false">IF(AND(G$8=1,ISNUMBER(Reales!G79)),IF(Reales!$C$79="PYG",IF(G$10&gt;0,N(Reales!G79)/G$10,0),N(Reales!G79)),G$305-G$309)</f>
        <v>555194.83809215</v>
      </c>
      <c r="H310" s="19" t="n">
        <f aca="false">IF(AND(H$8=1,ISNUMBER(Reales!H79)),IF(Reales!$C$79="PYG",IF(H$10&gt;0,N(Reales!H79)/H$10,0),N(Reales!H79)),H$305-H$309)</f>
        <v>574661.745817739</v>
      </c>
      <c r="I310" s="19" t="n">
        <f aca="false">IF(AND(I$8=1,ISNUMBER(Reales!I79)),IF(Reales!$C$79="PYG",IF(I$10&gt;0,N(Reales!I79)/I$10,0),N(Reales!I79)),I$305-I$309)</f>
        <v>594128.653543329</v>
      </c>
      <c r="J310" s="19" t="n">
        <f aca="false">IF(AND(J$8=1,ISNUMBER(Reales!J79)),IF(Reales!$C$79="PYG",IF(J$10&gt;0,N(Reales!J79)/J$10,0),N(Reales!J79)),J$305-J$309)</f>
        <v>613595.561268919</v>
      </c>
      <c r="K310" s="19" t="n">
        <f aca="false">IF(AND(K$8=1,ISNUMBER(Reales!K79)),IF(Reales!$C$79="PYG",IF(K$10&gt;0,N(Reales!K79)/K$10,0),N(Reales!K79)),K$305-K$309)</f>
        <v>633062.468994509</v>
      </c>
      <c r="L310" s="19" t="n">
        <f aca="false">IF(AND(L$8=1,ISNUMBER(Reales!L79)),IF(Reales!$C$79="PYG",IF(L$10&gt;0,N(Reales!L79)/L$10,0),N(Reales!L79)),L$305-L$309)</f>
        <v>610406.072625411</v>
      </c>
      <c r="M310" s="19" t="n">
        <f aca="false">IF(AND(M$8=1,ISNUMBER(Reales!M79)),IF(Reales!$C$79="PYG",IF(M$10&gt;0,N(Reales!M79)/M$10,0),N(Reales!M79)),M$305-M$309)</f>
        <v>587781.268734384</v>
      </c>
      <c r="N310" s="19" t="n">
        <f aca="false">IF(AND(N$8=1,ISNUMBER(Reales!N79)),IF(Reales!$C$79="PYG",IF(N$10&gt;0,N(Reales!N79)/N$10,0),N(Reales!N79)),N$305-N$309)</f>
        <v>565188.294265013</v>
      </c>
      <c r="O310" s="19" t="n">
        <f aca="false">IF(AND(O$8=1,ISNUMBER(Reales!O79)),IF(Reales!$C$79="PYG",IF(O$10&gt;0,N(Reales!O79)/O$10,0),N(Reales!O79)),O$305-O$309)</f>
        <v>542627.387937962</v>
      </c>
      <c r="P310" s="19" t="n">
        <f aca="false">IF(AND(P$8=1,ISNUMBER(Reales!P79)),IF(Reales!$C$79="PYG",IF(P$10&gt;0,N(Reales!P79)/P$10,0),N(Reales!P79)),P$305-P$309)</f>
        <v>520098.790264297</v>
      </c>
      <c r="Q310" s="19" t="n">
        <f aca="false">IF(AND(Q$8=1,ISNUMBER(Reales!Q79)),IF(Reales!$C$79="PYG",IF(Q$10&gt;0,N(Reales!Q79)/Q$10,0),N(Reales!Q79)),Q$305-Q$309)</f>
        <v>497602.743558918</v>
      </c>
      <c r="R310" s="19" t="n">
        <f aca="false">IF(AND(R$8=1,ISNUMBER(Reales!R79)),IF(Reales!$C$79="PYG",IF(R$10&gt;0,N(Reales!R79)/R$10,0),N(Reales!R79)),R$305-R$309)</f>
        <v>129920.95007682</v>
      </c>
      <c r="S310" s="19" t="n">
        <f aca="false">IF(AND(S$8=1,ISNUMBER(Reales!S79)),IF(Reales!$C$79="PYG",IF(S$10&gt;0,N(Reales!S79)/S$10,0),N(Reales!S79)),S$305-S$309)</f>
        <v>145489.642054168</v>
      </c>
      <c r="T310" s="19" t="n">
        <f aca="false">IF(AND(T$8=1,ISNUMBER(Reales!T79)),IF(Reales!$C$79="PYG",IF(T$10&gt;0,N(Reales!T79)/T$10,0),N(Reales!T79)),T$305-T$309)</f>
        <v>161091.622903299</v>
      </c>
      <c r="U310" s="19" t="n">
        <f aca="false">IF(AND(U$8=1,ISNUMBER(Reales!U79)),IF(Reales!$C$79="PYG",IF(U$10&gt;0,N(Reales!U79)/U$10,0),N(Reales!U79)),U$305-U$309)</f>
        <v>176727.142290749</v>
      </c>
      <c r="V310" s="19" t="n">
        <f aca="false">IF(AND(V$8=1,ISNUMBER(Reales!V79)),IF(Reales!$C$79="PYG",IF(V$10&gt;0,N(Reales!V79)/V$10,0),N(Reales!V79)),V$305-V$309)</f>
        <v>192396.451755556</v>
      </c>
      <c r="W310" s="19" t="n">
        <f aca="false">IF(AND(W$8=1,ISNUMBER(Reales!W79)),IF(Reales!$C$79="PYG",IF(W$10&gt;0,N(Reales!W79)/W$10,0),N(Reales!W79)),W$305-W$309)</f>
        <v>208099.804723301</v>
      </c>
      <c r="X310" s="19" t="n">
        <f aca="false">IF(AND(X$8=1,ISNUMBER(Reales!X79)),IF(Reales!$C$79="PYG",IF(X$10&gt;0,N(Reales!X79)/X$10,0),N(Reales!X79)),X$305-X$309)</f>
        <v>223837.456520255</v>
      </c>
      <c r="Y310" s="19" t="n">
        <f aca="false">IF(AND(Y$8=1,ISNUMBER(Reales!Y79)),IF(Reales!$C$79="PYG",IF(Y$10&gt;0,N(Reales!Y79)/Y$10,0),N(Reales!Y79)),Y$305-Y$309)</f>
        <v>239609.664387639</v>
      </c>
      <c r="Z310" s="19" t="n">
        <f aca="false">IF(AND(Z$8=1,ISNUMBER(Reales!Z79)),IF(Reales!$C$79="PYG",IF(Z$10&gt;0,N(Reales!Z79)/Z$10,0),N(Reales!Z79)),Z$305-Z$309)</f>
        <v>255416.687495978</v>
      </c>
      <c r="AA310" s="19" t="n">
        <f aca="false">IF(AND(AA$8=1,ISNUMBER(Reales!AA79)),IF(Reales!$C$79="PYG",IF(AA$10&gt;0,N(Reales!AA79)/AA$10,0),N(Reales!AA79)),AA$305-AA$309)</f>
        <v>271258.786959582</v>
      </c>
      <c r="AB310" s="19" t="n">
        <f aca="false">IF(AND(AB$8=1,ISNUMBER(Reales!AB79)),IF(Reales!$C$79="PYG",IF(AB$10&gt;0,N(Reales!AB79)/AB$10,0),N(Reales!AB79)),AB$305-AB$309)</f>
        <v>287136.225851114</v>
      </c>
      <c r="AC310" s="19" t="n">
        <f aca="false">IF(AND(AC$8=1,ISNUMBER(Reales!AC79)),IF(Reales!$C$79="PYG",IF(AC$10&gt;0,N(Reales!AC79)/AC$10,0),N(Reales!AC79)),AC$305-AC$309)</f>
        <v>303049.269216285</v>
      </c>
      <c r="AD310" s="19" t="n">
        <f aca="false">IF(AND(AD$8=1,ISNUMBER(Reales!AD79)),IF(Reales!$C$79="PYG",IF(AD$10&gt;0,N(Reales!AD79)/AD$10,0),N(Reales!AD79)),AD$305-AD$309)</f>
        <v>-311740.118672618</v>
      </c>
      <c r="AE310" s="19" t="n">
        <f aca="false">IF(AND(AE$8=1,ISNUMBER(Reales!AE79)),IF(Reales!$C$79="PYG",IF(AE$10&gt;0,N(Reales!AE79)/AE$10,0),N(Reales!AE79)),AE$305-AE$309)</f>
        <v>-259166.435385604</v>
      </c>
      <c r="AF310" s="19" t="n">
        <f aca="false">IF(AND(AF$8=1,ISNUMBER(Reales!AF79)),IF(Reales!$C$79="PYG",IF(AF$10&gt;0,N(Reales!AF79)/AF$10,0),N(Reales!AF79)),AF$305-AF$309)</f>
        <v>-206556.340501019</v>
      </c>
      <c r="AG310" s="19" t="n">
        <f aca="false">IF(AND(AG$8=1,ISNUMBER(Reales!AG79)),IF(Reales!$C$79="PYG",IF(AG$10&gt;0,N(Reales!AG79)/AG$10,0),N(Reales!AG79)),AG$305-AG$309)</f>
        <v>-153909.560931882</v>
      </c>
      <c r="AH310" s="19" t="n">
        <f aca="false">IF(AND(AH$8=1,ISNUMBER(Reales!AH79)),IF(Reales!$C$79="PYG",IF(AH$10&gt;0,N(Reales!AH79)/AH$10,0),N(Reales!AH79)),AH$305-AH$309)</f>
        <v>-101225.821543058</v>
      </c>
      <c r="AI310" s="19" t="n">
        <f aca="false">IF(AND(AI$8=1,ISNUMBER(Reales!AI79)),IF(Reales!$C$79="PYG",IF(AI$10&gt;0,N(Reales!AI79)/AI$10,0),N(Reales!AI79)),AI$305-AI$309)</f>
        <v>-48504.845135901</v>
      </c>
      <c r="AJ310" s="19" t="n">
        <f aca="false">IF(AND(AJ$8=1,ISNUMBER(Reales!AJ79)),IF(Reales!$C$79="PYG",IF(AJ$10&gt;0,N(Reales!AJ79)/AJ$10,0),N(Reales!AJ79)),AJ$305-AJ$309)</f>
        <v>4253.64756722766</v>
      </c>
      <c r="AK310" s="19" t="n">
        <f aca="false">IF(AND(AK$8=1,ISNUMBER(Reales!AK79)),IF(Reales!$C$79="PYG",IF(AK$10&gt;0,N(Reales!AK79)/AK$10,0),N(Reales!AK79)),AK$305-AK$309)</f>
        <v>57049.9379385475</v>
      </c>
      <c r="AL310" s="19" t="n">
        <f aca="false">IF(AND(AL$8=1,ISNUMBER(Reales!AL79)),IF(Reales!$C$79="PYG",IF(AL$10&gt;0,N(Reales!AL79)/AL$10,0),N(Reales!AL79)),AL$305-AL$309)</f>
        <v>109884.30946057</v>
      </c>
      <c r="AM310" s="19" t="n">
        <f aca="false">IF(AND(AM$8=1,ISNUMBER(Reales!AM79)),IF(Reales!$C$79="PYG",IF(AM$10&gt;0,N(Reales!AM79)/AM$10,0),N(Reales!AM79)),AM$305-AM$309)</f>
        <v>162757.047741925</v>
      </c>
      <c r="AN310" s="19" t="n">
        <f aca="false">IF(AND(AN$8=1,ISNUMBER(Reales!AN79)),IF(Reales!$C$79="PYG",IF(AN$10&gt;0,N(Reales!AN79)/AN$10,0),N(Reales!AN79)),AN$305-AN$309)</f>
        <v>215668.440533309</v>
      </c>
      <c r="AO310" s="19" t="n">
        <f aca="false">IF(AND(AO$8=1,ISNUMBER(Reales!AO79)),IF(Reales!$C$79="PYG",IF(AO$10&gt;0,N(Reales!AO79)/AO$10,0),N(Reales!AO79)),AO$305-AO$309)</f>
        <v>268618.777743545</v>
      </c>
      <c r="AP310" s="19" t="n">
        <f aca="false">IF(AND(AP$8=1,ISNUMBER(Reales!AP79)),IF(Reales!$C$79="PYG",IF(AP$10&gt;0,N(Reales!AP79)/AP$10,0),N(Reales!AP79)),AP$305-AP$309)</f>
        <v>-204392.169462803</v>
      </c>
      <c r="AQ310" s="19" t="n">
        <f aca="false">IF(AND(AQ$8=1,ISNUMBER(Reales!AQ79)),IF(Reales!$C$79="PYG",IF(AQ$10&gt;0,N(Reales!AQ79)/AQ$10,0),N(Reales!AQ79)),AQ$305-AQ$309)</f>
        <v>-118554.515960079</v>
      </c>
      <c r="AR310" s="19" t="n">
        <f aca="false">IF(AND(AR$8=1,ISNUMBER(Reales!AR79)),IF(Reales!$C$79="PYG",IF(AR$10&gt;0,N(Reales!AR79)/AR$10,0),N(Reales!AR79)),AR$305-AR$309)</f>
        <v>-32677.0352007774</v>
      </c>
      <c r="AS310" s="19" t="n">
        <f aca="false">IF(AND(AS$8=1,ISNUMBER(Reales!AS79)),IF(Reales!$C$79="PYG",IF(AS$10&gt;0,N(Reales!AS79)/AS$10,0),N(Reales!AS79)),AS$305-AS$309)</f>
        <v>53240.5715195262</v>
      </c>
      <c r="AT310" s="19" t="n">
        <f aca="false">IF(AND(AT$8=1,ISNUMBER(Reales!AT79)),IF(Reales!$C$79="PYG",IF(AT$10&gt;0,N(Reales!AT79)/AT$10,0),N(Reales!AT79)),AT$305-AT$309)</f>
        <v>139198.605145539</v>
      </c>
      <c r="AU310" s="19" t="n">
        <f aca="false">IF(AND(AU$8=1,ISNUMBER(Reales!AU79)),IF(Reales!$C$79="PYG",IF(AU$10&gt;0,N(Reales!AU79)/AU$10,0),N(Reales!AU79)),AU$305-AU$309)</f>
        <v>225197.368879055</v>
      </c>
      <c r="AV310" s="19" t="n">
        <f aca="false">IF(AND(AV$8=1,ISNUMBER(Reales!AV79)),IF(Reales!$C$79="PYG",IF(AV$10&gt;0,N(Reales!AV79)/AV$10,0),N(Reales!AV79)),AV$305-AV$309)</f>
        <v>311237.168195879</v>
      </c>
      <c r="AW310" s="19" t="n">
        <f aca="false">IF(AND(AW$8=1,ISNUMBER(Reales!AW79)),IF(Reales!$C$79="PYG",IF(AW$10&gt;0,N(Reales!AW79)/AW$10,0),N(Reales!AW79)),AW$305-AW$309)</f>
        <v>397318.310862886</v>
      </c>
      <c r="AX310" s="19" t="n">
        <f aca="false">IF(AND(AX$8=1,ISNUMBER(Reales!AX79)),IF(Reales!$C$79="PYG",IF(AX$10&gt;0,N(Reales!AX79)/AX$10,0),N(Reales!AX79)),AX$305-AX$309)</f>
        <v>483441.106955204</v>
      </c>
      <c r="AY310" s="19" t="n">
        <f aca="false">IF(AND(AY$8=1,ISNUMBER(Reales!AY79)),IF(Reales!$C$79="PYG",IF(AY$10&gt;0,N(Reales!AY79)/AY$10,0),N(Reales!AY79)),AY$305-AY$309)</f>
        <v>569605.86887352</v>
      </c>
      <c r="AZ310" s="19" t="n">
        <f aca="false">IF(AND(AZ$8=1,ISNUMBER(Reales!AZ79)),IF(Reales!$C$79="PYG",IF(AZ$10&gt;0,N(Reales!AZ79)/AZ$10,0),N(Reales!AZ79)),AZ$305-AZ$309)</f>
        <v>655812.911361532</v>
      </c>
      <c r="BA310" s="19" t="n">
        <f aca="false">IF(AND(BA$8=1,ISNUMBER(Reales!BA79)),IF(Reales!$C$79="PYG",IF(BA$10&gt;0,N(Reales!BA79)/BA$10,0),N(Reales!BA79)),BA$305-BA$309)</f>
        <v>742062.551523511</v>
      </c>
      <c r="BB310" s="19" t="n">
        <f aca="false">IF(AND(BB$8=1,ISNUMBER(Reales!BB79)),IF(Reales!$C$79="PYG",IF(BB$10&gt;0,N(Reales!BB79)/BB$10,0),N(Reales!BB79)),BB$305-BB$309)</f>
        <v>791565.146132667</v>
      </c>
      <c r="BC310" s="19" t="n">
        <f aca="false">IF(AND(BC$8=1,ISNUMBER(Reales!BC79)),IF(Reales!$C$79="PYG",IF(BC$10&gt;0,N(Reales!BC79)/BC$10,0),N(Reales!BC79)),BC$305-BC$309)</f>
        <v>879220.52748288</v>
      </c>
      <c r="BD310" s="19" t="n">
        <f aca="false">IF(AND(BD$8=1,ISNUMBER(Reales!BD79)),IF(Reales!$C$79="PYG",IF(BD$10&gt;0,N(Reales!BD79)/BD$10,0),N(Reales!BD79)),BD$305-BD$309)</f>
        <v>966919.472161052</v>
      </c>
      <c r="BE310" s="19" t="n">
        <f aca="false">IF(AND(BE$8=1,ISNUMBER(Reales!BE79)),IF(Reales!$C$79="PYG",IF(BE$10&gt;0,N(Reales!BE79)/BE$10,0),N(Reales!BE79)),BE$305-BE$309)</f>
        <v>249708.928511221</v>
      </c>
      <c r="BF310" s="19" t="n">
        <f aca="false">IF(AND(BF$8=1,ISNUMBER(Reales!BF79)),IF(Reales!$C$79="PYG",IF(BF$10&gt;0,N(Reales!BF79)/BF$10,0),N(Reales!BF79)),BF$305-BF$309)</f>
        <v>337495.98247063</v>
      </c>
      <c r="BG310" s="19" t="n">
        <f aca="false">IF(AND(BG$8=1,ISNUMBER(Reales!BG79)),IF(Reales!$C$79="PYG",IF(BG$10&gt;0,N(Reales!BG79)/BG$10,0),N(Reales!BG79)),BG$305-BG$309)</f>
        <v>425327.587302567</v>
      </c>
      <c r="BH310" s="19" t="n">
        <f aca="false">IF(AND(BH$8=1,ISNUMBER(Reales!BH79)),IF(Reales!$C$79="PYG",IF(BH$10&gt;0,N(Reales!BH79)/BH$10,0),N(Reales!BH79)),BH$305-BH$309)</f>
        <v>513204.077138578</v>
      </c>
      <c r="BI310" s="19" t="n">
        <f aca="false">IF(AND(BI$8=1,ISNUMBER(Reales!BI79)),IF(Reales!$C$79="PYG",IF(BI$10&gt;0,N(Reales!BI79)/BI$10,0),N(Reales!BI79)),BI$305-BI$309)</f>
        <v>601125.788616192</v>
      </c>
      <c r="BJ310" s="19" t="n">
        <f aca="false">IF(AND(BJ$8=1,ISNUMBER(Reales!BJ79)),IF(Reales!$C$79="PYG",IF(BJ$10&gt;0,N(Reales!BJ79)/BJ$10,0),N(Reales!BJ79)),BJ$305-BJ$309)</f>
        <v>689093.060897721</v>
      </c>
      <c r="BK310" s="19" t="n">
        <f aca="false">IF(AND(BK$8=1,ISNUMBER(Reales!BK79)),IF(Reales!$C$79="PYG",IF(BK$10&gt;0,N(Reales!BK79)/BK$10,0),N(Reales!BK79)),BK$305-BK$309)</f>
        <v>777106.235689195</v>
      </c>
      <c r="BL310" s="19" t="n">
        <f aca="false">IF(AND(BL$8=1,ISNUMBER(Reales!BL79)),IF(Reales!$C$79="PYG",IF(BL$10&gt;0,N(Reales!BL79)/BL$10,0),N(Reales!BL79)),BL$305-BL$309)</f>
        <v>865165.657259439</v>
      </c>
      <c r="BM310" s="19" t="n">
        <f aca="false">IF(AND(BM$8=1,ISNUMBER(Reales!BM79)),IF(Reales!$C$79="PYG",IF(BM$10&gt;0,N(Reales!BM79)/BM$10,0),N(Reales!BM79)),BM$305-BM$309)</f>
        <v>953271.672459291</v>
      </c>
      <c r="BN310" s="19" t="n">
        <f aca="false">IF(AND(BN$8=1,ISNUMBER(Reales!BN79)),IF(Reales!$C$79="PYG",IF(BN$10&gt;0,N(Reales!BN79)/BN$10,0),N(Reales!BN79)),BN$305-BN$309)</f>
        <v>1070847.25778852</v>
      </c>
      <c r="BO310" s="19" t="n">
        <f aca="false">IF(AND(BO$8=1,ISNUMBER(Reales!BO79)),IF(Reales!$C$79="PYG",IF(BO$10&gt;0,N(Reales!BO79)/BO$10,0),N(Reales!BO79)),BO$305-BO$309)</f>
        <v>1226147.69958635</v>
      </c>
      <c r="BP310" s="19" t="n">
        <f aca="false">IF(AND(BP$8=1,ISNUMBER(Reales!BP79)),IF(Reales!$C$79="PYG",IF(BP$10&gt;0,N(Reales!BP79)/BP$10,0),N(Reales!BP79)),BP$305-BP$309)</f>
        <v>1381448.14138417</v>
      </c>
      <c r="BQ310" s="19" t="n">
        <f aca="false">IF(AND(BQ$8=1,ISNUMBER(Reales!BQ79)),IF(Reales!$C$79="PYG",IF(BQ$10&gt;0,N(Reales!BQ79)/BQ$10,0),N(Reales!BQ79)),BQ$305-BQ$309)</f>
        <v>72822.0388137782</v>
      </c>
      <c r="BR310" s="19" t="n">
        <f aca="false">IF(AND(BR$8=1,ISNUMBER(Reales!BR79)),IF(Reales!$C$79="PYG",IF(BR$10&gt;0,N(Reales!BR79)/BR$10,0),N(Reales!BR79)),BR$305-BR$309)</f>
        <v>228122.480611604</v>
      </c>
      <c r="BS310" s="19" t="n">
        <f aca="false">IF(AND(BS$8=1,ISNUMBER(Reales!BS79)),IF(Reales!$C$79="PYG",IF(BS$10&gt;0,N(Reales!BS79)/BS$10,0),N(Reales!BS79)),BS$305-BS$309)</f>
        <v>383422.92240943</v>
      </c>
      <c r="BT310" s="19" t="n">
        <f aca="false">IF(AND(BT$8=1,ISNUMBER(Reales!BT79)),IF(Reales!$C$79="PYG",IF(BT$10&gt;0,N(Reales!BT79)/BT$10,0),N(Reales!BT79)),BT$305-BT$309)</f>
        <v>538723.364207257</v>
      </c>
      <c r="BU310" s="19" t="n">
        <f aca="false">IF(AND(BU$8=1,ISNUMBER(Reales!BU79)),IF(Reales!$C$79="PYG",IF(BU$10&gt;0,N(Reales!BU79)/BU$10,0),N(Reales!BU79)),BU$305-BU$309)</f>
        <v>694023.806005083</v>
      </c>
      <c r="BV310" s="19" t="n">
        <f aca="false">IF(AND(BV$8=1,ISNUMBER(Reales!BV79)),IF(Reales!$C$79="PYG",IF(BV$10&gt;0,N(Reales!BV79)/BV$10,0),N(Reales!BV79)),BV$305-BV$309)</f>
        <v>849324.247802909</v>
      </c>
      <c r="BW310" s="19" t="n">
        <f aca="false">IF(AND(BW$8=1,ISNUMBER(Reales!BW79)),IF(Reales!$C$79="PYG",IF(BW$10&gt;0,N(Reales!BW79)/BW$10,0),N(Reales!BW79)),BW$305-BW$309)</f>
        <v>1004624.68960073</v>
      </c>
      <c r="BX310" s="19" t="n">
        <f aca="false">IF(AND(BX$8=1,ISNUMBER(Reales!BX79)),IF(Reales!$C$79="PYG",IF(BX$10&gt;0,N(Reales!BX79)/BX$10,0),N(Reales!BX79)),BX$305-BX$309)</f>
        <v>1159925.13139856</v>
      </c>
      <c r="BY310" s="19" t="n">
        <f aca="false">IF(AND(BY$8=1,ISNUMBER(Reales!BY79)),IF(Reales!$C$79="PYG",IF(BY$10&gt;0,N(Reales!BY79)/BY$10,0),N(Reales!BY79)),BY$305-BY$309)</f>
        <v>1315225.57319639</v>
      </c>
      <c r="BZ310" s="19" t="n">
        <f aca="false">IF(AND(BZ$8=1,ISNUMBER(Reales!BZ79)),IF(Reales!$C$79="PYG",IF(BZ$10&gt;0,N(Reales!BZ79)/BZ$10,0),N(Reales!BZ79)),BZ$305-BZ$309)</f>
        <v>1436551.70246101</v>
      </c>
      <c r="CA310" s="19" t="n">
        <f aca="false">IF(AND(CA$8=1,ISNUMBER(Reales!CA79)),IF(Reales!$C$79="PYG",IF(CA$10&gt;0,N(Reales!CA79)/CA$10,0),N(Reales!CA79)),CA$305-CA$309)</f>
        <v>1595967.72495041</v>
      </c>
      <c r="CB310" s="19" t="n">
        <f aca="false">IF(AND(CB$8=1,ISNUMBER(Reales!CB79)),IF(Reales!$C$79="PYG",IF(CB$10&gt;0,N(Reales!CB79)/CB$10,0),N(Reales!CB79)),CB$305-CB$309)</f>
        <v>1755383.74743981</v>
      </c>
      <c r="CC310" s="19" t="n">
        <f aca="false">IF(AND(CC$8=1,ISNUMBER(Reales!CC79)),IF(Reales!$C$79="PYG",IF(CC$10&gt;0,N(Reales!CC79)/CC$10,0),N(Reales!CC79)),CC$305-CC$309)</f>
        <v>120611.077355291</v>
      </c>
      <c r="CD310" s="19" t="n">
        <f aca="false">IF(AND(CD$8=1,ISNUMBER(Reales!CD79)),IF(Reales!$C$79="PYG",IF(CD$10&gt;0,N(Reales!CD79)/CD$10,0),N(Reales!CD79)),CD$305-CD$309)</f>
        <v>280027.099844691</v>
      </c>
      <c r="CE310" s="19" t="n">
        <f aca="false">IF(AND(CE$8=1,ISNUMBER(Reales!CE79)),IF(Reales!$C$79="PYG",IF(CE$10&gt;0,N(Reales!CE79)/CE$10,0),N(Reales!CE79)),CE$305-CE$309)</f>
        <v>439443.122334091</v>
      </c>
      <c r="CF310" s="19" t="n">
        <f aca="false">IF(AND(CF$8=1,ISNUMBER(Reales!CF79)),IF(Reales!$C$79="PYG",IF(CF$10&gt;0,N(Reales!CF79)/CF$10,0),N(Reales!CF79)),CF$305-CF$309)</f>
        <v>598859.144823491</v>
      </c>
      <c r="CG310" s="19" t="n">
        <f aca="false">IF(AND(CG$8=1,ISNUMBER(Reales!CG79)),IF(Reales!$C$79="PYG",IF(CG$10&gt;0,N(Reales!CG79)/CG$10,0),N(Reales!CG79)),CG$305-CG$309)</f>
        <v>758275.167312891</v>
      </c>
      <c r="CH310" s="19" t="n">
        <f aca="false">IF(AND(CH$8=1,ISNUMBER(Reales!CH79)),IF(Reales!$C$79="PYG",IF(CH$10&gt;0,N(Reales!CH79)/CH$10,0),N(Reales!CH79)),CH$305-CH$309)</f>
        <v>917691.189802291</v>
      </c>
      <c r="CI310" s="19" t="n">
        <f aca="false">IF(AND(CI$8=1,ISNUMBER(Reales!CI79)),IF(Reales!$C$79="PYG",IF(CI$10&gt;0,N(Reales!CI79)/CI$10,0),N(Reales!CI79)),CI$305-CI$309)</f>
        <v>1077107.21229169</v>
      </c>
      <c r="CJ310" s="19" t="n">
        <f aca="false">IF(AND(CJ$8=1,ISNUMBER(Reales!CJ79)),IF(Reales!$C$79="PYG",IF(CJ$10&gt;0,N(Reales!CJ79)/CJ$10,0),N(Reales!CJ79)),CJ$305-CJ$309)</f>
        <v>1236523.23478109</v>
      </c>
      <c r="CK310" s="19" t="n">
        <f aca="false">IF(AND(CK$8=1,ISNUMBER(Reales!CK79)),IF(Reales!$C$79="PYG",IF(CK$10&gt;0,N(Reales!CK79)/CK$10,0),N(Reales!CK79)),CK$305-CK$309)</f>
        <v>1395939.25727049</v>
      </c>
      <c r="CL310" s="19" t="n">
        <f aca="false">IF(AND(CL$8=1,ISNUMBER(Reales!CL79)),IF(Reales!$C$79="PYG",IF(CL$10&gt;0,N(Reales!CL79)/CL$10,0),N(Reales!CL79)),CL$305-CL$309)</f>
        <v>1521040.85812226</v>
      </c>
      <c r="CM310" s="19" t="n">
        <f aca="false">IF(AND(CM$8=1,ISNUMBER(Reales!CM79)),IF(Reales!$C$79="PYG",IF(CM$10&gt;0,N(Reales!CM79)/CM$10,0),N(Reales!CM79)),CM$305-CM$309)</f>
        <v>1684600.67666855</v>
      </c>
      <c r="CN310" s="19" t="n">
        <f aca="false">IF(AND(CN$8=1,ISNUMBER(Reales!CN79)),IF(Reales!$C$79="PYG",IF(CN$10&gt;0,N(Reales!CN79)/CN$10,0),N(Reales!CN79)),CN$305-CN$309)</f>
        <v>1848160.49521483</v>
      </c>
      <c r="CO310" s="19" t="n">
        <f aca="false">IF(AND(CO$8=1,ISNUMBER(Reales!CO79)),IF(Reales!$C$79="PYG",IF(CO$10&gt;0,N(Reales!CO79)/CO$10,0),N(Reales!CO79)),CO$305-CO$309)</f>
        <v>168144.652888324</v>
      </c>
      <c r="CP310" s="19" t="n">
        <f aca="false">IF(AND(CP$8=1,ISNUMBER(Reales!CP79)),IF(Reales!$C$79="PYG",IF(CP$10&gt;0,N(Reales!CP79)/CP$10,0),N(Reales!CP79)),CP$305-CP$309)</f>
        <v>331704.471434611</v>
      </c>
      <c r="CQ310" s="19" t="n">
        <f aca="false">IF(AND(CQ$8=1,ISNUMBER(Reales!CQ79)),IF(Reales!$C$79="PYG",IF(CQ$10&gt;0,N(Reales!CQ79)/CQ$10,0),N(Reales!CQ79)),CQ$305-CQ$309)</f>
        <v>495264.289980899</v>
      </c>
      <c r="CR310" s="19" t="n">
        <f aca="false">IF(AND(CR$8=1,ISNUMBER(Reales!CR79)),IF(Reales!$C$79="PYG",IF(CR$10&gt;0,N(Reales!CR79)/CR$10,0),N(Reales!CR79)),CR$305-CR$309)</f>
        <v>658824.108527186</v>
      </c>
      <c r="CS310" s="19" t="n">
        <f aca="false">IF(AND(CS$8=1,ISNUMBER(Reales!CS79)),IF(Reales!$C$79="PYG",IF(CS$10&gt;0,N(Reales!CS79)/CS$10,0),N(Reales!CS79)),CS$305-CS$309)</f>
        <v>822383.927073474</v>
      </c>
      <c r="CT310" s="19" t="n">
        <f aca="false">IF(AND(CT$8=1,ISNUMBER(Reales!CT79)),IF(Reales!$C$79="PYG",IF(CT$10&gt;0,N(Reales!CT79)/CT$10,0),N(Reales!CT79)),CT$305-CT$309)</f>
        <v>985943.745619761</v>
      </c>
      <c r="CU310" s="19" t="n">
        <f aca="false">IF(AND(CU$8=1,ISNUMBER(Reales!CU79)),IF(Reales!$C$79="PYG",IF(CU$10&gt;0,N(Reales!CU79)/CU$10,0),N(Reales!CU79)),CU$305-CU$309)</f>
        <v>1149503.56416605</v>
      </c>
      <c r="CV310" s="19" t="n">
        <f aca="false">IF(AND(CV$8=1,ISNUMBER(Reales!CV79)),IF(Reales!$C$79="PYG",IF(CV$10&gt;0,N(Reales!CV79)/CV$10,0),N(Reales!CV79)),CV$305-CV$309)</f>
        <v>1313063.38271234</v>
      </c>
      <c r="CW310" s="19" t="n">
        <f aca="false">IF(AND(CW$8=1,ISNUMBER(Reales!CW79)),IF(Reales!$C$79="PYG",IF(CW$10&gt;0,N(Reales!CW79)/CW$10,0),N(Reales!CW79)),CW$305-CW$309)</f>
        <v>1476623.20125862</v>
      </c>
      <c r="CX310" s="19" t="n">
        <f aca="false">IF(AND(CX$8=1,ISNUMBER(Reales!CX79)),IF(Reales!$C$79="PYG",IF(CX$10&gt;0,N(Reales!CX79)/CX$10,0),N(Reales!CX79)),CX$305-CX$309)</f>
        <v>1605525.0789582</v>
      </c>
      <c r="CY310" s="19" t="n">
        <f aca="false">IF(AND(CY$8=1,ISNUMBER(Reales!CY79)),IF(Reales!$C$79="PYG",IF(CY$10&gt;0,N(Reales!CY79)/CY$10,0),N(Reales!CY79)),CY$305-CY$309)</f>
        <v>1773256.8086071</v>
      </c>
      <c r="CZ310" s="19" t="n">
        <f aca="false">IF(AND(CZ$8=1,ISNUMBER(Reales!CZ79)),IF(Reales!$C$79="PYG",IF(CZ$10&gt;0,N(Reales!CZ79)/CZ$10,0),N(Reales!CZ79)),CZ$305-CZ$309)</f>
        <v>1940988.53825601</v>
      </c>
      <c r="DA310" s="19" t="n">
        <f aca="false">IF(AND(DA$8=1,ISNUMBER(Reales!DA79)),IF(Reales!$C$79="PYG",IF(DA$10&gt;0,N(Reales!DA79)/DA$10,0),N(Reales!DA79)),DA$305-DA$309)</f>
        <v>215419.054349469</v>
      </c>
      <c r="DB310" s="19" t="n">
        <f aca="false">IF(AND(DB$8=1,ISNUMBER(Reales!DB79)),IF(Reales!$C$79="PYG",IF(DB$10&gt;0,N(Reales!DB79)/DB$10,0),N(Reales!DB79)),DB$305-DB$309)</f>
        <v>383150.783998376</v>
      </c>
      <c r="DC310" s="19" t="n">
        <f aca="false">IF(AND(DC$8=1,ISNUMBER(Reales!DC79)),IF(Reales!$C$79="PYG",IF(DC$10&gt;0,N(Reales!DC79)/DC$10,0),N(Reales!DC79)),DC$305-DC$309)</f>
        <v>550882.513647284</v>
      </c>
      <c r="DD310" s="19" t="n">
        <f aca="false">IF(AND(DD$8=1,ISNUMBER(Reales!DD79)),IF(Reales!$C$79="PYG",IF(DD$10&gt;0,N(Reales!DD79)/DD$10,0),N(Reales!DD79)),DD$305-DD$309)</f>
        <v>718614.243296191</v>
      </c>
      <c r="DE310" s="19" t="n">
        <f aca="false">IF(AND(DE$8=1,ISNUMBER(Reales!DE79)),IF(Reales!$C$79="PYG",IF(DE$10&gt;0,N(Reales!DE79)/DE$10,0),N(Reales!DE79)),DE$305-DE$309)</f>
        <v>886345.972945099</v>
      </c>
      <c r="DF310" s="19" t="n">
        <f aca="false">IF(AND(DF$8=1,ISNUMBER(Reales!DF79)),IF(Reales!$C$79="PYG",IF(DF$10&gt;0,N(Reales!DF79)/DF$10,0),N(Reales!DF79)),DF$305-DF$309)</f>
        <v>1054077.70259401</v>
      </c>
      <c r="DG310" s="19" t="n">
        <f aca="false">IF(AND(DG$8=1,ISNUMBER(Reales!DG79)),IF(Reales!$C$79="PYG",IF(DG$10&gt;0,N(Reales!DG79)/DG$10,0),N(Reales!DG79)),DG$305-DG$309)</f>
        <v>1221809.43224291</v>
      </c>
      <c r="DH310" s="19" t="n">
        <f aca="false">IF(AND(DH$8=1,ISNUMBER(Reales!DH79)),IF(Reales!$C$79="PYG",IF(DH$10&gt;0,N(Reales!DH79)/DH$10,0),N(Reales!DH79)),DH$305-DH$309)</f>
        <v>1389541.16189182</v>
      </c>
      <c r="DI310" s="19" t="n">
        <f aca="false">IF(AND(DI$8=1,ISNUMBER(Reales!DI79)),IF(Reales!$C$79="PYG",IF(DI$10&gt;0,N(Reales!DI79)/DI$10,0),N(Reales!DI79)),DI$305-DI$309)</f>
        <v>1557272.89154073</v>
      </c>
      <c r="DJ310" s="19" t="n">
        <f aca="false">IF(AND(DJ$8=1,ISNUMBER(Reales!DJ79)),IF(Reales!$C$79="PYG",IF(DJ$10&gt;0,N(Reales!DJ79)/DJ$10,0),N(Reales!DJ79)),DJ$305-DJ$309)</f>
        <v>1689999.71669704</v>
      </c>
      <c r="DK310" s="19" t="n">
        <f aca="false">IF(AND(DK$8=1,ISNUMBER(Reales!DK79)),IF(Reales!$C$79="PYG",IF(DK$10&gt;0,N(Reales!DK79)/DK$10,0),N(Reales!DK79)),DK$305-DK$309)</f>
        <v>1861931.35981212</v>
      </c>
      <c r="DL310" s="19" t="n">
        <f aca="false">IF(AND(DL$8=1,ISNUMBER(Reales!DL79)),IF(Reales!$C$79="PYG",IF(DL$10&gt;0,N(Reales!DL79)/DL$10,0),N(Reales!DL79)),DL$305-DL$309)</f>
        <v>2033863.00292721</v>
      </c>
      <c r="DM310" s="19" t="n">
        <f aca="false">IF(AND(DM$8=1,ISNUMBER(Reales!DM79)),IF(Reales!$C$79="PYG",IF(DM$10&gt;0,N(Reales!DM79)/DM$10,0),N(Reales!DM79)),DM$305-DM$309)</f>
        <v>262430.499255406</v>
      </c>
      <c r="DN310" s="19" t="n">
        <f aca="false">IF(AND(DN$8=1,ISNUMBER(Reales!DN79)),IF(Reales!$C$79="PYG",IF(DN$10&gt;0,N(Reales!DN79)/DN$10,0),N(Reales!DN79)),DN$305-DN$309)</f>
        <v>434362.142370492</v>
      </c>
      <c r="DO310" s="19" t="n">
        <f aca="false">IF(AND(DO$8=1,ISNUMBER(Reales!DO79)),IF(Reales!$C$79="PYG",IF(DO$10&gt;0,N(Reales!DO79)/DO$10,0),N(Reales!DO79)),DO$305-DO$309)</f>
        <v>606293.785485578</v>
      </c>
      <c r="DP310" s="19" t="n">
        <f aca="false">IF(AND(DP$8=1,ISNUMBER(Reales!DP79)),IF(Reales!$C$79="PYG",IF(DP$10&gt;0,N(Reales!DP79)/DP$10,0),N(Reales!DP79)),DP$305-DP$309)</f>
        <v>778225.428600664</v>
      </c>
      <c r="DQ310" s="19" t="n">
        <f aca="false">IF(AND(DQ$8=1,ISNUMBER(Reales!DQ79)),IF(Reales!$C$79="PYG",IF(DQ$10&gt;0,N(Reales!DQ79)/DQ$10,0),N(Reales!DQ79)),DQ$305-DQ$309)</f>
        <v>950157.07171575</v>
      </c>
      <c r="DR310" s="19" t="n">
        <f aca="false">IF(AND(DR$8=1,ISNUMBER(Reales!DR79)),IF(Reales!$C$79="PYG",IF(DR$10&gt;0,N(Reales!DR79)/DR$10,0),N(Reales!DR79)),DR$305-DR$309)</f>
        <v>1122088.71483084</v>
      </c>
      <c r="DS310" s="19" t="n">
        <f aca="false">IF(AND(DS$8=1,ISNUMBER(Reales!DS79)),IF(Reales!$C$79="PYG",IF(DS$10&gt;0,N(Reales!DS79)/DS$10,0),N(Reales!DS79)),DS$305-DS$309)</f>
        <v>1294020.35794592</v>
      </c>
      <c r="DT310" s="19" t="n">
        <f aca="false">IF(AND(DT$8=1,ISNUMBER(Reales!DT79)),IF(Reales!$C$79="PYG",IF(DT$10&gt;0,N(Reales!DT79)/DT$10,0),N(Reales!DT79)),DT$305-DT$309)</f>
        <v>1465952.00106101</v>
      </c>
      <c r="DU310" s="19" t="n">
        <f aca="false">IF(AND(DU$8=1,ISNUMBER(Reales!DU79)),IF(Reales!$C$79="PYG",IF(DU$10&gt;0,N(Reales!DU79)/DU$10,0),N(Reales!DU79)),DU$305-DU$309)</f>
        <v>1637883.64417609</v>
      </c>
      <c r="DV310" s="19" t="n">
        <f aca="false">IF(AND(DV$8=1,ISNUMBER(Reales!DV79)),IF(Reales!$C$79="PYG",IF(DV$10&gt;0,N(Reales!DV79)/DV$10,0),N(Reales!DV79)),DV$305-DV$309)</f>
        <v>1637883.64417609</v>
      </c>
      <c r="DW310" s="19" t="n">
        <f aca="false">IF(AND(DW$8=1,ISNUMBER(Reales!DW79)),IF(Reales!$C$79="PYG",IF(DW$10&gt;0,N(Reales!DW79)/DW$10,0),N(Reales!DW79)),DW$305-DW$309)</f>
        <v>1637883.64417609</v>
      </c>
      <c r="DX310" s="19" t="n">
        <f aca="false">IF(AND(DX$8=1,ISNUMBER(Reales!DX79)),IF(Reales!$C$79="PYG",IF(DX$10&gt;0,N(Reales!DX79)/DX$10,0),N(Reales!DX79)),DX$305-DX$309)</f>
        <v>1637883.64417609</v>
      </c>
      <c r="DY310" s="19" t="n">
        <f aca="false">IF(AND(DY$8=1,ISNUMBER(Reales!DY79)),IF(Reales!$C$79="PYG",IF(DY$10&gt;0,N(Reales!DY79)/DY$10,0),N(Reales!DY79)),DY$305-DY$309)</f>
        <v>1637883.64417609</v>
      </c>
      <c r="DZ310" s="19" t="n">
        <f aca="false">IF(AND(DZ$8=1,ISNUMBER(Reales!DZ79)),IF(Reales!$C$79="PYG",IF(DZ$10&gt;0,N(Reales!DZ79)/DZ$10,0),N(Reales!DZ79)),DZ$305-DZ$309)</f>
        <v>1637883.64417609</v>
      </c>
      <c r="EA310" s="19" t="n">
        <f aca="false">IF(AND(EA$8=1,ISNUMBER(Reales!EA79)),IF(Reales!$C$79="PYG",IF(EA$10&gt;0,N(Reales!EA79)/EA$10,0),N(Reales!EA79)),EA$305-EA$309)</f>
        <v>1637883.64417609</v>
      </c>
      <c r="EB310" s="19" t="n">
        <f aca="false">IF(AND(EB$8=1,ISNUMBER(Reales!EB79)),IF(Reales!$C$79="PYG",IF(EB$10&gt;0,N(Reales!EB79)/EB$10,0),N(Reales!EB79)),EB$305-EB$309)</f>
        <v>1637883.64417609</v>
      </c>
      <c r="EC310" s="19" t="n">
        <f aca="false">IF(AND(EC$8=1,ISNUMBER(Reales!EC79)),IF(Reales!$C$79="PYG",IF(EC$10&gt;0,N(Reales!EC79)/EC$10,0),N(Reales!EC79)),EC$305-EC$309)</f>
        <v>1637883.64417609</v>
      </c>
      <c r="ED310" s="19" t="n">
        <f aca="false">IF(AND(ED$8=1,ISNUMBER(Reales!ED79)),IF(Reales!$C$79="PYG",IF(ED$10&gt;0,N(Reales!ED79)/ED$10,0),N(Reales!ED79)),ED$305-ED$309)</f>
        <v>1637883.64417609</v>
      </c>
      <c r="EE310" s="19" t="n">
        <f aca="false">IF(AND(EE$8=1,ISNUMBER(Reales!EE79)),IF(Reales!$C$79="PYG",IF(EE$10&gt;0,N(Reales!EE79)/EE$10,0),N(Reales!EE79)),EE$305-EE$309)</f>
        <v>1637883.64417609</v>
      </c>
      <c r="EF310" s="19" t="n">
        <f aca="false">IF(AND(EF$8=1,ISNUMBER(Reales!EF79)),IF(Reales!$C$79="PYG",IF(EF$10&gt;0,N(Reales!EF79)/EF$10,0),N(Reales!EF79)),EF$305-EF$309)</f>
        <v>1637883.64417609</v>
      </c>
      <c r="EG310" s="19" t="n">
        <f aca="false">IF(AND(EG$8=1,ISNUMBER(Reales!EG79)),IF(Reales!$C$79="PYG",IF(EG$10&gt;0,N(Reales!EG79)/EG$10,0),N(Reales!EG79)),EG$305-EG$309)</f>
        <v>1637883.64417609</v>
      </c>
      <c r="EH310" s="19" t="n">
        <f aca="false">IF(AND(EH$8=1,ISNUMBER(Reales!EH79)),IF(Reales!$C$79="PYG",IF(EH$10&gt;0,N(Reales!EH79)/EH$10,0),N(Reales!EH79)),EH$305-EH$309)</f>
        <v>1637883.64417609</v>
      </c>
      <c r="EI310" s="19" t="n">
        <f aca="false">IF(AND(EI$8=1,ISNUMBER(Reales!EI79)),IF(Reales!$C$79="PYG",IF(EI$10&gt;0,N(Reales!EI79)/EI$10,0),N(Reales!EI79)),EI$305-EI$309)</f>
        <v>1637883.64417609</v>
      </c>
      <c r="EJ310" s="19" t="n">
        <f aca="false">IF(AND(EJ$8=1,ISNUMBER(Reales!EJ79)),IF(Reales!$C$79="PYG",IF(EJ$10&gt;0,N(Reales!EJ79)/EJ$10,0),N(Reales!EJ79)),EJ$305-EJ$309)</f>
        <v>1637883.64417609</v>
      </c>
      <c r="EK310" s="19" t="n">
        <f aca="false">IF(AND(EK$8=1,ISNUMBER(Reales!EK79)),IF(Reales!$C$79="PYG",IF(EK$10&gt;0,N(Reales!EK79)/EK$10,0),N(Reales!EK79)),EK$305-EK$309)</f>
        <v>1637883.64417609</v>
      </c>
      <c r="EL310" s="19" t="n">
        <f aca="false">IF(AND(EL$8=1,ISNUMBER(Reales!EL79)),IF(Reales!$C$79="PYG",IF(EL$10&gt;0,N(Reales!EL79)/EL$10,0),N(Reales!EL79)),EL$305-EL$309)</f>
        <v>1637883.64417609</v>
      </c>
      <c r="EM310" s="19" t="n">
        <f aca="false">IF(AND(EM$8=1,ISNUMBER(Reales!EM79)),IF(Reales!$C$79="PYG",IF(EM$10&gt;0,N(Reales!EM79)/EM$10,0),N(Reales!EM79)),EM$305-EM$309)</f>
        <v>1637883.64417609</v>
      </c>
      <c r="EN310" s="19" t="n">
        <f aca="false">IF(AND(EN$8=1,ISNUMBER(Reales!EN79)),IF(Reales!$C$79="PYG",IF(EN$10&gt;0,N(Reales!EN79)/EN$10,0),N(Reales!EN79)),EN$305-EN$309)</f>
        <v>1637883.64417609</v>
      </c>
      <c r="EO310" s="19" t="n">
        <f aca="false">IF(AND(EO$8=1,ISNUMBER(Reales!EO79)),IF(Reales!$C$79="PYG",IF(EO$10&gt;0,N(Reales!EO79)/EO$10,0),N(Reales!EO79)),EO$305-EO$309)</f>
        <v>1637883.64417609</v>
      </c>
      <c r="EP310" s="19" t="n">
        <f aca="false">IF(AND(EP$8=1,ISNUMBER(Reales!EP79)),IF(Reales!$C$79="PYG",IF(EP$10&gt;0,N(Reales!EP79)/EP$10,0),N(Reales!EP79)),EP$305-EP$309)</f>
        <v>1637883.64417609</v>
      </c>
      <c r="EQ310" s="19" t="n">
        <f aca="false">IF(AND(EQ$8=1,ISNUMBER(Reales!EQ79)),IF(Reales!$C$79="PYG",IF(EQ$10&gt;0,N(Reales!EQ79)/EQ$10,0),N(Reales!EQ79)),EQ$305-EQ$309)</f>
        <v>1637883.64417609</v>
      </c>
      <c r="ER310" s="19" t="n">
        <f aca="false">IF(AND(ER$8=1,ISNUMBER(Reales!ER79)),IF(Reales!$C$79="PYG",IF(ER$10&gt;0,N(Reales!ER79)/ER$10,0),N(Reales!ER79)),ER$305-ER$309)</f>
        <v>1637883.64417609</v>
      </c>
      <c r="ES310" s="19" t="n">
        <f aca="false">IF(AND(ES$8=1,ISNUMBER(Reales!ES79)),IF(Reales!$C$79="PYG",IF(ES$10&gt;0,N(Reales!ES79)/ES$10,0),N(Reales!ES79)),ES$305-ES$309)</f>
        <v>1637883.64417609</v>
      </c>
    </row>
    <row r="311" customFormat="false" ht="15" hidden="false" customHeight="false" outlineLevel="0" collapsed="false">
      <c r="A311" s="11" t="s">
        <v>1428</v>
      </c>
      <c r="B311" s="15" t="s">
        <v>1273</v>
      </c>
      <c r="C311" s="15" t="s">
        <v>508</v>
      </c>
      <c r="E311" s="54" t="n">
        <f aca="false">SUM(F311:ES311)</f>
        <v>0</v>
      </c>
      <c r="F311" s="48" t="n">
        <f aca="false">F$310-(F$305-F$309)</f>
        <v>0</v>
      </c>
      <c r="G311" s="48" t="n">
        <f aca="false">G$310-(G$305-G$309)</f>
        <v>0</v>
      </c>
      <c r="H311" s="48" t="n">
        <f aca="false">H$310-(H$305-H$309)</f>
        <v>0</v>
      </c>
      <c r="I311" s="48" t="n">
        <f aca="false">I$310-(I$305-I$309)</f>
        <v>0</v>
      </c>
      <c r="J311" s="48" t="n">
        <f aca="false">J$310-(J$305-J$309)</f>
        <v>0</v>
      </c>
      <c r="K311" s="48" t="n">
        <f aca="false">K$310-(K$305-K$309)</f>
        <v>0</v>
      </c>
      <c r="L311" s="48" t="n">
        <f aca="false">L$310-(L$305-L$309)</f>
        <v>0</v>
      </c>
      <c r="M311" s="48" t="n">
        <f aca="false">M$310-(M$305-M$309)</f>
        <v>0</v>
      </c>
      <c r="N311" s="48" t="n">
        <f aca="false">N$310-(N$305-N$309)</f>
        <v>0</v>
      </c>
      <c r="O311" s="48" t="n">
        <f aca="false">O$310-(O$305-O$309)</f>
        <v>0</v>
      </c>
      <c r="P311" s="48" t="n">
        <f aca="false">P$310-(P$305-P$309)</f>
        <v>0</v>
      </c>
      <c r="Q311" s="48" t="n">
        <f aca="false">Q$310-(Q$305-Q$309)</f>
        <v>0</v>
      </c>
      <c r="R311" s="48" t="n">
        <f aca="false">R$310-(R$305-R$309)</f>
        <v>0</v>
      </c>
      <c r="S311" s="48" t="n">
        <f aca="false">S$310-(S$305-S$309)</f>
        <v>0</v>
      </c>
      <c r="T311" s="48" t="n">
        <f aca="false">T$310-(T$305-T$309)</f>
        <v>0</v>
      </c>
      <c r="U311" s="48" t="n">
        <f aca="false">U$310-(U$305-U$309)</f>
        <v>0</v>
      </c>
      <c r="V311" s="48" t="n">
        <f aca="false">V$310-(V$305-V$309)</f>
        <v>0</v>
      </c>
      <c r="W311" s="48" t="n">
        <f aca="false">W$310-(W$305-W$309)</f>
        <v>0</v>
      </c>
      <c r="X311" s="48" t="n">
        <f aca="false">X$310-(X$305-X$309)</f>
        <v>0</v>
      </c>
      <c r="Y311" s="48" t="n">
        <f aca="false">Y$310-(Y$305-Y$309)</f>
        <v>0</v>
      </c>
      <c r="Z311" s="48" t="n">
        <f aca="false">Z$310-(Z$305-Z$309)</f>
        <v>0</v>
      </c>
      <c r="AA311" s="48" t="n">
        <f aca="false">AA$310-(AA$305-AA$309)</f>
        <v>0</v>
      </c>
      <c r="AB311" s="48" t="n">
        <f aca="false">AB$310-(AB$305-AB$309)</f>
        <v>0</v>
      </c>
      <c r="AC311" s="48" t="n">
        <f aca="false">AC$310-(AC$305-AC$309)</f>
        <v>0</v>
      </c>
      <c r="AD311" s="48" t="n">
        <f aca="false">AD$310-(AD$305-AD$309)</f>
        <v>0</v>
      </c>
      <c r="AE311" s="48" t="n">
        <f aca="false">AE$310-(AE$305-AE$309)</f>
        <v>0</v>
      </c>
      <c r="AF311" s="48" t="n">
        <f aca="false">AF$310-(AF$305-AF$309)</f>
        <v>0</v>
      </c>
      <c r="AG311" s="48" t="n">
        <f aca="false">AG$310-(AG$305-AG$309)</f>
        <v>0</v>
      </c>
      <c r="AH311" s="48" t="n">
        <f aca="false">AH$310-(AH$305-AH$309)</f>
        <v>0</v>
      </c>
      <c r="AI311" s="48" t="n">
        <f aca="false">AI$310-(AI$305-AI$309)</f>
        <v>0</v>
      </c>
      <c r="AJ311" s="48" t="n">
        <f aca="false">AJ$310-(AJ$305-AJ$309)</f>
        <v>0</v>
      </c>
      <c r="AK311" s="48" t="n">
        <f aca="false">AK$310-(AK$305-AK$309)</f>
        <v>0</v>
      </c>
      <c r="AL311" s="48" t="n">
        <f aca="false">AL$310-(AL$305-AL$309)</f>
        <v>0</v>
      </c>
      <c r="AM311" s="48" t="n">
        <f aca="false">AM$310-(AM$305-AM$309)</f>
        <v>0</v>
      </c>
      <c r="AN311" s="48" t="n">
        <f aca="false">AN$310-(AN$305-AN$309)</f>
        <v>0</v>
      </c>
      <c r="AO311" s="48" t="n">
        <f aca="false">AO$310-(AO$305-AO$309)</f>
        <v>0</v>
      </c>
      <c r="AP311" s="48" t="n">
        <f aca="false">AP$310-(AP$305-AP$309)</f>
        <v>0</v>
      </c>
      <c r="AQ311" s="48" t="n">
        <f aca="false">AQ$310-(AQ$305-AQ$309)</f>
        <v>0</v>
      </c>
      <c r="AR311" s="48" t="n">
        <f aca="false">AR$310-(AR$305-AR$309)</f>
        <v>0</v>
      </c>
      <c r="AS311" s="48" t="n">
        <f aca="false">AS$310-(AS$305-AS$309)</f>
        <v>0</v>
      </c>
      <c r="AT311" s="48" t="n">
        <f aca="false">AT$310-(AT$305-AT$309)</f>
        <v>0</v>
      </c>
      <c r="AU311" s="48" t="n">
        <f aca="false">AU$310-(AU$305-AU$309)</f>
        <v>0</v>
      </c>
      <c r="AV311" s="48" t="n">
        <f aca="false">AV$310-(AV$305-AV$309)</f>
        <v>0</v>
      </c>
      <c r="AW311" s="48" t="n">
        <f aca="false">AW$310-(AW$305-AW$309)</f>
        <v>0</v>
      </c>
      <c r="AX311" s="48" t="n">
        <f aca="false">AX$310-(AX$305-AX$309)</f>
        <v>0</v>
      </c>
      <c r="AY311" s="48" t="n">
        <f aca="false">AY$310-(AY$305-AY$309)</f>
        <v>0</v>
      </c>
      <c r="AZ311" s="48" t="n">
        <f aca="false">AZ$310-(AZ$305-AZ$309)</f>
        <v>0</v>
      </c>
      <c r="BA311" s="48" t="n">
        <f aca="false">BA$310-(BA$305-BA$309)</f>
        <v>0</v>
      </c>
      <c r="BB311" s="48" t="n">
        <f aca="false">BB$310-(BB$305-BB$309)</f>
        <v>0</v>
      </c>
      <c r="BC311" s="48" t="n">
        <f aca="false">BC$310-(BC$305-BC$309)</f>
        <v>0</v>
      </c>
      <c r="BD311" s="48" t="n">
        <f aca="false">BD$310-(BD$305-BD$309)</f>
        <v>0</v>
      </c>
      <c r="BE311" s="48" t="n">
        <f aca="false">BE$310-(BE$305-BE$309)</f>
        <v>0</v>
      </c>
      <c r="BF311" s="48" t="n">
        <f aca="false">BF$310-(BF$305-BF$309)</f>
        <v>0</v>
      </c>
      <c r="BG311" s="48" t="n">
        <f aca="false">BG$310-(BG$305-BG$309)</f>
        <v>0</v>
      </c>
      <c r="BH311" s="48" t="n">
        <f aca="false">BH$310-(BH$305-BH$309)</f>
        <v>0</v>
      </c>
      <c r="BI311" s="48" t="n">
        <f aca="false">BI$310-(BI$305-BI$309)</f>
        <v>0</v>
      </c>
      <c r="BJ311" s="48" t="n">
        <f aca="false">BJ$310-(BJ$305-BJ$309)</f>
        <v>0</v>
      </c>
      <c r="BK311" s="48" t="n">
        <f aca="false">BK$310-(BK$305-BK$309)</f>
        <v>0</v>
      </c>
      <c r="BL311" s="48" t="n">
        <f aca="false">BL$310-(BL$305-BL$309)</f>
        <v>0</v>
      </c>
      <c r="BM311" s="48" t="n">
        <f aca="false">BM$310-(BM$305-BM$309)</f>
        <v>0</v>
      </c>
      <c r="BN311" s="48" t="n">
        <f aca="false">BN$310-(BN$305-BN$309)</f>
        <v>0</v>
      </c>
      <c r="BO311" s="48" t="n">
        <f aca="false">BO$310-(BO$305-BO$309)</f>
        <v>0</v>
      </c>
      <c r="BP311" s="48" t="n">
        <f aca="false">BP$310-(BP$305-BP$309)</f>
        <v>0</v>
      </c>
      <c r="BQ311" s="48" t="n">
        <f aca="false">BQ$310-(BQ$305-BQ$309)</f>
        <v>0</v>
      </c>
      <c r="BR311" s="48" t="n">
        <f aca="false">BR$310-(BR$305-BR$309)</f>
        <v>0</v>
      </c>
      <c r="BS311" s="48" t="n">
        <f aca="false">BS$310-(BS$305-BS$309)</f>
        <v>0</v>
      </c>
      <c r="BT311" s="48" t="n">
        <f aca="false">BT$310-(BT$305-BT$309)</f>
        <v>0</v>
      </c>
      <c r="BU311" s="48" t="n">
        <f aca="false">BU$310-(BU$305-BU$309)</f>
        <v>0</v>
      </c>
      <c r="BV311" s="48" t="n">
        <f aca="false">BV$310-(BV$305-BV$309)</f>
        <v>0</v>
      </c>
      <c r="BW311" s="48" t="n">
        <f aca="false">BW$310-(BW$305-BW$309)</f>
        <v>0</v>
      </c>
      <c r="BX311" s="48" t="n">
        <f aca="false">BX$310-(BX$305-BX$309)</f>
        <v>0</v>
      </c>
      <c r="BY311" s="48" t="n">
        <f aca="false">BY$310-(BY$305-BY$309)</f>
        <v>0</v>
      </c>
      <c r="BZ311" s="48" t="n">
        <f aca="false">BZ$310-(BZ$305-BZ$309)</f>
        <v>0</v>
      </c>
      <c r="CA311" s="48" t="n">
        <f aca="false">CA$310-(CA$305-CA$309)</f>
        <v>0</v>
      </c>
      <c r="CB311" s="48" t="n">
        <f aca="false">CB$310-(CB$305-CB$309)</f>
        <v>0</v>
      </c>
      <c r="CC311" s="48" t="n">
        <f aca="false">CC$310-(CC$305-CC$309)</f>
        <v>0</v>
      </c>
      <c r="CD311" s="48" t="n">
        <f aca="false">CD$310-(CD$305-CD$309)</f>
        <v>0</v>
      </c>
      <c r="CE311" s="48" t="n">
        <f aca="false">CE$310-(CE$305-CE$309)</f>
        <v>0</v>
      </c>
      <c r="CF311" s="48" t="n">
        <f aca="false">CF$310-(CF$305-CF$309)</f>
        <v>0</v>
      </c>
      <c r="CG311" s="48" t="n">
        <f aca="false">CG$310-(CG$305-CG$309)</f>
        <v>0</v>
      </c>
      <c r="CH311" s="48" t="n">
        <f aca="false">CH$310-(CH$305-CH$309)</f>
        <v>0</v>
      </c>
      <c r="CI311" s="48" t="n">
        <f aca="false">CI$310-(CI$305-CI$309)</f>
        <v>0</v>
      </c>
      <c r="CJ311" s="48" t="n">
        <f aca="false">CJ$310-(CJ$305-CJ$309)</f>
        <v>0</v>
      </c>
      <c r="CK311" s="48" t="n">
        <f aca="false">CK$310-(CK$305-CK$309)</f>
        <v>0</v>
      </c>
      <c r="CL311" s="48" t="n">
        <f aca="false">CL$310-(CL$305-CL$309)</f>
        <v>0</v>
      </c>
      <c r="CM311" s="48" t="n">
        <f aca="false">CM$310-(CM$305-CM$309)</f>
        <v>0</v>
      </c>
      <c r="CN311" s="48" t="n">
        <f aca="false">CN$310-(CN$305-CN$309)</f>
        <v>0</v>
      </c>
      <c r="CO311" s="48" t="n">
        <f aca="false">CO$310-(CO$305-CO$309)</f>
        <v>0</v>
      </c>
      <c r="CP311" s="48" t="n">
        <f aca="false">CP$310-(CP$305-CP$309)</f>
        <v>0</v>
      </c>
      <c r="CQ311" s="48" t="n">
        <f aca="false">CQ$310-(CQ$305-CQ$309)</f>
        <v>0</v>
      </c>
      <c r="CR311" s="48" t="n">
        <f aca="false">CR$310-(CR$305-CR$309)</f>
        <v>0</v>
      </c>
      <c r="CS311" s="48" t="n">
        <f aca="false">CS$310-(CS$305-CS$309)</f>
        <v>0</v>
      </c>
      <c r="CT311" s="48" t="n">
        <f aca="false">CT$310-(CT$305-CT$309)</f>
        <v>0</v>
      </c>
      <c r="CU311" s="48" t="n">
        <f aca="false">CU$310-(CU$305-CU$309)</f>
        <v>0</v>
      </c>
      <c r="CV311" s="48" t="n">
        <f aca="false">CV$310-(CV$305-CV$309)</f>
        <v>0</v>
      </c>
      <c r="CW311" s="48" t="n">
        <f aca="false">CW$310-(CW$305-CW$309)</f>
        <v>0</v>
      </c>
      <c r="CX311" s="48" t="n">
        <f aca="false">CX$310-(CX$305-CX$309)</f>
        <v>0</v>
      </c>
      <c r="CY311" s="48" t="n">
        <f aca="false">CY$310-(CY$305-CY$309)</f>
        <v>0</v>
      </c>
      <c r="CZ311" s="48" t="n">
        <f aca="false">CZ$310-(CZ$305-CZ$309)</f>
        <v>0</v>
      </c>
      <c r="DA311" s="48" t="n">
        <f aca="false">DA$310-(DA$305-DA$309)</f>
        <v>0</v>
      </c>
      <c r="DB311" s="48" t="n">
        <f aca="false">DB$310-(DB$305-DB$309)</f>
        <v>0</v>
      </c>
      <c r="DC311" s="48" t="n">
        <f aca="false">DC$310-(DC$305-DC$309)</f>
        <v>0</v>
      </c>
      <c r="DD311" s="48" t="n">
        <f aca="false">DD$310-(DD$305-DD$309)</f>
        <v>0</v>
      </c>
      <c r="DE311" s="48" t="n">
        <f aca="false">DE$310-(DE$305-DE$309)</f>
        <v>0</v>
      </c>
      <c r="DF311" s="48" t="n">
        <f aca="false">DF$310-(DF$305-DF$309)</f>
        <v>0</v>
      </c>
      <c r="DG311" s="48" t="n">
        <f aca="false">DG$310-(DG$305-DG$309)</f>
        <v>0</v>
      </c>
      <c r="DH311" s="48" t="n">
        <f aca="false">DH$310-(DH$305-DH$309)</f>
        <v>0</v>
      </c>
      <c r="DI311" s="48" t="n">
        <f aca="false">DI$310-(DI$305-DI$309)</f>
        <v>0</v>
      </c>
      <c r="DJ311" s="48" t="n">
        <f aca="false">DJ$310-(DJ$305-DJ$309)</f>
        <v>0</v>
      </c>
      <c r="DK311" s="48" t="n">
        <f aca="false">DK$310-(DK$305-DK$309)</f>
        <v>0</v>
      </c>
      <c r="DL311" s="48" t="n">
        <f aca="false">DL$310-(DL$305-DL$309)</f>
        <v>0</v>
      </c>
      <c r="DM311" s="48" t="n">
        <f aca="false">DM$310-(DM$305-DM$309)</f>
        <v>0</v>
      </c>
      <c r="DN311" s="48" t="n">
        <f aca="false">DN$310-(DN$305-DN$309)</f>
        <v>0</v>
      </c>
      <c r="DO311" s="48" t="n">
        <f aca="false">DO$310-(DO$305-DO$309)</f>
        <v>0</v>
      </c>
      <c r="DP311" s="48" t="n">
        <f aca="false">DP$310-(DP$305-DP$309)</f>
        <v>0</v>
      </c>
      <c r="DQ311" s="48" t="n">
        <f aca="false">DQ$310-(DQ$305-DQ$309)</f>
        <v>0</v>
      </c>
      <c r="DR311" s="48" t="n">
        <f aca="false">DR$310-(DR$305-DR$309)</f>
        <v>0</v>
      </c>
      <c r="DS311" s="48" t="n">
        <f aca="false">DS$310-(DS$305-DS$309)</f>
        <v>0</v>
      </c>
      <c r="DT311" s="48" t="n">
        <f aca="false">DT$310-(DT$305-DT$309)</f>
        <v>0</v>
      </c>
      <c r="DU311" s="48" t="n">
        <f aca="false">DU$310-(DU$305-DU$309)</f>
        <v>0</v>
      </c>
      <c r="DV311" s="48" t="n">
        <f aca="false">DV$310-(DV$305-DV$309)</f>
        <v>0</v>
      </c>
      <c r="DW311" s="48" t="n">
        <f aca="false">DW$310-(DW$305-DW$309)</f>
        <v>0</v>
      </c>
      <c r="DX311" s="48" t="n">
        <f aca="false">DX$310-(DX$305-DX$309)</f>
        <v>0</v>
      </c>
      <c r="DY311" s="48" t="n">
        <f aca="false">DY$310-(DY$305-DY$309)</f>
        <v>0</v>
      </c>
      <c r="DZ311" s="48" t="n">
        <f aca="false">DZ$310-(DZ$305-DZ$309)</f>
        <v>0</v>
      </c>
      <c r="EA311" s="48" t="n">
        <f aca="false">EA$310-(EA$305-EA$309)</f>
        <v>0</v>
      </c>
      <c r="EB311" s="48" t="n">
        <f aca="false">EB$310-(EB$305-EB$309)</f>
        <v>0</v>
      </c>
      <c r="EC311" s="48" t="n">
        <f aca="false">EC$310-(EC$305-EC$309)</f>
        <v>0</v>
      </c>
      <c r="ED311" s="48" t="n">
        <f aca="false">ED$310-(ED$305-ED$309)</f>
        <v>0</v>
      </c>
      <c r="EE311" s="48" t="n">
        <f aca="false">EE$310-(EE$305-EE$309)</f>
        <v>0</v>
      </c>
      <c r="EF311" s="48" t="n">
        <f aca="false">EF$310-(EF$305-EF$309)</f>
        <v>0</v>
      </c>
      <c r="EG311" s="48" t="n">
        <f aca="false">EG$310-(EG$305-EG$309)</f>
        <v>0</v>
      </c>
      <c r="EH311" s="48" t="n">
        <f aca="false">EH$310-(EH$305-EH$309)</f>
        <v>0</v>
      </c>
      <c r="EI311" s="48" t="n">
        <f aca="false">EI$310-(EI$305-EI$309)</f>
        <v>0</v>
      </c>
      <c r="EJ311" s="48" t="n">
        <f aca="false">EJ$310-(EJ$305-EJ$309)</f>
        <v>0</v>
      </c>
      <c r="EK311" s="48" t="n">
        <f aca="false">EK$310-(EK$305-EK$309)</f>
        <v>0</v>
      </c>
      <c r="EL311" s="48" t="n">
        <f aca="false">EL$310-(EL$305-EL$309)</f>
        <v>0</v>
      </c>
      <c r="EM311" s="48" t="n">
        <f aca="false">EM$310-(EM$305-EM$309)</f>
        <v>0</v>
      </c>
      <c r="EN311" s="48" t="n">
        <f aca="false">EN$310-(EN$305-EN$309)</f>
        <v>0</v>
      </c>
      <c r="EO311" s="48" t="n">
        <f aca="false">EO$310-(EO$305-EO$309)</f>
        <v>0</v>
      </c>
      <c r="EP311" s="48" t="n">
        <f aca="false">EP$310-(EP$305-EP$309)</f>
        <v>0</v>
      </c>
      <c r="EQ311" s="48" t="n">
        <f aca="false">EQ$310-(EQ$305-EQ$309)</f>
        <v>0</v>
      </c>
      <c r="ER311" s="48" t="n">
        <f aca="false">ER$310-(ER$305-ER$309)</f>
        <v>0</v>
      </c>
      <c r="ES311" s="48" t="n">
        <f aca="false">ES$310-(ES$305-ES$309)</f>
        <v>0</v>
      </c>
    </row>
    <row r="312" customFormat="false" ht="15" hidden="false" customHeight="false" outlineLevel="0" collapsed="false">
      <c r="A312" s="11" t="s">
        <v>1429</v>
      </c>
      <c r="B312" s="67" t="s">
        <v>1275</v>
      </c>
      <c r="C312" s="15" t="s">
        <v>508</v>
      </c>
      <c r="E312" s="54" t="n">
        <f aca="false">MAX(F312:ES312)</f>
        <v>373700.713193166</v>
      </c>
      <c r="F312" s="19" t="n">
        <f aca="false">MAX(0,F$298-F$310)*F$9</f>
        <v>0</v>
      </c>
      <c r="G312" s="19" t="n">
        <f aca="false">MAX(0,G$298-G$310)*G$9</f>
        <v>0</v>
      </c>
      <c r="H312" s="19" t="n">
        <f aca="false">MAX(0,H$298-H$310)*H$9</f>
        <v>0</v>
      </c>
      <c r="I312" s="19" t="n">
        <f aca="false">MAX(0,I$298-I$310)*I$9</f>
        <v>0</v>
      </c>
      <c r="J312" s="19" t="n">
        <f aca="false">MAX(0,J$298-J$310)*J$9</f>
        <v>0</v>
      </c>
      <c r="K312" s="19" t="n">
        <f aca="false">MAX(0,K$298-K$310)*K$9</f>
        <v>0</v>
      </c>
      <c r="L312" s="19" t="n">
        <f aca="false">MAX(0,L$298-L$310)*L$9</f>
        <v>0</v>
      </c>
      <c r="M312" s="19" t="n">
        <f aca="false">MAX(0,M$298-M$310)*M$9</f>
        <v>0</v>
      </c>
      <c r="N312" s="19" t="n">
        <f aca="false">MAX(0,N$298-N$310)*N$9</f>
        <v>0</v>
      </c>
      <c r="O312" s="19" t="n">
        <f aca="false">MAX(0,O$298-O$310)*O$9</f>
        <v>0</v>
      </c>
      <c r="P312" s="19" t="n">
        <f aca="false">MAX(0,P$298-P$310)*P$9</f>
        <v>0</v>
      </c>
      <c r="Q312" s="19" t="n">
        <f aca="false">MAX(0,Q$298-Q$310)*Q$9</f>
        <v>0</v>
      </c>
      <c r="R312" s="19" t="n">
        <f aca="false">MAX(0,R$298-R$310)*R$9</f>
        <v>0</v>
      </c>
      <c r="S312" s="19" t="n">
        <f aca="false">MAX(0,S$298-S$310)*S$9</f>
        <v>0</v>
      </c>
      <c r="T312" s="19" t="n">
        <f aca="false">MAX(0,T$298-T$310)*T$9</f>
        <v>0</v>
      </c>
      <c r="U312" s="19" t="n">
        <f aca="false">MAX(0,U$298-U$310)*U$9</f>
        <v>0</v>
      </c>
      <c r="V312" s="19" t="n">
        <f aca="false">MAX(0,V$298-V$310)*V$9</f>
        <v>0</v>
      </c>
      <c r="W312" s="19" t="n">
        <f aca="false">MAX(0,W$298-W$310)*W$9</f>
        <v>0</v>
      </c>
      <c r="X312" s="19" t="n">
        <f aca="false">MAX(0,X$298-X$310)*X$9</f>
        <v>0</v>
      </c>
      <c r="Y312" s="19" t="n">
        <f aca="false">MAX(0,Y$298-Y$310)*Y$9</f>
        <v>0</v>
      </c>
      <c r="Z312" s="19" t="n">
        <f aca="false">MAX(0,Z$298-Z$310)*Z$9</f>
        <v>0</v>
      </c>
      <c r="AA312" s="19" t="n">
        <f aca="false">MAX(0,AA$298-AA$310)*AA$9</f>
        <v>0</v>
      </c>
      <c r="AB312" s="19" t="n">
        <f aca="false">MAX(0,AB$298-AB$310)*AB$9</f>
        <v>0</v>
      </c>
      <c r="AC312" s="19" t="n">
        <f aca="false">MAX(0,AC$298-AC$310)*AC$9</f>
        <v>0</v>
      </c>
      <c r="AD312" s="19" t="n">
        <f aca="false">MAX(0,AD$298-AD$310)*AD$9</f>
        <v>373700.713193166</v>
      </c>
      <c r="AE312" s="19" t="n">
        <f aca="false">MAX(0,AE$298-AE$310)*AE$9</f>
        <v>321127.029906151</v>
      </c>
      <c r="AF312" s="19" t="n">
        <f aca="false">MAX(0,AF$298-AF$310)*AF$9</f>
        <v>268516.935021567</v>
      </c>
      <c r="AG312" s="19" t="n">
        <f aca="false">MAX(0,AG$298-AG$310)*AG$9</f>
        <v>215870.15545243</v>
      </c>
      <c r="AH312" s="19" t="n">
        <f aca="false">MAX(0,AH$298-AH$310)*AH$9</f>
        <v>163186.416063606</v>
      </c>
      <c r="AI312" s="19" t="n">
        <f aca="false">MAX(0,AI$298-AI$310)*AI$9</f>
        <v>110465.439656449</v>
      </c>
      <c r="AJ312" s="19" t="n">
        <f aca="false">MAX(0,AJ$298-AJ$310)*AJ$9</f>
        <v>57706.9469533203</v>
      </c>
      <c r="AK312" s="19" t="n">
        <f aca="false">MAX(0,AK$298-AK$310)*AK$9</f>
        <v>4910.65658200043</v>
      </c>
      <c r="AL312" s="19" t="n">
        <f aca="false">MAX(0,AL$298-AL$310)*AL$9</f>
        <v>0</v>
      </c>
      <c r="AM312" s="19" t="n">
        <f aca="false">MAX(0,AM$298-AM$310)*AM$9</f>
        <v>0</v>
      </c>
      <c r="AN312" s="19" t="n">
        <f aca="false">MAX(0,AN$298-AN$310)*AN$9</f>
        <v>0</v>
      </c>
      <c r="AO312" s="19" t="n">
        <f aca="false">MAX(0,AO$298-AO$310)*AO$9</f>
        <v>0</v>
      </c>
      <c r="AP312" s="19" t="n">
        <f aca="false">MAX(0,AP$298-AP$310)*AP$9</f>
        <v>275779.326421707</v>
      </c>
      <c r="AQ312" s="19" t="n">
        <f aca="false">MAX(0,AQ$298-AQ$310)*AQ$9</f>
        <v>189941.672918983</v>
      </c>
      <c r="AR312" s="19" t="n">
        <f aca="false">MAX(0,AR$298-AR$310)*AR$9</f>
        <v>104064.192159682</v>
      </c>
      <c r="AS312" s="19" t="n">
        <f aca="false">MAX(0,AS$298-AS$310)*AS$9</f>
        <v>18146.5854393779</v>
      </c>
      <c r="AT312" s="19" t="n">
        <f aca="false">MAX(0,AT$298-AT$310)*AT$9</f>
        <v>0</v>
      </c>
      <c r="AU312" s="19" t="n">
        <f aca="false">MAX(0,AU$298-AU$310)*AU$9</f>
        <v>0</v>
      </c>
      <c r="AV312" s="19" t="n">
        <f aca="false">MAX(0,AV$298-AV$310)*AV$9</f>
        <v>0</v>
      </c>
      <c r="AW312" s="19" t="n">
        <f aca="false">MAX(0,AW$298-AW$310)*AW$9</f>
        <v>0</v>
      </c>
      <c r="AX312" s="19" t="n">
        <f aca="false">MAX(0,AX$298-AX$310)*AX$9</f>
        <v>0</v>
      </c>
      <c r="AY312" s="19" t="n">
        <f aca="false">MAX(0,AY$298-AY$310)*AY$9</f>
        <v>0</v>
      </c>
      <c r="AZ312" s="19" t="n">
        <f aca="false">MAX(0,AZ$298-AZ$310)*AZ$9</f>
        <v>0</v>
      </c>
      <c r="BA312" s="19" t="n">
        <f aca="false">MAX(0,BA$298-BA$310)*BA$9</f>
        <v>0</v>
      </c>
      <c r="BB312" s="19" t="n">
        <f aca="false">MAX(0,BB$298-BB$310)*BB$9</f>
        <v>0</v>
      </c>
      <c r="BC312" s="19" t="n">
        <f aca="false">MAX(0,BC$298-BC$310)*BC$9</f>
        <v>0</v>
      </c>
      <c r="BD312" s="19" t="n">
        <f aca="false">MAX(0,BD$298-BD$310)*BD$9</f>
        <v>0</v>
      </c>
      <c r="BE312" s="19" t="n">
        <f aca="false">MAX(0,BE$298-BE$310)*BE$9</f>
        <v>0</v>
      </c>
      <c r="BF312" s="19" t="n">
        <f aca="false">MAX(0,BF$298-BF$310)*BF$9</f>
        <v>0</v>
      </c>
      <c r="BG312" s="19" t="n">
        <f aca="false">MAX(0,BG$298-BG$310)*BG$9</f>
        <v>0</v>
      </c>
      <c r="BH312" s="19" t="n">
        <f aca="false">MAX(0,BH$298-BH$310)*BH$9</f>
        <v>0</v>
      </c>
      <c r="BI312" s="19" t="n">
        <f aca="false">MAX(0,BI$298-BI$310)*BI$9</f>
        <v>0</v>
      </c>
      <c r="BJ312" s="19" t="n">
        <f aca="false">MAX(0,BJ$298-BJ$310)*BJ$9</f>
        <v>0</v>
      </c>
      <c r="BK312" s="19" t="n">
        <f aca="false">MAX(0,BK$298-BK$310)*BK$9</f>
        <v>0</v>
      </c>
      <c r="BL312" s="19" t="n">
        <f aca="false">MAX(0,BL$298-BL$310)*BL$9</f>
        <v>0</v>
      </c>
      <c r="BM312" s="19" t="n">
        <f aca="false">MAX(0,BM$298-BM$310)*BM$9</f>
        <v>0</v>
      </c>
      <c r="BN312" s="19" t="n">
        <f aca="false">MAX(0,BN$298-BN$310)*BN$9</f>
        <v>0</v>
      </c>
      <c r="BO312" s="19" t="n">
        <f aca="false">MAX(0,BO$298-BO$310)*BO$9</f>
        <v>0</v>
      </c>
      <c r="BP312" s="19" t="n">
        <f aca="false">MAX(0,BP$298-BP$310)*BP$9</f>
        <v>0</v>
      </c>
      <c r="BQ312" s="19" t="n">
        <f aca="false">MAX(0,BQ$298-BQ$310)*BQ$9</f>
        <v>0</v>
      </c>
      <c r="BR312" s="19" t="n">
        <f aca="false">MAX(0,BR$298-BR$310)*BR$9</f>
        <v>0</v>
      </c>
      <c r="BS312" s="19" t="n">
        <f aca="false">MAX(0,BS$298-BS$310)*BS$9</f>
        <v>0</v>
      </c>
      <c r="BT312" s="19" t="n">
        <f aca="false">MAX(0,BT$298-BT$310)*BT$9</f>
        <v>0</v>
      </c>
      <c r="BU312" s="19" t="n">
        <f aca="false">MAX(0,BU$298-BU$310)*BU$9</f>
        <v>0</v>
      </c>
      <c r="BV312" s="19" t="n">
        <f aca="false">MAX(0,BV$298-BV$310)*BV$9</f>
        <v>0</v>
      </c>
      <c r="BW312" s="19" t="n">
        <f aca="false">MAX(0,BW$298-BW$310)*BW$9</f>
        <v>0</v>
      </c>
      <c r="BX312" s="19" t="n">
        <f aca="false">MAX(0,BX$298-BX$310)*BX$9</f>
        <v>0</v>
      </c>
      <c r="BY312" s="19" t="n">
        <f aca="false">MAX(0,BY$298-BY$310)*BY$9</f>
        <v>0</v>
      </c>
      <c r="BZ312" s="19" t="n">
        <f aca="false">MAX(0,BZ$298-BZ$310)*BZ$9</f>
        <v>0</v>
      </c>
      <c r="CA312" s="19" t="n">
        <f aca="false">MAX(0,CA$298-CA$310)*CA$9</f>
        <v>0</v>
      </c>
      <c r="CB312" s="19" t="n">
        <f aca="false">MAX(0,CB$298-CB$310)*CB$9</f>
        <v>0</v>
      </c>
      <c r="CC312" s="19" t="n">
        <f aca="false">MAX(0,CC$298-CC$310)*CC$9</f>
        <v>0</v>
      </c>
      <c r="CD312" s="19" t="n">
        <f aca="false">MAX(0,CD$298-CD$310)*CD$9</f>
        <v>0</v>
      </c>
      <c r="CE312" s="19" t="n">
        <f aca="false">MAX(0,CE$298-CE$310)*CE$9</f>
        <v>0</v>
      </c>
      <c r="CF312" s="19" t="n">
        <f aca="false">MAX(0,CF$298-CF$310)*CF$9</f>
        <v>0</v>
      </c>
      <c r="CG312" s="19" t="n">
        <f aca="false">MAX(0,CG$298-CG$310)*CG$9</f>
        <v>0</v>
      </c>
      <c r="CH312" s="19" t="n">
        <f aca="false">MAX(0,CH$298-CH$310)*CH$9</f>
        <v>0</v>
      </c>
      <c r="CI312" s="19" t="n">
        <f aca="false">MAX(0,CI$298-CI$310)*CI$9</f>
        <v>0</v>
      </c>
      <c r="CJ312" s="19" t="n">
        <f aca="false">MAX(0,CJ$298-CJ$310)*CJ$9</f>
        <v>0</v>
      </c>
      <c r="CK312" s="19" t="n">
        <f aca="false">MAX(0,CK$298-CK$310)*CK$9</f>
        <v>0</v>
      </c>
      <c r="CL312" s="19" t="n">
        <f aca="false">MAX(0,CL$298-CL$310)*CL$9</f>
        <v>0</v>
      </c>
      <c r="CM312" s="19" t="n">
        <f aca="false">MAX(0,CM$298-CM$310)*CM$9</f>
        <v>0</v>
      </c>
      <c r="CN312" s="19" t="n">
        <f aca="false">MAX(0,CN$298-CN$310)*CN$9</f>
        <v>0</v>
      </c>
      <c r="CO312" s="19" t="n">
        <f aca="false">MAX(0,CO$298-CO$310)*CO$9</f>
        <v>0</v>
      </c>
      <c r="CP312" s="19" t="n">
        <f aca="false">MAX(0,CP$298-CP$310)*CP$9</f>
        <v>0</v>
      </c>
      <c r="CQ312" s="19" t="n">
        <f aca="false">MAX(0,CQ$298-CQ$310)*CQ$9</f>
        <v>0</v>
      </c>
      <c r="CR312" s="19" t="n">
        <f aca="false">MAX(0,CR$298-CR$310)*CR$9</f>
        <v>0</v>
      </c>
      <c r="CS312" s="19" t="n">
        <f aca="false">MAX(0,CS$298-CS$310)*CS$9</f>
        <v>0</v>
      </c>
      <c r="CT312" s="19" t="n">
        <f aca="false">MAX(0,CT$298-CT$310)*CT$9</f>
        <v>0</v>
      </c>
      <c r="CU312" s="19" t="n">
        <f aca="false">MAX(0,CU$298-CU$310)*CU$9</f>
        <v>0</v>
      </c>
      <c r="CV312" s="19" t="n">
        <f aca="false">MAX(0,CV$298-CV$310)*CV$9</f>
        <v>0</v>
      </c>
      <c r="CW312" s="19" t="n">
        <f aca="false">MAX(0,CW$298-CW$310)*CW$9</f>
        <v>0</v>
      </c>
      <c r="CX312" s="19" t="n">
        <f aca="false">MAX(0,CX$298-CX$310)*CX$9</f>
        <v>0</v>
      </c>
      <c r="CY312" s="19" t="n">
        <f aca="false">MAX(0,CY$298-CY$310)*CY$9</f>
        <v>0</v>
      </c>
      <c r="CZ312" s="19" t="n">
        <f aca="false">MAX(0,CZ$298-CZ$310)*CZ$9</f>
        <v>0</v>
      </c>
      <c r="DA312" s="19" t="n">
        <f aca="false">MAX(0,DA$298-DA$310)*DA$9</f>
        <v>0</v>
      </c>
      <c r="DB312" s="19" t="n">
        <f aca="false">MAX(0,DB$298-DB$310)*DB$9</f>
        <v>0</v>
      </c>
      <c r="DC312" s="19" t="n">
        <f aca="false">MAX(0,DC$298-DC$310)*DC$9</f>
        <v>0</v>
      </c>
      <c r="DD312" s="19" t="n">
        <f aca="false">MAX(0,DD$298-DD$310)*DD$9</f>
        <v>0</v>
      </c>
      <c r="DE312" s="19" t="n">
        <f aca="false">MAX(0,DE$298-DE$310)*DE$9</f>
        <v>0</v>
      </c>
      <c r="DF312" s="19" t="n">
        <f aca="false">MAX(0,DF$298-DF$310)*DF$9</f>
        <v>0</v>
      </c>
      <c r="DG312" s="19" t="n">
        <f aca="false">MAX(0,DG$298-DG$310)*DG$9</f>
        <v>0</v>
      </c>
      <c r="DH312" s="19" t="n">
        <f aca="false">MAX(0,DH$298-DH$310)*DH$9</f>
        <v>0</v>
      </c>
      <c r="DI312" s="19" t="n">
        <f aca="false">MAX(0,DI$298-DI$310)*DI$9</f>
        <v>0</v>
      </c>
      <c r="DJ312" s="19" t="n">
        <f aca="false">MAX(0,DJ$298-DJ$310)*DJ$9</f>
        <v>0</v>
      </c>
      <c r="DK312" s="19" t="n">
        <f aca="false">MAX(0,DK$298-DK$310)*DK$9</f>
        <v>0</v>
      </c>
      <c r="DL312" s="19" t="n">
        <f aca="false">MAX(0,DL$298-DL$310)*DL$9</f>
        <v>0</v>
      </c>
      <c r="DM312" s="19" t="n">
        <f aca="false">MAX(0,DM$298-DM$310)*DM$9</f>
        <v>0</v>
      </c>
      <c r="DN312" s="19" t="n">
        <f aca="false">MAX(0,DN$298-DN$310)*DN$9</f>
        <v>0</v>
      </c>
      <c r="DO312" s="19" t="n">
        <f aca="false">MAX(0,DO$298-DO$310)*DO$9</f>
        <v>0</v>
      </c>
      <c r="DP312" s="19" t="n">
        <f aca="false">MAX(0,DP$298-DP$310)*DP$9</f>
        <v>0</v>
      </c>
      <c r="DQ312" s="19" t="n">
        <f aca="false">MAX(0,DQ$298-DQ$310)*DQ$9</f>
        <v>0</v>
      </c>
      <c r="DR312" s="19" t="n">
        <f aca="false">MAX(0,DR$298-DR$310)*DR$9</f>
        <v>0</v>
      </c>
      <c r="DS312" s="19" t="n">
        <f aca="false">MAX(0,DS$298-DS$310)*DS$9</f>
        <v>0</v>
      </c>
      <c r="DT312" s="19" t="n">
        <f aca="false">MAX(0,DT$298-DT$310)*DT$9</f>
        <v>0</v>
      </c>
      <c r="DU312" s="19" t="n">
        <f aca="false">MAX(0,DU$298-DU$310)*DU$9</f>
        <v>0</v>
      </c>
      <c r="DV312" s="19" t="n">
        <f aca="false">MAX(0,DV$298-DV$310)*DV$9</f>
        <v>0</v>
      </c>
      <c r="DW312" s="19" t="n">
        <f aca="false">MAX(0,DW$298-DW$310)*DW$9</f>
        <v>0</v>
      </c>
      <c r="DX312" s="19" t="n">
        <f aca="false">MAX(0,DX$298-DX$310)*DX$9</f>
        <v>0</v>
      </c>
      <c r="DY312" s="19" t="n">
        <f aca="false">MAX(0,DY$298-DY$310)*DY$9</f>
        <v>0</v>
      </c>
      <c r="DZ312" s="19" t="n">
        <f aca="false">MAX(0,DZ$298-DZ$310)*DZ$9</f>
        <v>0</v>
      </c>
      <c r="EA312" s="19" t="n">
        <f aca="false">MAX(0,EA$298-EA$310)*EA$9</f>
        <v>0</v>
      </c>
      <c r="EB312" s="19" t="n">
        <f aca="false">MAX(0,EB$298-EB$310)*EB$9</f>
        <v>0</v>
      </c>
      <c r="EC312" s="19" t="n">
        <f aca="false">MAX(0,EC$298-EC$310)*EC$9</f>
        <v>0</v>
      </c>
      <c r="ED312" s="19" t="n">
        <f aca="false">MAX(0,ED$298-ED$310)*ED$9</f>
        <v>0</v>
      </c>
      <c r="EE312" s="19" t="n">
        <f aca="false">MAX(0,EE$298-EE$310)*EE$9</f>
        <v>0</v>
      </c>
      <c r="EF312" s="19" t="n">
        <f aca="false">MAX(0,EF$298-EF$310)*EF$9</f>
        <v>0</v>
      </c>
      <c r="EG312" s="19" t="n">
        <f aca="false">MAX(0,EG$298-EG$310)*EG$9</f>
        <v>0</v>
      </c>
      <c r="EH312" s="19" t="n">
        <f aca="false">MAX(0,EH$298-EH$310)*EH$9</f>
        <v>0</v>
      </c>
      <c r="EI312" s="19" t="n">
        <f aca="false">MAX(0,EI$298-EI$310)*EI$9</f>
        <v>0</v>
      </c>
      <c r="EJ312" s="19" t="n">
        <f aca="false">MAX(0,EJ$298-EJ$310)*EJ$9</f>
        <v>0</v>
      </c>
      <c r="EK312" s="19" t="n">
        <f aca="false">MAX(0,EK$298-EK$310)*EK$9</f>
        <v>0</v>
      </c>
      <c r="EL312" s="19" t="n">
        <f aca="false">MAX(0,EL$298-EL$310)*EL$9</f>
        <v>0</v>
      </c>
      <c r="EM312" s="19" t="n">
        <f aca="false">MAX(0,EM$298-EM$310)*EM$9</f>
        <v>0</v>
      </c>
      <c r="EN312" s="19" t="n">
        <f aca="false">MAX(0,EN$298-EN$310)*EN$9</f>
        <v>0</v>
      </c>
      <c r="EO312" s="19" t="n">
        <f aca="false">MAX(0,EO$298-EO$310)*EO$9</f>
        <v>0</v>
      </c>
      <c r="EP312" s="19" t="n">
        <f aca="false">MAX(0,EP$298-EP$310)*EP$9</f>
        <v>0</v>
      </c>
      <c r="EQ312" s="19" t="n">
        <f aca="false">MAX(0,EQ$298-EQ$310)*EQ$9</f>
        <v>0</v>
      </c>
      <c r="ER312" s="19" t="n">
        <f aca="false">MAX(0,ER$298-ER$310)*ER$9</f>
        <v>0</v>
      </c>
      <c r="ES312" s="19" t="n">
        <f aca="false">MAX(0,ES$298-ES$310)*ES$9</f>
        <v>0</v>
      </c>
    </row>
    <row r="313" customFormat="false" ht="15" hidden="false" customHeight="false" outlineLevel="0" collapsed="false">
      <c r="A313" s="11" t="s">
        <v>1430</v>
      </c>
      <c r="B313" s="15" t="s">
        <v>1277</v>
      </c>
      <c r="C313" s="15" t="s">
        <v>508</v>
      </c>
      <c r="E313" s="54" t="n">
        <f aca="false">MAX(F313:ES313)</f>
        <v>311740.118672618</v>
      </c>
      <c r="F313" s="48" t="n">
        <f aca="false">MAX(0,-F$310)</f>
        <v>0</v>
      </c>
      <c r="G313" s="48" t="n">
        <f aca="false">MAX(0,-G$310)</f>
        <v>0</v>
      </c>
      <c r="H313" s="48" t="n">
        <f aca="false">MAX(0,-H$310)</f>
        <v>0</v>
      </c>
      <c r="I313" s="48" t="n">
        <f aca="false">MAX(0,-I$310)</f>
        <v>0</v>
      </c>
      <c r="J313" s="48" t="n">
        <f aca="false">MAX(0,-J$310)</f>
        <v>0</v>
      </c>
      <c r="K313" s="48" t="n">
        <f aca="false">MAX(0,-K$310)</f>
        <v>0</v>
      </c>
      <c r="L313" s="48" t="n">
        <f aca="false">MAX(0,-L$310)</f>
        <v>0</v>
      </c>
      <c r="M313" s="48" t="n">
        <f aca="false">MAX(0,-M$310)</f>
        <v>0</v>
      </c>
      <c r="N313" s="48" t="n">
        <f aca="false">MAX(0,-N$310)</f>
        <v>0</v>
      </c>
      <c r="O313" s="48" t="n">
        <f aca="false">MAX(0,-O$310)</f>
        <v>0</v>
      </c>
      <c r="P313" s="48" t="n">
        <f aca="false">MAX(0,-P$310)</f>
        <v>0</v>
      </c>
      <c r="Q313" s="48" t="n">
        <f aca="false">MAX(0,-Q$310)</f>
        <v>0</v>
      </c>
      <c r="R313" s="48" t="n">
        <f aca="false">MAX(0,-R$310)</f>
        <v>0</v>
      </c>
      <c r="S313" s="48" t="n">
        <f aca="false">MAX(0,-S$310)</f>
        <v>0</v>
      </c>
      <c r="T313" s="48" t="n">
        <f aca="false">MAX(0,-T$310)</f>
        <v>0</v>
      </c>
      <c r="U313" s="48" t="n">
        <f aca="false">MAX(0,-U$310)</f>
        <v>0</v>
      </c>
      <c r="V313" s="48" t="n">
        <f aca="false">MAX(0,-V$310)</f>
        <v>0</v>
      </c>
      <c r="W313" s="48" t="n">
        <f aca="false">MAX(0,-W$310)</f>
        <v>0</v>
      </c>
      <c r="X313" s="48" t="n">
        <f aca="false">MAX(0,-X$310)</f>
        <v>0</v>
      </c>
      <c r="Y313" s="48" t="n">
        <f aca="false">MAX(0,-Y$310)</f>
        <v>0</v>
      </c>
      <c r="Z313" s="48" t="n">
        <f aca="false">MAX(0,-Z$310)</f>
        <v>0</v>
      </c>
      <c r="AA313" s="48" t="n">
        <f aca="false">MAX(0,-AA$310)</f>
        <v>0</v>
      </c>
      <c r="AB313" s="48" t="n">
        <f aca="false">MAX(0,-AB$310)</f>
        <v>0</v>
      </c>
      <c r="AC313" s="48" t="n">
        <f aca="false">MAX(0,-AC$310)</f>
        <v>0</v>
      </c>
      <c r="AD313" s="48" t="n">
        <f aca="false">MAX(0,-AD$310)</f>
        <v>311740.118672618</v>
      </c>
      <c r="AE313" s="48" t="n">
        <f aca="false">MAX(0,-AE$310)</f>
        <v>259166.435385604</v>
      </c>
      <c r="AF313" s="48" t="n">
        <f aca="false">MAX(0,-AF$310)</f>
        <v>206556.340501019</v>
      </c>
      <c r="AG313" s="48" t="n">
        <f aca="false">MAX(0,-AG$310)</f>
        <v>153909.560931882</v>
      </c>
      <c r="AH313" s="48" t="n">
        <f aca="false">MAX(0,-AH$310)</f>
        <v>101225.821543058</v>
      </c>
      <c r="AI313" s="48" t="n">
        <f aca="false">MAX(0,-AI$310)</f>
        <v>48504.845135901</v>
      </c>
      <c r="AJ313" s="48" t="n">
        <f aca="false">MAX(0,-AJ$310)</f>
        <v>0</v>
      </c>
      <c r="AK313" s="48" t="n">
        <f aca="false">MAX(0,-AK$310)</f>
        <v>0</v>
      </c>
      <c r="AL313" s="48" t="n">
        <f aca="false">MAX(0,-AL$310)</f>
        <v>0</v>
      </c>
      <c r="AM313" s="48" t="n">
        <f aca="false">MAX(0,-AM$310)</f>
        <v>0</v>
      </c>
      <c r="AN313" s="48" t="n">
        <f aca="false">MAX(0,-AN$310)</f>
        <v>0</v>
      </c>
      <c r="AO313" s="48" t="n">
        <f aca="false">MAX(0,-AO$310)</f>
        <v>0</v>
      </c>
      <c r="AP313" s="48" t="n">
        <f aca="false">MAX(0,-AP$310)</f>
        <v>204392.169462803</v>
      </c>
      <c r="AQ313" s="48" t="n">
        <f aca="false">MAX(0,-AQ$310)</f>
        <v>118554.515960079</v>
      </c>
      <c r="AR313" s="48" t="n">
        <f aca="false">MAX(0,-AR$310)</f>
        <v>32677.0352007774</v>
      </c>
      <c r="AS313" s="48" t="n">
        <f aca="false">MAX(0,-AS$310)</f>
        <v>0</v>
      </c>
      <c r="AT313" s="48" t="n">
        <f aca="false">MAX(0,-AT$310)</f>
        <v>0</v>
      </c>
      <c r="AU313" s="48" t="n">
        <f aca="false">MAX(0,-AU$310)</f>
        <v>0</v>
      </c>
      <c r="AV313" s="48" t="n">
        <f aca="false">MAX(0,-AV$310)</f>
        <v>0</v>
      </c>
      <c r="AW313" s="48" t="n">
        <f aca="false">MAX(0,-AW$310)</f>
        <v>0</v>
      </c>
      <c r="AX313" s="48" t="n">
        <f aca="false">MAX(0,-AX$310)</f>
        <v>0</v>
      </c>
      <c r="AY313" s="48" t="n">
        <f aca="false">MAX(0,-AY$310)</f>
        <v>0</v>
      </c>
      <c r="AZ313" s="48" t="n">
        <f aca="false">MAX(0,-AZ$310)</f>
        <v>0</v>
      </c>
      <c r="BA313" s="48" t="n">
        <f aca="false">MAX(0,-BA$310)</f>
        <v>0</v>
      </c>
      <c r="BB313" s="48" t="n">
        <f aca="false">MAX(0,-BB$310)</f>
        <v>0</v>
      </c>
      <c r="BC313" s="48" t="n">
        <f aca="false">MAX(0,-BC$310)</f>
        <v>0</v>
      </c>
      <c r="BD313" s="48" t="n">
        <f aca="false">MAX(0,-BD$310)</f>
        <v>0</v>
      </c>
      <c r="BE313" s="48" t="n">
        <f aca="false">MAX(0,-BE$310)</f>
        <v>0</v>
      </c>
      <c r="BF313" s="48" t="n">
        <f aca="false">MAX(0,-BF$310)</f>
        <v>0</v>
      </c>
      <c r="BG313" s="48" t="n">
        <f aca="false">MAX(0,-BG$310)</f>
        <v>0</v>
      </c>
      <c r="BH313" s="48" t="n">
        <f aca="false">MAX(0,-BH$310)</f>
        <v>0</v>
      </c>
      <c r="BI313" s="48" t="n">
        <f aca="false">MAX(0,-BI$310)</f>
        <v>0</v>
      </c>
      <c r="BJ313" s="48" t="n">
        <f aca="false">MAX(0,-BJ$310)</f>
        <v>0</v>
      </c>
      <c r="BK313" s="48" t="n">
        <f aca="false">MAX(0,-BK$310)</f>
        <v>0</v>
      </c>
      <c r="BL313" s="48" t="n">
        <f aca="false">MAX(0,-BL$310)</f>
        <v>0</v>
      </c>
      <c r="BM313" s="48" t="n">
        <f aca="false">MAX(0,-BM$310)</f>
        <v>0</v>
      </c>
      <c r="BN313" s="48" t="n">
        <f aca="false">MAX(0,-BN$310)</f>
        <v>0</v>
      </c>
      <c r="BO313" s="48" t="n">
        <f aca="false">MAX(0,-BO$310)</f>
        <v>0</v>
      </c>
      <c r="BP313" s="48" t="n">
        <f aca="false">MAX(0,-BP$310)</f>
        <v>0</v>
      </c>
      <c r="BQ313" s="48" t="n">
        <f aca="false">MAX(0,-BQ$310)</f>
        <v>0</v>
      </c>
      <c r="BR313" s="48" t="n">
        <f aca="false">MAX(0,-BR$310)</f>
        <v>0</v>
      </c>
      <c r="BS313" s="48" t="n">
        <f aca="false">MAX(0,-BS$310)</f>
        <v>0</v>
      </c>
      <c r="BT313" s="48" t="n">
        <f aca="false">MAX(0,-BT$310)</f>
        <v>0</v>
      </c>
      <c r="BU313" s="48" t="n">
        <f aca="false">MAX(0,-BU$310)</f>
        <v>0</v>
      </c>
      <c r="BV313" s="48" t="n">
        <f aca="false">MAX(0,-BV$310)</f>
        <v>0</v>
      </c>
      <c r="BW313" s="48" t="n">
        <f aca="false">MAX(0,-BW$310)</f>
        <v>0</v>
      </c>
      <c r="BX313" s="48" t="n">
        <f aca="false">MAX(0,-BX$310)</f>
        <v>0</v>
      </c>
      <c r="BY313" s="48" t="n">
        <f aca="false">MAX(0,-BY$310)</f>
        <v>0</v>
      </c>
      <c r="BZ313" s="48" t="n">
        <f aca="false">MAX(0,-BZ$310)</f>
        <v>0</v>
      </c>
      <c r="CA313" s="48" t="n">
        <f aca="false">MAX(0,-CA$310)</f>
        <v>0</v>
      </c>
      <c r="CB313" s="48" t="n">
        <f aca="false">MAX(0,-CB$310)</f>
        <v>0</v>
      </c>
      <c r="CC313" s="48" t="n">
        <f aca="false">MAX(0,-CC$310)</f>
        <v>0</v>
      </c>
      <c r="CD313" s="48" t="n">
        <f aca="false">MAX(0,-CD$310)</f>
        <v>0</v>
      </c>
      <c r="CE313" s="48" t="n">
        <f aca="false">MAX(0,-CE$310)</f>
        <v>0</v>
      </c>
      <c r="CF313" s="48" t="n">
        <f aca="false">MAX(0,-CF$310)</f>
        <v>0</v>
      </c>
      <c r="CG313" s="48" t="n">
        <f aca="false">MAX(0,-CG$310)</f>
        <v>0</v>
      </c>
      <c r="CH313" s="48" t="n">
        <f aca="false">MAX(0,-CH$310)</f>
        <v>0</v>
      </c>
      <c r="CI313" s="48" t="n">
        <f aca="false">MAX(0,-CI$310)</f>
        <v>0</v>
      </c>
      <c r="CJ313" s="48" t="n">
        <f aca="false">MAX(0,-CJ$310)</f>
        <v>0</v>
      </c>
      <c r="CK313" s="48" t="n">
        <f aca="false">MAX(0,-CK$310)</f>
        <v>0</v>
      </c>
      <c r="CL313" s="48" t="n">
        <f aca="false">MAX(0,-CL$310)</f>
        <v>0</v>
      </c>
      <c r="CM313" s="48" t="n">
        <f aca="false">MAX(0,-CM$310)</f>
        <v>0</v>
      </c>
      <c r="CN313" s="48" t="n">
        <f aca="false">MAX(0,-CN$310)</f>
        <v>0</v>
      </c>
      <c r="CO313" s="48" t="n">
        <f aca="false">MAX(0,-CO$310)</f>
        <v>0</v>
      </c>
      <c r="CP313" s="48" t="n">
        <f aca="false">MAX(0,-CP$310)</f>
        <v>0</v>
      </c>
      <c r="CQ313" s="48" t="n">
        <f aca="false">MAX(0,-CQ$310)</f>
        <v>0</v>
      </c>
      <c r="CR313" s="48" t="n">
        <f aca="false">MAX(0,-CR$310)</f>
        <v>0</v>
      </c>
      <c r="CS313" s="48" t="n">
        <f aca="false">MAX(0,-CS$310)</f>
        <v>0</v>
      </c>
      <c r="CT313" s="48" t="n">
        <f aca="false">MAX(0,-CT$310)</f>
        <v>0</v>
      </c>
      <c r="CU313" s="48" t="n">
        <f aca="false">MAX(0,-CU$310)</f>
        <v>0</v>
      </c>
      <c r="CV313" s="48" t="n">
        <f aca="false">MAX(0,-CV$310)</f>
        <v>0</v>
      </c>
      <c r="CW313" s="48" t="n">
        <f aca="false">MAX(0,-CW$310)</f>
        <v>0</v>
      </c>
      <c r="CX313" s="48" t="n">
        <f aca="false">MAX(0,-CX$310)</f>
        <v>0</v>
      </c>
      <c r="CY313" s="48" t="n">
        <f aca="false">MAX(0,-CY$310)</f>
        <v>0</v>
      </c>
      <c r="CZ313" s="48" t="n">
        <f aca="false">MAX(0,-CZ$310)</f>
        <v>0</v>
      </c>
      <c r="DA313" s="48" t="n">
        <f aca="false">MAX(0,-DA$310)</f>
        <v>0</v>
      </c>
      <c r="DB313" s="48" t="n">
        <f aca="false">MAX(0,-DB$310)</f>
        <v>0</v>
      </c>
      <c r="DC313" s="48" t="n">
        <f aca="false">MAX(0,-DC$310)</f>
        <v>0</v>
      </c>
      <c r="DD313" s="48" t="n">
        <f aca="false">MAX(0,-DD$310)</f>
        <v>0</v>
      </c>
      <c r="DE313" s="48" t="n">
        <f aca="false">MAX(0,-DE$310)</f>
        <v>0</v>
      </c>
      <c r="DF313" s="48" t="n">
        <f aca="false">MAX(0,-DF$310)</f>
        <v>0</v>
      </c>
      <c r="DG313" s="48" t="n">
        <f aca="false">MAX(0,-DG$310)</f>
        <v>0</v>
      </c>
      <c r="DH313" s="48" t="n">
        <f aca="false">MAX(0,-DH$310)</f>
        <v>0</v>
      </c>
      <c r="DI313" s="48" t="n">
        <f aca="false">MAX(0,-DI$310)</f>
        <v>0</v>
      </c>
      <c r="DJ313" s="48" t="n">
        <f aca="false">MAX(0,-DJ$310)</f>
        <v>0</v>
      </c>
      <c r="DK313" s="48" t="n">
        <f aca="false">MAX(0,-DK$310)</f>
        <v>0</v>
      </c>
      <c r="DL313" s="48" t="n">
        <f aca="false">MAX(0,-DL$310)</f>
        <v>0</v>
      </c>
      <c r="DM313" s="48" t="n">
        <f aca="false">MAX(0,-DM$310)</f>
        <v>0</v>
      </c>
      <c r="DN313" s="48" t="n">
        <f aca="false">MAX(0,-DN$310)</f>
        <v>0</v>
      </c>
      <c r="DO313" s="48" t="n">
        <f aca="false">MAX(0,-DO$310)</f>
        <v>0</v>
      </c>
      <c r="DP313" s="48" t="n">
        <f aca="false">MAX(0,-DP$310)</f>
        <v>0</v>
      </c>
      <c r="DQ313" s="48" t="n">
        <f aca="false">MAX(0,-DQ$310)</f>
        <v>0</v>
      </c>
      <c r="DR313" s="48" t="n">
        <f aca="false">MAX(0,-DR$310)</f>
        <v>0</v>
      </c>
      <c r="DS313" s="48" t="n">
        <f aca="false">MAX(0,-DS$310)</f>
        <v>0</v>
      </c>
      <c r="DT313" s="48" t="n">
        <f aca="false">MAX(0,-DT$310)</f>
        <v>0</v>
      </c>
      <c r="DU313" s="48" t="n">
        <f aca="false">MAX(0,-DU$310)</f>
        <v>0</v>
      </c>
      <c r="DV313" s="48" t="n">
        <f aca="false">MAX(0,-DV$310)</f>
        <v>0</v>
      </c>
      <c r="DW313" s="48" t="n">
        <f aca="false">MAX(0,-DW$310)</f>
        <v>0</v>
      </c>
      <c r="DX313" s="48" t="n">
        <f aca="false">MAX(0,-DX$310)</f>
        <v>0</v>
      </c>
      <c r="DY313" s="48" t="n">
        <f aca="false">MAX(0,-DY$310)</f>
        <v>0</v>
      </c>
      <c r="DZ313" s="48" t="n">
        <f aca="false">MAX(0,-DZ$310)</f>
        <v>0</v>
      </c>
      <c r="EA313" s="48" t="n">
        <f aca="false">MAX(0,-EA$310)</f>
        <v>0</v>
      </c>
      <c r="EB313" s="48" t="n">
        <f aca="false">MAX(0,-EB$310)</f>
        <v>0</v>
      </c>
      <c r="EC313" s="48" t="n">
        <f aca="false">MAX(0,-EC$310)</f>
        <v>0</v>
      </c>
      <c r="ED313" s="48" t="n">
        <f aca="false">MAX(0,-ED$310)</f>
        <v>0</v>
      </c>
      <c r="EE313" s="48" t="n">
        <f aca="false">MAX(0,-EE$310)</f>
        <v>0</v>
      </c>
      <c r="EF313" s="48" t="n">
        <f aca="false">MAX(0,-EF$310)</f>
        <v>0</v>
      </c>
      <c r="EG313" s="48" t="n">
        <f aca="false">MAX(0,-EG$310)</f>
        <v>0</v>
      </c>
      <c r="EH313" s="48" t="n">
        <f aca="false">MAX(0,-EH$310)</f>
        <v>0</v>
      </c>
      <c r="EI313" s="48" t="n">
        <f aca="false">MAX(0,-EI$310)</f>
        <v>0</v>
      </c>
      <c r="EJ313" s="48" t="n">
        <f aca="false">MAX(0,-EJ$310)</f>
        <v>0</v>
      </c>
      <c r="EK313" s="48" t="n">
        <f aca="false">MAX(0,-EK$310)</f>
        <v>0</v>
      </c>
      <c r="EL313" s="48" t="n">
        <f aca="false">MAX(0,-EL$310)</f>
        <v>0</v>
      </c>
      <c r="EM313" s="48" t="n">
        <f aca="false">MAX(0,-EM$310)</f>
        <v>0</v>
      </c>
      <c r="EN313" s="48" t="n">
        <f aca="false">MAX(0,-EN$310)</f>
        <v>0</v>
      </c>
      <c r="EO313" s="48" t="n">
        <f aca="false">MAX(0,-EO$310)</f>
        <v>0</v>
      </c>
      <c r="EP313" s="48" t="n">
        <f aca="false">MAX(0,-EP$310)</f>
        <v>0</v>
      </c>
      <c r="EQ313" s="48" t="n">
        <f aca="false">MAX(0,-EQ$310)</f>
        <v>0</v>
      </c>
      <c r="ER313" s="48" t="n">
        <f aca="false">MAX(0,-ER$310)</f>
        <v>0</v>
      </c>
      <c r="ES313" s="48" t="n">
        <f aca="false">MAX(0,-ES$310)</f>
        <v>0</v>
      </c>
    </row>
    <row r="314" customFormat="false" ht="15" hidden="false" customHeight="false" outlineLevel="0" collapsed="false">
      <c r="A314" s="13"/>
      <c r="B314" s="12" t="s">
        <v>1278</v>
      </c>
      <c r="C314" s="13"/>
      <c r="D314" s="13"/>
      <c r="E314" s="13"/>
    </row>
    <row r="315" customFormat="false" ht="15" hidden="false" customHeight="false" outlineLevel="0" collapsed="false">
      <c r="A315" s="11" t="s">
        <v>1431</v>
      </c>
      <c r="B315" s="15" t="s">
        <v>1280</v>
      </c>
      <c r="C315" s="15"/>
      <c r="F315" s="42" t="n">
        <f aca="false">1/(1+V_WACC)^((1-1)/12)</f>
        <v>1</v>
      </c>
      <c r="G315" s="42" t="n">
        <f aca="false">1/(1+V_WACC)^((2-1)/12)</f>
        <v>0.99247369216101</v>
      </c>
      <c r="H315" s="42" t="n">
        <f aca="false">1/(1+V_WACC)^((3-1)/12)</f>
        <v>0.985004029631707</v>
      </c>
      <c r="I315" s="42" t="n">
        <f aca="false">1/(1+V_WACC)^((4-1)/12)</f>
        <v>0.977590586082053</v>
      </c>
      <c r="J315" s="42" t="n">
        <f aca="false">1/(1+V_WACC)^((5-1)/12)</f>
        <v>0.970232938390701</v>
      </c>
      <c r="K315" s="42" t="n">
        <f aca="false">1/(1+V_WACC)^((6-1)/12)</f>
        <v>0.962930666620845</v>
      </c>
      <c r="L315" s="42" t="n">
        <f aca="false">1/(1+V_WACC)^((7-1)/12)</f>
        <v>0.955683353996252</v>
      </c>
      <c r="M315" s="42" t="n">
        <f aca="false">1/(1+V_WACC)^((8-1)/12)</f>
        <v>0.948490586877478</v>
      </c>
      <c r="N315" s="42" t="n">
        <f aca="false">1/(1+V_WACC)^((9-1)/12)</f>
        <v>0.941351954738254</v>
      </c>
      <c r="O315" s="42" t="n">
        <f aca="false">1/(1+V_WACC)^((10-1)/12)</f>
        <v>0.934267050142059</v>
      </c>
      <c r="P315" s="42" t="n">
        <f aca="false">1/(1+V_WACC)^((11-1)/12)</f>
        <v>0.927235468718864</v>
      </c>
      <c r="Q315" s="42" t="n">
        <f aca="false">1/(1+V_WACC)^((12-1)/12)</f>
        <v>0.920256809142056</v>
      </c>
      <c r="R315" s="42" t="n">
        <f aca="false">1/(1+V_WACC)^((13-1)/12)</f>
        <v>0.913330673105526</v>
      </c>
      <c r="S315" s="42" t="n">
        <f aca="false">1/(1+V_WACC)^((14-1)/12)</f>
        <v>0.906456665300942</v>
      </c>
      <c r="T315" s="42" t="n">
        <f aca="false">1/(1+V_WACC)^((15-1)/12)</f>
        <v>0.899634393395183</v>
      </c>
      <c r="U315" s="42" t="n">
        <f aca="false">1/(1+V_WACC)^((16-1)/12)</f>
        <v>0.892863468007947</v>
      </c>
      <c r="V315" s="42" t="n">
        <f aca="false">1/(1+V_WACC)^((17-1)/12)</f>
        <v>0.886143502689531</v>
      </c>
      <c r="W315" s="42" t="n">
        <f aca="false">1/(1+V_WACC)^((18-1)/12)</f>
        <v>0.879474113898769</v>
      </c>
      <c r="X315" s="42" t="n">
        <f aca="false">1/(1+V_WACC)^((19-1)/12)</f>
        <v>0.872854920981144</v>
      </c>
      <c r="Y315" s="42" t="n">
        <f aca="false">1/(1+V_WACC)^((20-1)/12)</f>
        <v>0.866285546147062</v>
      </c>
      <c r="Z315" s="42" t="n">
        <f aca="false">1/(1+V_WACC)^((21-1)/12)</f>
        <v>0.859765614450292</v>
      </c>
      <c r="AA315" s="42" t="n">
        <f aca="false">1/(1+V_WACC)^((22-1)/12)</f>
        <v>0.853294753766561</v>
      </c>
      <c r="AB315" s="42" t="n">
        <f aca="false">1/(1+V_WACC)^((23-1)/12)</f>
        <v>0.846872594772318</v>
      </c>
      <c r="AC315" s="42" t="n">
        <f aca="false">1/(1+V_WACC)^((24-1)/12)</f>
        <v>0.840498770923658</v>
      </c>
      <c r="AD315" s="42" t="n">
        <f aca="false">1/(1+V_WACC)^((25-1)/12)</f>
        <v>0.834172918435393</v>
      </c>
      <c r="AE315" s="42" t="n">
        <f aca="false">1/(1+V_WACC)^((26-1)/12)</f>
        <v>0.8278946762603</v>
      </c>
      <c r="AF315" s="42" t="n">
        <f aca="false">1/(1+V_WACC)^((27-1)/12)</f>
        <v>0.821663686068504</v>
      </c>
      <c r="AG315" s="42" t="n">
        <f aca="false">1/(1+V_WACC)^((28-1)/12)</f>
        <v>0.815479592227033</v>
      </c>
      <c r="AH315" s="42" t="n">
        <f aca="false">1/(1+V_WACC)^((29-1)/12)</f>
        <v>0.809342041779518</v>
      </c>
      <c r="AI315" s="42" t="n">
        <f aca="false">1/(1+V_WACC)^((30-1)/12)</f>
        <v>0.803250684426049</v>
      </c>
      <c r="AJ315" s="42" t="n">
        <f aca="false">1/(1+V_WACC)^((31-1)/12)</f>
        <v>0.797205172503179</v>
      </c>
      <c r="AK315" s="42" t="n">
        <f aca="false">1/(1+V_WACC)^((32-1)/12)</f>
        <v>0.791205160964085</v>
      </c>
      <c r="AL315" s="42" t="n">
        <f aca="false">1/(1+V_WACC)^((33-1)/12)</f>
        <v>0.785250307358871</v>
      </c>
      <c r="AM315" s="42" t="n">
        <f aca="false">1/(1+V_WACC)^((34-1)/12)</f>
        <v>0.779340271815027</v>
      </c>
      <c r="AN315" s="42" t="n">
        <f aca="false">1/(1+V_WACC)^((35-1)/12)</f>
        <v>0.773474717018025</v>
      </c>
      <c r="AO315" s="42" t="n">
        <f aca="false">1/(1+V_WACC)^((36-1)/12)</f>
        <v>0.767653308192072</v>
      </c>
      <c r="AP315" s="42" t="n">
        <f aca="false">1/(1+V_WACC)^((37-1)/12)</f>
        <v>0.761875713080999</v>
      </c>
      <c r="AQ315" s="42" t="n">
        <f aca="false">1/(1+V_WACC)^((38-1)/12)</f>
        <v>0.756141601929301</v>
      </c>
      <c r="AR315" s="42" t="n">
        <f aca="false">1/(1+V_WACC)^((39-1)/12)</f>
        <v>0.750450647463314</v>
      </c>
      <c r="AS315" s="42" t="n">
        <f aca="false">1/(1+V_WACC)^((40-1)/12)</f>
        <v>0.744802524872536</v>
      </c>
      <c r="AT315" s="42" t="n">
        <f aca="false">1/(1+V_WACC)^((41-1)/12)</f>
        <v>0.739196911791088</v>
      </c>
      <c r="AU315" s="42" t="n">
        <f aca="false">1/(1+V_WACC)^((42-1)/12)</f>
        <v>0.733633488279318</v>
      </c>
      <c r="AV315" s="42" t="n">
        <f aca="false">1/(1+V_WACC)^((43-1)/12)</f>
        <v>0.728111936805535</v>
      </c>
      <c r="AW315" s="42" t="n">
        <f aca="false">1/(1+V_WACC)^((44-1)/12)</f>
        <v>0.722631942227894</v>
      </c>
      <c r="AX315" s="42" t="n">
        <f aca="false">1/(1+V_WACC)^((45-1)/12)</f>
        <v>0.717193191776399</v>
      </c>
      <c r="AY315" s="42" t="n">
        <f aca="false">1/(1+V_WACC)^((46-1)/12)</f>
        <v>0.711795375035062</v>
      </c>
      <c r="AZ315" s="42" t="n">
        <f aca="false">1/(1+V_WACC)^((47-1)/12)</f>
        <v>0.706438183924179</v>
      </c>
      <c r="BA315" s="42" t="n">
        <f aca="false">1/(1+V_WACC)^((48-1)/12)</f>
        <v>0.701121312682749</v>
      </c>
      <c r="BB315" s="42" t="n">
        <f aca="false">1/(1+V_WACC)^((49-1)/12)</f>
        <v>0.695844457851021</v>
      </c>
      <c r="BC315" s="42" t="n">
        <f aca="false">1/(1+V_WACC)^((50-1)/12)</f>
        <v>0.690607318253179</v>
      </c>
      <c r="BD315" s="42" t="n">
        <f aca="false">1/(1+V_WACC)^((51-1)/12)</f>
        <v>0.685409594980147</v>
      </c>
      <c r="BE315" s="42" t="n">
        <f aca="false">1/(1+V_WACC)^((52-1)/12)</f>
        <v>0.680250991372529</v>
      </c>
      <c r="BF315" s="42" t="n">
        <f aca="false">1/(1+V_WACC)^((53-1)/12)</f>
        <v>0.675131213003681</v>
      </c>
      <c r="BG315" s="42" t="n">
        <f aca="false">1/(1+V_WACC)^((54-1)/12)</f>
        <v>0.670049967662904</v>
      </c>
      <c r="BH315" s="42" t="n">
        <f aca="false">1/(1+V_WACC)^((55-1)/12)</f>
        <v>0.665006965338768</v>
      </c>
      <c r="BI315" s="42" t="n">
        <f aca="false">1/(1+V_WACC)^((56-1)/12)</f>
        <v>0.660001918202556</v>
      </c>
      <c r="BJ315" s="42" t="n">
        <f aca="false">1/(1+V_WACC)^((57-1)/12)</f>
        <v>0.655034540591839</v>
      </c>
      <c r="BK315" s="42" t="n">
        <f aca="false">1/(1+V_WACC)^((58-1)/12)</f>
        <v>0.650104548994174</v>
      </c>
      <c r="BL315" s="42" t="n">
        <f aca="false">1/(1+V_WACC)^((59-1)/12)</f>
        <v>0.645211662030916</v>
      </c>
      <c r="BM315" s="42" t="n">
        <f aca="false">1/(1+V_WACC)^((60-1)/12)</f>
        <v>0.640355600441165</v>
      </c>
      <c r="BN315" s="42" t="n">
        <f aca="false">1/(1+V_WACC)^((61-1)/12)</f>
        <v>0.635536087065823</v>
      </c>
      <c r="BO315" s="42" t="n">
        <f aca="false">1/(1+V_WACC)^((62-1)/12)</f>
        <v>0.630752846831779</v>
      </c>
      <c r="BP315" s="42" t="n">
        <f aca="false">1/(1+V_WACC)^((63-1)/12)</f>
        <v>0.626005606736203</v>
      </c>
      <c r="BQ315" s="42" t="n">
        <f aca="false">1/(1+V_WACC)^((64-1)/12)</f>
        <v>0.621294095830973</v>
      </c>
      <c r="BR315" s="42" t="n">
        <f aca="false">1/(1+V_WACC)^((65-1)/12)</f>
        <v>0.616618045207202</v>
      </c>
      <c r="BS315" s="42" t="n">
        <f aca="false">1/(1+V_WACC)^((66-1)/12)</f>
        <v>0.611977187979896</v>
      </c>
      <c r="BT315" s="42" t="n">
        <f aca="false">1/(1+V_WACC)^((67-1)/12)</f>
        <v>0.60737125927272</v>
      </c>
      <c r="BU315" s="42" t="n">
        <f aca="false">1/(1+V_WACC)^((68-1)/12)</f>
        <v>0.602799996202879</v>
      </c>
      <c r="BV315" s="42" t="n">
        <f aca="false">1/(1+V_WACC)^((69-1)/12)</f>
        <v>0.598263137866114</v>
      </c>
      <c r="BW315" s="42" t="n">
        <f aca="false">1/(1+V_WACC)^((70-1)/12)</f>
        <v>0.593760425321813</v>
      </c>
      <c r="BX315" s="42" t="n">
        <f aca="false">1/(1+V_WACC)^((71-1)/12)</f>
        <v>0.589291601578232</v>
      </c>
      <c r="BY315" s="42" t="n">
        <f aca="false">1/(1+V_WACC)^((72-1)/12)</f>
        <v>0.584856411577822</v>
      </c>
      <c r="BZ315" s="42" t="n">
        <f aca="false">1/(1+V_WACC)^((73-1)/12)</f>
        <v>0.580454602182681</v>
      </c>
      <c r="CA315" s="42" t="n">
        <f aca="false">1/(1+V_WACC)^((74-1)/12)</f>
        <v>0.576085922160095</v>
      </c>
      <c r="CB315" s="42" t="n">
        <f aca="false">1/(1+V_WACC)^((75-1)/12)</f>
        <v>0.57175012216821</v>
      </c>
      <c r="CC315" s="42" t="n">
        <f aca="false">1/(1+V_WACC)^((76-1)/12)</f>
        <v>0.567446954741792</v>
      </c>
      <c r="CD315" s="42" t="n">
        <f aca="false">1/(1+V_WACC)^((77-1)/12)</f>
        <v>0.563176174278108</v>
      </c>
      <c r="CE315" s="42" t="n">
        <f aca="false">1/(1+V_WACC)^((78-1)/12)</f>
        <v>0.558937537022906</v>
      </c>
      <c r="CF315" s="42" t="n">
        <f aca="false">1/(1+V_WACC)^((79-1)/12)</f>
        <v>0.554730801056504</v>
      </c>
      <c r="CG315" s="42" t="n">
        <f aca="false">1/(1+V_WACC)^((80-1)/12)</f>
        <v>0.550555726279984</v>
      </c>
      <c r="CH315" s="42" t="n">
        <f aca="false">1/(1+V_WACC)^((81-1)/12)</f>
        <v>0.546412074401482</v>
      </c>
      <c r="CI315" s="42" t="n">
        <f aca="false">1/(1+V_WACC)^((82-1)/12)</f>
        <v>0.542299608922595</v>
      </c>
      <c r="CJ315" s="42" t="n">
        <f aca="false">1/(1+V_WACC)^((83-1)/12)</f>
        <v>0.53821809512488</v>
      </c>
      <c r="CK315" s="42" t="n">
        <f aca="false">1/(1+V_WACC)^((84-1)/12)</f>
        <v>0.534167300056455</v>
      </c>
      <c r="CL315" s="42" t="n">
        <f aca="false">1/(1+V_WACC)^((85-1)/12)</f>
        <v>0.530146992518708</v>
      </c>
      <c r="CM315" s="42" t="n">
        <f aca="false">1/(1+V_WACC)^((86-1)/12)</f>
        <v>0.526156943053098</v>
      </c>
      <c r="CN315" s="42" t="n">
        <f aca="false">1/(1+V_WACC)^((87-1)/12)</f>
        <v>0.522196923928058</v>
      </c>
      <c r="CO315" s="42" t="n">
        <f aca="false">1/(1+V_WACC)^((88-1)/12)</f>
        <v>0.518266709126002</v>
      </c>
      <c r="CP315" s="42" t="n">
        <f aca="false">1/(1+V_WACC)^((89-1)/12)</f>
        <v>0.514366074330419</v>
      </c>
      <c r="CQ315" s="42" t="n">
        <f aca="false">1/(1+V_WACC)^((90-1)/12)</f>
        <v>0.510494796913075</v>
      </c>
      <c r="CR315" s="42" t="n">
        <f aca="false">1/(1+V_WACC)^((91-1)/12)</f>
        <v>0.506652655921305</v>
      </c>
      <c r="CS315" s="42" t="n">
        <f aca="false">1/(1+V_WACC)^((92-1)/12)</f>
        <v>0.502839432065399</v>
      </c>
      <c r="CT315" s="42" t="n">
        <f aca="false">1/(1+V_WACC)^((93-1)/12)</f>
        <v>0.499054907706092</v>
      </c>
      <c r="CU315" s="42" t="n">
        <f aca="false">1/(1+V_WACC)^((94-1)/12)</f>
        <v>0.495298866842137</v>
      </c>
      <c r="CV315" s="42" t="n">
        <f aca="false">1/(1+V_WACC)^((95-1)/12)</f>
        <v>0.49157109509798</v>
      </c>
      <c r="CW315" s="42" t="n">
        <f aca="false">1/(1+V_WACC)^((96-1)/12)</f>
        <v>0.487871379711524</v>
      </c>
      <c r="CX315" s="42" t="n">
        <f aca="false">1/(1+V_WACC)^((97-1)/12)</f>
        <v>0.484199509521982</v>
      </c>
      <c r="CY315" s="42" t="n">
        <f aca="false">1/(1+V_WACC)^((98-1)/12)</f>
        <v>0.480555274957831</v>
      </c>
      <c r="CZ315" s="42" t="n">
        <f aca="false">1/(1+V_WACC)^((99-1)/12)</f>
        <v>0.476938468024848</v>
      </c>
      <c r="DA315" s="42" t="n">
        <f aca="false">1/(1+V_WACC)^((100-1)/12)</f>
        <v>0.473348882294237</v>
      </c>
      <c r="DB315" s="42" t="n">
        <f aca="false">1/(1+V_WACC)^((101-1)/12)</f>
        <v>0.469786312890849</v>
      </c>
      <c r="DC315" s="42" t="n">
        <f aca="false">1/(1+V_WACC)^((102-1)/12)</f>
        <v>0.466250556481488</v>
      </c>
      <c r="DD315" s="42" t="n">
        <f aca="false">1/(1+V_WACC)^((103-1)/12)</f>
        <v>0.462741411263308</v>
      </c>
      <c r="DE315" s="42" t="n">
        <f aca="false">1/(1+V_WACC)^((104-1)/12)</f>
        <v>0.459258676952292</v>
      </c>
      <c r="DF315" s="42" t="n">
        <f aca="false">1/(1+V_WACC)^((105-1)/12)</f>
        <v>0.455802154771821</v>
      </c>
      <c r="DG315" s="42" t="n">
        <f aca="false">1/(1+V_WACC)^((106-1)/12)</f>
        <v>0.452371647441334</v>
      </c>
      <c r="DH315" s="42" t="n">
        <f aca="false">1/(1+V_WACC)^((107-1)/12)</f>
        <v>0.448966959165059</v>
      </c>
      <c r="DI315" s="42" t="n">
        <f aca="false">1/(1+V_WACC)^((108-1)/12)</f>
        <v>0.445587895620848</v>
      </c>
      <c r="DJ315" s="42" t="n">
        <f aca="false">1/(1+V_WACC)^((109-1)/12)</f>
        <v>0.442234263949077</v>
      </c>
      <c r="DK315" s="42" t="n">
        <f aca="false">1/(1+V_WACC)^((110-1)/12)</f>
        <v>0.438905872741647</v>
      </c>
      <c r="DL315" s="42" t="n">
        <f aca="false">1/(1+V_WACC)^((111-1)/12)</f>
        <v>0.435602532031053</v>
      </c>
      <c r="DM315" s="42" t="n">
        <f aca="false">1/(1+V_WACC)^((112-1)/12)</f>
        <v>0.432324053279544</v>
      </c>
      <c r="DN315" s="42" t="n">
        <f aca="false">1/(1+V_WACC)^((113-1)/12)</f>
        <v>0.429070249368362</v>
      </c>
      <c r="DO315" s="42" t="n">
        <f aca="false">1/(1+V_WACC)^((114-1)/12)</f>
        <v>0.425840934587064</v>
      </c>
      <c r="DP315" s="42" t="n">
        <f aca="false">1/(1+V_WACC)^((115-1)/12)</f>
        <v>0.422635924622918</v>
      </c>
      <c r="DQ315" s="42" t="n">
        <f aca="false">1/(1+V_WACC)^((116-1)/12)</f>
        <v>0.41945503655039</v>
      </c>
      <c r="DR315" s="42" t="n">
        <f aca="false">1/(1+V_WACC)^((117-1)/12)</f>
        <v>0.416298088820697</v>
      </c>
      <c r="DS315" s="42" t="n">
        <f aca="false">1/(1+V_WACC)^((118-1)/12)</f>
        <v>0.413164901251449</v>
      </c>
      <c r="DT315" s="42" t="n">
        <f aca="false">1/(1+V_WACC)^((119-1)/12)</f>
        <v>0.410055295016365</v>
      </c>
      <c r="DU315" s="42" t="n">
        <f aca="false">1/(1+V_WACC)^((120-1)/12)</f>
        <v>0.406969092635064</v>
      </c>
      <c r="DV315" s="42" t="n">
        <f aca="false">1/(1+V_WACC)^((121-1)/12)</f>
        <v>0.403906117962938</v>
      </c>
      <c r="DW315" s="42" t="n">
        <f aca="false">1/(1+V_WACC)^((122-1)/12)</f>
        <v>0.400866196181097</v>
      </c>
      <c r="DX315" s="42" t="n">
        <f aca="false">1/(1+V_WACC)^((123-1)/12)</f>
        <v>0.397849153786393</v>
      </c>
      <c r="DY315" s="42" t="n">
        <f aca="false">1/(1+V_WACC)^((124-1)/12)</f>
        <v>0.394854818581515</v>
      </c>
      <c r="DZ315" s="42" t="n">
        <f aca="false">1/(1+V_WACC)^((125-1)/12)</f>
        <v>0.391883019665162</v>
      </c>
      <c r="EA315" s="42" t="n">
        <f aca="false">1/(1+V_WACC)^((126-1)/12)</f>
        <v>0.388933587422289</v>
      </c>
      <c r="EB315" s="42" t="n">
        <f aca="false">1/(1+V_WACC)^((127-1)/12)</f>
        <v>0.386006353514426</v>
      </c>
      <c r="EC315" s="42" t="n">
        <f aca="false">1/(1+V_WACC)^((128-1)/12)</f>
        <v>0.383101150870071</v>
      </c>
      <c r="ED315" s="42" t="n">
        <f aca="false">1/(1+V_WACC)^((129-1)/12)</f>
        <v>0.380217813675151</v>
      </c>
      <c r="EE315" s="42" t="n">
        <f aca="false">1/(1+V_WACC)^((130-1)/12)</f>
        <v>0.377356177363564</v>
      </c>
      <c r="EF315" s="42" t="n">
        <f aca="false">1/(1+V_WACC)^((131-1)/12)</f>
        <v>0.374516078607781</v>
      </c>
      <c r="EG315" s="42" t="n">
        <f aca="false">1/(1+V_WACC)^((132-1)/12)</f>
        <v>0.371697355309528</v>
      </c>
      <c r="EH315" s="42" t="n">
        <f aca="false">1/(1+V_WACC)^((133-1)/12)</f>
        <v>0.36889984659053</v>
      </c>
      <c r="EI315" s="42" t="n">
        <f aca="false">1/(1+V_WACC)^((134-1)/12)</f>
        <v>0.366123392783333</v>
      </c>
      <c r="EJ315" s="42" t="n">
        <f aca="false">1/(1+V_WACC)^((135-1)/12)</f>
        <v>0.36336783542219</v>
      </c>
      <c r="EK315" s="42" t="n">
        <f aca="false">1/(1+V_WACC)^((136-1)/12)</f>
        <v>0.360633017234016</v>
      </c>
      <c r="EL315" s="42" t="n">
        <f aca="false">1/(1+V_WACC)^((137-1)/12)</f>
        <v>0.357918782129409</v>
      </c>
      <c r="EM315" s="42" t="n">
        <f aca="false">1/(1+V_WACC)^((138-1)/12)</f>
        <v>0.355224975193746</v>
      </c>
      <c r="EN315" s="42" t="n">
        <f aca="false">1/(1+V_WACC)^((139-1)/12)</f>
        <v>0.352551442678341</v>
      </c>
      <c r="EO315" s="42" t="n">
        <f aca="false">1/(1+V_WACC)^((140-1)/12)</f>
        <v>0.349898031991663</v>
      </c>
      <c r="EP315" s="42" t="n">
        <f aca="false">1/(1+V_WACC)^((141-1)/12)</f>
        <v>0.347264591690637</v>
      </c>
      <c r="EQ315" s="42" t="n">
        <f aca="false">1/(1+V_WACC)^((142-1)/12)</f>
        <v>0.344650971471992</v>
      </c>
      <c r="ER315" s="42" t="n">
        <f aca="false">1/(1+V_WACC)^((143-1)/12)</f>
        <v>0.342057022163687</v>
      </c>
      <c r="ES315" s="42" t="n">
        <f aca="false">1/(1+V_WACC)^((144-1)/12)</f>
        <v>0.339482595716395</v>
      </c>
    </row>
    <row r="316" customFormat="false" ht="15" hidden="false" customHeight="false" outlineLevel="0" collapsed="false">
      <c r="A316" s="11" t="s">
        <v>1432</v>
      </c>
      <c r="B316" s="15" t="s">
        <v>1282</v>
      </c>
      <c r="C316" s="15"/>
      <c r="F316" s="42" t="n">
        <f aca="false">1/(1+V_Ke)^((1-1)/12)</f>
        <v>1</v>
      </c>
      <c r="G316" s="42" t="n">
        <f aca="false">1/(1+V_Ke)^((2-1)/12)</f>
        <v>0.987481119072306</v>
      </c>
      <c r="H316" s="42" t="n">
        <f aca="false">1/(1+V_Ke)^((3-1)/12)</f>
        <v>0.975118960524295</v>
      </c>
      <c r="I316" s="42" t="n">
        <f aca="false">1/(1+V_Ke)^((4-1)/12)</f>
        <v>0.962911562367155</v>
      </c>
      <c r="J316" s="42" t="n">
        <f aca="false">1/(1+V_Ke)^((5-1)/12)</f>
        <v>0.950856987173981</v>
      </c>
      <c r="K316" s="42" t="n">
        <f aca="false">1/(1+V_Ke)^((6-1)/12)</f>
        <v>0.938953321772285</v>
      </c>
      <c r="L316" s="42" t="n">
        <f aca="false">1/(1+V_Ke)^((7-1)/12)</f>
        <v>0.927198676940355</v>
      </c>
      <c r="M316" s="42" t="n">
        <f aca="false">1/(1+V_Ke)^((8-1)/12)</f>
        <v>0.915591187107424</v>
      </c>
      <c r="N316" s="42" t="n">
        <f aca="false">1/(1+V_Ke)^((9-1)/12)</f>
        <v>0.90412901005758</v>
      </c>
      <c r="O316" s="42" t="n">
        <f aca="false">1/(1+V_Ke)^((10-1)/12)</f>
        <v>0.892810326637396</v>
      </c>
      <c r="P316" s="42" t="n">
        <f aca="false">1/(1+V_Ke)^((11-1)/12)</f>
        <v>0.881633340467207</v>
      </c>
      <c r="Q316" s="42" t="n">
        <f aca="false">1/(1+V_Ke)^((12-1)/12)</f>
        <v>0.870596277656014</v>
      </c>
      <c r="R316" s="42" t="n">
        <f aca="false">1/(1+V_Ke)^((13-1)/12)</f>
        <v>0.859697386519945</v>
      </c>
      <c r="S316" s="42" t="n">
        <f aca="false">1/(1+V_Ke)^((14-1)/12)</f>
        <v>0.848934937304252</v>
      </c>
      <c r="T316" s="42" t="n">
        <f aca="false">1/(1+V_Ke)^((15-1)/12)</f>
        <v>0.838307221908782</v>
      </c>
      <c r="U316" s="42" t="n">
        <f aca="false">1/(1+V_Ke)^((16-1)/12)</f>
        <v>0.82781255361688</v>
      </c>
      <c r="V316" s="42" t="n">
        <f aca="false">1/(1+V_Ke)^((17-1)/12)</f>
        <v>0.8174492668277</v>
      </c>
      <c r="W316" s="42" t="n">
        <f aca="false">1/(1+V_Ke)^((18-1)/12)</f>
        <v>0.807215716791854</v>
      </c>
      <c r="X316" s="42" t="n">
        <f aca="false">1/(1+V_Ke)^((19-1)/12)</f>
        <v>0.797110279350374</v>
      </c>
      <c r="Y316" s="42" t="n">
        <f aca="false">1/(1+V_Ke)^((20-1)/12)</f>
        <v>0.787131350676946</v>
      </c>
      <c r="Z316" s="42" t="n">
        <f aca="false">1/(1+V_Ke)^((21-1)/12)</f>
        <v>0.777277347023367</v>
      </c>
      <c r="AA316" s="42" t="n">
        <f aca="false">1/(1+V_Ke)^((22-1)/12)</f>
        <v>0.767546704468188</v>
      </c>
      <c r="AB316" s="42" t="n">
        <f aca="false">1/(1+V_Ke)^((23-1)/12)</f>
        <v>0.757937878668507</v>
      </c>
      <c r="AC316" s="42" t="n">
        <f aca="false">1/(1+V_Ke)^((24-1)/12)</f>
        <v>0.748449344614867</v>
      </c>
      <c r="AD316" s="42" t="n">
        <f aca="false">1/(1+V_Ke)^((25-1)/12)</f>
        <v>0.739079596389224</v>
      </c>
      <c r="AE316" s="42" t="n">
        <f aca="false">1/(1+V_Ke)^((26-1)/12)</f>
        <v>0.729827146925939</v>
      </c>
      <c r="AF316" s="42" t="n">
        <f aca="false">1/(1+V_Ke)^((27-1)/12)</f>
        <v>0.720690527775775</v>
      </c>
      <c r="AG316" s="42" t="n">
        <f aca="false">1/(1+V_Ke)^((28-1)/12)</f>
        <v>0.711668288872834</v>
      </c>
      <c r="AH316" s="42" t="n">
        <f aca="false">1/(1+V_Ke)^((29-1)/12)</f>
        <v>0.702758998304419</v>
      </c>
      <c r="AI316" s="42" t="n">
        <f aca="false">1/(1+V_Ke)^((30-1)/12)</f>
        <v>0.693961242083781</v>
      </c>
      <c r="AJ316" s="42" t="n">
        <f aca="false">1/(1+V_Ke)^((31-1)/12)</f>
        <v>0.6852736239257</v>
      </c>
      <c r="AK316" s="42" t="n">
        <f aca="false">1/(1+V_Ke)^((32-1)/12)</f>
        <v>0.676694765024885</v>
      </c>
      <c r="AL316" s="42" t="n">
        <f aca="false">1/(1+V_Ke)^((33-1)/12)</f>
        <v>0.668223303837145</v>
      </c>
      <c r="AM316" s="42" t="n">
        <f aca="false">1/(1+V_Ke)^((34-1)/12)</f>
        <v>0.659857895863298</v>
      </c>
      <c r="AN316" s="42" t="n">
        <f aca="false">1/(1+V_Ke)^((35-1)/12)</f>
        <v>0.651597213435787</v>
      </c>
      <c r="AO316" s="42" t="n">
        <f aca="false">1/(1+V_Ke)^((36-1)/12)</f>
        <v>0.643439945507967</v>
      </c>
      <c r="AP316" s="42" t="n">
        <f aca="false">1/(1+V_Ke)^((37-1)/12)</f>
        <v>0.635384797446031</v>
      </c>
      <c r="AQ316" s="42" t="n">
        <f aca="false">1/(1+V_Ke)^((38-1)/12)</f>
        <v>0.627430490823538</v>
      </c>
      <c r="AR316" s="42" t="n">
        <f aca="false">1/(1+V_Ke)^((39-1)/12)</f>
        <v>0.619575763218514</v>
      </c>
      <c r="AS316" s="42" t="n">
        <f aca="false">1/(1+V_Ke)^((40-1)/12)</f>
        <v>0.611819368013096</v>
      </c>
      <c r="AT316" s="42" t="n">
        <f aca="false">1/(1+V_Ke)^((41-1)/12)</f>
        <v>0.604160074195684</v>
      </c>
      <c r="AU316" s="42" t="n">
        <f aca="false">1/(1+V_Ke)^((42-1)/12)</f>
        <v>0.596596666165561</v>
      </c>
      <c r="AV316" s="42" t="n">
        <f aca="false">1/(1+V_Ke)^((43-1)/12)</f>
        <v>0.589127943539976</v>
      </c>
      <c r="AW316" s="42" t="n">
        <f aca="false">1/(1+V_Ke)^((44-1)/12)</f>
        <v>0.581752720963622</v>
      </c>
      <c r="AX316" s="42" t="n">
        <f aca="false">1/(1+V_Ke)^((45-1)/12)</f>
        <v>0.574469827920517</v>
      </c>
      <c r="AY316" s="42" t="n">
        <f aca="false">1/(1+V_Ke)^((46-1)/12)</f>
        <v>0.567278108548227</v>
      </c>
      <c r="AZ316" s="42" t="n">
        <f aca="false">1/(1+V_Ke)^((47-1)/12)</f>
        <v>0.560176421454425</v>
      </c>
      <c r="BA316" s="42" t="n">
        <f aca="false">1/(1+V_Ke)^((48-1)/12)</f>
        <v>0.553163639535735</v>
      </c>
      <c r="BB316" s="42" t="n">
        <f aca="false">1/(1+V_Ke)^((49-1)/12)</f>
        <v>0.546238649798858</v>
      </c>
      <c r="BC316" s="42" t="n">
        <f aca="false">1/(1+V_Ke)^((50-1)/12)</f>
        <v>0.539400353183922</v>
      </c>
      <c r="BD316" s="42" t="n">
        <f aca="false">1/(1+V_Ke)^((51-1)/12)</f>
        <v>0.532647664390056</v>
      </c>
      <c r="BE316" s="42" t="n">
        <f aca="false">1/(1+V_Ke)^((52-1)/12)</f>
        <v>0.525979511703143</v>
      </c>
      <c r="BF316" s="42" t="n">
        <f aca="false">1/(1+V_Ke)^((53-1)/12)</f>
        <v>0.519394836825725</v>
      </c>
      <c r="BG316" s="42" t="n">
        <f aca="false">1/(1+V_Ke)^((54-1)/12)</f>
        <v>0.512892594709045</v>
      </c>
      <c r="BH316" s="42" t="n">
        <f aca="false">1/(1+V_Ke)^((55-1)/12)</f>
        <v>0.506471753387187</v>
      </c>
      <c r="BI316" s="42" t="n">
        <f aca="false">1/(1+V_Ke)^((56-1)/12)</f>
        <v>0.500131293813293</v>
      </c>
      <c r="BJ316" s="42" t="n">
        <f aca="false">1/(1+V_Ke)^((57-1)/12)</f>
        <v>0.493870209697831</v>
      </c>
      <c r="BK316" s="42" t="n">
        <f aca="false">1/(1+V_Ke)^((58-1)/12)</f>
        <v>0.487687507348888</v>
      </c>
      <c r="BL316" s="42" t="n">
        <f aca="false">1/(1+V_Ke)^((59-1)/12)</f>
        <v>0.481582205514464</v>
      </c>
      <c r="BM316" s="42" t="n">
        <f aca="false">1/(1+V_Ke)^((60-1)/12)</f>
        <v>0.475553335226732</v>
      </c>
      <c r="BN316" s="42" t="n">
        <f aca="false">1/(1+V_Ke)^((61-1)/12)</f>
        <v>0.469599939648261</v>
      </c>
      <c r="BO316" s="42" t="n">
        <f aca="false">1/(1+V_Ke)^((62-1)/12)</f>
        <v>0.463721073920153</v>
      </c>
      <c r="BP316" s="42" t="n">
        <f aca="false">1/(1+V_Ke)^((63-1)/12)</f>
        <v>0.457915805012084</v>
      </c>
      <c r="BQ316" s="42" t="n">
        <f aca="false">1/(1+V_Ke)^((64-1)/12)</f>
        <v>0.452183211574229</v>
      </c>
      <c r="BR316" s="42" t="n">
        <f aca="false">1/(1+V_Ke)^((65-1)/12)</f>
        <v>0.446522383791029</v>
      </c>
      <c r="BS316" s="42" t="n">
        <f aca="false">1/(1+V_Ke)^((66-1)/12)</f>
        <v>0.4409324232368</v>
      </c>
      <c r="BT316" s="42" t="n">
        <f aca="false">1/(1+V_Ke)^((67-1)/12)</f>
        <v>0.435412442733139</v>
      </c>
      <c r="BU316" s="42" t="n">
        <f aca="false">1/(1+V_Ke)^((68-1)/12)</f>
        <v>0.429961566208126</v>
      </c>
      <c r="BV316" s="42" t="n">
        <f aca="false">1/(1+V_Ke)^((69-1)/12)</f>
        <v>0.424578928557282</v>
      </c>
      <c r="BW316" s="42" t="n">
        <f aca="false">1/(1+V_Ke)^((70-1)/12)</f>
        <v>0.419263675506266</v>
      </c>
      <c r="BX316" s="42" t="n">
        <f aca="false">1/(1+V_Ke)^((71-1)/12)</f>
        <v>0.414014963475296</v>
      </c>
      <c r="BY316" s="42" t="n">
        <f aca="false">1/(1+V_Ke)^((72-1)/12)</f>
        <v>0.408831959445265</v>
      </c>
      <c r="BZ316" s="42" t="n">
        <f aca="false">1/(1+V_Ke)^((73-1)/12)</f>
        <v>0.403713840825534</v>
      </c>
      <c r="CA316" s="42" t="n">
        <f aca="false">1/(1+V_Ke)^((74-1)/12)</f>
        <v>0.398659795323378</v>
      </c>
      <c r="CB316" s="42" t="n">
        <f aca="false">1/(1+V_Ke)^((75-1)/12)</f>
        <v>0.393669020815066</v>
      </c>
      <c r="CC316" s="42" t="n">
        <f aca="false">1/(1+V_Ke)^((76-1)/12)</f>
        <v>0.38874072521856</v>
      </c>
      <c r="CD316" s="42" t="n">
        <f aca="false">1/(1+V_Ke)^((77-1)/12)</f>
        <v>0.383874126367804</v>
      </c>
      <c r="CE316" s="42" t="n">
        <f aca="false">1/(1+V_Ke)^((78-1)/12)</f>
        <v>0.379068451888583</v>
      </c>
      <c r="CF316" s="42" t="n">
        <f aca="false">1/(1+V_Ke)^((79-1)/12)</f>
        <v>0.374322939075945</v>
      </c>
      <c r="CG316" s="42" t="n">
        <f aca="false">1/(1+V_Ke)^((80-1)/12)</f>
        <v>0.369636834773149</v>
      </c>
      <c r="CH316" s="42" t="n">
        <f aca="false">1/(1+V_Ke)^((81-1)/12)</f>
        <v>0.365009395252134</v>
      </c>
      <c r="CI316" s="42" t="n">
        <f aca="false">1/(1+V_Ke)^((82-1)/12)</f>
        <v>0.360439886095483</v>
      </c>
      <c r="CJ316" s="42" t="n">
        <f aca="false">1/(1+V_Ke)^((83-1)/12)</f>
        <v>0.355927582079862</v>
      </c>
      <c r="CK316" s="42" t="n">
        <f aca="false">1/(1+V_Ke)^((84-1)/12)</f>
        <v>0.351471767060923</v>
      </c>
      <c r="CL316" s="42" t="n">
        <f aca="false">1/(1+V_Ke)^((85-1)/12)</f>
        <v>0.347071733859641</v>
      </c>
      <c r="CM316" s="42" t="n">
        <f aca="false">1/(1+V_Ke)^((86-1)/12)</f>
        <v>0.342726784150084</v>
      </c>
      <c r="CN316" s="42" t="n">
        <f aca="false">1/(1+V_Ke)^((87-1)/12)</f>
        <v>0.338436228348578</v>
      </c>
      <c r="CO316" s="42" t="n">
        <f aca="false">1/(1+V_Ke)^((88-1)/12)</f>
        <v>0.334199385504264</v>
      </c>
      <c r="CP316" s="42" t="n">
        <f aca="false">1/(1+V_Ke)^((89-1)/12)</f>
        <v>0.330015583191028</v>
      </c>
      <c r="CQ316" s="42" t="n">
        <f aca="false">1/(1+V_Ke)^((90-1)/12)</f>
        <v>0.325884157400776</v>
      </c>
      <c r="CR316" s="42" t="n">
        <f aca="false">1/(1+V_Ke)^((91-1)/12)</f>
        <v>0.321804452438054</v>
      </c>
      <c r="CS316" s="42" t="n">
        <f aca="false">1/(1+V_Ke)^((92-1)/12)</f>
        <v>0.31777582081598</v>
      </c>
      <c r="CT316" s="42" t="n">
        <f aca="false">1/(1+V_Ke)^((93-1)/12)</f>
        <v>0.313797623153485</v>
      </c>
      <c r="CU316" s="42" t="n">
        <f aca="false">1/(1+V_Ke)^((94-1)/12)</f>
        <v>0.309869228073833</v>
      </c>
      <c r="CV316" s="42" t="n">
        <f aca="false">1/(1+V_Ke)^((95-1)/12)</f>
        <v>0.305990012104421</v>
      </c>
      <c r="CW316" s="42" t="n">
        <f aca="false">1/(1+V_Ke)^((96-1)/12)</f>
        <v>0.302159359577822</v>
      </c>
      <c r="CX316" s="42" t="n">
        <f aca="false">1/(1+V_Ke)^((97-1)/12)</f>
        <v>0.298376662534079</v>
      </c>
      <c r="CY316" s="42" t="n">
        <f aca="false">1/(1+V_Ke)^((98-1)/12)</f>
        <v>0.294641320624212</v>
      </c>
      <c r="CZ316" s="42" t="n">
        <f aca="false">1/(1+V_Ke)^((99-1)/12)</f>
        <v>0.29095274101494</v>
      </c>
      <c r="DA316" s="42" t="n">
        <f aca="false">1/(1+V_Ke)^((100-1)/12)</f>
        <v>0.287310338294587</v>
      </c>
      <c r="DB316" s="42" t="n">
        <f aca="false">1/(1+V_Ke)^((101-1)/12)</f>
        <v>0.283713534380182</v>
      </c>
      <c r="DC316" s="42" t="n">
        <f aca="false">1/(1+V_Ke)^((102-1)/12)</f>
        <v>0.280161758425702</v>
      </c>
      <c r="DD316" s="42" t="n">
        <f aca="false">1/(1+V_Ke)^((103-1)/12)</f>
        <v>0.276654446731477</v>
      </c>
      <c r="DE316" s="42" t="n">
        <f aca="false">1/(1+V_Ke)^((104-1)/12)</f>
        <v>0.273191042654729</v>
      </c>
      <c r="DF316" s="42" t="n">
        <f aca="false">1/(1+V_Ke)^((105-1)/12)</f>
        <v>0.269770996521222</v>
      </c>
      <c r="DG316" s="42" t="n">
        <f aca="false">1/(1+V_Ke)^((106-1)/12)</f>
        <v>0.266393765538027</v>
      </c>
      <c r="DH316" s="42" t="n">
        <f aca="false">1/(1+V_Ke)^((107-1)/12)</f>
        <v>0.263058813707377</v>
      </c>
      <c r="DI316" s="42" t="n">
        <f aca="false">1/(1+V_Ke)^((108-1)/12)</f>
        <v>0.259765611741594</v>
      </c>
      <c r="DJ316" s="42" t="n">
        <f aca="false">1/(1+V_Ke)^((109-1)/12)</f>
        <v>0.256513636979091</v>
      </c>
      <c r="DK316" s="42" t="n">
        <f aca="false">1/(1+V_Ke)^((110-1)/12)</f>
        <v>0.253302373301421</v>
      </c>
      <c r="DL316" s="42" t="n">
        <f aca="false">1/(1+V_Ke)^((111-1)/12)</f>
        <v>0.250131311051358</v>
      </c>
      <c r="DM316" s="42" t="n">
        <f aca="false">1/(1+V_Ke)^((112-1)/12)</f>
        <v>0.246999946952018</v>
      </c>
      <c r="DN316" s="42" t="n">
        <f aca="false">1/(1+V_Ke)^((113-1)/12)</f>
        <v>0.243907784026979</v>
      </c>
      <c r="DO316" s="42" t="n">
        <f aca="false">1/(1+V_Ke)^((114-1)/12)</f>
        <v>0.240854331521408</v>
      </c>
      <c r="DP316" s="42" t="n">
        <f aca="false">1/(1+V_Ke)^((115-1)/12)</f>
        <v>0.237839104824172</v>
      </c>
      <c r="DQ316" s="42" t="n">
        <f aca="false">1/(1+V_Ke)^((116-1)/12)</f>
        <v>0.234861625390929</v>
      </c>
      <c r="DR316" s="42" t="n">
        <f aca="false">1/(1+V_Ke)^((117-1)/12)</f>
        <v>0.231921420668176</v>
      </c>
      <c r="DS316" s="42" t="n">
        <f aca="false">1/(1+V_Ke)^((118-1)/12)</f>
        <v>0.229018024018249</v>
      </c>
      <c r="DT316" s="42" t="n">
        <f aca="false">1/(1+V_Ke)^((119-1)/12)</f>
        <v>0.226150974645269</v>
      </c>
      <c r="DU316" s="42" t="n">
        <f aca="false">1/(1+V_Ke)^((120-1)/12)</f>
        <v>0.223319817522003</v>
      </c>
      <c r="DV316" s="42" t="n">
        <f aca="false">1/(1+V_Ke)^((121-1)/12)</f>
        <v>0.220524103317651</v>
      </c>
      <c r="DW316" s="42" t="n">
        <f aca="false">1/(1+V_Ke)^((122-1)/12)</f>
        <v>0.217763388326531</v>
      </c>
      <c r="DX316" s="42" t="n">
        <f aca="false">1/(1+V_Ke)^((123-1)/12)</f>
        <v>0.21503723439766</v>
      </c>
      <c r="DY316" s="42" t="n">
        <f aca="false">1/(1+V_Ke)^((124-1)/12)</f>
        <v>0.212345208865215</v>
      </c>
      <c r="DZ316" s="42" t="n">
        <f aca="false">1/(1+V_Ke)^((125-1)/12)</f>
        <v>0.209686884479865</v>
      </c>
      <c r="EA316" s="42" t="n">
        <f aca="false">1/(1+V_Ke)^((126-1)/12)</f>
        <v>0.207061839340963</v>
      </c>
      <c r="EB316" s="42" t="n">
        <f aca="false">1/(1+V_Ke)^((127-1)/12)</f>
        <v>0.204469656829584</v>
      </c>
      <c r="EC316" s="42" t="n">
        <f aca="false">1/(1+V_Ke)^((128-1)/12)</f>
        <v>0.201909925542408</v>
      </c>
      <c r="ED316" s="42" t="n">
        <f aca="false">1/(1+V_Ke)^((129-1)/12)</f>
        <v>0.199382239226423</v>
      </c>
      <c r="EE316" s="42" t="n">
        <f aca="false">1/(1+V_Ke)^((130-1)/12)</f>
        <v>0.196886196714451</v>
      </c>
      <c r="EF316" s="42" t="n">
        <f aca="false">1/(1+V_Ke)^((131-1)/12)</f>
        <v>0.194421401861476</v>
      </c>
      <c r="EG316" s="42" t="n">
        <f aca="false">1/(1+V_Ke)^((132-1)/12)</f>
        <v>0.191987463481777</v>
      </c>
      <c r="EH316" s="42" t="n">
        <f aca="false">1/(1+V_Ke)^((133-1)/12)</f>
        <v>0.189583995286839</v>
      </c>
      <c r="EI316" s="42" t="n">
        <f aca="false">1/(1+V_Ke)^((134-1)/12)</f>
        <v>0.187210615824046</v>
      </c>
      <c r="EJ316" s="42" t="n">
        <f aca="false">1/(1+V_Ke)^((135-1)/12)</f>
        <v>0.184866948416145</v>
      </c>
      <c r="EK316" s="42" t="n">
        <f aca="false">1/(1+V_Ke)^((136-1)/12)</f>
        <v>0.182552621101457</v>
      </c>
      <c r="EL316" s="42" t="n">
        <f aca="false">1/(1+V_Ke)^((137-1)/12)</f>
        <v>0.18026726657485</v>
      </c>
      <c r="EM316" s="42" t="n">
        <f aca="false">1/(1+V_Ke)^((138-1)/12)</f>
        <v>0.178010522129438</v>
      </c>
      <c r="EN316" s="42" t="n">
        <f aca="false">1/(1+V_Ke)^((139-1)/12)</f>
        <v>0.175782029599023</v>
      </c>
      <c r="EO316" s="42" t="n">
        <f aca="false">1/(1+V_Ke)^((140-1)/12)</f>
        <v>0.173581435301245</v>
      </c>
      <c r="EP316" s="42" t="n">
        <f aca="false">1/(1+V_Ke)^((141-1)/12)</f>
        <v>0.171408389981451</v>
      </c>
      <c r="EQ316" s="42" t="n">
        <f aca="false">1/(1+V_Ke)^((142-1)/12)</f>
        <v>0.169262548757265</v>
      </c>
      <c r="ER316" s="42" t="n">
        <f aca="false">1/(1+V_Ke)^((143-1)/12)</f>
        <v>0.167143571063855</v>
      </c>
      <c r="ES316" s="42" t="n">
        <f aca="false">1/(1+V_Ke)^((144-1)/12)</f>
        <v>0.165051120599877</v>
      </c>
    </row>
    <row r="317" customFormat="false" ht="15" hidden="false" customHeight="false" outlineLevel="0" collapsed="false">
      <c r="A317" s="11" t="s">
        <v>1433</v>
      </c>
      <c r="B317" s="15" t="s">
        <v>1284</v>
      </c>
      <c r="C317" s="15" t="s">
        <v>508</v>
      </c>
      <c r="E317" s="54" t="n">
        <f aca="false">SUM(F317:ES317)</f>
        <v>14751245.7980366</v>
      </c>
      <c r="F317" s="48" t="n">
        <f aca="false">-F$294-(F$313-0)+F$309+IF(1=Fin,F$310+F$313+F$275-F$304,0)</f>
        <v>-767782</v>
      </c>
      <c r="G317" s="48" t="n">
        <f aca="false">-G$294-(G$313-F$313)+G$309+IF(2=Fin,G$310+G$313+G$275-G$304,0)</f>
        <v>0</v>
      </c>
      <c r="H317" s="48" t="n">
        <f aca="false">-H$294-(H$313-G$313)+H$309+IF(3=Fin,H$310+H$313+H$275-H$304,0)</f>
        <v>0</v>
      </c>
      <c r="I317" s="48" t="n">
        <f aca="false">-I$294-(I$313-H$313)+I$309+IF(4=Fin,I$310+I$313+I$275-I$304,0)</f>
        <v>0</v>
      </c>
      <c r="J317" s="48" t="n">
        <f aca="false">-J$294-(J$313-I$313)+J$309+IF(5=Fin,J$310+J$313+J$275-J$304,0)</f>
        <v>0</v>
      </c>
      <c r="K317" s="48" t="n">
        <f aca="false">-K$294-(K$313-J$313)+K$309+IF(6=Fin,K$310+K$313+K$275-K$304,0)</f>
        <v>0</v>
      </c>
      <c r="L317" s="48" t="n">
        <f aca="false">-L$294-(L$313-K$313)+L$309+IF(7=Fin,L$310+L$313+L$275-L$304,0)</f>
        <v>0</v>
      </c>
      <c r="M317" s="48" t="n">
        <f aca="false">-M$294-(M$313-L$313)+M$309+IF(8=Fin,M$310+M$313+M$275-M$304,0)</f>
        <v>0</v>
      </c>
      <c r="N317" s="48" t="n">
        <f aca="false">-N$294-(N$313-M$313)+N$309+IF(9=Fin,N$310+N$313+N$275-N$304,0)</f>
        <v>0</v>
      </c>
      <c r="O317" s="48" t="n">
        <f aca="false">-O$294-(O$313-N$313)+O$309+IF(10=Fin,O$310+O$313+O$275-O$304,0)</f>
        <v>0</v>
      </c>
      <c r="P317" s="48" t="n">
        <f aca="false">-P$294-(P$313-O$313)+P$309+IF(11=Fin,P$310+P$313+P$275-P$304,0)</f>
        <v>0</v>
      </c>
      <c r="Q317" s="48" t="n">
        <f aca="false">-Q$294-(Q$313-P$313)+Q$309+IF(12=Fin,Q$310+Q$313+Q$275-Q$304,0)</f>
        <v>0</v>
      </c>
      <c r="R317" s="48" t="n">
        <f aca="false">-R$294-(R$313-Q$313)+R$309+IF(13=Fin,R$310+R$313+R$275-R$304,0)</f>
        <v>-371928</v>
      </c>
      <c r="S317" s="48" t="n">
        <f aca="false">-S$294-(S$313-R$313)+S$309+IF(14=Fin,S$310+S$313+S$275-S$304,0)</f>
        <v>0</v>
      </c>
      <c r="T317" s="48" t="n">
        <f aca="false">-T$294-(T$313-S$313)+T$309+IF(15=Fin,T$310+T$313+T$275-T$304,0)</f>
        <v>0</v>
      </c>
      <c r="U317" s="48" t="n">
        <f aca="false">-U$294-(U$313-T$313)+U$309+IF(16=Fin,U$310+U$313+U$275-U$304,0)</f>
        <v>0</v>
      </c>
      <c r="V317" s="48" t="n">
        <f aca="false">-V$294-(V$313-U$313)+V$309+IF(17=Fin,V$310+V$313+V$275-V$304,0)</f>
        <v>0</v>
      </c>
      <c r="W317" s="48" t="n">
        <f aca="false">-W$294-(W$313-V$313)+W$309+IF(18=Fin,W$310+W$313+W$275-W$304,0)</f>
        <v>0</v>
      </c>
      <c r="X317" s="48" t="n">
        <f aca="false">-X$294-(X$313-W$313)+X$309+IF(19=Fin,X$310+X$313+X$275-X$304,0)</f>
        <v>0</v>
      </c>
      <c r="Y317" s="48" t="n">
        <f aca="false">-Y$294-(Y$313-X$313)+Y$309+IF(20=Fin,Y$310+Y$313+Y$275-Y$304,0)</f>
        <v>0</v>
      </c>
      <c r="Z317" s="48" t="n">
        <f aca="false">-Z$294-(Z$313-Y$313)+Z$309+IF(21=Fin,Z$310+Z$313+Z$275-Z$304,0)</f>
        <v>0</v>
      </c>
      <c r="AA317" s="48" t="n">
        <f aca="false">-AA$294-(AA$313-Z$313)+AA$309+IF(22=Fin,AA$310+AA$313+AA$275-AA$304,0)</f>
        <v>0</v>
      </c>
      <c r="AB317" s="48" t="n">
        <f aca="false">-AB$294-(AB$313-AA$313)+AB$309+IF(23=Fin,AB$310+AB$313+AB$275-AB$304,0)</f>
        <v>0</v>
      </c>
      <c r="AC317" s="48" t="n">
        <f aca="false">-AC$294-(AC$313-AB$313)+AC$309+IF(24=Fin,AC$310+AC$313+AC$275-AC$304,0)</f>
        <v>0</v>
      </c>
      <c r="AD317" s="48" t="n">
        <f aca="false">-AD$294-(AD$313-AC$313)+AD$309+IF(25=Fin,AD$310+AD$313+AD$275-AD$304,0)</f>
        <v>-311740.118672618</v>
      </c>
      <c r="AE317" s="48" t="n">
        <f aca="false">-AE$294-(AE$313-AD$313)+AE$309+IF(26=Fin,AE$310+AE$313+AE$275-AE$304,0)</f>
        <v>52573.6832870146</v>
      </c>
      <c r="AF317" s="48" t="n">
        <f aca="false">-AF$294-(AF$313-AE$313)+AF$309+IF(27=Fin,AF$310+AF$313+AF$275-AF$304,0)</f>
        <v>52610.0948845849</v>
      </c>
      <c r="AG317" s="48" t="n">
        <f aca="false">-AG$294-(AG$313-AF$313)+AG$309+IF(28=Fin,AG$310+AG$313+AG$275-AG$304,0)</f>
        <v>52646.779569137</v>
      </c>
      <c r="AH317" s="48" t="n">
        <f aca="false">-AH$294-(AH$313-AG$313)+AH$309+IF(29=Fin,AH$310+AH$313+AH$275-AH$304,0)</f>
        <v>52683.7393888233</v>
      </c>
      <c r="AI317" s="48" t="n">
        <f aca="false">-AI$294-(AI$313-AH$313)+AI$309+IF(30=Fin,AI$310+AI$313+AI$275-AI$304,0)</f>
        <v>52720.9764071572</v>
      </c>
      <c r="AJ317" s="48" t="n">
        <f aca="false">-AJ$294-(AJ$313-AI$313)+AJ$309+IF(31=Fin,AJ$310+AJ$313+AJ$275-AJ$304,0)</f>
        <v>48504.845135901</v>
      </c>
      <c r="AK317" s="48" t="n">
        <f aca="false">-AK$294-(AK$313-AJ$313)+AK$309+IF(32=Fin,AK$310+AK$313+AK$275-AK$304,0)</f>
        <v>0</v>
      </c>
      <c r="AL317" s="48" t="n">
        <f aca="false">-AL$294-(AL$313-AK$313)+AL$309+IF(33=Fin,AL$310+AL$313+AL$275-AL$304,0)</f>
        <v>0</v>
      </c>
      <c r="AM317" s="48" t="n">
        <f aca="false">-AM$294-(AM$313-AL$313)+AM$309+IF(34=Fin,AM$310+AM$313+AM$275-AM$304,0)</f>
        <v>0</v>
      </c>
      <c r="AN317" s="48" t="n">
        <f aca="false">-AN$294-(AN$313-AM$313)+AN$309+IF(35=Fin,AN$310+AN$313+AN$275-AN$304,0)</f>
        <v>0</v>
      </c>
      <c r="AO317" s="48" t="n">
        <f aca="false">-AO$294-(AO$313-AN$313)+AO$309+IF(36=Fin,AO$310+AO$313+AO$275-AO$304,0)</f>
        <v>0</v>
      </c>
      <c r="AP317" s="48" t="n">
        <f aca="false">-AP$294-(AP$313-AO$313)+AP$309+IF(37=Fin,AP$310+AP$313+AP$275-AP$304,0)</f>
        <v>-204392.169462803</v>
      </c>
      <c r="AQ317" s="48" t="n">
        <f aca="false">-AQ$294-(AQ$313-AP$313)+AQ$309+IF(38=Fin,AQ$310+AQ$313+AQ$275-AQ$304,0)</f>
        <v>85837.6535027239</v>
      </c>
      <c r="AR317" s="48" t="n">
        <f aca="false">-AR$294-(AR$313-AQ$313)+AR$309+IF(39=Fin,AR$310+AR$313+AR$275-AR$304,0)</f>
        <v>85877.4807593016</v>
      </c>
      <c r="AS317" s="48" t="n">
        <f aca="false">-AS$294-(AS$313-AR$313)+AS$309+IF(40=Fin,AS$310+AS$313+AS$275-AS$304,0)</f>
        <v>32677.0352007774</v>
      </c>
      <c r="AT317" s="48" t="n">
        <f aca="false">-AT$294-(AT$313-AS$313)+AT$309+IF(41=Fin,AT$310+AT$313+AT$275-AT$304,0)</f>
        <v>0</v>
      </c>
      <c r="AU317" s="48" t="n">
        <f aca="false">-AU$294-(AU$313-AT$313)+AU$309+IF(42=Fin,AU$310+AU$313+AU$275-AU$304,0)</f>
        <v>0</v>
      </c>
      <c r="AV317" s="48" t="n">
        <f aca="false">-AV$294-(AV$313-AU$313)+AV$309+IF(43=Fin,AV$310+AV$313+AV$275-AV$304,0)</f>
        <v>0</v>
      </c>
      <c r="AW317" s="48" t="n">
        <f aca="false">-AW$294-(AW$313-AV$313)+AW$309+IF(44=Fin,AW$310+AW$313+AW$275-AW$304,0)</f>
        <v>0</v>
      </c>
      <c r="AX317" s="48" t="n">
        <f aca="false">-AX$294-(AX$313-AW$313)+AX$309+IF(45=Fin,AX$310+AX$313+AX$275-AX$304,0)</f>
        <v>0</v>
      </c>
      <c r="AY317" s="48" t="n">
        <f aca="false">-AY$294-(AY$313-AX$313)+AY$309+IF(46=Fin,AY$310+AY$313+AY$275-AY$304,0)</f>
        <v>0</v>
      </c>
      <c r="AZ317" s="48" t="n">
        <f aca="false">-AZ$294-(AZ$313-AY$313)+AZ$309+IF(47=Fin,AZ$310+AZ$313+AZ$275-AZ$304,0)</f>
        <v>0</v>
      </c>
      <c r="BA317" s="48" t="n">
        <f aca="false">-BA$294-(BA$313-AZ$313)+BA$309+IF(48=Fin,BA$310+BA$313+BA$275-BA$304,0)</f>
        <v>0</v>
      </c>
      <c r="BB317" s="48" t="n">
        <f aca="false">-BB$294-(BB$313-BA$313)+BB$309+IF(49=Fin,BB$310+BB$313+BB$275-BB$304,0)</f>
        <v>0</v>
      </c>
      <c r="BC317" s="48" t="n">
        <f aca="false">-BC$294-(BC$313-BB$313)+BC$309+IF(50=Fin,BC$310+BC$313+BC$275-BC$304,0)</f>
        <v>0</v>
      </c>
      <c r="BD317" s="48" t="n">
        <f aca="false">-BD$294-(BD$313-BC$313)+BD$309+IF(51=Fin,BD$310+BD$313+BD$275-BD$304,0)</f>
        <v>0</v>
      </c>
      <c r="BE317" s="48" t="n">
        <f aca="false">-BE$294-(BE$313-BD$313)+BE$309+IF(52=Fin,BE$310+BE$313+BE$275-BE$304,0)</f>
        <v>804953.378380922</v>
      </c>
      <c r="BF317" s="48" t="n">
        <f aca="false">-BF$294-(BF$313-BE$313)+BF$309+IF(53=Fin,BF$310+BF$313+BF$275-BF$304,0)</f>
        <v>0</v>
      </c>
      <c r="BG317" s="48" t="n">
        <f aca="false">-BG$294-(BG$313-BF$313)+BG$309+IF(54=Fin,BG$310+BG$313+BG$275-BG$304,0)</f>
        <v>0</v>
      </c>
      <c r="BH317" s="48" t="n">
        <f aca="false">-BH$294-(BH$313-BG$313)+BH$309+IF(55=Fin,BH$310+BH$313+BH$275-BH$304,0)</f>
        <v>0</v>
      </c>
      <c r="BI317" s="48" t="n">
        <f aca="false">-BI$294-(BI$313-BH$313)+BI$309+IF(56=Fin,BI$310+BI$313+BI$275-BI$304,0)</f>
        <v>0</v>
      </c>
      <c r="BJ317" s="48" t="n">
        <f aca="false">-BJ$294-(BJ$313-BI$313)+BJ$309+IF(57=Fin,BJ$310+BJ$313+BJ$275-BJ$304,0)</f>
        <v>0</v>
      </c>
      <c r="BK317" s="48" t="n">
        <f aca="false">-BK$294-(BK$313-BJ$313)+BK$309+IF(58=Fin,BK$310+BK$313+BK$275-BK$304,0)</f>
        <v>0</v>
      </c>
      <c r="BL317" s="48" t="n">
        <f aca="false">-BL$294-(BL$313-BK$313)+BL$309+IF(59=Fin,BL$310+BL$313+BL$275-BL$304,0)</f>
        <v>0</v>
      </c>
      <c r="BM317" s="48" t="n">
        <f aca="false">-BM$294-(BM$313-BL$313)+BM$309+IF(60=Fin,BM$310+BM$313+BM$275-BM$304,0)</f>
        <v>0</v>
      </c>
      <c r="BN317" s="48" t="n">
        <f aca="false">-BN$294-(BN$313-BM$313)+BN$309+IF(61=Fin,BN$310+BN$313+BN$275-BN$304,0)</f>
        <v>0</v>
      </c>
      <c r="BO317" s="48" t="n">
        <f aca="false">-BO$294-(BO$313-BN$313)+BO$309+IF(62=Fin,BO$310+BO$313+BO$275-BO$304,0)</f>
        <v>0</v>
      </c>
      <c r="BP317" s="48" t="n">
        <f aca="false">-BP$294-(BP$313-BO$313)+BP$309+IF(63=Fin,BP$310+BP$313+BP$275-BP$304,0)</f>
        <v>0</v>
      </c>
      <c r="BQ317" s="48" t="n">
        <f aca="false">-BQ$294-(BQ$313-BP$313)+BQ$309+IF(64=Fin,BQ$310+BQ$313+BQ$275-BQ$304,0)</f>
        <v>1463926.54436822</v>
      </c>
      <c r="BR317" s="48" t="n">
        <f aca="false">-BR$294-(BR$313-BQ$313)+BR$309+IF(65=Fin,BR$310+BR$313+BR$275-BR$304,0)</f>
        <v>0</v>
      </c>
      <c r="BS317" s="48" t="n">
        <f aca="false">-BS$294-(BS$313-BR$313)+BS$309+IF(66=Fin,BS$310+BS$313+BS$275-BS$304,0)</f>
        <v>0</v>
      </c>
      <c r="BT317" s="48" t="n">
        <f aca="false">-BT$294-(BT$313-BS$313)+BT$309+IF(67=Fin,BT$310+BT$313+BT$275-BT$304,0)</f>
        <v>0</v>
      </c>
      <c r="BU317" s="48" t="n">
        <f aca="false">-BU$294-(BU$313-BT$313)+BU$309+IF(68=Fin,BU$310+BU$313+BU$275-BU$304,0)</f>
        <v>0</v>
      </c>
      <c r="BV317" s="48" t="n">
        <f aca="false">-BV$294-(BV$313-BU$313)+BV$309+IF(69=Fin,BV$310+BV$313+BV$275-BV$304,0)</f>
        <v>0</v>
      </c>
      <c r="BW317" s="48" t="n">
        <f aca="false">-BW$294-(BW$313-BV$313)+BW$309+IF(70=Fin,BW$310+BW$313+BW$275-BW$304,0)</f>
        <v>0</v>
      </c>
      <c r="BX317" s="48" t="n">
        <f aca="false">-BX$294-(BX$313-BW$313)+BX$309+IF(71=Fin,BX$310+BX$313+BX$275-BX$304,0)</f>
        <v>0</v>
      </c>
      <c r="BY317" s="48" t="n">
        <f aca="false">-BY$294-(BY$313-BX$313)+BY$309+IF(72=Fin,BY$310+BY$313+BY$275-BY$304,0)</f>
        <v>0</v>
      </c>
      <c r="BZ317" s="48" t="n">
        <f aca="false">-BZ$294-(BZ$313-BY$313)+BZ$309+IF(73=Fin,BZ$310+BZ$313+BZ$275-BZ$304,0)</f>
        <v>0</v>
      </c>
      <c r="CA317" s="48" t="n">
        <f aca="false">-CA$294-(CA$313-BZ$313)+CA$309+IF(74=Fin,CA$310+CA$313+CA$275-CA$304,0)</f>
        <v>0</v>
      </c>
      <c r="CB317" s="48" t="n">
        <f aca="false">-CB$294-(CB$313-CA$313)+CB$309+IF(75=Fin,CB$310+CB$313+CB$275-CB$304,0)</f>
        <v>0</v>
      </c>
      <c r="CC317" s="48" t="n">
        <f aca="false">-CC$294-(CC$313-CB$313)+CC$309+IF(76=Fin,CC$310+CC$313+CC$275-CC$304,0)</f>
        <v>1794188.69257391</v>
      </c>
      <c r="CD317" s="48" t="n">
        <f aca="false">-CD$294-(CD$313-CC$313)+CD$309+IF(77=Fin,CD$310+CD$313+CD$275-CD$304,0)</f>
        <v>0</v>
      </c>
      <c r="CE317" s="48" t="n">
        <f aca="false">-CE$294-(CE$313-CD$313)+CE$309+IF(78=Fin,CE$310+CE$313+CE$275-CE$304,0)</f>
        <v>0</v>
      </c>
      <c r="CF317" s="48" t="n">
        <f aca="false">-CF$294-(CF$313-CE$313)+CF$309+IF(79=Fin,CF$310+CF$313+CF$275-CF$304,0)</f>
        <v>0</v>
      </c>
      <c r="CG317" s="48" t="n">
        <f aca="false">-CG$294-(CG$313-CF$313)+CG$309+IF(80=Fin,CG$310+CG$313+CG$275-CG$304,0)</f>
        <v>0</v>
      </c>
      <c r="CH317" s="48" t="n">
        <f aca="false">-CH$294-(CH$313-CG$313)+CH$309+IF(81=Fin,CH$310+CH$313+CH$275-CH$304,0)</f>
        <v>0</v>
      </c>
      <c r="CI317" s="48" t="n">
        <f aca="false">-CI$294-(CI$313-CH$313)+CI$309+IF(82=Fin,CI$310+CI$313+CI$275-CI$304,0)</f>
        <v>0</v>
      </c>
      <c r="CJ317" s="48" t="n">
        <f aca="false">-CJ$294-(CJ$313-CI$313)+CJ$309+IF(83=Fin,CJ$310+CJ$313+CJ$275-CJ$304,0)</f>
        <v>0</v>
      </c>
      <c r="CK317" s="48" t="n">
        <f aca="false">-CK$294-(CK$313-CJ$313)+CK$309+IF(84=Fin,CK$310+CK$313+CK$275-CK$304,0)</f>
        <v>0</v>
      </c>
      <c r="CL317" s="48" t="n">
        <f aca="false">-CL$294-(CL$313-CK$313)+CL$309+IF(85=Fin,CL$310+CL$313+CL$275-CL$304,0)</f>
        <v>0</v>
      </c>
      <c r="CM317" s="48" t="n">
        <f aca="false">-CM$294-(CM$313-CL$313)+CM$309+IF(86=Fin,CM$310+CM$313+CM$275-CM$304,0)</f>
        <v>0</v>
      </c>
      <c r="CN317" s="48" t="n">
        <f aca="false">-CN$294-(CN$313-CM$313)+CN$309+IF(87=Fin,CN$310+CN$313+CN$275-CN$304,0)</f>
        <v>0</v>
      </c>
      <c r="CO317" s="48" t="n">
        <f aca="false">-CO$294-(CO$313-CN$313)+CO$309+IF(88=Fin,CO$310+CO$313+CO$275-CO$304,0)</f>
        <v>1843575.6608728</v>
      </c>
      <c r="CP317" s="48" t="n">
        <f aca="false">-CP$294-(CP$313-CO$313)+CP$309+IF(89=Fin,CP$310+CP$313+CP$275-CP$304,0)</f>
        <v>0</v>
      </c>
      <c r="CQ317" s="48" t="n">
        <f aca="false">-CQ$294-(CQ$313-CP$313)+CQ$309+IF(90=Fin,CQ$310+CQ$313+CQ$275-CQ$304,0)</f>
        <v>0</v>
      </c>
      <c r="CR317" s="48" t="n">
        <f aca="false">-CR$294-(CR$313-CQ$313)+CR$309+IF(91=Fin,CR$310+CR$313+CR$275-CR$304,0)</f>
        <v>0</v>
      </c>
      <c r="CS317" s="48" t="n">
        <f aca="false">-CS$294-(CS$313-CR$313)+CS$309+IF(92=Fin,CS$310+CS$313+CS$275-CS$304,0)</f>
        <v>0</v>
      </c>
      <c r="CT317" s="48" t="n">
        <f aca="false">-CT$294-(CT$313-CS$313)+CT$309+IF(93=Fin,CT$310+CT$313+CT$275-CT$304,0)</f>
        <v>0</v>
      </c>
      <c r="CU317" s="48" t="n">
        <f aca="false">-CU$294-(CU$313-CT$313)+CU$309+IF(94=Fin,CU$310+CU$313+CU$275-CU$304,0)</f>
        <v>0</v>
      </c>
      <c r="CV317" s="48" t="n">
        <f aca="false">-CV$294-(CV$313-CU$313)+CV$309+IF(95=Fin,CV$310+CV$313+CV$275-CV$304,0)</f>
        <v>0</v>
      </c>
      <c r="CW317" s="48" t="n">
        <f aca="false">-CW$294-(CW$313-CV$313)+CW$309+IF(96=Fin,CW$310+CW$313+CW$275-CW$304,0)</f>
        <v>0</v>
      </c>
      <c r="CX317" s="48" t="n">
        <f aca="false">-CX$294-(CX$313-CW$313)+CX$309+IF(97=Fin,CX$310+CX$313+CX$275-CX$304,0)</f>
        <v>0</v>
      </c>
      <c r="CY317" s="48" t="n">
        <f aca="false">-CY$294-(CY$313-CX$313)+CY$309+IF(98=Fin,CY$310+CY$313+CY$275-CY$304,0)</f>
        <v>0</v>
      </c>
      <c r="CZ317" s="48" t="n">
        <f aca="false">-CZ$294-(CZ$313-CY$313)+CZ$309+IF(99=Fin,CZ$310+CZ$313+CZ$275-CZ$304,0)</f>
        <v>0</v>
      </c>
      <c r="DA317" s="48" t="n">
        <f aca="false">-DA$294-(DA$313-CZ$313)+DA$309+IF(100=Fin,DA$310+DA$313+DA$275-DA$304,0)</f>
        <v>1893301.21355545</v>
      </c>
      <c r="DB317" s="48" t="n">
        <f aca="false">-DB$294-(DB$313-DA$313)+DB$309+IF(101=Fin,DB$310+DB$313+DB$275-DB$304,0)</f>
        <v>0</v>
      </c>
      <c r="DC317" s="48" t="n">
        <f aca="false">-DC$294-(DC$313-DB$313)+DC$309+IF(102=Fin,DC$310+DC$313+DC$275-DC$304,0)</f>
        <v>0</v>
      </c>
      <c r="DD317" s="48" t="n">
        <f aca="false">-DD$294-(DD$313-DC$313)+DD$309+IF(103=Fin,DD$310+DD$313+DD$275-DD$304,0)</f>
        <v>0</v>
      </c>
      <c r="DE317" s="48" t="n">
        <f aca="false">-DE$294-(DE$313-DD$313)+DE$309+IF(104=Fin,DE$310+DE$313+DE$275-DE$304,0)</f>
        <v>0</v>
      </c>
      <c r="DF317" s="48" t="n">
        <f aca="false">-DF$294-(DF$313-DE$313)+DF$309+IF(105=Fin,DF$310+DF$313+DF$275-DF$304,0)</f>
        <v>0</v>
      </c>
      <c r="DG317" s="48" t="n">
        <f aca="false">-DG$294-(DG$313-DF$313)+DG$309+IF(106=Fin,DG$310+DG$313+DG$275-DG$304,0)</f>
        <v>0</v>
      </c>
      <c r="DH317" s="48" t="n">
        <f aca="false">-DH$294-(DH$313-DG$313)+DH$309+IF(107=Fin,DH$310+DH$313+DH$275-DH$304,0)</f>
        <v>0</v>
      </c>
      <c r="DI317" s="48" t="n">
        <f aca="false">-DI$294-(DI$313-DH$313)+DI$309+IF(108=Fin,DI$310+DI$313+DI$275-DI$304,0)</f>
        <v>0</v>
      </c>
      <c r="DJ317" s="48" t="n">
        <f aca="false">-DJ$294-(DJ$313-DI$313)+DJ$309+IF(109=Fin,DJ$310+DJ$313+DJ$275-DJ$304,0)</f>
        <v>0</v>
      </c>
      <c r="DK317" s="48" t="n">
        <f aca="false">-DK$294-(DK$313-DJ$313)+DK$309+IF(110=Fin,DK$310+DK$313+DK$275-DK$304,0)</f>
        <v>0</v>
      </c>
      <c r="DL317" s="48" t="n">
        <f aca="false">-DL$294-(DL$313-DK$313)+DL$309+IF(111=Fin,DL$310+DL$313+DL$275-DL$304,0)</f>
        <v>0</v>
      </c>
      <c r="DM317" s="48" t="n">
        <f aca="false">-DM$294-(DM$313-DL$313)+DM$309+IF(112=Fin,DM$310+DM$313+DM$275-DM$304,0)</f>
        <v>1943364.14678689</v>
      </c>
      <c r="DN317" s="48" t="n">
        <f aca="false">-DN$294-(DN$313-DM$313)+DN$309+IF(113=Fin,DN$310+DN$313+DN$275-DN$304,0)</f>
        <v>0</v>
      </c>
      <c r="DO317" s="48" t="n">
        <f aca="false">-DO$294-(DO$313-DN$313)+DO$309+IF(114=Fin,DO$310+DO$313+DO$275-DO$304,0)</f>
        <v>0</v>
      </c>
      <c r="DP317" s="48" t="n">
        <f aca="false">-DP$294-(DP$313-DO$313)+DP$309+IF(115=Fin,DP$310+DP$313+DP$275-DP$304,0)</f>
        <v>0</v>
      </c>
      <c r="DQ317" s="48" t="n">
        <f aca="false">-DQ$294-(DQ$313-DP$313)+DQ$309+IF(116=Fin,DQ$310+DQ$313+DQ$275-DQ$304,0)</f>
        <v>0</v>
      </c>
      <c r="DR317" s="48" t="n">
        <f aca="false">-DR$294-(DR$313-DQ$313)+DR$309+IF(117=Fin,DR$310+DR$313+DR$275-DR$304,0)</f>
        <v>0</v>
      </c>
      <c r="DS317" s="48" t="n">
        <f aca="false">-DS$294-(DS$313-DR$313)+DS$309+IF(118=Fin,DS$310+DS$313+DS$275-DS$304,0)</f>
        <v>0</v>
      </c>
      <c r="DT317" s="48" t="n">
        <f aca="false">-DT$294-(DT$313-DS$313)+DT$309+IF(119=Fin,DT$310+DT$313+DT$275-DT$304,0)</f>
        <v>0</v>
      </c>
      <c r="DU317" s="48" t="n">
        <f aca="false">-DU$294-(DU$313-DT$313)+DU$309+IF(120=Fin,DU$310+DU$313+DU$275-DU$304,0)</f>
        <v>6147646.16149838</v>
      </c>
      <c r="DV317" s="48" t="n">
        <f aca="false">-DV$294-(DV$313-DU$313)+DV$309+IF(121=Fin,DV$310+DV$313+DV$275-DV$304,0)</f>
        <v>0</v>
      </c>
      <c r="DW317" s="48" t="n">
        <f aca="false">-DW$294-(DW$313-DV$313)+DW$309+IF(122=Fin,DW$310+DW$313+DW$275-DW$304,0)</f>
        <v>0</v>
      </c>
      <c r="DX317" s="48" t="n">
        <f aca="false">-DX$294-(DX$313-DW$313)+DX$309+IF(123=Fin,DX$310+DX$313+DX$275-DX$304,0)</f>
        <v>0</v>
      </c>
      <c r="DY317" s="48" t="n">
        <f aca="false">-DY$294-(DY$313-DX$313)+DY$309+IF(124=Fin,DY$310+DY$313+DY$275-DY$304,0)</f>
        <v>0</v>
      </c>
      <c r="DZ317" s="48" t="n">
        <f aca="false">-DZ$294-(DZ$313-DY$313)+DZ$309+IF(125=Fin,DZ$310+DZ$313+DZ$275-DZ$304,0)</f>
        <v>0</v>
      </c>
      <c r="EA317" s="48" t="n">
        <f aca="false">-EA$294-(EA$313-DZ$313)+EA$309+IF(126=Fin,EA$310+EA$313+EA$275-EA$304,0)</f>
        <v>0</v>
      </c>
      <c r="EB317" s="48" t="n">
        <f aca="false">-EB$294-(EB$313-EA$313)+EB$309+IF(127=Fin,EB$310+EB$313+EB$275-EB$304,0)</f>
        <v>0</v>
      </c>
      <c r="EC317" s="48" t="n">
        <f aca="false">-EC$294-(EC$313-EB$313)+EC$309+IF(128=Fin,EC$310+EC$313+EC$275-EC$304,0)</f>
        <v>0</v>
      </c>
      <c r="ED317" s="48" t="n">
        <f aca="false">-ED$294-(ED$313-EC$313)+ED$309+IF(129=Fin,ED$310+ED$313+ED$275-ED$304,0)</f>
        <v>0</v>
      </c>
      <c r="EE317" s="48" t="n">
        <f aca="false">-EE$294-(EE$313-ED$313)+EE$309+IF(130=Fin,EE$310+EE$313+EE$275-EE$304,0)</f>
        <v>0</v>
      </c>
      <c r="EF317" s="48" t="n">
        <f aca="false">-EF$294-(EF$313-EE$313)+EF$309+IF(131=Fin,EF$310+EF$313+EF$275-EF$304,0)</f>
        <v>0</v>
      </c>
      <c r="EG317" s="48" t="n">
        <f aca="false">-EG$294-(EG$313-EF$313)+EG$309+IF(132=Fin,EG$310+EG$313+EG$275-EG$304,0)</f>
        <v>0</v>
      </c>
      <c r="EH317" s="48" t="n">
        <f aca="false">-EH$294-(EH$313-EG$313)+EH$309+IF(133=Fin,EH$310+EH$313+EH$275-EH$304,0)</f>
        <v>0</v>
      </c>
      <c r="EI317" s="48" t="n">
        <f aca="false">-EI$294-(EI$313-EH$313)+EI$309+IF(134=Fin,EI$310+EI$313+EI$275-EI$304,0)</f>
        <v>0</v>
      </c>
      <c r="EJ317" s="48" t="n">
        <f aca="false">-EJ$294-(EJ$313-EI$313)+EJ$309+IF(135=Fin,EJ$310+EJ$313+EJ$275-EJ$304,0)</f>
        <v>0</v>
      </c>
      <c r="EK317" s="48" t="n">
        <f aca="false">-EK$294-(EK$313-EJ$313)+EK$309+IF(136=Fin,EK$310+EK$313+EK$275-EK$304,0)</f>
        <v>0</v>
      </c>
      <c r="EL317" s="48" t="n">
        <f aca="false">-EL$294-(EL$313-EK$313)+EL$309+IF(137=Fin,EL$310+EL$313+EL$275-EL$304,0)</f>
        <v>0</v>
      </c>
      <c r="EM317" s="48" t="n">
        <f aca="false">-EM$294-(EM$313-EL$313)+EM$309+IF(138=Fin,EM$310+EM$313+EM$275-EM$304,0)</f>
        <v>0</v>
      </c>
      <c r="EN317" s="48" t="n">
        <f aca="false">-EN$294-(EN$313-EM$313)+EN$309+IF(139=Fin,EN$310+EN$313+EN$275-EN$304,0)</f>
        <v>0</v>
      </c>
      <c r="EO317" s="48" t="n">
        <f aca="false">-EO$294-(EO$313-EN$313)+EO$309+IF(140=Fin,EO$310+EO$313+EO$275-EO$304,0)</f>
        <v>0</v>
      </c>
      <c r="EP317" s="48" t="n">
        <f aca="false">-EP$294-(EP$313-EO$313)+EP$309+IF(141=Fin,EP$310+EP$313+EP$275-EP$304,0)</f>
        <v>0</v>
      </c>
      <c r="EQ317" s="48" t="n">
        <f aca="false">-EQ$294-(EQ$313-EP$313)+EQ$309+IF(142=Fin,EQ$310+EQ$313+EQ$275-EQ$304,0)</f>
        <v>0</v>
      </c>
      <c r="ER317" s="48" t="n">
        <f aca="false">-ER$294-(ER$313-EQ$313)+ER$309+IF(143=Fin,ER$310+ER$313+ER$275-ER$304,0)</f>
        <v>0</v>
      </c>
      <c r="ES317" s="48" t="n">
        <f aca="false">-ES$294-(ES$313-ER$313)+ES$309+IF(144=Fin,ES$310+ES$313+ES$275-ES$304,0)</f>
        <v>0</v>
      </c>
    </row>
    <row r="318" customFormat="false" ht="15" hidden="false" customHeight="false" outlineLevel="0" collapsed="false">
      <c r="A318" s="11" t="s">
        <v>1434</v>
      </c>
      <c r="B318" s="15" t="s">
        <v>1286</v>
      </c>
      <c r="C318" s="15" t="s">
        <v>508</v>
      </c>
      <c r="E318" s="54" t="n">
        <f aca="false">INDEX(F318:ES318,1,MIN(144,Fin))</f>
        <v>15564459.926261</v>
      </c>
      <c r="F318" s="48" t="n">
        <f aca="false">0+F$276</f>
        <v>-3000610.47688344</v>
      </c>
      <c r="G318" s="48" t="n">
        <f aca="false">F$318+G$276</f>
        <v>-2958112.97640785</v>
      </c>
      <c r="H318" s="48" t="n">
        <f aca="false">G$318+H$276</f>
        <v>-2915615.47593226</v>
      </c>
      <c r="I318" s="48" t="n">
        <f aca="false">H$318+I$276</f>
        <v>-2873117.97545667</v>
      </c>
      <c r="J318" s="48" t="n">
        <f aca="false">I$318+J$276</f>
        <v>-2830620.47498108</v>
      </c>
      <c r="K318" s="48" t="n">
        <f aca="false">J$318+K$276</f>
        <v>-2788122.97450549</v>
      </c>
      <c r="L318" s="48" t="n">
        <f aca="false">K$318+L$276</f>
        <v>-2745625.4740299</v>
      </c>
      <c r="M318" s="48" t="n">
        <f aca="false">L$318+M$276</f>
        <v>-2703127.97355431</v>
      </c>
      <c r="N318" s="48" t="n">
        <f aca="false">M$318+N$276</f>
        <v>-2660630.47307872</v>
      </c>
      <c r="O318" s="48" t="n">
        <f aca="false">N$318+O$276</f>
        <v>-2618132.97260313</v>
      </c>
      <c r="P318" s="48" t="n">
        <f aca="false">O$318+P$276</f>
        <v>-2575635.47212754</v>
      </c>
      <c r="Q318" s="48" t="n">
        <f aca="false">P$318+Q$276</f>
        <v>-2533137.97165195</v>
      </c>
      <c r="R318" s="48" t="n">
        <f aca="false">Q$318+R$276</f>
        <v>-3207787.01305363</v>
      </c>
      <c r="S318" s="48" t="n">
        <f aca="false">R$318+S$276</f>
        <v>-3127290.61005967</v>
      </c>
      <c r="T318" s="48" t="n">
        <f aca="false">S$318+T$276</f>
        <v>-3046794.2070657</v>
      </c>
      <c r="U318" s="48" t="n">
        <f aca="false">T$318+U$276</f>
        <v>-2966297.80407174</v>
      </c>
      <c r="V318" s="48" t="n">
        <f aca="false">U$318+V$276</f>
        <v>-2885801.40107777</v>
      </c>
      <c r="W318" s="48" t="n">
        <f aca="false">V$318+W$276</f>
        <v>-2805304.99808381</v>
      </c>
      <c r="X318" s="48" t="n">
        <f aca="false">W$318+X$276</f>
        <v>-2724808.59508984</v>
      </c>
      <c r="Y318" s="48" t="n">
        <f aca="false">X$318+Y$276</f>
        <v>-2644312.19209588</v>
      </c>
      <c r="Z318" s="48" t="n">
        <f aca="false">Y$318+Z$276</f>
        <v>-2563815.78910191</v>
      </c>
      <c r="AA318" s="48" t="n">
        <f aca="false">Z$318+AA$276</f>
        <v>-2483319.38610795</v>
      </c>
      <c r="AB318" s="48" t="n">
        <f aca="false">AA$318+AB$276</f>
        <v>-2402822.98311398</v>
      </c>
      <c r="AC318" s="48" t="n">
        <f aca="false">AB$318+AC$276</f>
        <v>-2322326.58012002</v>
      </c>
      <c r="AD318" s="48" t="n">
        <f aca="false">AC$318+AD$276</f>
        <v>-2872568.47988732</v>
      </c>
      <c r="AE318" s="48" t="n">
        <f aca="false">AD$318+AE$276</f>
        <v>-2755483.44902219</v>
      </c>
      <c r="AF318" s="48" t="n">
        <f aca="false">AE$318+AF$276</f>
        <v>-2638398.41815707</v>
      </c>
      <c r="AG318" s="48" t="n">
        <f aca="false">AF$318+AG$276</f>
        <v>-2521313.38729194</v>
      </c>
      <c r="AH318" s="48" t="n">
        <f aca="false">AG$318+AH$276</f>
        <v>-2404228.35642682</v>
      </c>
      <c r="AI318" s="48" t="n">
        <f aca="false">AH$318+AI$276</f>
        <v>-2287143.32556169</v>
      </c>
      <c r="AJ318" s="48" t="n">
        <f aca="false">AI$318+AJ$276</f>
        <v>-2170058.29469657</v>
      </c>
      <c r="AK318" s="48" t="n">
        <f aca="false">AJ$318+AK$276</f>
        <v>-2052973.26383144</v>
      </c>
      <c r="AL318" s="48" t="n">
        <f aca="false">AK$318+AL$276</f>
        <v>-1935888.23296632</v>
      </c>
      <c r="AM318" s="48" t="n">
        <f aca="false">AL$318+AM$276</f>
        <v>-1818803.20210119</v>
      </c>
      <c r="AN318" s="48" t="n">
        <f aca="false">AM$318+AN$276</f>
        <v>-1701718.17123607</v>
      </c>
      <c r="AO318" s="48" t="n">
        <f aca="false">AN$318+AO$276</f>
        <v>-1584633.14037094</v>
      </c>
      <c r="AP318" s="48" t="n">
        <f aca="false">AO$318+AP$276</f>
        <v>-1993548.6304244</v>
      </c>
      <c r="AQ318" s="48" t="n">
        <f aca="false">AP$318+AQ$276</f>
        <v>-1843655.05054454</v>
      </c>
      <c r="AR318" s="48" t="n">
        <f aca="false">AQ$318+AR$276</f>
        <v>-1693761.47066468</v>
      </c>
      <c r="AS318" s="48" t="n">
        <f aca="false">AR$318+AS$276</f>
        <v>-1543867.89078482</v>
      </c>
      <c r="AT318" s="48" t="n">
        <f aca="false">AS$318+AT$276</f>
        <v>-1393974.31090496</v>
      </c>
      <c r="AU318" s="48" t="n">
        <f aca="false">AT$318+AU$276</f>
        <v>-1244080.73102511</v>
      </c>
      <c r="AV318" s="48" t="n">
        <f aca="false">AU$318+AV$276</f>
        <v>-1094187.15114525</v>
      </c>
      <c r="AW318" s="48" t="n">
        <f aca="false">AV$318+AW$276</f>
        <v>-944293.571265389</v>
      </c>
      <c r="AX318" s="48" t="n">
        <f aca="false">AW$318+AX$276</f>
        <v>-794399.991385531</v>
      </c>
      <c r="AY318" s="48" t="n">
        <f aca="false">AX$318+AY$276</f>
        <v>-644506.411505673</v>
      </c>
      <c r="AZ318" s="48" t="n">
        <f aca="false">AY$318+AZ$276</f>
        <v>-494612.831625814</v>
      </c>
      <c r="BA318" s="48" t="n">
        <f aca="false">AZ$318+BA$276</f>
        <v>-344719.251745956</v>
      </c>
      <c r="BB318" s="48" t="n">
        <f aca="false">BA$318+BB$276</f>
        <v>-231615.634575442</v>
      </c>
      <c r="BC318" s="48" t="n">
        <f aca="false">BB$318+BC$276</f>
        <v>-80402.4696990683</v>
      </c>
      <c r="BD318" s="48" t="n">
        <f aca="false">BC$318+BD$276</f>
        <v>70810.6951773055</v>
      </c>
      <c r="BE318" s="48" t="n">
        <f aca="false">BD$318+BE$276</f>
        <v>222023.860053679</v>
      </c>
      <c r="BF318" s="48" t="n">
        <f aca="false">BE$318+BF$276</f>
        <v>373237.024930053</v>
      </c>
      <c r="BG318" s="48" t="n">
        <f aca="false">BF$318+BG$276</f>
        <v>524450.189806427</v>
      </c>
      <c r="BH318" s="48" t="n">
        <f aca="false">BG$318+BH$276</f>
        <v>675663.354682801</v>
      </c>
      <c r="BI318" s="48" t="n">
        <f aca="false">BH$318+BI$276</f>
        <v>826876.519559175</v>
      </c>
      <c r="BJ318" s="48" t="n">
        <f aca="false">BI$318+BJ$276</f>
        <v>978089.684435549</v>
      </c>
      <c r="BK318" s="48" t="n">
        <f aca="false">BJ$318+BK$276</f>
        <v>1129302.84931192</v>
      </c>
      <c r="BL318" s="48" t="n">
        <f aca="false">BK$318+BL$276</f>
        <v>1280516.0141883</v>
      </c>
      <c r="BM318" s="48" t="n">
        <f aca="false">BL$318+BM$276</f>
        <v>1431729.17906467</v>
      </c>
      <c r="BN318" s="48" t="n">
        <f aca="false">BM$318+BN$276</f>
        <v>1549304.7643939</v>
      </c>
      <c r="BO318" s="48" t="n">
        <f aca="false">BN$318+BO$276</f>
        <v>1704605.20619173</v>
      </c>
      <c r="BP318" s="48" t="n">
        <f aca="false">BO$318+BP$276</f>
        <v>1859905.64798955</v>
      </c>
      <c r="BQ318" s="48" t="n">
        <f aca="false">BP$318+BQ$276</f>
        <v>2015206.08978738</v>
      </c>
      <c r="BR318" s="48" t="n">
        <f aca="false">BQ$318+BR$276</f>
        <v>2170506.5315852</v>
      </c>
      <c r="BS318" s="48" t="n">
        <f aca="false">BR$318+BS$276</f>
        <v>2325806.97338303</v>
      </c>
      <c r="BT318" s="48" t="n">
        <f aca="false">BS$318+BT$276</f>
        <v>2481107.41518086</v>
      </c>
      <c r="BU318" s="48" t="n">
        <f aca="false">BT$318+BU$276</f>
        <v>2636407.85697868</v>
      </c>
      <c r="BV318" s="48" t="n">
        <f aca="false">BU$318+BV$276</f>
        <v>2791708.29877651</v>
      </c>
      <c r="BW318" s="48" t="n">
        <f aca="false">BV$318+BW$276</f>
        <v>2947008.74057433</v>
      </c>
      <c r="BX318" s="48" t="n">
        <f aca="false">BW$318+BX$276</f>
        <v>3102309.18237216</v>
      </c>
      <c r="BY318" s="48" t="n">
        <f aca="false">BX$318+BY$276</f>
        <v>3257609.62416999</v>
      </c>
      <c r="BZ318" s="48" t="n">
        <f aca="false">BY$318+BZ$276</f>
        <v>3378935.7534346</v>
      </c>
      <c r="CA318" s="48" t="n">
        <f aca="false">BZ$318+CA$276</f>
        <v>3538351.775924</v>
      </c>
      <c r="CB318" s="48" t="n">
        <f aca="false">CA$318+CB$276</f>
        <v>3697767.7984134</v>
      </c>
      <c r="CC318" s="48" t="n">
        <f aca="false">CB$318+CC$276</f>
        <v>3857183.8209028</v>
      </c>
      <c r="CD318" s="48" t="n">
        <f aca="false">CC$318+CD$276</f>
        <v>4016599.8433922</v>
      </c>
      <c r="CE318" s="48" t="n">
        <f aca="false">CD$318+CE$276</f>
        <v>4176015.8658816</v>
      </c>
      <c r="CF318" s="48" t="n">
        <f aca="false">CE$318+CF$276</f>
        <v>4335431.888371</v>
      </c>
      <c r="CG318" s="48" t="n">
        <f aca="false">CF$318+CG$276</f>
        <v>4494847.9108604</v>
      </c>
      <c r="CH318" s="48" t="n">
        <f aca="false">CG$318+CH$276</f>
        <v>4654263.9333498</v>
      </c>
      <c r="CI318" s="48" t="n">
        <f aca="false">CH$318+CI$276</f>
        <v>4813679.9558392</v>
      </c>
      <c r="CJ318" s="48" t="n">
        <f aca="false">CI$318+CJ$276</f>
        <v>4973095.9783286</v>
      </c>
      <c r="CK318" s="48" t="n">
        <f aca="false">CJ$318+CK$276</f>
        <v>5132512.000818</v>
      </c>
      <c r="CL318" s="48" t="n">
        <f aca="false">CK$318+CL$276</f>
        <v>5257613.60166977</v>
      </c>
      <c r="CM318" s="48" t="n">
        <f aca="false">CL$318+CM$276</f>
        <v>5421173.42021606</v>
      </c>
      <c r="CN318" s="48" t="n">
        <f aca="false">CM$318+CN$276</f>
        <v>5584733.23876235</v>
      </c>
      <c r="CO318" s="48" t="n">
        <f aca="false">CN$318+CO$276</f>
        <v>5748293.05730863</v>
      </c>
      <c r="CP318" s="48" t="n">
        <f aca="false">CO$318+CP$276</f>
        <v>5911852.87585492</v>
      </c>
      <c r="CQ318" s="48" t="n">
        <f aca="false">CP$318+CQ$276</f>
        <v>6075412.69440121</v>
      </c>
      <c r="CR318" s="48" t="n">
        <f aca="false">CQ$318+CR$276</f>
        <v>6238972.5129475</v>
      </c>
      <c r="CS318" s="48" t="n">
        <f aca="false">CR$318+CS$276</f>
        <v>6402532.33149378</v>
      </c>
      <c r="CT318" s="48" t="n">
        <f aca="false">CS$318+CT$276</f>
        <v>6566092.15004007</v>
      </c>
      <c r="CU318" s="48" t="n">
        <f aca="false">CT$318+CU$276</f>
        <v>6729651.96858636</v>
      </c>
      <c r="CV318" s="48" t="n">
        <f aca="false">CU$318+CV$276</f>
        <v>6893211.78713265</v>
      </c>
      <c r="CW318" s="48" t="n">
        <f aca="false">CV$318+CW$276</f>
        <v>7056771.60567894</v>
      </c>
      <c r="CX318" s="48" t="n">
        <f aca="false">CW$318+CX$276</f>
        <v>7185673.48337851</v>
      </c>
      <c r="CY318" s="48" t="n">
        <f aca="false">CX$318+CY$276</f>
        <v>7353405.21302741</v>
      </c>
      <c r="CZ318" s="48" t="n">
        <f aca="false">CY$318+CZ$276</f>
        <v>7521136.94267632</v>
      </c>
      <c r="DA318" s="48" t="n">
        <f aca="false">CZ$318+DA$276</f>
        <v>7688868.67232523</v>
      </c>
      <c r="DB318" s="48" t="n">
        <f aca="false">DA$318+DB$276</f>
        <v>7856600.40197414</v>
      </c>
      <c r="DC318" s="48" t="n">
        <f aca="false">DB$318+DC$276</f>
        <v>8024332.13162305</v>
      </c>
      <c r="DD318" s="48" t="n">
        <f aca="false">DC$318+DD$276</f>
        <v>8192063.86127195</v>
      </c>
      <c r="DE318" s="48" t="n">
        <f aca="false">DD$318+DE$276</f>
        <v>8359795.59092086</v>
      </c>
      <c r="DF318" s="48" t="n">
        <f aca="false">DE$318+DF$276</f>
        <v>8527527.32056977</v>
      </c>
      <c r="DG318" s="48" t="n">
        <f aca="false">DF$318+DG$276</f>
        <v>8695259.05021867</v>
      </c>
      <c r="DH318" s="48" t="n">
        <f aca="false">DG$318+DH$276</f>
        <v>8862990.77986758</v>
      </c>
      <c r="DI318" s="48" t="n">
        <f aca="false">DH$318+DI$276</f>
        <v>9030722.50951649</v>
      </c>
      <c r="DJ318" s="48" t="n">
        <f aca="false">DI$318+DJ$276</f>
        <v>9163449.3346728</v>
      </c>
      <c r="DK318" s="48" t="n">
        <f aca="false">DJ$318+DK$276</f>
        <v>9335380.97778788</v>
      </c>
      <c r="DL318" s="48" t="n">
        <f aca="false">DK$318+DL$276</f>
        <v>9507312.62090297</v>
      </c>
      <c r="DM318" s="48" t="n">
        <f aca="false">DL$318+DM$276</f>
        <v>9679244.26401806</v>
      </c>
      <c r="DN318" s="48" t="n">
        <f aca="false">DM$318+DN$276</f>
        <v>9851175.90713314</v>
      </c>
      <c r="DO318" s="48" t="n">
        <f aca="false">DN$318+DO$276</f>
        <v>10023107.5502482</v>
      </c>
      <c r="DP318" s="48" t="n">
        <f aca="false">DO$318+DP$276</f>
        <v>10195039.1933633</v>
      </c>
      <c r="DQ318" s="48" t="n">
        <f aca="false">DP$318+DQ$276</f>
        <v>10366970.8364784</v>
      </c>
      <c r="DR318" s="48" t="n">
        <f aca="false">DQ$318+DR$276</f>
        <v>10538902.4795935</v>
      </c>
      <c r="DS318" s="48" t="n">
        <f aca="false">DR$318+DS$276</f>
        <v>10710834.1227086</v>
      </c>
      <c r="DT318" s="48" t="n">
        <f aca="false">DS$318+DT$276</f>
        <v>10882765.7658237</v>
      </c>
      <c r="DU318" s="48" t="n">
        <f aca="false">DT$318+DU$276</f>
        <v>15564459.926261</v>
      </c>
      <c r="DV318" s="48" t="n">
        <f aca="false">DU$318+DV$276</f>
        <v>15564459.926261</v>
      </c>
      <c r="DW318" s="48" t="n">
        <f aca="false">DV$318+DW$276</f>
        <v>15564459.926261</v>
      </c>
      <c r="DX318" s="48" t="n">
        <f aca="false">DW$318+DX$276</f>
        <v>15564459.926261</v>
      </c>
      <c r="DY318" s="48" t="n">
        <f aca="false">DX$318+DY$276</f>
        <v>15564459.926261</v>
      </c>
      <c r="DZ318" s="48" t="n">
        <f aca="false">DY$318+DZ$276</f>
        <v>15564459.926261</v>
      </c>
      <c r="EA318" s="48" t="n">
        <f aca="false">DZ$318+EA$276</f>
        <v>15564459.926261</v>
      </c>
      <c r="EB318" s="48" t="n">
        <f aca="false">EA$318+EB$276</f>
        <v>15564459.926261</v>
      </c>
      <c r="EC318" s="48" t="n">
        <f aca="false">EB$318+EC$276</f>
        <v>15564459.926261</v>
      </c>
      <c r="ED318" s="48" t="n">
        <f aca="false">EC$318+ED$276</f>
        <v>15564459.926261</v>
      </c>
      <c r="EE318" s="48" t="n">
        <f aca="false">ED$318+EE$276</f>
        <v>15564459.926261</v>
      </c>
      <c r="EF318" s="48" t="n">
        <f aca="false">EE$318+EF$276</f>
        <v>15564459.926261</v>
      </c>
      <c r="EG318" s="48" t="n">
        <f aca="false">EF$318+EG$276</f>
        <v>15564459.926261</v>
      </c>
      <c r="EH318" s="48" t="n">
        <f aca="false">EG$318+EH$276</f>
        <v>15564459.926261</v>
      </c>
      <c r="EI318" s="48" t="n">
        <f aca="false">EH$318+EI$276</f>
        <v>15564459.926261</v>
      </c>
      <c r="EJ318" s="48" t="n">
        <f aca="false">EI$318+EJ$276</f>
        <v>15564459.926261</v>
      </c>
      <c r="EK318" s="48" t="n">
        <f aca="false">EJ$318+EK$276</f>
        <v>15564459.926261</v>
      </c>
      <c r="EL318" s="48" t="n">
        <f aca="false">EK$318+EL$276</f>
        <v>15564459.926261</v>
      </c>
      <c r="EM318" s="48" t="n">
        <f aca="false">EL$318+EM$276</f>
        <v>15564459.926261</v>
      </c>
      <c r="EN318" s="48" t="n">
        <f aca="false">EM$318+EN$276</f>
        <v>15564459.926261</v>
      </c>
      <c r="EO318" s="48" t="n">
        <f aca="false">EN$318+EO$276</f>
        <v>15564459.926261</v>
      </c>
      <c r="EP318" s="48" t="n">
        <f aca="false">EO$318+EP$276</f>
        <v>15564459.926261</v>
      </c>
      <c r="EQ318" s="48" t="n">
        <f aca="false">EP$318+EQ$276</f>
        <v>15564459.926261</v>
      </c>
      <c r="ER318" s="48" t="n">
        <f aca="false">EQ$318+ER$276</f>
        <v>15564459.926261</v>
      </c>
      <c r="ES318" s="48" t="n">
        <f aca="false">ER$318+ES$276</f>
        <v>15564459.926261</v>
      </c>
    </row>
    <row r="319" customFormat="false" ht="15" hidden="false" customHeight="false" outlineLevel="0" collapsed="false">
      <c r="A319" s="11" t="s">
        <v>1435</v>
      </c>
      <c r="B319" s="15" t="s">
        <v>1288</v>
      </c>
      <c r="C319" s="15" t="s">
        <v>359</v>
      </c>
      <c r="E319" s="68" t="n">
        <f aca="false">MAX(F319:ES319)</f>
        <v>49.5317160695949</v>
      </c>
      <c r="F319" s="50" t="n">
        <f aca="false">0</f>
        <v>0</v>
      </c>
      <c r="G319" s="50" t="n">
        <f aca="false">IF(AND(F$318&lt;0,G$318&gt;=0),0+(-F$318)/G$276,0)</f>
        <v>0</v>
      </c>
      <c r="H319" s="50" t="n">
        <f aca="false">IF(AND(G$318&lt;0,H$318&gt;=0),1+(-G$318)/H$276,0)</f>
        <v>0</v>
      </c>
      <c r="I319" s="50" t="n">
        <f aca="false">IF(AND(H$318&lt;0,I$318&gt;=0),2+(-H$318)/I$276,0)</f>
        <v>0</v>
      </c>
      <c r="J319" s="50" t="n">
        <f aca="false">IF(AND(I$318&lt;0,J$318&gt;=0),3+(-I$318)/J$276,0)</f>
        <v>0</v>
      </c>
      <c r="K319" s="50" t="n">
        <f aca="false">IF(AND(J$318&lt;0,K$318&gt;=0),4+(-J$318)/K$276,0)</f>
        <v>0</v>
      </c>
      <c r="L319" s="50" t="n">
        <f aca="false">IF(AND(K$318&lt;0,L$318&gt;=0),5+(-K$318)/L$276,0)</f>
        <v>0</v>
      </c>
      <c r="M319" s="50" t="n">
        <f aca="false">IF(AND(L$318&lt;0,M$318&gt;=0),6+(-L$318)/M$276,0)</f>
        <v>0</v>
      </c>
      <c r="N319" s="50" t="n">
        <f aca="false">IF(AND(M$318&lt;0,N$318&gt;=0),7+(-M$318)/N$276,0)</f>
        <v>0</v>
      </c>
      <c r="O319" s="50" t="n">
        <f aca="false">IF(AND(N$318&lt;0,O$318&gt;=0),8+(-N$318)/O$276,0)</f>
        <v>0</v>
      </c>
      <c r="P319" s="50" t="n">
        <f aca="false">IF(AND(O$318&lt;0,P$318&gt;=0),9+(-O$318)/P$276,0)</f>
        <v>0</v>
      </c>
      <c r="Q319" s="50" t="n">
        <f aca="false">IF(AND(P$318&lt;0,Q$318&gt;=0),10+(-P$318)/Q$276,0)</f>
        <v>0</v>
      </c>
      <c r="R319" s="50" t="n">
        <f aca="false">IF(AND(Q$318&lt;0,R$318&gt;=0),11+(-Q$318)/R$276,0)</f>
        <v>0</v>
      </c>
      <c r="S319" s="50" t="n">
        <f aca="false">IF(AND(R$318&lt;0,S$318&gt;=0),12+(-R$318)/S$276,0)</f>
        <v>0</v>
      </c>
      <c r="T319" s="50" t="n">
        <f aca="false">IF(AND(S$318&lt;0,T$318&gt;=0),13+(-S$318)/T$276,0)</f>
        <v>0</v>
      </c>
      <c r="U319" s="50" t="n">
        <f aca="false">IF(AND(T$318&lt;0,U$318&gt;=0),14+(-T$318)/U$276,0)</f>
        <v>0</v>
      </c>
      <c r="V319" s="50" t="n">
        <f aca="false">IF(AND(U$318&lt;0,V$318&gt;=0),15+(-U$318)/V$276,0)</f>
        <v>0</v>
      </c>
      <c r="W319" s="50" t="n">
        <f aca="false">IF(AND(V$318&lt;0,W$318&gt;=0),16+(-V$318)/W$276,0)</f>
        <v>0</v>
      </c>
      <c r="X319" s="50" t="n">
        <f aca="false">IF(AND(W$318&lt;0,X$318&gt;=0),17+(-W$318)/X$276,0)</f>
        <v>0</v>
      </c>
      <c r="Y319" s="50" t="n">
        <f aca="false">IF(AND(X$318&lt;0,Y$318&gt;=0),18+(-X$318)/Y$276,0)</f>
        <v>0</v>
      </c>
      <c r="Z319" s="50" t="n">
        <f aca="false">IF(AND(Y$318&lt;0,Z$318&gt;=0),19+(-Y$318)/Z$276,0)</f>
        <v>0</v>
      </c>
      <c r="AA319" s="50" t="n">
        <f aca="false">IF(AND(Z$318&lt;0,AA$318&gt;=0),20+(-Z$318)/AA$276,0)</f>
        <v>0</v>
      </c>
      <c r="AB319" s="50" t="n">
        <f aca="false">IF(AND(AA$318&lt;0,AB$318&gt;=0),21+(-AA$318)/AB$276,0)</f>
        <v>0</v>
      </c>
      <c r="AC319" s="50" t="n">
        <f aca="false">IF(AND(AB$318&lt;0,AC$318&gt;=0),22+(-AB$318)/AC$276,0)</f>
        <v>0</v>
      </c>
      <c r="AD319" s="50" t="n">
        <f aca="false">IF(AND(AC$318&lt;0,AD$318&gt;=0),23+(-AC$318)/AD$276,0)</f>
        <v>0</v>
      </c>
      <c r="AE319" s="50" t="n">
        <f aca="false">IF(AND(AD$318&lt;0,AE$318&gt;=0),24+(-AD$318)/AE$276,0)</f>
        <v>0</v>
      </c>
      <c r="AF319" s="50" t="n">
        <f aca="false">IF(AND(AE$318&lt;0,AF$318&gt;=0),25+(-AE$318)/AF$276,0)</f>
        <v>0</v>
      </c>
      <c r="AG319" s="50" t="n">
        <f aca="false">IF(AND(AF$318&lt;0,AG$318&gt;=0),26+(-AF$318)/AG$276,0)</f>
        <v>0</v>
      </c>
      <c r="AH319" s="50" t="n">
        <f aca="false">IF(AND(AG$318&lt;0,AH$318&gt;=0),27+(-AG$318)/AH$276,0)</f>
        <v>0</v>
      </c>
      <c r="AI319" s="50" t="n">
        <f aca="false">IF(AND(AH$318&lt;0,AI$318&gt;=0),28+(-AH$318)/AI$276,0)</f>
        <v>0</v>
      </c>
      <c r="AJ319" s="50" t="n">
        <f aca="false">IF(AND(AI$318&lt;0,AJ$318&gt;=0),29+(-AI$318)/AJ$276,0)</f>
        <v>0</v>
      </c>
      <c r="AK319" s="50" t="n">
        <f aca="false">IF(AND(AJ$318&lt;0,AK$318&gt;=0),30+(-AJ$318)/AK$276,0)</f>
        <v>0</v>
      </c>
      <c r="AL319" s="50" t="n">
        <f aca="false">IF(AND(AK$318&lt;0,AL$318&gt;=0),31+(-AK$318)/AL$276,0)</f>
        <v>0</v>
      </c>
      <c r="AM319" s="50" t="n">
        <f aca="false">IF(AND(AL$318&lt;0,AM$318&gt;=0),32+(-AL$318)/AM$276,0)</f>
        <v>0</v>
      </c>
      <c r="AN319" s="50" t="n">
        <f aca="false">IF(AND(AM$318&lt;0,AN$318&gt;=0),33+(-AM$318)/AN$276,0)</f>
        <v>0</v>
      </c>
      <c r="AO319" s="50" t="n">
        <f aca="false">IF(AND(AN$318&lt;0,AO$318&gt;=0),34+(-AN$318)/AO$276,0)</f>
        <v>0</v>
      </c>
      <c r="AP319" s="50" t="n">
        <f aca="false">IF(AND(AO$318&lt;0,AP$318&gt;=0),35+(-AO$318)/AP$276,0)</f>
        <v>0</v>
      </c>
      <c r="AQ319" s="50" t="n">
        <f aca="false">IF(AND(AP$318&lt;0,AQ$318&gt;=0),36+(-AP$318)/AQ$276,0)</f>
        <v>0</v>
      </c>
      <c r="AR319" s="50" t="n">
        <f aca="false">IF(AND(AQ$318&lt;0,AR$318&gt;=0),37+(-AQ$318)/AR$276,0)</f>
        <v>0</v>
      </c>
      <c r="AS319" s="50" t="n">
        <f aca="false">IF(AND(AR$318&lt;0,AS$318&gt;=0),38+(-AR$318)/AS$276,0)</f>
        <v>0</v>
      </c>
      <c r="AT319" s="50" t="n">
        <f aca="false">IF(AND(AS$318&lt;0,AT$318&gt;=0),39+(-AS$318)/AT$276,0)</f>
        <v>0</v>
      </c>
      <c r="AU319" s="50" t="n">
        <f aca="false">IF(AND(AT$318&lt;0,AU$318&gt;=0),40+(-AT$318)/AU$276,0)</f>
        <v>0</v>
      </c>
      <c r="AV319" s="50" t="n">
        <f aca="false">IF(AND(AU$318&lt;0,AV$318&gt;=0),41+(-AU$318)/AV$276,0)</f>
        <v>0</v>
      </c>
      <c r="AW319" s="50" t="n">
        <f aca="false">IF(AND(AV$318&lt;0,AW$318&gt;=0),42+(-AV$318)/AW$276,0)</f>
        <v>0</v>
      </c>
      <c r="AX319" s="50" t="n">
        <f aca="false">IF(AND(AW$318&lt;0,AX$318&gt;=0),43+(-AW$318)/AX$276,0)</f>
        <v>0</v>
      </c>
      <c r="AY319" s="50" t="n">
        <f aca="false">IF(AND(AX$318&lt;0,AY$318&gt;=0),44+(-AX$318)/AY$276,0)</f>
        <v>0</v>
      </c>
      <c r="AZ319" s="50" t="n">
        <f aca="false">IF(AND(AY$318&lt;0,AZ$318&gt;=0),45+(-AY$318)/AZ$276,0)</f>
        <v>0</v>
      </c>
      <c r="BA319" s="50" t="n">
        <f aca="false">IF(AND(AZ$318&lt;0,BA$318&gt;=0),46+(-AZ$318)/BA$276,0)</f>
        <v>0</v>
      </c>
      <c r="BB319" s="50" t="n">
        <f aca="false">IF(AND(BA$318&lt;0,BB$318&gt;=0),47+(-BA$318)/BB$276,0)</f>
        <v>0</v>
      </c>
      <c r="BC319" s="50" t="n">
        <f aca="false">IF(AND(BB$318&lt;0,BC$318&gt;=0),48+(-BB$318)/BC$276,0)</f>
        <v>0</v>
      </c>
      <c r="BD319" s="50" t="n">
        <f aca="false">IF(AND(BC$318&lt;0,BD$318&gt;=0),49+(-BC$318)/BD$276,0)</f>
        <v>49.5317160695949</v>
      </c>
      <c r="BE319" s="50" t="n">
        <f aca="false">IF(AND(BD$318&lt;0,BE$318&gt;=0),50+(-BD$318)/BE$276,0)</f>
        <v>0</v>
      </c>
      <c r="BF319" s="50" t="n">
        <f aca="false">IF(AND(BE$318&lt;0,BF$318&gt;=0),51+(-BE$318)/BF$276,0)</f>
        <v>0</v>
      </c>
      <c r="BG319" s="50" t="n">
        <f aca="false">IF(AND(BF$318&lt;0,BG$318&gt;=0),52+(-BF$318)/BG$276,0)</f>
        <v>0</v>
      </c>
      <c r="BH319" s="50" t="n">
        <f aca="false">IF(AND(BG$318&lt;0,BH$318&gt;=0),53+(-BG$318)/BH$276,0)</f>
        <v>0</v>
      </c>
      <c r="BI319" s="50" t="n">
        <f aca="false">IF(AND(BH$318&lt;0,BI$318&gt;=0),54+(-BH$318)/BI$276,0)</f>
        <v>0</v>
      </c>
      <c r="BJ319" s="50" t="n">
        <f aca="false">IF(AND(BI$318&lt;0,BJ$318&gt;=0),55+(-BI$318)/BJ$276,0)</f>
        <v>0</v>
      </c>
      <c r="BK319" s="50" t="n">
        <f aca="false">IF(AND(BJ$318&lt;0,BK$318&gt;=0),56+(-BJ$318)/BK$276,0)</f>
        <v>0</v>
      </c>
      <c r="BL319" s="50" t="n">
        <f aca="false">IF(AND(BK$318&lt;0,BL$318&gt;=0),57+(-BK$318)/BL$276,0)</f>
        <v>0</v>
      </c>
      <c r="BM319" s="50" t="n">
        <f aca="false">IF(AND(BL$318&lt;0,BM$318&gt;=0),58+(-BL$318)/BM$276,0)</f>
        <v>0</v>
      </c>
      <c r="BN319" s="50" t="n">
        <f aca="false">IF(AND(BM$318&lt;0,BN$318&gt;=0),59+(-BM$318)/BN$276,0)</f>
        <v>0</v>
      </c>
      <c r="BO319" s="50" t="n">
        <f aca="false">IF(AND(BN$318&lt;0,BO$318&gt;=0),60+(-BN$318)/BO$276,0)</f>
        <v>0</v>
      </c>
      <c r="BP319" s="50" t="n">
        <f aca="false">IF(AND(BO$318&lt;0,BP$318&gt;=0),61+(-BO$318)/BP$276,0)</f>
        <v>0</v>
      </c>
      <c r="BQ319" s="50" t="n">
        <f aca="false">IF(AND(BP$318&lt;0,BQ$318&gt;=0),62+(-BP$318)/BQ$276,0)</f>
        <v>0</v>
      </c>
      <c r="BR319" s="50" t="n">
        <f aca="false">IF(AND(BQ$318&lt;0,BR$318&gt;=0),63+(-BQ$318)/BR$276,0)</f>
        <v>0</v>
      </c>
      <c r="BS319" s="50" t="n">
        <f aca="false">IF(AND(BR$318&lt;0,BS$318&gt;=0),64+(-BR$318)/BS$276,0)</f>
        <v>0</v>
      </c>
      <c r="BT319" s="50" t="n">
        <f aca="false">IF(AND(BS$318&lt;0,BT$318&gt;=0),65+(-BS$318)/BT$276,0)</f>
        <v>0</v>
      </c>
      <c r="BU319" s="50" t="n">
        <f aca="false">IF(AND(BT$318&lt;0,BU$318&gt;=0),66+(-BT$318)/BU$276,0)</f>
        <v>0</v>
      </c>
      <c r="BV319" s="50" t="n">
        <f aca="false">IF(AND(BU$318&lt;0,BV$318&gt;=0),67+(-BU$318)/BV$276,0)</f>
        <v>0</v>
      </c>
      <c r="BW319" s="50" t="n">
        <f aca="false">IF(AND(BV$318&lt;0,BW$318&gt;=0),68+(-BV$318)/BW$276,0)</f>
        <v>0</v>
      </c>
      <c r="BX319" s="50" t="n">
        <f aca="false">IF(AND(BW$318&lt;0,BX$318&gt;=0),69+(-BW$318)/BX$276,0)</f>
        <v>0</v>
      </c>
      <c r="BY319" s="50" t="n">
        <f aca="false">IF(AND(BX$318&lt;0,BY$318&gt;=0),70+(-BX$318)/BY$276,0)</f>
        <v>0</v>
      </c>
      <c r="BZ319" s="50" t="n">
        <f aca="false">IF(AND(BY$318&lt;0,BZ$318&gt;=0),71+(-BY$318)/BZ$276,0)</f>
        <v>0</v>
      </c>
      <c r="CA319" s="50" t="n">
        <f aca="false">IF(AND(BZ$318&lt;0,CA$318&gt;=0),72+(-BZ$318)/CA$276,0)</f>
        <v>0</v>
      </c>
      <c r="CB319" s="50" t="n">
        <f aca="false">IF(AND(CA$318&lt;0,CB$318&gt;=0),73+(-CA$318)/CB$276,0)</f>
        <v>0</v>
      </c>
      <c r="CC319" s="50" t="n">
        <f aca="false">IF(AND(CB$318&lt;0,CC$318&gt;=0),74+(-CB$318)/CC$276,0)</f>
        <v>0</v>
      </c>
      <c r="CD319" s="50" t="n">
        <f aca="false">IF(AND(CC$318&lt;0,CD$318&gt;=0),75+(-CC$318)/CD$276,0)</f>
        <v>0</v>
      </c>
      <c r="CE319" s="50" t="n">
        <f aca="false">IF(AND(CD$318&lt;0,CE$318&gt;=0),76+(-CD$318)/CE$276,0)</f>
        <v>0</v>
      </c>
      <c r="CF319" s="50" t="n">
        <f aca="false">IF(AND(CE$318&lt;0,CF$318&gt;=0),77+(-CE$318)/CF$276,0)</f>
        <v>0</v>
      </c>
      <c r="CG319" s="50" t="n">
        <f aca="false">IF(AND(CF$318&lt;0,CG$318&gt;=0),78+(-CF$318)/CG$276,0)</f>
        <v>0</v>
      </c>
      <c r="CH319" s="50" t="n">
        <f aca="false">IF(AND(CG$318&lt;0,CH$318&gt;=0),79+(-CG$318)/CH$276,0)</f>
        <v>0</v>
      </c>
      <c r="CI319" s="50" t="n">
        <f aca="false">IF(AND(CH$318&lt;0,CI$318&gt;=0),80+(-CH$318)/CI$276,0)</f>
        <v>0</v>
      </c>
      <c r="CJ319" s="50" t="n">
        <f aca="false">IF(AND(CI$318&lt;0,CJ$318&gt;=0),81+(-CI$318)/CJ$276,0)</f>
        <v>0</v>
      </c>
      <c r="CK319" s="50" t="n">
        <f aca="false">IF(AND(CJ$318&lt;0,CK$318&gt;=0),82+(-CJ$318)/CK$276,0)</f>
        <v>0</v>
      </c>
      <c r="CL319" s="50" t="n">
        <f aca="false">IF(AND(CK$318&lt;0,CL$318&gt;=0),83+(-CK$318)/CL$276,0)</f>
        <v>0</v>
      </c>
      <c r="CM319" s="50" t="n">
        <f aca="false">IF(AND(CL$318&lt;0,CM$318&gt;=0),84+(-CL$318)/CM$276,0)</f>
        <v>0</v>
      </c>
      <c r="CN319" s="50" t="n">
        <f aca="false">IF(AND(CM$318&lt;0,CN$318&gt;=0),85+(-CM$318)/CN$276,0)</f>
        <v>0</v>
      </c>
      <c r="CO319" s="50" t="n">
        <f aca="false">IF(AND(CN$318&lt;0,CO$318&gt;=0),86+(-CN$318)/CO$276,0)</f>
        <v>0</v>
      </c>
      <c r="CP319" s="50" t="n">
        <f aca="false">IF(AND(CO$318&lt;0,CP$318&gt;=0),87+(-CO$318)/CP$276,0)</f>
        <v>0</v>
      </c>
      <c r="CQ319" s="50" t="n">
        <f aca="false">IF(AND(CP$318&lt;0,CQ$318&gt;=0),88+(-CP$318)/CQ$276,0)</f>
        <v>0</v>
      </c>
      <c r="CR319" s="50" t="n">
        <f aca="false">IF(AND(CQ$318&lt;0,CR$318&gt;=0),89+(-CQ$318)/CR$276,0)</f>
        <v>0</v>
      </c>
      <c r="CS319" s="50" t="n">
        <f aca="false">IF(AND(CR$318&lt;0,CS$318&gt;=0),90+(-CR$318)/CS$276,0)</f>
        <v>0</v>
      </c>
      <c r="CT319" s="50" t="n">
        <f aca="false">IF(AND(CS$318&lt;0,CT$318&gt;=0),91+(-CS$318)/CT$276,0)</f>
        <v>0</v>
      </c>
      <c r="CU319" s="50" t="n">
        <f aca="false">IF(AND(CT$318&lt;0,CU$318&gt;=0),92+(-CT$318)/CU$276,0)</f>
        <v>0</v>
      </c>
      <c r="CV319" s="50" t="n">
        <f aca="false">IF(AND(CU$318&lt;0,CV$318&gt;=0),93+(-CU$318)/CV$276,0)</f>
        <v>0</v>
      </c>
      <c r="CW319" s="50" t="n">
        <f aca="false">IF(AND(CV$318&lt;0,CW$318&gt;=0),94+(-CV$318)/CW$276,0)</f>
        <v>0</v>
      </c>
      <c r="CX319" s="50" t="n">
        <f aca="false">IF(AND(CW$318&lt;0,CX$318&gt;=0),95+(-CW$318)/CX$276,0)</f>
        <v>0</v>
      </c>
      <c r="CY319" s="50" t="n">
        <f aca="false">IF(AND(CX$318&lt;0,CY$318&gt;=0),96+(-CX$318)/CY$276,0)</f>
        <v>0</v>
      </c>
      <c r="CZ319" s="50" t="n">
        <f aca="false">IF(AND(CY$318&lt;0,CZ$318&gt;=0),97+(-CY$318)/CZ$276,0)</f>
        <v>0</v>
      </c>
      <c r="DA319" s="50" t="n">
        <f aca="false">IF(AND(CZ$318&lt;0,DA$318&gt;=0),98+(-CZ$318)/DA$276,0)</f>
        <v>0</v>
      </c>
      <c r="DB319" s="50" t="n">
        <f aca="false">IF(AND(DA$318&lt;0,DB$318&gt;=0),99+(-DA$318)/DB$276,0)</f>
        <v>0</v>
      </c>
      <c r="DC319" s="50" t="n">
        <f aca="false">IF(AND(DB$318&lt;0,DC$318&gt;=0),100+(-DB$318)/DC$276,0)</f>
        <v>0</v>
      </c>
      <c r="DD319" s="50" t="n">
        <f aca="false">IF(AND(DC$318&lt;0,DD$318&gt;=0),101+(-DC$318)/DD$276,0)</f>
        <v>0</v>
      </c>
      <c r="DE319" s="50" t="n">
        <f aca="false">IF(AND(DD$318&lt;0,DE$318&gt;=0),102+(-DD$318)/DE$276,0)</f>
        <v>0</v>
      </c>
      <c r="DF319" s="50" t="n">
        <f aca="false">IF(AND(DE$318&lt;0,DF$318&gt;=0),103+(-DE$318)/DF$276,0)</f>
        <v>0</v>
      </c>
      <c r="DG319" s="50" t="n">
        <f aca="false">IF(AND(DF$318&lt;0,DG$318&gt;=0),104+(-DF$318)/DG$276,0)</f>
        <v>0</v>
      </c>
      <c r="DH319" s="50" t="n">
        <f aca="false">IF(AND(DG$318&lt;0,DH$318&gt;=0),105+(-DG$318)/DH$276,0)</f>
        <v>0</v>
      </c>
      <c r="DI319" s="50" t="n">
        <f aca="false">IF(AND(DH$318&lt;0,DI$318&gt;=0),106+(-DH$318)/DI$276,0)</f>
        <v>0</v>
      </c>
      <c r="DJ319" s="50" t="n">
        <f aca="false">IF(AND(DI$318&lt;0,DJ$318&gt;=0),107+(-DI$318)/DJ$276,0)</f>
        <v>0</v>
      </c>
      <c r="DK319" s="50" t="n">
        <f aca="false">IF(AND(DJ$318&lt;0,DK$318&gt;=0),108+(-DJ$318)/DK$276,0)</f>
        <v>0</v>
      </c>
      <c r="DL319" s="50" t="n">
        <f aca="false">IF(AND(DK$318&lt;0,DL$318&gt;=0),109+(-DK$318)/DL$276,0)</f>
        <v>0</v>
      </c>
      <c r="DM319" s="50" t="n">
        <f aca="false">IF(AND(DL$318&lt;0,DM$318&gt;=0),110+(-DL$318)/DM$276,0)</f>
        <v>0</v>
      </c>
      <c r="DN319" s="50" t="n">
        <f aca="false">IF(AND(DM$318&lt;0,DN$318&gt;=0),111+(-DM$318)/DN$276,0)</f>
        <v>0</v>
      </c>
      <c r="DO319" s="50" t="n">
        <f aca="false">IF(AND(DN$318&lt;0,DO$318&gt;=0),112+(-DN$318)/DO$276,0)</f>
        <v>0</v>
      </c>
      <c r="DP319" s="50" t="n">
        <f aca="false">IF(AND(DO$318&lt;0,DP$318&gt;=0),113+(-DO$318)/DP$276,0)</f>
        <v>0</v>
      </c>
      <c r="DQ319" s="50" t="n">
        <f aca="false">IF(AND(DP$318&lt;0,DQ$318&gt;=0),114+(-DP$318)/DQ$276,0)</f>
        <v>0</v>
      </c>
      <c r="DR319" s="50" t="n">
        <f aca="false">IF(AND(DQ$318&lt;0,DR$318&gt;=0),115+(-DQ$318)/DR$276,0)</f>
        <v>0</v>
      </c>
      <c r="DS319" s="50" t="n">
        <f aca="false">IF(AND(DR$318&lt;0,DS$318&gt;=0),116+(-DR$318)/DS$276,0)</f>
        <v>0</v>
      </c>
      <c r="DT319" s="50" t="n">
        <f aca="false">IF(AND(DS$318&lt;0,DT$318&gt;=0),117+(-DS$318)/DT$276,0)</f>
        <v>0</v>
      </c>
      <c r="DU319" s="50" t="n">
        <f aca="false">IF(AND(DT$318&lt;0,DU$318&gt;=0),118+(-DT$318)/DU$276,0)</f>
        <v>0</v>
      </c>
      <c r="DV319" s="50" t="n">
        <f aca="false">IF(AND(DU$318&lt;0,DV$318&gt;=0),119+(-DU$318)/DV$276,0)</f>
        <v>0</v>
      </c>
      <c r="DW319" s="50" t="n">
        <f aca="false">IF(AND(DV$318&lt;0,DW$318&gt;=0),120+(-DV$318)/DW$276,0)</f>
        <v>0</v>
      </c>
      <c r="DX319" s="50" t="n">
        <f aca="false">IF(AND(DW$318&lt;0,DX$318&gt;=0),121+(-DW$318)/DX$276,0)</f>
        <v>0</v>
      </c>
      <c r="DY319" s="50" t="n">
        <f aca="false">IF(AND(DX$318&lt;0,DY$318&gt;=0),122+(-DX$318)/DY$276,0)</f>
        <v>0</v>
      </c>
      <c r="DZ319" s="50" t="n">
        <f aca="false">IF(AND(DY$318&lt;0,DZ$318&gt;=0),123+(-DY$318)/DZ$276,0)</f>
        <v>0</v>
      </c>
      <c r="EA319" s="50" t="n">
        <f aca="false">IF(AND(DZ$318&lt;0,EA$318&gt;=0),124+(-DZ$318)/EA$276,0)</f>
        <v>0</v>
      </c>
      <c r="EB319" s="50" t="n">
        <f aca="false">IF(AND(EA$318&lt;0,EB$318&gt;=0),125+(-EA$318)/EB$276,0)</f>
        <v>0</v>
      </c>
      <c r="EC319" s="50" t="n">
        <f aca="false">IF(AND(EB$318&lt;0,EC$318&gt;=0),126+(-EB$318)/EC$276,0)</f>
        <v>0</v>
      </c>
      <c r="ED319" s="50" t="n">
        <f aca="false">IF(AND(EC$318&lt;0,ED$318&gt;=0),127+(-EC$318)/ED$276,0)</f>
        <v>0</v>
      </c>
      <c r="EE319" s="50" t="n">
        <f aca="false">IF(AND(ED$318&lt;0,EE$318&gt;=0),128+(-ED$318)/EE$276,0)</f>
        <v>0</v>
      </c>
      <c r="EF319" s="50" t="n">
        <f aca="false">IF(AND(EE$318&lt;0,EF$318&gt;=0),129+(-EE$318)/EF$276,0)</f>
        <v>0</v>
      </c>
      <c r="EG319" s="50" t="n">
        <f aca="false">IF(AND(EF$318&lt;0,EG$318&gt;=0),130+(-EF$318)/EG$276,0)</f>
        <v>0</v>
      </c>
      <c r="EH319" s="50" t="n">
        <f aca="false">IF(AND(EG$318&lt;0,EH$318&gt;=0),131+(-EG$318)/EH$276,0)</f>
        <v>0</v>
      </c>
      <c r="EI319" s="50" t="n">
        <f aca="false">IF(AND(EH$318&lt;0,EI$318&gt;=0),132+(-EH$318)/EI$276,0)</f>
        <v>0</v>
      </c>
      <c r="EJ319" s="50" t="n">
        <f aca="false">IF(AND(EI$318&lt;0,EJ$318&gt;=0),133+(-EI$318)/EJ$276,0)</f>
        <v>0</v>
      </c>
      <c r="EK319" s="50" t="n">
        <f aca="false">IF(AND(EJ$318&lt;0,EK$318&gt;=0),134+(-EJ$318)/EK$276,0)</f>
        <v>0</v>
      </c>
      <c r="EL319" s="50" t="n">
        <f aca="false">IF(AND(EK$318&lt;0,EL$318&gt;=0),135+(-EK$318)/EL$276,0)</f>
        <v>0</v>
      </c>
      <c r="EM319" s="50" t="n">
        <f aca="false">IF(AND(EL$318&lt;0,EM$318&gt;=0),136+(-EL$318)/EM$276,0)</f>
        <v>0</v>
      </c>
      <c r="EN319" s="50" t="n">
        <f aca="false">IF(AND(EM$318&lt;0,EN$318&gt;=0),137+(-EM$318)/EN$276,0)</f>
        <v>0</v>
      </c>
      <c r="EO319" s="50" t="n">
        <f aca="false">IF(AND(EN$318&lt;0,EO$318&gt;=0),138+(-EN$318)/EO$276,0)</f>
        <v>0</v>
      </c>
      <c r="EP319" s="50" t="n">
        <f aca="false">IF(AND(EO$318&lt;0,EP$318&gt;=0),139+(-EO$318)/EP$276,0)</f>
        <v>0</v>
      </c>
      <c r="EQ319" s="50" t="n">
        <f aca="false">IF(AND(EP$318&lt;0,EQ$318&gt;=0),140+(-EP$318)/EQ$276,0)</f>
        <v>0</v>
      </c>
      <c r="ER319" s="50" t="n">
        <f aca="false">IF(AND(EQ$318&lt;0,ER$318&gt;=0),141+(-EQ$318)/ER$276,0)</f>
        <v>0</v>
      </c>
      <c r="ES319" s="50" t="n">
        <f aca="false">IF(AND(ER$318&lt;0,ES$318&gt;=0),142+(-ER$318)/ES$276,0)</f>
        <v>0</v>
      </c>
    </row>
    <row r="320" customFormat="false" ht="15" hidden="false" customHeight="false" outlineLevel="0" collapsed="false">
      <c r="A320" s="11" t="s">
        <v>1436</v>
      </c>
      <c r="B320" s="15" t="s">
        <v>1290</v>
      </c>
      <c r="C320" s="15" t="s">
        <v>508</v>
      </c>
      <c r="E320" s="54" t="n">
        <f aca="false">INDEX(F320:ES320,1,MIN(144,Fin))</f>
        <v>6147646.16149837</v>
      </c>
      <c r="F320" s="48" t="n">
        <f aca="false">0+F$294+F$263-F$309+F$311</f>
        <v>781282.890308923</v>
      </c>
      <c r="G320" s="48" t="n">
        <f aca="false">F$320+G$294+G$263-G$309+G$311</f>
        <v>794783.780617846</v>
      </c>
      <c r="H320" s="48" t="n">
        <f aca="false">G$320+H$294+H$263-H$309+H$311</f>
        <v>808284.670926769</v>
      </c>
      <c r="I320" s="48" t="n">
        <f aca="false">H$320+I$294+I$263-I$309+I$311</f>
        <v>821785.561235692</v>
      </c>
      <c r="J320" s="48" t="n">
        <f aca="false">I$320+J$294+J$263-J$309+J$311</f>
        <v>835286.451544615</v>
      </c>
      <c r="K320" s="48" t="n">
        <f aca="false">J$320+K$294+K$263-K$309+K$311</f>
        <v>848787.341853539</v>
      </c>
      <c r="L320" s="48" t="n">
        <f aca="false">K$320+L$294+L$263-L$309+L$311</f>
        <v>862288.232162462</v>
      </c>
      <c r="M320" s="48" t="n">
        <f aca="false">L$320+M$294+M$263-M$309+M$311</f>
        <v>876136.639730166</v>
      </c>
      <c r="N320" s="48" t="n">
        <f aca="false">M$320+N$294+N$263-N$309+N$311</f>
        <v>890335.170936092</v>
      </c>
      <c r="O320" s="48" t="n">
        <f aca="false">N$320+O$294+O$263-O$309+O$311</f>
        <v>904886.451707527</v>
      </c>
      <c r="P320" s="48" t="n">
        <f aca="false">O$320+P$294+P$263-P$309+P$311</f>
        <v>919793.127666212</v>
      </c>
      <c r="Q320" s="48" t="n">
        <f aca="false">P$320+Q$294+Q$263-Q$309+Q$311</f>
        <v>935057.864276052</v>
      </c>
      <c r="R320" s="48" t="n">
        <f aca="false">Q$320+R$294+R$263-R$309+R$311</f>
        <v>1359776.91617697</v>
      </c>
      <c r="S320" s="48" t="n">
        <f aca="false">R$320+S$294+S$263-S$309+S$311</f>
        <v>1412931.41977972</v>
      </c>
      <c r="T320" s="48" t="n">
        <f aca="false">S$320+T$294+T$263-T$309+T$311</f>
        <v>1466452.10097207</v>
      </c>
      <c r="U320" s="48" t="n">
        <f aca="false">T$320+U$294+U$263-U$309+U$311</f>
        <v>1520341.70608594</v>
      </c>
      <c r="V320" s="48" t="n">
        <f aca="false">U$320+V$294+V$263-V$309+V$311</f>
        <v>1574603.00205074</v>
      </c>
      <c r="W320" s="48" t="n">
        <f aca="false">V$320+W$294+W$263-W$309+W$311</f>
        <v>1629238.77654785</v>
      </c>
      <c r="X320" s="48" t="n">
        <f aca="false">W$320+X$294+X$263-X$309+X$311</f>
        <v>1684251.83816627</v>
      </c>
      <c r="Y320" s="48" t="n">
        <f aca="false">X$320+Y$294+Y$263-Y$309+Y$311</f>
        <v>1739645.0165594</v>
      </c>
      <c r="Z320" s="48" t="n">
        <f aca="false">Y$320+Z$294+Z$263-Z$309+Z$311</f>
        <v>1795421.16260306</v>
      </c>
      <c r="AA320" s="48" t="n">
        <f aca="false">Z$320+AA$294+AA$263-AA$309+AA$311</f>
        <v>1851583.14855461</v>
      </c>
      <c r="AB320" s="48" t="n">
        <f aca="false">AA$320+AB$294+AB$263-AB$309+AB$311</f>
        <v>1908133.86821339</v>
      </c>
      <c r="AC320" s="48" t="n">
        <f aca="false">AB$320+AC$294+AC$263-AC$309+AC$311</f>
        <v>1965076.23708218</v>
      </c>
      <c r="AD320" s="48" t="n">
        <f aca="false">AC$320+AD$294+AD$263-AD$309+AD$311</f>
        <v>2059001.82040122</v>
      </c>
      <c r="AE320" s="48" t="n">
        <f aca="false">AD$320+AE$294+AE$263-AE$309+AE$311</f>
        <v>2153324.9496987</v>
      </c>
      <c r="AF320" s="48" t="n">
        <f aca="false">AE$320+AF$294+AF$263-AF$309+AF$311</f>
        <v>2248048.60656945</v>
      </c>
      <c r="AG320" s="48" t="n">
        <f aca="false">AF$320+AG$294+AG$263-AG$309+AG$311</f>
        <v>2343175.79497027</v>
      </c>
      <c r="AH320" s="48" t="n">
        <f aca="false">AG$320+AH$294+AH$263-AH$309+AH$311</f>
        <v>2438709.54138765</v>
      </c>
      <c r="AI320" s="48" t="n">
        <f aca="false">AH$320+AI$294+AI$263-AI$309+AI$311</f>
        <v>2534652.8950067</v>
      </c>
      <c r="AJ320" s="48" t="n">
        <f aca="false">AI$320+AJ$294+AJ$263-AJ$309+AJ$311</f>
        <v>2631008.92788143</v>
      </c>
      <c r="AK320" s="48" t="n">
        <f aca="false">AJ$320+AK$294+AK$263-AK$309+AK$311</f>
        <v>2727780.73510626</v>
      </c>
      <c r="AL320" s="48" t="n">
        <f aca="false">AK$320+AL$294+AL$263-AL$309+AL$311</f>
        <v>2824971.43498883</v>
      </c>
      <c r="AM320" s="48" t="n">
        <f aca="false">AL$320+AM$294+AM$263-AM$309+AM$311</f>
        <v>2922584.16922406</v>
      </c>
      <c r="AN320" s="48" t="n">
        <f aca="false">AM$320+AN$294+AN$263-AN$309+AN$311</f>
        <v>3020622.10306959</v>
      </c>
      <c r="AO320" s="48" t="n">
        <f aca="false">AN$320+AO$294+AO$263-AO$309+AO$311</f>
        <v>3119088.42552251</v>
      </c>
      <c r="AP320" s="48" t="n">
        <f aca="false">AO$320+AP$294+AP$263-AP$309+AP$311</f>
        <v>3250794.8985121</v>
      </c>
      <c r="AQ320" s="48" t="n">
        <f aca="false">AP$320+AQ$294+AQ$263-AQ$309+AQ$311</f>
        <v>3382936.21003504</v>
      </c>
      <c r="AR320" s="48" t="n">
        <f aca="false">AQ$320+AR$294+AR$263-AR$309+AR$311</f>
        <v>3515515.62138034</v>
      </c>
      <c r="AS320" s="48" t="n">
        <f aca="false">AR$320+AS$294+AS$263-AS$309+AS$311</f>
        <v>3648536.41829667</v>
      </c>
      <c r="AT320" s="48" t="n">
        <f aca="false">AS$320+AT$294+AT$263-AT$309+AT$311</f>
        <v>3782001.91117579</v>
      </c>
      <c r="AU320" s="48" t="n">
        <f aca="false">AT$320+AU$294+AU$263-AU$309+AU$311</f>
        <v>3915915.43523744</v>
      </c>
      <c r="AV320" s="48" t="n">
        <f aca="false">AU$320+AV$294+AV$263-AV$309+AV$311</f>
        <v>4050280.35071549</v>
      </c>
      <c r="AW320" s="48" t="n">
        <f aca="false">AV$320+AW$294+AW$263-AW$309+AW$311</f>
        <v>4185100.04304555</v>
      </c>
      <c r="AX320" s="48" t="n">
        <f aca="false">AW$320+AX$294+AX$263-AX$309+AX$311</f>
        <v>4320377.92305403</v>
      </c>
      <c r="AY320" s="48" t="n">
        <f aca="false">AX$320+AY$294+AY$263-AY$309+AY$311</f>
        <v>4456117.42714849</v>
      </c>
      <c r="AZ320" s="48" t="n">
        <f aca="false">AY$320+AZ$294+AZ$263-AZ$309+AZ$311</f>
        <v>4592322.0175096</v>
      </c>
      <c r="BA320" s="48" t="n">
        <f aca="false">AZ$320+BA$294+BA$263-BA$309+BA$311</f>
        <v>4728995.18228435</v>
      </c>
      <c r="BB320" s="48" t="n">
        <f aca="false">BA$320+BB$294+BB$263-BB$309+BB$311</f>
        <v>4867460.02077736</v>
      </c>
      <c r="BC320" s="48" t="n">
        <f aca="false">BB$320+BC$294+BC$263-BC$309+BC$311</f>
        <v>5006400.48865752</v>
      </c>
      <c r="BD320" s="48" t="n">
        <f aca="false">BC$320+BD$294+BD$263-BD$309+BD$311</f>
        <v>5145820.15314525</v>
      </c>
      <c r="BE320" s="48" t="n">
        <f aca="false">BD$320+BE$294+BE$263-BE$309+BE$311</f>
        <v>4480769.22983416</v>
      </c>
      <c r="BF320" s="48" t="n">
        <f aca="false">BE$320+BF$294+BF$263-BF$309+BF$311</f>
        <v>4621158.09641548</v>
      </c>
      <c r="BG320" s="48" t="n">
        <f aca="false">BF$320+BG$294+BG$263-BG$309+BG$311</f>
        <v>4762037.02259462</v>
      </c>
      <c r="BH320" s="48" t="n">
        <f aca="false">BG$320+BH$294+BH$263-BH$309+BH$311</f>
        <v>4903409.68381857</v>
      </c>
      <c r="BI320" s="48" t="n">
        <f aca="false">BH$320+BI$294+BI$263-BI$309+BI$311</f>
        <v>5045279.78310014</v>
      </c>
      <c r="BJ320" s="48" t="n">
        <f aca="false">BI$320+BJ$294+BJ$263-BJ$309+BJ$311</f>
        <v>5187651.05122479</v>
      </c>
      <c r="BK320" s="48" t="n">
        <f aca="false">BJ$320+BK$294+BK$263-BK$309+BK$311</f>
        <v>5330527.24695884</v>
      </c>
      <c r="BL320" s="48" t="n">
        <f aca="false">BK$320+BL$294+BL$263-BL$309+BL$311</f>
        <v>5473912.15725934</v>
      </c>
      <c r="BM320" s="48" t="n">
        <f aca="false">BL$320+BM$294+BM$263-BM$309+BM$311</f>
        <v>5617809.59748556</v>
      </c>
      <c r="BN320" s="48" t="n">
        <f aca="false">BM$320+BN$294+BN$263-BN$309+BN$311</f>
        <v>5767325.32186672</v>
      </c>
      <c r="BO320" s="48" t="n">
        <f aca="false">BN$320+BO$294+BO$263-BO$309+BO$311</f>
        <v>5916841.04624788</v>
      </c>
      <c r="BP320" s="48" t="n">
        <f aca="false">BO$320+BP$294+BP$263-BP$309+BP$311</f>
        <v>6066356.77062904</v>
      </c>
      <c r="BQ320" s="48" t="n">
        <f aca="false">BP$320+BQ$294+BQ$263-BQ$309+BQ$311</f>
        <v>4751945.95064198</v>
      </c>
      <c r="BR320" s="48" t="n">
        <f aca="false">BQ$320+BR$294+BR$263-BR$309+BR$311</f>
        <v>4901461.67502314</v>
      </c>
      <c r="BS320" s="48" t="n">
        <f aca="false">BR$320+BS$294+BS$263-BS$309+BS$311</f>
        <v>5050977.3994043</v>
      </c>
      <c r="BT320" s="48" t="n">
        <f aca="false">BS$320+BT$294+BT$263-BT$309+BT$311</f>
        <v>5200493.12378545</v>
      </c>
      <c r="BU320" s="48" t="n">
        <f aca="false">BT$320+BU$294+BU$263-BU$309+BU$311</f>
        <v>5350008.84816661</v>
      </c>
      <c r="BV320" s="48" t="n">
        <f aca="false">BU$320+BV$294+BV$263-BV$309+BV$311</f>
        <v>5499524.57254777</v>
      </c>
      <c r="BW320" s="48" t="n">
        <f aca="false">BV$320+BW$294+BW$263-BW$309+BW$311</f>
        <v>5649040.29692893</v>
      </c>
      <c r="BX320" s="48" t="n">
        <f aca="false">BW$320+BX$294+BX$263-BX$309+BX$311</f>
        <v>5798556.02131009</v>
      </c>
      <c r="BY320" s="48" t="n">
        <f aca="false">BX$320+BY$294+BY$263-BY$309+BY$311</f>
        <v>5948071.74569125</v>
      </c>
      <c r="BZ320" s="48" t="n">
        <f aca="false">BY$320+BZ$294+BZ$263-BZ$309+BZ$311</f>
        <v>6101703.05076398</v>
      </c>
      <c r="CA320" s="48" t="n">
        <f aca="false">BZ$320+CA$294+CA$263-CA$309+CA$311</f>
        <v>6255334.35583672</v>
      </c>
      <c r="CB320" s="48" t="n">
        <f aca="false">CA$320+CB$294+CB$263-CB$309+CB$311</f>
        <v>6408965.66090945</v>
      </c>
      <c r="CC320" s="48" t="n">
        <f aca="false">CB$320+CC$294+CC$263-CC$309+CC$311</f>
        <v>4768408.27340827</v>
      </c>
      <c r="CD320" s="48" t="n">
        <f aca="false">CC$320+CD$294+CD$263-CD$309+CD$311</f>
        <v>4922039.578481</v>
      </c>
      <c r="CE320" s="48" t="n">
        <f aca="false">CD$320+CE$294+CE$263-CE$309+CE$311</f>
        <v>5075670.88355373</v>
      </c>
      <c r="CF320" s="48" t="n">
        <f aca="false">CE$320+CF$294+CF$263-CF$309+CF$311</f>
        <v>5229302.18862647</v>
      </c>
      <c r="CG320" s="48" t="n">
        <f aca="false">CF$320+CG$294+CG$263-CG$309+CG$311</f>
        <v>5382933.4936992</v>
      </c>
      <c r="CH320" s="48" t="n">
        <f aca="false">CG$320+CH$294+CH$263-CH$309+CH$311</f>
        <v>5536564.79877193</v>
      </c>
      <c r="CI320" s="48" t="n">
        <f aca="false">CH$320+CI$294+CI$263-CI$309+CI$311</f>
        <v>5690196.10384467</v>
      </c>
      <c r="CJ320" s="48" t="n">
        <f aca="false">CI$320+CJ$294+CJ$263-CJ$309+CJ$311</f>
        <v>5843827.4089174</v>
      </c>
      <c r="CK320" s="48" t="n">
        <f aca="false">CJ$320+CK$294+CK$263-CK$309+CK$311</f>
        <v>5997458.71399013</v>
      </c>
      <c r="CL320" s="48" t="n">
        <f aca="false">CK$320+CL$294+CL$263-CL$309+CL$311</f>
        <v>6155233.81511975</v>
      </c>
      <c r="CM320" s="48" t="n">
        <f aca="false">CL$320+CM$294+CM$263-CM$309+CM$311</f>
        <v>6313008.91624938</v>
      </c>
      <c r="CN320" s="48" t="n">
        <f aca="false">CM$320+CN$294+CN$263-CN$309+CN$311</f>
        <v>6470784.017379</v>
      </c>
      <c r="CO320" s="48" t="n">
        <f aca="false">CN$320+CO$294+CO$263-CO$309+CO$311</f>
        <v>4784983.45763582</v>
      </c>
      <c r="CP320" s="48" t="n">
        <f aca="false">CO$320+CP$294+CP$263-CP$309+CP$311</f>
        <v>4942758.55876544</v>
      </c>
      <c r="CQ320" s="48" t="n">
        <f aca="false">CP$320+CQ$294+CQ$263-CQ$309+CQ$311</f>
        <v>5100533.65989506</v>
      </c>
      <c r="CR320" s="48" t="n">
        <f aca="false">CQ$320+CR$294+CR$263-CR$309+CR$311</f>
        <v>5258308.76102468</v>
      </c>
      <c r="CS320" s="48" t="n">
        <f aca="false">CR$320+CS$294+CS$263-CS$309+CS$311</f>
        <v>5416083.86215431</v>
      </c>
      <c r="CT320" s="48" t="n">
        <f aca="false">CS$320+CT$294+CT$263-CT$309+CT$311</f>
        <v>5573858.96328393</v>
      </c>
      <c r="CU320" s="48" t="n">
        <f aca="false">CT$320+CU$294+CU$263-CU$309+CU$311</f>
        <v>5731634.06441355</v>
      </c>
      <c r="CV320" s="48" t="n">
        <f aca="false">CU$320+CV$294+CV$263-CV$309+CV$311</f>
        <v>5889409.16554317</v>
      </c>
      <c r="CW320" s="48" t="n">
        <f aca="false">CV$320+CW$294+CW$263-CW$309+CW$311</f>
        <v>6047184.26667279</v>
      </c>
      <c r="CX320" s="48" t="n">
        <f aca="false">CW$320+CX$294+CX$263-CX$309+CX$311</f>
        <v>6209131.27890503</v>
      </c>
      <c r="CY320" s="48" t="n">
        <f aca="false">CX$320+CY$294+CY$263-CY$309+CY$311</f>
        <v>6371078.29113727</v>
      </c>
      <c r="CZ320" s="48" t="n">
        <f aca="false">CY$320+CZ$294+CZ$263-CZ$309+CZ$311</f>
        <v>6533025.30336951</v>
      </c>
      <c r="DA320" s="48" t="n">
        <f aca="false">CZ$320+DA$294+DA$263-DA$309+DA$311</f>
        <v>4801671.10204631</v>
      </c>
      <c r="DB320" s="48" t="n">
        <f aca="false">DA$320+DB$294+DB$263-DB$309+DB$311</f>
        <v>4963618.11427855</v>
      </c>
      <c r="DC320" s="48" t="n">
        <f aca="false">DB$320+DC$294+DC$263-DC$309+DC$311</f>
        <v>5125565.12651079</v>
      </c>
      <c r="DD320" s="48" t="n">
        <f aca="false">DC$320+DD$294+DD$263-DD$309+DD$311</f>
        <v>5287512.13874303</v>
      </c>
      <c r="DE320" s="48" t="n">
        <f aca="false">DD$320+DE$294+DE$263-DE$309+DE$311</f>
        <v>5449459.15097527</v>
      </c>
      <c r="DF320" s="48" t="n">
        <f aca="false">DE$320+DF$294+DF$263-DF$309+DF$311</f>
        <v>5611406.16320751</v>
      </c>
      <c r="DG320" s="48" t="n">
        <f aca="false">DF$320+DG$294+DG$263-DG$309+DG$311</f>
        <v>5773353.17543975</v>
      </c>
      <c r="DH320" s="48" t="n">
        <f aca="false">DG$320+DH$294+DH$263-DH$309+DH$311</f>
        <v>5935300.18767199</v>
      </c>
      <c r="DI320" s="48" t="n">
        <f aca="false">DH$320+DI$294+DI$263-DI$309+DI$311</f>
        <v>6097247.19990424</v>
      </c>
      <c r="DJ320" s="48" t="n">
        <f aca="false">DI$320+DJ$294+DJ$263-DJ$309+DJ$311</f>
        <v>6263394.12560265</v>
      </c>
      <c r="DK320" s="48" t="n">
        <f aca="false">DJ$320+DK$294+DK$263-DK$309+DK$311</f>
        <v>6429541.05130107</v>
      </c>
      <c r="DL320" s="48" t="n">
        <f aca="false">DK$320+DL$294+DL$263-DL$309+DL$311</f>
        <v>6595687.97699949</v>
      </c>
      <c r="DM320" s="48" t="n">
        <f aca="false">DL$320+DM$294+DM$263-DM$309+DM$311</f>
        <v>4818470.75591102</v>
      </c>
      <c r="DN320" s="48" t="n">
        <f aca="false">DM$320+DN$294+DN$263-DN$309+DN$311</f>
        <v>4984617.68160944</v>
      </c>
      <c r="DO320" s="48" t="n">
        <f aca="false">DN$320+DO$294+DO$263-DO$309+DO$311</f>
        <v>5150764.60730786</v>
      </c>
      <c r="DP320" s="48" t="n">
        <f aca="false">DO$320+DP$294+DP$263-DP$309+DP$311</f>
        <v>5316911.53300628</v>
      </c>
      <c r="DQ320" s="48" t="n">
        <f aca="false">DP$320+DQ$294+DQ$263-DQ$309+DQ$311</f>
        <v>5483058.4587047</v>
      </c>
      <c r="DR320" s="48" t="n">
        <f aca="false">DQ$320+DR$294+DR$263-DR$309+DR$311</f>
        <v>5649205.38440312</v>
      </c>
      <c r="DS320" s="48" t="n">
        <f aca="false">DR$320+DS$294+DS$263-DS$309+DS$311</f>
        <v>5815352.31010154</v>
      </c>
      <c r="DT320" s="48" t="n">
        <f aca="false">DS$320+DT$294+DT$263-DT$309+DT$311</f>
        <v>5981499.23579996</v>
      </c>
      <c r="DU320" s="48" t="n">
        <f aca="false">DT$320+DU$294+DU$263-DU$309+DU$311</f>
        <v>6147646.16149837</v>
      </c>
      <c r="DV320" s="48" t="n">
        <f aca="false">DU$320+DV$294+DV$263-DV$309+DV$311</f>
        <v>6147646.16149837</v>
      </c>
      <c r="DW320" s="48" t="n">
        <f aca="false">DV$320+DW$294+DW$263-DW$309+DW$311</f>
        <v>6147646.16149837</v>
      </c>
      <c r="DX320" s="48" t="n">
        <f aca="false">DW$320+DX$294+DX$263-DX$309+DX$311</f>
        <v>6147646.16149837</v>
      </c>
      <c r="DY320" s="48" t="n">
        <f aca="false">DX$320+DY$294+DY$263-DY$309+DY$311</f>
        <v>6147646.16149837</v>
      </c>
      <c r="DZ320" s="48" t="n">
        <f aca="false">DY$320+DZ$294+DZ$263-DZ$309+DZ$311</f>
        <v>6147646.16149837</v>
      </c>
      <c r="EA320" s="48" t="n">
        <f aca="false">DZ$320+EA$294+EA$263-EA$309+EA$311</f>
        <v>6147646.16149837</v>
      </c>
      <c r="EB320" s="48" t="n">
        <f aca="false">EA$320+EB$294+EB$263-EB$309+EB$311</f>
        <v>6147646.16149837</v>
      </c>
      <c r="EC320" s="48" t="n">
        <f aca="false">EB$320+EC$294+EC$263-EC$309+EC$311</f>
        <v>6147646.16149837</v>
      </c>
      <c r="ED320" s="48" t="n">
        <f aca="false">EC$320+ED$294+ED$263-ED$309+ED$311</f>
        <v>6147646.16149837</v>
      </c>
      <c r="EE320" s="48" t="n">
        <f aca="false">ED$320+EE$294+EE$263-EE$309+EE$311</f>
        <v>6147646.16149837</v>
      </c>
      <c r="EF320" s="48" t="n">
        <f aca="false">EE$320+EF$294+EF$263-EF$309+EF$311</f>
        <v>6147646.16149837</v>
      </c>
      <c r="EG320" s="48" t="n">
        <f aca="false">EF$320+EG$294+EG$263-EG$309+EG$311</f>
        <v>6147646.16149837</v>
      </c>
      <c r="EH320" s="48" t="n">
        <f aca="false">EG$320+EH$294+EH$263-EH$309+EH$311</f>
        <v>6147646.16149837</v>
      </c>
      <c r="EI320" s="48" t="n">
        <f aca="false">EH$320+EI$294+EI$263-EI$309+EI$311</f>
        <v>6147646.16149837</v>
      </c>
      <c r="EJ320" s="48" t="n">
        <f aca="false">EI$320+EJ$294+EJ$263-EJ$309+EJ$311</f>
        <v>6147646.16149837</v>
      </c>
      <c r="EK320" s="48" t="n">
        <f aca="false">EJ$320+EK$294+EK$263-EK$309+EK$311</f>
        <v>6147646.16149837</v>
      </c>
      <c r="EL320" s="48" t="n">
        <f aca="false">EK$320+EL$294+EL$263-EL$309+EL$311</f>
        <v>6147646.16149837</v>
      </c>
      <c r="EM320" s="48" t="n">
        <f aca="false">EL$320+EM$294+EM$263-EM$309+EM$311</f>
        <v>6147646.16149837</v>
      </c>
      <c r="EN320" s="48" t="n">
        <f aca="false">EM$320+EN$294+EN$263-EN$309+EN$311</f>
        <v>6147646.16149837</v>
      </c>
      <c r="EO320" s="48" t="n">
        <f aca="false">EN$320+EO$294+EO$263-EO$309+EO$311</f>
        <v>6147646.16149837</v>
      </c>
      <c r="EP320" s="48" t="n">
        <f aca="false">EO$320+EP$294+EP$263-EP$309+EP$311</f>
        <v>6147646.16149837</v>
      </c>
      <c r="EQ320" s="48" t="n">
        <f aca="false">EP$320+EQ$294+EQ$263-EQ$309+EQ$311</f>
        <v>6147646.16149837</v>
      </c>
      <c r="ER320" s="48" t="n">
        <f aca="false">EQ$320+ER$294+ER$263-ER$309+ER$311</f>
        <v>6147646.16149837</v>
      </c>
      <c r="ES320" s="48" t="n">
        <f aca="false">ER$320+ES$294+ES$263-ES$309+ES$311</f>
        <v>6147646.16149837</v>
      </c>
    </row>
    <row r="321" customFormat="false" ht="15" hidden="false" customHeight="false" outlineLevel="0" collapsed="false">
      <c r="A321" s="11" t="s">
        <v>1437</v>
      </c>
      <c r="B321" s="67" t="s">
        <v>1292</v>
      </c>
      <c r="C321" s="15" t="s">
        <v>508</v>
      </c>
      <c r="E321" s="68" t="n">
        <f aca="false">MAX(ABS(MAX(F321:ES321)),ABS(MIN(F321:ES321)))</f>
        <v>0</v>
      </c>
      <c r="F321" s="69" t="n">
        <f aca="false">ROUND(F$310+F$265+F$266+F$267+F$274-F$268-F$304-F$320,2)</f>
        <v>0</v>
      </c>
      <c r="G321" s="69" t="n">
        <f aca="false">ROUND(G$310+G$265+G$266+G$267+G$274-G$268-G$304-G$320,2)</f>
        <v>0</v>
      </c>
      <c r="H321" s="69" t="n">
        <f aca="false">ROUND(H$310+H$265+H$266+H$267+H$274-H$268-H$304-H$320,2)</f>
        <v>0</v>
      </c>
      <c r="I321" s="69" t="n">
        <f aca="false">ROUND(I$310+I$265+I$266+I$267+I$274-I$268-I$304-I$320,2)</f>
        <v>0</v>
      </c>
      <c r="J321" s="69" t="n">
        <f aca="false">ROUND(J$310+J$265+J$266+J$267+J$274-J$268-J$304-J$320,2)</f>
        <v>0</v>
      </c>
      <c r="K321" s="69" t="n">
        <f aca="false">ROUND(K$310+K$265+K$266+K$267+K$274-K$268-K$304-K$320,2)</f>
        <v>0</v>
      </c>
      <c r="L321" s="69" t="n">
        <f aca="false">ROUND(L$310+L$265+L$266+L$267+L$274-L$268-L$304-L$320,2)</f>
        <v>0</v>
      </c>
      <c r="M321" s="69" t="n">
        <f aca="false">ROUND(M$310+M$265+M$266+M$267+M$274-M$268-M$304-M$320,2)</f>
        <v>0</v>
      </c>
      <c r="N321" s="69" t="n">
        <f aca="false">ROUND(N$310+N$265+N$266+N$267+N$274-N$268-N$304-N$320,2)</f>
        <v>0</v>
      </c>
      <c r="O321" s="69" t="n">
        <f aca="false">ROUND(O$310+O$265+O$266+O$267+O$274-O$268-O$304-O$320,2)</f>
        <v>0</v>
      </c>
      <c r="P321" s="69" t="n">
        <f aca="false">ROUND(P$310+P$265+P$266+P$267+P$274-P$268-P$304-P$320,2)</f>
        <v>0</v>
      </c>
      <c r="Q321" s="69" t="n">
        <f aca="false">ROUND(Q$310+Q$265+Q$266+Q$267+Q$274-Q$268-Q$304-Q$320,2)</f>
        <v>0</v>
      </c>
      <c r="R321" s="69" t="n">
        <f aca="false">ROUND(R$310+R$265+R$266+R$267+R$274-R$268-R$304-R$320,2)</f>
        <v>0</v>
      </c>
      <c r="S321" s="69" t="n">
        <f aca="false">ROUND(S$310+S$265+S$266+S$267+S$274-S$268-S$304-S$320,2)</f>
        <v>0</v>
      </c>
      <c r="T321" s="69" t="n">
        <f aca="false">ROUND(T$310+T$265+T$266+T$267+T$274-T$268-T$304-T$320,2)</f>
        <v>0</v>
      </c>
      <c r="U321" s="69" t="n">
        <f aca="false">ROUND(U$310+U$265+U$266+U$267+U$274-U$268-U$304-U$320,2)</f>
        <v>0</v>
      </c>
      <c r="V321" s="69" t="n">
        <f aca="false">ROUND(V$310+V$265+V$266+V$267+V$274-V$268-V$304-V$320,2)</f>
        <v>0</v>
      </c>
      <c r="W321" s="69" t="n">
        <f aca="false">ROUND(W$310+W$265+W$266+W$267+W$274-W$268-W$304-W$320,2)</f>
        <v>0</v>
      </c>
      <c r="X321" s="69" t="n">
        <f aca="false">ROUND(X$310+X$265+X$266+X$267+X$274-X$268-X$304-X$320,2)</f>
        <v>0</v>
      </c>
      <c r="Y321" s="69" t="n">
        <f aca="false">ROUND(Y$310+Y$265+Y$266+Y$267+Y$274-Y$268-Y$304-Y$320,2)</f>
        <v>0</v>
      </c>
      <c r="Z321" s="69" t="n">
        <f aca="false">ROUND(Z$310+Z$265+Z$266+Z$267+Z$274-Z$268-Z$304-Z$320,2)</f>
        <v>0</v>
      </c>
      <c r="AA321" s="69" t="n">
        <f aca="false">ROUND(AA$310+AA$265+AA$266+AA$267+AA$274-AA$268-AA$304-AA$320,2)</f>
        <v>0</v>
      </c>
      <c r="AB321" s="69" t="n">
        <f aca="false">ROUND(AB$310+AB$265+AB$266+AB$267+AB$274-AB$268-AB$304-AB$320,2)</f>
        <v>0</v>
      </c>
      <c r="AC321" s="69" t="n">
        <f aca="false">ROUND(AC$310+AC$265+AC$266+AC$267+AC$274-AC$268-AC$304-AC$320,2)</f>
        <v>0</v>
      </c>
      <c r="AD321" s="69" t="n">
        <f aca="false">ROUND(AD$310+AD$265+AD$266+AD$267+AD$274-AD$268-AD$304-AD$320,2)</f>
        <v>0</v>
      </c>
      <c r="AE321" s="69" t="n">
        <f aca="false">ROUND(AE$310+AE$265+AE$266+AE$267+AE$274-AE$268-AE$304-AE$320,2)</f>
        <v>0</v>
      </c>
      <c r="AF321" s="69" t="n">
        <f aca="false">ROUND(AF$310+AF$265+AF$266+AF$267+AF$274-AF$268-AF$304-AF$320,2)</f>
        <v>0</v>
      </c>
      <c r="AG321" s="69" t="n">
        <f aca="false">ROUND(AG$310+AG$265+AG$266+AG$267+AG$274-AG$268-AG$304-AG$320,2)</f>
        <v>0</v>
      </c>
      <c r="AH321" s="69" t="n">
        <f aca="false">ROUND(AH$310+AH$265+AH$266+AH$267+AH$274-AH$268-AH$304-AH$320,2)</f>
        <v>0</v>
      </c>
      <c r="AI321" s="69" t="n">
        <f aca="false">ROUND(AI$310+AI$265+AI$266+AI$267+AI$274-AI$268-AI$304-AI$320,2)</f>
        <v>0</v>
      </c>
      <c r="AJ321" s="69" t="n">
        <f aca="false">ROUND(AJ$310+AJ$265+AJ$266+AJ$267+AJ$274-AJ$268-AJ$304-AJ$320,2)</f>
        <v>0</v>
      </c>
      <c r="AK321" s="69" t="n">
        <f aca="false">ROUND(AK$310+AK$265+AK$266+AK$267+AK$274-AK$268-AK$304-AK$320,2)</f>
        <v>0</v>
      </c>
      <c r="AL321" s="69" t="n">
        <f aca="false">ROUND(AL$310+AL$265+AL$266+AL$267+AL$274-AL$268-AL$304-AL$320,2)</f>
        <v>0</v>
      </c>
      <c r="AM321" s="69" t="n">
        <f aca="false">ROUND(AM$310+AM$265+AM$266+AM$267+AM$274-AM$268-AM$304-AM$320,2)</f>
        <v>0</v>
      </c>
      <c r="AN321" s="69" t="n">
        <f aca="false">ROUND(AN$310+AN$265+AN$266+AN$267+AN$274-AN$268-AN$304-AN$320,2)</f>
        <v>0</v>
      </c>
      <c r="AO321" s="69" t="n">
        <f aca="false">ROUND(AO$310+AO$265+AO$266+AO$267+AO$274-AO$268-AO$304-AO$320,2)</f>
        <v>0</v>
      </c>
      <c r="AP321" s="69" t="n">
        <f aca="false">ROUND(AP$310+AP$265+AP$266+AP$267+AP$274-AP$268-AP$304-AP$320,2)</f>
        <v>0</v>
      </c>
      <c r="AQ321" s="69" t="n">
        <f aca="false">ROUND(AQ$310+AQ$265+AQ$266+AQ$267+AQ$274-AQ$268-AQ$304-AQ$320,2)</f>
        <v>0</v>
      </c>
      <c r="AR321" s="69" t="n">
        <f aca="false">ROUND(AR$310+AR$265+AR$266+AR$267+AR$274-AR$268-AR$304-AR$320,2)</f>
        <v>0</v>
      </c>
      <c r="AS321" s="69" t="n">
        <f aca="false">ROUND(AS$310+AS$265+AS$266+AS$267+AS$274-AS$268-AS$304-AS$320,2)</f>
        <v>0</v>
      </c>
      <c r="AT321" s="69" t="n">
        <f aca="false">ROUND(AT$310+AT$265+AT$266+AT$267+AT$274-AT$268-AT$304-AT$320,2)</f>
        <v>0</v>
      </c>
      <c r="AU321" s="69" t="n">
        <f aca="false">ROUND(AU$310+AU$265+AU$266+AU$267+AU$274-AU$268-AU$304-AU$320,2)</f>
        <v>0</v>
      </c>
      <c r="AV321" s="69" t="n">
        <f aca="false">ROUND(AV$310+AV$265+AV$266+AV$267+AV$274-AV$268-AV$304-AV$320,2)</f>
        <v>0</v>
      </c>
      <c r="AW321" s="69" t="n">
        <f aca="false">ROUND(AW$310+AW$265+AW$266+AW$267+AW$274-AW$268-AW$304-AW$320,2)</f>
        <v>0</v>
      </c>
      <c r="AX321" s="69" t="n">
        <f aca="false">ROUND(AX$310+AX$265+AX$266+AX$267+AX$274-AX$268-AX$304-AX$320,2)</f>
        <v>0</v>
      </c>
      <c r="AY321" s="69" t="n">
        <f aca="false">ROUND(AY$310+AY$265+AY$266+AY$267+AY$274-AY$268-AY$304-AY$320,2)</f>
        <v>0</v>
      </c>
      <c r="AZ321" s="69" t="n">
        <f aca="false">ROUND(AZ$310+AZ$265+AZ$266+AZ$267+AZ$274-AZ$268-AZ$304-AZ$320,2)</f>
        <v>0</v>
      </c>
      <c r="BA321" s="69" t="n">
        <f aca="false">ROUND(BA$310+BA$265+BA$266+BA$267+BA$274-BA$268-BA$304-BA$320,2)</f>
        <v>0</v>
      </c>
      <c r="BB321" s="69" t="n">
        <f aca="false">ROUND(BB$310+BB$265+BB$266+BB$267+BB$274-BB$268-BB$304-BB$320,2)</f>
        <v>0</v>
      </c>
      <c r="BC321" s="69" t="n">
        <f aca="false">ROUND(BC$310+BC$265+BC$266+BC$267+BC$274-BC$268-BC$304-BC$320,2)</f>
        <v>0</v>
      </c>
      <c r="BD321" s="69" t="n">
        <f aca="false">ROUND(BD$310+BD$265+BD$266+BD$267+BD$274-BD$268-BD$304-BD$320,2)</f>
        <v>0</v>
      </c>
      <c r="BE321" s="69" t="n">
        <f aca="false">ROUND(BE$310+BE$265+BE$266+BE$267+BE$274-BE$268-BE$304-BE$320,2)</f>
        <v>0</v>
      </c>
      <c r="BF321" s="69" t="n">
        <f aca="false">ROUND(BF$310+BF$265+BF$266+BF$267+BF$274-BF$268-BF$304-BF$320,2)</f>
        <v>0</v>
      </c>
      <c r="BG321" s="69" t="n">
        <f aca="false">ROUND(BG$310+BG$265+BG$266+BG$267+BG$274-BG$268-BG$304-BG$320,2)</f>
        <v>0</v>
      </c>
      <c r="BH321" s="69" t="n">
        <f aca="false">ROUND(BH$310+BH$265+BH$266+BH$267+BH$274-BH$268-BH$304-BH$320,2)</f>
        <v>0</v>
      </c>
      <c r="BI321" s="69" t="n">
        <f aca="false">ROUND(BI$310+BI$265+BI$266+BI$267+BI$274-BI$268-BI$304-BI$320,2)</f>
        <v>0</v>
      </c>
      <c r="BJ321" s="69" t="n">
        <f aca="false">ROUND(BJ$310+BJ$265+BJ$266+BJ$267+BJ$274-BJ$268-BJ$304-BJ$320,2)</f>
        <v>0</v>
      </c>
      <c r="BK321" s="69" t="n">
        <f aca="false">ROUND(BK$310+BK$265+BK$266+BK$267+BK$274-BK$268-BK$304-BK$320,2)</f>
        <v>0</v>
      </c>
      <c r="BL321" s="69" t="n">
        <f aca="false">ROUND(BL$310+BL$265+BL$266+BL$267+BL$274-BL$268-BL$304-BL$320,2)</f>
        <v>0</v>
      </c>
      <c r="BM321" s="69" t="n">
        <f aca="false">ROUND(BM$310+BM$265+BM$266+BM$267+BM$274-BM$268-BM$304-BM$320,2)</f>
        <v>0</v>
      </c>
      <c r="BN321" s="69" t="n">
        <f aca="false">ROUND(BN$310+BN$265+BN$266+BN$267+BN$274-BN$268-BN$304-BN$320,2)</f>
        <v>0</v>
      </c>
      <c r="BO321" s="69" t="n">
        <f aca="false">ROUND(BO$310+BO$265+BO$266+BO$267+BO$274-BO$268-BO$304-BO$320,2)</f>
        <v>0</v>
      </c>
      <c r="BP321" s="69" t="n">
        <f aca="false">ROUND(BP$310+BP$265+BP$266+BP$267+BP$274-BP$268-BP$304-BP$320,2)</f>
        <v>0</v>
      </c>
      <c r="BQ321" s="69" t="n">
        <f aca="false">ROUND(BQ$310+BQ$265+BQ$266+BQ$267+BQ$274-BQ$268-BQ$304-BQ$320,2)</f>
        <v>0</v>
      </c>
      <c r="BR321" s="69" t="n">
        <f aca="false">ROUND(BR$310+BR$265+BR$266+BR$267+BR$274-BR$268-BR$304-BR$320,2)</f>
        <v>0</v>
      </c>
      <c r="BS321" s="69" t="n">
        <f aca="false">ROUND(BS$310+BS$265+BS$266+BS$267+BS$274-BS$268-BS$304-BS$320,2)</f>
        <v>0</v>
      </c>
      <c r="BT321" s="69" t="n">
        <f aca="false">ROUND(BT$310+BT$265+BT$266+BT$267+BT$274-BT$268-BT$304-BT$320,2)</f>
        <v>0</v>
      </c>
      <c r="BU321" s="69" t="n">
        <f aca="false">ROUND(BU$310+BU$265+BU$266+BU$267+BU$274-BU$268-BU$304-BU$320,2)</f>
        <v>0</v>
      </c>
      <c r="BV321" s="69" t="n">
        <f aca="false">ROUND(BV$310+BV$265+BV$266+BV$267+BV$274-BV$268-BV$304-BV$320,2)</f>
        <v>0</v>
      </c>
      <c r="BW321" s="69" t="n">
        <f aca="false">ROUND(BW$310+BW$265+BW$266+BW$267+BW$274-BW$268-BW$304-BW$320,2)</f>
        <v>0</v>
      </c>
      <c r="BX321" s="69" t="n">
        <f aca="false">ROUND(BX$310+BX$265+BX$266+BX$267+BX$274-BX$268-BX$304-BX$320,2)</f>
        <v>0</v>
      </c>
      <c r="BY321" s="69" t="n">
        <f aca="false">ROUND(BY$310+BY$265+BY$266+BY$267+BY$274-BY$268-BY$304-BY$320,2)</f>
        <v>0</v>
      </c>
      <c r="BZ321" s="69" t="n">
        <f aca="false">ROUND(BZ$310+BZ$265+BZ$266+BZ$267+BZ$274-BZ$268-BZ$304-BZ$320,2)</f>
        <v>0</v>
      </c>
      <c r="CA321" s="69" t="n">
        <f aca="false">ROUND(CA$310+CA$265+CA$266+CA$267+CA$274-CA$268-CA$304-CA$320,2)</f>
        <v>0</v>
      </c>
      <c r="CB321" s="69" t="n">
        <f aca="false">ROUND(CB$310+CB$265+CB$266+CB$267+CB$274-CB$268-CB$304-CB$320,2)</f>
        <v>0</v>
      </c>
      <c r="CC321" s="69" t="n">
        <f aca="false">ROUND(CC$310+CC$265+CC$266+CC$267+CC$274-CC$268-CC$304-CC$320,2)</f>
        <v>0</v>
      </c>
      <c r="CD321" s="69" t="n">
        <f aca="false">ROUND(CD$310+CD$265+CD$266+CD$267+CD$274-CD$268-CD$304-CD$320,2)</f>
        <v>0</v>
      </c>
      <c r="CE321" s="69" t="n">
        <f aca="false">ROUND(CE$310+CE$265+CE$266+CE$267+CE$274-CE$268-CE$304-CE$320,2)</f>
        <v>0</v>
      </c>
      <c r="CF321" s="69" t="n">
        <f aca="false">ROUND(CF$310+CF$265+CF$266+CF$267+CF$274-CF$268-CF$304-CF$320,2)</f>
        <v>0</v>
      </c>
      <c r="CG321" s="69" t="n">
        <f aca="false">ROUND(CG$310+CG$265+CG$266+CG$267+CG$274-CG$268-CG$304-CG$320,2)</f>
        <v>0</v>
      </c>
      <c r="CH321" s="69" t="n">
        <f aca="false">ROUND(CH$310+CH$265+CH$266+CH$267+CH$274-CH$268-CH$304-CH$320,2)</f>
        <v>0</v>
      </c>
      <c r="CI321" s="69" t="n">
        <f aca="false">ROUND(CI$310+CI$265+CI$266+CI$267+CI$274-CI$268-CI$304-CI$320,2)</f>
        <v>0</v>
      </c>
      <c r="CJ321" s="69" t="n">
        <f aca="false">ROUND(CJ$310+CJ$265+CJ$266+CJ$267+CJ$274-CJ$268-CJ$304-CJ$320,2)</f>
        <v>0</v>
      </c>
      <c r="CK321" s="69" t="n">
        <f aca="false">ROUND(CK$310+CK$265+CK$266+CK$267+CK$274-CK$268-CK$304-CK$320,2)</f>
        <v>0</v>
      </c>
      <c r="CL321" s="69" t="n">
        <f aca="false">ROUND(CL$310+CL$265+CL$266+CL$267+CL$274-CL$268-CL$304-CL$320,2)</f>
        <v>0</v>
      </c>
      <c r="CM321" s="69" t="n">
        <f aca="false">ROUND(CM$310+CM$265+CM$266+CM$267+CM$274-CM$268-CM$304-CM$320,2)</f>
        <v>0</v>
      </c>
      <c r="CN321" s="69" t="n">
        <f aca="false">ROUND(CN$310+CN$265+CN$266+CN$267+CN$274-CN$268-CN$304-CN$320,2)</f>
        <v>0</v>
      </c>
      <c r="CO321" s="69" t="n">
        <f aca="false">ROUND(CO$310+CO$265+CO$266+CO$267+CO$274-CO$268-CO$304-CO$320,2)</f>
        <v>0</v>
      </c>
      <c r="CP321" s="69" t="n">
        <f aca="false">ROUND(CP$310+CP$265+CP$266+CP$267+CP$274-CP$268-CP$304-CP$320,2)</f>
        <v>0</v>
      </c>
      <c r="CQ321" s="69" t="n">
        <f aca="false">ROUND(CQ$310+CQ$265+CQ$266+CQ$267+CQ$274-CQ$268-CQ$304-CQ$320,2)</f>
        <v>0</v>
      </c>
      <c r="CR321" s="69" t="n">
        <f aca="false">ROUND(CR$310+CR$265+CR$266+CR$267+CR$274-CR$268-CR$304-CR$320,2)</f>
        <v>0</v>
      </c>
      <c r="CS321" s="69" t="n">
        <f aca="false">ROUND(CS$310+CS$265+CS$266+CS$267+CS$274-CS$268-CS$304-CS$320,2)</f>
        <v>0</v>
      </c>
      <c r="CT321" s="69" t="n">
        <f aca="false">ROUND(CT$310+CT$265+CT$266+CT$267+CT$274-CT$268-CT$304-CT$320,2)</f>
        <v>0</v>
      </c>
      <c r="CU321" s="69" t="n">
        <f aca="false">ROUND(CU$310+CU$265+CU$266+CU$267+CU$274-CU$268-CU$304-CU$320,2)</f>
        <v>0</v>
      </c>
      <c r="CV321" s="69" t="n">
        <f aca="false">ROUND(CV$310+CV$265+CV$266+CV$267+CV$274-CV$268-CV$304-CV$320,2)</f>
        <v>0</v>
      </c>
      <c r="CW321" s="69" t="n">
        <f aca="false">ROUND(CW$310+CW$265+CW$266+CW$267+CW$274-CW$268-CW$304-CW$320,2)</f>
        <v>0</v>
      </c>
      <c r="CX321" s="69" t="n">
        <f aca="false">ROUND(CX$310+CX$265+CX$266+CX$267+CX$274-CX$268-CX$304-CX$320,2)</f>
        <v>0</v>
      </c>
      <c r="CY321" s="69" t="n">
        <f aca="false">ROUND(CY$310+CY$265+CY$266+CY$267+CY$274-CY$268-CY$304-CY$320,2)</f>
        <v>0</v>
      </c>
      <c r="CZ321" s="69" t="n">
        <f aca="false">ROUND(CZ$310+CZ$265+CZ$266+CZ$267+CZ$274-CZ$268-CZ$304-CZ$320,2)</f>
        <v>0</v>
      </c>
      <c r="DA321" s="69" t="n">
        <f aca="false">ROUND(DA$310+DA$265+DA$266+DA$267+DA$274-DA$268-DA$304-DA$320,2)</f>
        <v>0</v>
      </c>
      <c r="DB321" s="69" t="n">
        <f aca="false">ROUND(DB$310+DB$265+DB$266+DB$267+DB$274-DB$268-DB$304-DB$320,2)</f>
        <v>0</v>
      </c>
      <c r="DC321" s="69" t="n">
        <f aca="false">ROUND(DC$310+DC$265+DC$266+DC$267+DC$274-DC$268-DC$304-DC$320,2)</f>
        <v>0</v>
      </c>
      <c r="DD321" s="69" t="n">
        <f aca="false">ROUND(DD$310+DD$265+DD$266+DD$267+DD$274-DD$268-DD$304-DD$320,2)</f>
        <v>0</v>
      </c>
      <c r="DE321" s="69" t="n">
        <f aca="false">ROUND(DE$310+DE$265+DE$266+DE$267+DE$274-DE$268-DE$304-DE$320,2)</f>
        <v>0</v>
      </c>
      <c r="DF321" s="69" t="n">
        <f aca="false">ROUND(DF$310+DF$265+DF$266+DF$267+DF$274-DF$268-DF$304-DF$320,2)</f>
        <v>0</v>
      </c>
      <c r="DG321" s="69" t="n">
        <f aca="false">ROUND(DG$310+DG$265+DG$266+DG$267+DG$274-DG$268-DG$304-DG$320,2)</f>
        <v>0</v>
      </c>
      <c r="DH321" s="69" t="n">
        <f aca="false">ROUND(DH$310+DH$265+DH$266+DH$267+DH$274-DH$268-DH$304-DH$320,2)</f>
        <v>0</v>
      </c>
      <c r="DI321" s="69" t="n">
        <f aca="false">ROUND(DI$310+DI$265+DI$266+DI$267+DI$274-DI$268-DI$304-DI$320,2)</f>
        <v>0</v>
      </c>
      <c r="DJ321" s="69" t="n">
        <f aca="false">ROUND(DJ$310+DJ$265+DJ$266+DJ$267+DJ$274-DJ$268-DJ$304-DJ$320,2)</f>
        <v>0</v>
      </c>
      <c r="DK321" s="69" t="n">
        <f aca="false">ROUND(DK$310+DK$265+DK$266+DK$267+DK$274-DK$268-DK$304-DK$320,2)</f>
        <v>0</v>
      </c>
      <c r="DL321" s="69" t="n">
        <f aca="false">ROUND(DL$310+DL$265+DL$266+DL$267+DL$274-DL$268-DL$304-DL$320,2)</f>
        <v>0</v>
      </c>
      <c r="DM321" s="69" t="n">
        <f aca="false">ROUND(DM$310+DM$265+DM$266+DM$267+DM$274-DM$268-DM$304-DM$320,2)</f>
        <v>0</v>
      </c>
      <c r="DN321" s="69" t="n">
        <f aca="false">ROUND(DN$310+DN$265+DN$266+DN$267+DN$274-DN$268-DN$304-DN$320,2)</f>
        <v>0</v>
      </c>
      <c r="DO321" s="69" t="n">
        <f aca="false">ROUND(DO$310+DO$265+DO$266+DO$267+DO$274-DO$268-DO$304-DO$320,2)</f>
        <v>0</v>
      </c>
      <c r="DP321" s="69" t="n">
        <f aca="false">ROUND(DP$310+DP$265+DP$266+DP$267+DP$274-DP$268-DP$304-DP$320,2)</f>
        <v>0</v>
      </c>
      <c r="DQ321" s="69" t="n">
        <f aca="false">ROUND(DQ$310+DQ$265+DQ$266+DQ$267+DQ$274-DQ$268-DQ$304-DQ$320,2)</f>
        <v>0</v>
      </c>
      <c r="DR321" s="69" t="n">
        <f aca="false">ROUND(DR$310+DR$265+DR$266+DR$267+DR$274-DR$268-DR$304-DR$320,2)</f>
        <v>0</v>
      </c>
      <c r="DS321" s="69" t="n">
        <f aca="false">ROUND(DS$310+DS$265+DS$266+DS$267+DS$274-DS$268-DS$304-DS$320,2)</f>
        <v>0</v>
      </c>
      <c r="DT321" s="69" t="n">
        <f aca="false">ROUND(DT$310+DT$265+DT$266+DT$267+DT$274-DT$268-DT$304-DT$320,2)</f>
        <v>0</v>
      </c>
      <c r="DU321" s="69" t="n">
        <f aca="false">ROUND(DU$310+DU$265+DU$266+DU$267+DU$274-DU$268-DU$304-DU$320,2)</f>
        <v>0</v>
      </c>
      <c r="DV321" s="69" t="n">
        <f aca="false">ROUND(DV$310+DV$265+DV$266+DV$267+DV$274-DV$268-DV$304-DV$320,2)</f>
        <v>0</v>
      </c>
      <c r="DW321" s="69" t="n">
        <f aca="false">ROUND(DW$310+DW$265+DW$266+DW$267+DW$274-DW$268-DW$304-DW$320,2)</f>
        <v>0</v>
      </c>
      <c r="DX321" s="69" t="n">
        <f aca="false">ROUND(DX$310+DX$265+DX$266+DX$267+DX$274-DX$268-DX$304-DX$320,2)</f>
        <v>0</v>
      </c>
      <c r="DY321" s="69" t="n">
        <f aca="false">ROUND(DY$310+DY$265+DY$266+DY$267+DY$274-DY$268-DY$304-DY$320,2)</f>
        <v>0</v>
      </c>
      <c r="DZ321" s="69" t="n">
        <f aca="false">ROUND(DZ$310+DZ$265+DZ$266+DZ$267+DZ$274-DZ$268-DZ$304-DZ$320,2)</f>
        <v>0</v>
      </c>
      <c r="EA321" s="69" t="n">
        <f aca="false">ROUND(EA$310+EA$265+EA$266+EA$267+EA$274-EA$268-EA$304-EA$320,2)</f>
        <v>0</v>
      </c>
      <c r="EB321" s="69" t="n">
        <f aca="false">ROUND(EB$310+EB$265+EB$266+EB$267+EB$274-EB$268-EB$304-EB$320,2)</f>
        <v>0</v>
      </c>
      <c r="EC321" s="69" t="n">
        <f aca="false">ROUND(EC$310+EC$265+EC$266+EC$267+EC$274-EC$268-EC$304-EC$320,2)</f>
        <v>0</v>
      </c>
      <c r="ED321" s="69" t="n">
        <f aca="false">ROUND(ED$310+ED$265+ED$266+ED$267+ED$274-ED$268-ED$304-ED$320,2)</f>
        <v>0</v>
      </c>
      <c r="EE321" s="69" t="n">
        <f aca="false">ROUND(EE$310+EE$265+EE$266+EE$267+EE$274-EE$268-EE$304-EE$320,2)</f>
        <v>0</v>
      </c>
      <c r="EF321" s="69" t="n">
        <f aca="false">ROUND(EF$310+EF$265+EF$266+EF$267+EF$274-EF$268-EF$304-EF$320,2)</f>
        <v>0</v>
      </c>
      <c r="EG321" s="69" t="n">
        <f aca="false">ROUND(EG$310+EG$265+EG$266+EG$267+EG$274-EG$268-EG$304-EG$320,2)</f>
        <v>0</v>
      </c>
      <c r="EH321" s="69" t="n">
        <f aca="false">ROUND(EH$310+EH$265+EH$266+EH$267+EH$274-EH$268-EH$304-EH$320,2)</f>
        <v>0</v>
      </c>
      <c r="EI321" s="69" t="n">
        <f aca="false">ROUND(EI$310+EI$265+EI$266+EI$267+EI$274-EI$268-EI$304-EI$320,2)</f>
        <v>0</v>
      </c>
      <c r="EJ321" s="69" t="n">
        <f aca="false">ROUND(EJ$310+EJ$265+EJ$266+EJ$267+EJ$274-EJ$268-EJ$304-EJ$320,2)</f>
        <v>0</v>
      </c>
      <c r="EK321" s="69" t="n">
        <f aca="false">ROUND(EK$310+EK$265+EK$266+EK$267+EK$274-EK$268-EK$304-EK$320,2)</f>
        <v>0</v>
      </c>
      <c r="EL321" s="69" t="n">
        <f aca="false">ROUND(EL$310+EL$265+EL$266+EL$267+EL$274-EL$268-EL$304-EL$320,2)</f>
        <v>0</v>
      </c>
      <c r="EM321" s="69" t="n">
        <f aca="false">ROUND(EM$310+EM$265+EM$266+EM$267+EM$274-EM$268-EM$304-EM$320,2)</f>
        <v>0</v>
      </c>
      <c r="EN321" s="69" t="n">
        <f aca="false">ROUND(EN$310+EN$265+EN$266+EN$267+EN$274-EN$268-EN$304-EN$320,2)</f>
        <v>0</v>
      </c>
      <c r="EO321" s="69" t="n">
        <f aca="false">ROUND(EO$310+EO$265+EO$266+EO$267+EO$274-EO$268-EO$304-EO$320,2)</f>
        <v>0</v>
      </c>
      <c r="EP321" s="69" t="n">
        <f aca="false">ROUND(EP$310+EP$265+EP$266+EP$267+EP$274-EP$268-EP$304-EP$320,2)</f>
        <v>0</v>
      </c>
      <c r="EQ321" s="69" t="n">
        <f aca="false">ROUND(EQ$310+EQ$265+EQ$266+EQ$267+EQ$274-EQ$268-EQ$304-EQ$320,2)</f>
        <v>0</v>
      </c>
      <c r="ER321" s="69" t="n">
        <f aca="false">ROUND(ER$310+ER$265+ER$266+ER$267+ER$274-ER$268-ER$304-ER$320,2)</f>
        <v>0</v>
      </c>
      <c r="ES321" s="69" t="n">
        <f aca="false">ROUND(ES$310+ES$265+ES$266+ES$267+ES$274-ES$268-ES$304-ES$320,2)</f>
        <v>0</v>
      </c>
    </row>
    <row r="323" customFormat="false" ht="15" hidden="false" customHeight="false" outlineLevel="0" collapsed="false">
      <c r="A323" s="13"/>
      <c r="B323" s="12" t="s">
        <v>1438</v>
      </c>
      <c r="C323" s="13"/>
      <c r="D323" s="13"/>
      <c r="E323" s="13"/>
    </row>
    <row r="324" customFormat="false" ht="15" hidden="false" customHeight="false" outlineLevel="0" collapsed="false">
      <c r="A324" s="11" t="s">
        <v>1439</v>
      </c>
      <c r="B324" s="15" t="s">
        <v>1440</v>
      </c>
      <c r="E324" s="66" t="n">
        <f aca="false">SUM(F324:ES324)</f>
        <v>0</v>
      </c>
      <c r="F324" s="34" t="n">
        <f aca="false">COUNT(Detalle_24m!F10:F10)</f>
        <v>0</v>
      </c>
      <c r="G324" s="34" t="n">
        <f aca="false">COUNT(Detalle_24m!G10:G10)</f>
        <v>0</v>
      </c>
      <c r="H324" s="34" t="n">
        <f aca="false">COUNT(Detalle_24m!H10:H10)</f>
        <v>0</v>
      </c>
      <c r="I324" s="34" t="n">
        <f aca="false">COUNT(Detalle_24m!I10:I10)</f>
        <v>0</v>
      </c>
      <c r="J324" s="34" t="n">
        <f aca="false">COUNT(Detalle_24m!J10:J10)</f>
        <v>0</v>
      </c>
      <c r="K324" s="34" t="n">
        <f aca="false">COUNT(Detalle_24m!K10:K10)</f>
        <v>0</v>
      </c>
      <c r="L324" s="34" t="n">
        <f aca="false">COUNT(Detalle_24m!L10:L10)</f>
        <v>0</v>
      </c>
      <c r="M324" s="34" t="n">
        <f aca="false">COUNT(Detalle_24m!M10:M10)</f>
        <v>0</v>
      </c>
      <c r="N324" s="34" t="n">
        <f aca="false">COUNT(Detalle_24m!N10:N10)</f>
        <v>0</v>
      </c>
      <c r="O324" s="34" t="n">
        <f aca="false">COUNT(Detalle_24m!O10:O10)</f>
        <v>0</v>
      </c>
      <c r="P324" s="34" t="n">
        <f aca="false">COUNT(Detalle_24m!P10:P10)</f>
        <v>0</v>
      </c>
      <c r="Q324" s="34" t="n">
        <f aca="false">COUNT(Detalle_24m!Q10:Q10)</f>
        <v>0</v>
      </c>
      <c r="R324" s="34" t="n">
        <f aca="false">COUNT(Detalle_24m!R10:R10)</f>
        <v>0</v>
      </c>
      <c r="S324" s="34" t="n">
        <f aca="false">COUNT(Detalle_24m!S10:S10)</f>
        <v>0</v>
      </c>
      <c r="T324" s="34" t="n">
        <f aca="false">COUNT(Detalle_24m!T10:T10)</f>
        <v>0</v>
      </c>
      <c r="U324" s="34" t="n">
        <f aca="false">COUNT(Detalle_24m!U10:U10)</f>
        <v>0</v>
      </c>
      <c r="V324" s="34" t="n">
        <f aca="false">COUNT(Detalle_24m!V10:V10)</f>
        <v>0</v>
      </c>
      <c r="W324" s="34" t="n">
        <f aca="false">COUNT(Detalle_24m!W10:W10)</f>
        <v>0</v>
      </c>
      <c r="X324" s="34" t="n">
        <f aca="false">COUNT(Detalle_24m!X10:X10)</f>
        <v>0</v>
      </c>
      <c r="Y324" s="34" t="n">
        <f aca="false">COUNT(Detalle_24m!Y10:Y10)</f>
        <v>0</v>
      </c>
      <c r="Z324" s="34" t="n">
        <f aca="false">COUNT(Detalle_24m!Z10:Z10)</f>
        <v>0</v>
      </c>
      <c r="AA324" s="34" t="n">
        <f aca="false">COUNT(Detalle_24m!AA10:AA10)</f>
        <v>0</v>
      </c>
      <c r="AB324" s="34" t="n">
        <f aca="false">COUNT(Detalle_24m!AB10:AB10)</f>
        <v>0</v>
      </c>
      <c r="AC324" s="34" t="n">
        <f aca="false">COUNT(Detalle_24m!AC10:AC10)</f>
        <v>0</v>
      </c>
      <c r="AD324" s="34" t="n">
        <f aca="false">COUNT(Detalle_24m!AD10:AD10)</f>
        <v>0</v>
      </c>
      <c r="AE324" s="34" t="n">
        <f aca="false">COUNT(Detalle_24m!AE10:AE10)</f>
        <v>0</v>
      </c>
      <c r="AF324" s="34" t="n">
        <f aca="false">COUNT(Detalle_24m!AF10:AF10)</f>
        <v>0</v>
      </c>
      <c r="AG324" s="34" t="n">
        <f aca="false">COUNT(Detalle_24m!AG10:AG10)</f>
        <v>0</v>
      </c>
      <c r="AH324" s="34" t="n">
        <f aca="false">COUNT(Detalle_24m!AH10:AH10)</f>
        <v>0</v>
      </c>
      <c r="AI324" s="34" t="n">
        <f aca="false">COUNT(Detalle_24m!AI10:AI10)</f>
        <v>0</v>
      </c>
      <c r="AJ324" s="34" t="n">
        <f aca="false">COUNT(Detalle_24m!AJ10:AJ10)</f>
        <v>0</v>
      </c>
      <c r="AK324" s="34" t="n">
        <f aca="false">COUNT(Detalle_24m!AK10:AK10)</f>
        <v>0</v>
      </c>
      <c r="AL324" s="34" t="n">
        <f aca="false">COUNT(Detalle_24m!AL10:AL10)</f>
        <v>0</v>
      </c>
      <c r="AM324" s="34" t="n">
        <f aca="false">COUNT(Detalle_24m!AM10:AM10)</f>
        <v>0</v>
      </c>
      <c r="AN324" s="34" t="n">
        <f aca="false">COUNT(Detalle_24m!AN10:AN10)</f>
        <v>0</v>
      </c>
      <c r="AO324" s="34" t="n">
        <f aca="false">COUNT(Detalle_24m!AO10:AO10)</f>
        <v>0</v>
      </c>
      <c r="AP324" s="34" t="n">
        <f aca="false">COUNT(Detalle_24m!AP10:AP10)</f>
        <v>0</v>
      </c>
      <c r="AQ324" s="34" t="n">
        <f aca="false">COUNT(Detalle_24m!AQ10:AQ10)</f>
        <v>0</v>
      </c>
      <c r="AR324" s="34" t="n">
        <f aca="false">COUNT(Detalle_24m!AR10:AR10)</f>
        <v>0</v>
      </c>
      <c r="AS324" s="34" t="n">
        <f aca="false">COUNT(Detalle_24m!AS10:AS10)</f>
        <v>0</v>
      </c>
      <c r="AT324" s="34" t="n">
        <f aca="false">COUNT(Detalle_24m!AT10:AT10)</f>
        <v>0</v>
      </c>
      <c r="AU324" s="34" t="n">
        <f aca="false">COUNT(Detalle_24m!AU10:AU10)</f>
        <v>0</v>
      </c>
      <c r="AV324" s="34" t="n">
        <f aca="false">COUNT(Detalle_24m!AV10:AV10)</f>
        <v>0</v>
      </c>
      <c r="AW324" s="34" t="n">
        <f aca="false">COUNT(Detalle_24m!AW10:AW10)</f>
        <v>0</v>
      </c>
      <c r="AX324" s="34" t="n">
        <f aca="false">COUNT(Detalle_24m!AX10:AX10)</f>
        <v>0</v>
      </c>
      <c r="AY324" s="34" t="n">
        <f aca="false">COUNT(Detalle_24m!AY10:AY10)</f>
        <v>0</v>
      </c>
      <c r="AZ324" s="34" t="n">
        <f aca="false">COUNT(Detalle_24m!AZ10:AZ10)</f>
        <v>0</v>
      </c>
      <c r="BA324" s="34" t="n">
        <f aca="false">COUNT(Detalle_24m!BA10:BA10)</f>
        <v>0</v>
      </c>
      <c r="BB324" s="34" t="n">
        <f aca="false">COUNT(Detalle_24m!BB10:BB10)</f>
        <v>0</v>
      </c>
      <c r="BC324" s="34" t="n">
        <f aca="false">COUNT(Detalle_24m!BC10:BC10)</f>
        <v>0</v>
      </c>
      <c r="BD324" s="34" t="n">
        <f aca="false">COUNT(Detalle_24m!BD10:BD10)</f>
        <v>0</v>
      </c>
      <c r="BE324" s="34" t="n">
        <f aca="false">COUNT(Detalle_24m!BE10:BE10)</f>
        <v>0</v>
      </c>
      <c r="BF324" s="34" t="n">
        <f aca="false">COUNT(Detalle_24m!BF10:BF10)</f>
        <v>0</v>
      </c>
      <c r="BG324" s="34" t="n">
        <f aca="false">COUNT(Detalle_24m!BG10:BG10)</f>
        <v>0</v>
      </c>
      <c r="BH324" s="34" t="n">
        <f aca="false">COUNT(Detalle_24m!BH10:BH10)</f>
        <v>0</v>
      </c>
      <c r="BI324" s="34" t="n">
        <f aca="false">COUNT(Detalle_24m!BI10:BI10)</f>
        <v>0</v>
      </c>
      <c r="BJ324" s="34" t="n">
        <f aca="false">COUNT(Detalle_24m!BJ10:BJ10)</f>
        <v>0</v>
      </c>
      <c r="BK324" s="34" t="n">
        <f aca="false">COUNT(Detalle_24m!BK10:BK10)</f>
        <v>0</v>
      </c>
      <c r="BL324" s="34" t="n">
        <f aca="false">COUNT(Detalle_24m!BL10:BL10)</f>
        <v>0</v>
      </c>
      <c r="BM324" s="34" t="n">
        <f aca="false">COUNT(Detalle_24m!BM10:BM10)</f>
        <v>0</v>
      </c>
      <c r="BN324" s="34" t="n">
        <f aca="false">COUNT(Detalle_24m!BN10:BN10)</f>
        <v>0</v>
      </c>
      <c r="BO324" s="34" t="n">
        <f aca="false">COUNT(Detalle_24m!BO10:BO10)</f>
        <v>0</v>
      </c>
      <c r="BP324" s="34" t="n">
        <f aca="false">COUNT(Detalle_24m!BP10:BP10)</f>
        <v>0</v>
      </c>
      <c r="BQ324" s="34" t="n">
        <f aca="false">COUNT(Detalle_24m!BQ10:BQ10)</f>
        <v>0</v>
      </c>
      <c r="BR324" s="34" t="n">
        <f aca="false">COUNT(Detalle_24m!BR10:BR10)</f>
        <v>0</v>
      </c>
      <c r="BS324" s="34" t="n">
        <f aca="false">COUNT(Detalle_24m!BS10:BS10)</f>
        <v>0</v>
      </c>
      <c r="BT324" s="34" t="n">
        <f aca="false">COUNT(Detalle_24m!BT10:BT10)</f>
        <v>0</v>
      </c>
      <c r="BU324" s="34" t="n">
        <f aca="false">COUNT(Detalle_24m!BU10:BU10)</f>
        <v>0</v>
      </c>
      <c r="BV324" s="34" t="n">
        <f aca="false">COUNT(Detalle_24m!BV10:BV10)</f>
        <v>0</v>
      </c>
      <c r="BW324" s="34" t="n">
        <f aca="false">COUNT(Detalle_24m!BW10:BW10)</f>
        <v>0</v>
      </c>
      <c r="BX324" s="34" t="n">
        <f aca="false">COUNT(Detalle_24m!BX10:BX10)</f>
        <v>0</v>
      </c>
      <c r="BY324" s="34" t="n">
        <f aca="false">COUNT(Detalle_24m!BY10:BY10)</f>
        <v>0</v>
      </c>
      <c r="BZ324" s="34" t="n">
        <f aca="false">COUNT(Detalle_24m!BZ10:BZ10)</f>
        <v>0</v>
      </c>
      <c r="CA324" s="34" t="n">
        <f aca="false">COUNT(Detalle_24m!CA10:CA10)</f>
        <v>0</v>
      </c>
      <c r="CB324" s="34" t="n">
        <f aca="false">COUNT(Detalle_24m!CB10:CB10)</f>
        <v>0</v>
      </c>
      <c r="CC324" s="34" t="n">
        <f aca="false">COUNT(Detalle_24m!CC10:CC10)</f>
        <v>0</v>
      </c>
      <c r="CD324" s="34" t="n">
        <f aca="false">COUNT(Detalle_24m!CD10:CD10)</f>
        <v>0</v>
      </c>
      <c r="CE324" s="34" t="n">
        <f aca="false">COUNT(Detalle_24m!CE10:CE10)</f>
        <v>0</v>
      </c>
      <c r="CF324" s="34" t="n">
        <f aca="false">COUNT(Detalle_24m!CF10:CF10)</f>
        <v>0</v>
      </c>
      <c r="CG324" s="34" t="n">
        <f aca="false">COUNT(Detalle_24m!CG10:CG10)</f>
        <v>0</v>
      </c>
      <c r="CH324" s="34" t="n">
        <f aca="false">COUNT(Detalle_24m!CH10:CH10)</f>
        <v>0</v>
      </c>
      <c r="CI324" s="34" t="n">
        <f aca="false">COUNT(Detalle_24m!CI10:CI10)</f>
        <v>0</v>
      </c>
      <c r="CJ324" s="34" t="n">
        <f aca="false">COUNT(Detalle_24m!CJ10:CJ10)</f>
        <v>0</v>
      </c>
      <c r="CK324" s="34" t="n">
        <f aca="false">COUNT(Detalle_24m!CK10:CK10)</f>
        <v>0</v>
      </c>
      <c r="CL324" s="34" t="n">
        <f aca="false">COUNT(Detalle_24m!CL10:CL10)</f>
        <v>0</v>
      </c>
      <c r="CM324" s="34" t="n">
        <f aca="false">COUNT(Detalle_24m!CM10:CM10)</f>
        <v>0</v>
      </c>
      <c r="CN324" s="34" t="n">
        <f aca="false">COUNT(Detalle_24m!CN10:CN10)</f>
        <v>0</v>
      </c>
      <c r="CO324" s="34" t="n">
        <f aca="false">COUNT(Detalle_24m!CO10:CO10)</f>
        <v>0</v>
      </c>
      <c r="CP324" s="34" t="n">
        <f aca="false">COUNT(Detalle_24m!CP10:CP10)</f>
        <v>0</v>
      </c>
      <c r="CQ324" s="34" t="n">
        <f aca="false">COUNT(Detalle_24m!CQ10:CQ10)</f>
        <v>0</v>
      </c>
      <c r="CR324" s="34" t="n">
        <f aca="false">COUNT(Detalle_24m!CR10:CR10)</f>
        <v>0</v>
      </c>
      <c r="CS324" s="34" t="n">
        <f aca="false">COUNT(Detalle_24m!CS10:CS10)</f>
        <v>0</v>
      </c>
      <c r="CT324" s="34" t="n">
        <f aca="false">COUNT(Detalle_24m!CT10:CT10)</f>
        <v>0</v>
      </c>
      <c r="CU324" s="34" t="n">
        <f aca="false">COUNT(Detalle_24m!CU10:CU10)</f>
        <v>0</v>
      </c>
      <c r="CV324" s="34" t="n">
        <f aca="false">COUNT(Detalle_24m!CV10:CV10)</f>
        <v>0</v>
      </c>
      <c r="CW324" s="34" t="n">
        <f aca="false">COUNT(Detalle_24m!CW10:CW10)</f>
        <v>0</v>
      </c>
      <c r="CX324" s="34" t="n">
        <f aca="false">COUNT(Detalle_24m!CX10:CX10)</f>
        <v>0</v>
      </c>
      <c r="CY324" s="34" t="n">
        <f aca="false">COUNT(Detalle_24m!CY10:CY10)</f>
        <v>0</v>
      </c>
      <c r="CZ324" s="34" t="n">
        <f aca="false">COUNT(Detalle_24m!CZ10:CZ10)</f>
        <v>0</v>
      </c>
      <c r="DA324" s="34" t="n">
        <f aca="false">COUNT(Detalle_24m!DA10:DA10)</f>
        <v>0</v>
      </c>
      <c r="DB324" s="34" t="n">
        <f aca="false">COUNT(Detalle_24m!DB10:DB10)</f>
        <v>0</v>
      </c>
      <c r="DC324" s="34" t="n">
        <f aca="false">COUNT(Detalle_24m!DC10:DC10)</f>
        <v>0</v>
      </c>
      <c r="DD324" s="34" t="n">
        <f aca="false">COUNT(Detalle_24m!DD10:DD10)</f>
        <v>0</v>
      </c>
      <c r="DE324" s="34" t="n">
        <f aca="false">COUNT(Detalle_24m!DE10:DE10)</f>
        <v>0</v>
      </c>
      <c r="DF324" s="34" t="n">
        <f aca="false">COUNT(Detalle_24m!DF10:DF10)</f>
        <v>0</v>
      </c>
      <c r="DG324" s="34" t="n">
        <f aca="false">COUNT(Detalle_24m!DG10:DG10)</f>
        <v>0</v>
      </c>
      <c r="DH324" s="34" t="n">
        <f aca="false">COUNT(Detalle_24m!DH10:DH10)</f>
        <v>0</v>
      </c>
      <c r="DI324" s="34" t="n">
        <f aca="false">COUNT(Detalle_24m!DI10:DI10)</f>
        <v>0</v>
      </c>
      <c r="DJ324" s="34" t="n">
        <f aca="false">COUNT(Detalle_24m!DJ10:DJ10)</f>
        <v>0</v>
      </c>
      <c r="DK324" s="34" t="n">
        <f aca="false">COUNT(Detalle_24m!DK10:DK10)</f>
        <v>0</v>
      </c>
      <c r="DL324" s="34" t="n">
        <f aca="false">COUNT(Detalle_24m!DL10:DL10)</f>
        <v>0</v>
      </c>
      <c r="DM324" s="34" t="n">
        <f aca="false">COUNT(Detalle_24m!DM10:DM10)</f>
        <v>0</v>
      </c>
      <c r="DN324" s="34" t="n">
        <f aca="false">COUNT(Detalle_24m!DN10:DN10)</f>
        <v>0</v>
      </c>
      <c r="DO324" s="34" t="n">
        <f aca="false">COUNT(Detalle_24m!DO10:DO10)</f>
        <v>0</v>
      </c>
      <c r="DP324" s="34" t="n">
        <f aca="false">COUNT(Detalle_24m!DP10:DP10)</f>
        <v>0</v>
      </c>
      <c r="DQ324" s="34" t="n">
        <f aca="false">COUNT(Detalle_24m!DQ10:DQ10)</f>
        <v>0</v>
      </c>
      <c r="DR324" s="34" t="n">
        <f aca="false">COUNT(Detalle_24m!DR10:DR10)</f>
        <v>0</v>
      </c>
      <c r="DS324" s="34" t="n">
        <f aca="false">COUNT(Detalle_24m!DS10:DS10)</f>
        <v>0</v>
      </c>
      <c r="DT324" s="34" t="n">
        <f aca="false">COUNT(Detalle_24m!DT10:DT10)</f>
        <v>0</v>
      </c>
      <c r="DU324" s="34" t="n">
        <f aca="false">COUNT(Detalle_24m!DU10:DU10)</f>
        <v>0</v>
      </c>
      <c r="DV324" s="34" t="n">
        <f aca="false">COUNT(Detalle_24m!DV10:DV10)</f>
        <v>0</v>
      </c>
      <c r="DW324" s="34" t="n">
        <f aca="false">COUNT(Detalle_24m!DW10:DW10)</f>
        <v>0</v>
      </c>
      <c r="DX324" s="34" t="n">
        <f aca="false">COUNT(Detalle_24m!DX10:DX10)</f>
        <v>0</v>
      </c>
      <c r="DY324" s="34" t="n">
        <f aca="false">COUNT(Detalle_24m!DY10:DY10)</f>
        <v>0</v>
      </c>
      <c r="DZ324" s="34" t="n">
        <f aca="false">COUNT(Detalle_24m!DZ10:DZ10)</f>
        <v>0</v>
      </c>
      <c r="EA324" s="34" t="n">
        <f aca="false">COUNT(Detalle_24m!EA10:EA10)</f>
        <v>0</v>
      </c>
      <c r="EB324" s="34" t="n">
        <f aca="false">COUNT(Detalle_24m!EB10:EB10)</f>
        <v>0</v>
      </c>
      <c r="EC324" s="34" t="n">
        <f aca="false">COUNT(Detalle_24m!EC10:EC10)</f>
        <v>0</v>
      </c>
      <c r="ED324" s="34" t="n">
        <f aca="false">COUNT(Detalle_24m!ED10:ED10)</f>
        <v>0</v>
      </c>
      <c r="EE324" s="34" t="n">
        <f aca="false">COUNT(Detalle_24m!EE10:EE10)</f>
        <v>0</v>
      </c>
      <c r="EF324" s="34" t="n">
        <f aca="false">COUNT(Detalle_24m!EF10:EF10)</f>
        <v>0</v>
      </c>
      <c r="EG324" s="34" t="n">
        <f aca="false">COUNT(Detalle_24m!EG10:EG10)</f>
        <v>0</v>
      </c>
      <c r="EH324" s="34" t="n">
        <f aca="false">COUNT(Detalle_24m!EH10:EH10)</f>
        <v>0</v>
      </c>
      <c r="EI324" s="34" t="n">
        <f aca="false">COUNT(Detalle_24m!EI10:EI10)</f>
        <v>0</v>
      </c>
      <c r="EJ324" s="34" t="n">
        <f aca="false">COUNT(Detalle_24m!EJ10:EJ10)</f>
        <v>0</v>
      </c>
      <c r="EK324" s="34" t="n">
        <f aca="false">COUNT(Detalle_24m!EK10:EK10)</f>
        <v>0</v>
      </c>
      <c r="EL324" s="34" t="n">
        <f aca="false">COUNT(Detalle_24m!EL10:EL10)</f>
        <v>0</v>
      </c>
      <c r="EM324" s="34" t="n">
        <f aca="false">COUNT(Detalle_24m!EM10:EM10)</f>
        <v>0</v>
      </c>
      <c r="EN324" s="34" t="n">
        <f aca="false">COUNT(Detalle_24m!EN10:EN10)</f>
        <v>0</v>
      </c>
      <c r="EO324" s="34" t="n">
        <f aca="false">COUNT(Detalle_24m!EO10:EO10)</f>
        <v>0</v>
      </c>
      <c r="EP324" s="34" t="n">
        <f aca="false">COUNT(Detalle_24m!EP10:EP10)</f>
        <v>0</v>
      </c>
      <c r="EQ324" s="34" t="n">
        <f aca="false">COUNT(Detalle_24m!EQ10:EQ10)</f>
        <v>0</v>
      </c>
      <c r="ER324" s="34" t="n">
        <f aca="false">COUNT(Detalle_24m!ER10:ER10)</f>
        <v>0</v>
      </c>
      <c r="ES324" s="34" t="n">
        <f aca="false">COUNT(Detalle_24m!ES10:ES10)</f>
        <v>0</v>
      </c>
    </row>
    <row r="325" customFormat="false" ht="15" hidden="false" customHeight="false" outlineLevel="0" collapsed="false">
      <c r="A325" s="11" t="s">
        <v>1441</v>
      </c>
      <c r="B325" s="15" t="s">
        <v>1442</v>
      </c>
      <c r="E325" s="66" t="n">
        <f aca="false">SUM(F325:ES325)</f>
        <v>0</v>
      </c>
      <c r="F325" s="34" t="n">
        <f aca="false">COUNT(Detalle_24m!F14:F38)</f>
        <v>0</v>
      </c>
      <c r="G325" s="34" t="n">
        <f aca="false">COUNT(Detalle_24m!G14:G38)</f>
        <v>0</v>
      </c>
      <c r="H325" s="34" t="n">
        <f aca="false">COUNT(Detalle_24m!H14:H38)</f>
        <v>0</v>
      </c>
      <c r="I325" s="34" t="n">
        <f aca="false">COUNT(Detalle_24m!I14:I38)</f>
        <v>0</v>
      </c>
      <c r="J325" s="34" t="n">
        <f aca="false">COUNT(Detalle_24m!J14:J38)</f>
        <v>0</v>
      </c>
      <c r="K325" s="34" t="n">
        <f aca="false">COUNT(Detalle_24m!K14:K38)</f>
        <v>0</v>
      </c>
      <c r="L325" s="34" t="n">
        <f aca="false">COUNT(Detalle_24m!L14:L38)</f>
        <v>0</v>
      </c>
      <c r="M325" s="34" t="n">
        <f aca="false">COUNT(Detalle_24m!M14:M38)</f>
        <v>0</v>
      </c>
      <c r="N325" s="34" t="n">
        <f aca="false">COUNT(Detalle_24m!N14:N38)</f>
        <v>0</v>
      </c>
      <c r="O325" s="34" t="n">
        <f aca="false">COUNT(Detalle_24m!O14:O38)</f>
        <v>0</v>
      </c>
      <c r="P325" s="34" t="n">
        <f aca="false">COUNT(Detalle_24m!P14:P38)</f>
        <v>0</v>
      </c>
      <c r="Q325" s="34" t="n">
        <f aca="false">COUNT(Detalle_24m!Q14:Q38)</f>
        <v>0</v>
      </c>
      <c r="R325" s="34" t="n">
        <f aca="false">COUNT(Detalle_24m!R14:R38)</f>
        <v>0</v>
      </c>
      <c r="S325" s="34" t="n">
        <f aca="false">COUNT(Detalle_24m!S14:S38)</f>
        <v>0</v>
      </c>
      <c r="T325" s="34" t="n">
        <f aca="false">COUNT(Detalle_24m!T14:T38)</f>
        <v>0</v>
      </c>
      <c r="U325" s="34" t="n">
        <f aca="false">COUNT(Detalle_24m!U14:U38)</f>
        <v>0</v>
      </c>
      <c r="V325" s="34" t="n">
        <f aca="false">COUNT(Detalle_24m!V14:V38)</f>
        <v>0</v>
      </c>
      <c r="W325" s="34" t="n">
        <f aca="false">COUNT(Detalle_24m!W14:W38)</f>
        <v>0</v>
      </c>
      <c r="X325" s="34" t="n">
        <f aca="false">COUNT(Detalle_24m!X14:X38)</f>
        <v>0</v>
      </c>
      <c r="Y325" s="34" t="n">
        <f aca="false">COUNT(Detalle_24m!Y14:Y38)</f>
        <v>0</v>
      </c>
      <c r="Z325" s="34" t="n">
        <f aca="false">COUNT(Detalle_24m!Z14:Z38)</f>
        <v>0</v>
      </c>
      <c r="AA325" s="34" t="n">
        <f aca="false">COUNT(Detalle_24m!AA14:AA38)</f>
        <v>0</v>
      </c>
      <c r="AB325" s="34" t="n">
        <f aca="false">COUNT(Detalle_24m!AB14:AB38)</f>
        <v>0</v>
      </c>
      <c r="AC325" s="34" t="n">
        <f aca="false">COUNT(Detalle_24m!AC14:AC38)</f>
        <v>0</v>
      </c>
      <c r="AD325" s="34" t="n">
        <f aca="false">COUNT(Detalle_24m!AD14:AD38)</f>
        <v>0</v>
      </c>
      <c r="AE325" s="34" t="n">
        <f aca="false">COUNT(Detalle_24m!AE14:AE38)</f>
        <v>0</v>
      </c>
      <c r="AF325" s="34" t="n">
        <f aca="false">COUNT(Detalle_24m!AF14:AF38)</f>
        <v>0</v>
      </c>
      <c r="AG325" s="34" t="n">
        <f aca="false">COUNT(Detalle_24m!AG14:AG38)</f>
        <v>0</v>
      </c>
      <c r="AH325" s="34" t="n">
        <f aca="false">COUNT(Detalle_24m!AH14:AH38)</f>
        <v>0</v>
      </c>
      <c r="AI325" s="34" t="n">
        <f aca="false">COUNT(Detalle_24m!AI14:AI38)</f>
        <v>0</v>
      </c>
      <c r="AJ325" s="34" t="n">
        <f aca="false">COUNT(Detalle_24m!AJ14:AJ38)</f>
        <v>0</v>
      </c>
      <c r="AK325" s="34" t="n">
        <f aca="false">COUNT(Detalle_24m!AK14:AK38)</f>
        <v>0</v>
      </c>
      <c r="AL325" s="34" t="n">
        <f aca="false">COUNT(Detalle_24m!AL14:AL38)</f>
        <v>0</v>
      </c>
      <c r="AM325" s="34" t="n">
        <f aca="false">COUNT(Detalle_24m!AM14:AM38)</f>
        <v>0</v>
      </c>
      <c r="AN325" s="34" t="n">
        <f aca="false">COUNT(Detalle_24m!AN14:AN38)</f>
        <v>0</v>
      </c>
      <c r="AO325" s="34" t="n">
        <f aca="false">COUNT(Detalle_24m!AO14:AO38)</f>
        <v>0</v>
      </c>
      <c r="AP325" s="34" t="n">
        <f aca="false">COUNT(Detalle_24m!AP14:AP38)</f>
        <v>0</v>
      </c>
      <c r="AQ325" s="34" t="n">
        <f aca="false">COUNT(Detalle_24m!AQ14:AQ38)</f>
        <v>0</v>
      </c>
      <c r="AR325" s="34" t="n">
        <f aca="false">COUNT(Detalle_24m!AR14:AR38)</f>
        <v>0</v>
      </c>
      <c r="AS325" s="34" t="n">
        <f aca="false">COUNT(Detalle_24m!AS14:AS38)</f>
        <v>0</v>
      </c>
      <c r="AT325" s="34" t="n">
        <f aca="false">COUNT(Detalle_24m!AT14:AT38)</f>
        <v>0</v>
      </c>
      <c r="AU325" s="34" t="n">
        <f aca="false">COUNT(Detalle_24m!AU14:AU38)</f>
        <v>0</v>
      </c>
      <c r="AV325" s="34" t="n">
        <f aca="false">COUNT(Detalle_24m!AV14:AV38)</f>
        <v>0</v>
      </c>
      <c r="AW325" s="34" t="n">
        <f aca="false">COUNT(Detalle_24m!AW14:AW38)</f>
        <v>0</v>
      </c>
      <c r="AX325" s="34" t="n">
        <f aca="false">COUNT(Detalle_24m!AX14:AX38)</f>
        <v>0</v>
      </c>
      <c r="AY325" s="34" t="n">
        <f aca="false">COUNT(Detalle_24m!AY14:AY38)</f>
        <v>0</v>
      </c>
      <c r="AZ325" s="34" t="n">
        <f aca="false">COUNT(Detalle_24m!AZ14:AZ38)</f>
        <v>0</v>
      </c>
      <c r="BA325" s="34" t="n">
        <f aca="false">COUNT(Detalle_24m!BA14:BA38)</f>
        <v>0</v>
      </c>
      <c r="BB325" s="34" t="n">
        <f aca="false">COUNT(Detalle_24m!BB14:BB38)</f>
        <v>0</v>
      </c>
      <c r="BC325" s="34" t="n">
        <f aca="false">COUNT(Detalle_24m!BC14:BC38)</f>
        <v>0</v>
      </c>
      <c r="BD325" s="34" t="n">
        <f aca="false">COUNT(Detalle_24m!BD14:BD38)</f>
        <v>0</v>
      </c>
      <c r="BE325" s="34" t="n">
        <f aca="false">COUNT(Detalle_24m!BE14:BE38)</f>
        <v>0</v>
      </c>
      <c r="BF325" s="34" t="n">
        <f aca="false">COUNT(Detalle_24m!BF14:BF38)</f>
        <v>0</v>
      </c>
      <c r="BG325" s="34" t="n">
        <f aca="false">COUNT(Detalle_24m!BG14:BG38)</f>
        <v>0</v>
      </c>
      <c r="BH325" s="34" t="n">
        <f aca="false">COUNT(Detalle_24m!BH14:BH38)</f>
        <v>0</v>
      </c>
      <c r="BI325" s="34" t="n">
        <f aca="false">COUNT(Detalle_24m!BI14:BI38)</f>
        <v>0</v>
      </c>
      <c r="BJ325" s="34" t="n">
        <f aca="false">COUNT(Detalle_24m!BJ14:BJ38)</f>
        <v>0</v>
      </c>
      <c r="BK325" s="34" t="n">
        <f aca="false">COUNT(Detalle_24m!BK14:BK38)</f>
        <v>0</v>
      </c>
      <c r="BL325" s="34" t="n">
        <f aca="false">COUNT(Detalle_24m!BL14:BL38)</f>
        <v>0</v>
      </c>
      <c r="BM325" s="34" t="n">
        <f aca="false">COUNT(Detalle_24m!BM14:BM38)</f>
        <v>0</v>
      </c>
      <c r="BN325" s="34" t="n">
        <f aca="false">COUNT(Detalle_24m!BN14:BN38)</f>
        <v>0</v>
      </c>
      <c r="BO325" s="34" t="n">
        <f aca="false">COUNT(Detalle_24m!BO14:BO38)</f>
        <v>0</v>
      </c>
      <c r="BP325" s="34" t="n">
        <f aca="false">COUNT(Detalle_24m!BP14:BP38)</f>
        <v>0</v>
      </c>
      <c r="BQ325" s="34" t="n">
        <f aca="false">COUNT(Detalle_24m!BQ14:BQ38)</f>
        <v>0</v>
      </c>
      <c r="BR325" s="34" t="n">
        <f aca="false">COUNT(Detalle_24m!BR14:BR38)</f>
        <v>0</v>
      </c>
      <c r="BS325" s="34" t="n">
        <f aca="false">COUNT(Detalle_24m!BS14:BS38)</f>
        <v>0</v>
      </c>
      <c r="BT325" s="34" t="n">
        <f aca="false">COUNT(Detalle_24m!BT14:BT38)</f>
        <v>0</v>
      </c>
      <c r="BU325" s="34" t="n">
        <f aca="false">COUNT(Detalle_24m!BU14:BU38)</f>
        <v>0</v>
      </c>
      <c r="BV325" s="34" t="n">
        <f aca="false">COUNT(Detalle_24m!BV14:BV38)</f>
        <v>0</v>
      </c>
      <c r="BW325" s="34" t="n">
        <f aca="false">COUNT(Detalle_24m!BW14:BW38)</f>
        <v>0</v>
      </c>
      <c r="BX325" s="34" t="n">
        <f aca="false">COUNT(Detalle_24m!BX14:BX38)</f>
        <v>0</v>
      </c>
      <c r="BY325" s="34" t="n">
        <f aca="false">COUNT(Detalle_24m!BY14:BY38)</f>
        <v>0</v>
      </c>
      <c r="BZ325" s="34" t="n">
        <f aca="false">COUNT(Detalle_24m!BZ14:BZ38)</f>
        <v>0</v>
      </c>
      <c r="CA325" s="34" t="n">
        <f aca="false">COUNT(Detalle_24m!CA14:CA38)</f>
        <v>0</v>
      </c>
      <c r="CB325" s="34" t="n">
        <f aca="false">COUNT(Detalle_24m!CB14:CB38)</f>
        <v>0</v>
      </c>
      <c r="CC325" s="34" t="n">
        <f aca="false">COUNT(Detalle_24m!CC14:CC38)</f>
        <v>0</v>
      </c>
      <c r="CD325" s="34" t="n">
        <f aca="false">COUNT(Detalle_24m!CD14:CD38)</f>
        <v>0</v>
      </c>
      <c r="CE325" s="34" t="n">
        <f aca="false">COUNT(Detalle_24m!CE14:CE38)</f>
        <v>0</v>
      </c>
      <c r="CF325" s="34" t="n">
        <f aca="false">COUNT(Detalle_24m!CF14:CF38)</f>
        <v>0</v>
      </c>
      <c r="CG325" s="34" t="n">
        <f aca="false">COUNT(Detalle_24m!CG14:CG38)</f>
        <v>0</v>
      </c>
      <c r="CH325" s="34" t="n">
        <f aca="false">COUNT(Detalle_24m!CH14:CH38)</f>
        <v>0</v>
      </c>
      <c r="CI325" s="34" t="n">
        <f aca="false">COUNT(Detalle_24m!CI14:CI38)</f>
        <v>0</v>
      </c>
      <c r="CJ325" s="34" t="n">
        <f aca="false">COUNT(Detalle_24m!CJ14:CJ38)</f>
        <v>0</v>
      </c>
      <c r="CK325" s="34" t="n">
        <f aca="false">COUNT(Detalle_24m!CK14:CK38)</f>
        <v>0</v>
      </c>
      <c r="CL325" s="34" t="n">
        <f aca="false">COUNT(Detalle_24m!CL14:CL38)</f>
        <v>0</v>
      </c>
      <c r="CM325" s="34" t="n">
        <f aca="false">COUNT(Detalle_24m!CM14:CM38)</f>
        <v>0</v>
      </c>
      <c r="CN325" s="34" t="n">
        <f aca="false">COUNT(Detalle_24m!CN14:CN38)</f>
        <v>0</v>
      </c>
      <c r="CO325" s="34" t="n">
        <f aca="false">COUNT(Detalle_24m!CO14:CO38)</f>
        <v>0</v>
      </c>
      <c r="CP325" s="34" t="n">
        <f aca="false">COUNT(Detalle_24m!CP14:CP38)</f>
        <v>0</v>
      </c>
      <c r="CQ325" s="34" t="n">
        <f aca="false">COUNT(Detalle_24m!CQ14:CQ38)</f>
        <v>0</v>
      </c>
      <c r="CR325" s="34" t="n">
        <f aca="false">COUNT(Detalle_24m!CR14:CR38)</f>
        <v>0</v>
      </c>
      <c r="CS325" s="34" t="n">
        <f aca="false">COUNT(Detalle_24m!CS14:CS38)</f>
        <v>0</v>
      </c>
      <c r="CT325" s="34" t="n">
        <f aca="false">COUNT(Detalle_24m!CT14:CT38)</f>
        <v>0</v>
      </c>
      <c r="CU325" s="34" t="n">
        <f aca="false">COUNT(Detalle_24m!CU14:CU38)</f>
        <v>0</v>
      </c>
      <c r="CV325" s="34" t="n">
        <f aca="false">COUNT(Detalle_24m!CV14:CV38)</f>
        <v>0</v>
      </c>
      <c r="CW325" s="34" t="n">
        <f aca="false">COUNT(Detalle_24m!CW14:CW38)</f>
        <v>0</v>
      </c>
      <c r="CX325" s="34" t="n">
        <f aca="false">COUNT(Detalle_24m!CX14:CX38)</f>
        <v>0</v>
      </c>
      <c r="CY325" s="34" t="n">
        <f aca="false">COUNT(Detalle_24m!CY14:CY38)</f>
        <v>0</v>
      </c>
      <c r="CZ325" s="34" t="n">
        <f aca="false">COUNT(Detalle_24m!CZ14:CZ38)</f>
        <v>0</v>
      </c>
      <c r="DA325" s="34" t="n">
        <f aca="false">COUNT(Detalle_24m!DA14:DA38)</f>
        <v>0</v>
      </c>
      <c r="DB325" s="34" t="n">
        <f aca="false">COUNT(Detalle_24m!DB14:DB38)</f>
        <v>0</v>
      </c>
      <c r="DC325" s="34" t="n">
        <f aca="false">COUNT(Detalle_24m!DC14:DC38)</f>
        <v>0</v>
      </c>
      <c r="DD325" s="34" t="n">
        <f aca="false">COUNT(Detalle_24m!DD14:DD38)</f>
        <v>0</v>
      </c>
      <c r="DE325" s="34" t="n">
        <f aca="false">COUNT(Detalle_24m!DE14:DE38)</f>
        <v>0</v>
      </c>
      <c r="DF325" s="34" t="n">
        <f aca="false">COUNT(Detalle_24m!DF14:DF38)</f>
        <v>0</v>
      </c>
      <c r="DG325" s="34" t="n">
        <f aca="false">COUNT(Detalle_24m!DG14:DG38)</f>
        <v>0</v>
      </c>
      <c r="DH325" s="34" t="n">
        <f aca="false">COUNT(Detalle_24m!DH14:DH38)</f>
        <v>0</v>
      </c>
      <c r="DI325" s="34" t="n">
        <f aca="false">COUNT(Detalle_24m!DI14:DI38)</f>
        <v>0</v>
      </c>
      <c r="DJ325" s="34" t="n">
        <f aca="false">COUNT(Detalle_24m!DJ14:DJ38)</f>
        <v>0</v>
      </c>
      <c r="DK325" s="34" t="n">
        <f aca="false">COUNT(Detalle_24m!DK14:DK38)</f>
        <v>0</v>
      </c>
      <c r="DL325" s="34" t="n">
        <f aca="false">COUNT(Detalle_24m!DL14:DL38)</f>
        <v>0</v>
      </c>
      <c r="DM325" s="34" t="n">
        <f aca="false">COUNT(Detalle_24m!DM14:DM38)</f>
        <v>0</v>
      </c>
      <c r="DN325" s="34" t="n">
        <f aca="false">COUNT(Detalle_24m!DN14:DN38)</f>
        <v>0</v>
      </c>
      <c r="DO325" s="34" t="n">
        <f aca="false">COUNT(Detalle_24m!DO14:DO38)</f>
        <v>0</v>
      </c>
      <c r="DP325" s="34" t="n">
        <f aca="false">COUNT(Detalle_24m!DP14:DP38)</f>
        <v>0</v>
      </c>
      <c r="DQ325" s="34" t="n">
        <f aca="false">COUNT(Detalle_24m!DQ14:DQ38)</f>
        <v>0</v>
      </c>
      <c r="DR325" s="34" t="n">
        <f aca="false">COUNT(Detalle_24m!DR14:DR38)</f>
        <v>0</v>
      </c>
      <c r="DS325" s="34" t="n">
        <f aca="false">COUNT(Detalle_24m!DS14:DS38)</f>
        <v>0</v>
      </c>
      <c r="DT325" s="34" t="n">
        <f aca="false">COUNT(Detalle_24m!DT14:DT38)</f>
        <v>0</v>
      </c>
      <c r="DU325" s="34" t="n">
        <f aca="false">COUNT(Detalle_24m!DU14:DU38)</f>
        <v>0</v>
      </c>
      <c r="DV325" s="34" t="n">
        <f aca="false">COUNT(Detalle_24m!DV14:DV38)</f>
        <v>0</v>
      </c>
      <c r="DW325" s="34" t="n">
        <f aca="false">COUNT(Detalle_24m!DW14:DW38)</f>
        <v>0</v>
      </c>
      <c r="DX325" s="34" t="n">
        <f aca="false">COUNT(Detalle_24m!DX14:DX38)</f>
        <v>0</v>
      </c>
      <c r="DY325" s="34" t="n">
        <f aca="false">COUNT(Detalle_24m!DY14:DY38)</f>
        <v>0</v>
      </c>
      <c r="DZ325" s="34" t="n">
        <f aca="false">COUNT(Detalle_24m!DZ14:DZ38)</f>
        <v>0</v>
      </c>
      <c r="EA325" s="34" t="n">
        <f aca="false">COUNT(Detalle_24m!EA14:EA38)</f>
        <v>0</v>
      </c>
      <c r="EB325" s="34" t="n">
        <f aca="false">COUNT(Detalle_24m!EB14:EB38)</f>
        <v>0</v>
      </c>
      <c r="EC325" s="34" t="n">
        <f aca="false">COUNT(Detalle_24m!EC14:EC38)</f>
        <v>0</v>
      </c>
      <c r="ED325" s="34" t="n">
        <f aca="false">COUNT(Detalle_24m!ED14:ED38)</f>
        <v>0</v>
      </c>
      <c r="EE325" s="34" t="n">
        <f aca="false">COUNT(Detalle_24m!EE14:EE38)</f>
        <v>0</v>
      </c>
      <c r="EF325" s="34" t="n">
        <f aca="false">COUNT(Detalle_24m!EF14:EF38)</f>
        <v>0</v>
      </c>
      <c r="EG325" s="34" t="n">
        <f aca="false">COUNT(Detalle_24m!EG14:EG38)</f>
        <v>0</v>
      </c>
      <c r="EH325" s="34" t="n">
        <f aca="false">COUNT(Detalle_24m!EH14:EH38)</f>
        <v>0</v>
      </c>
      <c r="EI325" s="34" t="n">
        <f aca="false">COUNT(Detalle_24m!EI14:EI38)</f>
        <v>0</v>
      </c>
      <c r="EJ325" s="34" t="n">
        <f aca="false">COUNT(Detalle_24m!EJ14:EJ38)</f>
        <v>0</v>
      </c>
      <c r="EK325" s="34" t="n">
        <f aca="false">COUNT(Detalle_24m!EK14:EK38)</f>
        <v>0</v>
      </c>
      <c r="EL325" s="34" t="n">
        <f aca="false">COUNT(Detalle_24m!EL14:EL38)</f>
        <v>0</v>
      </c>
      <c r="EM325" s="34" t="n">
        <f aca="false">COUNT(Detalle_24m!EM14:EM38)</f>
        <v>0</v>
      </c>
      <c r="EN325" s="34" t="n">
        <f aca="false">COUNT(Detalle_24m!EN14:EN38)</f>
        <v>0</v>
      </c>
      <c r="EO325" s="34" t="n">
        <f aca="false">COUNT(Detalle_24m!EO14:EO38)</f>
        <v>0</v>
      </c>
      <c r="EP325" s="34" t="n">
        <f aca="false">COUNT(Detalle_24m!EP14:EP38)</f>
        <v>0</v>
      </c>
      <c r="EQ325" s="34" t="n">
        <f aca="false">COUNT(Detalle_24m!EQ14:EQ38)</f>
        <v>0</v>
      </c>
      <c r="ER325" s="34" t="n">
        <f aca="false">COUNT(Detalle_24m!ER14:ER38)</f>
        <v>0</v>
      </c>
      <c r="ES325" s="34" t="n">
        <f aca="false">COUNT(Detalle_24m!ES14:ES38)</f>
        <v>0</v>
      </c>
    </row>
    <row r="326" customFormat="false" ht="15" hidden="false" customHeight="false" outlineLevel="0" collapsed="false">
      <c r="A326" s="11" t="s">
        <v>1443</v>
      </c>
      <c r="B326" s="15" t="s">
        <v>1444</v>
      </c>
      <c r="E326" s="66" t="n">
        <f aca="false">SUM(F326:ES326)</f>
        <v>0</v>
      </c>
      <c r="F326" s="34" t="n">
        <f aca="false">COUNT(Detalle_24m!F42:F66)</f>
        <v>0</v>
      </c>
      <c r="G326" s="34" t="n">
        <f aca="false">COUNT(Detalle_24m!G42:G66)</f>
        <v>0</v>
      </c>
      <c r="H326" s="34" t="n">
        <f aca="false">COUNT(Detalle_24m!H42:H66)</f>
        <v>0</v>
      </c>
      <c r="I326" s="34" t="n">
        <f aca="false">COUNT(Detalle_24m!I42:I66)</f>
        <v>0</v>
      </c>
      <c r="J326" s="34" t="n">
        <f aca="false">COUNT(Detalle_24m!J42:J66)</f>
        <v>0</v>
      </c>
      <c r="K326" s="34" t="n">
        <f aca="false">COUNT(Detalle_24m!K42:K66)</f>
        <v>0</v>
      </c>
      <c r="L326" s="34" t="n">
        <f aca="false">COUNT(Detalle_24m!L42:L66)</f>
        <v>0</v>
      </c>
      <c r="M326" s="34" t="n">
        <f aca="false">COUNT(Detalle_24m!M42:M66)</f>
        <v>0</v>
      </c>
      <c r="N326" s="34" t="n">
        <f aca="false">COUNT(Detalle_24m!N42:N66)</f>
        <v>0</v>
      </c>
      <c r="O326" s="34" t="n">
        <f aca="false">COUNT(Detalle_24m!O42:O66)</f>
        <v>0</v>
      </c>
      <c r="P326" s="34" t="n">
        <f aca="false">COUNT(Detalle_24m!P42:P66)</f>
        <v>0</v>
      </c>
      <c r="Q326" s="34" t="n">
        <f aca="false">COUNT(Detalle_24m!Q42:Q66)</f>
        <v>0</v>
      </c>
      <c r="R326" s="34" t="n">
        <f aca="false">COUNT(Detalle_24m!R42:R66)</f>
        <v>0</v>
      </c>
      <c r="S326" s="34" t="n">
        <f aca="false">COUNT(Detalle_24m!S42:S66)</f>
        <v>0</v>
      </c>
      <c r="T326" s="34" t="n">
        <f aca="false">COUNT(Detalle_24m!T42:T66)</f>
        <v>0</v>
      </c>
      <c r="U326" s="34" t="n">
        <f aca="false">COUNT(Detalle_24m!U42:U66)</f>
        <v>0</v>
      </c>
      <c r="V326" s="34" t="n">
        <f aca="false">COUNT(Detalle_24m!V42:V66)</f>
        <v>0</v>
      </c>
      <c r="W326" s="34" t="n">
        <f aca="false">COUNT(Detalle_24m!W42:W66)</f>
        <v>0</v>
      </c>
      <c r="X326" s="34" t="n">
        <f aca="false">COUNT(Detalle_24m!X42:X66)</f>
        <v>0</v>
      </c>
      <c r="Y326" s="34" t="n">
        <f aca="false">COUNT(Detalle_24m!Y42:Y66)</f>
        <v>0</v>
      </c>
      <c r="Z326" s="34" t="n">
        <f aca="false">COUNT(Detalle_24m!Z42:Z66)</f>
        <v>0</v>
      </c>
      <c r="AA326" s="34" t="n">
        <f aca="false">COUNT(Detalle_24m!AA42:AA66)</f>
        <v>0</v>
      </c>
      <c r="AB326" s="34" t="n">
        <f aca="false">COUNT(Detalle_24m!AB42:AB66)</f>
        <v>0</v>
      </c>
      <c r="AC326" s="34" t="n">
        <f aca="false">COUNT(Detalle_24m!AC42:AC66)</f>
        <v>0</v>
      </c>
      <c r="AD326" s="34" t="n">
        <f aca="false">COUNT(Detalle_24m!AD42:AD66)</f>
        <v>0</v>
      </c>
      <c r="AE326" s="34" t="n">
        <f aca="false">COUNT(Detalle_24m!AE42:AE66)</f>
        <v>0</v>
      </c>
      <c r="AF326" s="34" t="n">
        <f aca="false">COUNT(Detalle_24m!AF42:AF66)</f>
        <v>0</v>
      </c>
      <c r="AG326" s="34" t="n">
        <f aca="false">COUNT(Detalle_24m!AG42:AG66)</f>
        <v>0</v>
      </c>
      <c r="AH326" s="34" t="n">
        <f aca="false">COUNT(Detalle_24m!AH42:AH66)</f>
        <v>0</v>
      </c>
      <c r="AI326" s="34" t="n">
        <f aca="false">COUNT(Detalle_24m!AI42:AI66)</f>
        <v>0</v>
      </c>
      <c r="AJ326" s="34" t="n">
        <f aca="false">COUNT(Detalle_24m!AJ42:AJ66)</f>
        <v>0</v>
      </c>
      <c r="AK326" s="34" t="n">
        <f aca="false">COUNT(Detalle_24m!AK42:AK66)</f>
        <v>0</v>
      </c>
      <c r="AL326" s="34" t="n">
        <f aca="false">COUNT(Detalle_24m!AL42:AL66)</f>
        <v>0</v>
      </c>
      <c r="AM326" s="34" t="n">
        <f aca="false">COUNT(Detalle_24m!AM42:AM66)</f>
        <v>0</v>
      </c>
      <c r="AN326" s="34" t="n">
        <f aca="false">COUNT(Detalle_24m!AN42:AN66)</f>
        <v>0</v>
      </c>
      <c r="AO326" s="34" t="n">
        <f aca="false">COUNT(Detalle_24m!AO42:AO66)</f>
        <v>0</v>
      </c>
      <c r="AP326" s="34" t="n">
        <f aca="false">COUNT(Detalle_24m!AP42:AP66)</f>
        <v>0</v>
      </c>
      <c r="AQ326" s="34" t="n">
        <f aca="false">COUNT(Detalle_24m!AQ42:AQ66)</f>
        <v>0</v>
      </c>
      <c r="AR326" s="34" t="n">
        <f aca="false">COUNT(Detalle_24m!AR42:AR66)</f>
        <v>0</v>
      </c>
      <c r="AS326" s="34" t="n">
        <f aca="false">COUNT(Detalle_24m!AS42:AS66)</f>
        <v>0</v>
      </c>
      <c r="AT326" s="34" t="n">
        <f aca="false">COUNT(Detalle_24m!AT42:AT66)</f>
        <v>0</v>
      </c>
      <c r="AU326" s="34" t="n">
        <f aca="false">COUNT(Detalle_24m!AU42:AU66)</f>
        <v>0</v>
      </c>
      <c r="AV326" s="34" t="n">
        <f aca="false">COUNT(Detalle_24m!AV42:AV66)</f>
        <v>0</v>
      </c>
      <c r="AW326" s="34" t="n">
        <f aca="false">COUNT(Detalle_24m!AW42:AW66)</f>
        <v>0</v>
      </c>
      <c r="AX326" s="34" t="n">
        <f aca="false">COUNT(Detalle_24m!AX42:AX66)</f>
        <v>0</v>
      </c>
      <c r="AY326" s="34" t="n">
        <f aca="false">COUNT(Detalle_24m!AY42:AY66)</f>
        <v>0</v>
      </c>
      <c r="AZ326" s="34" t="n">
        <f aca="false">COUNT(Detalle_24m!AZ42:AZ66)</f>
        <v>0</v>
      </c>
      <c r="BA326" s="34" t="n">
        <f aca="false">COUNT(Detalle_24m!BA42:BA66)</f>
        <v>0</v>
      </c>
      <c r="BB326" s="34" t="n">
        <f aca="false">COUNT(Detalle_24m!BB42:BB66)</f>
        <v>0</v>
      </c>
      <c r="BC326" s="34" t="n">
        <f aca="false">COUNT(Detalle_24m!BC42:BC66)</f>
        <v>0</v>
      </c>
      <c r="BD326" s="34" t="n">
        <f aca="false">COUNT(Detalle_24m!BD42:BD66)</f>
        <v>0</v>
      </c>
      <c r="BE326" s="34" t="n">
        <f aca="false">COUNT(Detalle_24m!BE42:BE66)</f>
        <v>0</v>
      </c>
      <c r="BF326" s="34" t="n">
        <f aca="false">COUNT(Detalle_24m!BF42:BF66)</f>
        <v>0</v>
      </c>
      <c r="BG326" s="34" t="n">
        <f aca="false">COUNT(Detalle_24m!BG42:BG66)</f>
        <v>0</v>
      </c>
      <c r="BH326" s="34" t="n">
        <f aca="false">COUNT(Detalle_24m!BH42:BH66)</f>
        <v>0</v>
      </c>
      <c r="BI326" s="34" t="n">
        <f aca="false">COUNT(Detalle_24m!BI42:BI66)</f>
        <v>0</v>
      </c>
      <c r="BJ326" s="34" t="n">
        <f aca="false">COUNT(Detalle_24m!BJ42:BJ66)</f>
        <v>0</v>
      </c>
      <c r="BK326" s="34" t="n">
        <f aca="false">COUNT(Detalle_24m!BK42:BK66)</f>
        <v>0</v>
      </c>
      <c r="BL326" s="34" t="n">
        <f aca="false">COUNT(Detalle_24m!BL42:BL66)</f>
        <v>0</v>
      </c>
      <c r="BM326" s="34" t="n">
        <f aca="false">COUNT(Detalle_24m!BM42:BM66)</f>
        <v>0</v>
      </c>
      <c r="BN326" s="34" t="n">
        <f aca="false">COUNT(Detalle_24m!BN42:BN66)</f>
        <v>0</v>
      </c>
      <c r="BO326" s="34" t="n">
        <f aca="false">COUNT(Detalle_24m!BO42:BO66)</f>
        <v>0</v>
      </c>
      <c r="BP326" s="34" t="n">
        <f aca="false">COUNT(Detalle_24m!BP42:BP66)</f>
        <v>0</v>
      </c>
      <c r="BQ326" s="34" t="n">
        <f aca="false">COUNT(Detalle_24m!BQ42:BQ66)</f>
        <v>0</v>
      </c>
      <c r="BR326" s="34" t="n">
        <f aca="false">COUNT(Detalle_24m!BR42:BR66)</f>
        <v>0</v>
      </c>
      <c r="BS326" s="34" t="n">
        <f aca="false">COUNT(Detalle_24m!BS42:BS66)</f>
        <v>0</v>
      </c>
      <c r="BT326" s="34" t="n">
        <f aca="false">COUNT(Detalle_24m!BT42:BT66)</f>
        <v>0</v>
      </c>
      <c r="BU326" s="34" t="n">
        <f aca="false">COUNT(Detalle_24m!BU42:BU66)</f>
        <v>0</v>
      </c>
      <c r="BV326" s="34" t="n">
        <f aca="false">COUNT(Detalle_24m!BV42:BV66)</f>
        <v>0</v>
      </c>
      <c r="BW326" s="34" t="n">
        <f aca="false">COUNT(Detalle_24m!BW42:BW66)</f>
        <v>0</v>
      </c>
      <c r="BX326" s="34" t="n">
        <f aca="false">COUNT(Detalle_24m!BX42:BX66)</f>
        <v>0</v>
      </c>
      <c r="BY326" s="34" t="n">
        <f aca="false">COUNT(Detalle_24m!BY42:BY66)</f>
        <v>0</v>
      </c>
      <c r="BZ326" s="34" t="n">
        <f aca="false">COUNT(Detalle_24m!BZ42:BZ66)</f>
        <v>0</v>
      </c>
      <c r="CA326" s="34" t="n">
        <f aca="false">COUNT(Detalle_24m!CA42:CA66)</f>
        <v>0</v>
      </c>
      <c r="CB326" s="34" t="n">
        <f aca="false">COUNT(Detalle_24m!CB42:CB66)</f>
        <v>0</v>
      </c>
      <c r="CC326" s="34" t="n">
        <f aca="false">COUNT(Detalle_24m!CC42:CC66)</f>
        <v>0</v>
      </c>
      <c r="CD326" s="34" t="n">
        <f aca="false">COUNT(Detalle_24m!CD42:CD66)</f>
        <v>0</v>
      </c>
      <c r="CE326" s="34" t="n">
        <f aca="false">COUNT(Detalle_24m!CE42:CE66)</f>
        <v>0</v>
      </c>
      <c r="CF326" s="34" t="n">
        <f aca="false">COUNT(Detalle_24m!CF42:CF66)</f>
        <v>0</v>
      </c>
      <c r="CG326" s="34" t="n">
        <f aca="false">COUNT(Detalle_24m!CG42:CG66)</f>
        <v>0</v>
      </c>
      <c r="CH326" s="34" t="n">
        <f aca="false">COUNT(Detalle_24m!CH42:CH66)</f>
        <v>0</v>
      </c>
      <c r="CI326" s="34" t="n">
        <f aca="false">COUNT(Detalle_24m!CI42:CI66)</f>
        <v>0</v>
      </c>
      <c r="CJ326" s="34" t="n">
        <f aca="false">COUNT(Detalle_24m!CJ42:CJ66)</f>
        <v>0</v>
      </c>
      <c r="CK326" s="34" t="n">
        <f aca="false">COUNT(Detalle_24m!CK42:CK66)</f>
        <v>0</v>
      </c>
      <c r="CL326" s="34" t="n">
        <f aca="false">COUNT(Detalle_24m!CL42:CL66)</f>
        <v>0</v>
      </c>
      <c r="CM326" s="34" t="n">
        <f aca="false">COUNT(Detalle_24m!CM42:CM66)</f>
        <v>0</v>
      </c>
      <c r="CN326" s="34" t="n">
        <f aca="false">COUNT(Detalle_24m!CN42:CN66)</f>
        <v>0</v>
      </c>
      <c r="CO326" s="34" t="n">
        <f aca="false">COUNT(Detalle_24m!CO42:CO66)</f>
        <v>0</v>
      </c>
      <c r="CP326" s="34" t="n">
        <f aca="false">COUNT(Detalle_24m!CP42:CP66)</f>
        <v>0</v>
      </c>
      <c r="CQ326" s="34" t="n">
        <f aca="false">COUNT(Detalle_24m!CQ42:CQ66)</f>
        <v>0</v>
      </c>
      <c r="CR326" s="34" t="n">
        <f aca="false">COUNT(Detalle_24m!CR42:CR66)</f>
        <v>0</v>
      </c>
      <c r="CS326" s="34" t="n">
        <f aca="false">COUNT(Detalle_24m!CS42:CS66)</f>
        <v>0</v>
      </c>
      <c r="CT326" s="34" t="n">
        <f aca="false">COUNT(Detalle_24m!CT42:CT66)</f>
        <v>0</v>
      </c>
      <c r="CU326" s="34" t="n">
        <f aca="false">COUNT(Detalle_24m!CU42:CU66)</f>
        <v>0</v>
      </c>
      <c r="CV326" s="34" t="n">
        <f aca="false">COUNT(Detalle_24m!CV42:CV66)</f>
        <v>0</v>
      </c>
      <c r="CW326" s="34" t="n">
        <f aca="false">COUNT(Detalle_24m!CW42:CW66)</f>
        <v>0</v>
      </c>
      <c r="CX326" s="34" t="n">
        <f aca="false">COUNT(Detalle_24m!CX42:CX66)</f>
        <v>0</v>
      </c>
      <c r="CY326" s="34" t="n">
        <f aca="false">COUNT(Detalle_24m!CY42:CY66)</f>
        <v>0</v>
      </c>
      <c r="CZ326" s="34" t="n">
        <f aca="false">COUNT(Detalle_24m!CZ42:CZ66)</f>
        <v>0</v>
      </c>
      <c r="DA326" s="34" t="n">
        <f aca="false">COUNT(Detalle_24m!DA42:DA66)</f>
        <v>0</v>
      </c>
      <c r="DB326" s="34" t="n">
        <f aca="false">COUNT(Detalle_24m!DB42:DB66)</f>
        <v>0</v>
      </c>
      <c r="DC326" s="34" t="n">
        <f aca="false">COUNT(Detalle_24m!DC42:DC66)</f>
        <v>0</v>
      </c>
      <c r="DD326" s="34" t="n">
        <f aca="false">COUNT(Detalle_24m!DD42:DD66)</f>
        <v>0</v>
      </c>
      <c r="DE326" s="34" t="n">
        <f aca="false">COUNT(Detalle_24m!DE42:DE66)</f>
        <v>0</v>
      </c>
      <c r="DF326" s="34" t="n">
        <f aca="false">COUNT(Detalle_24m!DF42:DF66)</f>
        <v>0</v>
      </c>
      <c r="DG326" s="34" t="n">
        <f aca="false">COUNT(Detalle_24m!DG42:DG66)</f>
        <v>0</v>
      </c>
      <c r="DH326" s="34" t="n">
        <f aca="false">COUNT(Detalle_24m!DH42:DH66)</f>
        <v>0</v>
      </c>
      <c r="DI326" s="34" t="n">
        <f aca="false">COUNT(Detalle_24m!DI42:DI66)</f>
        <v>0</v>
      </c>
      <c r="DJ326" s="34" t="n">
        <f aca="false">COUNT(Detalle_24m!DJ42:DJ66)</f>
        <v>0</v>
      </c>
      <c r="DK326" s="34" t="n">
        <f aca="false">COUNT(Detalle_24m!DK42:DK66)</f>
        <v>0</v>
      </c>
      <c r="DL326" s="34" t="n">
        <f aca="false">COUNT(Detalle_24m!DL42:DL66)</f>
        <v>0</v>
      </c>
      <c r="DM326" s="34" t="n">
        <f aca="false">COUNT(Detalle_24m!DM42:DM66)</f>
        <v>0</v>
      </c>
      <c r="DN326" s="34" t="n">
        <f aca="false">COUNT(Detalle_24m!DN42:DN66)</f>
        <v>0</v>
      </c>
      <c r="DO326" s="34" t="n">
        <f aca="false">COUNT(Detalle_24m!DO42:DO66)</f>
        <v>0</v>
      </c>
      <c r="DP326" s="34" t="n">
        <f aca="false">COUNT(Detalle_24m!DP42:DP66)</f>
        <v>0</v>
      </c>
      <c r="DQ326" s="34" t="n">
        <f aca="false">COUNT(Detalle_24m!DQ42:DQ66)</f>
        <v>0</v>
      </c>
      <c r="DR326" s="34" t="n">
        <f aca="false">COUNT(Detalle_24m!DR42:DR66)</f>
        <v>0</v>
      </c>
      <c r="DS326" s="34" t="n">
        <f aca="false">COUNT(Detalle_24m!DS42:DS66)</f>
        <v>0</v>
      </c>
      <c r="DT326" s="34" t="n">
        <f aca="false">COUNT(Detalle_24m!DT42:DT66)</f>
        <v>0</v>
      </c>
      <c r="DU326" s="34" t="n">
        <f aca="false">COUNT(Detalle_24m!DU42:DU66)</f>
        <v>0</v>
      </c>
      <c r="DV326" s="34" t="n">
        <f aca="false">COUNT(Detalle_24m!DV42:DV66)</f>
        <v>0</v>
      </c>
      <c r="DW326" s="34" t="n">
        <f aca="false">COUNT(Detalle_24m!DW42:DW66)</f>
        <v>0</v>
      </c>
      <c r="DX326" s="34" t="n">
        <f aca="false">COUNT(Detalle_24m!DX42:DX66)</f>
        <v>0</v>
      </c>
      <c r="DY326" s="34" t="n">
        <f aca="false">COUNT(Detalle_24m!DY42:DY66)</f>
        <v>0</v>
      </c>
      <c r="DZ326" s="34" t="n">
        <f aca="false">COUNT(Detalle_24m!DZ42:DZ66)</f>
        <v>0</v>
      </c>
      <c r="EA326" s="34" t="n">
        <f aca="false">COUNT(Detalle_24m!EA42:EA66)</f>
        <v>0</v>
      </c>
      <c r="EB326" s="34" t="n">
        <f aca="false">COUNT(Detalle_24m!EB42:EB66)</f>
        <v>0</v>
      </c>
      <c r="EC326" s="34" t="n">
        <f aca="false">COUNT(Detalle_24m!EC42:EC66)</f>
        <v>0</v>
      </c>
      <c r="ED326" s="34" t="n">
        <f aca="false">COUNT(Detalle_24m!ED42:ED66)</f>
        <v>0</v>
      </c>
      <c r="EE326" s="34" t="n">
        <f aca="false">COUNT(Detalle_24m!EE42:EE66)</f>
        <v>0</v>
      </c>
      <c r="EF326" s="34" t="n">
        <f aca="false">COUNT(Detalle_24m!EF42:EF66)</f>
        <v>0</v>
      </c>
      <c r="EG326" s="34" t="n">
        <f aca="false">COUNT(Detalle_24m!EG42:EG66)</f>
        <v>0</v>
      </c>
      <c r="EH326" s="34" t="n">
        <f aca="false">COUNT(Detalle_24m!EH42:EH66)</f>
        <v>0</v>
      </c>
      <c r="EI326" s="34" t="n">
        <f aca="false">COUNT(Detalle_24m!EI42:EI66)</f>
        <v>0</v>
      </c>
      <c r="EJ326" s="34" t="n">
        <f aca="false">COUNT(Detalle_24m!EJ42:EJ66)</f>
        <v>0</v>
      </c>
      <c r="EK326" s="34" t="n">
        <f aca="false">COUNT(Detalle_24m!EK42:EK66)</f>
        <v>0</v>
      </c>
      <c r="EL326" s="34" t="n">
        <f aca="false">COUNT(Detalle_24m!EL42:EL66)</f>
        <v>0</v>
      </c>
      <c r="EM326" s="34" t="n">
        <f aca="false">COUNT(Detalle_24m!EM42:EM66)</f>
        <v>0</v>
      </c>
      <c r="EN326" s="34" t="n">
        <f aca="false">COUNT(Detalle_24m!EN42:EN66)</f>
        <v>0</v>
      </c>
      <c r="EO326" s="34" t="n">
        <f aca="false">COUNT(Detalle_24m!EO42:EO66)</f>
        <v>0</v>
      </c>
      <c r="EP326" s="34" t="n">
        <f aca="false">COUNT(Detalle_24m!EP42:EP66)</f>
        <v>0</v>
      </c>
      <c r="EQ326" s="34" t="n">
        <f aca="false">COUNT(Detalle_24m!EQ42:EQ66)</f>
        <v>0</v>
      </c>
      <c r="ER326" s="34" t="n">
        <f aca="false">COUNT(Detalle_24m!ER42:ER66)</f>
        <v>0</v>
      </c>
      <c r="ES326" s="34" t="n">
        <f aca="false">COUNT(Detalle_24m!ES42:ES66)</f>
        <v>0</v>
      </c>
    </row>
    <row r="327" customFormat="false" ht="15" hidden="false" customHeight="false" outlineLevel="0" collapsed="false">
      <c r="A327" s="11" t="s">
        <v>1445</v>
      </c>
      <c r="B327" s="15" t="s">
        <v>1446</v>
      </c>
      <c r="E327" s="66" t="n">
        <f aca="false">SUM(F327:ES327)</f>
        <v>0</v>
      </c>
      <c r="F327" s="34" t="n">
        <f aca="false">COUNT(Detalle_24m!F70:F94)</f>
        <v>0</v>
      </c>
      <c r="G327" s="34" t="n">
        <f aca="false">COUNT(Detalle_24m!G70:G94)</f>
        <v>0</v>
      </c>
      <c r="H327" s="34" t="n">
        <f aca="false">COUNT(Detalle_24m!H70:H94)</f>
        <v>0</v>
      </c>
      <c r="I327" s="34" t="n">
        <f aca="false">COUNT(Detalle_24m!I70:I94)</f>
        <v>0</v>
      </c>
      <c r="J327" s="34" t="n">
        <f aca="false">COUNT(Detalle_24m!J70:J94)</f>
        <v>0</v>
      </c>
      <c r="K327" s="34" t="n">
        <f aca="false">COUNT(Detalle_24m!K70:K94)</f>
        <v>0</v>
      </c>
      <c r="L327" s="34" t="n">
        <f aca="false">COUNT(Detalle_24m!L70:L94)</f>
        <v>0</v>
      </c>
      <c r="M327" s="34" t="n">
        <f aca="false">COUNT(Detalle_24m!M70:M94)</f>
        <v>0</v>
      </c>
      <c r="N327" s="34" t="n">
        <f aca="false">COUNT(Detalle_24m!N70:N94)</f>
        <v>0</v>
      </c>
      <c r="O327" s="34" t="n">
        <f aca="false">COUNT(Detalle_24m!O70:O94)</f>
        <v>0</v>
      </c>
      <c r="P327" s="34" t="n">
        <f aca="false">COUNT(Detalle_24m!P70:P94)</f>
        <v>0</v>
      </c>
      <c r="Q327" s="34" t="n">
        <f aca="false">COUNT(Detalle_24m!Q70:Q94)</f>
        <v>0</v>
      </c>
      <c r="R327" s="34" t="n">
        <f aca="false">COUNT(Detalle_24m!R70:R94)</f>
        <v>0</v>
      </c>
      <c r="S327" s="34" t="n">
        <f aca="false">COUNT(Detalle_24m!S70:S94)</f>
        <v>0</v>
      </c>
      <c r="T327" s="34" t="n">
        <f aca="false">COUNT(Detalle_24m!T70:T94)</f>
        <v>0</v>
      </c>
      <c r="U327" s="34" t="n">
        <f aca="false">COUNT(Detalle_24m!U70:U94)</f>
        <v>0</v>
      </c>
      <c r="V327" s="34" t="n">
        <f aca="false">COUNT(Detalle_24m!V70:V94)</f>
        <v>0</v>
      </c>
      <c r="W327" s="34" t="n">
        <f aca="false">COUNT(Detalle_24m!W70:W94)</f>
        <v>0</v>
      </c>
      <c r="X327" s="34" t="n">
        <f aca="false">COUNT(Detalle_24m!X70:X94)</f>
        <v>0</v>
      </c>
      <c r="Y327" s="34" t="n">
        <f aca="false">COUNT(Detalle_24m!Y70:Y94)</f>
        <v>0</v>
      </c>
      <c r="Z327" s="34" t="n">
        <f aca="false">COUNT(Detalle_24m!Z70:Z94)</f>
        <v>0</v>
      </c>
      <c r="AA327" s="34" t="n">
        <f aca="false">COUNT(Detalle_24m!AA70:AA94)</f>
        <v>0</v>
      </c>
      <c r="AB327" s="34" t="n">
        <f aca="false">COUNT(Detalle_24m!AB70:AB94)</f>
        <v>0</v>
      </c>
      <c r="AC327" s="34" t="n">
        <f aca="false">COUNT(Detalle_24m!AC70:AC94)</f>
        <v>0</v>
      </c>
      <c r="AD327" s="34" t="n">
        <f aca="false">COUNT(Detalle_24m!AD70:AD94)</f>
        <v>0</v>
      </c>
      <c r="AE327" s="34" t="n">
        <f aca="false">COUNT(Detalle_24m!AE70:AE94)</f>
        <v>0</v>
      </c>
      <c r="AF327" s="34" t="n">
        <f aca="false">COUNT(Detalle_24m!AF70:AF94)</f>
        <v>0</v>
      </c>
      <c r="AG327" s="34" t="n">
        <f aca="false">COUNT(Detalle_24m!AG70:AG94)</f>
        <v>0</v>
      </c>
      <c r="AH327" s="34" t="n">
        <f aca="false">COUNT(Detalle_24m!AH70:AH94)</f>
        <v>0</v>
      </c>
      <c r="AI327" s="34" t="n">
        <f aca="false">COUNT(Detalle_24m!AI70:AI94)</f>
        <v>0</v>
      </c>
      <c r="AJ327" s="34" t="n">
        <f aca="false">COUNT(Detalle_24m!AJ70:AJ94)</f>
        <v>0</v>
      </c>
      <c r="AK327" s="34" t="n">
        <f aca="false">COUNT(Detalle_24m!AK70:AK94)</f>
        <v>0</v>
      </c>
      <c r="AL327" s="34" t="n">
        <f aca="false">COUNT(Detalle_24m!AL70:AL94)</f>
        <v>0</v>
      </c>
      <c r="AM327" s="34" t="n">
        <f aca="false">COUNT(Detalle_24m!AM70:AM94)</f>
        <v>0</v>
      </c>
      <c r="AN327" s="34" t="n">
        <f aca="false">COUNT(Detalle_24m!AN70:AN94)</f>
        <v>0</v>
      </c>
      <c r="AO327" s="34" t="n">
        <f aca="false">COUNT(Detalle_24m!AO70:AO94)</f>
        <v>0</v>
      </c>
      <c r="AP327" s="34" t="n">
        <f aca="false">COUNT(Detalle_24m!AP70:AP94)</f>
        <v>0</v>
      </c>
      <c r="AQ327" s="34" t="n">
        <f aca="false">COUNT(Detalle_24m!AQ70:AQ94)</f>
        <v>0</v>
      </c>
      <c r="AR327" s="34" t="n">
        <f aca="false">COUNT(Detalle_24m!AR70:AR94)</f>
        <v>0</v>
      </c>
      <c r="AS327" s="34" t="n">
        <f aca="false">COUNT(Detalle_24m!AS70:AS94)</f>
        <v>0</v>
      </c>
      <c r="AT327" s="34" t="n">
        <f aca="false">COUNT(Detalle_24m!AT70:AT94)</f>
        <v>0</v>
      </c>
      <c r="AU327" s="34" t="n">
        <f aca="false">COUNT(Detalle_24m!AU70:AU94)</f>
        <v>0</v>
      </c>
      <c r="AV327" s="34" t="n">
        <f aca="false">COUNT(Detalle_24m!AV70:AV94)</f>
        <v>0</v>
      </c>
      <c r="AW327" s="34" t="n">
        <f aca="false">COUNT(Detalle_24m!AW70:AW94)</f>
        <v>0</v>
      </c>
      <c r="AX327" s="34" t="n">
        <f aca="false">COUNT(Detalle_24m!AX70:AX94)</f>
        <v>0</v>
      </c>
      <c r="AY327" s="34" t="n">
        <f aca="false">COUNT(Detalle_24m!AY70:AY94)</f>
        <v>0</v>
      </c>
      <c r="AZ327" s="34" t="n">
        <f aca="false">COUNT(Detalle_24m!AZ70:AZ94)</f>
        <v>0</v>
      </c>
      <c r="BA327" s="34" t="n">
        <f aca="false">COUNT(Detalle_24m!BA70:BA94)</f>
        <v>0</v>
      </c>
      <c r="BB327" s="34" t="n">
        <f aca="false">COUNT(Detalle_24m!BB70:BB94)</f>
        <v>0</v>
      </c>
      <c r="BC327" s="34" t="n">
        <f aca="false">COUNT(Detalle_24m!BC70:BC94)</f>
        <v>0</v>
      </c>
      <c r="BD327" s="34" t="n">
        <f aca="false">COUNT(Detalle_24m!BD70:BD94)</f>
        <v>0</v>
      </c>
      <c r="BE327" s="34" t="n">
        <f aca="false">COUNT(Detalle_24m!BE70:BE94)</f>
        <v>0</v>
      </c>
      <c r="BF327" s="34" t="n">
        <f aca="false">COUNT(Detalle_24m!BF70:BF94)</f>
        <v>0</v>
      </c>
      <c r="BG327" s="34" t="n">
        <f aca="false">COUNT(Detalle_24m!BG70:BG94)</f>
        <v>0</v>
      </c>
      <c r="BH327" s="34" t="n">
        <f aca="false">COUNT(Detalle_24m!BH70:BH94)</f>
        <v>0</v>
      </c>
      <c r="BI327" s="34" t="n">
        <f aca="false">COUNT(Detalle_24m!BI70:BI94)</f>
        <v>0</v>
      </c>
      <c r="BJ327" s="34" t="n">
        <f aca="false">COUNT(Detalle_24m!BJ70:BJ94)</f>
        <v>0</v>
      </c>
      <c r="BK327" s="34" t="n">
        <f aca="false">COUNT(Detalle_24m!BK70:BK94)</f>
        <v>0</v>
      </c>
      <c r="BL327" s="34" t="n">
        <f aca="false">COUNT(Detalle_24m!BL70:BL94)</f>
        <v>0</v>
      </c>
      <c r="BM327" s="34" t="n">
        <f aca="false">COUNT(Detalle_24m!BM70:BM94)</f>
        <v>0</v>
      </c>
      <c r="BN327" s="34" t="n">
        <f aca="false">COUNT(Detalle_24m!BN70:BN94)</f>
        <v>0</v>
      </c>
      <c r="BO327" s="34" t="n">
        <f aca="false">COUNT(Detalle_24m!BO70:BO94)</f>
        <v>0</v>
      </c>
      <c r="BP327" s="34" t="n">
        <f aca="false">COUNT(Detalle_24m!BP70:BP94)</f>
        <v>0</v>
      </c>
      <c r="BQ327" s="34" t="n">
        <f aca="false">COUNT(Detalle_24m!BQ70:BQ94)</f>
        <v>0</v>
      </c>
      <c r="BR327" s="34" t="n">
        <f aca="false">COUNT(Detalle_24m!BR70:BR94)</f>
        <v>0</v>
      </c>
      <c r="BS327" s="34" t="n">
        <f aca="false">COUNT(Detalle_24m!BS70:BS94)</f>
        <v>0</v>
      </c>
      <c r="BT327" s="34" t="n">
        <f aca="false">COUNT(Detalle_24m!BT70:BT94)</f>
        <v>0</v>
      </c>
      <c r="BU327" s="34" t="n">
        <f aca="false">COUNT(Detalle_24m!BU70:BU94)</f>
        <v>0</v>
      </c>
      <c r="BV327" s="34" t="n">
        <f aca="false">COUNT(Detalle_24m!BV70:BV94)</f>
        <v>0</v>
      </c>
      <c r="BW327" s="34" t="n">
        <f aca="false">COUNT(Detalle_24m!BW70:BW94)</f>
        <v>0</v>
      </c>
      <c r="BX327" s="34" t="n">
        <f aca="false">COUNT(Detalle_24m!BX70:BX94)</f>
        <v>0</v>
      </c>
      <c r="BY327" s="34" t="n">
        <f aca="false">COUNT(Detalle_24m!BY70:BY94)</f>
        <v>0</v>
      </c>
      <c r="BZ327" s="34" t="n">
        <f aca="false">COUNT(Detalle_24m!BZ70:BZ94)</f>
        <v>0</v>
      </c>
      <c r="CA327" s="34" t="n">
        <f aca="false">COUNT(Detalle_24m!CA70:CA94)</f>
        <v>0</v>
      </c>
      <c r="CB327" s="34" t="n">
        <f aca="false">COUNT(Detalle_24m!CB70:CB94)</f>
        <v>0</v>
      </c>
      <c r="CC327" s="34" t="n">
        <f aca="false">COUNT(Detalle_24m!CC70:CC94)</f>
        <v>0</v>
      </c>
      <c r="CD327" s="34" t="n">
        <f aca="false">COUNT(Detalle_24m!CD70:CD94)</f>
        <v>0</v>
      </c>
      <c r="CE327" s="34" t="n">
        <f aca="false">COUNT(Detalle_24m!CE70:CE94)</f>
        <v>0</v>
      </c>
      <c r="CF327" s="34" t="n">
        <f aca="false">COUNT(Detalle_24m!CF70:CF94)</f>
        <v>0</v>
      </c>
      <c r="CG327" s="34" t="n">
        <f aca="false">COUNT(Detalle_24m!CG70:CG94)</f>
        <v>0</v>
      </c>
      <c r="CH327" s="34" t="n">
        <f aca="false">COUNT(Detalle_24m!CH70:CH94)</f>
        <v>0</v>
      </c>
      <c r="CI327" s="34" t="n">
        <f aca="false">COUNT(Detalle_24m!CI70:CI94)</f>
        <v>0</v>
      </c>
      <c r="CJ327" s="34" t="n">
        <f aca="false">COUNT(Detalle_24m!CJ70:CJ94)</f>
        <v>0</v>
      </c>
      <c r="CK327" s="34" t="n">
        <f aca="false">COUNT(Detalle_24m!CK70:CK94)</f>
        <v>0</v>
      </c>
      <c r="CL327" s="34" t="n">
        <f aca="false">COUNT(Detalle_24m!CL70:CL94)</f>
        <v>0</v>
      </c>
      <c r="CM327" s="34" t="n">
        <f aca="false">COUNT(Detalle_24m!CM70:CM94)</f>
        <v>0</v>
      </c>
      <c r="CN327" s="34" t="n">
        <f aca="false">COUNT(Detalle_24m!CN70:CN94)</f>
        <v>0</v>
      </c>
      <c r="CO327" s="34" t="n">
        <f aca="false">COUNT(Detalle_24m!CO70:CO94)</f>
        <v>0</v>
      </c>
      <c r="CP327" s="34" t="n">
        <f aca="false">COUNT(Detalle_24m!CP70:CP94)</f>
        <v>0</v>
      </c>
      <c r="CQ327" s="34" t="n">
        <f aca="false">COUNT(Detalle_24m!CQ70:CQ94)</f>
        <v>0</v>
      </c>
      <c r="CR327" s="34" t="n">
        <f aca="false">COUNT(Detalle_24m!CR70:CR94)</f>
        <v>0</v>
      </c>
      <c r="CS327" s="34" t="n">
        <f aca="false">COUNT(Detalle_24m!CS70:CS94)</f>
        <v>0</v>
      </c>
      <c r="CT327" s="34" t="n">
        <f aca="false">COUNT(Detalle_24m!CT70:CT94)</f>
        <v>0</v>
      </c>
      <c r="CU327" s="34" t="n">
        <f aca="false">COUNT(Detalle_24m!CU70:CU94)</f>
        <v>0</v>
      </c>
      <c r="CV327" s="34" t="n">
        <f aca="false">COUNT(Detalle_24m!CV70:CV94)</f>
        <v>0</v>
      </c>
      <c r="CW327" s="34" t="n">
        <f aca="false">COUNT(Detalle_24m!CW70:CW94)</f>
        <v>0</v>
      </c>
      <c r="CX327" s="34" t="n">
        <f aca="false">COUNT(Detalle_24m!CX70:CX94)</f>
        <v>0</v>
      </c>
      <c r="CY327" s="34" t="n">
        <f aca="false">COUNT(Detalle_24m!CY70:CY94)</f>
        <v>0</v>
      </c>
      <c r="CZ327" s="34" t="n">
        <f aca="false">COUNT(Detalle_24m!CZ70:CZ94)</f>
        <v>0</v>
      </c>
      <c r="DA327" s="34" t="n">
        <f aca="false">COUNT(Detalle_24m!DA70:DA94)</f>
        <v>0</v>
      </c>
      <c r="DB327" s="34" t="n">
        <f aca="false">COUNT(Detalle_24m!DB70:DB94)</f>
        <v>0</v>
      </c>
      <c r="DC327" s="34" t="n">
        <f aca="false">COUNT(Detalle_24m!DC70:DC94)</f>
        <v>0</v>
      </c>
      <c r="DD327" s="34" t="n">
        <f aca="false">COUNT(Detalle_24m!DD70:DD94)</f>
        <v>0</v>
      </c>
      <c r="DE327" s="34" t="n">
        <f aca="false">COUNT(Detalle_24m!DE70:DE94)</f>
        <v>0</v>
      </c>
      <c r="DF327" s="34" t="n">
        <f aca="false">COUNT(Detalle_24m!DF70:DF94)</f>
        <v>0</v>
      </c>
      <c r="DG327" s="34" t="n">
        <f aca="false">COUNT(Detalle_24m!DG70:DG94)</f>
        <v>0</v>
      </c>
      <c r="DH327" s="34" t="n">
        <f aca="false">COUNT(Detalle_24m!DH70:DH94)</f>
        <v>0</v>
      </c>
      <c r="DI327" s="34" t="n">
        <f aca="false">COUNT(Detalle_24m!DI70:DI94)</f>
        <v>0</v>
      </c>
      <c r="DJ327" s="34" t="n">
        <f aca="false">COUNT(Detalle_24m!DJ70:DJ94)</f>
        <v>0</v>
      </c>
      <c r="DK327" s="34" t="n">
        <f aca="false">COUNT(Detalle_24m!DK70:DK94)</f>
        <v>0</v>
      </c>
      <c r="DL327" s="34" t="n">
        <f aca="false">COUNT(Detalle_24m!DL70:DL94)</f>
        <v>0</v>
      </c>
      <c r="DM327" s="34" t="n">
        <f aca="false">COUNT(Detalle_24m!DM70:DM94)</f>
        <v>0</v>
      </c>
      <c r="DN327" s="34" t="n">
        <f aca="false">COUNT(Detalle_24m!DN70:DN94)</f>
        <v>0</v>
      </c>
      <c r="DO327" s="34" t="n">
        <f aca="false">COUNT(Detalle_24m!DO70:DO94)</f>
        <v>0</v>
      </c>
      <c r="DP327" s="34" t="n">
        <f aca="false">COUNT(Detalle_24m!DP70:DP94)</f>
        <v>0</v>
      </c>
      <c r="DQ327" s="34" t="n">
        <f aca="false">COUNT(Detalle_24m!DQ70:DQ94)</f>
        <v>0</v>
      </c>
      <c r="DR327" s="34" t="n">
        <f aca="false">COUNT(Detalle_24m!DR70:DR94)</f>
        <v>0</v>
      </c>
      <c r="DS327" s="34" t="n">
        <f aca="false">COUNT(Detalle_24m!DS70:DS94)</f>
        <v>0</v>
      </c>
      <c r="DT327" s="34" t="n">
        <f aca="false">COUNT(Detalle_24m!DT70:DT94)</f>
        <v>0</v>
      </c>
      <c r="DU327" s="34" t="n">
        <f aca="false">COUNT(Detalle_24m!DU70:DU94)</f>
        <v>0</v>
      </c>
      <c r="DV327" s="34" t="n">
        <f aca="false">COUNT(Detalle_24m!DV70:DV94)</f>
        <v>0</v>
      </c>
      <c r="DW327" s="34" t="n">
        <f aca="false">COUNT(Detalle_24m!DW70:DW94)</f>
        <v>0</v>
      </c>
      <c r="DX327" s="34" t="n">
        <f aca="false">COUNT(Detalle_24m!DX70:DX94)</f>
        <v>0</v>
      </c>
      <c r="DY327" s="34" t="n">
        <f aca="false">COUNT(Detalle_24m!DY70:DY94)</f>
        <v>0</v>
      </c>
      <c r="DZ327" s="34" t="n">
        <f aca="false">COUNT(Detalle_24m!DZ70:DZ94)</f>
        <v>0</v>
      </c>
      <c r="EA327" s="34" t="n">
        <f aca="false">COUNT(Detalle_24m!EA70:EA94)</f>
        <v>0</v>
      </c>
      <c r="EB327" s="34" t="n">
        <f aca="false">COUNT(Detalle_24m!EB70:EB94)</f>
        <v>0</v>
      </c>
      <c r="EC327" s="34" t="n">
        <f aca="false">COUNT(Detalle_24m!EC70:EC94)</f>
        <v>0</v>
      </c>
      <c r="ED327" s="34" t="n">
        <f aca="false">COUNT(Detalle_24m!ED70:ED94)</f>
        <v>0</v>
      </c>
      <c r="EE327" s="34" t="n">
        <f aca="false">COUNT(Detalle_24m!EE70:EE94)</f>
        <v>0</v>
      </c>
      <c r="EF327" s="34" t="n">
        <f aca="false">COUNT(Detalle_24m!EF70:EF94)</f>
        <v>0</v>
      </c>
      <c r="EG327" s="34" t="n">
        <f aca="false">COUNT(Detalle_24m!EG70:EG94)</f>
        <v>0</v>
      </c>
      <c r="EH327" s="34" t="n">
        <f aca="false">COUNT(Detalle_24m!EH70:EH94)</f>
        <v>0</v>
      </c>
      <c r="EI327" s="34" t="n">
        <f aca="false">COUNT(Detalle_24m!EI70:EI94)</f>
        <v>0</v>
      </c>
      <c r="EJ327" s="34" t="n">
        <f aca="false">COUNT(Detalle_24m!EJ70:EJ94)</f>
        <v>0</v>
      </c>
      <c r="EK327" s="34" t="n">
        <f aca="false">COUNT(Detalle_24m!EK70:EK94)</f>
        <v>0</v>
      </c>
      <c r="EL327" s="34" t="n">
        <f aca="false">COUNT(Detalle_24m!EL70:EL94)</f>
        <v>0</v>
      </c>
      <c r="EM327" s="34" t="n">
        <f aca="false">COUNT(Detalle_24m!EM70:EM94)</f>
        <v>0</v>
      </c>
      <c r="EN327" s="34" t="n">
        <f aca="false">COUNT(Detalle_24m!EN70:EN94)</f>
        <v>0</v>
      </c>
      <c r="EO327" s="34" t="n">
        <f aca="false">COUNT(Detalle_24m!EO70:EO94)</f>
        <v>0</v>
      </c>
      <c r="EP327" s="34" t="n">
        <f aca="false">COUNT(Detalle_24m!EP70:EP94)</f>
        <v>0</v>
      </c>
      <c r="EQ327" s="34" t="n">
        <f aca="false">COUNT(Detalle_24m!EQ70:EQ94)</f>
        <v>0</v>
      </c>
      <c r="ER327" s="34" t="n">
        <f aca="false">COUNT(Detalle_24m!ER70:ER94)</f>
        <v>0</v>
      </c>
      <c r="ES327" s="34" t="n">
        <f aca="false">COUNT(Detalle_24m!ES70:ES94)</f>
        <v>0</v>
      </c>
    </row>
    <row r="328" customFormat="false" ht="15" hidden="false" customHeight="false" outlineLevel="0" collapsed="false">
      <c r="A328" s="11" t="s">
        <v>1447</v>
      </c>
      <c r="B328" s="15" t="s">
        <v>1448</v>
      </c>
      <c r="E328" s="66" t="n">
        <f aca="false">SUM(F328:ES328)</f>
        <v>0</v>
      </c>
      <c r="F328" s="34" t="n">
        <f aca="false">COUNT(Detalle_24m!F98:F122)</f>
        <v>0</v>
      </c>
      <c r="G328" s="34" t="n">
        <f aca="false">COUNT(Detalle_24m!G98:G122)</f>
        <v>0</v>
      </c>
      <c r="H328" s="34" t="n">
        <f aca="false">COUNT(Detalle_24m!H98:H122)</f>
        <v>0</v>
      </c>
      <c r="I328" s="34" t="n">
        <f aca="false">COUNT(Detalle_24m!I98:I122)</f>
        <v>0</v>
      </c>
      <c r="J328" s="34" t="n">
        <f aca="false">COUNT(Detalle_24m!J98:J122)</f>
        <v>0</v>
      </c>
      <c r="K328" s="34" t="n">
        <f aca="false">COUNT(Detalle_24m!K98:K122)</f>
        <v>0</v>
      </c>
      <c r="L328" s="34" t="n">
        <f aca="false">COUNT(Detalle_24m!L98:L122)</f>
        <v>0</v>
      </c>
      <c r="M328" s="34" t="n">
        <f aca="false">COUNT(Detalle_24m!M98:M122)</f>
        <v>0</v>
      </c>
      <c r="N328" s="34" t="n">
        <f aca="false">COUNT(Detalle_24m!N98:N122)</f>
        <v>0</v>
      </c>
      <c r="O328" s="34" t="n">
        <f aca="false">COUNT(Detalle_24m!O98:O122)</f>
        <v>0</v>
      </c>
      <c r="P328" s="34" t="n">
        <f aca="false">COUNT(Detalle_24m!P98:P122)</f>
        <v>0</v>
      </c>
      <c r="Q328" s="34" t="n">
        <f aca="false">COUNT(Detalle_24m!Q98:Q122)</f>
        <v>0</v>
      </c>
      <c r="R328" s="34" t="n">
        <f aca="false">COUNT(Detalle_24m!R98:R122)</f>
        <v>0</v>
      </c>
      <c r="S328" s="34" t="n">
        <f aca="false">COUNT(Detalle_24m!S98:S122)</f>
        <v>0</v>
      </c>
      <c r="T328" s="34" t="n">
        <f aca="false">COUNT(Detalle_24m!T98:T122)</f>
        <v>0</v>
      </c>
      <c r="U328" s="34" t="n">
        <f aca="false">COUNT(Detalle_24m!U98:U122)</f>
        <v>0</v>
      </c>
      <c r="V328" s="34" t="n">
        <f aca="false">COUNT(Detalle_24m!V98:V122)</f>
        <v>0</v>
      </c>
      <c r="W328" s="34" t="n">
        <f aca="false">COUNT(Detalle_24m!W98:W122)</f>
        <v>0</v>
      </c>
      <c r="X328" s="34" t="n">
        <f aca="false">COUNT(Detalle_24m!X98:X122)</f>
        <v>0</v>
      </c>
      <c r="Y328" s="34" t="n">
        <f aca="false">COUNT(Detalle_24m!Y98:Y122)</f>
        <v>0</v>
      </c>
      <c r="Z328" s="34" t="n">
        <f aca="false">COUNT(Detalle_24m!Z98:Z122)</f>
        <v>0</v>
      </c>
      <c r="AA328" s="34" t="n">
        <f aca="false">COUNT(Detalle_24m!AA98:AA122)</f>
        <v>0</v>
      </c>
      <c r="AB328" s="34" t="n">
        <f aca="false">COUNT(Detalle_24m!AB98:AB122)</f>
        <v>0</v>
      </c>
      <c r="AC328" s="34" t="n">
        <f aca="false">COUNT(Detalle_24m!AC98:AC122)</f>
        <v>0</v>
      </c>
      <c r="AD328" s="34" t="n">
        <f aca="false">COUNT(Detalle_24m!AD98:AD122)</f>
        <v>0</v>
      </c>
      <c r="AE328" s="34" t="n">
        <f aca="false">COUNT(Detalle_24m!AE98:AE122)</f>
        <v>0</v>
      </c>
      <c r="AF328" s="34" t="n">
        <f aca="false">COUNT(Detalle_24m!AF98:AF122)</f>
        <v>0</v>
      </c>
      <c r="AG328" s="34" t="n">
        <f aca="false">COUNT(Detalle_24m!AG98:AG122)</f>
        <v>0</v>
      </c>
      <c r="AH328" s="34" t="n">
        <f aca="false">COUNT(Detalle_24m!AH98:AH122)</f>
        <v>0</v>
      </c>
      <c r="AI328" s="34" t="n">
        <f aca="false">COUNT(Detalle_24m!AI98:AI122)</f>
        <v>0</v>
      </c>
      <c r="AJ328" s="34" t="n">
        <f aca="false">COUNT(Detalle_24m!AJ98:AJ122)</f>
        <v>0</v>
      </c>
      <c r="AK328" s="34" t="n">
        <f aca="false">COUNT(Detalle_24m!AK98:AK122)</f>
        <v>0</v>
      </c>
      <c r="AL328" s="34" t="n">
        <f aca="false">COUNT(Detalle_24m!AL98:AL122)</f>
        <v>0</v>
      </c>
      <c r="AM328" s="34" t="n">
        <f aca="false">COUNT(Detalle_24m!AM98:AM122)</f>
        <v>0</v>
      </c>
      <c r="AN328" s="34" t="n">
        <f aca="false">COUNT(Detalle_24m!AN98:AN122)</f>
        <v>0</v>
      </c>
      <c r="AO328" s="34" t="n">
        <f aca="false">COUNT(Detalle_24m!AO98:AO122)</f>
        <v>0</v>
      </c>
      <c r="AP328" s="34" t="n">
        <f aca="false">COUNT(Detalle_24m!AP98:AP122)</f>
        <v>0</v>
      </c>
      <c r="AQ328" s="34" t="n">
        <f aca="false">COUNT(Detalle_24m!AQ98:AQ122)</f>
        <v>0</v>
      </c>
      <c r="AR328" s="34" t="n">
        <f aca="false">COUNT(Detalle_24m!AR98:AR122)</f>
        <v>0</v>
      </c>
      <c r="AS328" s="34" t="n">
        <f aca="false">COUNT(Detalle_24m!AS98:AS122)</f>
        <v>0</v>
      </c>
      <c r="AT328" s="34" t="n">
        <f aca="false">COUNT(Detalle_24m!AT98:AT122)</f>
        <v>0</v>
      </c>
      <c r="AU328" s="34" t="n">
        <f aca="false">COUNT(Detalle_24m!AU98:AU122)</f>
        <v>0</v>
      </c>
      <c r="AV328" s="34" t="n">
        <f aca="false">COUNT(Detalle_24m!AV98:AV122)</f>
        <v>0</v>
      </c>
      <c r="AW328" s="34" t="n">
        <f aca="false">COUNT(Detalle_24m!AW98:AW122)</f>
        <v>0</v>
      </c>
      <c r="AX328" s="34" t="n">
        <f aca="false">COUNT(Detalle_24m!AX98:AX122)</f>
        <v>0</v>
      </c>
      <c r="AY328" s="34" t="n">
        <f aca="false">COUNT(Detalle_24m!AY98:AY122)</f>
        <v>0</v>
      </c>
      <c r="AZ328" s="34" t="n">
        <f aca="false">COUNT(Detalle_24m!AZ98:AZ122)</f>
        <v>0</v>
      </c>
      <c r="BA328" s="34" t="n">
        <f aca="false">COUNT(Detalle_24m!BA98:BA122)</f>
        <v>0</v>
      </c>
      <c r="BB328" s="34" t="n">
        <f aca="false">COUNT(Detalle_24m!BB98:BB122)</f>
        <v>0</v>
      </c>
      <c r="BC328" s="34" t="n">
        <f aca="false">COUNT(Detalle_24m!BC98:BC122)</f>
        <v>0</v>
      </c>
      <c r="BD328" s="34" t="n">
        <f aca="false">COUNT(Detalle_24m!BD98:BD122)</f>
        <v>0</v>
      </c>
      <c r="BE328" s="34" t="n">
        <f aca="false">COUNT(Detalle_24m!BE98:BE122)</f>
        <v>0</v>
      </c>
      <c r="BF328" s="34" t="n">
        <f aca="false">COUNT(Detalle_24m!BF98:BF122)</f>
        <v>0</v>
      </c>
      <c r="BG328" s="34" t="n">
        <f aca="false">COUNT(Detalle_24m!BG98:BG122)</f>
        <v>0</v>
      </c>
      <c r="BH328" s="34" t="n">
        <f aca="false">COUNT(Detalle_24m!BH98:BH122)</f>
        <v>0</v>
      </c>
      <c r="BI328" s="34" t="n">
        <f aca="false">COUNT(Detalle_24m!BI98:BI122)</f>
        <v>0</v>
      </c>
      <c r="BJ328" s="34" t="n">
        <f aca="false">COUNT(Detalle_24m!BJ98:BJ122)</f>
        <v>0</v>
      </c>
      <c r="BK328" s="34" t="n">
        <f aca="false">COUNT(Detalle_24m!BK98:BK122)</f>
        <v>0</v>
      </c>
      <c r="BL328" s="34" t="n">
        <f aca="false">COUNT(Detalle_24m!BL98:BL122)</f>
        <v>0</v>
      </c>
      <c r="BM328" s="34" t="n">
        <f aca="false">COUNT(Detalle_24m!BM98:BM122)</f>
        <v>0</v>
      </c>
      <c r="BN328" s="34" t="n">
        <f aca="false">COUNT(Detalle_24m!BN98:BN122)</f>
        <v>0</v>
      </c>
      <c r="BO328" s="34" t="n">
        <f aca="false">COUNT(Detalle_24m!BO98:BO122)</f>
        <v>0</v>
      </c>
      <c r="BP328" s="34" t="n">
        <f aca="false">COUNT(Detalle_24m!BP98:BP122)</f>
        <v>0</v>
      </c>
      <c r="BQ328" s="34" t="n">
        <f aca="false">COUNT(Detalle_24m!BQ98:BQ122)</f>
        <v>0</v>
      </c>
      <c r="BR328" s="34" t="n">
        <f aca="false">COUNT(Detalle_24m!BR98:BR122)</f>
        <v>0</v>
      </c>
      <c r="BS328" s="34" t="n">
        <f aca="false">COUNT(Detalle_24m!BS98:BS122)</f>
        <v>0</v>
      </c>
      <c r="BT328" s="34" t="n">
        <f aca="false">COUNT(Detalle_24m!BT98:BT122)</f>
        <v>0</v>
      </c>
      <c r="BU328" s="34" t="n">
        <f aca="false">COUNT(Detalle_24m!BU98:BU122)</f>
        <v>0</v>
      </c>
      <c r="BV328" s="34" t="n">
        <f aca="false">COUNT(Detalle_24m!BV98:BV122)</f>
        <v>0</v>
      </c>
      <c r="BW328" s="34" t="n">
        <f aca="false">COUNT(Detalle_24m!BW98:BW122)</f>
        <v>0</v>
      </c>
      <c r="BX328" s="34" t="n">
        <f aca="false">COUNT(Detalle_24m!BX98:BX122)</f>
        <v>0</v>
      </c>
      <c r="BY328" s="34" t="n">
        <f aca="false">COUNT(Detalle_24m!BY98:BY122)</f>
        <v>0</v>
      </c>
      <c r="BZ328" s="34" t="n">
        <f aca="false">COUNT(Detalle_24m!BZ98:BZ122)</f>
        <v>0</v>
      </c>
      <c r="CA328" s="34" t="n">
        <f aca="false">COUNT(Detalle_24m!CA98:CA122)</f>
        <v>0</v>
      </c>
      <c r="CB328" s="34" t="n">
        <f aca="false">COUNT(Detalle_24m!CB98:CB122)</f>
        <v>0</v>
      </c>
      <c r="CC328" s="34" t="n">
        <f aca="false">COUNT(Detalle_24m!CC98:CC122)</f>
        <v>0</v>
      </c>
      <c r="CD328" s="34" t="n">
        <f aca="false">COUNT(Detalle_24m!CD98:CD122)</f>
        <v>0</v>
      </c>
      <c r="CE328" s="34" t="n">
        <f aca="false">COUNT(Detalle_24m!CE98:CE122)</f>
        <v>0</v>
      </c>
      <c r="CF328" s="34" t="n">
        <f aca="false">COUNT(Detalle_24m!CF98:CF122)</f>
        <v>0</v>
      </c>
      <c r="CG328" s="34" t="n">
        <f aca="false">COUNT(Detalle_24m!CG98:CG122)</f>
        <v>0</v>
      </c>
      <c r="CH328" s="34" t="n">
        <f aca="false">COUNT(Detalle_24m!CH98:CH122)</f>
        <v>0</v>
      </c>
      <c r="CI328" s="34" t="n">
        <f aca="false">COUNT(Detalle_24m!CI98:CI122)</f>
        <v>0</v>
      </c>
      <c r="CJ328" s="34" t="n">
        <f aca="false">COUNT(Detalle_24m!CJ98:CJ122)</f>
        <v>0</v>
      </c>
      <c r="CK328" s="34" t="n">
        <f aca="false">COUNT(Detalle_24m!CK98:CK122)</f>
        <v>0</v>
      </c>
      <c r="CL328" s="34" t="n">
        <f aca="false">COUNT(Detalle_24m!CL98:CL122)</f>
        <v>0</v>
      </c>
      <c r="CM328" s="34" t="n">
        <f aca="false">COUNT(Detalle_24m!CM98:CM122)</f>
        <v>0</v>
      </c>
      <c r="CN328" s="34" t="n">
        <f aca="false">COUNT(Detalle_24m!CN98:CN122)</f>
        <v>0</v>
      </c>
      <c r="CO328" s="34" t="n">
        <f aca="false">COUNT(Detalle_24m!CO98:CO122)</f>
        <v>0</v>
      </c>
      <c r="CP328" s="34" t="n">
        <f aca="false">COUNT(Detalle_24m!CP98:CP122)</f>
        <v>0</v>
      </c>
      <c r="CQ328" s="34" t="n">
        <f aca="false">COUNT(Detalle_24m!CQ98:CQ122)</f>
        <v>0</v>
      </c>
      <c r="CR328" s="34" t="n">
        <f aca="false">COUNT(Detalle_24m!CR98:CR122)</f>
        <v>0</v>
      </c>
      <c r="CS328" s="34" t="n">
        <f aca="false">COUNT(Detalle_24m!CS98:CS122)</f>
        <v>0</v>
      </c>
      <c r="CT328" s="34" t="n">
        <f aca="false">COUNT(Detalle_24m!CT98:CT122)</f>
        <v>0</v>
      </c>
      <c r="CU328" s="34" t="n">
        <f aca="false">COUNT(Detalle_24m!CU98:CU122)</f>
        <v>0</v>
      </c>
      <c r="CV328" s="34" t="n">
        <f aca="false">COUNT(Detalle_24m!CV98:CV122)</f>
        <v>0</v>
      </c>
      <c r="CW328" s="34" t="n">
        <f aca="false">COUNT(Detalle_24m!CW98:CW122)</f>
        <v>0</v>
      </c>
      <c r="CX328" s="34" t="n">
        <f aca="false">COUNT(Detalle_24m!CX98:CX122)</f>
        <v>0</v>
      </c>
      <c r="CY328" s="34" t="n">
        <f aca="false">COUNT(Detalle_24m!CY98:CY122)</f>
        <v>0</v>
      </c>
      <c r="CZ328" s="34" t="n">
        <f aca="false">COUNT(Detalle_24m!CZ98:CZ122)</f>
        <v>0</v>
      </c>
      <c r="DA328" s="34" t="n">
        <f aca="false">COUNT(Detalle_24m!DA98:DA122)</f>
        <v>0</v>
      </c>
      <c r="DB328" s="34" t="n">
        <f aca="false">COUNT(Detalle_24m!DB98:DB122)</f>
        <v>0</v>
      </c>
      <c r="DC328" s="34" t="n">
        <f aca="false">COUNT(Detalle_24m!DC98:DC122)</f>
        <v>0</v>
      </c>
      <c r="DD328" s="34" t="n">
        <f aca="false">COUNT(Detalle_24m!DD98:DD122)</f>
        <v>0</v>
      </c>
      <c r="DE328" s="34" t="n">
        <f aca="false">COUNT(Detalle_24m!DE98:DE122)</f>
        <v>0</v>
      </c>
      <c r="DF328" s="34" t="n">
        <f aca="false">COUNT(Detalle_24m!DF98:DF122)</f>
        <v>0</v>
      </c>
      <c r="DG328" s="34" t="n">
        <f aca="false">COUNT(Detalle_24m!DG98:DG122)</f>
        <v>0</v>
      </c>
      <c r="DH328" s="34" t="n">
        <f aca="false">COUNT(Detalle_24m!DH98:DH122)</f>
        <v>0</v>
      </c>
      <c r="DI328" s="34" t="n">
        <f aca="false">COUNT(Detalle_24m!DI98:DI122)</f>
        <v>0</v>
      </c>
      <c r="DJ328" s="34" t="n">
        <f aca="false">COUNT(Detalle_24m!DJ98:DJ122)</f>
        <v>0</v>
      </c>
      <c r="DK328" s="34" t="n">
        <f aca="false">COUNT(Detalle_24m!DK98:DK122)</f>
        <v>0</v>
      </c>
      <c r="DL328" s="34" t="n">
        <f aca="false">COUNT(Detalle_24m!DL98:DL122)</f>
        <v>0</v>
      </c>
      <c r="DM328" s="34" t="n">
        <f aca="false">COUNT(Detalle_24m!DM98:DM122)</f>
        <v>0</v>
      </c>
      <c r="DN328" s="34" t="n">
        <f aca="false">COUNT(Detalle_24m!DN98:DN122)</f>
        <v>0</v>
      </c>
      <c r="DO328" s="34" t="n">
        <f aca="false">COUNT(Detalle_24m!DO98:DO122)</f>
        <v>0</v>
      </c>
      <c r="DP328" s="34" t="n">
        <f aca="false">COUNT(Detalle_24m!DP98:DP122)</f>
        <v>0</v>
      </c>
      <c r="DQ328" s="34" t="n">
        <f aca="false">COUNT(Detalle_24m!DQ98:DQ122)</f>
        <v>0</v>
      </c>
      <c r="DR328" s="34" t="n">
        <f aca="false">COUNT(Detalle_24m!DR98:DR122)</f>
        <v>0</v>
      </c>
      <c r="DS328" s="34" t="n">
        <f aca="false">COUNT(Detalle_24m!DS98:DS122)</f>
        <v>0</v>
      </c>
      <c r="DT328" s="34" t="n">
        <f aca="false">COUNT(Detalle_24m!DT98:DT122)</f>
        <v>0</v>
      </c>
      <c r="DU328" s="34" t="n">
        <f aca="false">COUNT(Detalle_24m!DU98:DU122)</f>
        <v>0</v>
      </c>
      <c r="DV328" s="34" t="n">
        <f aca="false">COUNT(Detalle_24m!DV98:DV122)</f>
        <v>0</v>
      </c>
      <c r="DW328" s="34" t="n">
        <f aca="false">COUNT(Detalle_24m!DW98:DW122)</f>
        <v>0</v>
      </c>
      <c r="DX328" s="34" t="n">
        <f aca="false">COUNT(Detalle_24m!DX98:DX122)</f>
        <v>0</v>
      </c>
      <c r="DY328" s="34" t="n">
        <f aca="false">COUNT(Detalle_24m!DY98:DY122)</f>
        <v>0</v>
      </c>
      <c r="DZ328" s="34" t="n">
        <f aca="false">COUNT(Detalle_24m!DZ98:DZ122)</f>
        <v>0</v>
      </c>
      <c r="EA328" s="34" t="n">
        <f aca="false">COUNT(Detalle_24m!EA98:EA122)</f>
        <v>0</v>
      </c>
      <c r="EB328" s="34" t="n">
        <f aca="false">COUNT(Detalle_24m!EB98:EB122)</f>
        <v>0</v>
      </c>
      <c r="EC328" s="34" t="n">
        <f aca="false">COUNT(Detalle_24m!EC98:EC122)</f>
        <v>0</v>
      </c>
      <c r="ED328" s="34" t="n">
        <f aca="false">COUNT(Detalle_24m!ED98:ED122)</f>
        <v>0</v>
      </c>
      <c r="EE328" s="34" t="n">
        <f aca="false">COUNT(Detalle_24m!EE98:EE122)</f>
        <v>0</v>
      </c>
      <c r="EF328" s="34" t="n">
        <f aca="false">COUNT(Detalle_24m!EF98:EF122)</f>
        <v>0</v>
      </c>
      <c r="EG328" s="34" t="n">
        <f aca="false">COUNT(Detalle_24m!EG98:EG122)</f>
        <v>0</v>
      </c>
      <c r="EH328" s="34" t="n">
        <f aca="false">COUNT(Detalle_24m!EH98:EH122)</f>
        <v>0</v>
      </c>
      <c r="EI328" s="34" t="n">
        <f aca="false">COUNT(Detalle_24m!EI98:EI122)</f>
        <v>0</v>
      </c>
      <c r="EJ328" s="34" t="n">
        <f aca="false">COUNT(Detalle_24m!EJ98:EJ122)</f>
        <v>0</v>
      </c>
      <c r="EK328" s="34" t="n">
        <f aca="false">COUNT(Detalle_24m!EK98:EK122)</f>
        <v>0</v>
      </c>
      <c r="EL328" s="34" t="n">
        <f aca="false">COUNT(Detalle_24m!EL98:EL122)</f>
        <v>0</v>
      </c>
      <c r="EM328" s="34" t="n">
        <f aca="false">COUNT(Detalle_24m!EM98:EM122)</f>
        <v>0</v>
      </c>
      <c r="EN328" s="34" t="n">
        <f aca="false">COUNT(Detalle_24m!EN98:EN122)</f>
        <v>0</v>
      </c>
      <c r="EO328" s="34" t="n">
        <f aca="false">COUNT(Detalle_24m!EO98:EO122)</f>
        <v>0</v>
      </c>
      <c r="EP328" s="34" t="n">
        <f aca="false">COUNT(Detalle_24m!EP98:EP122)</f>
        <v>0</v>
      </c>
      <c r="EQ328" s="34" t="n">
        <f aca="false">COUNT(Detalle_24m!EQ98:EQ122)</f>
        <v>0</v>
      </c>
      <c r="ER328" s="34" t="n">
        <f aca="false">COUNT(Detalle_24m!ER98:ER122)</f>
        <v>0</v>
      </c>
      <c r="ES328" s="34" t="n">
        <f aca="false">COUNT(Detalle_24m!ES98:ES122)</f>
        <v>0</v>
      </c>
    </row>
    <row r="329" customFormat="false" ht="15" hidden="false" customHeight="false" outlineLevel="0" collapsed="false">
      <c r="A329" s="11" t="s">
        <v>1449</v>
      </c>
      <c r="B329" s="15" t="s">
        <v>1450</v>
      </c>
      <c r="E329" s="66" t="n">
        <f aca="false">SUM(F329:ES329)</f>
        <v>0</v>
      </c>
      <c r="F329" s="34" t="n">
        <f aca="false">COUNT(Detalle_24m!F126:F150)</f>
        <v>0</v>
      </c>
      <c r="G329" s="34" t="n">
        <f aca="false">COUNT(Detalle_24m!G126:G150)</f>
        <v>0</v>
      </c>
      <c r="H329" s="34" t="n">
        <f aca="false">COUNT(Detalle_24m!H126:H150)</f>
        <v>0</v>
      </c>
      <c r="I329" s="34" t="n">
        <f aca="false">COUNT(Detalle_24m!I126:I150)</f>
        <v>0</v>
      </c>
      <c r="J329" s="34" t="n">
        <f aca="false">COUNT(Detalle_24m!J126:J150)</f>
        <v>0</v>
      </c>
      <c r="K329" s="34" t="n">
        <f aca="false">COUNT(Detalle_24m!K126:K150)</f>
        <v>0</v>
      </c>
      <c r="L329" s="34" t="n">
        <f aca="false">COUNT(Detalle_24m!L126:L150)</f>
        <v>0</v>
      </c>
      <c r="M329" s="34" t="n">
        <f aca="false">COUNT(Detalle_24m!M126:M150)</f>
        <v>0</v>
      </c>
      <c r="N329" s="34" t="n">
        <f aca="false">COUNT(Detalle_24m!N126:N150)</f>
        <v>0</v>
      </c>
      <c r="O329" s="34" t="n">
        <f aca="false">COUNT(Detalle_24m!O126:O150)</f>
        <v>0</v>
      </c>
      <c r="P329" s="34" t="n">
        <f aca="false">COUNT(Detalle_24m!P126:P150)</f>
        <v>0</v>
      </c>
      <c r="Q329" s="34" t="n">
        <f aca="false">COUNT(Detalle_24m!Q126:Q150)</f>
        <v>0</v>
      </c>
      <c r="R329" s="34" t="n">
        <f aca="false">COUNT(Detalle_24m!R126:R150)</f>
        <v>0</v>
      </c>
      <c r="S329" s="34" t="n">
        <f aca="false">COUNT(Detalle_24m!S126:S150)</f>
        <v>0</v>
      </c>
      <c r="T329" s="34" t="n">
        <f aca="false">COUNT(Detalle_24m!T126:T150)</f>
        <v>0</v>
      </c>
      <c r="U329" s="34" t="n">
        <f aca="false">COUNT(Detalle_24m!U126:U150)</f>
        <v>0</v>
      </c>
      <c r="V329" s="34" t="n">
        <f aca="false">COUNT(Detalle_24m!V126:V150)</f>
        <v>0</v>
      </c>
      <c r="W329" s="34" t="n">
        <f aca="false">COUNT(Detalle_24m!W126:W150)</f>
        <v>0</v>
      </c>
      <c r="X329" s="34" t="n">
        <f aca="false">COUNT(Detalle_24m!X126:X150)</f>
        <v>0</v>
      </c>
      <c r="Y329" s="34" t="n">
        <f aca="false">COUNT(Detalle_24m!Y126:Y150)</f>
        <v>0</v>
      </c>
      <c r="Z329" s="34" t="n">
        <f aca="false">COUNT(Detalle_24m!Z126:Z150)</f>
        <v>0</v>
      </c>
      <c r="AA329" s="34" t="n">
        <f aca="false">COUNT(Detalle_24m!AA126:AA150)</f>
        <v>0</v>
      </c>
      <c r="AB329" s="34" t="n">
        <f aca="false">COUNT(Detalle_24m!AB126:AB150)</f>
        <v>0</v>
      </c>
      <c r="AC329" s="34" t="n">
        <f aca="false">COUNT(Detalle_24m!AC126:AC150)</f>
        <v>0</v>
      </c>
      <c r="AD329" s="34" t="n">
        <f aca="false">COUNT(Detalle_24m!AD126:AD150)</f>
        <v>0</v>
      </c>
      <c r="AE329" s="34" t="n">
        <f aca="false">COUNT(Detalle_24m!AE126:AE150)</f>
        <v>0</v>
      </c>
      <c r="AF329" s="34" t="n">
        <f aca="false">COUNT(Detalle_24m!AF126:AF150)</f>
        <v>0</v>
      </c>
      <c r="AG329" s="34" t="n">
        <f aca="false">COUNT(Detalle_24m!AG126:AG150)</f>
        <v>0</v>
      </c>
      <c r="AH329" s="34" t="n">
        <f aca="false">COUNT(Detalle_24m!AH126:AH150)</f>
        <v>0</v>
      </c>
      <c r="AI329" s="34" t="n">
        <f aca="false">COUNT(Detalle_24m!AI126:AI150)</f>
        <v>0</v>
      </c>
      <c r="AJ329" s="34" t="n">
        <f aca="false">COUNT(Detalle_24m!AJ126:AJ150)</f>
        <v>0</v>
      </c>
      <c r="AK329" s="34" t="n">
        <f aca="false">COUNT(Detalle_24m!AK126:AK150)</f>
        <v>0</v>
      </c>
      <c r="AL329" s="34" t="n">
        <f aca="false">COUNT(Detalle_24m!AL126:AL150)</f>
        <v>0</v>
      </c>
      <c r="AM329" s="34" t="n">
        <f aca="false">COUNT(Detalle_24m!AM126:AM150)</f>
        <v>0</v>
      </c>
      <c r="AN329" s="34" t="n">
        <f aca="false">COUNT(Detalle_24m!AN126:AN150)</f>
        <v>0</v>
      </c>
      <c r="AO329" s="34" t="n">
        <f aca="false">COUNT(Detalle_24m!AO126:AO150)</f>
        <v>0</v>
      </c>
      <c r="AP329" s="34" t="n">
        <f aca="false">COUNT(Detalle_24m!AP126:AP150)</f>
        <v>0</v>
      </c>
      <c r="AQ329" s="34" t="n">
        <f aca="false">COUNT(Detalle_24m!AQ126:AQ150)</f>
        <v>0</v>
      </c>
      <c r="AR329" s="34" t="n">
        <f aca="false">COUNT(Detalle_24m!AR126:AR150)</f>
        <v>0</v>
      </c>
      <c r="AS329" s="34" t="n">
        <f aca="false">COUNT(Detalle_24m!AS126:AS150)</f>
        <v>0</v>
      </c>
      <c r="AT329" s="34" t="n">
        <f aca="false">COUNT(Detalle_24m!AT126:AT150)</f>
        <v>0</v>
      </c>
      <c r="AU329" s="34" t="n">
        <f aca="false">COUNT(Detalle_24m!AU126:AU150)</f>
        <v>0</v>
      </c>
      <c r="AV329" s="34" t="n">
        <f aca="false">COUNT(Detalle_24m!AV126:AV150)</f>
        <v>0</v>
      </c>
      <c r="AW329" s="34" t="n">
        <f aca="false">COUNT(Detalle_24m!AW126:AW150)</f>
        <v>0</v>
      </c>
      <c r="AX329" s="34" t="n">
        <f aca="false">COUNT(Detalle_24m!AX126:AX150)</f>
        <v>0</v>
      </c>
      <c r="AY329" s="34" t="n">
        <f aca="false">COUNT(Detalle_24m!AY126:AY150)</f>
        <v>0</v>
      </c>
      <c r="AZ329" s="34" t="n">
        <f aca="false">COUNT(Detalle_24m!AZ126:AZ150)</f>
        <v>0</v>
      </c>
      <c r="BA329" s="34" t="n">
        <f aca="false">COUNT(Detalle_24m!BA126:BA150)</f>
        <v>0</v>
      </c>
      <c r="BB329" s="34" t="n">
        <f aca="false">COUNT(Detalle_24m!BB126:BB150)</f>
        <v>0</v>
      </c>
      <c r="BC329" s="34" t="n">
        <f aca="false">COUNT(Detalle_24m!BC126:BC150)</f>
        <v>0</v>
      </c>
      <c r="BD329" s="34" t="n">
        <f aca="false">COUNT(Detalle_24m!BD126:BD150)</f>
        <v>0</v>
      </c>
      <c r="BE329" s="34" t="n">
        <f aca="false">COUNT(Detalle_24m!BE126:BE150)</f>
        <v>0</v>
      </c>
      <c r="BF329" s="34" t="n">
        <f aca="false">COUNT(Detalle_24m!BF126:BF150)</f>
        <v>0</v>
      </c>
      <c r="BG329" s="34" t="n">
        <f aca="false">COUNT(Detalle_24m!BG126:BG150)</f>
        <v>0</v>
      </c>
      <c r="BH329" s="34" t="n">
        <f aca="false">COUNT(Detalle_24m!BH126:BH150)</f>
        <v>0</v>
      </c>
      <c r="BI329" s="34" t="n">
        <f aca="false">COUNT(Detalle_24m!BI126:BI150)</f>
        <v>0</v>
      </c>
      <c r="BJ329" s="34" t="n">
        <f aca="false">COUNT(Detalle_24m!BJ126:BJ150)</f>
        <v>0</v>
      </c>
      <c r="BK329" s="34" t="n">
        <f aca="false">COUNT(Detalle_24m!BK126:BK150)</f>
        <v>0</v>
      </c>
      <c r="BL329" s="34" t="n">
        <f aca="false">COUNT(Detalle_24m!BL126:BL150)</f>
        <v>0</v>
      </c>
      <c r="BM329" s="34" t="n">
        <f aca="false">COUNT(Detalle_24m!BM126:BM150)</f>
        <v>0</v>
      </c>
      <c r="BN329" s="34" t="n">
        <f aca="false">COUNT(Detalle_24m!BN126:BN150)</f>
        <v>0</v>
      </c>
      <c r="BO329" s="34" t="n">
        <f aca="false">COUNT(Detalle_24m!BO126:BO150)</f>
        <v>0</v>
      </c>
      <c r="BP329" s="34" t="n">
        <f aca="false">COUNT(Detalle_24m!BP126:BP150)</f>
        <v>0</v>
      </c>
      <c r="BQ329" s="34" t="n">
        <f aca="false">COUNT(Detalle_24m!BQ126:BQ150)</f>
        <v>0</v>
      </c>
      <c r="BR329" s="34" t="n">
        <f aca="false">COUNT(Detalle_24m!BR126:BR150)</f>
        <v>0</v>
      </c>
      <c r="BS329" s="34" t="n">
        <f aca="false">COUNT(Detalle_24m!BS126:BS150)</f>
        <v>0</v>
      </c>
      <c r="BT329" s="34" t="n">
        <f aca="false">COUNT(Detalle_24m!BT126:BT150)</f>
        <v>0</v>
      </c>
      <c r="BU329" s="34" t="n">
        <f aca="false">COUNT(Detalle_24m!BU126:BU150)</f>
        <v>0</v>
      </c>
      <c r="BV329" s="34" t="n">
        <f aca="false">COUNT(Detalle_24m!BV126:BV150)</f>
        <v>0</v>
      </c>
      <c r="BW329" s="34" t="n">
        <f aca="false">COUNT(Detalle_24m!BW126:BW150)</f>
        <v>0</v>
      </c>
      <c r="BX329" s="34" t="n">
        <f aca="false">COUNT(Detalle_24m!BX126:BX150)</f>
        <v>0</v>
      </c>
      <c r="BY329" s="34" t="n">
        <f aca="false">COUNT(Detalle_24m!BY126:BY150)</f>
        <v>0</v>
      </c>
      <c r="BZ329" s="34" t="n">
        <f aca="false">COUNT(Detalle_24m!BZ126:BZ150)</f>
        <v>0</v>
      </c>
      <c r="CA329" s="34" t="n">
        <f aca="false">COUNT(Detalle_24m!CA126:CA150)</f>
        <v>0</v>
      </c>
      <c r="CB329" s="34" t="n">
        <f aca="false">COUNT(Detalle_24m!CB126:CB150)</f>
        <v>0</v>
      </c>
      <c r="CC329" s="34" t="n">
        <f aca="false">COUNT(Detalle_24m!CC126:CC150)</f>
        <v>0</v>
      </c>
      <c r="CD329" s="34" t="n">
        <f aca="false">COUNT(Detalle_24m!CD126:CD150)</f>
        <v>0</v>
      </c>
      <c r="CE329" s="34" t="n">
        <f aca="false">COUNT(Detalle_24m!CE126:CE150)</f>
        <v>0</v>
      </c>
      <c r="CF329" s="34" t="n">
        <f aca="false">COUNT(Detalle_24m!CF126:CF150)</f>
        <v>0</v>
      </c>
      <c r="CG329" s="34" t="n">
        <f aca="false">COUNT(Detalle_24m!CG126:CG150)</f>
        <v>0</v>
      </c>
      <c r="CH329" s="34" t="n">
        <f aca="false">COUNT(Detalle_24m!CH126:CH150)</f>
        <v>0</v>
      </c>
      <c r="CI329" s="34" t="n">
        <f aca="false">COUNT(Detalle_24m!CI126:CI150)</f>
        <v>0</v>
      </c>
      <c r="CJ329" s="34" t="n">
        <f aca="false">COUNT(Detalle_24m!CJ126:CJ150)</f>
        <v>0</v>
      </c>
      <c r="CK329" s="34" t="n">
        <f aca="false">COUNT(Detalle_24m!CK126:CK150)</f>
        <v>0</v>
      </c>
      <c r="CL329" s="34" t="n">
        <f aca="false">COUNT(Detalle_24m!CL126:CL150)</f>
        <v>0</v>
      </c>
      <c r="CM329" s="34" t="n">
        <f aca="false">COUNT(Detalle_24m!CM126:CM150)</f>
        <v>0</v>
      </c>
      <c r="CN329" s="34" t="n">
        <f aca="false">COUNT(Detalle_24m!CN126:CN150)</f>
        <v>0</v>
      </c>
      <c r="CO329" s="34" t="n">
        <f aca="false">COUNT(Detalle_24m!CO126:CO150)</f>
        <v>0</v>
      </c>
      <c r="CP329" s="34" t="n">
        <f aca="false">COUNT(Detalle_24m!CP126:CP150)</f>
        <v>0</v>
      </c>
      <c r="CQ329" s="34" t="n">
        <f aca="false">COUNT(Detalle_24m!CQ126:CQ150)</f>
        <v>0</v>
      </c>
      <c r="CR329" s="34" t="n">
        <f aca="false">COUNT(Detalle_24m!CR126:CR150)</f>
        <v>0</v>
      </c>
      <c r="CS329" s="34" t="n">
        <f aca="false">COUNT(Detalle_24m!CS126:CS150)</f>
        <v>0</v>
      </c>
      <c r="CT329" s="34" t="n">
        <f aca="false">COUNT(Detalle_24m!CT126:CT150)</f>
        <v>0</v>
      </c>
      <c r="CU329" s="34" t="n">
        <f aca="false">COUNT(Detalle_24m!CU126:CU150)</f>
        <v>0</v>
      </c>
      <c r="CV329" s="34" t="n">
        <f aca="false">COUNT(Detalle_24m!CV126:CV150)</f>
        <v>0</v>
      </c>
      <c r="CW329" s="34" t="n">
        <f aca="false">COUNT(Detalle_24m!CW126:CW150)</f>
        <v>0</v>
      </c>
      <c r="CX329" s="34" t="n">
        <f aca="false">COUNT(Detalle_24m!CX126:CX150)</f>
        <v>0</v>
      </c>
      <c r="CY329" s="34" t="n">
        <f aca="false">COUNT(Detalle_24m!CY126:CY150)</f>
        <v>0</v>
      </c>
      <c r="CZ329" s="34" t="n">
        <f aca="false">COUNT(Detalle_24m!CZ126:CZ150)</f>
        <v>0</v>
      </c>
      <c r="DA329" s="34" t="n">
        <f aca="false">COUNT(Detalle_24m!DA126:DA150)</f>
        <v>0</v>
      </c>
      <c r="DB329" s="34" t="n">
        <f aca="false">COUNT(Detalle_24m!DB126:DB150)</f>
        <v>0</v>
      </c>
      <c r="DC329" s="34" t="n">
        <f aca="false">COUNT(Detalle_24m!DC126:DC150)</f>
        <v>0</v>
      </c>
      <c r="DD329" s="34" t="n">
        <f aca="false">COUNT(Detalle_24m!DD126:DD150)</f>
        <v>0</v>
      </c>
      <c r="DE329" s="34" t="n">
        <f aca="false">COUNT(Detalle_24m!DE126:DE150)</f>
        <v>0</v>
      </c>
      <c r="DF329" s="34" t="n">
        <f aca="false">COUNT(Detalle_24m!DF126:DF150)</f>
        <v>0</v>
      </c>
      <c r="DG329" s="34" t="n">
        <f aca="false">COUNT(Detalle_24m!DG126:DG150)</f>
        <v>0</v>
      </c>
      <c r="DH329" s="34" t="n">
        <f aca="false">COUNT(Detalle_24m!DH126:DH150)</f>
        <v>0</v>
      </c>
      <c r="DI329" s="34" t="n">
        <f aca="false">COUNT(Detalle_24m!DI126:DI150)</f>
        <v>0</v>
      </c>
      <c r="DJ329" s="34" t="n">
        <f aca="false">COUNT(Detalle_24m!DJ126:DJ150)</f>
        <v>0</v>
      </c>
      <c r="DK329" s="34" t="n">
        <f aca="false">COUNT(Detalle_24m!DK126:DK150)</f>
        <v>0</v>
      </c>
      <c r="DL329" s="34" t="n">
        <f aca="false">COUNT(Detalle_24m!DL126:DL150)</f>
        <v>0</v>
      </c>
      <c r="DM329" s="34" t="n">
        <f aca="false">COUNT(Detalle_24m!DM126:DM150)</f>
        <v>0</v>
      </c>
      <c r="DN329" s="34" t="n">
        <f aca="false">COUNT(Detalle_24m!DN126:DN150)</f>
        <v>0</v>
      </c>
      <c r="DO329" s="34" t="n">
        <f aca="false">COUNT(Detalle_24m!DO126:DO150)</f>
        <v>0</v>
      </c>
      <c r="DP329" s="34" t="n">
        <f aca="false">COUNT(Detalle_24m!DP126:DP150)</f>
        <v>0</v>
      </c>
      <c r="DQ329" s="34" t="n">
        <f aca="false">COUNT(Detalle_24m!DQ126:DQ150)</f>
        <v>0</v>
      </c>
      <c r="DR329" s="34" t="n">
        <f aca="false">COUNT(Detalle_24m!DR126:DR150)</f>
        <v>0</v>
      </c>
      <c r="DS329" s="34" t="n">
        <f aca="false">COUNT(Detalle_24m!DS126:DS150)</f>
        <v>0</v>
      </c>
      <c r="DT329" s="34" t="n">
        <f aca="false">COUNT(Detalle_24m!DT126:DT150)</f>
        <v>0</v>
      </c>
      <c r="DU329" s="34" t="n">
        <f aca="false">COUNT(Detalle_24m!DU126:DU150)</f>
        <v>0</v>
      </c>
      <c r="DV329" s="34" t="n">
        <f aca="false">COUNT(Detalle_24m!DV126:DV150)</f>
        <v>0</v>
      </c>
      <c r="DW329" s="34" t="n">
        <f aca="false">COUNT(Detalle_24m!DW126:DW150)</f>
        <v>0</v>
      </c>
      <c r="DX329" s="34" t="n">
        <f aca="false">COUNT(Detalle_24m!DX126:DX150)</f>
        <v>0</v>
      </c>
      <c r="DY329" s="34" t="n">
        <f aca="false">COUNT(Detalle_24m!DY126:DY150)</f>
        <v>0</v>
      </c>
      <c r="DZ329" s="34" t="n">
        <f aca="false">COUNT(Detalle_24m!DZ126:DZ150)</f>
        <v>0</v>
      </c>
      <c r="EA329" s="34" t="n">
        <f aca="false">COUNT(Detalle_24m!EA126:EA150)</f>
        <v>0</v>
      </c>
      <c r="EB329" s="34" t="n">
        <f aca="false">COUNT(Detalle_24m!EB126:EB150)</f>
        <v>0</v>
      </c>
      <c r="EC329" s="34" t="n">
        <f aca="false">COUNT(Detalle_24m!EC126:EC150)</f>
        <v>0</v>
      </c>
      <c r="ED329" s="34" t="n">
        <f aca="false">COUNT(Detalle_24m!ED126:ED150)</f>
        <v>0</v>
      </c>
      <c r="EE329" s="34" t="n">
        <f aca="false">COUNT(Detalle_24m!EE126:EE150)</f>
        <v>0</v>
      </c>
      <c r="EF329" s="34" t="n">
        <f aca="false">COUNT(Detalle_24m!EF126:EF150)</f>
        <v>0</v>
      </c>
      <c r="EG329" s="34" t="n">
        <f aca="false">COUNT(Detalle_24m!EG126:EG150)</f>
        <v>0</v>
      </c>
      <c r="EH329" s="34" t="n">
        <f aca="false">COUNT(Detalle_24m!EH126:EH150)</f>
        <v>0</v>
      </c>
      <c r="EI329" s="34" t="n">
        <f aca="false">COUNT(Detalle_24m!EI126:EI150)</f>
        <v>0</v>
      </c>
      <c r="EJ329" s="34" t="n">
        <f aca="false">COUNT(Detalle_24m!EJ126:EJ150)</f>
        <v>0</v>
      </c>
      <c r="EK329" s="34" t="n">
        <f aca="false">COUNT(Detalle_24m!EK126:EK150)</f>
        <v>0</v>
      </c>
      <c r="EL329" s="34" t="n">
        <f aca="false">COUNT(Detalle_24m!EL126:EL150)</f>
        <v>0</v>
      </c>
      <c r="EM329" s="34" t="n">
        <f aca="false">COUNT(Detalle_24m!EM126:EM150)</f>
        <v>0</v>
      </c>
      <c r="EN329" s="34" t="n">
        <f aca="false">COUNT(Detalle_24m!EN126:EN150)</f>
        <v>0</v>
      </c>
      <c r="EO329" s="34" t="n">
        <f aca="false">COUNT(Detalle_24m!EO126:EO150)</f>
        <v>0</v>
      </c>
      <c r="EP329" s="34" t="n">
        <f aca="false">COUNT(Detalle_24m!EP126:EP150)</f>
        <v>0</v>
      </c>
      <c r="EQ329" s="34" t="n">
        <f aca="false">COUNT(Detalle_24m!EQ126:EQ150)</f>
        <v>0</v>
      </c>
      <c r="ER329" s="34" t="n">
        <f aca="false">COUNT(Detalle_24m!ER126:ER150)</f>
        <v>0</v>
      </c>
      <c r="ES329" s="34" t="n">
        <f aca="false">COUNT(Detalle_24m!ES126:ES150)</f>
        <v>0</v>
      </c>
    </row>
    <row r="330" customFormat="false" ht="15" hidden="false" customHeight="false" outlineLevel="0" collapsed="false">
      <c r="A330" s="11" t="s">
        <v>1451</v>
      </c>
      <c r="B330" s="15" t="s">
        <v>1452</v>
      </c>
      <c r="E330" s="66" t="n">
        <f aca="false">SUM(F330:ES330)</f>
        <v>0</v>
      </c>
      <c r="F330" s="34" t="n">
        <f aca="false">COUNT(Detalle_24m!F154:F183)</f>
        <v>0</v>
      </c>
      <c r="G330" s="34" t="n">
        <f aca="false">COUNT(Detalle_24m!G154:G183)</f>
        <v>0</v>
      </c>
      <c r="H330" s="34" t="n">
        <f aca="false">COUNT(Detalle_24m!H154:H183)</f>
        <v>0</v>
      </c>
      <c r="I330" s="34" t="n">
        <f aca="false">COUNT(Detalle_24m!I154:I183)</f>
        <v>0</v>
      </c>
      <c r="J330" s="34" t="n">
        <f aca="false">COUNT(Detalle_24m!J154:J183)</f>
        <v>0</v>
      </c>
      <c r="K330" s="34" t="n">
        <f aca="false">COUNT(Detalle_24m!K154:K183)</f>
        <v>0</v>
      </c>
      <c r="L330" s="34" t="n">
        <f aca="false">COUNT(Detalle_24m!L154:L183)</f>
        <v>0</v>
      </c>
      <c r="M330" s="34" t="n">
        <f aca="false">COUNT(Detalle_24m!M154:M183)</f>
        <v>0</v>
      </c>
      <c r="N330" s="34" t="n">
        <f aca="false">COUNT(Detalle_24m!N154:N183)</f>
        <v>0</v>
      </c>
      <c r="O330" s="34" t="n">
        <f aca="false">COUNT(Detalle_24m!O154:O183)</f>
        <v>0</v>
      </c>
      <c r="P330" s="34" t="n">
        <f aca="false">COUNT(Detalle_24m!P154:P183)</f>
        <v>0</v>
      </c>
      <c r="Q330" s="34" t="n">
        <f aca="false">COUNT(Detalle_24m!Q154:Q183)</f>
        <v>0</v>
      </c>
      <c r="R330" s="34" t="n">
        <f aca="false">COUNT(Detalle_24m!R154:R183)</f>
        <v>0</v>
      </c>
      <c r="S330" s="34" t="n">
        <f aca="false">COUNT(Detalle_24m!S154:S183)</f>
        <v>0</v>
      </c>
      <c r="T330" s="34" t="n">
        <f aca="false">COUNT(Detalle_24m!T154:T183)</f>
        <v>0</v>
      </c>
      <c r="U330" s="34" t="n">
        <f aca="false">COUNT(Detalle_24m!U154:U183)</f>
        <v>0</v>
      </c>
      <c r="V330" s="34" t="n">
        <f aca="false">COUNT(Detalle_24m!V154:V183)</f>
        <v>0</v>
      </c>
      <c r="W330" s="34" t="n">
        <f aca="false">COUNT(Detalle_24m!W154:W183)</f>
        <v>0</v>
      </c>
      <c r="X330" s="34" t="n">
        <f aca="false">COUNT(Detalle_24m!X154:X183)</f>
        <v>0</v>
      </c>
      <c r="Y330" s="34" t="n">
        <f aca="false">COUNT(Detalle_24m!Y154:Y183)</f>
        <v>0</v>
      </c>
      <c r="Z330" s="34" t="n">
        <f aca="false">COUNT(Detalle_24m!Z154:Z183)</f>
        <v>0</v>
      </c>
      <c r="AA330" s="34" t="n">
        <f aca="false">COUNT(Detalle_24m!AA154:AA183)</f>
        <v>0</v>
      </c>
      <c r="AB330" s="34" t="n">
        <f aca="false">COUNT(Detalle_24m!AB154:AB183)</f>
        <v>0</v>
      </c>
      <c r="AC330" s="34" t="n">
        <f aca="false">COUNT(Detalle_24m!AC154:AC183)</f>
        <v>0</v>
      </c>
      <c r="AD330" s="34" t="n">
        <f aca="false">COUNT(Detalle_24m!AD154:AD183)</f>
        <v>0</v>
      </c>
      <c r="AE330" s="34" t="n">
        <f aca="false">COUNT(Detalle_24m!AE154:AE183)</f>
        <v>0</v>
      </c>
      <c r="AF330" s="34" t="n">
        <f aca="false">COUNT(Detalle_24m!AF154:AF183)</f>
        <v>0</v>
      </c>
      <c r="AG330" s="34" t="n">
        <f aca="false">COUNT(Detalle_24m!AG154:AG183)</f>
        <v>0</v>
      </c>
      <c r="AH330" s="34" t="n">
        <f aca="false">COUNT(Detalle_24m!AH154:AH183)</f>
        <v>0</v>
      </c>
      <c r="AI330" s="34" t="n">
        <f aca="false">COUNT(Detalle_24m!AI154:AI183)</f>
        <v>0</v>
      </c>
      <c r="AJ330" s="34" t="n">
        <f aca="false">COUNT(Detalle_24m!AJ154:AJ183)</f>
        <v>0</v>
      </c>
      <c r="AK330" s="34" t="n">
        <f aca="false">COUNT(Detalle_24m!AK154:AK183)</f>
        <v>0</v>
      </c>
      <c r="AL330" s="34" t="n">
        <f aca="false">COUNT(Detalle_24m!AL154:AL183)</f>
        <v>0</v>
      </c>
      <c r="AM330" s="34" t="n">
        <f aca="false">COUNT(Detalle_24m!AM154:AM183)</f>
        <v>0</v>
      </c>
      <c r="AN330" s="34" t="n">
        <f aca="false">COUNT(Detalle_24m!AN154:AN183)</f>
        <v>0</v>
      </c>
      <c r="AO330" s="34" t="n">
        <f aca="false">COUNT(Detalle_24m!AO154:AO183)</f>
        <v>0</v>
      </c>
      <c r="AP330" s="34" t="n">
        <f aca="false">COUNT(Detalle_24m!AP154:AP183)</f>
        <v>0</v>
      </c>
      <c r="AQ330" s="34" t="n">
        <f aca="false">COUNT(Detalle_24m!AQ154:AQ183)</f>
        <v>0</v>
      </c>
      <c r="AR330" s="34" t="n">
        <f aca="false">COUNT(Detalle_24m!AR154:AR183)</f>
        <v>0</v>
      </c>
      <c r="AS330" s="34" t="n">
        <f aca="false">COUNT(Detalle_24m!AS154:AS183)</f>
        <v>0</v>
      </c>
      <c r="AT330" s="34" t="n">
        <f aca="false">COUNT(Detalle_24m!AT154:AT183)</f>
        <v>0</v>
      </c>
      <c r="AU330" s="34" t="n">
        <f aca="false">COUNT(Detalle_24m!AU154:AU183)</f>
        <v>0</v>
      </c>
      <c r="AV330" s="34" t="n">
        <f aca="false">COUNT(Detalle_24m!AV154:AV183)</f>
        <v>0</v>
      </c>
      <c r="AW330" s="34" t="n">
        <f aca="false">COUNT(Detalle_24m!AW154:AW183)</f>
        <v>0</v>
      </c>
      <c r="AX330" s="34" t="n">
        <f aca="false">COUNT(Detalle_24m!AX154:AX183)</f>
        <v>0</v>
      </c>
      <c r="AY330" s="34" t="n">
        <f aca="false">COUNT(Detalle_24m!AY154:AY183)</f>
        <v>0</v>
      </c>
      <c r="AZ330" s="34" t="n">
        <f aca="false">COUNT(Detalle_24m!AZ154:AZ183)</f>
        <v>0</v>
      </c>
      <c r="BA330" s="34" t="n">
        <f aca="false">COUNT(Detalle_24m!BA154:BA183)</f>
        <v>0</v>
      </c>
      <c r="BB330" s="34" t="n">
        <f aca="false">COUNT(Detalle_24m!BB154:BB183)</f>
        <v>0</v>
      </c>
      <c r="BC330" s="34" t="n">
        <f aca="false">COUNT(Detalle_24m!BC154:BC183)</f>
        <v>0</v>
      </c>
      <c r="BD330" s="34" t="n">
        <f aca="false">COUNT(Detalle_24m!BD154:BD183)</f>
        <v>0</v>
      </c>
      <c r="BE330" s="34" t="n">
        <f aca="false">COUNT(Detalle_24m!BE154:BE183)</f>
        <v>0</v>
      </c>
      <c r="BF330" s="34" t="n">
        <f aca="false">COUNT(Detalle_24m!BF154:BF183)</f>
        <v>0</v>
      </c>
      <c r="BG330" s="34" t="n">
        <f aca="false">COUNT(Detalle_24m!BG154:BG183)</f>
        <v>0</v>
      </c>
      <c r="BH330" s="34" t="n">
        <f aca="false">COUNT(Detalle_24m!BH154:BH183)</f>
        <v>0</v>
      </c>
      <c r="BI330" s="34" t="n">
        <f aca="false">COUNT(Detalle_24m!BI154:BI183)</f>
        <v>0</v>
      </c>
      <c r="BJ330" s="34" t="n">
        <f aca="false">COUNT(Detalle_24m!BJ154:BJ183)</f>
        <v>0</v>
      </c>
      <c r="BK330" s="34" t="n">
        <f aca="false">COUNT(Detalle_24m!BK154:BK183)</f>
        <v>0</v>
      </c>
      <c r="BL330" s="34" t="n">
        <f aca="false">COUNT(Detalle_24m!BL154:BL183)</f>
        <v>0</v>
      </c>
      <c r="BM330" s="34" t="n">
        <f aca="false">COUNT(Detalle_24m!BM154:BM183)</f>
        <v>0</v>
      </c>
      <c r="BN330" s="34" t="n">
        <f aca="false">COUNT(Detalle_24m!BN154:BN183)</f>
        <v>0</v>
      </c>
      <c r="BO330" s="34" t="n">
        <f aca="false">COUNT(Detalle_24m!BO154:BO183)</f>
        <v>0</v>
      </c>
      <c r="BP330" s="34" t="n">
        <f aca="false">COUNT(Detalle_24m!BP154:BP183)</f>
        <v>0</v>
      </c>
      <c r="BQ330" s="34" t="n">
        <f aca="false">COUNT(Detalle_24m!BQ154:BQ183)</f>
        <v>0</v>
      </c>
      <c r="BR330" s="34" t="n">
        <f aca="false">COUNT(Detalle_24m!BR154:BR183)</f>
        <v>0</v>
      </c>
      <c r="BS330" s="34" t="n">
        <f aca="false">COUNT(Detalle_24m!BS154:BS183)</f>
        <v>0</v>
      </c>
      <c r="BT330" s="34" t="n">
        <f aca="false">COUNT(Detalle_24m!BT154:BT183)</f>
        <v>0</v>
      </c>
      <c r="BU330" s="34" t="n">
        <f aca="false">COUNT(Detalle_24m!BU154:BU183)</f>
        <v>0</v>
      </c>
      <c r="BV330" s="34" t="n">
        <f aca="false">COUNT(Detalle_24m!BV154:BV183)</f>
        <v>0</v>
      </c>
      <c r="BW330" s="34" t="n">
        <f aca="false">COUNT(Detalle_24m!BW154:BW183)</f>
        <v>0</v>
      </c>
      <c r="BX330" s="34" t="n">
        <f aca="false">COUNT(Detalle_24m!BX154:BX183)</f>
        <v>0</v>
      </c>
      <c r="BY330" s="34" t="n">
        <f aca="false">COUNT(Detalle_24m!BY154:BY183)</f>
        <v>0</v>
      </c>
      <c r="BZ330" s="34" t="n">
        <f aca="false">COUNT(Detalle_24m!BZ154:BZ183)</f>
        <v>0</v>
      </c>
      <c r="CA330" s="34" t="n">
        <f aca="false">COUNT(Detalle_24m!CA154:CA183)</f>
        <v>0</v>
      </c>
      <c r="CB330" s="34" t="n">
        <f aca="false">COUNT(Detalle_24m!CB154:CB183)</f>
        <v>0</v>
      </c>
      <c r="CC330" s="34" t="n">
        <f aca="false">COUNT(Detalle_24m!CC154:CC183)</f>
        <v>0</v>
      </c>
      <c r="CD330" s="34" t="n">
        <f aca="false">COUNT(Detalle_24m!CD154:CD183)</f>
        <v>0</v>
      </c>
      <c r="CE330" s="34" t="n">
        <f aca="false">COUNT(Detalle_24m!CE154:CE183)</f>
        <v>0</v>
      </c>
      <c r="CF330" s="34" t="n">
        <f aca="false">COUNT(Detalle_24m!CF154:CF183)</f>
        <v>0</v>
      </c>
      <c r="CG330" s="34" t="n">
        <f aca="false">COUNT(Detalle_24m!CG154:CG183)</f>
        <v>0</v>
      </c>
      <c r="CH330" s="34" t="n">
        <f aca="false">COUNT(Detalle_24m!CH154:CH183)</f>
        <v>0</v>
      </c>
      <c r="CI330" s="34" t="n">
        <f aca="false">COUNT(Detalle_24m!CI154:CI183)</f>
        <v>0</v>
      </c>
      <c r="CJ330" s="34" t="n">
        <f aca="false">COUNT(Detalle_24m!CJ154:CJ183)</f>
        <v>0</v>
      </c>
      <c r="CK330" s="34" t="n">
        <f aca="false">COUNT(Detalle_24m!CK154:CK183)</f>
        <v>0</v>
      </c>
      <c r="CL330" s="34" t="n">
        <f aca="false">COUNT(Detalle_24m!CL154:CL183)</f>
        <v>0</v>
      </c>
      <c r="CM330" s="34" t="n">
        <f aca="false">COUNT(Detalle_24m!CM154:CM183)</f>
        <v>0</v>
      </c>
      <c r="CN330" s="34" t="n">
        <f aca="false">COUNT(Detalle_24m!CN154:CN183)</f>
        <v>0</v>
      </c>
      <c r="CO330" s="34" t="n">
        <f aca="false">COUNT(Detalle_24m!CO154:CO183)</f>
        <v>0</v>
      </c>
      <c r="CP330" s="34" t="n">
        <f aca="false">COUNT(Detalle_24m!CP154:CP183)</f>
        <v>0</v>
      </c>
      <c r="CQ330" s="34" t="n">
        <f aca="false">COUNT(Detalle_24m!CQ154:CQ183)</f>
        <v>0</v>
      </c>
      <c r="CR330" s="34" t="n">
        <f aca="false">COUNT(Detalle_24m!CR154:CR183)</f>
        <v>0</v>
      </c>
      <c r="CS330" s="34" t="n">
        <f aca="false">COUNT(Detalle_24m!CS154:CS183)</f>
        <v>0</v>
      </c>
      <c r="CT330" s="34" t="n">
        <f aca="false">COUNT(Detalle_24m!CT154:CT183)</f>
        <v>0</v>
      </c>
      <c r="CU330" s="34" t="n">
        <f aca="false">COUNT(Detalle_24m!CU154:CU183)</f>
        <v>0</v>
      </c>
      <c r="CV330" s="34" t="n">
        <f aca="false">COUNT(Detalle_24m!CV154:CV183)</f>
        <v>0</v>
      </c>
      <c r="CW330" s="34" t="n">
        <f aca="false">COUNT(Detalle_24m!CW154:CW183)</f>
        <v>0</v>
      </c>
      <c r="CX330" s="34" t="n">
        <f aca="false">COUNT(Detalle_24m!CX154:CX183)</f>
        <v>0</v>
      </c>
      <c r="CY330" s="34" t="n">
        <f aca="false">COUNT(Detalle_24m!CY154:CY183)</f>
        <v>0</v>
      </c>
      <c r="CZ330" s="34" t="n">
        <f aca="false">COUNT(Detalle_24m!CZ154:CZ183)</f>
        <v>0</v>
      </c>
      <c r="DA330" s="34" t="n">
        <f aca="false">COUNT(Detalle_24m!DA154:DA183)</f>
        <v>0</v>
      </c>
      <c r="DB330" s="34" t="n">
        <f aca="false">COUNT(Detalle_24m!DB154:DB183)</f>
        <v>0</v>
      </c>
      <c r="DC330" s="34" t="n">
        <f aca="false">COUNT(Detalle_24m!DC154:DC183)</f>
        <v>0</v>
      </c>
      <c r="DD330" s="34" t="n">
        <f aca="false">COUNT(Detalle_24m!DD154:DD183)</f>
        <v>0</v>
      </c>
      <c r="DE330" s="34" t="n">
        <f aca="false">COUNT(Detalle_24m!DE154:DE183)</f>
        <v>0</v>
      </c>
      <c r="DF330" s="34" t="n">
        <f aca="false">COUNT(Detalle_24m!DF154:DF183)</f>
        <v>0</v>
      </c>
      <c r="DG330" s="34" t="n">
        <f aca="false">COUNT(Detalle_24m!DG154:DG183)</f>
        <v>0</v>
      </c>
      <c r="DH330" s="34" t="n">
        <f aca="false">COUNT(Detalle_24m!DH154:DH183)</f>
        <v>0</v>
      </c>
      <c r="DI330" s="34" t="n">
        <f aca="false">COUNT(Detalle_24m!DI154:DI183)</f>
        <v>0</v>
      </c>
      <c r="DJ330" s="34" t="n">
        <f aca="false">COUNT(Detalle_24m!DJ154:DJ183)</f>
        <v>0</v>
      </c>
      <c r="DK330" s="34" t="n">
        <f aca="false">COUNT(Detalle_24m!DK154:DK183)</f>
        <v>0</v>
      </c>
      <c r="DL330" s="34" t="n">
        <f aca="false">COUNT(Detalle_24m!DL154:DL183)</f>
        <v>0</v>
      </c>
      <c r="DM330" s="34" t="n">
        <f aca="false">COUNT(Detalle_24m!DM154:DM183)</f>
        <v>0</v>
      </c>
      <c r="DN330" s="34" t="n">
        <f aca="false">COUNT(Detalle_24m!DN154:DN183)</f>
        <v>0</v>
      </c>
      <c r="DO330" s="34" t="n">
        <f aca="false">COUNT(Detalle_24m!DO154:DO183)</f>
        <v>0</v>
      </c>
      <c r="DP330" s="34" t="n">
        <f aca="false">COUNT(Detalle_24m!DP154:DP183)</f>
        <v>0</v>
      </c>
      <c r="DQ330" s="34" t="n">
        <f aca="false">COUNT(Detalle_24m!DQ154:DQ183)</f>
        <v>0</v>
      </c>
      <c r="DR330" s="34" t="n">
        <f aca="false">COUNT(Detalle_24m!DR154:DR183)</f>
        <v>0</v>
      </c>
      <c r="DS330" s="34" t="n">
        <f aca="false">COUNT(Detalle_24m!DS154:DS183)</f>
        <v>0</v>
      </c>
      <c r="DT330" s="34" t="n">
        <f aca="false">COUNT(Detalle_24m!DT154:DT183)</f>
        <v>0</v>
      </c>
      <c r="DU330" s="34" t="n">
        <f aca="false">COUNT(Detalle_24m!DU154:DU183)</f>
        <v>0</v>
      </c>
      <c r="DV330" s="34" t="n">
        <f aca="false">COUNT(Detalle_24m!DV154:DV183)</f>
        <v>0</v>
      </c>
      <c r="DW330" s="34" t="n">
        <f aca="false">COUNT(Detalle_24m!DW154:DW183)</f>
        <v>0</v>
      </c>
      <c r="DX330" s="34" t="n">
        <f aca="false">COUNT(Detalle_24m!DX154:DX183)</f>
        <v>0</v>
      </c>
      <c r="DY330" s="34" t="n">
        <f aca="false">COUNT(Detalle_24m!DY154:DY183)</f>
        <v>0</v>
      </c>
      <c r="DZ330" s="34" t="n">
        <f aca="false">COUNT(Detalle_24m!DZ154:DZ183)</f>
        <v>0</v>
      </c>
      <c r="EA330" s="34" t="n">
        <f aca="false">COUNT(Detalle_24m!EA154:EA183)</f>
        <v>0</v>
      </c>
      <c r="EB330" s="34" t="n">
        <f aca="false">COUNT(Detalle_24m!EB154:EB183)</f>
        <v>0</v>
      </c>
      <c r="EC330" s="34" t="n">
        <f aca="false">COUNT(Detalle_24m!EC154:EC183)</f>
        <v>0</v>
      </c>
      <c r="ED330" s="34" t="n">
        <f aca="false">COUNT(Detalle_24m!ED154:ED183)</f>
        <v>0</v>
      </c>
      <c r="EE330" s="34" t="n">
        <f aca="false">COUNT(Detalle_24m!EE154:EE183)</f>
        <v>0</v>
      </c>
      <c r="EF330" s="34" t="n">
        <f aca="false">COUNT(Detalle_24m!EF154:EF183)</f>
        <v>0</v>
      </c>
      <c r="EG330" s="34" t="n">
        <f aca="false">COUNT(Detalle_24m!EG154:EG183)</f>
        <v>0</v>
      </c>
      <c r="EH330" s="34" t="n">
        <f aca="false">COUNT(Detalle_24m!EH154:EH183)</f>
        <v>0</v>
      </c>
      <c r="EI330" s="34" t="n">
        <f aca="false">COUNT(Detalle_24m!EI154:EI183)</f>
        <v>0</v>
      </c>
      <c r="EJ330" s="34" t="n">
        <f aca="false">COUNT(Detalle_24m!EJ154:EJ183)</f>
        <v>0</v>
      </c>
      <c r="EK330" s="34" t="n">
        <f aca="false">COUNT(Detalle_24m!EK154:EK183)</f>
        <v>0</v>
      </c>
      <c r="EL330" s="34" t="n">
        <f aca="false">COUNT(Detalle_24m!EL154:EL183)</f>
        <v>0</v>
      </c>
      <c r="EM330" s="34" t="n">
        <f aca="false">COUNT(Detalle_24m!EM154:EM183)</f>
        <v>0</v>
      </c>
      <c r="EN330" s="34" t="n">
        <f aca="false">COUNT(Detalle_24m!EN154:EN183)</f>
        <v>0</v>
      </c>
      <c r="EO330" s="34" t="n">
        <f aca="false">COUNT(Detalle_24m!EO154:EO183)</f>
        <v>0</v>
      </c>
      <c r="EP330" s="34" t="n">
        <f aca="false">COUNT(Detalle_24m!EP154:EP183)</f>
        <v>0</v>
      </c>
      <c r="EQ330" s="34" t="n">
        <f aca="false">COUNT(Detalle_24m!EQ154:EQ183)</f>
        <v>0</v>
      </c>
      <c r="ER330" s="34" t="n">
        <f aca="false">COUNT(Detalle_24m!ER154:ER183)</f>
        <v>0</v>
      </c>
      <c r="ES330" s="34" t="n">
        <f aca="false">COUNT(Detalle_24m!ES154:ES183)</f>
        <v>0</v>
      </c>
    </row>
    <row r="331" customFormat="false" ht="15" hidden="false" customHeight="false" outlineLevel="0" collapsed="false">
      <c r="A331" s="11" t="s">
        <v>1453</v>
      </c>
      <c r="B331" s="15" t="s">
        <v>1454</v>
      </c>
      <c r="E331" s="66" t="n">
        <f aca="false">SUM(F331:ES331)</f>
        <v>0</v>
      </c>
      <c r="F331" s="34" t="n">
        <f aca="false">COUNT(Detalle_24m!F187:F216)</f>
        <v>0</v>
      </c>
      <c r="G331" s="34" t="n">
        <f aca="false">COUNT(Detalle_24m!G187:G216)</f>
        <v>0</v>
      </c>
      <c r="H331" s="34" t="n">
        <f aca="false">COUNT(Detalle_24m!H187:H216)</f>
        <v>0</v>
      </c>
      <c r="I331" s="34" t="n">
        <f aca="false">COUNT(Detalle_24m!I187:I216)</f>
        <v>0</v>
      </c>
      <c r="J331" s="34" t="n">
        <f aca="false">COUNT(Detalle_24m!J187:J216)</f>
        <v>0</v>
      </c>
      <c r="K331" s="34" t="n">
        <f aca="false">COUNT(Detalle_24m!K187:K216)</f>
        <v>0</v>
      </c>
      <c r="L331" s="34" t="n">
        <f aca="false">COUNT(Detalle_24m!L187:L216)</f>
        <v>0</v>
      </c>
      <c r="M331" s="34" t="n">
        <f aca="false">COUNT(Detalle_24m!M187:M216)</f>
        <v>0</v>
      </c>
      <c r="N331" s="34" t="n">
        <f aca="false">COUNT(Detalle_24m!N187:N216)</f>
        <v>0</v>
      </c>
      <c r="O331" s="34" t="n">
        <f aca="false">COUNT(Detalle_24m!O187:O216)</f>
        <v>0</v>
      </c>
      <c r="P331" s="34" t="n">
        <f aca="false">COUNT(Detalle_24m!P187:P216)</f>
        <v>0</v>
      </c>
      <c r="Q331" s="34" t="n">
        <f aca="false">COUNT(Detalle_24m!Q187:Q216)</f>
        <v>0</v>
      </c>
      <c r="R331" s="34" t="n">
        <f aca="false">COUNT(Detalle_24m!R187:R216)</f>
        <v>0</v>
      </c>
      <c r="S331" s="34" t="n">
        <f aca="false">COUNT(Detalle_24m!S187:S216)</f>
        <v>0</v>
      </c>
      <c r="T331" s="34" t="n">
        <f aca="false">COUNT(Detalle_24m!T187:T216)</f>
        <v>0</v>
      </c>
      <c r="U331" s="34" t="n">
        <f aca="false">COUNT(Detalle_24m!U187:U216)</f>
        <v>0</v>
      </c>
      <c r="V331" s="34" t="n">
        <f aca="false">COUNT(Detalle_24m!V187:V216)</f>
        <v>0</v>
      </c>
      <c r="W331" s="34" t="n">
        <f aca="false">COUNT(Detalle_24m!W187:W216)</f>
        <v>0</v>
      </c>
      <c r="X331" s="34" t="n">
        <f aca="false">COUNT(Detalle_24m!X187:X216)</f>
        <v>0</v>
      </c>
      <c r="Y331" s="34" t="n">
        <f aca="false">COUNT(Detalle_24m!Y187:Y216)</f>
        <v>0</v>
      </c>
      <c r="Z331" s="34" t="n">
        <f aca="false">COUNT(Detalle_24m!Z187:Z216)</f>
        <v>0</v>
      </c>
      <c r="AA331" s="34" t="n">
        <f aca="false">COUNT(Detalle_24m!AA187:AA216)</f>
        <v>0</v>
      </c>
      <c r="AB331" s="34" t="n">
        <f aca="false">COUNT(Detalle_24m!AB187:AB216)</f>
        <v>0</v>
      </c>
      <c r="AC331" s="34" t="n">
        <f aca="false">COUNT(Detalle_24m!AC187:AC216)</f>
        <v>0</v>
      </c>
      <c r="AD331" s="34" t="n">
        <f aca="false">COUNT(Detalle_24m!AD187:AD216)</f>
        <v>0</v>
      </c>
      <c r="AE331" s="34" t="n">
        <f aca="false">COUNT(Detalle_24m!AE187:AE216)</f>
        <v>0</v>
      </c>
      <c r="AF331" s="34" t="n">
        <f aca="false">COUNT(Detalle_24m!AF187:AF216)</f>
        <v>0</v>
      </c>
      <c r="AG331" s="34" t="n">
        <f aca="false">COUNT(Detalle_24m!AG187:AG216)</f>
        <v>0</v>
      </c>
      <c r="AH331" s="34" t="n">
        <f aca="false">COUNT(Detalle_24m!AH187:AH216)</f>
        <v>0</v>
      </c>
      <c r="AI331" s="34" t="n">
        <f aca="false">COUNT(Detalle_24m!AI187:AI216)</f>
        <v>0</v>
      </c>
      <c r="AJ331" s="34" t="n">
        <f aca="false">COUNT(Detalle_24m!AJ187:AJ216)</f>
        <v>0</v>
      </c>
      <c r="AK331" s="34" t="n">
        <f aca="false">COUNT(Detalle_24m!AK187:AK216)</f>
        <v>0</v>
      </c>
      <c r="AL331" s="34" t="n">
        <f aca="false">COUNT(Detalle_24m!AL187:AL216)</f>
        <v>0</v>
      </c>
      <c r="AM331" s="34" t="n">
        <f aca="false">COUNT(Detalle_24m!AM187:AM216)</f>
        <v>0</v>
      </c>
      <c r="AN331" s="34" t="n">
        <f aca="false">COUNT(Detalle_24m!AN187:AN216)</f>
        <v>0</v>
      </c>
      <c r="AO331" s="34" t="n">
        <f aca="false">COUNT(Detalle_24m!AO187:AO216)</f>
        <v>0</v>
      </c>
      <c r="AP331" s="34" t="n">
        <f aca="false">COUNT(Detalle_24m!AP187:AP216)</f>
        <v>0</v>
      </c>
      <c r="AQ331" s="34" t="n">
        <f aca="false">COUNT(Detalle_24m!AQ187:AQ216)</f>
        <v>0</v>
      </c>
      <c r="AR331" s="34" t="n">
        <f aca="false">COUNT(Detalle_24m!AR187:AR216)</f>
        <v>0</v>
      </c>
      <c r="AS331" s="34" t="n">
        <f aca="false">COUNT(Detalle_24m!AS187:AS216)</f>
        <v>0</v>
      </c>
      <c r="AT331" s="34" t="n">
        <f aca="false">COUNT(Detalle_24m!AT187:AT216)</f>
        <v>0</v>
      </c>
      <c r="AU331" s="34" t="n">
        <f aca="false">COUNT(Detalle_24m!AU187:AU216)</f>
        <v>0</v>
      </c>
      <c r="AV331" s="34" t="n">
        <f aca="false">COUNT(Detalle_24m!AV187:AV216)</f>
        <v>0</v>
      </c>
      <c r="AW331" s="34" t="n">
        <f aca="false">COUNT(Detalle_24m!AW187:AW216)</f>
        <v>0</v>
      </c>
      <c r="AX331" s="34" t="n">
        <f aca="false">COUNT(Detalle_24m!AX187:AX216)</f>
        <v>0</v>
      </c>
      <c r="AY331" s="34" t="n">
        <f aca="false">COUNT(Detalle_24m!AY187:AY216)</f>
        <v>0</v>
      </c>
      <c r="AZ331" s="34" t="n">
        <f aca="false">COUNT(Detalle_24m!AZ187:AZ216)</f>
        <v>0</v>
      </c>
      <c r="BA331" s="34" t="n">
        <f aca="false">COUNT(Detalle_24m!BA187:BA216)</f>
        <v>0</v>
      </c>
      <c r="BB331" s="34" t="n">
        <f aca="false">COUNT(Detalle_24m!BB187:BB216)</f>
        <v>0</v>
      </c>
      <c r="BC331" s="34" t="n">
        <f aca="false">COUNT(Detalle_24m!BC187:BC216)</f>
        <v>0</v>
      </c>
      <c r="BD331" s="34" t="n">
        <f aca="false">COUNT(Detalle_24m!BD187:BD216)</f>
        <v>0</v>
      </c>
      <c r="BE331" s="34" t="n">
        <f aca="false">COUNT(Detalle_24m!BE187:BE216)</f>
        <v>0</v>
      </c>
      <c r="BF331" s="34" t="n">
        <f aca="false">COUNT(Detalle_24m!BF187:BF216)</f>
        <v>0</v>
      </c>
      <c r="BG331" s="34" t="n">
        <f aca="false">COUNT(Detalle_24m!BG187:BG216)</f>
        <v>0</v>
      </c>
      <c r="BH331" s="34" t="n">
        <f aca="false">COUNT(Detalle_24m!BH187:BH216)</f>
        <v>0</v>
      </c>
      <c r="BI331" s="34" t="n">
        <f aca="false">COUNT(Detalle_24m!BI187:BI216)</f>
        <v>0</v>
      </c>
      <c r="BJ331" s="34" t="n">
        <f aca="false">COUNT(Detalle_24m!BJ187:BJ216)</f>
        <v>0</v>
      </c>
      <c r="BK331" s="34" t="n">
        <f aca="false">COUNT(Detalle_24m!BK187:BK216)</f>
        <v>0</v>
      </c>
      <c r="BL331" s="34" t="n">
        <f aca="false">COUNT(Detalle_24m!BL187:BL216)</f>
        <v>0</v>
      </c>
      <c r="BM331" s="34" t="n">
        <f aca="false">COUNT(Detalle_24m!BM187:BM216)</f>
        <v>0</v>
      </c>
      <c r="BN331" s="34" t="n">
        <f aca="false">COUNT(Detalle_24m!BN187:BN216)</f>
        <v>0</v>
      </c>
      <c r="BO331" s="34" t="n">
        <f aca="false">COUNT(Detalle_24m!BO187:BO216)</f>
        <v>0</v>
      </c>
      <c r="BP331" s="34" t="n">
        <f aca="false">COUNT(Detalle_24m!BP187:BP216)</f>
        <v>0</v>
      </c>
      <c r="BQ331" s="34" t="n">
        <f aca="false">COUNT(Detalle_24m!BQ187:BQ216)</f>
        <v>0</v>
      </c>
      <c r="BR331" s="34" t="n">
        <f aca="false">COUNT(Detalle_24m!BR187:BR216)</f>
        <v>0</v>
      </c>
      <c r="BS331" s="34" t="n">
        <f aca="false">COUNT(Detalle_24m!BS187:BS216)</f>
        <v>0</v>
      </c>
      <c r="BT331" s="34" t="n">
        <f aca="false">COUNT(Detalle_24m!BT187:BT216)</f>
        <v>0</v>
      </c>
      <c r="BU331" s="34" t="n">
        <f aca="false">COUNT(Detalle_24m!BU187:BU216)</f>
        <v>0</v>
      </c>
      <c r="BV331" s="34" t="n">
        <f aca="false">COUNT(Detalle_24m!BV187:BV216)</f>
        <v>0</v>
      </c>
      <c r="BW331" s="34" t="n">
        <f aca="false">COUNT(Detalle_24m!BW187:BW216)</f>
        <v>0</v>
      </c>
      <c r="BX331" s="34" t="n">
        <f aca="false">COUNT(Detalle_24m!BX187:BX216)</f>
        <v>0</v>
      </c>
      <c r="BY331" s="34" t="n">
        <f aca="false">COUNT(Detalle_24m!BY187:BY216)</f>
        <v>0</v>
      </c>
      <c r="BZ331" s="34" t="n">
        <f aca="false">COUNT(Detalle_24m!BZ187:BZ216)</f>
        <v>0</v>
      </c>
      <c r="CA331" s="34" t="n">
        <f aca="false">COUNT(Detalle_24m!CA187:CA216)</f>
        <v>0</v>
      </c>
      <c r="CB331" s="34" t="n">
        <f aca="false">COUNT(Detalle_24m!CB187:CB216)</f>
        <v>0</v>
      </c>
      <c r="CC331" s="34" t="n">
        <f aca="false">COUNT(Detalle_24m!CC187:CC216)</f>
        <v>0</v>
      </c>
      <c r="CD331" s="34" t="n">
        <f aca="false">COUNT(Detalle_24m!CD187:CD216)</f>
        <v>0</v>
      </c>
      <c r="CE331" s="34" t="n">
        <f aca="false">COUNT(Detalle_24m!CE187:CE216)</f>
        <v>0</v>
      </c>
      <c r="CF331" s="34" t="n">
        <f aca="false">COUNT(Detalle_24m!CF187:CF216)</f>
        <v>0</v>
      </c>
      <c r="CG331" s="34" t="n">
        <f aca="false">COUNT(Detalle_24m!CG187:CG216)</f>
        <v>0</v>
      </c>
      <c r="CH331" s="34" t="n">
        <f aca="false">COUNT(Detalle_24m!CH187:CH216)</f>
        <v>0</v>
      </c>
      <c r="CI331" s="34" t="n">
        <f aca="false">COUNT(Detalle_24m!CI187:CI216)</f>
        <v>0</v>
      </c>
      <c r="CJ331" s="34" t="n">
        <f aca="false">COUNT(Detalle_24m!CJ187:CJ216)</f>
        <v>0</v>
      </c>
      <c r="CK331" s="34" t="n">
        <f aca="false">COUNT(Detalle_24m!CK187:CK216)</f>
        <v>0</v>
      </c>
      <c r="CL331" s="34" t="n">
        <f aca="false">COUNT(Detalle_24m!CL187:CL216)</f>
        <v>0</v>
      </c>
      <c r="CM331" s="34" t="n">
        <f aca="false">COUNT(Detalle_24m!CM187:CM216)</f>
        <v>0</v>
      </c>
      <c r="CN331" s="34" t="n">
        <f aca="false">COUNT(Detalle_24m!CN187:CN216)</f>
        <v>0</v>
      </c>
      <c r="CO331" s="34" t="n">
        <f aca="false">COUNT(Detalle_24m!CO187:CO216)</f>
        <v>0</v>
      </c>
      <c r="CP331" s="34" t="n">
        <f aca="false">COUNT(Detalle_24m!CP187:CP216)</f>
        <v>0</v>
      </c>
      <c r="CQ331" s="34" t="n">
        <f aca="false">COUNT(Detalle_24m!CQ187:CQ216)</f>
        <v>0</v>
      </c>
      <c r="CR331" s="34" t="n">
        <f aca="false">COUNT(Detalle_24m!CR187:CR216)</f>
        <v>0</v>
      </c>
      <c r="CS331" s="34" t="n">
        <f aca="false">COUNT(Detalle_24m!CS187:CS216)</f>
        <v>0</v>
      </c>
      <c r="CT331" s="34" t="n">
        <f aca="false">COUNT(Detalle_24m!CT187:CT216)</f>
        <v>0</v>
      </c>
      <c r="CU331" s="34" t="n">
        <f aca="false">COUNT(Detalle_24m!CU187:CU216)</f>
        <v>0</v>
      </c>
      <c r="CV331" s="34" t="n">
        <f aca="false">COUNT(Detalle_24m!CV187:CV216)</f>
        <v>0</v>
      </c>
      <c r="CW331" s="34" t="n">
        <f aca="false">COUNT(Detalle_24m!CW187:CW216)</f>
        <v>0</v>
      </c>
      <c r="CX331" s="34" t="n">
        <f aca="false">COUNT(Detalle_24m!CX187:CX216)</f>
        <v>0</v>
      </c>
      <c r="CY331" s="34" t="n">
        <f aca="false">COUNT(Detalle_24m!CY187:CY216)</f>
        <v>0</v>
      </c>
      <c r="CZ331" s="34" t="n">
        <f aca="false">COUNT(Detalle_24m!CZ187:CZ216)</f>
        <v>0</v>
      </c>
      <c r="DA331" s="34" t="n">
        <f aca="false">COUNT(Detalle_24m!DA187:DA216)</f>
        <v>0</v>
      </c>
      <c r="DB331" s="34" t="n">
        <f aca="false">COUNT(Detalle_24m!DB187:DB216)</f>
        <v>0</v>
      </c>
      <c r="DC331" s="34" t="n">
        <f aca="false">COUNT(Detalle_24m!DC187:DC216)</f>
        <v>0</v>
      </c>
      <c r="DD331" s="34" t="n">
        <f aca="false">COUNT(Detalle_24m!DD187:DD216)</f>
        <v>0</v>
      </c>
      <c r="DE331" s="34" t="n">
        <f aca="false">COUNT(Detalle_24m!DE187:DE216)</f>
        <v>0</v>
      </c>
      <c r="DF331" s="34" t="n">
        <f aca="false">COUNT(Detalle_24m!DF187:DF216)</f>
        <v>0</v>
      </c>
      <c r="DG331" s="34" t="n">
        <f aca="false">COUNT(Detalle_24m!DG187:DG216)</f>
        <v>0</v>
      </c>
      <c r="DH331" s="34" t="n">
        <f aca="false">COUNT(Detalle_24m!DH187:DH216)</f>
        <v>0</v>
      </c>
      <c r="DI331" s="34" t="n">
        <f aca="false">COUNT(Detalle_24m!DI187:DI216)</f>
        <v>0</v>
      </c>
      <c r="DJ331" s="34" t="n">
        <f aca="false">COUNT(Detalle_24m!DJ187:DJ216)</f>
        <v>0</v>
      </c>
      <c r="DK331" s="34" t="n">
        <f aca="false">COUNT(Detalle_24m!DK187:DK216)</f>
        <v>0</v>
      </c>
      <c r="DL331" s="34" t="n">
        <f aca="false">COUNT(Detalle_24m!DL187:DL216)</f>
        <v>0</v>
      </c>
      <c r="DM331" s="34" t="n">
        <f aca="false">COUNT(Detalle_24m!DM187:DM216)</f>
        <v>0</v>
      </c>
      <c r="DN331" s="34" t="n">
        <f aca="false">COUNT(Detalle_24m!DN187:DN216)</f>
        <v>0</v>
      </c>
      <c r="DO331" s="34" t="n">
        <f aca="false">COUNT(Detalle_24m!DO187:DO216)</f>
        <v>0</v>
      </c>
      <c r="DP331" s="34" t="n">
        <f aca="false">COUNT(Detalle_24m!DP187:DP216)</f>
        <v>0</v>
      </c>
      <c r="DQ331" s="34" t="n">
        <f aca="false">COUNT(Detalle_24m!DQ187:DQ216)</f>
        <v>0</v>
      </c>
      <c r="DR331" s="34" t="n">
        <f aca="false">COUNT(Detalle_24m!DR187:DR216)</f>
        <v>0</v>
      </c>
      <c r="DS331" s="34" t="n">
        <f aca="false">COUNT(Detalle_24m!DS187:DS216)</f>
        <v>0</v>
      </c>
      <c r="DT331" s="34" t="n">
        <f aca="false">COUNT(Detalle_24m!DT187:DT216)</f>
        <v>0</v>
      </c>
      <c r="DU331" s="34" t="n">
        <f aca="false">COUNT(Detalle_24m!DU187:DU216)</f>
        <v>0</v>
      </c>
      <c r="DV331" s="34" t="n">
        <f aca="false">COUNT(Detalle_24m!DV187:DV216)</f>
        <v>0</v>
      </c>
      <c r="DW331" s="34" t="n">
        <f aca="false">COUNT(Detalle_24m!DW187:DW216)</f>
        <v>0</v>
      </c>
      <c r="DX331" s="34" t="n">
        <f aca="false">COUNT(Detalle_24m!DX187:DX216)</f>
        <v>0</v>
      </c>
      <c r="DY331" s="34" t="n">
        <f aca="false">COUNT(Detalle_24m!DY187:DY216)</f>
        <v>0</v>
      </c>
      <c r="DZ331" s="34" t="n">
        <f aca="false">COUNT(Detalle_24m!DZ187:DZ216)</f>
        <v>0</v>
      </c>
      <c r="EA331" s="34" t="n">
        <f aca="false">COUNT(Detalle_24m!EA187:EA216)</f>
        <v>0</v>
      </c>
      <c r="EB331" s="34" t="n">
        <f aca="false">COUNT(Detalle_24m!EB187:EB216)</f>
        <v>0</v>
      </c>
      <c r="EC331" s="34" t="n">
        <f aca="false">COUNT(Detalle_24m!EC187:EC216)</f>
        <v>0</v>
      </c>
      <c r="ED331" s="34" t="n">
        <f aca="false">COUNT(Detalle_24m!ED187:ED216)</f>
        <v>0</v>
      </c>
      <c r="EE331" s="34" t="n">
        <f aca="false">COUNT(Detalle_24m!EE187:EE216)</f>
        <v>0</v>
      </c>
      <c r="EF331" s="34" t="n">
        <f aca="false">COUNT(Detalle_24m!EF187:EF216)</f>
        <v>0</v>
      </c>
      <c r="EG331" s="34" t="n">
        <f aca="false">COUNT(Detalle_24m!EG187:EG216)</f>
        <v>0</v>
      </c>
      <c r="EH331" s="34" t="n">
        <f aca="false">COUNT(Detalle_24m!EH187:EH216)</f>
        <v>0</v>
      </c>
      <c r="EI331" s="34" t="n">
        <f aca="false">COUNT(Detalle_24m!EI187:EI216)</f>
        <v>0</v>
      </c>
      <c r="EJ331" s="34" t="n">
        <f aca="false">COUNT(Detalle_24m!EJ187:EJ216)</f>
        <v>0</v>
      </c>
      <c r="EK331" s="34" t="n">
        <f aca="false">COUNT(Detalle_24m!EK187:EK216)</f>
        <v>0</v>
      </c>
      <c r="EL331" s="34" t="n">
        <f aca="false">COUNT(Detalle_24m!EL187:EL216)</f>
        <v>0</v>
      </c>
      <c r="EM331" s="34" t="n">
        <f aca="false">COUNT(Detalle_24m!EM187:EM216)</f>
        <v>0</v>
      </c>
      <c r="EN331" s="34" t="n">
        <f aca="false">COUNT(Detalle_24m!EN187:EN216)</f>
        <v>0</v>
      </c>
      <c r="EO331" s="34" t="n">
        <f aca="false">COUNT(Detalle_24m!EO187:EO216)</f>
        <v>0</v>
      </c>
      <c r="EP331" s="34" t="n">
        <f aca="false">COUNT(Detalle_24m!EP187:EP216)</f>
        <v>0</v>
      </c>
      <c r="EQ331" s="34" t="n">
        <f aca="false">COUNT(Detalle_24m!EQ187:EQ216)</f>
        <v>0</v>
      </c>
      <c r="ER331" s="34" t="n">
        <f aca="false">COUNT(Detalle_24m!ER187:ER216)</f>
        <v>0</v>
      </c>
      <c r="ES331" s="34" t="n">
        <f aca="false">COUNT(Detalle_24m!ES187:ES216)</f>
        <v>0</v>
      </c>
    </row>
    <row r="332" customFormat="false" ht="15" hidden="false" customHeight="false" outlineLevel="0" collapsed="false">
      <c r="A332" s="11" t="s">
        <v>1455</v>
      </c>
      <c r="B332" s="15" t="s">
        <v>1456</v>
      </c>
      <c r="E332" s="66" t="n">
        <f aca="false">SUM(F332:ES332)</f>
        <v>0</v>
      </c>
      <c r="F332" s="34" t="n">
        <f aca="false">COUNT(Detalle_24m!F220:F244)</f>
        <v>0</v>
      </c>
      <c r="G332" s="34" t="n">
        <f aca="false">COUNT(Detalle_24m!G220:G244)</f>
        <v>0</v>
      </c>
      <c r="H332" s="34" t="n">
        <f aca="false">COUNT(Detalle_24m!H220:H244)</f>
        <v>0</v>
      </c>
      <c r="I332" s="34" t="n">
        <f aca="false">COUNT(Detalle_24m!I220:I244)</f>
        <v>0</v>
      </c>
      <c r="J332" s="34" t="n">
        <f aca="false">COUNT(Detalle_24m!J220:J244)</f>
        <v>0</v>
      </c>
      <c r="K332" s="34" t="n">
        <f aca="false">COUNT(Detalle_24m!K220:K244)</f>
        <v>0</v>
      </c>
      <c r="L332" s="34" t="n">
        <f aca="false">COUNT(Detalle_24m!L220:L244)</f>
        <v>0</v>
      </c>
      <c r="M332" s="34" t="n">
        <f aca="false">COUNT(Detalle_24m!M220:M244)</f>
        <v>0</v>
      </c>
      <c r="N332" s="34" t="n">
        <f aca="false">COUNT(Detalle_24m!N220:N244)</f>
        <v>0</v>
      </c>
      <c r="O332" s="34" t="n">
        <f aca="false">COUNT(Detalle_24m!O220:O244)</f>
        <v>0</v>
      </c>
      <c r="P332" s="34" t="n">
        <f aca="false">COUNT(Detalle_24m!P220:P244)</f>
        <v>0</v>
      </c>
      <c r="Q332" s="34" t="n">
        <f aca="false">COUNT(Detalle_24m!Q220:Q244)</f>
        <v>0</v>
      </c>
      <c r="R332" s="34" t="n">
        <f aca="false">COUNT(Detalle_24m!R220:R244)</f>
        <v>0</v>
      </c>
      <c r="S332" s="34" t="n">
        <f aca="false">COUNT(Detalle_24m!S220:S244)</f>
        <v>0</v>
      </c>
      <c r="T332" s="34" t="n">
        <f aca="false">COUNT(Detalle_24m!T220:T244)</f>
        <v>0</v>
      </c>
      <c r="U332" s="34" t="n">
        <f aca="false">COUNT(Detalle_24m!U220:U244)</f>
        <v>0</v>
      </c>
      <c r="V332" s="34" t="n">
        <f aca="false">COUNT(Detalle_24m!V220:V244)</f>
        <v>0</v>
      </c>
      <c r="W332" s="34" t="n">
        <f aca="false">COUNT(Detalle_24m!W220:W244)</f>
        <v>0</v>
      </c>
      <c r="X332" s="34" t="n">
        <f aca="false">COUNT(Detalle_24m!X220:X244)</f>
        <v>0</v>
      </c>
      <c r="Y332" s="34" t="n">
        <f aca="false">COUNT(Detalle_24m!Y220:Y244)</f>
        <v>0</v>
      </c>
      <c r="Z332" s="34" t="n">
        <f aca="false">COUNT(Detalle_24m!Z220:Z244)</f>
        <v>0</v>
      </c>
      <c r="AA332" s="34" t="n">
        <f aca="false">COUNT(Detalle_24m!AA220:AA244)</f>
        <v>0</v>
      </c>
      <c r="AB332" s="34" t="n">
        <f aca="false">COUNT(Detalle_24m!AB220:AB244)</f>
        <v>0</v>
      </c>
      <c r="AC332" s="34" t="n">
        <f aca="false">COUNT(Detalle_24m!AC220:AC244)</f>
        <v>0</v>
      </c>
      <c r="AD332" s="34" t="n">
        <f aca="false">COUNT(Detalle_24m!AD220:AD244)</f>
        <v>0</v>
      </c>
      <c r="AE332" s="34" t="n">
        <f aca="false">COUNT(Detalle_24m!AE220:AE244)</f>
        <v>0</v>
      </c>
      <c r="AF332" s="34" t="n">
        <f aca="false">COUNT(Detalle_24m!AF220:AF244)</f>
        <v>0</v>
      </c>
      <c r="AG332" s="34" t="n">
        <f aca="false">COUNT(Detalle_24m!AG220:AG244)</f>
        <v>0</v>
      </c>
      <c r="AH332" s="34" t="n">
        <f aca="false">COUNT(Detalle_24m!AH220:AH244)</f>
        <v>0</v>
      </c>
      <c r="AI332" s="34" t="n">
        <f aca="false">COUNT(Detalle_24m!AI220:AI244)</f>
        <v>0</v>
      </c>
      <c r="AJ332" s="34" t="n">
        <f aca="false">COUNT(Detalle_24m!AJ220:AJ244)</f>
        <v>0</v>
      </c>
      <c r="AK332" s="34" t="n">
        <f aca="false">COUNT(Detalle_24m!AK220:AK244)</f>
        <v>0</v>
      </c>
      <c r="AL332" s="34" t="n">
        <f aca="false">COUNT(Detalle_24m!AL220:AL244)</f>
        <v>0</v>
      </c>
      <c r="AM332" s="34" t="n">
        <f aca="false">COUNT(Detalle_24m!AM220:AM244)</f>
        <v>0</v>
      </c>
      <c r="AN332" s="34" t="n">
        <f aca="false">COUNT(Detalle_24m!AN220:AN244)</f>
        <v>0</v>
      </c>
      <c r="AO332" s="34" t="n">
        <f aca="false">COUNT(Detalle_24m!AO220:AO244)</f>
        <v>0</v>
      </c>
      <c r="AP332" s="34" t="n">
        <f aca="false">COUNT(Detalle_24m!AP220:AP244)</f>
        <v>0</v>
      </c>
      <c r="AQ332" s="34" t="n">
        <f aca="false">COUNT(Detalle_24m!AQ220:AQ244)</f>
        <v>0</v>
      </c>
      <c r="AR332" s="34" t="n">
        <f aca="false">COUNT(Detalle_24m!AR220:AR244)</f>
        <v>0</v>
      </c>
      <c r="AS332" s="34" t="n">
        <f aca="false">COUNT(Detalle_24m!AS220:AS244)</f>
        <v>0</v>
      </c>
      <c r="AT332" s="34" t="n">
        <f aca="false">COUNT(Detalle_24m!AT220:AT244)</f>
        <v>0</v>
      </c>
      <c r="AU332" s="34" t="n">
        <f aca="false">COUNT(Detalle_24m!AU220:AU244)</f>
        <v>0</v>
      </c>
      <c r="AV332" s="34" t="n">
        <f aca="false">COUNT(Detalle_24m!AV220:AV244)</f>
        <v>0</v>
      </c>
      <c r="AW332" s="34" t="n">
        <f aca="false">COUNT(Detalle_24m!AW220:AW244)</f>
        <v>0</v>
      </c>
      <c r="AX332" s="34" t="n">
        <f aca="false">COUNT(Detalle_24m!AX220:AX244)</f>
        <v>0</v>
      </c>
      <c r="AY332" s="34" t="n">
        <f aca="false">COUNT(Detalle_24m!AY220:AY244)</f>
        <v>0</v>
      </c>
      <c r="AZ332" s="34" t="n">
        <f aca="false">COUNT(Detalle_24m!AZ220:AZ244)</f>
        <v>0</v>
      </c>
      <c r="BA332" s="34" t="n">
        <f aca="false">COUNT(Detalle_24m!BA220:BA244)</f>
        <v>0</v>
      </c>
      <c r="BB332" s="34" t="n">
        <f aca="false">COUNT(Detalle_24m!BB220:BB244)</f>
        <v>0</v>
      </c>
      <c r="BC332" s="34" t="n">
        <f aca="false">COUNT(Detalle_24m!BC220:BC244)</f>
        <v>0</v>
      </c>
      <c r="BD332" s="34" t="n">
        <f aca="false">COUNT(Detalle_24m!BD220:BD244)</f>
        <v>0</v>
      </c>
      <c r="BE332" s="34" t="n">
        <f aca="false">COUNT(Detalle_24m!BE220:BE244)</f>
        <v>0</v>
      </c>
      <c r="BF332" s="34" t="n">
        <f aca="false">COUNT(Detalle_24m!BF220:BF244)</f>
        <v>0</v>
      </c>
      <c r="BG332" s="34" t="n">
        <f aca="false">COUNT(Detalle_24m!BG220:BG244)</f>
        <v>0</v>
      </c>
      <c r="BH332" s="34" t="n">
        <f aca="false">COUNT(Detalle_24m!BH220:BH244)</f>
        <v>0</v>
      </c>
      <c r="BI332" s="34" t="n">
        <f aca="false">COUNT(Detalle_24m!BI220:BI244)</f>
        <v>0</v>
      </c>
      <c r="BJ332" s="34" t="n">
        <f aca="false">COUNT(Detalle_24m!BJ220:BJ244)</f>
        <v>0</v>
      </c>
      <c r="BK332" s="34" t="n">
        <f aca="false">COUNT(Detalle_24m!BK220:BK244)</f>
        <v>0</v>
      </c>
      <c r="BL332" s="34" t="n">
        <f aca="false">COUNT(Detalle_24m!BL220:BL244)</f>
        <v>0</v>
      </c>
      <c r="BM332" s="34" t="n">
        <f aca="false">COUNT(Detalle_24m!BM220:BM244)</f>
        <v>0</v>
      </c>
      <c r="BN332" s="34" t="n">
        <f aca="false">COUNT(Detalle_24m!BN220:BN244)</f>
        <v>0</v>
      </c>
      <c r="BO332" s="34" t="n">
        <f aca="false">COUNT(Detalle_24m!BO220:BO244)</f>
        <v>0</v>
      </c>
      <c r="BP332" s="34" t="n">
        <f aca="false">COUNT(Detalle_24m!BP220:BP244)</f>
        <v>0</v>
      </c>
      <c r="BQ332" s="34" t="n">
        <f aca="false">COUNT(Detalle_24m!BQ220:BQ244)</f>
        <v>0</v>
      </c>
      <c r="BR332" s="34" t="n">
        <f aca="false">COUNT(Detalle_24m!BR220:BR244)</f>
        <v>0</v>
      </c>
      <c r="BS332" s="34" t="n">
        <f aca="false">COUNT(Detalle_24m!BS220:BS244)</f>
        <v>0</v>
      </c>
      <c r="BT332" s="34" t="n">
        <f aca="false">COUNT(Detalle_24m!BT220:BT244)</f>
        <v>0</v>
      </c>
      <c r="BU332" s="34" t="n">
        <f aca="false">COUNT(Detalle_24m!BU220:BU244)</f>
        <v>0</v>
      </c>
      <c r="BV332" s="34" t="n">
        <f aca="false">COUNT(Detalle_24m!BV220:BV244)</f>
        <v>0</v>
      </c>
      <c r="BW332" s="34" t="n">
        <f aca="false">COUNT(Detalle_24m!BW220:BW244)</f>
        <v>0</v>
      </c>
      <c r="BX332" s="34" t="n">
        <f aca="false">COUNT(Detalle_24m!BX220:BX244)</f>
        <v>0</v>
      </c>
      <c r="BY332" s="34" t="n">
        <f aca="false">COUNT(Detalle_24m!BY220:BY244)</f>
        <v>0</v>
      </c>
      <c r="BZ332" s="34" t="n">
        <f aca="false">COUNT(Detalle_24m!BZ220:BZ244)</f>
        <v>0</v>
      </c>
      <c r="CA332" s="34" t="n">
        <f aca="false">COUNT(Detalle_24m!CA220:CA244)</f>
        <v>0</v>
      </c>
      <c r="CB332" s="34" t="n">
        <f aca="false">COUNT(Detalle_24m!CB220:CB244)</f>
        <v>0</v>
      </c>
      <c r="CC332" s="34" t="n">
        <f aca="false">COUNT(Detalle_24m!CC220:CC244)</f>
        <v>0</v>
      </c>
      <c r="CD332" s="34" t="n">
        <f aca="false">COUNT(Detalle_24m!CD220:CD244)</f>
        <v>0</v>
      </c>
      <c r="CE332" s="34" t="n">
        <f aca="false">COUNT(Detalle_24m!CE220:CE244)</f>
        <v>0</v>
      </c>
      <c r="CF332" s="34" t="n">
        <f aca="false">COUNT(Detalle_24m!CF220:CF244)</f>
        <v>0</v>
      </c>
      <c r="CG332" s="34" t="n">
        <f aca="false">COUNT(Detalle_24m!CG220:CG244)</f>
        <v>0</v>
      </c>
      <c r="CH332" s="34" t="n">
        <f aca="false">COUNT(Detalle_24m!CH220:CH244)</f>
        <v>0</v>
      </c>
      <c r="CI332" s="34" t="n">
        <f aca="false">COUNT(Detalle_24m!CI220:CI244)</f>
        <v>0</v>
      </c>
      <c r="CJ332" s="34" t="n">
        <f aca="false">COUNT(Detalle_24m!CJ220:CJ244)</f>
        <v>0</v>
      </c>
      <c r="CK332" s="34" t="n">
        <f aca="false">COUNT(Detalle_24m!CK220:CK244)</f>
        <v>0</v>
      </c>
      <c r="CL332" s="34" t="n">
        <f aca="false">COUNT(Detalle_24m!CL220:CL244)</f>
        <v>0</v>
      </c>
      <c r="CM332" s="34" t="n">
        <f aca="false">COUNT(Detalle_24m!CM220:CM244)</f>
        <v>0</v>
      </c>
      <c r="CN332" s="34" t="n">
        <f aca="false">COUNT(Detalle_24m!CN220:CN244)</f>
        <v>0</v>
      </c>
      <c r="CO332" s="34" t="n">
        <f aca="false">COUNT(Detalle_24m!CO220:CO244)</f>
        <v>0</v>
      </c>
      <c r="CP332" s="34" t="n">
        <f aca="false">COUNT(Detalle_24m!CP220:CP244)</f>
        <v>0</v>
      </c>
      <c r="CQ332" s="34" t="n">
        <f aca="false">COUNT(Detalle_24m!CQ220:CQ244)</f>
        <v>0</v>
      </c>
      <c r="CR332" s="34" t="n">
        <f aca="false">COUNT(Detalle_24m!CR220:CR244)</f>
        <v>0</v>
      </c>
      <c r="CS332" s="34" t="n">
        <f aca="false">COUNT(Detalle_24m!CS220:CS244)</f>
        <v>0</v>
      </c>
      <c r="CT332" s="34" t="n">
        <f aca="false">COUNT(Detalle_24m!CT220:CT244)</f>
        <v>0</v>
      </c>
      <c r="CU332" s="34" t="n">
        <f aca="false">COUNT(Detalle_24m!CU220:CU244)</f>
        <v>0</v>
      </c>
      <c r="CV332" s="34" t="n">
        <f aca="false">COUNT(Detalle_24m!CV220:CV244)</f>
        <v>0</v>
      </c>
      <c r="CW332" s="34" t="n">
        <f aca="false">COUNT(Detalle_24m!CW220:CW244)</f>
        <v>0</v>
      </c>
      <c r="CX332" s="34" t="n">
        <f aca="false">COUNT(Detalle_24m!CX220:CX244)</f>
        <v>0</v>
      </c>
      <c r="CY332" s="34" t="n">
        <f aca="false">COUNT(Detalle_24m!CY220:CY244)</f>
        <v>0</v>
      </c>
      <c r="CZ332" s="34" t="n">
        <f aca="false">COUNT(Detalle_24m!CZ220:CZ244)</f>
        <v>0</v>
      </c>
      <c r="DA332" s="34" t="n">
        <f aca="false">COUNT(Detalle_24m!DA220:DA244)</f>
        <v>0</v>
      </c>
      <c r="DB332" s="34" t="n">
        <f aca="false">COUNT(Detalle_24m!DB220:DB244)</f>
        <v>0</v>
      </c>
      <c r="DC332" s="34" t="n">
        <f aca="false">COUNT(Detalle_24m!DC220:DC244)</f>
        <v>0</v>
      </c>
      <c r="DD332" s="34" t="n">
        <f aca="false">COUNT(Detalle_24m!DD220:DD244)</f>
        <v>0</v>
      </c>
      <c r="DE332" s="34" t="n">
        <f aca="false">COUNT(Detalle_24m!DE220:DE244)</f>
        <v>0</v>
      </c>
      <c r="DF332" s="34" t="n">
        <f aca="false">COUNT(Detalle_24m!DF220:DF244)</f>
        <v>0</v>
      </c>
      <c r="DG332" s="34" t="n">
        <f aca="false">COUNT(Detalle_24m!DG220:DG244)</f>
        <v>0</v>
      </c>
      <c r="DH332" s="34" t="n">
        <f aca="false">COUNT(Detalle_24m!DH220:DH244)</f>
        <v>0</v>
      </c>
      <c r="DI332" s="34" t="n">
        <f aca="false">COUNT(Detalle_24m!DI220:DI244)</f>
        <v>0</v>
      </c>
      <c r="DJ332" s="34" t="n">
        <f aca="false">COUNT(Detalle_24m!DJ220:DJ244)</f>
        <v>0</v>
      </c>
      <c r="DK332" s="34" t="n">
        <f aca="false">COUNT(Detalle_24m!DK220:DK244)</f>
        <v>0</v>
      </c>
      <c r="DL332" s="34" t="n">
        <f aca="false">COUNT(Detalle_24m!DL220:DL244)</f>
        <v>0</v>
      </c>
      <c r="DM332" s="34" t="n">
        <f aca="false">COUNT(Detalle_24m!DM220:DM244)</f>
        <v>0</v>
      </c>
      <c r="DN332" s="34" t="n">
        <f aca="false">COUNT(Detalle_24m!DN220:DN244)</f>
        <v>0</v>
      </c>
      <c r="DO332" s="34" t="n">
        <f aca="false">COUNT(Detalle_24m!DO220:DO244)</f>
        <v>0</v>
      </c>
      <c r="DP332" s="34" t="n">
        <f aca="false">COUNT(Detalle_24m!DP220:DP244)</f>
        <v>0</v>
      </c>
      <c r="DQ332" s="34" t="n">
        <f aca="false">COUNT(Detalle_24m!DQ220:DQ244)</f>
        <v>0</v>
      </c>
      <c r="DR332" s="34" t="n">
        <f aca="false">COUNT(Detalle_24m!DR220:DR244)</f>
        <v>0</v>
      </c>
      <c r="DS332" s="34" t="n">
        <f aca="false">COUNT(Detalle_24m!DS220:DS244)</f>
        <v>0</v>
      </c>
      <c r="DT332" s="34" t="n">
        <f aca="false">COUNT(Detalle_24m!DT220:DT244)</f>
        <v>0</v>
      </c>
      <c r="DU332" s="34" t="n">
        <f aca="false">COUNT(Detalle_24m!DU220:DU244)</f>
        <v>0</v>
      </c>
      <c r="DV332" s="34" t="n">
        <f aca="false">COUNT(Detalle_24m!DV220:DV244)</f>
        <v>0</v>
      </c>
      <c r="DW332" s="34" t="n">
        <f aca="false">COUNT(Detalle_24m!DW220:DW244)</f>
        <v>0</v>
      </c>
      <c r="DX332" s="34" t="n">
        <f aca="false">COUNT(Detalle_24m!DX220:DX244)</f>
        <v>0</v>
      </c>
      <c r="DY332" s="34" t="n">
        <f aca="false">COUNT(Detalle_24m!DY220:DY244)</f>
        <v>0</v>
      </c>
      <c r="DZ332" s="34" t="n">
        <f aca="false">COUNT(Detalle_24m!DZ220:DZ244)</f>
        <v>0</v>
      </c>
      <c r="EA332" s="34" t="n">
        <f aca="false">COUNT(Detalle_24m!EA220:EA244)</f>
        <v>0</v>
      </c>
      <c r="EB332" s="34" t="n">
        <f aca="false">COUNT(Detalle_24m!EB220:EB244)</f>
        <v>0</v>
      </c>
      <c r="EC332" s="34" t="n">
        <f aca="false">COUNT(Detalle_24m!EC220:EC244)</f>
        <v>0</v>
      </c>
      <c r="ED332" s="34" t="n">
        <f aca="false">COUNT(Detalle_24m!ED220:ED244)</f>
        <v>0</v>
      </c>
      <c r="EE332" s="34" t="n">
        <f aca="false">COUNT(Detalle_24m!EE220:EE244)</f>
        <v>0</v>
      </c>
      <c r="EF332" s="34" t="n">
        <f aca="false">COUNT(Detalle_24m!EF220:EF244)</f>
        <v>0</v>
      </c>
      <c r="EG332" s="34" t="n">
        <f aca="false">COUNT(Detalle_24m!EG220:EG244)</f>
        <v>0</v>
      </c>
      <c r="EH332" s="34" t="n">
        <f aca="false">COUNT(Detalle_24m!EH220:EH244)</f>
        <v>0</v>
      </c>
      <c r="EI332" s="34" t="n">
        <f aca="false">COUNT(Detalle_24m!EI220:EI244)</f>
        <v>0</v>
      </c>
      <c r="EJ332" s="34" t="n">
        <f aca="false">COUNT(Detalle_24m!EJ220:EJ244)</f>
        <v>0</v>
      </c>
      <c r="EK332" s="34" t="n">
        <f aca="false">COUNT(Detalle_24m!EK220:EK244)</f>
        <v>0</v>
      </c>
      <c r="EL332" s="34" t="n">
        <f aca="false">COUNT(Detalle_24m!EL220:EL244)</f>
        <v>0</v>
      </c>
      <c r="EM332" s="34" t="n">
        <f aca="false">COUNT(Detalle_24m!EM220:EM244)</f>
        <v>0</v>
      </c>
      <c r="EN332" s="34" t="n">
        <f aca="false">COUNT(Detalle_24m!EN220:EN244)</f>
        <v>0</v>
      </c>
      <c r="EO332" s="34" t="n">
        <f aca="false">COUNT(Detalle_24m!EO220:EO244)</f>
        <v>0</v>
      </c>
      <c r="EP332" s="34" t="n">
        <f aca="false">COUNT(Detalle_24m!EP220:EP244)</f>
        <v>0</v>
      </c>
      <c r="EQ332" s="34" t="n">
        <f aca="false">COUNT(Detalle_24m!EQ220:EQ244)</f>
        <v>0</v>
      </c>
      <c r="ER332" s="34" t="n">
        <f aca="false">COUNT(Detalle_24m!ER220:ER244)</f>
        <v>0</v>
      </c>
      <c r="ES332" s="34" t="n">
        <f aca="false">COUNT(Detalle_24m!ES220:ES244)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C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5" min="3" style="0" width="13"/>
    <col collapsed="false" customWidth="true" hidden="false" outlineLevel="0" max="29" min="6" style="0" width="11"/>
  </cols>
  <sheetData>
    <row r="1" customFormat="false" ht="16.15" hidden="false" customHeight="false" outlineLevel="0" collapsed="false">
      <c r="A1" s="10" t="s">
        <v>1457</v>
      </c>
    </row>
    <row r="2" customFormat="false" ht="15" hidden="false" customHeight="false" outlineLevel="0" collapsed="false">
      <c r="A2" s="72" t="str">
        <f aca="false">"Meses "&amp;(Corte+1)&amp;" a "&amp;MIN(144,Corte+24)&amp;" del modelo   |   Escenario: "&amp;n_Escenario&amp;"   |   Ventana de detalle: "&amp;n_Ventana&amp;" meses"</f>
        <v>Meses 1 a 24 del modelo   |   Escenario: Vigente   |   Ventana de detalle: 24 meses</v>
      </c>
    </row>
    <row r="4" customFormat="false" ht="15" hidden="false" customHeight="false" outlineLevel="0" collapsed="false">
      <c r="A4" s="57"/>
      <c r="B4" s="58" t="s">
        <v>1458</v>
      </c>
      <c r="C4" s="14" t="s">
        <v>1459</v>
      </c>
      <c r="D4" s="14" t="s">
        <v>1460</v>
      </c>
      <c r="E4" s="14" t="s">
        <v>1461</v>
      </c>
      <c r="F4" s="60" t="n">
        <v>1</v>
      </c>
      <c r="G4" s="60" t="n">
        <v>2</v>
      </c>
      <c r="H4" s="60" t="n">
        <v>3</v>
      </c>
      <c r="I4" s="60" t="n">
        <v>4</v>
      </c>
      <c r="J4" s="60" t="n">
        <v>5</v>
      </c>
      <c r="K4" s="60" t="n">
        <v>6</v>
      </c>
      <c r="L4" s="60" t="n">
        <v>7</v>
      </c>
      <c r="M4" s="60" t="n">
        <v>8</v>
      </c>
      <c r="N4" s="60" t="n">
        <v>9</v>
      </c>
      <c r="O4" s="60" t="n">
        <v>10</v>
      </c>
      <c r="P4" s="60" t="n">
        <v>11</v>
      </c>
      <c r="Q4" s="60" t="n">
        <v>12</v>
      </c>
      <c r="R4" s="60" t="n">
        <v>13</v>
      </c>
      <c r="S4" s="60" t="n">
        <v>14</v>
      </c>
      <c r="T4" s="60" t="n">
        <v>15</v>
      </c>
      <c r="U4" s="60" t="n">
        <v>16</v>
      </c>
      <c r="V4" s="60" t="n">
        <v>17</v>
      </c>
      <c r="W4" s="60" t="n">
        <v>18</v>
      </c>
      <c r="X4" s="60" t="n">
        <v>19</v>
      </c>
      <c r="Y4" s="60" t="n">
        <v>20</v>
      </c>
      <c r="Z4" s="60" t="n">
        <v>21</v>
      </c>
      <c r="AA4" s="60" t="n">
        <v>22</v>
      </c>
      <c r="AB4" s="60" t="n">
        <v>23</v>
      </c>
      <c r="AC4" s="60" t="n">
        <v>24</v>
      </c>
    </row>
    <row r="5" customFormat="false" ht="15" hidden="false" customHeight="false" outlineLevel="0" collapsed="false">
      <c r="A5" s="57"/>
      <c r="B5" s="58" t="s">
        <v>1462</v>
      </c>
      <c r="C5" s="57"/>
      <c r="D5" s="57"/>
      <c r="E5" s="57"/>
      <c r="F5" s="60" t="n">
        <f aca="false">Corte+1</f>
        <v>1</v>
      </c>
      <c r="G5" s="60" t="n">
        <f aca="false">Corte+2</f>
        <v>2</v>
      </c>
      <c r="H5" s="60" t="n">
        <f aca="false">Corte+3</f>
        <v>3</v>
      </c>
      <c r="I5" s="60" t="n">
        <f aca="false">Corte+4</f>
        <v>4</v>
      </c>
      <c r="J5" s="60" t="n">
        <f aca="false">Corte+5</f>
        <v>5</v>
      </c>
      <c r="K5" s="60" t="n">
        <f aca="false">Corte+6</f>
        <v>6</v>
      </c>
      <c r="L5" s="60" t="n">
        <f aca="false">Corte+7</f>
        <v>7</v>
      </c>
      <c r="M5" s="60" t="n">
        <f aca="false">Corte+8</f>
        <v>8</v>
      </c>
      <c r="N5" s="60" t="n">
        <f aca="false">Corte+9</f>
        <v>9</v>
      </c>
      <c r="O5" s="60" t="n">
        <f aca="false">Corte+10</f>
        <v>10</v>
      </c>
      <c r="P5" s="60" t="n">
        <f aca="false">Corte+11</f>
        <v>11</v>
      </c>
      <c r="Q5" s="60" t="n">
        <f aca="false">Corte+12</f>
        <v>12</v>
      </c>
      <c r="R5" s="60" t="n">
        <f aca="false">Corte+13</f>
        <v>13</v>
      </c>
      <c r="S5" s="60" t="n">
        <f aca="false">Corte+14</f>
        <v>14</v>
      </c>
      <c r="T5" s="60" t="n">
        <f aca="false">Corte+15</f>
        <v>15</v>
      </c>
      <c r="U5" s="60" t="n">
        <f aca="false">Corte+16</f>
        <v>16</v>
      </c>
      <c r="V5" s="60" t="n">
        <f aca="false">Corte+17</f>
        <v>17</v>
      </c>
      <c r="W5" s="60" t="n">
        <f aca="false">Corte+18</f>
        <v>18</v>
      </c>
      <c r="X5" s="60" t="n">
        <f aca="false">Corte+19</f>
        <v>19</v>
      </c>
      <c r="Y5" s="60" t="n">
        <f aca="false">Corte+20</f>
        <v>20</v>
      </c>
      <c r="Z5" s="60" t="n">
        <f aca="false">Corte+21</f>
        <v>21</v>
      </c>
      <c r="AA5" s="60" t="n">
        <f aca="false">Corte+22</f>
        <v>22</v>
      </c>
      <c r="AB5" s="60" t="n">
        <f aca="false">Corte+23</f>
        <v>23</v>
      </c>
      <c r="AC5" s="60" t="n">
        <f aca="false">Corte+24</f>
        <v>24</v>
      </c>
    </row>
    <row r="6" customFormat="false" ht="15" hidden="false" customHeight="false" outlineLevel="0" collapsed="false">
      <c r="A6" s="57"/>
      <c r="B6" s="58" t="s">
        <v>1</v>
      </c>
      <c r="C6" s="57"/>
      <c r="D6" s="57"/>
      <c r="E6" s="57"/>
      <c r="F6" s="59" t="str">
        <f aca="false">IF(OR(n_Fecha1="",Corte+1&gt;144),"",EOMONTH(n_Fecha1,Corte+1-1))</f>
        <v/>
      </c>
      <c r="G6" s="59" t="str">
        <f aca="false">IF(OR(n_Fecha1="",Corte+2&gt;144),"",EOMONTH(n_Fecha1,Corte+2-1))</f>
        <v/>
      </c>
      <c r="H6" s="59" t="str">
        <f aca="false">IF(OR(n_Fecha1="",Corte+3&gt;144),"",EOMONTH(n_Fecha1,Corte+3-1))</f>
        <v/>
      </c>
      <c r="I6" s="59" t="str">
        <f aca="false">IF(OR(n_Fecha1="",Corte+4&gt;144),"",EOMONTH(n_Fecha1,Corte+4-1))</f>
        <v/>
      </c>
      <c r="J6" s="59" t="str">
        <f aca="false">IF(OR(n_Fecha1="",Corte+5&gt;144),"",EOMONTH(n_Fecha1,Corte+5-1))</f>
        <v/>
      </c>
      <c r="K6" s="59" t="str">
        <f aca="false">IF(OR(n_Fecha1="",Corte+6&gt;144),"",EOMONTH(n_Fecha1,Corte+6-1))</f>
        <v/>
      </c>
      <c r="L6" s="59" t="str">
        <f aca="false">IF(OR(n_Fecha1="",Corte+7&gt;144),"",EOMONTH(n_Fecha1,Corte+7-1))</f>
        <v/>
      </c>
      <c r="M6" s="59" t="str">
        <f aca="false">IF(OR(n_Fecha1="",Corte+8&gt;144),"",EOMONTH(n_Fecha1,Corte+8-1))</f>
        <v/>
      </c>
      <c r="N6" s="59" t="str">
        <f aca="false">IF(OR(n_Fecha1="",Corte+9&gt;144),"",EOMONTH(n_Fecha1,Corte+9-1))</f>
        <v/>
      </c>
      <c r="O6" s="59" t="str">
        <f aca="false">IF(OR(n_Fecha1="",Corte+10&gt;144),"",EOMONTH(n_Fecha1,Corte+10-1))</f>
        <v/>
      </c>
      <c r="P6" s="59" t="str">
        <f aca="false">IF(OR(n_Fecha1="",Corte+11&gt;144),"",EOMONTH(n_Fecha1,Corte+11-1))</f>
        <v/>
      </c>
      <c r="Q6" s="59" t="str">
        <f aca="false">IF(OR(n_Fecha1="",Corte+12&gt;144),"",EOMONTH(n_Fecha1,Corte+12-1))</f>
        <v/>
      </c>
      <c r="R6" s="59" t="str">
        <f aca="false">IF(OR(n_Fecha1="",Corte+13&gt;144),"",EOMONTH(n_Fecha1,Corte+13-1))</f>
        <v/>
      </c>
      <c r="S6" s="59" t="str">
        <f aca="false">IF(OR(n_Fecha1="",Corte+14&gt;144),"",EOMONTH(n_Fecha1,Corte+14-1))</f>
        <v/>
      </c>
      <c r="T6" s="59" t="str">
        <f aca="false">IF(OR(n_Fecha1="",Corte+15&gt;144),"",EOMONTH(n_Fecha1,Corte+15-1))</f>
        <v/>
      </c>
      <c r="U6" s="59" t="str">
        <f aca="false">IF(OR(n_Fecha1="",Corte+16&gt;144),"",EOMONTH(n_Fecha1,Corte+16-1))</f>
        <v/>
      </c>
      <c r="V6" s="59" t="str">
        <f aca="false">IF(OR(n_Fecha1="",Corte+17&gt;144),"",EOMONTH(n_Fecha1,Corte+17-1))</f>
        <v/>
      </c>
      <c r="W6" s="59" t="str">
        <f aca="false">IF(OR(n_Fecha1="",Corte+18&gt;144),"",EOMONTH(n_Fecha1,Corte+18-1))</f>
        <v/>
      </c>
      <c r="X6" s="59" t="str">
        <f aca="false">IF(OR(n_Fecha1="",Corte+19&gt;144),"",EOMONTH(n_Fecha1,Corte+19-1))</f>
        <v/>
      </c>
      <c r="Y6" s="59" t="str">
        <f aca="false">IF(OR(n_Fecha1="",Corte+20&gt;144),"",EOMONTH(n_Fecha1,Corte+20-1))</f>
        <v/>
      </c>
      <c r="Z6" s="59" t="str">
        <f aca="false">IF(OR(n_Fecha1="",Corte+21&gt;144),"",EOMONTH(n_Fecha1,Corte+21-1))</f>
        <v/>
      </c>
      <c r="AA6" s="59" t="str">
        <f aca="false">IF(OR(n_Fecha1="",Corte+22&gt;144),"",EOMONTH(n_Fecha1,Corte+22-1))</f>
        <v/>
      </c>
      <c r="AB6" s="59" t="str">
        <f aca="false">IF(OR(n_Fecha1="",Corte+23&gt;144),"",EOMONTH(n_Fecha1,Corte+23-1))</f>
        <v/>
      </c>
      <c r="AC6" s="59" t="str">
        <f aca="false">IF(OR(n_Fecha1="",Corte+24&gt;144),"",EOMONTH(n_Fecha1,Corte+24-1))</f>
        <v/>
      </c>
    </row>
    <row r="7" customFormat="false" ht="15" hidden="false" customHeight="false" outlineLevel="0" collapsed="false">
      <c r="A7" s="57"/>
      <c r="B7" s="58" t="s">
        <v>1463</v>
      </c>
      <c r="C7" s="57"/>
      <c r="D7" s="57"/>
      <c r="E7" s="57"/>
      <c r="F7" s="14" t="str">
        <f aca="false">IF(Corte+1&gt;144,"",IF(AND(1&lt;=n_Ventana,INDEX(Det_nQ,1,Corte+1)&gt;0),"Detalle","Anual"))</f>
        <v>Anual</v>
      </c>
      <c r="G7" s="14" t="str">
        <f aca="false">IF(Corte+2&gt;144,"",IF(AND(2&lt;=n_Ventana,INDEX(Det_nQ,1,Corte+2)&gt;0),"Detalle","Anual"))</f>
        <v>Anual</v>
      </c>
      <c r="H7" s="14" t="str">
        <f aca="false">IF(Corte+3&gt;144,"",IF(AND(3&lt;=n_Ventana,INDEX(Det_nQ,1,Corte+3)&gt;0),"Detalle","Anual"))</f>
        <v>Anual</v>
      </c>
      <c r="I7" s="14" t="str">
        <f aca="false">IF(Corte+4&gt;144,"",IF(AND(4&lt;=n_Ventana,INDEX(Det_nQ,1,Corte+4)&gt;0),"Detalle","Anual"))</f>
        <v>Anual</v>
      </c>
      <c r="J7" s="14" t="str">
        <f aca="false">IF(Corte+5&gt;144,"",IF(AND(5&lt;=n_Ventana,INDEX(Det_nQ,1,Corte+5)&gt;0),"Detalle","Anual"))</f>
        <v>Anual</v>
      </c>
      <c r="K7" s="14" t="str">
        <f aca="false">IF(Corte+6&gt;144,"",IF(AND(6&lt;=n_Ventana,INDEX(Det_nQ,1,Corte+6)&gt;0),"Detalle","Anual"))</f>
        <v>Anual</v>
      </c>
      <c r="L7" s="14" t="str">
        <f aca="false">IF(Corte+7&gt;144,"",IF(AND(7&lt;=n_Ventana,INDEX(Det_nQ,1,Corte+7)&gt;0),"Detalle","Anual"))</f>
        <v>Anual</v>
      </c>
      <c r="M7" s="14" t="str">
        <f aca="false">IF(Corte+8&gt;144,"",IF(AND(8&lt;=n_Ventana,INDEX(Det_nQ,1,Corte+8)&gt;0),"Detalle","Anual"))</f>
        <v>Anual</v>
      </c>
      <c r="N7" s="14" t="str">
        <f aca="false">IF(Corte+9&gt;144,"",IF(AND(9&lt;=n_Ventana,INDEX(Det_nQ,1,Corte+9)&gt;0),"Detalle","Anual"))</f>
        <v>Anual</v>
      </c>
      <c r="O7" s="14" t="str">
        <f aca="false">IF(Corte+10&gt;144,"",IF(AND(10&lt;=n_Ventana,INDEX(Det_nQ,1,Corte+10)&gt;0),"Detalle","Anual"))</f>
        <v>Anual</v>
      </c>
      <c r="P7" s="14" t="str">
        <f aca="false">IF(Corte+11&gt;144,"",IF(AND(11&lt;=n_Ventana,INDEX(Det_nQ,1,Corte+11)&gt;0),"Detalle","Anual"))</f>
        <v>Anual</v>
      </c>
      <c r="Q7" s="14" t="str">
        <f aca="false">IF(Corte+12&gt;144,"",IF(AND(12&lt;=n_Ventana,INDEX(Det_nQ,1,Corte+12)&gt;0),"Detalle","Anual"))</f>
        <v>Anual</v>
      </c>
      <c r="R7" s="14" t="str">
        <f aca="false">IF(Corte+13&gt;144,"",IF(AND(13&lt;=n_Ventana,INDEX(Det_nQ,1,Corte+13)&gt;0),"Detalle","Anual"))</f>
        <v>Anual</v>
      </c>
      <c r="S7" s="14" t="str">
        <f aca="false">IF(Corte+14&gt;144,"",IF(AND(14&lt;=n_Ventana,INDEX(Det_nQ,1,Corte+14)&gt;0),"Detalle","Anual"))</f>
        <v>Anual</v>
      </c>
      <c r="T7" s="14" t="str">
        <f aca="false">IF(Corte+15&gt;144,"",IF(AND(15&lt;=n_Ventana,INDEX(Det_nQ,1,Corte+15)&gt;0),"Detalle","Anual"))</f>
        <v>Anual</v>
      </c>
      <c r="U7" s="14" t="str">
        <f aca="false">IF(Corte+16&gt;144,"",IF(AND(16&lt;=n_Ventana,INDEX(Det_nQ,1,Corte+16)&gt;0),"Detalle","Anual"))</f>
        <v>Anual</v>
      </c>
      <c r="V7" s="14" t="str">
        <f aca="false">IF(Corte+17&gt;144,"",IF(AND(17&lt;=n_Ventana,INDEX(Det_nQ,1,Corte+17)&gt;0),"Detalle","Anual"))</f>
        <v>Anual</v>
      </c>
      <c r="W7" s="14" t="str">
        <f aca="false">IF(Corte+18&gt;144,"",IF(AND(18&lt;=n_Ventana,INDEX(Det_nQ,1,Corte+18)&gt;0),"Detalle","Anual"))</f>
        <v>Anual</v>
      </c>
      <c r="X7" s="14" t="str">
        <f aca="false">IF(Corte+19&gt;144,"",IF(AND(19&lt;=n_Ventana,INDEX(Det_nQ,1,Corte+19)&gt;0),"Detalle","Anual"))</f>
        <v>Anual</v>
      </c>
      <c r="Y7" s="14" t="str">
        <f aca="false">IF(Corte+20&gt;144,"",IF(AND(20&lt;=n_Ventana,INDEX(Det_nQ,1,Corte+20)&gt;0),"Detalle","Anual"))</f>
        <v>Anual</v>
      </c>
      <c r="Z7" s="14" t="str">
        <f aca="false">IF(Corte+21&gt;144,"",IF(AND(21&lt;=n_Ventana,INDEX(Det_nQ,1,Corte+21)&gt;0),"Detalle","Anual"))</f>
        <v>Anual</v>
      </c>
      <c r="AA7" s="14" t="str">
        <f aca="false">IF(Corte+22&gt;144,"",IF(AND(22&lt;=n_Ventana,INDEX(Det_nQ,1,Corte+22)&gt;0),"Detalle","Anual"))</f>
        <v>Anual</v>
      </c>
      <c r="AB7" s="14" t="str">
        <f aca="false">IF(Corte+23&gt;144,"",IF(AND(23&lt;=n_Ventana,INDEX(Det_nQ,1,Corte+23)&gt;0),"Detalle","Anual"))</f>
        <v>Anual</v>
      </c>
      <c r="AC7" s="14" t="str">
        <f aca="false">IF(Corte+24&gt;144,"",IF(AND(24&lt;=n_Ventana,INDEX(Det_nQ,1,Corte+24)&gt;0),"Detalle","Anual"))</f>
        <v>Anual</v>
      </c>
    </row>
    <row r="8" customFormat="false" ht="15" hidden="false" customHeight="false" outlineLevel="0" collapsed="false">
      <c r="A8" s="57"/>
      <c r="B8" s="58" t="s">
        <v>1464</v>
      </c>
      <c r="C8" s="57"/>
      <c r="D8" s="57"/>
      <c r="E8" s="57"/>
      <c r="F8" s="14" t="str">
        <f aca="false">IF(Corte+1&gt;144,"",IF(AND(1&lt;=n_Ventana,INDEX(Det_nMP,1,Corte+1)+INDEX(Det_nIN,1,Corte+1)+INDEX(Det_nOV,1,Corte+1)+INDEX(Det_nDO,1,Corte+1)+INDEX(Det_nSA,1,Corte+1)+INDEX(Det_nFC,1,Corte+1)&gt;0),"Detalle","Anual"))</f>
        <v>Anual</v>
      </c>
      <c r="G8" s="14" t="str">
        <f aca="false">IF(Corte+2&gt;144,"",IF(AND(2&lt;=n_Ventana,INDEX(Det_nMP,1,Corte+2)+INDEX(Det_nIN,1,Corte+2)+INDEX(Det_nOV,1,Corte+2)+INDEX(Det_nDO,1,Corte+2)+INDEX(Det_nSA,1,Corte+2)+INDEX(Det_nFC,1,Corte+2)&gt;0),"Detalle","Anual"))</f>
        <v>Anual</v>
      </c>
      <c r="H8" s="14" t="str">
        <f aca="false">IF(Corte+3&gt;144,"",IF(AND(3&lt;=n_Ventana,INDEX(Det_nMP,1,Corte+3)+INDEX(Det_nIN,1,Corte+3)+INDEX(Det_nOV,1,Corte+3)+INDEX(Det_nDO,1,Corte+3)+INDEX(Det_nSA,1,Corte+3)+INDEX(Det_nFC,1,Corte+3)&gt;0),"Detalle","Anual"))</f>
        <v>Anual</v>
      </c>
      <c r="I8" s="14" t="str">
        <f aca="false">IF(Corte+4&gt;144,"",IF(AND(4&lt;=n_Ventana,INDEX(Det_nMP,1,Corte+4)+INDEX(Det_nIN,1,Corte+4)+INDEX(Det_nOV,1,Corte+4)+INDEX(Det_nDO,1,Corte+4)+INDEX(Det_nSA,1,Corte+4)+INDEX(Det_nFC,1,Corte+4)&gt;0),"Detalle","Anual"))</f>
        <v>Anual</v>
      </c>
      <c r="J8" s="14" t="str">
        <f aca="false">IF(Corte+5&gt;144,"",IF(AND(5&lt;=n_Ventana,INDEX(Det_nMP,1,Corte+5)+INDEX(Det_nIN,1,Corte+5)+INDEX(Det_nOV,1,Corte+5)+INDEX(Det_nDO,1,Corte+5)+INDEX(Det_nSA,1,Corte+5)+INDEX(Det_nFC,1,Corte+5)&gt;0),"Detalle","Anual"))</f>
        <v>Anual</v>
      </c>
      <c r="K8" s="14" t="str">
        <f aca="false">IF(Corte+6&gt;144,"",IF(AND(6&lt;=n_Ventana,INDEX(Det_nMP,1,Corte+6)+INDEX(Det_nIN,1,Corte+6)+INDEX(Det_nOV,1,Corte+6)+INDEX(Det_nDO,1,Corte+6)+INDEX(Det_nSA,1,Corte+6)+INDEX(Det_nFC,1,Corte+6)&gt;0),"Detalle","Anual"))</f>
        <v>Anual</v>
      </c>
      <c r="L8" s="14" t="str">
        <f aca="false">IF(Corte+7&gt;144,"",IF(AND(7&lt;=n_Ventana,INDEX(Det_nMP,1,Corte+7)+INDEX(Det_nIN,1,Corte+7)+INDEX(Det_nOV,1,Corte+7)+INDEX(Det_nDO,1,Corte+7)+INDEX(Det_nSA,1,Corte+7)+INDEX(Det_nFC,1,Corte+7)&gt;0),"Detalle","Anual"))</f>
        <v>Anual</v>
      </c>
      <c r="M8" s="14" t="str">
        <f aca="false">IF(Corte+8&gt;144,"",IF(AND(8&lt;=n_Ventana,INDEX(Det_nMP,1,Corte+8)+INDEX(Det_nIN,1,Corte+8)+INDEX(Det_nOV,1,Corte+8)+INDEX(Det_nDO,1,Corte+8)+INDEX(Det_nSA,1,Corte+8)+INDEX(Det_nFC,1,Corte+8)&gt;0),"Detalle","Anual"))</f>
        <v>Anual</v>
      </c>
      <c r="N8" s="14" t="str">
        <f aca="false">IF(Corte+9&gt;144,"",IF(AND(9&lt;=n_Ventana,INDEX(Det_nMP,1,Corte+9)+INDEX(Det_nIN,1,Corte+9)+INDEX(Det_nOV,1,Corte+9)+INDEX(Det_nDO,1,Corte+9)+INDEX(Det_nSA,1,Corte+9)+INDEX(Det_nFC,1,Corte+9)&gt;0),"Detalle","Anual"))</f>
        <v>Anual</v>
      </c>
      <c r="O8" s="14" t="str">
        <f aca="false">IF(Corte+10&gt;144,"",IF(AND(10&lt;=n_Ventana,INDEX(Det_nMP,1,Corte+10)+INDEX(Det_nIN,1,Corte+10)+INDEX(Det_nOV,1,Corte+10)+INDEX(Det_nDO,1,Corte+10)+INDEX(Det_nSA,1,Corte+10)+INDEX(Det_nFC,1,Corte+10)&gt;0),"Detalle","Anual"))</f>
        <v>Anual</v>
      </c>
      <c r="P8" s="14" t="str">
        <f aca="false">IF(Corte+11&gt;144,"",IF(AND(11&lt;=n_Ventana,INDEX(Det_nMP,1,Corte+11)+INDEX(Det_nIN,1,Corte+11)+INDEX(Det_nOV,1,Corte+11)+INDEX(Det_nDO,1,Corte+11)+INDEX(Det_nSA,1,Corte+11)+INDEX(Det_nFC,1,Corte+11)&gt;0),"Detalle","Anual"))</f>
        <v>Anual</v>
      </c>
      <c r="Q8" s="14" t="str">
        <f aca="false">IF(Corte+12&gt;144,"",IF(AND(12&lt;=n_Ventana,INDEX(Det_nMP,1,Corte+12)+INDEX(Det_nIN,1,Corte+12)+INDEX(Det_nOV,1,Corte+12)+INDEX(Det_nDO,1,Corte+12)+INDEX(Det_nSA,1,Corte+12)+INDEX(Det_nFC,1,Corte+12)&gt;0),"Detalle","Anual"))</f>
        <v>Anual</v>
      </c>
      <c r="R8" s="14" t="str">
        <f aca="false">IF(Corte+13&gt;144,"",IF(AND(13&lt;=n_Ventana,INDEX(Det_nMP,1,Corte+13)+INDEX(Det_nIN,1,Corte+13)+INDEX(Det_nOV,1,Corte+13)+INDEX(Det_nDO,1,Corte+13)+INDEX(Det_nSA,1,Corte+13)+INDEX(Det_nFC,1,Corte+13)&gt;0),"Detalle","Anual"))</f>
        <v>Anual</v>
      </c>
      <c r="S8" s="14" t="str">
        <f aca="false">IF(Corte+14&gt;144,"",IF(AND(14&lt;=n_Ventana,INDEX(Det_nMP,1,Corte+14)+INDEX(Det_nIN,1,Corte+14)+INDEX(Det_nOV,1,Corte+14)+INDEX(Det_nDO,1,Corte+14)+INDEX(Det_nSA,1,Corte+14)+INDEX(Det_nFC,1,Corte+14)&gt;0),"Detalle","Anual"))</f>
        <v>Anual</v>
      </c>
      <c r="T8" s="14" t="str">
        <f aca="false">IF(Corte+15&gt;144,"",IF(AND(15&lt;=n_Ventana,INDEX(Det_nMP,1,Corte+15)+INDEX(Det_nIN,1,Corte+15)+INDEX(Det_nOV,1,Corte+15)+INDEX(Det_nDO,1,Corte+15)+INDEX(Det_nSA,1,Corte+15)+INDEX(Det_nFC,1,Corte+15)&gt;0),"Detalle","Anual"))</f>
        <v>Anual</v>
      </c>
      <c r="U8" s="14" t="str">
        <f aca="false">IF(Corte+16&gt;144,"",IF(AND(16&lt;=n_Ventana,INDEX(Det_nMP,1,Corte+16)+INDEX(Det_nIN,1,Corte+16)+INDEX(Det_nOV,1,Corte+16)+INDEX(Det_nDO,1,Corte+16)+INDEX(Det_nSA,1,Corte+16)+INDEX(Det_nFC,1,Corte+16)&gt;0),"Detalle","Anual"))</f>
        <v>Anual</v>
      </c>
      <c r="V8" s="14" t="str">
        <f aca="false">IF(Corte+17&gt;144,"",IF(AND(17&lt;=n_Ventana,INDEX(Det_nMP,1,Corte+17)+INDEX(Det_nIN,1,Corte+17)+INDEX(Det_nOV,1,Corte+17)+INDEX(Det_nDO,1,Corte+17)+INDEX(Det_nSA,1,Corte+17)+INDEX(Det_nFC,1,Corte+17)&gt;0),"Detalle","Anual"))</f>
        <v>Anual</v>
      </c>
      <c r="W8" s="14" t="str">
        <f aca="false">IF(Corte+18&gt;144,"",IF(AND(18&lt;=n_Ventana,INDEX(Det_nMP,1,Corte+18)+INDEX(Det_nIN,1,Corte+18)+INDEX(Det_nOV,1,Corte+18)+INDEX(Det_nDO,1,Corte+18)+INDEX(Det_nSA,1,Corte+18)+INDEX(Det_nFC,1,Corte+18)&gt;0),"Detalle","Anual"))</f>
        <v>Anual</v>
      </c>
      <c r="X8" s="14" t="str">
        <f aca="false">IF(Corte+19&gt;144,"",IF(AND(19&lt;=n_Ventana,INDEX(Det_nMP,1,Corte+19)+INDEX(Det_nIN,1,Corte+19)+INDEX(Det_nOV,1,Corte+19)+INDEX(Det_nDO,1,Corte+19)+INDEX(Det_nSA,1,Corte+19)+INDEX(Det_nFC,1,Corte+19)&gt;0),"Detalle","Anual"))</f>
        <v>Anual</v>
      </c>
      <c r="Y8" s="14" t="str">
        <f aca="false">IF(Corte+20&gt;144,"",IF(AND(20&lt;=n_Ventana,INDEX(Det_nMP,1,Corte+20)+INDEX(Det_nIN,1,Corte+20)+INDEX(Det_nOV,1,Corte+20)+INDEX(Det_nDO,1,Corte+20)+INDEX(Det_nSA,1,Corte+20)+INDEX(Det_nFC,1,Corte+20)&gt;0),"Detalle","Anual"))</f>
        <v>Anual</v>
      </c>
      <c r="Z8" s="14" t="str">
        <f aca="false">IF(Corte+21&gt;144,"",IF(AND(21&lt;=n_Ventana,INDEX(Det_nMP,1,Corte+21)+INDEX(Det_nIN,1,Corte+21)+INDEX(Det_nOV,1,Corte+21)+INDEX(Det_nDO,1,Corte+21)+INDEX(Det_nSA,1,Corte+21)+INDEX(Det_nFC,1,Corte+21)&gt;0),"Detalle","Anual"))</f>
        <v>Anual</v>
      </c>
      <c r="AA8" s="14" t="str">
        <f aca="false">IF(Corte+22&gt;144,"",IF(AND(22&lt;=n_Ventana,INDEX(Det_nMP,1,Corte+22)+INDEX(Det_nIN,1,Corte+22)+INDEX(Det_nOV,1,Corte+22)+INDEX(Det_nDO,1,Corte+22)+INDEX(Det_nSA,1,Corte+22)+INDEX(Det_nFC,1,Corte+22)&gt;0),"Detalle","Anual"))</f>
        <v>Anual</v>
      </c>
      <c r="AB8" s="14" t="str">
        <f aca="false">IF(Corte+23&gt;144,"",IF(AND(23&lt;=n_Ventana,INDEX(Det_nMP,1,Corte+23)+INDEX(Det_nIN,1,Corte+23)+INDEX(Det_nOV,1,Corte+23)+INDEX(Det_nDO,1,Corte+23)+INDEX(Det_nSA,1,Corte+23)+INDEX(Det_nFC,1,Corte+23)&gt;0),"Detalle","Anual"))</f>
        <v>Anual</v>
      </c>
      <c r="AC8" s="14" t="str">
        <f aca="false">IF(Corte+24&gt;144,"",IF(AND(24&lt;=n_Ventana,INDEX(Det_nMP,1,Corte+24)+INDEX(Det_nIN,1,Corte+24)+INDEX(Det_nOV,1,Corte+24)+INDEX(Det_nDO,1,Corte+24)+INDEX(Det_nSA,1,Corte+24)+INDEX(Det_nFC,1,Corte+24)&gt;0),"Detalle","Anual"))</f>
        <v>Anual</v>
      </c>
    </row>
    <row r="10" customFormat="false" ht="15" hidden="false" customHeight="false" outlineLevel="0" collapsed="false">
      <c r="A10" s="12" t="s">
        <v>1465</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ustomFormat="false" ht="15" hidden="false" customHeight="false" outlineLevel="0" collapsed="false">
      <c r="A11" s="11" t="s">
        <v>1350</v>
      </c>
      <c r="B11" s="67" t="s">
        <v>506</v>
      </c>
      <c r="C11" s="54" t="n">
        <f aca="false">SUM(F11:Q11)</f>
        <v>4850000</v>
      </c>
      <c r="D11" s="54" t="n">
        <f aca="false">SUM(R11:AC11)</f>
        <v>6181200</v>
      </c>
      <c r="E11" s="54" t="n">
        <f aca="false">SUM(F11:AC11)</f>
        <v>11031200</v>
      </c>
      <c r="F11" s="19" t="n">
        <f aca="false">IF(Corte+1&gt;144,"",INDEX(Calculo!$F$227:$ES$227,1,Corte+1))</f>
        <v>404166.666666667</v>
      </c>
      <c r="G11" s="19" t="n">
        <f aca="false">IF(Corte+2&gt;144,"",INDEX(Calculo!$F$227:$ES$227,1,Corte+2))</f>
        <v>404166.666666667</v>
      </c>
      <c r="H11" s="19" t="n">
        <f aca="false">IF(Corte+3&gt;144,"",INDEX(Calculo!$F$227:$ES$227,1,Corte+3))</f>
        <v>404166.666666667</v>
      </c>
      <c r="I11" s="19" t="n">
        <f aca="false">IF(Corte+4&gt;144,"",INDEX(Calculo!$F$227:$ES$227,1,Corte+4))</f>
        <v>404166.666666667</v>
      </c>
      <c r="J11" s="19" t="n">
        <f aca="false">IF(Corte+5&gt;144,"",INDEX(Calculo!$F$227:$ES$227,1,Corte+5))</f>
        <v>404166.666666667</v>
      </c>
      <c r="K11" s="19" t="n">
        <f aca="false">IF(Corte+6&gt;144,"",INDEX(Calculo!$F$227:$ES$227,1,Corte+6))</f>
        <v>404166.666666667</v>
      </c>
      <c r="L11" s="19" t="n">
        <f aca="false">IF(Corte+7&gt;144,"",INDEX(Calculo!$F$227:$ES$227,1,Corte+7))</f>
        <v>404166.666666667</v>
      </c>
      <c r="M11" s="19" t="n">
        <f aca="false">IF(Corte+8&gt;144,"",INDEX(Calculo!$F$227:$ES$227,1,Corte+8))</f>
        <v>404166.666666667</v>
      </c>
      <c r="N11" s="19" t="n">
        <f aca="false">IF(Corte+9&gt;144,"",INDEX(Calculo!$F$227:$ES$227,1,Corte+9))</f>
        <v>404166.666666667</v>
      </c>
      <c r="O11" s="19" t="n">
        <f aca="false">IF(Corte+10&gt;144,"",INDEX(Calculo!$F$227:$ES$227,1,Corte+10))</f>
        <v>404166.666666667</v>
      </c>
      <c r="P11" s="19" t="n">
        <f aca="false">IF(Corte+11&gt;144,"",INDEX(Calculo!$F$227:$ES$227,1,Corte+11))</f>
        <v>404166.666666667</v>
      </c>
      <c r="Q11" s="19" t="n">
        <f aca="false">IF(Corte+12&gt;144,"",INDEX(Calculo!$F$227:$ES$227,1,Corte+12))</f>
        <v>404166.666666667</v>
      </c>
      <c r="R11" s="19" t="n">
        <f aca="false">IF(Corte+13&gt;144,"",INDEX(Calculo!$F$227:$ES$227,1,Corte+13))</f>
        <v>515100</v>
      </c>
      <c r="S11" s="19" t="n">
        <f aca="false">IF(Corte+14&gt;144,"",INDEX(Calculo!$F$227:$ES$227,1,Corte+14))</f>
        <v>515100</v>
      </c>
      <c r="T11" s="19" t="n">
        <f aca="false">IF(Corte+15&gt;144,"",INDEX(Calculo!$F$227:$ES$227,1,Corte+15))</f>
        <v>515100</v>
      </c>
      <c r="U11" s="19" t="n">
        <f aca="false">IF(Corte+16&gt;144,"",INDEX(Calculo!$F$227:$ES$227,1,Corte+16))</f>
        <v>515100</v>
      </c>
      <c r="V11" s="19" t="n">
        <f aca="false">IF(Corte+17&gt;144,"",INDEX(Calculo!$F$227:$ES$227,1,Corte+17))</f>
        <v>515100</v>
      </c>
      <c r="W11" s="19" t="n">
        <f aca="false">IF(Corte+18&gt;144,"",INDEX(Calculo!$F$227:$ES$227,1,Corte+18))</f>
        <v>515100</v>
      </c>
      <c r="X11" s="19" t="n">
        <f aca="false">IF(Corte+19&gt;144,"",INDEX(Calculo!$F$227:$ES$227,1,Corte+19))</f>
        <v>515100</v>
      </c>
      <c r="Y11" s="19" t="n">
        <f aca="false">IF(Corte+20&gt;144,"",INDEX(Calculo!$F$227:$ES$227,1,Corte+20))</f>
        <v>515100</v>
      </c>
      <c r="Z11" s="19" t="n">
        <f aca="false">IF(Corte+21&gt;144,"",INDEX(Calculo!$F$227:$ES$227,1,Corte+21))</f>
        <v>515100</v>
      </c>
      <c r="AA11" s="19" t="n">
        <f aca="false">IF(Corte+22&gt;144,"",INDEX(Calculo!$F$227:$ES$227,1,Corte+22))</f>
        <v>515100</v>
      </c>
      <c r="AB11" s="19" t="n">
        <f aca="false">IF(Corte+23&gt;144,"",INDEX(Calculo!$F$227:$ES$227,1,Corte+23))</f>
        <v>515100</v>
      </c>
      <c r="AC11" s="19" t="n">
        <f aca="false">IF(Corte+24&gt;144,"",INDEX(Calculo!$F$227:$ES$227,1,Corte+24))</f>
        <v>515100</v>
      </c>
    </row>
    <row r="12" customFormat="false" ht="15" hidden="false" customHeight="false" outlineLevel="0" collapsed="false">
      <c r="A12" s="11" t="s">
        <v>1370</v>
      </c>
      <c r="B12" s="15" t="s">
        <v>1158</v>
      </c>
      <c r="C12" s="54" t="n">
        <f aca="false">SUM(F12:Q12)</f>
        <v>2390070</v>
      </c>
      <c r="D12" s="54" t="n">
        <f aca="false">SUM(R12:AC12)</f>
        <v>3037306.5</v>
      </c>
      <c r="E12" s="54" t="n">
        <f aca="false">SUM(F12:AC12)</f>
        <v>5427376.5</v>
      </c>
      <c r="F12" s="48" t="n">
        <f aca="false">IF(Corte+1&gt;144,"",INDEX(Calculo!$F$249:$ES$249,1,Corte+1))</f>
        <v>199172.5</v>
      </c>
      <c r="G12" s="48" t="n">
        <f aca="false">IF(Corte+2&gt;144,"",INDEX(Calculo!$F$249:$ES$249,1,Corte+2))</f>
        <v>199172.5</v>
      </c>
      <c r="H12" s="48" t="n">
        <f aca="false">IF(Corte+3&gt;144,"",INDEX(Calculo!$F$249:$ES$249,1,Corte+3))</f>
        <v>199172.5</v>
      </c>
      <c r="I12" s="48" t="n">
        <f aca="false">IF(Corte+4&gt;144,"",INDEX(Calculo!$F$249:$ES$249,1,Corte+4))</f>
        <v>199172.5</v>
      </c>
      <c r="J12" s="48" t="n">
        <f aca="false">IF(Corte+5&gt;144,"",INDEX(Calculo!$F$249:$ES$249,1,Corte+5))</f>
        <v>199172.5</v>
      </c>
      <c r="K12" s="48" t="n">
        <f aca="false">IF(Corte+6&gt;144,"",INDEX(Calculo!$F$249:$ES$249,1,Corte+6))</f>
        <v>199172.5</v>
      </c>
      <c r="L12" s="48" t="n">
        <f aca="false">IF(Corte+7&gt;144,"",INDEX(Calculo!$F$249:$ES$249,1,Corte+7))</f>
        <v>199172.5</v>
      </c>
      <c r="M12" s="48" t="n">
        <f aca="false">IF(Corte+8&gt;144,"",INDEX(Calculo!$F$249:$ES$249,1,Corte+8))</f>
        <v>199172.5</v>
      </c>
      <c r="N12" s="48" t="n">
        <f aca="false">IF(Corte+9&gt;144,"",INDEX(Calculo!$F$249:$ES$249,1,Corte+9))</f>
        <v>199172.5</v>
      </c>
      <c r="O12" s="48" t="n">
        <f aca="false">IF(Corte+10&gt;144,"",INDEX(Calculo!$F$249:$ES$249,1,Corte+10))</f>
        <v>199172.5</v>
      </c>
      <c r="P12" s="48" t="n">
        <f aca="false">IF(Corte+11&gt;144,"",INDEX(Calculo!$F$249:$ES$249,1,Corte+11))</f>
        <v>199172.5</v>
      </c>
      <c r="Q12" s="48" t="n">
        <f aca="false">IF(Corte+12&gt;144,"",INDEX(Calculo!$F$249:$ES$249,1,Corte+12))</f>
        <v>199172.5</v>
      </c>
      <c r="R12" s="48" t="n">
        <f aca="false">IF(Corte+13&gt;144,"",INDEX(Calculo!$F$249:$ES$249,1,Corte+13))</f>
        <v>253108.875</v>
      </c>
      <c r="S12" s="48" t="n">
        <f aca="false">IF(Corte+14&gt;144,"",INDEX(Calculo!$F$249:$ES$249,1,Corte+14))</f>
        <v>253108.875</v>
      </c>
      <c r="T12" s="48" t="n">
        <f aca="false">IF(Corte+15&gt;144,"",INDEX(Calculo!$F$249:$ES$249,1,Corte+15))</f>
        <v>253108.875</v>
      </c>
      <c r="U12" s="48" t="n">
        <f aca="false">IF(Corte+16&gt;144,"",INDEX(Calculo!$F$249:$ES$249,1,Corte+16))</f>
        <v>253108.875</v>
      </c>
      <c r="V12" s="48" t="n">
        <f aca="false">IF(Corte+17&gt;144,"",INDEX(Calculo!$F$249:$ES$249,1,Corte+17))</f>
        <v>253108.875</v>
      </c>
      <c r="W12" s="48" t="n">
        <f aca="false">IF(Corte+18&gt;144,"",INDEX(Calculo!$F$249:$ES$249,1,Corte+18))</f>
        <v>253108.875</v>
      </c>
      <c r="X12" s="48" t="n">
        <f aca="false">IF(Corte+19&gt;144,"",INDEX(Calculo!$F$249:$ES$249,1,Corte+19))</f>
        <v>253108.875</v>
      </c>
      <c r="Y12" s="48" t="n">
        <f aca="false">IF(Corte+20&gt;144,"",INDEX(Calculo!$F$249:$ES$249,1,Corte+20))</f>
        <v>253108.875</v>
      </c>
      <c r="Z12" s="48" t="n">
        <f aca="false">IF(Corte+21&gt;144,"",INDEX(Calculo!$F$249:$ES$249,1,Corte+21))</f>
        <v>253108.875</v>
      </c>
      <c r="AA12" s="48" t="n">
        <f aca="false">IF(Corte+22&gt;144,"",INDEX(Calculo!$F$249:$ES$249,1,Corte+22))</f>
        <v>253108.875</v>
      </c>
      <c r="AB12" s="48" t="n">
        <f aca="false">IF(Corte+23&gt;144,"",INDEX(Calculo!$F$249:$ES$249,1,Corte+23))</f>
        <v>253108.875</v>
      </c>
      <c r="AC12" s="48" t="n">
        <f aca="false">IF(Corte+24&gt;144,"",INDEX(Calculo!$F$249:$ES$249,1,Corte+24))</f>
        <v>253108.875</v>
      </c>
    </row>
    <row r="13" customFormat="false" ht="15" hidden="false" customHeight="false" outlineLevel="0" collapsed="false">
      <c r="A13" s="11" t="s">
        <v>1371</v>
      </c>
      <c r="B13" s="15" t="s">
        <v>1160</v>
      </c>
      <c r="C13" s="54" t="n">
        <f aca="false">SUM(F13:Q13)</f>
        <v>635639.583055655</v>
      </c>
      <c r="D13" s="54" t="n">
        <f aca="false">SUM(R13:AC13)</f>
        <v>802571.522045655</v>
      </c>
      <c r="E13" s="54" t="n">
        <f aca="false">SUM(F13:AC13)</f>
        <v>1438211.10510131</v>
      </c>
      <c r="F13" s="48" t="n">
        <f aca="false">IF(Corte+1&gt;144,"",INDEX(Calculo!$F$250:$ES$250,1,Corte+1))</f>
        <v>52969.9652546379</v>
      </c>
      <c r="G13" s="48" t="n">
        <f aca="false">IF(Corte+2&gt;144,"",INDEX(Calculo!$F$250:$ES$250,1,Corte+2))</f>
        <v>52969.9652546379</v>
      </c>
      <c r="H13" s="48" t="n">
        <f aca="false">IF(Corte+3&gt;144,"",INDEX(Calculo!$F$250:$ES$250,1,Corte+3))</f>
        <v>52969.9652546379</v>
      </c>
      <c r="I13" s="48" t="n">
        <f aca="false">IF(Corte+4&gt;144,"",INDEX(Calculo!$F$250:$ES$250,1,Corte+4))</f>
        <v>52969.9652546379</v>
      </c>
      <c r="J13" s="48" t="n">
        <f aca="false">IF(Corte+5&gt;144,"",INDEX(Calculo!$F$250:$ES$250,1,Corte+5))</f>
        <v>52969.9652546379</v>
      </c>
      <c r="K13" s="48" t="n">
        <f aca="false">IF(Corte+6&gt;144,"",INDEX(Calculo!$F$250:$ES$250,1,Corte+6))</f>
        <v>52969.9652546379</v>
      </c>
      <c r="L13" s="48" t="n">
        <f aca="false">IF(Corte+7&gt;144,"",INDEX(Calculo!$F$250:$ES$250,1,Corte+7))</f>
        <v>52969.9652546379</v>
      </c>
      <c r="M13" s="48" t="n">
        <f aca="false">IF(Corte+8&gt;144,"",INDEX(Calculo!$F$250:$ES$250,1,Corte+8))</f>
        <v>52969.9652546379</v>
      </c>
      <c r="N13" s="48" t="n">
        <f aca="false">IF(Corte+9&gt;144,"",INDEX(Calculo!$F$250:$ES$250,1,Corte+9))</f>
        <v>52969.9652546379</v>
      </c>
      <c r="O13" s="48" t="n">
        <f aca="false">IF(Corte+10&gt;144,"",INDEX(Calculo!$F$250:$ES$250,1,Corte+10))</f>
        <v>52969.9652546379</v>
      </c>
      <c r="P13" s="48" t="n">
        <f aca="false">IF(Corte+11&gt;144,"",INDEX(Calculo!$F$250:$ES$250,1,Corte+11))</f>
        <v>52969.9652546379</v>
      </c>
      <c r="Q13" s="48" t="n">
        <f aca="false">IF(Corte+12&gt;144,"",INDEX(Calculo!$F$250:$ES$250,1,Corte+12))</f>
        <v>52969.9652546379</v>
      </c>
      <c r="R13" s="48" t="n">
        <f aca="false">IF(Corte+13&gt;144,"",INDEX(Calculo!$F$250:$ES$250,1,Corte+13))</f>
        <v>66880.9601704712</v>
      </c>
      <c r="S13" s="48" t="n">
        <f aca="false">IF(Corte+14&gt;144,"",INDEX(Calculo!$F$250:$ES$250,1,Corte+14))</f>
        <v>66880.9601704712</v>
      </c>
      <c r="T13" s="48" t="n">
        <f aca="false">IF(Corte+15&gt;144,"",INDEX(Calculo!$F$250:$ES$250,1,Corte+15))</f>
        <v>66880.9601704712</v>
      </c>
      <c r="U13" s="48" t="n">
        <f aca="false">IF(Corte+16&gt;144,"",INDEX(Calculo!$F$250:$ES$250,1,Corte+16))</f>
        <v>66880.9601704712</v>
      </c>
      <c r="V13" s="48" t="n">
        <f aca="false">IF(Corte+17&gt;144,"",INDEX(Calculo!$F$250:$ES$250,1,Corte+17))</f>
        <v>66880.9601704712</v>
      </c>
      <c r="W13" s="48" t="n">
        <f aca="false">IF(Corte+18&gt;144,"",INDEX(Calculo!$F$250:$ES$250,1,Corte+18))</f>
        <v>66880.9601704712</v>
      </c>
      <c r="X13" s="48" t="n">
        <f aca="false">IF(Corte+19&gt;144,"",INDEX(Calculo!$F$250:$ES$250,1,Corte+19))</f>
        <v>66880.9601704712</v>
      </c>
      <c r="Y13" s="48" t="n">
        <f aca="false">IF(Corte+20&gt;144,"",INDEX(Calculo!$F$250:$ES$250,1,Corte+20))</f>
        <v>66880.9601704712</v>
      </c>
      <c r="Z13" s="48" t="n">
        <f aca="false">IF(Corte+21&gt;144,"",INDEX(Calculo!$F$250:$ES$250,1,Corte+21))</f>
        <v>66880.9601704712</v>
      </c>
      <c r="AA13" s="48" t="n">
        <f aca="false">IF(Corte+22&gt;144,"",INDEX(Calculo!$F$250:$ES$250,1,Corte+22))</f>
        <v>66880.9601704712</v>
      </c>
      <c r="AB13" s="48" t="n">
        <f aca="false">IF(Corte+23&gt;144,"",INDEX(Calculo!$F$250:$ES$250,1,Corte+23))</f>
        <v>66880.9601704712</v>
      </c>
      <c r="AC13" s="48" t="n">
        <f aca="false">IF(Corte+24&gt;144,"",INDEX(Calculo!$F$250:$ES$250,1,Corte+24))</f>
        <v>66880.9601704712</v>
      </c>
    </row>
    <row r="14" customFormat="false" ht="15" hidden="false" customHeight="false" outlineLevel="0" collapsed="false">
      <c r="A14" s="11" t="s">
        <v>1372</v>
      </c>
      <c r="B14" s="15" t="s">
        <v>1162</v>
      </c>
      <c r="C14" s="54" t="n">
        <f aca="false">SUM(F14:Q14)</f>
        <v>636656.648353644</v>
      </c>
      <c r="D14" s="54" t="n">
        <f aca="false">SUM(R14:AC14)</f>
        <v>636656.648353644</v>
      </c>
      <c r="E14" s="54" t="n">
        <f aca="false">SUM(F14:AC14)</f>
        <v>1273313.29670729</v>
      </c>
      <c r="F14" s="48" t="n">
        <f aca="false">IF(Corte+1&gt;144,"",INDEX(Calculo!$F$251:$ES$251,1,Corte+1))</f>
        <v>53054.720696137</v>
      </c>
      <c r="G14" s="48" t="n">
        <f aca="false">IF(Corte+2&gt;144,"",INDEX(Calculo!$F$251:$ES$251,1,Corte+2))</f>
        <v>53054.720696137</v>
      </c>
      <c r="H14" s="48" t="n">
        <f aca="false">IF(Corte+3&gt;144,"",INDEX(Calculo!$F$251:$ES$251,1,Corte+3))</f>
        <v>53054.720696137</v>
      </c>
      <c r="I14" s="48" t="n">
        <f aca="false">IF(Corte+4&gt;144,"",INDEX(Calculo!$F$251:$ES$251,1,Corte+4))</f>
        <v>53054.720696137</v>
      </c>
      <c r="J14" s="48" t="n">
        <f aca="false">IF(Corte+5&gt;144,"",INDEX(Calculo!$F$251:$ES$251,1,Corte+5))</f>
        <v>53054.720696137</v>
      </c>
      <c r="K14" s="48" t="n">
        <f aca="false">IF(Corte+6&gt;144,"",INDEX(Calculo!$F$251:$ES$251,1,Corte+6))</f>
        <v>53054.720696137</v>
      </c>
      <c r="L14" s="48" t="n">
        <f aca="false">IF(Corte+7&gt;144,"",INDEX(Calculo!$F$251:$ES$251,1,Corte+7))</f>
        <v>53054.720696137</v>
      </c>
      <c r="M14" s="48" t="n">
        <f aca="false">IF(Corte+8&gt;144,"",INDEX(Calculo!$F$251:$ES$251,1,Corte+8))</f>
        <v>53054.720696137</v>
      </c>
      <c r="N14" s="48" t="n">
        <f aca="false">IF(Corte+9&gt;144,"",INDEX(Calculo!$F$251:$ES$251,1,Corte+9))</f>
        <v>53054.720696137</v>
      </c>
      <c r="O14" s="48" t="n">
        <f aca="false">IF(Corte+10&gt;144,"",INDEX(Calculo!$F$251:$ES$251,1,Corte+10))</f>
        <v>53054.720696137</v>
      </c>
      <c r="P14" s="48" t="n">
        <f aca="false">IF(Corte+11&gt;144,"",INDEX(Calculo!$F$251:$ES$251,1,Corte+11))</f>
        <v>53054.720696137</v>
      </c>
      <c r="Q14" s="48" t="n">
        <f aca="false">IF(Corte+12&gt;144,"",INDEX(Calculo!$F$251:$ES$251,1,Corte+12))</f>
        <v>53054.720696137</v>
      </c>
      <c r="R14" s="48" t="n">
        <f aca="false">IF(Corte+13&gt;144,"",INDEX(Calculo!$F$251:$ES$251,1,Corte+13))</f>
        <v>53054.720696137</v>
      </c>
      <c r="S14" s="48" t="n">
        <f aca="false">IF(Corte+14&gt;144,"",INDEX(Calculo!$F$251:$ES$251,1,Corte+14))</f>
        <v>53054.720696137</v>
      </c>
      <c r="T14" s="48" t="n">
        <f aca="false">IF(Corte+15&gt;144,"",INDEX(Calculo!$F$251:$ES$251,1,Corte+15))</f>
        <v>53054.720696137</v>
      </c>
      <c r="U14" s="48" t="n">
        <f aca="false">IF(Corte+16&gt;144,"",INDEX(Calculo!$F$251:$ES$251,1,Corte+16))</f>
        <v>53054.720696137</v>
      </c>
      <c r="V14" s="48" t="n">
        <f aca="false">IF(Corte+17&gt;144,"",INDEX(Calculo!$F$251:$ES$251,1,Corte+17))</f>
        <v>53054.720696137</v>
      </c>
      <c r="W14" s="48" t="n">
        <f aca="false">IF(Corte+18&gt;144,"",INDEX(Calculo!$F$251:$ES$251,1,Corte+18))</f>
        <v>53054.720696137</v>
      </c>
      <c r="X14" s="48" t="n">
        <f aca="false">IF(Corte+19&gt;144,"",INDEX(Calculo!$F$251:$ES$251,1,Corte+19))</f>
        <v>53054.720696137</v>
      </c>
      <c r="Y14" s="48" t="n">
        <f aca="false">IF(Corte+20&gt;144,"",INDEX(Calculo!$F$251:$ES$251,1,Corte+20))</f>
        <v>53054.720696137</v>
      </c>
      <c r="Z14" s="48" t="n">
        <f aca="false">IF(Corte+21&gt;144,"",INDEX(Calculo!$F$251:$ES$251,1,Corte+21))</f>
        <v>53054.720696137</v>
      </c>
      <c r="AA14" s="48" t="n">
        <f aca="false">IF(Corte+22&gt;144,"",INDEX(Calculo!$F$251:$ES$251,1,Corte+22))</f>
        <v>53054.720696137</v>
      </c>
      <c r="AB14" s="48" t="n">
        <f aca="false">IF(Corte+23&gt;144,"",INDEX(Calculo!$F$251:$ES$251,1,Corte+23))</f>
        <v>53054.720696137</v>
      </c>
      <c r="AC14" s="48" t="n">
        <f aca="false">IF(Corte+24&gt;144,"",INDEX(Calculo!$F$251:$ES$251,1,Corte+24))</f>
        <v>53054.720696137</v>
      </c>
    </row>
    <row r="15" customFormat="false" ht="15" hidden="false" customHeight="false" outlineLevel="0" collapsed="false">
      <c r="A15" s="11" t="s">
        <v>1373</v>
      </c>
      <c r="B15" s="15" t="s">
        <v>1164</v>
      </c>
      <c r="C15" s="54" t="n">
        <f aca="false">SUM(F15:Q15)</f>
        <v>238476.137132109</v>
      </c>
      <c r="D15" s="54" t="n">
        <f aca="false">SUM(R15:AC15)</f>
        <v>279808.427921609</v>
      </c>
      <c r="E15" s="54" t="n">
        <f aca="false">SUM(F15:AC15)</f>
        <v>518284.565053718</v>
      </c>
      <c r="F15" s="48" t="n">
        <f aca="false">IF(Corte+1&gt;144,"",INDEX(Calculo!$F$252:$ES$252,1,Corte+1))</f>
        <v>19873.0114276757</v>
      </c>
      <c r="G15" s="48" t="n">
        <f aca="false">IF(Corte+2&gt;144,"",INDEX(Calculo!$F$252:$ES$252,1,Corte+2))</f>
        <v>19873.0114276757</v>
      </c>
      <c r="H15" s="48" t="n">
        <f aca="false">IF(Corte+3&gt;144,"",INDEX(Calculo!$F$252:$ES$252,1,Corte+3))</f>
        <v>19873.0114276757</v>
      </c>
      <c r="I15" s="48" t="n">
        <f aca="false">IF(Corte+4&gt;144,"",INDEX(Calculo!$F$252:$ES$252,1,Corte+4))</f>
        <v>19873.0114276757</v>
      </c>
      <c r="J15" s="48" t="n">
        <f aca="false">IF(Corte+5&gt;144,"",INDEX(Calculo!$F$252:$ES$252,1,Corte+5))</f>
        <v>19873.0114276757</v>
      </c>
      <c r="K15" s="48" t="n">
        <f aca="false">IF(Corte+6&gt;144,"",INDEX(Calculo!$F$252:$ES$252,1,Corte+6))</f>
        <v>19873.0114276757</v>
      </c>
      <c r="L15" s="48" t="n">
        <f aca="false">IF(Corte+7&gt;144,"",INDEX(Calculo!$F$252:$ES$252,1,Corte+7))</f>
        <v>19873.0114276757</v>
      </c>
      <c r="M15" s="48" t="n">
        <f aca="false">IF(Corte+8&gt;144,"",INDEX(Calculo!$F$252:$ES$252,1,Corte+8))</f>
        <v>19873.0114276757</v>
      </c>
      <c r="N15" s="48" t="n">
        <f aca="false">IF(Corte+9&gt;144,"",INDEX(Calculo!$F$252:$ES$252,1,Corte+9))</f>
        <v>19873.0114276757</v>
      </c>
      <c r="O15" s="48" t="n">
        <f aca="false">IF(Corte+10&gt;144,"",INDEX(Calculo!$F$252:$ES$252,1,Corte+10))</f>
        <v>19873.0114276757</v>
      </c>
      <c r="P15" s="48" t="n">
        <f aca="false">IF(Corte+11&gt;144,"",INDEX(Calculo!$F$252:$ES$252,1,Corte+11))</f>
        <v>19873.0114276757</v>
      </c>
      <c r="Q15" s="48" t="n">
        <f aca="false">IF(Corte+12&gt;144,"",INDEX(Calculo!$F$252:$ES$252,1,Corte+12))</f>
        <v>19873.0114276757</v>
      </c>
      <c r="R15" s="48" t="n">
        <f aca="false">IF(Corte+13&gt;144,"",INDEX(Calculo!$F$252:$ES$252,1,Corte+13))</f>
        <v>23317.3689934674</v>
      </c>
      <c r="S15" s="48" t="n">
        <f aca="false">IF(Corte+14&gt;144,"",INDEX(Calculo!$F$252:$ES$252,1,Corte+14))</f>
        <v>23317.3689934674</v>
      </c>
      <c r="T15" s="48" t="n">
        <f aca="false">IF(Corte+15&gt;144,"",INDEX(Calculo!$F$252:$ES$252,1,Corte+15))</f>
        <v>23317.3689934674</v>
      </c>
      <c r="U15" s="48" t="n">
        <f aca="false">IF(Corte+16&gt;144,"",INDEX(Calculo!$F$252:$ES$252,1,Corte+16))</f>
        <v>23317.3689934674</v>
      </c>
      <c r="V15" s="48" t="n">
        <f aca="false">IF(Corte+17&gt;144,"",INDEX(Calculo!$F$252:$ES$252,1,Corte+17))</f>
        <v>23317.3689934674</v>
      </c>
      <c r="W15" s="48" t="n">
        <f aca="false">IF(Corte+18&gt;144,"",INDEX(Calculo!$F$252:$ES$252,1,Corte+18))</f>
        <v>23317.3689934674</v>
      </c>
      <c r="X15" s="48" t="n">
        <f aca="false">IF(Corte+19&gt;144,"",INDEX(Calculo!$F$252:$ES$252,1,Corte+19))</f>
        <v>23317.3689934674</v>
      </c>
      <c r="Y15" s="48" t="n">
        <f aca="false">IF(Corte+20&gt;144,"",INDEX(Calculo!$F$252:$ES$252,1,Corte+20))</f>
        <v>23317.3689934674</v>
      </c>
      <c r="Z15" s="48" t="n">
        <f aca="false">IF(Corte+21&gt;144,"",INDEX(Calculo!$F$252:$ES$252,1,Corte+21))</f>
        <v>23317.3689934674</v>
      </c>
      <c r="AA15" s="48" t="n">
        <f aca="false">IF(Corte+22&gt;144,"",INDEX(Calculo!$F$252:$ES$252,1,Corte+22))</f>
        <v>23317.3689934674</v>
      </c>
      <c r="AB15" s="48" t="n">
        <f aca="false">IF(Corte+23&gt;144,"",INDEX(Calculo!$F$252:$ES$252,1,Corte+23))</f>
        <v>23317.3689934674</v>
      </c>
      <c r="AC15" s="48" t="n">
        <f aca="false">IF(Corte+24&gt;144,"",INDEX(Calculo!$F$252:$ES$252,1,Corte+24))</f>
        <v>23317.3689934674</v>
      </c>
    </row>
    <row r="16" customFormat="false" ht="15" hidden="false" customHeight="false" outlineLevel="0" collapsed="false">
      <c r="A16" s="11" t="s">
        <v>1375</v>
      </c>
      <c r="B16" s="15" t="s">
        <v>1168</v>
      </c>
      <c r="C16" s="54" t="n">
        <f aca="false">SUM(F16:Q16)</f>
        <v>107519.852627014</v>
      </c>
      <c r="D16" s="54" t="n">
        <f aca="false">SUM(R16:AC16)</f>
        <v>107519.852627014</v>
      </c>
      <c r="E16" s="54" t="n">
        <f aca="false">SUM(F16:AC16)</f>
        <v>215039.705254027</v>
      </c>
      <c r="F16" s="48" t="n">
        <f aca="false">IF(Corte+1&gt;144,"",INDEX(Calculo!$F$254:$ES$254,1,Corte+1))</f>
        <v>8959.98771891781</v>
      </c>
      <c r="G16" s="48" t="n">
        <f aca="false">IF(Corte+2&gt;144,"",INDEX(Calculo!$F$254:$ES$254,1,Corte+2))</f>
        <v>8959.98771891781</v>
      </c>
      <c r="H16" s="48" t="n">
        <f aca="false">IF(Corte+3&gt;144,"",INDEX(Calculo!$F$254:$ES$254,1,Corte+3))</f>
        <v>8959.98771891781</v>
      </c>
      <c r="I16" s="48" t="n">
        <f aca="false">IF(Corte+4&gt;144,"",INDEX(Calculo!$F$254:$ES$254,1,Corte+4))</f>
        <v>8959.98771891781</v>
      </c>
      <c r="J16" s="48" t="n">
        <f aca="false">IF(Corte+5&gt;144,"",INDEX(Calculo!$F$254:$ES$254,1,Corte+5))</f>
        <v>8959.98771891781</v>
      </c>
      <c r="K16" s="48" t="n">
        <f aca="false">IF(Corte+6&gt;144,"",INDEX(Calculo!$F$254:$ES$254,1,Corte+6))</f>
        <v>8959.98771891781</v>
      </c>
      <c r="L16" s="48" t="n">
        <f aca="false">IF(Corte+7&gt;144,"",INDEX(Calculo!$F$254:$ES$254,1,Corte+7))</f>
        <v>8959.98771891781</v>
      </c>
      <c r="M16" s="48" t="n">
        <f aca="false">IF(Corte+8&gt;144,"",INDEX(Calculo!$F$254:$ES$254,1,Corte+8))</f>
        <v>8959.98771891781</v>
      </c>
      <c r="N16" s="48" t="n">
        <f aca="false">IF(Corte+9&gt;144,"",INDEX(Calculo!$F$254:$ES$254,1,Corte+9))</f>
        <v>8959.98771891781</v>
      </c>
      <c r="O16" s="48" t="n">
        <f aca="false">IF(Corte+10&gt;144,"",INDEX(Calculo!$F$254:$ES$254,1,Corte+10))</f>
        <v>8959.98771891781</v>
      </c>
      <c r="P16" s="48" t="n">
        <f aca="false">IF(Corte+11&gt;144,"",INDEX(Calculo!$F$254:$ES$254,1,Corte+11))</f>
        <v>8959.98771891781</v>
      </c>
      <c r="Q16" s="48" t="n">
        <f aca="false">IF(Corte+12&gt;144,"",INDEX(Calculo!$F$254:$ES$254,1,Corte+12))</f>
        <v>8959.98771891781</v>
      </c>
      <c r="R16" s="48" t="n">
        <f aca="false">IF(Corte+13&gt;144,"",INDEX(Calculo!$F$254:$ES$254,1,Corte+13))</f>
        <v>8959.98771891781</v>
      </c>
      <c r="S16" s="48" t="n">
        <f aca="false">IF(Corte+14&gt;144,"",INDEX(Calculo!$F$254:$ES$254,1,Corte+14))</f>
        <v>8959.98771891781</v>
      </c>
      <c r="T16" s="48" t="n">
        <f aca="false">IF(Corte+15&gt;144,"",INDEX(Calculo!$F$254:$ES$254,1,Corte+15))</f>
        <v>8959.98771891781</v>
      </c>
      <c r="U16" s="48" t="n">
        <f aca="false">IF(Corte+16&gt;144,"",INDEX(Calculo!$F$254:$ES$254,1,Corte+16))</f>
        <v>8959.98771891781</v>
      </c>
      <c r="V16" s="48" t="n">
        <f aca="false">IF(Corte+17&gt;144,"",INDEX(Calculo!$F$254:$ES$254,1,Corte+17))</f>
        <v>8959.98771891781</v>
      </c>
      <c r="W16" s="48" t="n">
        <f aca="false">IF(Corte+18&gt;144,"",INDEX(Calculo!$F$254:$ES$254,1,Corte+18))</f>
        <v>8959.98771891781</v>
      </c>
      <c r="X16" s="48" t="n">
        <f aca="false">IF(Corte+19&gt;144,"",INDEX(Calculo!$F$254:$ES$254,1,Corte+19))</f>
        <v>8959.98771891781</v>
      </c>
      <c r="Y16" s="48" t="n">
        <f aca="false">IF(Corte+20&gt;144,"",INDEX(Calculo!$F$254:$ES$254,1,Corte+20))</f>
        <v>8959.98771891781</v>
      </c>
      <c r="Z16" s="48" t="n">
        <f aca="false">IF(Corte+21&gt;144,"",INDEX(Calculo!$F$254:$ES$254,1,Corte+21))</f>
        <v>8959.98771891781</v>
      </c>
      <c r="AA16" s="48" t="n">
        <f aca="false">IF(Corte+22&gt;144,"",INDEX(Calculo!$F$254:$ES$254,1,Corte+22))</f>
        <v>8959.98771891781</v>
      </c>
      <c r="AB16" s="48" t="n">
        <f aca="false">IF(Corte+23&gt;144,"",INDEX(Calculo!$F$254:$ES$254,1,Corte+23))</f>
        <v>8959.98771891781</v>
      </c>
      <c r="AC16" s="48" t="n">
        <f aca="false">IF(Corte+24&gt;144,"",INDEX(Calculo!$F$254:$ES$254,1,Corte+24))</f>
        <v>8959.98771891781</v>
      </c>
    </row>
    <row r="17" customFormat="false" ht="15" hidden="false" customHeight="false" outlineLevel="0" collapsed="false">
      <c r="A17" s="11" t="s">
        <v>1376</v>
      </c>
      <c r="B17" s="15" t="s">
        <v>1466</v>
      </c>
      <c r="C17" s="54" t="n">
        <f aca="false">SUM(F17:Q17)</f>
        <v>283167.773124501</v>
      </c>
      <c r="D17" s="54" t="n">
        <f aca="false">SUM(R17:AC17)</f>
        <v>289568.213124501</v>
      </c>
      <c r="E17" s="54" t="n">
        <f aca="false">SUM(F17:AC17)</f>
        <v>572735.986249003</v>
      </c>
      <c r="F17" s="48" t="n">
        <f aca="false">IF(Corte+1&gt;144,"",INDEX(Calculo!$F$255:$ES$255,1,Corte+1))</f>
        <v>23597.3144270418</v>
      </c>
      <c r="G17" s="48" t="n">
        <f aca="false">IF(Corte+2&gt;144,"",INDEX(Calculo!$F$255:$ES$255,1,Corte+2))</f>
        <v>23597.3144270418</v>
      </c>
      <c r="H17" s="48" t="n">
        <f aca="false">IF(Corte+3&gt;144,"",INDEX(Calculo!$F$255:$ES$255,1,Corte+3))</f>
        <v>23597.3144270418</v>
      </c>
      <c r="I17" s="48" t="n">
        <f aca="false">IF(Corte+4&gt;144,"",INDEX(Calculo!$F$255:$ES$255,1,Corte+4))</f>
        <v>23597.3144270418</v>
      </c>
      <c r="J17" s="48" t="n">
        <f aca="false">IF(Corte+5&gt;144,"",INDEX(Calculo!$F$255:$ES$255,1,Corte+5))</f>
        <v>23597.3144270418</v>
      </c>
      <c r="K17" s="48" t="n">
        <f aca="false">IF(Corte+6&gt;144,"",INDEX(Calculo!$F$255:$ES$255,1,Corte+6))</f>
        <v>23597.3144270418</v>
      </c>
      <c r="L17" s="48" t="n">
        <f aca="false">IF(Corte+7&gt;144,"",INDEX(Calculo!$F$255:$ES$255,1,Corte+7))</f>
        <v>23597.3144270418</v>
      </c>
      <c r="M17" s="48" t="n">
        <f aca="false">IF(Corte+8&gt;144,"",INDEX(Calculo!$F$255:$ES$255,1,Corte+8))</f>
        <v>23597.3144270418</v>
      </c>
      <c r="N17" s="48" t="n">
        <f aca="false">IF(Corte+9&gt;144,"",INDEX(Calculo!$F$255:$ES$255,1,Corte+9))</f>
        <v>23597.3144270418</v>
      </c>
      <c r="O17" s="48" t="n">
        <f aca="false">IF(Corte+10&gt;144,"",INDEX(Calculo!$F$255:$ES$255,1,Corte+10))</f>
        <v>23597.3144270418</v>
      </c>
      <c r="P17" s="48" t="n">
        <f aca="false">IF(Corte+11&gt;144,"",INDEX(Calculo!$F$255:$ES$255,1,Corte+11))</f>
        <v>23597.3144270418</v>
      </c>
      <c r="Q17" s="48" t="n">
        <f aca="false">IF(Corte+12&gt;144,"",INDEX(Calculo!$F$255:$ES$255,1,Corte+12))</f>
        <v>23597.3144270418</v>
      </c>
      <c r="R17" s="48" t="n">
        <f aca="false">IF(Corte+13&gt;144,"",INDEX(Calculo!$F$255:$ES$255,1,Corte+13))</f>
        <v>24130.6844270418</v>
      </c>
      <c r="S17" s="48" t="n">
        <f aca="false">IF(Corte+14&gt;144,"",INDEX(Calculo!$F$255:$ES$255,1,Corte+14))</f>
        <v>24130.6844270418</v>
      </c>
      <c r="T17" s="48" t="n">
        <f aca="false">IF(Corte+15&gt;144,"",INDEX(Calculo!$F$255:$ES$255,1,Corte+15))</f>
        <v>24130.6844270418</v>
      </c>
      <c r="U17" s="48" t="n">
        <f aca="false">IF(Corte+16&gt;144,"",INDEX(Calculo!$F$255:$ES$255,1,Corte+16))</f>
        <v>24130.6844270418</v>
      </c>
      <c r="V17" s="48" t="n">
        <f aca="false">IF(Corte+17&gt;144,"",INDEX(Calculo!$F$255:$ES$255,1,Corte+17))</f>
        <v>24130.6844270418</v>
      </c>
      <c r="W17" s="48" t="n">
        <f aca="false">IF(Corte+18&gt;144,"",INDEX(Calculo!$F$255:$ES$255,1,Corte+18))</f>
        <v>24130.6844270418</v>
      </c>
      <c r="X17" s="48" t="n">
        <f aca="false">IF(Corte+19&gt;144,"",INDEX(Calculo!$F$255:$ES$255,1,Corte+19))</f>
        <v>24130.6844270418</v>
      </c>
      <c r="Y17" s="48" t="n">
        <f aca="false">IF(Corte+20&gt;144,"",INDEX(Calculo!$F$255:$ES$255,1,Corte+20))</f>
        <v>24130.6844270418</v>
      </c>
      <c r="Z17" s="48" t="n">
        <f aca="false">IF(Corte+21&gt;144,"",INDEX(Calculo!$F$255:$ES$255,1,Corte+21))</f>
        <v>24130.6844270418</v>
      </c>
      <c r="AA17" s="48" t="n">
        <f aca="false">IF(Corte+22&gt;144,"",INDEX(Calculo!$F$255:$ES$255,1,Corte+22))</f>
        <v>24130.6844270418</v>
      </c>
      <c r="AB17" s="48" t="n">
        <f aca="false">IF(Corte+23&gt;144,"",INDEX(Calculo!$F$255:$ES$255,1,Corte+23))</f>
        <v>24130.6844270418</v>
      </c>
      <c r="AC17" s="48" t="n">
        <f aca="false">IF(Corte+24&gt;144,"",INDEX(Calculo!$F$255:$ES$255,1,Corte+24))</f>
        <v>24130.6844270418</v>
      </c>
    </row>
    <row r="18" customFormat="false" ht="15" hidden="false" customHeight="false" outlineLevel="0" collapsed="false">
      <c r="A18" s="11" t="s">
        <v>1377</v>
      </c>
      <c r="B18" s="15" t="s">
        <v>1011</v>
      </c>
      <c r="C18" s="54" t="n">
        <f aca="false">SUM(F18:Q18)</f>
        <v>48500</v>
      </c>
      <c r="D18" s="54" t="n">
        <f aca="false">SUM(R18:AC18)</f>
        <v>61812</v>
      </c>
      <c r="E18" s="54" t="n">
        <f aca="false">SUM(F18:AC18)</f>
        <v>110312</v>
      </c>
      <c r="F18" s="48" t="n">
        <f aca="false">IF(Corte+1&gt;144,"",INDEX(Calculo!$F$256:$ES$256,1,Corte+1))</f>
        <v>4041.66666666667</v>
      </c>
      <c r="G18" s="48" t="n">
        <f aca="false">IF(Corte+2&gt;144,"",INDEX(Calculo!$F$256:$ES$256,1,Corte+2))</f>
        <v>4041.66666666667</v>
      </c>
      <c r="H18" s="48" t="n">
        <f aca="false">IF(Corte+3&gt;144,"",INDEX(Calculo!$F$256:$ES$256,1,Corte+3))</f>
        <v>4041.66666666667</v>
      </c>
      <c r="I18" s="48" t="n">
        <f aca="false">IF(Corte+4&gt;144,"",INDEX(Calculo!$F$256:$ES$256,1,Corte+4))</f>
        <v>4041.66666666667</v>
      </c>
      <c r="J18" s="48" t="n">
        <f aca="false">IF(Corte+5&gt;144,"",INDEX(Calculo!$F$256:$ES$256,1,Corte+5))</f>
        <v>4041.66666666667</v>
      </c>
      <c r="K18" s="48" t="n">
        <f aca="false">IF(Corte+6&gt;144,"",INDEX(Calculo!$F$256:$ES$256,1,Corte+6))</f>
        <v>4041.66666666667</v>
      </c>
      <c r="L18" s="48" t="n">
        <f aca="false">IF(Corte+7&gt;144,"",INDEX(Calculo!$F$256:$ES$256,1,Corte+7))</f>
        <v>4041.66666666667</v>
      </c>
      <c r="M18" s="48" t="n">
        <f aca="false">IF(Corte+8&gt;144,"",INDEX(Calculo!$F$256:$ES$256,1,Corte+8))</f>
        <v>4041.66666666667</v>
      </c>
      <c r="N18" s="48" t="n">
        <f aca="false">IF(Corte+9&gt;144,"",INDEX(Calculo!$F$256:$ES$256,1,Corte+9))</f>
        <v>4041.66666666667</v>
      </c>
      <c r="O18" s="48" t="n">
        <f aca="false">IF(Corte+10&gt;144,"",INDEX(Calculo!$F$256:$ES$256,1,Corte+10))</f>
        <v>4041.66666666667</v>
      </c>
      <c r="P18" s="48" t="n">
        <f aca="false">IF(Corte+11&gt;144,"",INDEX(Calculo!$F$256:$ES$256,1,Corte+11))</f>
        <v>4041.66666666667</v>
      </c>
      <c r="Q18" s="48" t="n">
        <f aca="false">IF(Corte+12&gt;144,"",INDEX(Calculo!$F$256:$ES$256,1,Corte+12))</f>
        <v>4041.66666666667</v>
      </c>
      <c r="R18" s="48" t="n">
        <f aca="false">IF(Corte+13&gt;144,"",INDEX(Calculo!$F$256:$ES$256,1,Corte+13))</f>
        <v>5151</v>
      </c>
      <c r="S18" s="48" t="n">
        <f aca="false">IF(Corte+14&gt;144,"",INDEX(Calculo!$F$256:$ES$256,1,Corte+14))</f>
        <v>5151</v>
      </c>
      <c r="T18" s="48" t="n">
        <f aca="false">IF(Corte+15&gt;144,"",INDEX(Calculo!$F$256:$ES$256,1,Corte+15))</f>
        <v>5151</v>
      </c>
      <c r="U18" s="48" t="n">
        <f aca="false">IF(Corte+16&gt;144,"",INDEX(Calculo!$F$256:$ES$256,1,Corte+16))</f>
        <v>5151</v>
      </c>
      <c r="V18" s="48" t="n">
        <f aca="false">IF(Corte+17&gt;144,"",INDEX(Calculo!$F$256:$ES$256,1,Corte+17))</f>
        <v>5151</v>
      </c>
      <c r="W18" s="48" t="n">
        <f aca="false">IF(Corte+18&gt;144,"",INDEX(Calculo!$F$256:$ES$256,1,Corte+18))</f>
        <v>5151</v>
      </c>
      <c r="X18" s="48" t="n">
        <f aca="false">IF(Corte+19&gt;144,"",INDEX(Calculo!$F$256:$ES$256,1,Corte+19))</f>
        <v>5151</v>
      </c>
      <c r="Y18" s="48" t="n">
        <f aca="false">IF(Corte+20&gt;144,"",INDEX(Calculo!$F$256:$ES$256,1,Corte+20))</f>
        <v>5151</v>
      </c>
      <c r="Z18" s="48" t="n">
        <f aca="false">IF(Corte+21&gt;144,"",INDEX(Calculo!$F$256:$ES$256,1,Corte+21))</f>
        <v>5151</v>
      </c>
      <c r="AA18" s="48" t="n">
        <f aca="false">IF(Corte+22&gt;144,"",INDEX(Calculo!$F$256:$ES$256,1,Corte+22))</f>
        <v>5151</v>
      </c>
      <c r="AB18" s="48" t="n">
        <f aca="false">IF(Corte+23&gt;144,"",INDEX(Calculo!$F$256:$ES$256,1,Corte+23))</f>
        <v>5151</v>
      </c>
      <c r="AC18" s="48" t="n">
        <f aca="false">IF(Corte+24&gt;144,"",INDEX(Calculo!$F$256:$ES$256,1,Corte+24))</f>
        <v>5151</v>
      </c>
    </row>
    <row r="19" customFormat="false" ht="15" hidden="false" customHeight="false" outlineLevel="0" collapsed="false">
      <c r="A19" s="11" t="s">
        <v>1379</v>
      </c>
      <c r="B19" s="67" t="s">
        <v>509</v>
      </c>
      <c r="C19" s="54" t="n">
        <f aca="false">SUM(F19:Q19)</f>
        <v>509970.005707077</v>
      </c>
      <c r="D19" s="54" t="n">
        <f aca="false">SUM(R19:AC19)</f>
        <v>965956.835927578</v>
      </c>
      <c r="E19" s="54" t="n">
        <f aca="false">SUM(F19:AC19)</f>
        <v>1475926.84163465</v>
      </c>
      <c r="F19" s="19" t="n">
        <f aca="false">IF(Corte+1&gt;144,"",INDEX(Calculo!$F$258:$ES$258,1,Corte+1))</f>
        <v>42497.5004755897</v>
      </c>
      <c r="G19" s="19" t="n">
        <f aca="false">IF(Corte+2&gt;144,"",INDEX(Calculo!$F$258:$ES$258,1,Corte+2))</f>
        <v>42497.5004755897</v>
      </c>
      <c r="H19" s="19" t="n">
        <f aca="false">IF(Corte+3&gt;144,"",INDEX(Calculo!$F$258:$ES$258,1,Corte+3))</f>
        <v>42497.5004755897</v>
      </c>
      <c r="I19" s="19" t="n">
        <f aca="false">IF(Corte+4&gt;144,"",INDEX(Calculo!$F$258:$ES$258,1,Corte+4))</f>
        <v>42497.5004755897</v>
      </c>
      <c r="J19" s="19" t="n">
        <f aca="false">IF(Corte+5&gt;144,"",INDEX(Calculo!$F$258:$ES$258,1,Corte+5))</f>
        <v>42497.5004755897</v>
      </c>
      <c r="K19" s="19" t="n">
        <f aca="false">IF(Corte+6&gt;144,"",INDEX(Calculo!$F$258:$ES$258,1,Corte+6))</f>
        <v>42497.5004755897</v>
      </c>
      <c r="L19" s="19" t="n">
        <f aca="false">IF(Corte+7&gt;144,"",INDEX(Calculo!$F$258:$ES$258,1,Corte+7))</f>
        <v>42497.5004755897</v>
      </c>
      <c r="M19" s="19" t="n">
        <f aca="false">IF(Corte+8&gt;144,"",INDEX(Calculo!$F$258:$ES$258,1,Corte+8))</f>
        <v>42497.5004755897</v>
      </c>
      <c r="N19" s="19" t="n">
        <f aca="false">IF(Corte+9&gt;144,"",INDEX(Calculo!$F$258:$ES$258,1,Corte+9))</f>
        <v>42497.5004755897</v>
      </c>
      <c r="O19" s="19" t="n">
        <f aca="false">IF(Corte+10&gt;144,"",INDEX(Calculo!$F$258:$ES$258,1,Corte+10))</f>
        <v>42497.5004755897</v>
      </c>
      <c r="P19" s="19" t="n">
        <f aca="false">IF(Corte+11&gt;144,"",INDEX(Calculo!$F$258:$ES$258,1,Corte+11))</f>
        <v>42497.5004755897</v>
      </c>
      <c r="Q19" s="19" t="n">
        <f aca="false">IF(Corte+12&gt;144,"",INDEX(Calculo!$F$258:$ES$258,1,Corte+12))</f>
        <v>42497.5004755897</v>
      </c>
      <c r="R19" s="19" t="n">
        <f aca="false">IF(Corte+13&gt;144,"",INDEX(Calculo!$F$258:$ES$258,1,Corte+13))</f>
        <v>80496.4029939648</v>
      </c>
      <c r="S19" s="19" t="n">
        <f aca="false">IF(Corte+14&gt;144,"",INDEX(Calculo!$F$258:$ES$258,1,Corte+14))</f>
        <v>80496.4029939648</v>
      </c>
      <c r="T19" s="19" t="n">
        <f aca="false">IF(Corte+15&gt;144,"",INDEX(Calculo!$F$258:$ES$258,1,Corte+15))</f>
        <v>80496.4029939648</v>
      </c>
      <c r="U19" s="19" t="n">
        <f aca="false">IF(Corte+16&gt;144,"",INDEX(Calculo!$F$258:$ES$258,1,Corte+16))</f>
        <v>80496.4029939648</v>
      </c>
      <c r="V19" s="19" t="n">
        <f aca="false">IF(Corte+17&gt;144,"",INDEX(Calculo!$F$258:$ES$258,1,Corte+17))</f>
        <v>80496.4029939648</v>
      </c>
      <c r="W19" s="19" t="n">
        <f aca="false">IF(Corte+18&gt;144,"",INDEX(Calculo!$F$258:$ES$258,1,Corte+18))</f>
        <v>80496.4029939648</v>
      </c>
      <c r="X19" s="19" t="n">
        <f aca="false">IF(Corte+19&gt;144,"",INDEX(Calculo!$F$258:$ES$258,1,Corte+19))</f>
        <v>80496.4029939648</v>
      </c>
      <c r="Y19" s="19" t="n">
        <f aca="false">IF(Corte+20&gt;144,"",INDEX(Calculo!$F$258:$ES$258,1,Corte+20))</f>
        <v>80496.4029939648</v>
      </c>
      <c r="Z19" s="19" t="n">
        <f aca="false">IF(Corte+21&gt;144,"",INDEX(Calculo!$F$258:$ES$258,1,Corte+21))</f>
        <v>80496.4029939648</v>
      </c>
      <c r="AA19" s="19" t="n">
        <f aca="false">IF(Corte+22&gt;144,"",INDEX(Calculo!$F$258:$ES$258,1,Corte+22))</f>
        <v>80496.4029939648</v>
      </c>
      <c r="AB19" s="19" t="n">
        <f aca="false">IF(Corte+23&gt;144,"",INDEX(Calculo!$F$258:$ES$258,1,Corte+23))</f>
        <v>80496.4029939648</v>
      </c>
      <c r="AC19" s="19" t="n">
        <f aca="false">IF(Corte+24&gt;144,"",INDEX(Calculo!$F$258:$ES$258,1,Corte+24))</f>
        <v>80496.4029939648</v>
      </c>
    </row>
    <row r="20" customFormat="false" ht="15" hidden="false" customHeight="false" outlineLevel="0" collapsed="false">
      <c r="A20" s="11" t="s">
        <v>1380</v>
      </c>
      <c r="B20" s="15" t="s">
        <v>1467</v>
      </c>
      <c r="C20" s="54" t="n">
        <f aca="false">SUM(F20:Q20)</f>
        <v>71592.209</v>
      </c>
      <c r="D20" s="54" t="n">
        <f aca="false">SUM(R20:AC20)</f>
        <v>81592.209</v>
      </c>
      <c r="E20" s="54" t="n">
        <f aca="false">SUM(F20:AC20)</f>
        <v>153184.418</v>
      </c>
      <c r="F20" s="48" t="n">
        <f aca="false">IF(Corte+1&gt;144,"",INDEX(Calculo!$F$259:$ES$259,1,Corte+1))</f>
        <v>5966.01741666667</v>
      </c>
      <c r="G20" s="48" t="n">
        <f aca="false">IF(Corte+2&gt;144,"",INDEX(Calculo!$F$259:$ES$259,1,Corte+2))</f>
        <v>5966.01741666667</v>
      </c>
      <c r="H20" s="48" t="n">
        <f aca="false">IF(Corte+3&gt;144,"",INDEX(Calculo!$F$259:$ES$259,1,Corte+3))</f>
        <v>5966.01741666667</v>
      </c>
      <c r="I20" s="48" t="n">
        <f aca="false">IF(Corte+4&gt;144,"",INDEX(Calculo!$F$259:$ES$259,1,Corte+4))</f>
        <v>5966.01741666667</v>
      </c>
      <c r="J20" s="48" t="n">
        <f aca="false">IF(Corte+5&gt;144,"",INDEX(Calculo!$F$259:$ES$259,1,Corte+5))</f>
        <v>5966.01741666667</v>
      </c>
      <c r="K20" s="48" t="n">
        <f aca="false">IF(Corte+6&gt;144,"",INDEX(Calculo!$F$259:$ES$259,1,Corte+6))</f>
        <v>5966.01741666667</v>
      </c>
      <c r="L20" s="48" t="n">
        <f aca="false">IF(Corte+7&gt;144,"",INDEX(Calculo!$F$259:$ES$259,1,Corte+7))</f>
        <v>5966.01741666667</v>
      </c>
      <c r="M20" s="48" t="n">
        <f aca="false">IF(Corte+8&gt;144,"",INDEX(Calculo!$F$259:$ES$259,1,Corte+8))</f>
        <v>5966.01741666667</v>
      </c>
      <c r="N20" s="48" t="n">
        <f aca="false">IF(Corte+9&gt;144,"",INDEX(Calculo!$F$259:$ES$259,1,Corte+9))</f>
        <v>5966.01741666667</v>
      </c>
      <c r="O20" s="48" t="n">
        <f aca="false">IF(Corte+10&gt;144,"",INDEX(Calculo!$F$259:$ES$259,1,Corte+10))</f>
        <v>5966.01741666667</v>
      </c>
      <c r="P20" s="48" t="n">
        <f aca="false">IF(Corte+11&gt;144,"",INDEX(Calculo!$F$259:$ES$259,1,Corte+11))</f>
        <v>5966.01741666667</v>
      </c>
      <c r="Q20" s="48" t="n">
        <f aca="false">IF(Corte+12&gt;144,"",INDEX(Calculo!$F$259:$ES$259,1,Corte+12))</f>
        <v>5966.01741666667</v>
      </c>
      <c r="R20" s="48" t="n">
        <f aca="false">IF(Corte+13&gt;144,"",INDEX(Calculo!$F$259:$ES$259,1,Corte+13))</f>
        <v>6799.35075</v>
      </c>
      <c r="S20" s="48" t="n">
        <f aca="false">IF(Corte+14&gt;144,"",INDEX(Calculo!$F$259:$ES$259,1,Corte+14))</f>
        <v>6799.35075</v>
      </c>
      <c r="T20" s="48" t="n">
        <f aca="false">IF(Corte+15&gt;144,"",INDEX(Calculo!$F$259:$ES$259,1,Corte+15))</f>
        <v>6799.35075</v>
      </c>
      <c r="U20" s="48" t="n">
        <f aca="false">IF(Corte+16&gt;144,"",INDEX(Calculo!$F$259:$ES$259,1,Corte+16))</f>
        <v>6799.35075</v>
      </c>
      <c r="V20" s="48" t="n">
        <f aca="false">IF(Corte+17&gt;144,"",INDEX(Calculo!$F$259:$ES$259,1,Corte+17))</f>
        <v>6799.35075</v>
      </c>
      <c r="W20" s="48" t="n">
        <f aca="false">IF(Corte+18&gt;144,"",INDEX(Calculo!$F$259:$ES$259,1,Corte+18))</f>
        <v>6799.35075</v>
      </c>
      <c r="X20" s="48" t="n">
        <f aca="false">IF(Corte+19&gt;144,"",INDEX(Calculo!$F$259:$ES$259,1,Corte+19))</f>
        <v>6799.35075</v>
      </c>
      <c r="Y20" s="48" t="n">
        <f aca="false">IF(Corte+20&gt;144,"",INDEX(Calculo!$F$259:$ES$259,1,Corte+20))</f>
        <v>6799.35075</v>
      </c>
      <c r="Z20" s="48" t="n">
        <f aca="false">IF(Corte+21&gt;144,"",INDEX(Calculo!$F$259:$ES$259,1,Corte+21))</f>
        <v>6799.35075</v>
      </c>
      <c r="AA20" s="48" t="n">
        <f aca="false">IF(Corte+22&gt;144,"",INDEX(Calculo!$F$259:$ES$259,1,Corte+22))</f>
        <v>6799.35075</v>
      </c>
      <c r="AB20" s="48" t="n">
        <f aca="false">IF(Corte+23&gt;144,"",INDEX(Calculo!$F$259:$ES$259,1,Corte+23))</f>
        <v>6799.35075</v>
      </c>
      <c r="AC20" s="48" t="n">
        <f aca="false">IF(Corte+24&gt;144,"",INDEX(Calculo!$F$259:$ES$259,1,Corte+24))</f>
        <v>6799.35075</v>
      </c>
    </row>
    <row r="21" customFormat="false" ht="15" hidden="false" customHeight="false" outlineLevel="0" collapsed="false">
      <c r="A21" s="11" t="s">
        <v>1382</v>
      </c>
      <c r="B21" s="15" t="s">
        <v>1180</v>
      </c>
      <c r="C21" s="54" t="n">
        <f aca="false">SUM(F21:Q21)</f>
        <v>271101.932431026</v>
      </c>
      <c r="D21" s="54" t="n">
        <f aca="false">SUM(R21:AC21)</f>
        <v>226274.254121452</v>
      </c>
      <c r="E21" s="54" t="n">
        <f aca="false">SUM(F21:AC21)</f>
        <v>497376.186552478</v>
      </c>
      <c r="F21" s="48" t="n">
        <f aca="false">IF(Corte+1&gt;144,"",INDEX(Calculo!$F$261:$ES$261,1,Corte+1))</f>
        <v>23030.59275</v>
      </c>
      <c r="G21" s="48" t="n">
        <f aca="false">IF(Corte+2&gt;144,"",INDEX(Calculo!$F$261:$ES$261,1,Corte+2))</f>
        <v>23030.59275</v>
      </c>
      <c r="H21" s="48" t="n">
        <f aca="false">IF(Corte+3&gt;144,"",INDEX(Calculo!$F$261:$ES$261,1,Corte+3))</f>
        <v>23030.59275</v>
      </c>
      <c r="I21" s="48" t="n">
        <f aca="false">IF(Corte+4&gt;144,"",INDEX(Calculo!$F$261:$ES$261,1,Corte+4))</f>
        <v>23030.59275</v>
      </c>
      <c r="J21" s="48" t="n">
        <f aca="false">IF(Corte+5&gt;144,"",INDEX(Calculo!$F$261:$ES$261,1,Corte+5))</f>
        <v>23030.59275</v>
      </c>
      <c r="K21" s="48" t="n">
        <f aca="false">IF(Corte+6&gt;144,"",INDEX(Calculo!$F$261:$ES$261,1,Corte+6))</f>
        <v>23030.59275</v>
      </c>
      <c r="L21" s="48" t="n">
        <f aca="false">IF(Corte+7&gt;144,"",INDEX(Calculo!$F$261:$ES$261,1,Corte+7))</f>
        <v>23030.59275</v>
      </c>
      <c r="M21" s="48" t="n">
        <f aca="false">IF(Corte+8&gt;144,"",INDEX(Calculo!$F$261:$ES$261,1,Corte+8))</f>
        <v>22683.0754912188</v>
      </c>
      <c r="N21" s="48" t="n">
        <f aca="false">IF(Corte+9&gt;144,"",INDEX(Calculo!$F$261:$ES$261,1,Corte+9))</f>
        <v>22332.9518529968</v>
      </c>
      <c r="O21" s="48" t="n">
        <f aca="false">IF(Corte+10&gt;144,"",INDEX(Calculo!$F$261:$ES$261,1,Corte+10))</f>
        <v>21980.2022874881</v>
      </c>
      <c r="P21" s="48" t="n">
        <f aca="false">IF(Corte+11&gt;144,"",INDEX(Calculo!$F$261:$ES$261,1,Corte+11))</f>
        <v>21624.8071002381</v>
      </c>
      <c r="Q21" s="48" t="n">
        <f aca="false">IF(Corte+12&gt;144,"",INDEX(Calculo!$F$261:$ES$261,1,Corte+12))</f>
        <v>21266.7464490837</v>
      </c>
      <c r="R21" s="48" t="n">
        <f aca="false">IF(Corte+13&gt;144,"",INDEX(Calculo!$F$261:$ES$261,1,Corte+13))</f>
        <v>20906.0003430457</v>
      </c>
      <c r="S21" s="48" t="n">
        <f aca="false">IF(Corte+14&gt;144,"",INDEX(Calculo!$F$261:$ES$261,1,Corte+14))</f>
        <v>20542.5486412123</v>
      </c>
      <c r="T21" s="48" t="n">
        <f aca="false">IF(Corte+15&gt;144,"",INDEX(Calculo!$F$261:$ES$261,1,Corte+15))</f>
        <v>20176.3710516152</v>
      </c>
      <c r="U21" s="48" t="n">
        <f aca="false">IF(Corte+16&gt;144,"",INDEX(Calculo!$F$261:$ES$261,1,Corte+16))</f>
        <v>19807.4471300962</v>
      </c>
      <c r="V21" s="48" t="n">
        <f aca="false">IF(Corte+17&gt;144,"",INDEX(Calculo!$F$261:$ES$261,1,Corte+17))</f>
        <v>19435.7562791657</v>
      </c>
      <c r="W21" s="48" t="n">
        <f aca="false">IF(Corte+18&gt;144,"",INDEX(Calculo!$F$261:$ES$261,1,Corte+18))</f>
        <v>19061.2777468533</v>
      </c>
      <c r="X21" s="48" t="n">
        <f aca="false">IF(Corte+19&gt;144,"",INDEX(Calculo!$F$261:$ES$261,1,Corte+19))</f>
        <v>18683.9906255485</v>
      </c>
      <c r="Y21" s="48" t="n">
        <f aca="false">IF(Corte+20&gt;144,"",INDEX(Calculo!$F$261:$ES$261,1,Corte+20))</f>
        <v>18303.873850834</v>
      </c>
      <c r="Z21" s="48" t="n">
        <f aca="false">IF(Corte+21&gt;144,"",INDEX(Calculo!$F$261:$ES$261,1,Corte+21))</f>
        <v>17920.906200309</v>
      </c>
      <c r="AA21" s="48" t="n">
        <f aca="false">IF(Corte+22&gt;144,"",INDEX(Calculo!$F$261:$ES$261,1,Corte+22))</f>
        <v>17535.0662924052</v>
      </c>
      <c r="AB21" s="48" t="n">
        <f aca="false">IF(Corte+23&gt;144,"",INDEX(Calculo!$F$261:$ES$261,1,Corte+23))</f>
        <v>17146.3325851921</v>
      </c>
      <c r="AC21" s="48" t="n">
        <f aca="false">IF(Corte+24&gt;144,"",INDEX(Calculo!$F$261:$ES$261,1,Corte+24))</f>
        <v>16754.6833751748</v>
      </c>
    </row>
    <row r="22" customFormat="false" ht="15" hidden="false" customHeight="false" outlineLevel="0" collapsed="false">
      <c r="A22" s="11" t="s">
        <v>1384</v>
      </c>
      <c r="B22" s="67" t="s">
        <v>1468</v>
      </c>
      <c r="C22" s="54" t="n">
        <f aca="false">SUM(F22:Q22)</f>
        <v>167275.864276051</v>
      </c>
      <c r="D22" s="54" t="n">
        <f aca="false">SUM(R22:AC22)</f>
        <v>658090.372806125</v>
      </c>
      <c r="E22" s="54" t="n">
        <f aca="false">SUM(F22:AC22)</f>
        <v>825366.237082177</v>
      </c>
      <c r="F22" s="19" t="n">
        <f aca="false">IF(Corte+1&gt;144,"",INDEX(Calculo!$F$263:$ES$263,1,Corte+1))</f>
        <v>13500.8903089231</v>
      </c>
      <c r="G22" s="19" t="n">
        <f aca="false">IF(Corte+2&gt;144,"",INDEX(Calculo!$F$263:$ES$263,1,Corte+2))</f>
        <v>13500.8903089231</v>
      </c>
      <c r="H22" s="19" t="n">
        <f aca="false">IF(Corte+3&gt;144,"",INDEX(Calculo!$F$263:$ES$263,1,Corte+3))</f>
        <v>13500.8903089231</v>
      </c>
      <c r="I22" s="19" t="n">
        <f aca="false">IF(Corte+4&gt;144,"",INDEX(Calculo!$F$263:$ES$263,1,Corte+4))</f>
        <v>13500.8903089231</v>
      </c>
      <c r="J22" s="19" t="n">
        <f aca="false">IF(Corte+5&gt;144,"",INDEX(Calculo!$F$263:$ES$263,1,Corte+5))</f>
        <v>13500.8903089231</v>
      </c>
      <c r="K22" s="19" t="n">
        <f aca="false">IF(Corte+6&gt;144,"",INDEX(Calculo!$F$263:$ES$263,1,Corte+6))</f>
        <v>13500.8903089231</v>
      </c>
      <c r="L22" s="19" t="n">
        <f aca="false">IF(Corte+7&gt;144,"",INDEX(Calculo!$F$263:$ES$263,1,Corte+7))</f>
        <v>13500.8903089231</v>
      </c>
      <c r="M22" s="19" t="n">
        <f aca="false">IF(Corte+8&gt;144,"",INDEX(Calculo!$F$263:$ES$263,1,Corte+8))</f>
        <v>13848.4075677042</v>
      </c>
      <c r="N22" s="19" t="n">
        <f aca="false">IF(Corte+9&gt;144,"",INDEX(Calculo!$F$263:$ES$263,1,Corte+9))</f>
        <v>14198.5312059263</v>
      </c>
      <c r="O22" s="19" t="n">
        <f aca="false">IF(Corte+10&gt;144,"",INDEX(Calculo!$F$263:$ES$263,1,Corte+10))</f>
        <v>14551.280771435</v>
      </c>
      <c r="P22" s="19" t="n">
        <f aca="false">IF(Corte+11&gt;144,"",INDEX(Calculo!$F$263:$ES$263,1,Corte+11))</f>
        <v>14906.675958685</v>
      </c>
      <c r="Q22" s="19" t="n">
        <f aca="false">IF(Corte+12&gt;144,"",INDEX(Calculo!$F$263:$ES$263,1,Corte+12))</f>
        <v>15264.7366098394</v>
      </c>
      <c r="R22" s="19" t="n">
        <f aca="false">IF(Corte+13&gt;144,"",INDEX(Calculo!$F$263:$ES$263,1,Corte+13))</f>
        <v>52791.0519009191</v>
      </c>
      <c r="S22" s="19" t="n">
        <f aca="false">IF(Corte+14&gt;144,"",INDEX(Calculo!$F$263:$ES$263,1,Corte+14))</f>
        <v>53154.5036027525</v>
      </c>
      <c r="T22" s="19" t="n">
        <f aca="false">IF(Corte+15&gt;144,"",INDEX(Calculo!$F$263:$ES$263,1,Corte+15))</f>
        <v>53520.6811923496</v>
      </c>
      <c r="U22" s="19" t="n">
        <f aca="false">IF(Corte+16&gt;144,"",INDEX(Calculo!$F$263:$ES$263,1,Corte+16))</f>
        <v>53889.6051138686</v>
      </c>
      <c r="V22" s="19" t="n">
        <f aca="false">IF(Corte+17&gt;144,"",INDEX(Calculo!$F$263:$ES$263,1,Corte+17))</f>
        <v>54261.2959647991</v>
      </c>
      <c r="W22" s="19" t="n">
        <f aca="false">IF(Corte+18&gt;144,"",INDEX(Calculo!$F$263:$ES$263,1,Corte+18))</f>
        <v>54635.7744971115</v>
      </c>
      <c r="X22" s="19" t="n">
        <f aca="false">IF(Corte+19&gt;144,"",INDEX(Calculo!$F$263:$ES$263,1,Corte+19))</f>
        <v>55013.0616184163</v>
      </c>
      <c r="Y22" s="19" t="n">
        <f aca="false">IF(Corte+20&gt;144,"",INDEX(Calculo!$F$263:$ES$263,1,Corte+20))</f>
        <v>55393.1783931308</v>
      </c>
      <c r="Z22" s="19" t="n">
        <f aca="false">IF(Corte+21&gt;144,"",INDEX(Calculo!$F$263:$ES$263,1,Corte+21))</f>
        <v>55776.1460436557</v>
      </c>
      <c r="AA22" s="19" t="n">
        <f aca="false">IF(Corte+22&gt;144,"",INDEX(Calculo!$F$263:$ES$263,1,Corte+22))</f>
        <v>56161.9859515596</v>
      </c>
      <c r="AB22" s="19" t="n">
        <f aca="false">IF(Corte+23&gt;144,"",INDEX(Calculo!$F$263:$ES$263,1,Corte+23))</f>
        <v>56550.7196587727</v>
      </c>
      <c r="AC22" s="19" t="n">
        <f aca="false">IF(Corte+24&gt;144,"",INDEX(Calculo!$F$263:$ES$263,1,Corte+24))</f>
        <v>56942.36886879</v>
      </c>
    </row>
    <row r="23" customFormat="false" ht="15" hidden="false" customHeight="false" outlineLevel="0" collapsed="false">
      <c r="A23" s="11" t="s">
        <v>1391</v>
      </c>
      <c r="B23" s="67" t="s">
        <v>1469</v>
      </c>
      <c r="C23" s="54" t="n">
        <f aca="false">SUM(F23:Q23)</f>
        <v>-1878093.88165195</v>
      </c>
      <c r="D23" s="54" t="n">
        <f aca="false">SUM(R23:AC23)</f>
        <v>310811.391531933</v>
      </c>
      <c r="E23" s="54" t="n">
        <f aca="false">SUM(F23:AC23)</f>
        <v>-1567282.49012002</v>
      </c>
      <c r="F23" s="19" t="n">
        <f aca="false">IF(Corte+1&gt;144,"",INDEX(Calculo!$F$272:$ES$272,1,Corte+1))</f>
        <v>-2345566.38688344</v>
      </c>
      <c r="G23" s="19" t="n">
        <f aca="false">IF(Corte+2&gt;144,"",INDEX(Calculo!$F$272:$ES$272,1,Corte+2))</f>
        <v>42497.5004755897</v>
      </c>
      <c r="H23" s="19" t="n">
        <f aca="false">IF(Corte+3&gt;144,"",INDEX(Calculo!$F$272:$ES$272,1,Corte+3))</f>
        <v>42497.5004755897</v>
      </c>
      <c r="I23" s="19" t="n">
        <f aca="false">IF(Corte+4&gt;144,"",INDEX(Calculo!$F$272:$ES$272,1,Corte+4))</f>
        <v>42497.5004755897</v>
      </c>
      <c r="J23" s="19" t="n">
        <f aca="false">IF(Corte+5&gt;144,"",INDEX(Calculo!$F$272:$ES$272,1,Corte+5))</f>
        <v>42497.5004755897</v>
      </c>
      <c r="K23" s="19" t="n">
        <f aca="false">IF(Corte+6&gt;144,"",INDEX(Calculo!$F$272:$ES$272,1,Corte+6))</f>
        <v>42497.5004755897</v>
      </c>
      <c r="L23" s="19" t="n">
        <f aca="false">IF(Corte+7&gt;144,"",INDEX(Calculo!$F$272:$ES$272,1,Corte+7))</f>
        <v>42497.5004755897</v>
      </c>
      <c r="M23" s="19" t="n">
        <f aca="false">IF(Corte+8&gt;144,"",INDEX(Calculo!$F$272:$ES$272,1,Corte+8))</f>
        <v>42497.5004755897</v>
      </c>
      <c r="N23" s="19" t="n">
        <f aca="false">IF(Corte+9&gt;144,"",INDEX(Calculo!$F$272:$ES$272,1,Corte+9))</f>
        <v>42497.5004755897</v>
      </c>
      <c r="O23" s="19" t="n">
        <f aca="false">IF(Corte+10&gt;144,"",INDEX(Calculo!$F$272:$ES$272,1,Corte+10))</f>
        <v>42497.5004755897</v>
      </c>
      <c r="P23" s="19" t="n">
        <f aca="false">IF(Corte+11&gt;144,"",INDEX(Calculo!$F$272:$ES$272,1,Corte+11))</f>
        <v>42497.5004755897</v>
      </c>
      <c r="Q23" s="19" t="n">
        <f aca="false">IF(Corte+12&gt;144,"",INDEX(Calculo!$F$272:$ES$272,1,Corte+12))</f>
        <v>42497.5004755897</v>
      </c>
      <c r="R23" s="19" t="n">
        <f aca="false">IF(Corte+13&gt;144,"",INDEX(Calculo!$F$272:$ES$272,1,Corte+13))</f>
        <v>-574649.041401679</v>
      </c>
      <c r="S23" s="19" t="n">
        <f aca="false">IF(Corte+14&gt;144,"",INDEX(Calculo!$F$272:$ES$272,1,Corte+14))</f>
        <v>80496.4029939648</v>
      </c>
      <c r="T23" s="19" t="n">
        <f aca="false">IF(Corte+15&gt;144,"",INDEX(Calculo!$F$272:$ES$272,1,Corte+15))</f>
        <v>80496.4029939648</v>
      </c>
      <c r="U23" s="19" t="n">
        <f aca="false">IF(Corte+16&gt;144,"",INDEX(Calculo!$F$272:$ES$272,1,Corte+16))</f>
        <v>80496.4029939648</v>
      </c>
      <c r="V23" s="19" t="n">
        <f aca="false">IF(Corte+17&gt;144,"",INDEX(Calculo!$F$272:$ES$272,1,Corte+17))</f>
        <v>80496.4029939648</v>
      </c>
      <c r="W23" s="19" t="n">
        <f aca="false">IF(Corte+18&gt;144,"",INDEX(Calculo!$F$272:$ES$272,1,Corte+18))</f>
        <v>80496.4029939648</v>
      </c>
      <c r="X23" s="19" t="n">
        <f aca="false">IF(Corte+19&gt;144,"",INDEX(Calculo!$F$272:$ES$272,1,Corte+19))</f>
        <v>80496.4029939648</v>
      </c>
      <c r="Y23" s="19" t="n">
        <f aca="false">IF(Corte+20&gt;144,"",INDEX(Calculo!$F$272:$ES$272,1,Corte+20))</f>
        <v>80496.4029939648</v>
      </c>
      <c r="Z23" s="19" t="n">
        <f aca="false">IF(Corte+21&gt;144,"",INDEX(Calculo!$F$272:$ES$272,1,Corte+21))</f>
        <v>80496.4029939648</v>
      </c>
      <c r="AA23" s="19" t="n">
        <f aca="false">IF(Corte+22&gt;144,"",INDEX(Calculo!$F$272:$ES$272,1,Corte+22))</f>
        <v>80496.4029939648</v>
      </c>
      <c r="AB23" s="19" t="n">
        <f aca="false">IF(Corte+23&gt;144,"",INDEX(Calculo!$F$272:$ES$272,1,Corte+23))</f>
        <v>80496.4029939648</v>
      </c>
      <c r="AC23" s="19" t="n">
        <f aca="false">IF(Corte+24&gt;144,"",INDEX(Calculo!$F$272:$ES$272,1,Corte+24))</f>
        <v>80496.4029939648</v>
      </c>
    </row>
    <row r="24" customFormat="false" ht="15" hidden="false" customHeight="false" outlineLevel="0" collapsed="false">
      <c r="A24" s="11" t="s">
        <v>1392</v>
      </c>
      <c r="B24" s="15" t="s">
        <v>1014</v>
      </c>
      <c r="C24" s="54" t="n">
        <f aca="false">SUM(F24:Q24)</f>
        <v>655044.09</v>
      </c>
      <c r="D24" s="54" t="n">
        <f aca="false">SUM(R24:AC24)</f>
        <v>100000</v>
      </c>
      <c r="E24" s="54" t="n">
        <f aca="false">SUM(F24:AC24)</f>
        <v>755044.09</v>
      </c>
      <c r="F24" s="48" t="n">
        <f aca="false">IF(Corte+1&gt;144,"",INDEX(Calculo!$F$273:$ES$273,1,Corte+1))</f>
        <v>655044.09</v>
      </c>
      <c r="G24" s="48" t="n">
        <f aca="false">IF(Corte+2&gt;144,"",INDEX(Calculo!$F$273:$ES$273,1,Corte+2))</f>
        <v>0</v>
      </c>
      <c r="H24" s="48" t="n">
        <f aca="false">IF(Corte+3&gt;144,"",INDEX(Calculo!$F$273:$ES$273,1,Corte+3))</f>
        <v>0</v>
      </c>
      <c r="I24" s="48" t="n">
        <f aca="false">IF(Corte+4&gt;144,"",INDEX(Calculo!$F$273:$ES$273,1,Corte+4))</f>
        <v>0</v>
      </c>
      <c r="J24" s="48" t="n">
        <f aca="false">IF(Corte+5&gt;144,"",INDEX(Calculo!$F$273:$ES$273,1,Corte+5))</f>
        <v>0</v>
      </c>
      <c r="K24" s="48" t="n">
        <f aca="false">IF(Corte+6&gt;144,"",INDEX(Calculo!$F$273:$ES$273,1,Corte+6))</f>
        <v>0</v>
      </c>
      <c r="L24" s="48" t="n">
        <f aca="false">IF(Corte+7&gt;144,"",INDEX(Calculo!$F$273:$ES$273,1,Corte+7))</f>
        <v>0</v>
      </c>
      <c r="M24" s="48" t="n">
        <f aca="false">IF(Corte+8&gt;144,"",INDEX(Calculo!$F$273:$ES$273,1,Corte+8))</f>
        <v>0</v>
      </c>
      <c r="N24" s="48" t="n">
        <f aca="false">IF(Corte+9&gt;144,"",INDEX(Calculo!$F$273:$ES$273,1,Corte+9))</f>
        <v>0</v>
      </c>
      <c r="O24" s="48" t="n">
        <f aca="false">IF(Corte+10&gt;144,"",INDEX(Calculo!$F$273:$ES$273,1,Corte+10))</f>
        <v>0</v>
      </c>
      <c r="P24" s="48" t="n">
        <f aca="false">IF(Corte+11&gt;144,"",INDEX(Calculo!$F$273:$ES$273,1,Corte+11))</f>
        <v>0</v>
      </c>
      <c r="Q24" s="48" t="n">
        <f aca="false">IF(Corte+12&gt;144,"",INDEX(Calculo!$F$273:$ES$273,1,Corte+12))</f>
        <v>0</v>
      </c>
      <c r="R24" s="48" t="n">
        <f aca="false">IF(Corte+13&gt;144,"",INDEX(Calculo!$F$273:$ES$273,1,Corte+13))</f>
        <v>100000</v>
      </c>
      <c r="S24" s="48" t="n">
        <f aca="false">IF(Corte+14&gt;144,"",INDEX(Calculo!$F$273:$ES$273,1,Corte+14))</f>
        <v>0</v>
      </c>
      <c r="T24" s="48" t="n">
        <f aca="false">IF(Corte+15&gt;144,"",INDEX(Calculo!$F$273:$ES$273,1,Corte+15))</f>
        <v>0</v>
      </c>
      <c r="U24" s="48" t="n">
        <f aca="false">IF(Corte+16&gt;144,"",INDEX(Calculo!$F$273:$ES$273,1,Corte+16))</f>
        <v>0</v>
      </c>
      <c r="V24" s="48" t="n">
        <f aca="false">IF(Corte+17&gt;144,"",INDEX(Calculo!$F$273:$ES$273,1,Corte+17))</f>
        <v>0</v>
      </c>
      <c r="W24" s="48" t="n">
        <f aca="false">IF(Corte+18&gt;144,"",INDEX(Calculo!$F$273:$ES$273,1,Corte+18))</f>
        <v>0</v>
      </c>
      <c r="X24" s="48" t="n">
        <f aca="false">IF(Corte+19&gt;144,"",INDEX(Calculo!$F$273:$ES$273,1,Corte+19))</f>
        <v>0</v>
      </c>
      <c r="Y24" s="48" t="n">
        <f aca="false">IF(Corte+20&gt;144,"",INDEX(Calculo!$F$273:$ES$273,1,Corte+20))</f>
        <v>0</v>
      </c>
      <c r="Z24" s="48" t="n">
        <f aca="false">IF(Corte+21&gt;144,"",INDEX(Calculo!$F$273:$ES$273,1,Corte+21))</f>
        <v>0</v>
      </c>
      <c r="AA24" s="48" t="n">
        <f aca="false">IF(Corte+22&gt;144,"",INDEX(Calculo!$F$273:$ES$273,1,Corte+22))</f>
        <v>0</v>
      </c>
      <c r="AB24" s="48" t="n">
        <f aca="false">IF(Corte+23&gt;144,"",INDEX(Calculo!$F$273:$ES$273,1,Corte+23))</f>
        <v>0</v>
      </c>
      <c r="AC24" s="48" t="n">
        <f aca="false">IF(Corte+24&gt;144,"",INDEX(Calculo!$F$273:$ES$273,1,Corte+24))</f>
        <v>0</v>
      </c>
    </row>
    <row r="25" customFormat="false" ht="15" hidden="false" customHeight="false" outlineLevel="0" collapsed="false">
      <c r="A25" s="11" t="s">
        <v>1419</v>
      </c>
      <c r="B25" s="15" t="s">
        <v>1470</v>
      </c>
      <c r="C25" s="54" t="n">
        <f aca="false">SUM(F25:Q25)</f>
        <v>2791587</v>
      </c>
      <c r="D25" s="54" t="n">
        <f aca="false">SUM(R25:AC25)</f>
        <v>0</v>
      </c>
      <c r="E25" s="54" t="n">
        <f aca="false">SUM(F25:AC25)</f>
        <v>2791587</v>
      </c>
      <c r="F25" s="48" t="n">
        <f aca="false">IF(Corte+1&gt;144,"",INDEX(Calculo!$F$302:$ES$302,1,Corte+1))</f>
        <v>2791587</v>
      </c>
      <c r="G25" s="48" t="n">
        <f aca="false">IF(Corte+2&gt;144,"",INDEX(Calculo!$F$302:$ES$302,1,Corte+2))</f>
        <v>0</v>
      </c>
      <c r="H25" s="48" t="n">
        <f aca="false">IF(Corte+3&gt;144,"",INDEX(Calculo!$F$302:$ES$302,1,Corte+3))</f>
        <v>0</v>
      </c>
      <c r="I25" s="48" t="n">
        <f aca="false">IF(Corte+4&gt;144,"",INDEX(Calculo!$F$302:$ES$302,1,Corte+4))</f>
        <v>0</v>
      </c>
      <c r="J25" s="48" t="n">
        <f aca="false">IF(Corte+5&gt;144,"",INDEX(Calculo!$F$302:$ES$302,1,Corte+5))</f>
        <v>0</v>
      </c>
      <c r="K25" s="48" t="n">
        <f aca="false">IF(Corte+6&gt;144,"",INDEX(Calculo!$F$302:$ES$302,1,Corte+6))</f>
        <v>0</v>
      </c>
      <c r="L25" s="48" t="n">
        <f aca="false">IF(Corte+7&gt;144,"",INDEX(Calculo!$F$302:$ES$302,1,Corte+7))</f>
        <v>0</v>
      </c>
      <c r="M25" s="48" t="n">
        <f aca="false">IF(Corte+8&gt;144,"",INDEX(Calculo!$F$302:$ES$302,1,Corte+8))</f>
        <v>0</v>
      </c>
      <c r="N25" s="48" t="n">
        <f aca="false">IF(Corte+9&gt;144,"",INDEX(Calculo!$F$302:$ES$302,1,Corte+9))</f>
        <v>0</v>
      </c>
      <c r="O25" s="48" t="n">
        <f aca="false">IF(Corte+10&gt;144,"",INDEX(Calculo!$F$302:$ES$302,1,Corte+10))</f>
        <v>0</v>
      </c>
      <c r="P25" s="48" t="n">
        <f aca="false">IF(Corte+11&gt;144,"",INDEX(Calculo!$F$302:$ES$302,1,Corte+11))</f>
        <v>0</v>
      </c>
      <c r="Q25" s="48" t="n">
        <f aca="false">IF(Corte+12&gt;144,"",INDEX(Calculo!$F$302:$ES$302,1,Corte+12))</f>
        <v>0</v>
      </c>
      <c r="R25" s="48" t="n">
        <f aca="false">IF(Corte+13&gt;144,"",INDEX(Calculo!$F$302:$ES$302,1,Corte+13))</f>
        <v>0</v>
      </c>
      <c r="S25" s="48" t="n">
        <f aca="false">IF(Corte+14&gt;144,"",INDEX(Calculo!$F$302:$ES$302,1,Corte+14))</f>
        <v>0</v>
      </c>
      <c r="T25" s="48" t="n">
        <f aca="false">IF(Corte+15&gt;144,"",INDEX(Calculo!$F$302:$ES$302,1,Corte+15))</f>
        <v>0</v>
      </c>
      <c r="U25" s="48" t="n">
        <f aca="false">IF(Corte+16&gt;144,"",INDEX(Calculo!$F$302:$ES$302,1,Corte+16))</f>
        <v>0</v>
      </c>
      <c r="V25" s="48" t="n">
        <f aca="false">IF(Corte+17&gt;144,"",INDEX(Calculo!$F$302:$ES$302,1,Corte+17))</f>
        <v>0</v>
      </c>
      <c r="W25" s="48" t="n">
        <f aca="false">IF(Corte+18&gt;144,"",INDEX(Calculo!$F$302:$ES$302,1,Corte+18))</f>
        <v>0</v>
      </c>
      <c r="X25" s="48" t="n">
        <f aca="false">IF(Corte+19&gt;144,"",INDEX(Calculo!$F$302:$ES$302,1,Corte+19))</f>
        <v>0</v>
      </c>
      <c r="Y25" s="48" t="n">
        <f aca="false">IF(Corte+20&gt;144,"",INDEX(Calculo!$F$302:$ES$302,1,Corte+20))</f>
        <v>0</v>
      </c>
      <c r="Z25" s="48" t="n">
        <f aca="false">IF(Corte+21&gt;144,"",INDEX(Calculo!$F$302:$ES$302,1,Corte+21))</f>
        <v>0</v>
      </c>
      <c r="AA25" s="48" t="n">
        <f aca="false">IF(Corte+22&gt;144,"",INDEX(Calculo!$F$302:$ES$302,1,Corte+22))</f>
        <v>0</v>
      </c>
      <c r="AB25" s="48" t="n">
        <f aca="false">IF(Corte+23&gt;144,"",INDEX(Calculo!$F$302:$ES$302,1,Corte+23))</f>
        <v>0</v>
      </c>
      <c r="AC25" s="48" t="n">
        <f aca="false">IF(Corte+24&gt;144,"",INDEX(Calculo!$F$302:$ES$302,1,Corte+24))</f>
        <v>0</v>
      </c>
    </row>
    <row r="26" customFormat="false" ht="15" hidden="false" customHeight="false" outlineLevel="0" collapsed="false">
      <c r="A26" s="11" t="s">
        <v>1420</v>
      </c>
      <c r="B26" s="15" t="s">
        <v>1471</v>
      </c>
      <c r="C26" s="54" t="n">
        <f aca="false">SUM(F26:Q26)</f>
        <v>257526.352358103</v>
      </c>
      <c r="D26" s="54" t="n">
        <f aca="false">SUM(R26:AC26)</f>
        <v>551018.611753115</v>
      </c>
      <c r="E26" s="54" t="n">
        <f aca="false">SUM(F26:AC26)</f>
        <v>808544.964111218</v>
      </c>
      <c r="F26" s="48" t="n">
        <f aca="false">IF(Corte+1&gt;144,"",INDEX(Calculo!$F$303:$ES$303,1,Corte+1))</f>
        <v>0</v>
      </c>
      <c r="G26" s="48" t="n">
        <f aca="false">IF(Corte+2&gt;144,"",INDEX(Calculo!$F$303:$ES$303,1,Corte+2))</f>
        <v>0</v>
      </c>
      <c r="H26" s="48" t="n">
        <f aca="false">IF(Corte+3&gt;144,"",INDEX(Calculo!$F$303:$ES$303,1,Corte+3))</f>
        <v>0</v>
      </c>
      <c r="I26" s="48" t="n">
        <f aca="false">IF(Corte+4&gt;144,"",INDEX(Calculo!$F$303:$ES$303,1,Corte+4))</f>
        <v>0</v>
      </c>
      <c r="J26" s="48" t="n">
        <f aca="false">IF(Corte+5&gt;144,"",INDEX(Calculo!$F$303:$ES$303,1,Corte+5))</f>
        <v>0</v>
      </c>
      <c r="K26" s="48" t="n">
        <f aca="false">IF(Corte+6&gt;144,"",INDEX(Calculo!$F$303:$ES$303,1,Corte+6))</f>
        <v>0</v>
      </c>
      <c r="L26" s="48" t="n">
        <f aca="false">IF(Corte+7&gt;144,"",INDEX(Calculo!$F$303:$ES$303,1,Corte+7))</f>
        <v>42123.3040946878</v>
      </c>
      <c r="M26" s="48" t="n">
        <f aca="false">IF(Corte+8&gt;144,"",INDEX(Calculo!$F$303:$ES$303,1,Corte+8))</f>
        <v>42439.2288753979</v>
      </c>
      <c r="N26" s="48" t="n">
        <f aca="false">IF(Corte+9&gt;144,"",INDEX(Calculo!$F$303:$ES$303,1,Corte+9))</f>
        <v>42757.5230919634</v>
      </c>
      <c r="O26" s="48" t="n">
        <f aca="false">IF(Corte+10&gt;144,"",INDEX(Calculo!$F$303:$ES$303,1,Corte+10))</f>
        <v>43078.2045151531</v>
      </c>
      <c r="P26" s="48" t="n">
        <f aca="false">IF(Corte+11&gt;144,"",INDEX(Calculo!$F$303:$ES$303,1,Corte+11))</f>
        <v>43401.2910490168</v>
      </c>
      <c r="Q26" s="48" t="n">
        <f aca="false">IF(Corte+12&gt;144,"",INDEX(Calculo!$F$303:$ES$303,1,Corte+12))</f>
        <v>43726.8007318844</v>
      </c>
      <c r="R26" s="48" t="n">
        <f aca="false">IF(Corte+13&gt;144,"",INDEX(Calculo!$F$303:$ES$303,1,Corte+13))</f>
        <v>44054.7517373735</v>
      </c>
      <c r="S26" s="48" t="n">
        <f aca="false">IF(Corte+14&gt;144,"",INDEX(Calculo!$F$303:$ES$303,1,Corte+14))</f>
        <v>44385.1623754038</v>
      </c>
      <c r="T26" s="48" t="n">
        <f aca="false">IF(Corte+15&gt;144,"",INDEX(Calculo!$F$303:$ES$303,1,Corte+15))</f>
        <v>44718.0510932194</v>
      </c>
      <c r="U26" s="48" t="n">
        <f aca="false">IF(Corte+16&gt;144,"",INDEX(Calculo!$F$303:$ES$303,1,Corte+16))</f>
        <v>45053.4364764185</v>
      </c>
      <c r="V26" s="48" t="n">
        <f aca="false">IF(Corte+17&gt;144,"",INDEX(Calculo!$F$303:$ES$303,1,Corte+17))</f>
        <v>45391.3372499916</v>
      </c>
      <c r="W26" s="48" t="n">
        <f aca="false">IF(Corte+18&gt;144,"",INDEX(Calculo!$F$303:$ES$303,1,Corte+18))</f>
        <v>45731.7722793666</v>
      </c>
      <c r="X26" s="48" t="n">
        <f aca="false">IF(Corte+19&gt;144,"",INDEX(Calculo!$F$303:$ES$303,1,Corte+19))</f>
        <v>46074.7605714618</v>
      </c>
      <c r="Y26" s="48" t="n">
        <f aca="false">IF(Corte+20&gt;144,"",INDEX(Calculo!$F$303:$ES$303,1,Corte+20))</f>
        <v>46420.3212757478</v>
      </c>
      <c r="Z26" s="48" t="n">
        <f aca="false">IF(Corte+21&gt;144,"",INDEX(Calculo!$F$303:$ES$303,1,Corte+21))</f>
        <v>46768.4736853159</v>
      </c>
      <c r="AA26" s="48" t="n">
        <f aca="false">IF(Corte+22&gt;144,"",INDEX(Calculo!$F$303:$ES$303,1,Corte+22))</f>
        <v>47119.2372379558</v>
      </c>
      <c r="AB26" s="48" t="n">
        <f aca="false">IF(Corte+23&gt;144,"",INDEX(Calculo!$F$303:$ES$303,1,Corte+23))</f>
        <v>47472.6315172404</v>
      </c>
      <c r="AC26" s="48" t="n">
        <f aca="false">IF(Corte+24&gt;144,"",INDEX(Calculo!$F$303:$ES$303,1,Corte+24))</f>
        <v>47828.6762536197</v>
      </c>
    </row>
    <row r="27" customFormat="false" ht="15" hidden="false" customHeight="false" outlineLevel="0" collapsed="false">
      <c r="A27" s="11" t="s">
        <v>1411</v>
      </c>
      <c r="B27" s="15" t="s">
        <v>1240</v>
      </c>
      <c r="C27" s="54" t="n">
        <f aca="false">SUM(F27:Q27)</f>
        <v>767782</v>
      </c>
      <c r="D27" s="54" t="n">
        <f aca="false">SUM(R27:AC27)</f>
        <v>371928</v>
      </c>
      <c r="E27" s="54" t="n">
        <f aca="false">SUM(F27:AC27)</f>
        <v>1139710</v>
      </c>
      <c r="F27" s="48" t="n">
        <f aca="false">IF(Corte+1&gt;144,"",INDEX(Calculo!$F$294:$ES$294,1,Corte+1))</f>
        <v>767782</v>
      </c>
      <c r="G27" s="48" t="n">
        <f aca="false">IF(Corte+2&gt;144,"",INDEX(Calculo!$F$294:$ES$294,1,Corte+2))</f>
        <v>0</v>
      </c>
      <c r="H27" s="48" t="n">
        <f aca="false">IF(Corte+3&gt;144,"",INDEX(Calculo!$F$294:$ES$294,1,Corte+3))</f>
        <v>0</v>
      </c>
      <c r="I27" s="48" t="n">
        <f aca="false">IF(Corte+4&gt;144,"",INDEX(Calculo!$F$294:$ES$294,1,Corte+4))</f>
        <v>0</v>
      </c>
      <c r="J27" s="48" t="n">
        <f aca="false">IF(Corte+5&gt;144,"",INDEX(Calculo!$F$294:$ES$294,1,Corte+5))</f>
        <v>0</v>
      </c>
      <c r="K27" s="48" t="n">
        <f aca="false">IF(Corte+6&gt;144,"",INDEX(Calculo!$F$294:$ES$294,1,Corte+6))</f>
        <v>0</v>
      </c>
      <c r="L27" s="48" t="n">
        <f aca="false">IF(Corte+7&gt;144,"",INDEX(Calculo!$F$294:$ES$294,1,Corte+7))</f>
        <v>0</v>
      </c>
      <c r="M27" s="48" t="n">
        <f aca="false">IF(Corte+8&gt;144,"",INDEX(Calculo!$F$294:$ES$294,1,Corte+8))</f>
        <v>0</v>
      </c>
      <c r="N27" s="48" t="n">
        <f aca="false">IF(Corte+9&gt;144,"",INDEX(Calculo!$F$294:$ES$294,1,Corte+9))</f>
        <v>0</v>
      </c>
      <c r="O27" s="48" t="n">
        <f aca="false">IF(Corte+10&gt;144,"",INDEX(Calculo!$F$294:$ES$294,1,Corte+10))</f>
        <v>0</v>
      </c>
      <c r="P27" s="48" t="n">
        <f aca="false">IF(Corte+11&gt;144,"",INDEX(Calculo!$F$294:$ES$294,1,Corte+11))</f>
        <v>0</v>
      </c>
      <c r="Q27" s="48" t="n">
        <f aca="false">IF(Corte+12&gt;144,"",INDEX(Calculo!$F$294:$ES$294,1,Corte+12))</f>
        <v>0</v>
      </c>
      <c r="R27" s="48" t="n">
        <f aca="false">IF(Corte+13&gt;144,"",INDEX(Calculo!$F$294:$ES$294,1,Corte+13))</f>
        <v>371928</v>
      </c>
      <c r="S27" s="48" t="n">
        <f aca="false">IF(Corte+14&gt;144,"",INDEX(Calculo!$F$294:$ES$294,1,Corte+14))</f>
        <v>0</v>
      </c>
      <c r="T27" s="48" t="n">
        <f aca="false">IF(Corte+15&gt;144,"",INDEX(Calculo!$F$294:$ES$294,1,Corte+15))</f>
        <v>0</v>
      </c>
      <c r="U27" s="48" t="n">
        <f aca="false">IF(Corte+16&gt;144,"",INDEX(Calculo!$F$294:$ES$294,1,Corte+16))</f>
        <v>0</v>
      </c>
      <c r="V27" s="48" t="n">
        <f aca="false">IF(Corte+17&gt;144,"",INDEX(Calculo!$F$294:$ES$294,1,Corte+17))</f>
        <v>0</v>
      </c>
      <c r="W27" s="48" t="n">
        <f aca="false">IF(Corte+18&gt;144,"",INDEX(Calculo!$F$294:$ES$294,1,Corte+18))</f>
        <v>0</v>
      </c>
      <c r="X27" s="48" t="n">
        <f aca="false">IF(Corte+19&gt;144,"",INDEX(Calculo!$F$294:$ES$294,1,Corte+19))</f>
        <v>0</v>
      </c>
      <c r="Y27" s="48" t="n">
        <f aca="false">IF(Corte+20&gt;144,"",INDEX(Calculo!$F$294:$ES$294,1,Corte+20))</f>
        <v>0</v>
      </c>
      <c r="Z27" s="48" t="n">
        <f aca="false">IF(Corte+21&gt;144,"",INDEX(Calculo!$F$294:$ES$294,1,Corte+21))</f>
        <v>0</v>
      </c>
      <c r="AA27" s="48" t="n">
        <f aca="false">IF(Corte+22&gt;144,"",INDEX(Calculo!$F$294:$ES$294,1,Corte+22))</f>
        <v>0</v>
      </c>
      <c r="AB27" s="48" t="n">
        <f aca="false">IF(Corte+23&gt;144,"",INDEX(Calculo!$F$294:$ES$294,1,Corte+23))</f>
        <v>0</v>
      </c>
      <c r="AC27" s="48" t="n">
        <f aca="false">IF(Corte+24&gt;144,"",INDEX(Calculo!$F$294:$ES$294,1,Corte+24))</f>
        <v>0</v>
      </c>
    </row>
    <row r="28" customFormat="false" ht="15" hidden="false" customHeight="false" outlineLevel="0" collapsed="false">
      <c r="A28" s="11" t="s">
        <v>1426</v>
      </c>
      <c r="B28" s="15" t="s">
        <v>1024</v>
      </c>
      <c r="C28" s="54" t="n">
        <f aca="false">SUM(F28:Q28)</f>
        <v>0</v>
      </c>
      <c r="D28" s="54" t="n">
        <f aca="false">SUM(R28:AC28)</f>
        <v>0</v>
      </c>
      <c r="E28" s="54" t="n">
        <f aca="false">SUM(F28:AC28)</f>
        <v>0</v>
      </c>
      <c r="F28" s="48" t="n">
        <f aca="false">IF(Corte+1&gt;144,"",INDEX(Calculo!$F$309:$ES$309,1,Corte+1))</f>
        <v>0</v>
      </c>
      <c r="G28" s="48" t="n">
        <f aca="false">IF(Corte+2&gt;144,"",INDEX(Calculo!$F$309:$ES$309,1,Corte+2))</f>
        <v>0</v>
      </c>
      <c r="H28" s="48" t="n">
        <f aca="false">IF(Corte+3&gt;144,"",INDEX(Calculo!$F$309:$ES$309,1,Corte+3))</f>
        <v>0</v>
      </c>
      <c r="I28" s="48" t="n">
        <f aca="false">IF(Corte+4&gt;144,"",INDEX(Calculo!$F$309:$ES$309,1,Corte+4))</f>
        <v>0</v>
      </c>
      <c r="J28" s="48" t="n">
        <f aca="false">IF(Corte+5&gt;144,"",INDEX(Calculo!$F$309:$ES$309,1,Corte+5))</f>
        <v>0</v>
      </c>
      <c r="K28" s="48" t="n">
        <f aca="false">IF(Corte+6&gt;144,"",INDEX(Calculo!$F$309:$ES$309,1,Corte+6))</f>
        <v>0</v>
      </c>
      <c r="L28" s="48" t="n">
        <f aca="false">IF(Corte+7&gt;144,"",INDEX(Calculo!$F$309:$ES$309,1,Corte+7))</f>
        <v>0</v>
      </c>
      <c r="M28" s="48" t="n">
        <f aca="false">IF(Corte+8&gt;144,"",INDEX(Calculo!$F$309:$ES$309,1,Corte+8))</f>
        <v>0</v>
      </c>
      <c r="N28" s="48" t="n">
        <f aca="false">IF(Corte+9&gt;144,"",INDEX(Calculo!$F$309:$ES$309,1,Corte+9))</f>
        <v>0</v>
      </c>
      <c r="O28" s="48" t="n">
        <f aca="false">IF(Corte+10&gt;144,"",INDEX(Calculo!$F$309:$ES$309,1,Corte+10))</f>
        <v>0</v>
      </c>
      <c r="P28" s="48" t="n">
        <f aca="false">IF(Corte+11&gt;144,"",INDEX(Calculo!$F$309:$ES$309,1,Corte+11))</f>
        <v>0</v>
      </c>
      <c r="Q28" s="48" t="n">
        <f aca="false">IF(Corte+12&gt;144,"",INDEX(Calculo!$F$309:$ES$309,1,Corte+12))</f>
        <v>0</v>
      </c>
      <c r="R28" s="48" t="n">
        <f aca="false">IF(Corte+13&gt;144,"",INDEX(Calculo!$F$309:$ES$309,1,Corte+13))</f>
        <v>0</v>
      </c>
      <c r="S28" s="48" t="n">
        <f aca="false">IF(Corte+14&gt;144,"",INDEX(Calculo!$F$309:$ES$309,1,Corte+14))</f>
        <v>0</v>
      </c>
      <c r="T28" s="48" t="n">
        <f aca="false">IF(Corte+15&gt;144,"",INDEX(Calculo!$F$309:$ES$309,1,Corte+15))</f>
        <v>0</v>
      </c>
      <c r="U28" s="48" t="n">
        <f aca="false">IF(Corte+16&gt;144,"",INDEX(Calculo!$F$309:$ES$309,1,Corte+16))</f>
        <v>0</v>
      </c>
      <c r="V28" s="48" t="n">
        <f aca="false">IF(Corte+17&gt;144,"",INDEX(Calculo!$F$309:$ES$309,1,Corte+17))</f>
        <v>0</v>
      </c>
      <c r="W28" s="48" t="n">
        <f aca="false">IF(Corte+18&gt;144,"",INDEX(Calculo!$F$309:$ES$309,1,Corte+18))</f>
        <v>0</v>
      </c>
      <c r="X28" s="48" t="n">
        <f aca="false">IF(Corte+19&gt;144,"",INDEX(Calculo!$F$309:$ES$309,1,Corte+19))</f>
        <v>0</v>
      </c>
      <c r="Y28" s="48" t="n">
        <f aca="false">IF(Corte+20&gt;144,"",INDEX(Calculo!$F$309:$ES$309,1,Corte+20))</f>
        <v>0</v>
      </c>
      <c r="Z28" s="48" t="n">
        <f aca="false">IF(Corte+21&gt;144,"",INDEX(Calculo!$F$309:$ES$309,1,Corte+21))</f>
        <v>0</v>
      </c>
      <c r="AA28" s="48" t="n">
        <f aca="false">IF(Corte+22&gt;144,"",INDEX(Calculo!$F$309:$ES$309,1,Corte+22))</f>
        <v>0</v>
      </c>
      <c r="AB28" s="48" t="n">
        <f aca="false">IF(Corte+23&gt;144,"",INDEX(Calculo!$F$309:$ES$309,1,Corte+23))</f>
        <v>0</v>
      </c>
      <c r="AC28" s="48" t="n">
        <f aca="false">IF(Corte+24&gt;144,"",INDEX(Calculo!$F$309:$ES$309,1,Corte+24))</f>
        <v>0</v>
      </c>
    </row>
    <row r="29" customFormat="false" ht="15" hidden="false" customHeight="false" outlineLevel="0" collapsed="false">
      <c r="A29" s="11" t="s">
        <v>1427</v>
      </c>
      <c r="B29" s="67" t="s">
        <v>1472</v>
      </c>
      <c r="C29" s="54" t="n">
        <f aca="false">Q29</f>
        <v>497602.743558918</v>
      </c>
      <c r="D29" s="54" t="n">
        <f aca="false">AC29</f>
        <v>303049.269216285</v>
      </c>
      <c r="E29" s="54" t="n">
        <f aca="false">AC29</f>
        <v>303049.269216285</v>
      </c>
      <c r="F29" s="19" t="n">
        <f aca="false">IF(Corte+1&gt;144,"",INDEX(Calculo!$F$310:$ES$310,1,Corte+1))</f>
        <v>535727.93036656</v>
      </c>
      <c r="G29" s="19" t="n">
        <f aca="false">IF(Corte+2&gt;144,"",INDEX(Calculo!$F$310:$ES$310,1,Corte+2))</f>
        <v>555194.83809215</v>
      </c>
      <c r="H29" s="19" t="n">
        <f aca="false">IF(Corte+3&gt;144,"",INDEX(Calculo!$F$310:$ES$310,1,Corte+3))</f>
        <v>574661.745817739</v>
      </c>
      <c r="I29" s="19" t="n">
        <f aca="false">IF(Corte+4&gt;144,"",INDEX(Calculo!$F$310:$ES$310,1,Corte+4))</f>
        <v>594128.653543329</v>
      </c>
      <c r="J29" s="19" t="n">
        <f aca="false">IF(Corte+5&gt;144,"",INDEX(Calculo!$F$310:$ES$310,1,Corte+5))</f>
        <v>613595.561268919</v>
      </c>
      <c r="K29" s="19" t="n">
        <f aca="false">IF(Corte+6&gt;144,"",INDEX(Calculo!$F$310:$ES$310,1,Corte+6))</f>
        <v>633062.468994509</v>
      </c>
      <c r="L29" s="19" t="n">
        <f aca="false">IF(Corte+7&gt;144,"",INDEX(Calculo!$F$310:$ES$310,1,Corte+7))</f>
        <v>610406.072625411</v>
      </c>
      <c r="M29" s="19" t="n">
        <f aca="false">IF(Corte+8&gt;144,"",INDEX(Calculo!$F$310:$ES$310,1,Corte+8))</f>
        <v>587781.268734384</v>
      </c>
      <c r="N29" s="19" t="n">
        <f aca="false">IF(Corte+9&gt;144,"",INDEX(Calculo!$F$310:$ES$310,1,Corte+9))</f>
        <v>565188.294265013</v>
      </c>
      <c r="O29" s="19" t="n">
        <f aca="false">IF(Corte+10&gt;144,"",INDEX(Calculo!$F$310:$ES$310,1,Corte+10))</f>
        <v>542627.387937962</v>
      </c>
      <c r="P29" s="19" t="n">
        <f aca="false">IF(Corte+11&gt;144,"",INDEX(Calculo!$F$310:$ES$310,1,Corte+11))</f>
        <v>520098.790264297</v>
      </c>
      <c r="Q29" s="19" t="n">
        <f aca="false">IF(Corte+12&gt;144,"",INDEX(Calculo!$F$310:$ES$310,1,Corte+12))</f>
        <v>497602.743558918</v>
      </c>
      <c r="R29" s="19" t="n">
        <f aca="false">IF(Corte+13&gt;144,"",INDEX(Calculo!$F$310:$ES$310,1,Corte+13))</f>
        <v>129920.95007682</v>
      </c>
      <c r="S29" s="19" t="n">
        <f aca="false">IF(Corte+14&gt;144,"",INDEX(Calculo!$F$310:$ES$310,1,Corte+14))</f>
        <v>145489.642054168</v>
      </c>
      <c r="T29" s="19" t="n">
        <f aca="false">IF(Corte+15&gt;144,"",INDEX(Calculo!$F$310:$ES$310,1,Corte+15))</f>
        <v>161091.622903299</v>
      </c>
      <c r="U29" s="19" t="n">
        <f aca="false">IF(Corte+16&gt;144,"",INDEX(Calculo!$F$310:$ES$310,1,Corte+16))</f>
        <v>176727.142290749</v>
      </c>
      <c r="V29" s="19" t="n">
        <f aca="false">IF(Corte+17&gt;144,"",INDEX(Calculo!$F$310:$ES$310,1,Corte+17))</f>
        <v>192396.451755556</v>
      </c>
      <c r="W29" s="19" t="n">
        <f aca="false">IF(Corte+18&gt;144,"",INDEX(Calculo!$F$310:$ES$310,1,Corte+18))</f>
        <v>208099.804723301</v>
      </c>
      <c r="X29" s="19" t="n">
        <f aca="false">IF(Corte+19&gt;144,"",INDEX(Calculo!$F$310:$ES$310,1,Corte+19))</f>
        <v>223837.456520255</v>
      </c>
      <c r="Y29" s="19" t="n">
        <f aca="false">IF(Corte+20&gt;144,"",INDEX(Calculo!$F$310:$ES$310,1,Corte+20))</f>
        <v>239609.664387639</v>
      </c>
      <c r="Z29" s="19" t="n">
        <f aca="false">IF(Corte+21&gt;144,"",INDEX(Calculo!$F$310:$ES$310,1,Corte+21))</f>
        <v>255416.687495978</v>
      </c>
      <c r="AA29" s="19" t="n">
        <f aca="false">IF(Corte+22&gt;144,"",INDEX(Calculo!$F$310:$ES$310,1,Corte+22))</f>
        <v>271258.786959582</v>
      </c>
      <c r="AB29" s="19" t="n">
        <f aca="false">IF(Corte+23&gt;144,"",INDEX(Calculo!$F$310:$ES$310,1,Corte+23))</f>
        <v>287136.225851114</v>
      </c>
      <c r="AC29" s="19" t="n">
        <f aca="false">IF(Corte+24&gt;144,"",INDEX(Calculo!$F$310:$ES$310,1,Corte+24))</f>
        <v>303049.269216285</v>
      </c>
    </row>
    <row r="30" customFormat="false" ht="15" hidden="false" customHeight="false" outlineLevel="0" collapsed="false">
      <c r="A30" s="11" t="s">
        <v>1421</v>
      </c>
      <c r="B30" s="15" t="s">
        <v>1473</v>
      </c>
      <c r="C30" s="54" t="n">
        <f aca="false">Q30</f>
        <v>2534060.6476419</v>
      </c>
      <c r="D30" s="54" t="n">
        <f aca="false">AC30</f>
        <v>1983042.03588878</v>
      </c>
      <c r="E30" s="54" t="n">
        <f aca="false">AC30</f>
        <v>1983042.03588878</v>
      </c>
      <c r="F30" s="48" t="n">
        <f aca="false">IF(Corte+1&gt;144,"",INDEX(Calculo!$F$304:$ES$304,1,Corte+1))</f>
        <v>2791587</v>
      </c>
      <c r="G30" s="48" t="n">
        <f aca="false">IF(Corte+2&gt;144,"",INDEX(Calculo!$F$304:$ES$304,1,Corte+2))</f>
        <v>2791587</v>
      </c>
      <c r="H30" s="48" t="n">
        <f aca="false">IF(Corte+3&gt;144,"",INDEX(Calculo!$F$304:$ES$304,1,Corte+3))</f>
        <v>2791587</v>
      </c>
      <c r="I30" s="48" t="n">
        <f aca="false">IF(Corte+4&gt;144,"",INDEX(Calculo!$F$304:$ES$304,1,Corte+4))</f>
        <v>2791587</v>
      </c>
      <c r="J30" s="48" t="n">
        <f aca="false">IF(Corte+5&gt;144,"",INDEX(Calculo!$F$304:$ES$304,1,Corte+5))</f>
        <v>2791587</v>
      </c>
      <c r="K30" s="48" t="n">
        <f aca="false">IF(Corte+6&gt;144,"",INDEX(Calculo!$F$304:$ES$304,1,Corte+6))</f>
        <v>2791587</v>
      </c>
      <c r="L30" s="48" t="n">
        <f aca="false">IF(Corte+7&gt;144,"",INDEX(Calculo!$F$304:$ES$304,1,Corte+7))</f>
        <v>2749463.69590531</v>
      </c>
      <c r="M30" s="48" t="n">
        <f aca="false">IF(Corte+8&gt;144,"",INDEX(Calculo!$F$304:$ES$304,1,Corte+8))</f>
        <v>2707024.46702991</v>
      </c>
      <c r="N30" s="48" t="n">
        <f aca="false">IF(Corte+9&gt;144,"",INDEX(Calculo!$F$304:$ES$304,1,Corte+9))</f>
        <v>2664266.94393795</v>
      </c>
      <c r="O30" s="48" t="n">
        <f aca="false">IF(Corte+10&gt;144,"",INDEX(Calculo!$F$304:$ES$304,1,Corte+10))</f>
        <v>2621188.7394228</v>
      </c>
      <c r="P30" s="48" t="n">
        <f aca="false">IF(Corte+11&gt;144,"",INDEX(Calculo!$F$304:$ES$304,1,Corte+11))</f>
        <v>2577787.44837378</v>
      </c>
      <c r="Q30" s="48" t="n">
        <f aca="false">IF(Corte+12&gt;144,"",INDEX(Calculo!$F$304:$ES$304,1,Corte+12))</f>
        <v>2534060.6476419</v>
      </c>
      <c r="R30" s="48" t="n">
        <f aca="false">IF(Corte+13&gt;144,"",INDEX(Calculo!$F$304:$ES$304,1,Corte+13))</f>
        <v>2490005.89590452</v>
      </c>
      <c r="S30" s="48" t="n">
        <f aca="false">IF(Corte+14&gt;144,"",INDEX(Calculo!$F$304:$ES$304,1,Corte+14))</f>
        <v>2445620.73352912</v>
      </c>
      <c r="T30" s="48" t="n">
        <f aca="false">IF(Corte+15&gt;144,"",INDEX(Calculo!$F$304:$ES$304,1,Corte+15))</f>
        <v>2400902.6824359</v>
      </c>
      <c r="U30" s="48" t="n">
        <f aca="false">IF(Corte+16&gt;144,"",INDEX(Calculo!$F$304:$ES$304,1,Corte+16))</f>
        <v>2355849.24595948</v>
      </c>
      <c r="V30" s="48" t="n">
        <f aca="false">IF(Corte+17&gt;144,"",INDEX(Calculo!$F$304:$ES$304,1,Corte+17))</f>
        <v>2310457.90870949</v>
      </c>
      <c r="W30" s="48" t="n">
        <f aca="false">IF(Corte+18&gt;144,"",INDEX(Calculo!$F$304:$ES$304,1,Corte+18))</f>
        <v>2264726.13643012</v>
      </c>
      <c r="X30" s="48" t="n">
        <f aca="false">IF(Corte+19&gt;144,"",INDEX(Calculo!$F$304:$ES$304,1,Corte+19))</f>
        <v>2218651.37585866</v>
      </c>
      <c r="Y30" s="48" t="n">
        <f aca="false">IF(Corte+20&gt;144,"",INDEX(Calculo!$F$304:$ES$304,1,Corte+20))</f>
        <v>2172231.05458292</v>
      </c>
      <c r="Z30" s="48" t="n">
        <f aca="false">IF(Corte+21&gt;144,"",INDEX(Calculo!$F$304:$ES$304,1,Corte+21))</f>
        <v>2125462.5808976</v>
      </c>
      <c r="AA30" s="48" t="n">
        <f aca="false">IF(Corte+22&gt;144,"",INDEX(Calculo!$F$304:$ES$304,1,Corte+22))</f>
        <v>2078343.34365964</v>
      </c>
      <c r="AB30" s="48" t="n">
        <f aca="false">IF(Corte+23&gt;144,"",INDEX(Calculo!$F$304:$ES$304,1,Corte+23))</f>
        <v>2030870.7121424</v>
      </c>
      <c r="AC30" s="48" t="n">
        <f aca="false">IF(Corte+24&gt;144,"",INDEX(Calculo!$F$304:$ES$304,1,Corte+24))</f>
        <v>1983042.03588878</v>
      </c>
    </row>
    <row r="31" customFormat="false" ht="15" hidden="false" customHeight="false" outlineLevel="0" collapsed="false">
      <c r="A31" s="11" t="s">
        <v>1418</v>
      </c>
      <c r="B31" s="15" t="s">
        <v>1253</v>
      </c>
      <c r="C31" s="54" t="n">
        <f aca="false">Q31</f>
        <v>0</v>
      </c>
      <c r="D31" s="54" t="n">
        <f aca="false">AC31</f>
        <v>0</v>
      </c>
      <c r="E31" s="54" t="n">
        <f aca="false">AC31</f>
        <v>0</v>
      </c>
      <c r="F31" s="48" t="n">
        <f aca="false">IF(Corte+1&gt;144,"",INDEX(Calculo!$F$301:$ES$301,1,Corte+1))</f>
        <v>0</v>
      </c>
      <c r="G31" s="48" t="n">
        <f aca="false">IF(Corte+2&gt;144,"",INDEX(Calculo!$F$301:$ES$301,1,Corte+2))</f>
        <v>0</v>
      </c>
      <c r="H31" s="48" t="n">
        <f aca="false">IF(Corte+3&gt;144,"",INDEX(Calculo!$F$301:$ES$301,1,Corte+3))</f>
        <v>0</v>
      </c>
      <c r="I31" s="48" t="n">
        <f aca="false">IF(Corte+4&gt;144,"",INDEX(Calculo!$F$301:$ES$301,1,Corte+4))</f>
        <v>0</v>
      </c>
      <c r="J31" s="48" t="n">
        <f aca="false">IF(Corte+5&gt;144,"",INDEX(Calculo!$F$301:$ES$301,1,Corte+5))</f>
        <v>0</v>
      </c>
      <c r="K31" s="48" t="n">
        <f aca="false">IF(Corte+6&gt;144,"",INDEX(Calculo!$F$301:$ES$301,1,Corte+6))</f>
        <v>0</v>
      </c>
      <c r="L31" s="48" t="n">
        <f aca="false">IF(Corte+7&gt;144,"",INDEX(Calculo!$F$301:$ES$301,1,Corte+7))</f>
        <v>0</v>
      </c>
      <c r="M31" s="48" t="n">
        <f aca="false">IF(Corte+8&gt;144,"",INDEX(Calculo!$F$301:$ES$301,1,Corte+8))</f>
        <v>0</v>
      </c>
      <c r="N31" s="48" t="n">
        <f aca="false">IF(Corte+9&gt;144,"",INDEX(Calculo!$F$301:$ES$301,1,Corte+9))</f>
        <v>0</v>
      </c>
      <c r="O31" s="48" t="n">
        <f aca="false">IF(Corte+10&gt;144,"",INDEX(Calculo!$F$301:$ES$301,1,Corte+10))</f>
        <v>0</v>
      </c>
      <c r="P31" s="48" t="n">
        <f aca="false">IF(Corte+11&gt;144,"",INDEX(Calculo!$F$301:$ES$301,1,Corte+11))</f>
        <v>0</v>
      </c>
      <c r="Q31" s="48" t="n">
        <f aca="false">IF(Corte+12&gt;144,"",INDEX(Calculo!$F$301:$ES$301,1,Corte+12))</f>
        <v>0</v>
      </c>
      <c r="R31" s="48" t="n">
        <f aca="false">IF(Corte+13&gt;144,"",INDEX(Calculo!$F$301:$ES$301,1,Corte+13))</f>
        <v>0</v>
      </c>
      <c r="S31" s="48" t="n">
        <f aca="false">IF(Corte+14&gt;144,"",INDEX(Calculo!$F$301:$ES$301,1,Corte+14))</f>
        <v>0</v>
      </c>
      <c r="T31" s="48" t="n">
        <f aca="false">IF(Corte+15&gt;144,"",INDEX(Calculo!$F$301:$ES$301,1,Corte+15))</f>
        <v>0</v>
      </c>
      <c r="U31" s="48" t="n">
        <f aca="false">IF(Corte+16&gt;144,"",INDEX(Calculo!$F$301:$ES$301,1,Corte+16))</f>
        <v>0</v>
      </c>
      <c r="V31" s="48" t="n">
        <f aca="false">IF(Corte+17&gt;144,"",INDEX(Calculo!$F$301:$ES$301,1,Corte+17))</f>
        <v>0</v>
      </c>
      <c r="W31" s="48" t="n">
        <f aca="false">IF(Corte+18&gt;144,"",INDEX(Calculo!$F$301:$ES$301,1,Corte+18))</f>
        <v>0</v>
      </c>
      <c r="X31" s="48" t="n">
        <f aca="false">IF(Corte+19&gt;144,"",INDEX(Calculo!$F$301:$ES$301,1,Corte+19))</f>
        <v>0</v>
      </c>
      <c r="Y31" s="48" t="n">
        <f aca="false">IF(Corte+20&gt;144,"",INDEX(Calculo!$F$301:$ES$301,1,Corte+20))</f>
        <v>0</v>
      </c>
      <c r="Z31" s="48" t="n">
        <f aca="false">IF(Corte+21&gt;144,"",INDEX(Calculo!$F$301:$ES$301,1,Corte+21))</f>
        <v>0</v>
      </c>
      <c r="AA31" s="48" t="n">
        <f aca="false">IF(Corte+22&gt;144,"",INDEX(Calculo!$F$301:$ES$301,1,Corte+22))</f>
        <v>0</v>
      </c>
      <c r="AB31" s="48" t="n">
        <f aca="false">IF(Corte+23&gt;144,"",INDEX(Calculo!$F$301:$ES$301,1,Corte+23))</f>
        <v>0</v>
      </c>
      <c r="AC31" s="48" t="n">
        <f aca="false">IF(Corte+24&gt;144,"",INDEX(Calculo!$F$301:$ES$301,1,Corte+24))</f>
        <v>0</v>
      </c>
    </row>
    <row r="32" customFormat="false" ht="15" hidden="false" customHeight="false" outlineLevel="0" collapsed="false">
      <c r="A32" s="11" t="s">
        <v>1389</v>
      </c>
      <c r="B32" s="15" t="s">
        <v>1474</v>
      </c>
      <c r="C32" s="54" t="n">
        <f aca="false">Q32</f>
        <v>2388063.88735903</v>
      </c>
      <c r="D32" s="54" t="n">
        <f aca="false">AC32</f>
        <v>3043209.33175467</v>
      </c>
      <c r="E32" s="54" t="n">
        <f aca="false">AC32</f>
        <v>3043209.33175467</v>
      </c>
      <c r="F32" s="48" t="n">
        <f aca="false">IF(Corte+1&gt;144,"",INDEX(Calculo!$F$269:$ES$269,1,Corte+1))</f>
        <v>2388063.88735903</v>
      </c>
      <c r="G32" s="48" t="n">
        <f aca="false">IF(Corte+2&gt;144,"",INDEX(Calculo!$F$269:$ES$269,1,Corte+2))</f>
        <v>2388063.88735903</v>
      </c>
      <c r="H32" s="48" t="n">
        <f aca="false">IF(Corte+3&gt;144,"",INDEX(Calculo!$F$269:$ES$269,1,Corte+3))</f>
        <v>2388063.88735903</v>
      </c>
      <c r="I32" s="48" t="n">
        <f aca="false">IF(Corte+4&gt;144,"",INDEX(Calculo!$F$269:$ES$269,1,Corte+4))</f>
        <v>2388063.88735903</v>
      </c>
      <c r="J32" s="48" t="n">
        <f aca="false">IF(Corte+5&gt;144,"",INDEX(Calculo!$F$269:$ES$269,1,Corte+5))</f>
        <v>2388063.88735903</v>
      </c>
      <c r="K32" s="48" t="n">
        <f aca="false">IF(Corte+6&gt;144,"",INDEX(Calculo!$F$269:$ES$269,1,Corte+6))</f>
        <v>2388063.88735903</v>
      </c>
      <c r="L32" s="48" t="n">
        <f aca="false">IF(Corte+7&gt;144,"",INDEX(Calculo!$F$269:$ES$269,1,Corte+7))</f>
        <v>2388063.88735903</v>
      </c>
      <c r="M32" s="48" t="n">
        <f aca="false">IF(Corte+8&gt;144,"",INDEX(Calculo!$F$269:$ES$269,1,Corte+8))</f>
        <v>2388063.88735903</v>
      </c>
      <c r="N32" s="48" t="n">
        <f aca="false">IF(Corte+9&gt;144,"",INDEX(Calculo!$F$269:$ES$269,1,Corte+9))</f>
        <v>2388063.88735903</v>
      </c>
      <c r="O32" s="48" t="n">
        <f aca="false">IF(Corte+10&gt;144,"",INDEX(Calculo!$F$269:$ES$269,1,Corte+10))</f>
        <v>2388063.88735903</v>
      </c>
      <c r="P32" s="48" t="n">
        <f aca="false">IF(Corte+11&gt;144,"",INDEX(Calculo!$F$269:$ES$269,1,Corte+11))</f>
        <v>2388063.88735903</v>
      </c>
      <c r="Q32" s="48" t="n">
        <f aca="false">IF(Corte+12&gt;144,"",INDEX(Calculo!$F$269:$ES$269,1,Corte+12))</f>
        <v>2388063.88735903</v>
      </c>
      <c r="R32" s="48" t="n">
        <f aca="false">IF(Corte+13&gt;144,"",INDEX(Calculo!$F$269:$ES$269,1,Corte+13))</f>
        <v>3043209.33175467</v>
      </c>
      <c r="S32" s="48" t="n">
        <f aca="false">IF(Corte+14&gt;144,"",INDEX(Calculo!$F$269:$ES$269,1,Corte+14))</f>
        <v>3043209.33175467</v>
      </c>
      <c r="T32" s="48" t="n">
        <f aca="false">IF(Corte+15&gt;144,"",INDEX(Calculo!$F$269:$ES$269,1,Corte+15))</f>
        <v>3043209.33175467</v>
      </c>
      <c r="U32" s="48" t="n">
        <f aca="false">IF(Corte+16&gt;144,"",INDEX(Calculo!$F$269:$ES$269,1,Corte+16))</f>
        <v>3043209.33175467</v>
      </c>
      <c r="V32" s="48" t="n">
        <f aca="false">IF(Corte+17&gt;144,"",INDEX(Calculo!$F$269:$ES$269,1,Corte+17))</f>
        <v>3043209.33175467</v>
      </c>
      <c r="W32" s="48" t="n">
        <f aca="false">IF(Corte+18&gt;144,"",INDEX(Calculo!$F$269:$ES$269,1,Corte+18))</f>
        <v>3043209.33175467</v>
      </c>
      <c r="X32" s="48" t="n">
        <f aca="false">IF(Corte+19&gt;144,"",INDEX(Calculo!$F$269:$ES$269,1,Corte+19))</f>
        <v>3043209.33175467</v>
      </c>
      <c r="Y32" s="48" t="n">
        <f aca="false">IF(Corte+20&gt;144,"",INDEX(Calculo!$F$269:$ES$269,1,Corte+20))</f>
        <v>3043209.33175467</v>
      </c>
      <c r="Z32" s="48" t="n">
        <f aca="false">IF(Corte+21&gt;144,"",INDEX(Calculo!$F$269:$ES$269,1,Corte+21))</f>
        <v>3043209.33175467</v>
      </c>
      <c r="AA32" s="48" t="n">
        <f aca="false">IF(Corte+22&gt;144,"",INDEX(Calculo!$F$269:$ES$269,1,Corte+22))</f>
        <v>3043209.33175467</v>
      </c>
      <c r="AB32" s="48" t="n">
        <f aca="false">IF(Corte+23&gt;144,"",INDEX(Calculo!$F$269:$ES$269,1,Corte+23))</f>
        <v>3043209.33175467</v>
      </c>
      <c r="AC32" s="48" t="n">
        <f aca="false">IF(Corte+24&gt;144,"",INDEX(Calculo!$F$269:$ES$269,1,Corte+24))</f>
        <v>3043209.33175467</v>
      </c>
    </row>
    <row r="33" customFormat="false" ht="15" hidden="false" customHeight="false" outlineLevel="0" collapsed="false">
      <c r="A33" s="11" t="s">
        <v>1429</v>
      </c>
      <c r="B33" s="15" t="s">
        <v>1475</v>
      </c>
      <c r="C33" s="54" t="n">
        <f aca="false">MAX(F33:Q33)</f>
        <v>0</v>
      </c>
      <c r="D33" s="54" t="n">
        <f aca="false">MAX(R33:AC33)</f>
        <v>0</v>
      </c>
      <c r="E33" s="54" t="n">
        <f aca="false">MAX(F33:AC33)</f>
        <v>0</v>
      </c>
      <c r="F33" s="48" t="n">
        <f aca="false">IF(Corte+1&gt;144,"",INDEX(Calculo!$F$312:$ES$312,1,Corte+1))</f>
        <v>0</v>
      </c>
      <c r="G33" s="48" t="n">
        <f aca="false">IF(Corte+2&gt;144,"",INDEX(Calculo!$F$312:$ES$312,1,Corte+2))</f>
        <v>0</v>
      </c>
      <c r="H33" s="48" t="n">
        <f aca="false">IF(Corte+3&gt;144,"",INDEX(Calculo!$F$312:$ES$312,1,Corte+3))</f>
        <v>0</v>
      </c>
      <c r="I33" s="48" t="n">
        <f aca="false">IF(Corte+4&gt;144,"",INDEX(Calculo!$F$312:$ES$312,1,Corte+4))</f>
        <v>0</v>
      </c>
      <c r="J33" s="48" t="n">
        <f aca="false">IF(Corte+5&gt;144,"",INDEX(Calculo!$F$312:$ES$312,1,Corte+5))</f>
        <v>0</v>
      </c>
      <c r="K33" s="48" t="n">
        <f aca="false">IF(Corte+6&gt;144,"",INDEX(Calculo!$F$312:$ES$312,1,Corte+6))</f>
        <v>0</v>
      </c>
      <c r="L33" s="48" t="n">
        <f aca="false">IF(Corte+7&gt;144,"",INDEX(Calculo!$F$312:$ES$312,1,Corte+7))</f>
        <v>0</v>
      </c>
      <c r="M33" s="48" t="n">
        <f aca="false">IF(Corte+8&gt;144,"",INDEX(Calculo!$F$312:$ES$312,1,Corte+8))</f>
        <v>0</v>
      </c>
      <c r="N33" s="48" t="n">
        <f aca="false">IF(Corte+9&gt;144,"",INDEX(Calculo!$F$312:$ES$312,1,Corte+9))</f>
        <v>0</v>
      </c>
      <c r="O33" s="48" t="n">
        <f aca="false">IF(Corte+10&gt;144,"",INDEX(Calculo!$F$312:$ES$312,1,Corte+10))</f>
        <v>0</v>
      </c>
      <c r="P33" s="48" t="n">
        <f aca="false">IF(Corte+11&gt;144,"",INDEX(Calculo!$F$312:$ES$312,1,Corte+11))</f>
        <v>0</v>
      </c>
      <c r="Q33" s="48" t="n">
        <f aca="false">IF(Corte+12&gt;144,"",INDEX(Calculo!$F$312:$ES$312,1,Corte+12))</f>
        <v>0</v>
      </c>
      <c r="R33" s="48" t="n">
        <f aca="false">IF(Corte+13&gt;144,"",INDEX(Calculo!$F$312:$ES$312,1,Corte+13))</f>
        <v>0</v>
      </c>
      <c r="S33" s="48" t="n">
        <f aca="false">IF(Corte+14&gt;144,"",INDEX(Calculo!$F$312:$ES$312,1,Corte+14))</f>
        <v>0</v>
      </c>
      <c r="T33" s="48" t="n">
        <f aca="false">IF(Corte+15&gt;144,"",INDEX(Calculo!$F$312:$ES$312,1,Corte+15))</f>
        <v>0</v>
      </c>
      <c r="U33" s="48" t="n">
        <f aca="false">IF(Corte+16&gt;144,"",INDEX(Calculo!$F$312:$ES$312,1,Corte+16))</f>
        <v>0</v>
      </c>
      <c r="V33" s="48" t="n">
        <f aca="false">IF(Corte+17&gt;144,"",INDEX(Calculo!$F$312:$ES$312,1,Corte+17))</f>
        <v>0</v>
      </c>
      <c r="W33" s="48" t="n">
        <f aca="false">IF(Corte+18&gt;144,"",INDEX(Calculo!$F$312:$ES$312,1,Corte+18))</f>
        <v>0</v>
      </c>
      <c r="X33" s="48" t="n">
        <f aca="false">IF(Corte+19&gt;144,"",INDEX(Calculo!$F$312:$ES$312,1,Corte+19))</f>
        <v>0</v>
      </c>
      <c r="Y33" s="48" t="n">
        <f aca="false">IF(Corte+20&gt;144,"",INDEX(Calculo!$F$312:$ES$312,1,Corte+20))</f>
        <v>0</v>
      </c>
      <c r="Z33" s="48" t="n">
        <f aca="false">IF(Corte+21&gt;144,"",INDEX(Calculo!$F$312:$ES$312,1,Corte+21))</f>
        <v>0</v>
      </c>
      <c r="AA33" s="48" t="n">
        <f aca="false">IF(Corte+22&gt;144,"",INDEX(Calculo!$F$312:$ES$312,1,Corte+22))</f>
        <v>0</v>
      </c>
      <c r="AB33" s="48" t="n">
        <f aca="false">IF(Corte+23&gt;144,"",INDEX(Calculo!$F$312:$ES$312,1,Corte+23))</f>
        <v>0</v>
      </c>
      <c r="AC33" s="48" t="n">
        <f aca="false">IF(Corte+24&gt;144,"",INDEX(Calculo!$F$312:$ES$312,1,Corte+24))</f>
        <v>0</v>
      </c>
    </row>
    <row r="34" customFormat="false" ht="15" hidden="false" customHeight="false" outlineLevel="0" collapsed="false">
      <c r="B34" s="15" t="s">
        <v>1476</v>
      </c>
      <c r="C34" s="49" t="n">
        <f aca="false">IF(N(C11)=0,"",C19/C11)</f>
        <v>0.105148454784964</v>
      </c>
      <c r="D34" s="49" t="n">
        <f aca="false">IF(N(D11)=0,"",D19/D11)</f>
        <v>0.156273350793952</v>
      </c>
      <c r="E34" s="49" t="n">
        <f aca="false">IF(N(E11)=0,"",E19/E11)</f>
        <v>0.133795674236226</v>
      </c>
      <c r="F34" s="49" t="n">
        <f aca="false">IF(N(F11)=0,"",F19/F11)</f>
        <v>0.105148454784964</v>
      </c>
      <c r="G34" s="49" t="n">
        <f aca="false">IF(N(G11)=0,"",G19/G11)</f>
        <v>0.105148454784964</v>
      </c>
      <c r="H34" s="49" t="n">
        <f aca="false">IF(N(H11)=0,"",H19/H11)</f>
        <v>0.105148454784964</v>
      </c>
      <c r="I34" s="49" t="n">
        <f aca="false">IF(N(I11)=0,"",I19/I11)</f>
        <v>0.105148454784964</v>
      </c>
      <c r="J34" s="49" t="n">
        <f aca="false">IF(N(J11)=0,"",J19/J11)</f>
        <v>0.105148454784964</v>
      </c>
      <c r="K34" s="49" t="n">
        <f aca="false">IF(N(K11)=0,"",K19/K11)</f>
        <v>0.105148454784964</v>
      </c>
      <c r="L34" s="49" t="n">
        <f aca="false">IF(N(L11)=0,"",L19/L11)</f>
        <v>0.105148454784964</v>
      </c>
      <c r="M34" s="49" t="n">
        <f aca="false">IF(N(M11)=0,"",M19/M11)</f>
        <v>0.105148454784964</v>
      </c>
      <c r="N34" s="49" t="n">
        <f aca="false">IF(N(N11)=0,"",N19/N11)</f>
        <v>0.105148454784964</v>
      </c>
      <c r="O34" s="49" t="n">
        <f aca="false">IF(N(O11)=0,"",O19/O11)</f>
        <v>0.105148454784964</v>
      </c>
      <c r="P34" s="49" t="n">
        <f aca="false">IF(N(P11)=0,"",P19/P11)</f>
        <v>0.105148454784964</v>
      </c>
      <c r="Q34" s="49" t="n">
        <f aca="false">IF(N(Q11)=0,"",Q19/Q11)</f>
        <v>0.105148454784964</v>
      </c>
      <c r="R34" s="49" t="n">
        <f aca="false">IF(N(R11)=0,"",R19/R11)</f>
        <v>0.156273350793952</v>
      </c>
      <c r="S34" s="49" t="n">
        <f aca="false">IF(N(S11)=0,"",S19/S11)</f>
        <v>0.156273350793952</v>
      </c>
      <c r="T34" s="49" t="n">
        <f aca="false">IF(N(T11)=0,"",T19/T11)</f>
        <v>0.156273350793952</v>
      </c>
      <c r="U34" s="49" t="n">
        <f aca="false">IF(N(U11)=0,"",U19/U11)</f>
        <v>0.156273350793952</v>
      </c>
      <c r="V34" s="49" t="n">
        <f aca="false">IF(N(V11)=0,"",V19/V11)</f>
        <v>0.156273350793952</v>
      </c>
      <c r="W34" s="49" t="n">
        <f aca="false">IF(N(W11)=0,"",W19/W11)</f>
        <v>0.156273350793952</v>
      </c>
      <c r="X34" s="49" t="n">
        <f aca="false">IF(N(X11)=0,"",X19/X11)</f>
        <v>0.156273350793952</v>
      </c>
      <c r="Y34" s="49" t="n">
        <f aca="false">IF(N(Y11)=0,"",Y19/Y11)</f>
        <v>0.156273350793952</v>
      </c>
      <c r="Z34" s="49" t="n">
        <f aca="false">IF(N(Z11)=0,"",Z19/Z11)</f>
        <v>0.156273350793952</v>
      </c>
      <c r="AA34" s="49" t="n">
        <f aca="false">IF(N(AA11)=0,"",AA19/AA11)</f>
        <v>0.156273350793952</v>
      </c>
      <c r="AB34" s="49" t="n">
        <f aca="false">IF(N(AB11)=0,"",AB19/AB11)</f>
        <v>0.156273350793952</v>
      </c>
      <c r="AC34" s="49" t="n">
        <f aca="false">IF(N(AC11)=0,"",AC19/AC11)</f>
        <v>0.156273350793952</v>
      </c>
    </row>
    <row r="36" customFormat="false" ht="15" hidden="false" customHeight="false" outlineLevel="0" collapsed="false">
      <c r="A36" s="12" t="s">
        <v>1477</v>
      </c>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ustomFormat="false" ht="15" hidden="false" customHeight="false" outlineLevel="0" collapsed="false">
      <c r="A37" s="11" t="s">
        <v>1116</v>
      </c>
      <c r="B37" s="15" t="s">
        <v>1478</v>
      </c>
      <c r="C37" s="54" t="n">
        <f aca="false">SUM(F37:Q37)</f>
        <v>4850000</v>
      </c>
      <c r="D37" s="54" t="n">
        <f aca="false">SUM(R37:AC37)</f>
        <v>6181200</v>
      </c>
      <c r="E37" s="54" t="n">
        <f aca="false">SUM(F37:AC37)</f>
        <v>11031200</v>
      </c>
      <c r="F37" s="48" t="n">
        <f aca="false">IF(Corte+1&gt;144,"",INDEX(Calculo!$F$71:$ES$71,1,Corte+1))</f>
        <v>404166.666666667</v>
      </c>
      <c r="G37" s="48" t="n">
        <f aca="false">IF(Corte+2&gt;144,"",INDEX(Calculo!$F$71:$ES$71,1,Corte+2))</f>
        <v>404166.666666667</v>
      </c>
      <c r="H37" s="48" t="n">
        <f aca="false">IF(Corte+3&gt;144,"",INDEX(Calculo!$F$71:$ES$71,1,Corte+3))</f>
        <v>404166.666666667</v>
      </c>
      <c r="I37" s="48" t="n">
        <f aca="false">IF(Corte+4&gt;144,"",INDEX(Calculo!$F$71:$ES$71,1,Corte+4))</f>
        <v>404166.666666667</v>
      </c>
      <c r="J37" s="48" t="n">
        <f aca="false">IF(Corte+5&gt;144,"",INDEX(Calculo!$F$71:$ES$71,1,Corte+5))</f>
        <v>404166.666666667</v>
      </c>
      <c r="K37" s="48" t="n">
        <f aca="false">IF(Corte+6&gt;144,"",INDEX(Calculo!$F$71:$ES$71,1,Corte+6))</f>
        <v>404166.666666667</v>
      </c>
      <c r="L37" s="48" t="n">
        <f aca="false">IF(Corte+7&gt;144,"",INDEX(Calculo!$F$71:$ES$71,1,Corte+7))</f>
        <v>404166.666666667</v>
      </c>
      <c r="M37" s="48" t="n">
        <f aca="false">IF(Corte+8&gt;144,"",INDEX(Calculo!$F$71:$ES$71,1,Corte+8))</f>
        <v>404166.666666667</v>
      </c>
      <c r="N37" s="48" t="n">
        <f aca="false">IF(Corte+9&gt;144,"",INDEX(Calculo!$F$71:$ES$71,1,Corte+9))</f>
        <v>404166.666666667</v>
      </c>
      <c r="O37" s="48" t="n">
        <f aca="false">IF(Corte+10&gt;144,"",INDEX(Calculo!$F$71:$ES$71,1,Corte+10))</f>
        <v>404166.666666667</v>
      </c>
      <c r="P37" s="48" t="n">
        <f aca="false">IF(Corte+11&gt;144,"",INDEX(Calculo!$F$71:$ES$71,1,Corte+11))</f>
        <v>404166.666666667</v>
      </c>
      <c r="Q37" s="48" t="n">
        <f aca="false">IF(Corte+12&gt;144,"",INDEX(Calculo!$F$71:$ES$71,1,Corte+12))</f>
        <v>404166.666666667</v>
      </c>
      <c r="R37" s="48" t="n">
        <f aca="false">IF(Corte+13&gt;144,"",INDEX(Calculo!$F$71:$ES$71,1,Corte+13))</f>
        <v>515100</v>
      </c>
      <c r="S37" s="48" t="n">
        <f aca="false">IF(Corte+14&gt;144,"",INDEX(Calculo!$F$71:$ES$71,1,Corte+14))</f>
        <v>515100</v>
      </c>
      <c r="T37" s="48" t="n">
        <f aca="false">IF(Corte+15&gt;144,"",INDEX(Calculo!$F$71:$ES$71,1,Corte+15))</f>
        <v>515100</v>
      </c>
      <c r="U37" s="48" t="n">
        <f aca="false">IF(Corte+16&gt;144,"",INDEX(Calculo!$F$71:$ES$71,1,Corte+16))</f>
        <v>515100</v>
      </c>
      <c r="V37" s="48" t="n">
        <f aca="false">IF(Corte+17&gt;144,"",INDEX(Calculo!$F$71:$ES$71,1,Corte+17))</f>
        <v>515100</v>
      </c>
      <c r="W37" s="48" t="n">
        <f aca="false">IF(Corte+18&gt;144,"",INDEX(Calculo!$F$71:$ES$71,1,Corte+18))</f>
        <v>515100</v>
      </c>
      <c r="X37" s="48" t="n">
        <f aca="false">IF(Corte+19&gt;144,"",INDEX(Calculo!$F$71:$ES$71,1,Corte+19))</f>
        <v>515100</v>
      </c>
      <c r="Y37" s="48" t="n">
        <f aca="false">IF(Corte+20&gt;144,"",INDEX(Calculo!$F$71:$ES$71,1,Corte+20))</f>
        <v>515100</v>
      </c>
      <c r="Z37" s="48" t="n">
        <f aca="false">IF(Corte+21&gt;144,"",INDEX(Calculo!$F$71:$ES$71,1,Corte+21))</f>
        <v>515100</v>
      </c>
      <c r="AA37" s="48" t="n">
        <f aca="false">IF(Corte+22&gt;144,"",INDEX(Calculo!$F$71:$ES$71,1,Corte+22))</f>
        <v>515100</v>
      </c>
      <c r="AB37" s="48" t="n">
        <f aca="false">IF(Corte+23&gt;144,"",INDEX(Calculo!$F$71:$ES$71,1,Corte+23))</f>
        <v>515100</v>
      </c>
      <c r="AC37" s="48" t="n">
        <f aca="false">IF(Corte+24&gt;144,"",INDEX(Calculo!$F$71:$ES$71,1,Corte+24))</f>
        <v>515100</v>
      </c>
    </row>
    <row r="38" customFormat="false" ht="15" hidden="false" customHeight="false" outlineLevel="0" collapsed="false">
      <c r="A38" s="11" t="s">
        <v>1174</v>
      </c>
      <c r="B38" s="15" t="s">
        <v>1479</v>
      </c>
      <c r="C38" s="54" t="n">
        <f aca="false">SUM(F38:Q38)</f>
        <v>509970.005707077</v>
      </c>
      <c r="D38" s="54" t="n">
        <f aca="false">SUM(R38:AC38)</f>
        <v>965956.835927578</v>
      </c>
      <c r="E38" s="54" t="n">
        <f aca="false">SUM(F38:AC38)</f>
        <v>1475926.84163465</v>
      </c>
      <c r="F38" s="48" t="n">
        <f aca="false">IF(Corte+1&gt;144,"",INDEX(Calculo!$F$102:$ES$102,1,Corte+1))</f>
        <v>42497.5004755897</v>
      </c>
      <c r="G38" s="48" t="n">
        <f aca="false">IF(Corte+2&gt;144,"",INDEX(Calculo!$F$102:$ES$102,1,Corte+2))</f>
        <v>42497.5004755897</v>
      </c>
      <c r="H38" s="48" t="n">
        <f aca="false">IF(Corte+3&gt;144,"",INDEX(Calculo!$F$102:$ES$102,1,Corte+3))</f>
        <v>42497.5004755897</v>
      </c>
      <c r="I38" s="48" t="n">
        <f aca="false">IF(Corte+4&gt;144,"",INDEX(Calculo!$F$102:$ES$102,1,Corte+4))</f>
        <v>42497.5004755897</v>
      </c>
      <c r="J38" s="48" t="n">
        <f aca="false">IF(Corte+5&gt;144,"",INDEX(Calculo!$F$102:$ES$102,1,Corte+5))</f>
        <v>42497.5004755897</v>
      </c>
      <c r="K38" s="48" t="n">
        <f aca="false">IF(Corte+6&gt;144,"",INDEX(Calculo!$F$102:$ES$102,1,Corte+6))</f>
        <v>42497.5004755897</v>
      </c>
      <c r="L38" s="48" t="n">
        <f aca="false">IF(Corte+7&gt;144,"",INDEX(Calculo!$F$102:$ES$102,1,Corte+7))</f>
        <v>42497.5004755897</v>
      </c>
      <c r="M38" s="48" t="n">
        <f aca="false">IF(Corte+8&gt;144,"",INDEX(Calculo!$F$102:$ES$102,1,Corte+8))</f>
        <v>42497.5004755897</v>
      </c>
      <c r="N38" s="48" t="n">
        <f aca="false">IF(Corte+9&gt;144,"",INDEX(Calculo!$F$102:$ES$102,1,Corte+9))</f>
        <v>42497.5004755897</v>
      </c>
      <c r="O38" s="48" t="n">
        <f aca="false">IF(Corte+10&gt;144,"",INDEX(Calculo!$F$102:$ES$102,1,Corte+10))</f>
        <v>42497.5004755897</v>
      </c>
      <c r="P38" s="48" t="n">
        <f aca="false">IF(Corte+11&gt;144,"",INDEX(Calculo!$F$102:$ES$102,1,Corte+11))</f>
        <v>42497.5004755897</v>
      </c>
      <c r="Q38" s="48" t="n">
        <f aca="false">IF(Corte+12&gt;144,"",INDEX(Calculo!$F$102:$ES$102,1,Corte+12))</f>
        <v>42497.5004755897</v>
      </c>
      <c r="R38" s="48" t="n">
        <f aca="false">IF(Corte+13&gt;144,"",INDEX(Calculo!$F$102:$ES$102,1,Corte+13))</f>
        <v>80496.4029939648</v>
      </c>
      <c r="S38" s="48" t="n">
        <f aca="false">IF(Corte+14&gt;144,"",INDEX(Calculo!$F$102:$ES$102,1,Corte+14))</f>
        <v>80496.4029939648</v>
      </c>
      <c r="T38" s="48" t="n">
        <f aca="false">IF(Corte+15&gt;144,"",INDEX(Calculo!$F$102:$ES$102,1,Corte+15))</f>
        <v>80496.4029939648</v>
      </c>
      <c r="U38" s="48" t="n">
        <f aca="false">IF(Corte+16&gt;144,"",INDEX(Calculo!$F$102:$ES$102,1,Corte+16))</f>
        <v>80496.4029939648</v>
      </c>
      <c r="V38" s="48" t="n">
        <f aca="false">IF(Corte+17&gt;144,"",INDEX(Calculo!$F$102:$ES$102,1,Corte+17))</f>
        <v>80496.4029939648</v>
      </c>
      <c r="W38" s="48" t="n">
        <f aca="false">IF(Corte+18&gt;144,"",INDEX(Calculo!$F$102:$ES$102,1,Corte+18))</f>
        <v>80496.4029939648</v>
      </c>
      <c r="X38" s="48" t="n">
        <f aca="false">IF(Corte+19&gt;144,"",INDEX(Calculo!$F$102:$ES$102,1,Corte+19))</f>
        <v>80496.4029939648</v>
      </c>
      <c r="Y38" s="48" t="n">
        <f aca="false">IF(Corte+20&gt;144,"",INDEX(Calculo!$F$102:$ES$102,1,Corte+20))</f>
        <v>80496.4029939648</v>
      </c>
      <c r="Z38" s="48" t="n">
        <f aca="false">IF(Corte+21&gt;144,"",INDEX(Calculo!$F$102:$ES$102,1,Corte+21))</f>
        <v>80496.4029939648</v>
      </c>
      <c r="AA38" s="48" t="n">
        <f aca="false">IF(Corte+22&gt;144,"",INDEX(Calculo!$F$102:$ES$102,1,Corte+22))</f>
        <v>80496.4029939648</v>
      </c>
      <c r="AB38" s="48" t="n">
        <f aca="false">IF(Corte+23&gt;144,"",INDEX(Calculo!$F$102:$ES$102,1,Corte+23))</f>
        <v>80496.4029939648</v>
      </c>
      <c r="AC38" s="48" t="n">
        <f aca="false">IF(Corte+24&gt;144,"",INDEX(Calculo!$F$102:$ES$102,1,Corte+24))</f>
        <v>80496.4029939648</v>
      </c>
    </row>
    <row r="39" customFormat="false" ht="15" hidden="false" customHeight="false" outlineLevel="0" collapsed="false">
      <c r="A39" s="11" t="s">
        <v>1183</v>
      </c>
      <c r="B39" s="15" t="s">
        <v>1480</v>
      </c>
      <c r="C39" s="54" t="n">
        <f aca="false">SUM(F39:Q39)</f>
        <v>167275.864276051</v>
      </c>
      <c r="D39" s="54" t="n">
        <f aca="false">SUM(R39:AC39)</f>
        <v>658090.372806125</v>
      </c>
      <c r="E39" s="54" t="n">
        <f aca="false">SUM(F39:AC39)</f>
        <v>825366.237082177</v>
      </c>
      <c r="F39" s="48" t="n">
        <f aca="false">IF(Corte+1&gt;144,"",INDEX(Calculo!$F$107:$ES$107,1,Corte+1))</f>
        <v>13500.8903089231</v>
      </c>
      <c r="G39" s="48" t="n">
        <f aca="false">IF(Corte+2&gt;144,"",INDEX(Calculo!$F$107:$ES$107,1,Corte+2))</f>
        <v>13500.8903089231</v>
      </c>
      <c r="H39" s="48" t="n">
        <f aca="false">IF(Corte+3&gt;144,"",INDEX(Calculo!$F$107:$ES$107,1,Corte+3))</f>
        <v>13500.8903089231</v>
      </c>
      <c r="I39" s="48" t="n">
        <f aca="false">IF(Corte+4&gt;144,"",INDEX(Calculo!$F$107:$ES$107,1,Corte+4))</f>
        <v>13500.8903089231</v>
      </c>
      <c r="J39" s="48" t="n">
        <f aca="false">IF(Corte+5&gt;144,"",INDEX(Calculo!$F$107:$ES$107,1,Corte+5))</f>
        <v>13500.8903089231</v>
      </c>
      <c r="K39" s="48" t="n">
        <f aca="false">IF(Corte+6&gt;144,"",INDEX(Calculo!$F$107:$ES$107,1,Corte+6))</f>
        <v>13500.8903089231</v>
      </c>
      <c r="L39" s="48" t="n">
        <f aca="false">IF(Corte+7&gt;144,"",INDEX(Calculo!$F$107:$ES$107,1,Corte+7))</f>
        <v>13500.8903089231</v>
      </c>
      <c r="M39" s="48" t="n">
        <f aca="false">IF(Corte+8&gt;144,"",INDEX(Calculo!$F$107:$ES$107,1,Corte+8))</f>
        <v>13848.4075677042</v>
      </c>
      <c r="N39" s="48" t="n">
        <f aca="false">IF(Corte+9&gt;144,"",INDEX(Calculo!$F$107:$ES$107,1,Corte+9))</f>
        <v>14198.5312059263</v>
      </c>
      <c r="O39" s="48" t="n">
        <f aca="false">IF(Corte+10&gt;144,"",INDEX(Calculo!$F$107:$ES$107,1,Corte+10))</f>
        <v>14551.280771435</v>
      </c>
      <c r="P39" s="48" t="n">
        <f aca="false">IF(Corte+11&gt;144,"",INDEX(Calculo!$F$107:$ES$107,1,Corte+11))</f>
        <v>14906.675958685</v>
      </c>
      <c r="Q39" s="48" t="n">
        <f aca="false">IF(Corte+12&gt;144,"",INDEX(Calculo!$F$107:$ES$107,1,Corte+12))</f>
        <v>15264.7366098394</v>
      </c>
      <c r="R39" s="48" t="n">
        <f aca="false">IF(Corte+13&gt;144,"",INDEX(Calculo!$F$107:$ES$107,1,Corte+13))</f>
        <v>52791.0519009191</v>
      </c>
      <c r="S39" s="48" t="n">
        <f aca="false">IF(Corte+14&gt;144,"",INDEX(Calculo!$F$107:$ES$107,1,Corte+14))</f>
        <v>53154.5036027525</v>
      </c>
      <c r="T39" s="48" t="n">
        <f aca="false">IF(Corte+15&gt;144,"",INDEX(Calculo!$F$107:$ES$107,1,Corte+15))</f>
        <v>53520.6811923496</v>
      </c>
      <c r="U39" s="48" t="n">
        <f aca="false">IF(Corte+16&gt;144,"",INDEX(Calculo!$F$107:$ES$107,1,Corte+16))</f>
        <v>53889.6051138686</v>
      </c>
      <c r="V39" s="48" t="n">
        <f aca="false">IF(Corte+17&gt;144,"",INDEX(Calculo!$F$107:$ES$107,1,Corte+17))</f>
        <v>54261.2959647991</v>
      </c>
      <c r="W39" s="48" t="n">
        <f aca="false">IF(Corte+18&gt;144,"",INDEX(Calculo!$F$107:$ES$107,1,Corte+18))</f>
        <v>54635.7744971115</v>
      </c>
      <c r="X39" s="48" t="n">
        <f aca="false">IF(Corte+19&gt;144,"",INDEX(Calculo!$F$107:$ES$107,1,Corte+19))</f>
        <v>55013.0616184163</v>
      </c>
      <c r="Y39" s="48" t="n">
        <f aca="false">IF(Corte+20&gt;144,"",INDEX(Calculo!$F$107:$ES$107,1,Corte+20))</f>
        <v>55393.1783931308</v>
      </c>
      <c r="Z39" s="48" t="n">
        <f aca="false">IF(Corte+21&gt;144,"",INDEX(Calculo!$F$107:$ES$107,1,Corte+21))</f>
        <v>55776.1460436557</v>
      </c>
      <c r="AA39" s="48" t="n">
        <f aca="false">IF(Corte+22&gt;144,"",INDEX(Calculo!$F$107:$ES$107,1,Corte+22))</f>
        <v>56161.9859515596</v>
      </c>
      <c r="AB39" s="48" t="n">
        <f aca="false">IF(Corte+23&gt;144,"",INDEX(Calculo!$F$107:$ES$107,1,Corte+23))</f>
        <v>56550.7196587727</v>
      </c>
      <c r="AC39" s="48" t="n">
        <f aca="false">IF(Corte+24&gt;144,"",INDEX(Calculo!$F$107:$ES$107,1,Corte+24))</f>
        <v>56942.36886879</v>
      </c>
    </row>
    <row r="40" customFormat="false" ht="15" hidden="false" customHeight="false" outlineLevel="0" collapsed="false">
      <c r="A40" s="11" t="s">
        <v>1270</v>
      </c>
      <c r="B40" s="15" t="s">
        <v>1481</v>
      </c>
      <c r="C40" s="54" t="n">
        <f aca="false">Q40</f>
        <v>497602.743558918</v>
      </c>
      <c r="D40" s="54" t="n">
        <f aca="false">AC40</f>
        <v>303049.269216285</v>
      </c>
      <c r="E40" s="54" t="n">
        <f aca="false">AC40</f>
        <v>303049.269216285</v>
      </c>
      <c r="F40" s="48" t="n">
        <f aca="false">IF(Corte+1&gt;144,"",INDEX(Calculo!$F$154:$ES$154,1,Corte+1))</f>
        <v>535727.93036656</v>
      </c>
      <c r="G40" s="48" t="n">
        <f aca="false">IF(Corte+2&gt;144,"",INDEX(Calculo!$F$154:$ES$154,1,Corte+2))</f>
        <v>555194.83809215</v>
      </c>
      <c r="H40" s="48" t="n">
        <f aca="false">IF(Corte+3&gt;144,"",INDEX(Calculo!$F$154:$ES$154,1,Corte+3))</f>
        <v>574661.745817739</v>
      </c>
      <c r="I40" s="48" t="n">
        <f aca="false">IF(Corte+4&gt;144,"",INDEX(Calculo!$F$154:$ES$154,1,Corte+4))</f>
        <v>594128.653543329</v>
      </c>
      <c r="J40" s="48" t="n">
        <f aca="false">IF(Corte+5&gt;144,"",INDEX(Calculo!$F$154:$ES$154,1,Corte+5))</f>
        <v>613595.561268919</v>
      </c>
      <c r="K40" s="48" t="n">
        <f aca="false">IF(Corte+6&gt;144,"",INDEX(Calculo!$F$154:$ES$154,1,Corte+6))</f>
        <v>633062.468994509</v>
      </c>
      <c r="L40" s="48" t="n">
        <f aca="false">IF(Corte+7&gt;144,"",INDEX(Calculo!$F$154:$ES$154,1,Corte+7))</f>
        <v>610406.072625411</v>
      </c>
      <c r="M40" s="48" t="n">
        <f aca="false">IF(Corte+8&gt;144,"",INDEX(Calculo!$F$154:$ES$154,1,Corte+8))</f>
        <v>587781.268734384</v>
      </c>
      <c r="N40" s="48" t="n">
        <f aca="false">IF(Corte+9&gt;144,"",INDEX(Calculo!$F$154:$ES$154,1,Corte+9))</f>
        <v>565188.294265013</v>
      </c>
      <c r="O40" s="48" t="n">
        <f aca="false">IF(Corte+10&gt;144,"",INDEX(Calculo!$F$154:$ES$154,1,Corte+10))</f>
        <v>542627.387937962</v>
      </c>
      <c r="P40" s="48" t="n">
        <f aca="false">IF(Corte+11&gt;144,"",INDEX(Calculo!$F$154:$ES$154,1,Corte+11))</f>
        <v>520098.790264297</v>
      </c>
      <c r="Q40" s="48" t="n">
        <f aca="false">IF(Corte+12&gt;144,"",INDEX(Calculo!$F$154:$ES$154,1,Corte+12))</f>
        <v>497602.743558918</v>
      </c>
      <c r="R40" s="48" t="n">
        <f aca="false">IF(Corte+13&gt;144,"",INDEX(Calculo!$F$154:$ES$154,1,Corte+13))</f>
        <v>129920.95007682</v>
      </c>
      <c r="S40" s="48" t="n">
        <f aca="false">IF(Corte+14&gt;144,"",INDEX(Calculo!$F$154:$ES$154,1,Corte+14))</f>
        <v>145489.642054168</v>
      </c>
      <c r="T40" s="48" t="n">
        <f aca="false">IF(Corte+15&gt;144,"",INDEX(Calculo!$F$154:$ES$154,1,Corte+15))</f>
        <v>161091.622903299</v>
      </c>
      <c r="U40" s="48" t="n">
        <f aca="false">IF(Corte+16&gt;144,"",INDEX(Calculo!$F$154:$ES$154,1,Corte+16))</f>
        <v>176727.142290749</v>
      </c>
      <c r="V40" s="48" t="n">
        <f aca="false">IF(Corte+17&gt;144,"",INDEX(Calculo!$F$154:$ES$154,1,Corte+17))</f>
        <v>192396.451755556</v>
      </c>
      <c r="W40" s="48" t="n">
        <f aca="false">IF(Corte+18&gt;144,"",INDEX(Calculo!$F$154:$ES$154,1,Corte+18))</f>
        <v>208099.804723301</v>
      </c>
      <c r="X40" s="48" t="n">
        <f aca="false">IF(Corte+19&gt;144,"",INDEX(Calculo!$F$154:$ES$154,1,Corte+19))</f>
        <v>223837.456520255</v>
      </c>
      <c r="Y40" s="48" t="n">
        <f aca="false">IF(Corte+20&gt;144,"",INDEX(Calculo!$F$154:$ES$154,1,Corte+20))</f>
        <v>239609.664387639</v>
      </c>
      <c r="Z40" s="48" t="n">
        <f aca="false">IF(Corte+21&gt;144,"",INDEX(Calculo!$F$154:$ES$154,1,Corte+21))</f>
        <v>255416.687495978</v>
      </c>
      <c r="AA40" s="48" t="n">
        <f aca="false">IF(Corte+22&gt;144,"",INDEX(Calculo!$F$154:$ES$154,1,Corte+22))</f>
        <v>271258.786959582</v>
      </c>
      <c r="AB40" s="48" t="n">
        <f aca="false">IF(Corte+23&gt;144,"",INDEX(Calculo!$F$154:$ES$154,1,Corte+23))</f>
        <v>287136.225851114</v>
      </c>
      <c r="AC40" s="48" t="n">
        <f aca="false">IF(Corte+24&gt;144,"",INDEX(Calculo!$F$154:$ES$154,1,Corte+24))</f>
        <v>303049.269216285</v>
      </c>
    </row>
    <row r="41" customFormat="false" ht="15" hidden="false" customHeight="false" outlineLevel="0" collapsed="false">
      <c r="B41" s="20" t="s">
        <v>1482</v>
      </c>
      <c r="C41" s="19" t="n">
        <f aca="false">IF(OR(C11="",C37=""),"",C11-C37)</f>
        <v>0</v>
      </c>
      <c r="D41" s="19" t="n">
        <f aca="false">IF(OR(D11="",D37=""),"",D11-D37)</f>
        <v>0</v>
      </c>
      <c r="E41" s="19" t="n">
        <f aca="false">IF(OR(E11="",E37=""),"",E11-E37)</f>
        <v>0</v>
      </c>
      <c r="F41" s="19" t="n">
        <f aca="false">IF(OR(F11="",F37=""),"",F11-F37)</f>
        <v>0</v>
      </c>
      <c r="G41" s="19" t="n">
        <f aca="false">IF(OR(G11="",G37=""),"",G11-G37)</f>
        <v>0</v>
      </c>
      <c r="H41" s="19" t="n">
        <f aca="false">IF(OR(H11="",H37=""),"",H11-H37)</f>
        <v>0</v>
      </c>
      <c r="I41" s="19" t="n">
        <f aca="false">IF(OR(I11="",I37=""),"",I11-I37)</f>
        <v>0</v>
      </c>
      <c r="J41" s="19" t="n">
        <f aca="false">IF(OR(J11="",J37=""),"",J11-J37)</f>
        <v>0</v>
      </c>
      <c r="K41" s="19" t="n">
        <f aca="false">IF(OR(K11="",K37=""),"",K11-K37)</f>
        <v>0</v>
      </c>
      <c r="L41" s="19" t="n">
        <f aca="false">IF(OR(L11="",L37=""),"",L11-L37)</f>
        <v>0</v>
      </c>
      <c r="M41" s="19" t="n">
        <f aca="false">IF(OR(M11="",M37=""),"",M11-M37)</f>
        <v>0</v>
      </c>
      <c r="N41" s="19" t="n">
        <f aca="false">IF(OR(N11="",N37=""),"",N11-N37)</f>
        <v>0</v>
      </c>
      <c r="O41" s="19" t="n">
        <f aca="false">IF(OR(O11="",O37=""),"",O11-O37)</f>
        <v>0</v>
      </c>
      <c r="P41" s="19" t="n">
        <f aca="false">IF(OR(P11="",P37=""),"",P11-P37)</f>
        <v>0</v>
      </c>
      <c r="Q41" s="19" t="n">
        <f aca="false">IF(OR(Q11="",Q37=""),"",Q11-Q37)</f>
        <v>0</v>
      </c>
      <c r="R41" s="19" t="n">
        <f aca="false">IF(OR(R11="",R37=""),"",R11-R37)</f>
        <v>0</v>
      </c>
      <c r="S41" s="19" t="n">
        <f aca="false">IF(OR(S11="",S37=""),"",S11-S37)</f>
        <v>0</v>
      </c>
      <c r="T41" s="19" t="n">
        <f aca="false">IF(OR(T11="",T37=""),"",T11-T37)</f>
        <v>0</v>
      </c>
      <c r="U41" s="19" t="n">
        <f aca="false">IF(OR(U11="",U37=""),"",U11-U37)</f>
        <v>0</v>
      </c>
      <c r="V41" s="19" t="n">
        <f aca="false">IF(OR(V11="",V37=""),"",V11-V37)</f>
        <v>0</v>
      </c>
      <c r="W41" s="19" t="n">
        <f aca="false">IF(OR(W11="",W37=""),"",W11-W37)</f>
        <v>0</v>
      </c>
      <c r="X41" s="19" t="n">
        <f aca="false">IF(OR(X11="",X37=""),"",X11-X37)</f>
        <v>0</v>
      </c>
      <c r="Y41" s="19" t="n">
        <f aca="false">IF(OR(Y11="",Y37=""),"",Y11-Y37)</f>
        <v>0</v>
      </c>
      <c r="Z41" s="19" t="n">
        <f aca="false">IF(OR(Z11="",Z37=""),"",Z11-Z37)</f>
        <v>0</v>
      </c>
      <c r="AA41" s="19" t="n">
        <f aca="false">IF(OR(AA11="",AA37=""),"",AA11-AA37)</f>
        <v>0</v>
      </c>
      <c r="AB41" s="19" t="n">
        <f aca="false">IF(OR(AB11="",AB37=""),"",AB11-AB37)</f>
        <v>0</v>
      </c>
      <c r="AC41" s="19" t="n">
        <f aca="false">IF(OR(AC11="",AC37=""),"",AC11-AC37)</f>
        <v>0</v>
      </c>
    </row>
    <row r="42" customFormat="false" ht="15" hidden="false" customHeight="false" outlineLevel="0" collapsed="false">
      <c r="B42" s="20" t="s">
        <v>1483</v>
      </c>
      <c r="C42" s="19" t="n">
        <f aca="false">IF(OR(C19="",C38=""),"",C19-C38)</f>
        <v>0</v>
      </c>
      <c r="D42" s="19" t="n">
        <f aca="false">IF(OR(D19="",D38=""),"",D19-D38)</f>
        <v>0</v>
      </c>
      <c r="E42" s="19" t="n">
        <f aca="false">IF(OR(E19="",E38=""),"",E19-E38)</f>
        <v>0</v>
      </c>
      <c r="F42" s="19" t="n">
        <f aca="false">IF(OR(F19="",F38=""),"",F19-F38)</f>
        <v>0</v>
      </c>
      <c r="G42" s="19" t="n">
        <f aca="false">IF(OR(G19="",G38=""),"",G19-G38)</f>
        <v>0</v>
      </c>
      <c r="H42" s="19" t="n">
        <f aca="false">IF(OR(H19="",H38=""),"",H19-H38)</f>
        <v>0</v>
      </c>
      <c r="I42" s="19" t="n">
        <f aca="false">IF(OR(I19="",I38=""),"",I19-I38)</f>
        <v>0</v>
      </c>
      <c r="J42" s="19" t="n">
        <f aca="false">IF(OR(J19="",J38=""),"",J19-J38)</f>
        <v>0</v>
      </c>
      <c r="K42" s="19" t="n">
        <f aca="false">IF(OR(K19="",K38=""),"",K19-K38)</f>
        <v>0</v>
      </c>
      <c r="L42" s="19" t="n">
        <f aca="false">IF(OR(L19="",L38=""),"",L19-L38)</f>
        <v>0</v>
      </c>
      <c r="M42" s="19" t="n">
        <f aca="false">IF(OR(M19="",M38=""),"",M19-M38)</f>
        <v>0</v>
      </c>
      <c r="N42" s="19" t="n">
        <f aca="false">IF(OR(N19="",N38=""),"",N19-N38)</f>
        <v>0</v>
      </c>
      <c r="O42" s="19" t="n">
        <f aca="false">IF(OR(O19="",O38=""),"",O19-O38)</f>
        <v>0</v>
      </c>
      <c r="P42" s="19" t="n">
        <f aca="false">IF(OR(P19="",P38=""),"",P19-P38)</f>
        <v>0</v>
      </c>
      <c r="Q42" s="19" t="n">
        <f aca="false">IF(OR(Q19="",Q38=""),"",Q19-Q38)</f>
        <v>0</v>
      </c>
      <c r="R42" s="19" t="n">
        <f aca="false">IF(OR(R19="",R38=""),"",R19-R38)</f>
        <v>0</v>
      </c>
      <c r="S42" s="19" t="n">
        <f aca="false">IF(OR(S19="",S38=""),"",S19-S38)</f>
        <v>0</v>
      </c>
      <c r="T42" s="19" t="n">
        <f aca="false">IF(OR(T19="",T38=""),"",T19-T38)</f>
        <v>0</v>
      </c>
      <c r="U42" s="19" t="n">
        <f aca="false">IF(OR(U19="",U38=""),"",U19-U38)</f>
        <v>0</v>
      </c>
      <c r="V42" s="19" t="n">
        <f aca="false">IF(OR(V19="",V38=""),"",V19-V38)</f>
        <v>0</v>
      </c>
      <c r="W42" s="19" t="n">
        <f aca="false">IF(OR(W19="",W38=""),"",W19-W38)</f>
        <v>0</v>
      </c>
      <c r="X42" s="19" t="n">
        <f aca="false">IF(OR(X19="",X38=""),"",X19-X38)</f>
        <v>0</v>
      </c>
      <c r="Y42" s="19" t="n">
        <f aca="false">IF(OR(Y19="",Y38=""),"",Y19-Y38)</f>
        <v>0</v>
      </c>
      <c r="Z42" s="19" t="n">
        <f aca="false">IF(OR(Z19="",Z38=""),"",Z19-Z38)</f>
        <v>0</v>
      </c>
      <c r="AA42" s="19" t="n">
        <f aca="false">IF(OR(AA19="",AA38=""),"",AA19-AA38)</f>
        <v>0</v>
      </c>
      <c r="AB42" s="19" t="n">
        <f aca="false">IF(OR(AB19="",AB38=""),"",AB19-AB38)</f>
        <v>0</v>
      </c>
      <c r="AC42" s="19" t="n">
        <f aca="false">IF(OR(AC19="",AC38=""),"",AC19-AC38)</f>
        <v>0</v>
      </c>
    </row>
    <row r="43" customFormat="false" ht="15" hidden="false" customHeight="false" outlineLevel="0" collapsed="false">
      <c r="B43" s="20" t="s">
        <v>1484</v>
      </c>
      <c r="C43" s="19" t="n">
        <f aca="false">IF(OR(C22="",C39=""),"",C22-C39)</f>
        <v>0</v>
      </c>
      <c r="D43" s="19" t="n">
        <f aca="false">IF(OR(D22="",D39=""),"",D22-D39)</f>
        <v>0</v>
      </c>
      <c r="E43" s="19" t="n">
        <f aca="false">IF(OR(E22="",E39=""),"",E22-E39)</f>
        <v>0</v>
      </c>
      <c r="F43" s="19" t="n">
        <f aca="false">IF(OR(F22="",F39=""),"",F22-F39)</f>
        <v>0</v>
      </c>
      <c r="G43" s="19" t="n">
        <f aca="false">IF(OR(G22="",G39=""),"",G22-G39)</f>
        <v>0</v>
      </c>
      <c r="H43" s="19" t="n">
        <f aca="false">IF(OR(H22="",H39=""),"",H22-H39)</f>
        <v>0</v>
      </c>
      <c r="I43" s="19" t="n">
        <f aca="false">IF(OR(I22="",I39=""),"",I22-I39)</f>
        <v>0</v>
      </c>
      <c r="J43" s="19" t="n">
        <f aca="false">IF(OR(J22="",J39=""),"",J22-J39)</f>
        <v>0</v>
      </c>
      <c r="K43" s="19" t="n">
        <f aca="false">IF(OR(K22="",K39=""),"",K22-K39)</f>
        <v>0</v>
      </c>
      <c r="L43" s="19" t="n">
        <f aca="false">IF(OR(L22="",L39=""),"",L22-L39)</f>
        <v>0</v>
      </c>
      <c r="M43" s="19" t="n">
        <f aca="false">IF(OR(M22="",M39=""),"",M22-M39)</f>
        <v>0</v>
      </c>
      <c r="N43" s="19" t="n">
        <f aca="false">IF(OR(N22="",N39=""),"",N22-N39)</f>
        <v>0</v>
      </c>
      <c r="O43" s="19" t="n">
        <f aca="false">IF(OR(O22="",O39=""),"",O22-O39)</f>
        <v>0</v>
      </c>
      <c r="P43" s="19" t="n">
        <f aca="false">IF(OR(P22="",P39=""),"",P22-P39)</f>
        <v>0</v>
      </c>
      <c r="Q43" s="19" t="n">
        <f aca="false">IF(OR(Q22="",Q39=""),"",Q22-Q39)</f>
        <v>0</v>
      </c>
      <c r="R43" s="19" t="n">
        <f aca="false">IF(OR(R22="",R39=""),"",R22-R39)</f>
        <v>0</v>
      </c>
      <c r="S43" s="19" t="n">
        <f aca="false">IF(OR(S22="",S39=""),"",S22-S39)</f>
        <v>0</v>
      </c>
      <c r="T43" s="19" t="n">
        <f aca="false">IF(OR(T22="",T39=""),"",T22-T39)</f>
        <v>0</v>
      </c>
      <c r="U43" s="19" t="n">
        <f aca="false">IF(OR(U22="",U39=""),"",U22-U39)</f>
        <v>0</v>
      </c>
      <c r="V43" s="19" t="n">
        <f aca="false">IF(OR(V22="",V39=""),"",V22-V39)</f>
        <v>0</v>
      </c>
      <c r="W43" s="19" t="n">
        <f aca="false">IF(OR(W22="",W39=""),"",W22-W39)</f>
        <v>0</v>
      </c>
      <c r="X43" s="19" t="n">
        <f aca="false">IF(OR(X22="",X39=""),"",X22-X39)</f>
        <v>0</v>
      </c>
      <c r="Y43" s="19" t="n">
        <f aca="false">IF(OR(Y22="",Y39=""),"",Y22-Y39)</f>
        <v>0</v>
      </c>
      <c r="Z43" s="19" t="n">
        <f aca="false">IF(OR(Z22="",Z39=""),"",Z22-Z39)</f>
        <v>0</v>
      </c>
      <c r="AA43" s="19" t="n">
        <f aca="false">IF(OR(AA22="",AA39=""),"",AA22-AA39)</f>
        <v>0</v>
      </c>
      <c r="AB43" s="19" t="n">
        <f aca="false">IF(OR(AB22="",AB39=""),"",AB22-AB39)</f>
        <v>0</v>
      </c>
      <c r="AC43" s="19" t="n">
        <f aca="false">IF(OR(AC22="",AC39=""),"",AC22-AC39)</f>
        <v>0</v>
      </c>
    </row>
    <row r="44" customFormat="false" ht="15" hidden="false" customHeight="false" outlineLevel="0" collapsed="false">
      <c r="B44" s="20" t="s">
        <v>1485</v>
      </c>
      <c r="C44" s="19" t="n">
        <f aca="false">IF(OR(C29="",C40=""),"",C29-C40)</f>
        <v>0</v>
      </c>
      <c r="D44" s="19" t="n">
        <f aca="false">IF(OR(D29="",D40=""),"",D29-D40)</f>
        <v>0</v>
      </c>
      <c r="E44" s="19" t="n">
        <f aca="false">IF(OR(E29="",E40=""),"",E29-E40)</f>
        <v>0</v>
      </c>
      <c r="F44" s="19" t="n">
        <f aca="false">IF(OR(F29="",F40=""),"",F29-F40)</f>
        <v>0</v>
      </c>
      <c r="G44" s="19" t="n">
        <f aca="false">IF(OR(G29="",G40=""),"",G29-G40)</f>
        <v>0</v>
      </c>
      <c r="H44" s="19" t="n">
        <f aca="false">IF(OR(H29="",H40=""),"",H29-H40)</f>
        <v>0</v>
      </c>
      <c r="I44" s="19" t="n">
        <f aca="false">IF(OR(I29="",I40=""),"",I29-I40)</f>
        <v>0</v>
      </c>
      <c r="J44" s="19" t="n">
        <f aca="false">IF(OR(J29="",J40=""),"",J29-J40)</f>
        <v>0</v>
      </c>
      <c r="K44" s="19" t="n">
        <f aca="false">IF(OR(K29="",K40=""),"",K29-K40)</f>
        <v>0</v>
      </c>
      <c r="L44" s="19" t="n">
        <f aca="false">IF(OR(L29="",L40=""),"",L29-L40)</f>
        <v>0</v>
      </c>
      <c r="M44" s="19" t="n">
        <f aca="false">IF(OR(M29="",M40=""),"",M29-M40)</f>
        <v>0</v>
      </c>
      <c r="N44" s="19" t="n">
        <f aca="false">IF(OR(N29="",N40=""),"",N29-N40)</f>
        <v>0</v>
      </c>
      <c r="O44" s="19" t="n">
        <f aca="false">IF(OR(O29="",O40=""),"",O29-O40)</f>
        <v>0</v>
      </c>
      <c r="P44" s="19" t="n">
        <f aca="false">IF(OR(P29="",P40=""),"",P29-P40)</f>
        <v>0</v>
      </c>
      <c r="Q44" s="19" t="n">
        <f aca="false">IF(OR(Q29="",Q40=""),"",Q29-Q40)</f>
        <v>0</v>
      </c>
      <c r="R44" s="19" t="n">
        <f aca="false">IF(OR(R29="",R40=""),"",R29-R40)</f>
        <v>0</v>
      </c>
      <c r="S44" s="19" t="n">
        <f aca="false">IF(OR(S29="",S40=""),"",S29-S40)</f>
        <v>0</v>
      </c>
      <c r="T44" s="19" t="n">
        <f aca="false">IF(OR(T29="",T40=""),"",T29-T40)</f>
        <v>0</v>
      </c>
      <c r="U44" s="19" t="n">
        <f aca="false">IF(OR(U29="",U40=""),"",U29-U40)</f>
        <v>0</v>
      </c>
      <c r="V44" s="19" t="n">
        <f aca="false">IF(OR(V29="",V40=""),"",V29-V40)</f>
        <v>0</v>
      </c>
      <c r="W44" s="19" t="n">
        <f aca="false">IF(OR(W29="",W40=""),"",W29-W40)</f>
        <v>0</v>
      </c>
      <c r="X44" s="19" t="n">
        <f aca="false">IF(OR(X29="",X40=""),"",X29-X40)</f>
        <v>0</v>
      </c>
      <c r="Y44" s="19" t="n">
        <f aca="false">IF(OR(Y29="",Y40=""),"",Y29-Y40)</f>
        <v>0</v>
      </c>
      <c r="Z44" s="19" t="n">
        <f aca="false">IF(OR(Z29="",Z40=""),"",Z29-Z40)</f>
        <v>0</v>
      </c>
      <c r="AA44" s="19" t="n">
        <f aca="false">IF(OR(AA29="",AA40=""),"",AA29-AA40)</f>
        <v>0</v>
      </c>
      <c r="AB44" s="19" t="n">
        <f aca="false">IF(OR(AB29="",AB40=""),"",AB29-AB40)</f>
        <v>0</v>
      </c>
      <c r="AC44" s="19" t="n">
        <f aca="false">IF(OR(AC29="",AC40=""),"",AC29-AC40)</f>
        <v>0</v>
      </c>
    </row>
    <row r="46" customFormat="false" ht="15" hidden="false" customHeight="false" outlineLevel="0" collapsed="false">
      <c r="B46" s="11" t="s">
        <v>1486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15" min="4" style="0" width="13"/>
  </cols>
  <sheetData>
    <row r="1" customFormat="false" ht="16.15" hidden="false" customHeight="false" outlineLevel="0" collapsed="false">
      <c r="A1" s="10" t="s">
        <v>1487</v>
      </c>
    </row>
    <row r="2" customFormat="false" ht="15" hidden="false" customHeight="false" outlineLevel="0" collapsed="false">
      <c r="A2" s="72" t="str">
        <f aca="false">"Escenario de proyección: "&amp;n_Escenario&amp;"   |   Último mes cerrado: "&amp;IF(Corte=0,"sin datos reales","mes "&amp;Corte)</f>
        <v>Escenario de proyección: Vigente   |   Último mes cerrado: sin datos reales</v>
      </c>
    </row>
    <row r="4" customFormat="false" ht="15" hidden="false" customHeight="false" outlineLevel="0" collapsed="false">
      <c r="A4" s="12" t="s">
        <v>1488</v>
      </c>
      <c r="B4" s="13"/>
      <c r="C4" s="13"/>
      <c r="D4" s="13"/>
      <c r="E4" s="13"/>
      <c r="F4" s="13"/>
      <c r="G4" s="13"/>
      <c r="H4" s="13"/>
      <c r="I4" s="13"/>
      <c r="J4" s="13"/>
      <c r="K4" s="13"/>
      <c r="L4" s="13"/>
      <c r="M4" s="13"/>
      <c r="N4" s="13"/>
      <c r="O4" s="13"/>
    </row>
    <row r="5" customFormat="false" ht="30" hidden="false" customHeight="true" outlineLevel="0" collapsed="false">
      <c r="A5" s="14"/>
      <c r="B5" s="14" t="s">
        <v>1489</v>
      </c>
      <c r="C5" s="14" t="s">
        <v>161</v>
      </c>
      <c r="D5" s="14" t="s">
        <v>1490</v>
      </c>
      <c r="E5" s="14" t="s">
        <v>1491</v>
      </c>
      <c r="F5" s="14" t="s">
        <v>171</v>
      </c>
    </row>
    <row r="6" customFormat="false" ht="15" hidden="false" customHeight="false" outlineLevel="0" collapsed="false">
      <c r="B6" s="15" t="s">
        <v>1492</v>
      </c>
      <c r="C6" s="73" t="n">
        <f aca="false">SUMIFS(Calculo!$F$71:$ES$71,Calculo!$F$6:$ES$6,1)</f>
        <v>4850000</v>
      </c>
      <c r="D6" s="74" t="n">
        <f aca="false">SUMIFS(Calculo!$F$227:$ES$227,Calculo!$F$6:$ES$6,1)</f>
        <v>4850000</v>
      </c>
      <c r="E6" s="48" t="n">
        <f aca="false">IF(AND(ISNUMBER(C6),ISNUMBER(D6)),D6-C6,"")</f>
        <v>0</v>
      </c>
      <c r="F6" s="11"/>
    </row>
    <row r="7" customFormat="false" ht="15" hidden="false" customHeight="false" outlineLevel="0" collapsed="false">
      <c r="B7" s="15" t="s">
        <v>1493</v>
      </c>
      <c r="C7" s="73" t="n">
        <f aca="false">Calculo!$E$71</f>
        <v>81222447.7216454</v>
      </c>
      <c r="D7" s="74" t="n">
        <f aca="false">Calculo!$E$227</f>
        <v>81222447.7216454</v>
      </c>
      <c r="E7" s="48" t="n">
        <f aca="false">IF(AND(ISNUMBER(C7),ISNUMBER(D7)),D7-C7,"")</f>
        <v>0</v>
      </c>
      <c r="F7" s="11"/>
    </row>
    <row r="8" customFormat="false" ht="15" hidden="false" customHeight="false" outlineLevel="0" collapsed="false">
      <c r="B8" s="15" t="s">
        <v>1494</v>
      </c>
      <c r="C8" s="73" t="n">
        <f aca="false">SUMIFS(Calculo!$F$102:$ES$102,Calculo!$F$6:$ES$6,1)</f>
        <v>509970.005707077</v>
      </c>
      <c r="D8" s="74" t="n">
        <f aca="false">SUMIFS(Calculo!$F$258:$ES$258,Calculo!$F$6:$ES$6,1)</f>
        <v>509970.005707077</v>
      </c>
      <c r="E8" s="48" t="n">
        <f aca="false">IF(AND(ISNUMBER(C8),ISNUMBER(D8)),D8-C8,"")</f>
        <v>0</v>
      </c>
      <c r="F8" s="11"/>
    </row>
    <row r="9" customFormat="false" ht="15" hidden="false" customHeight="false" outlineLevel="0" collapsed="false">
      <c r="B9" s="15" t="s">
        <v>1495</v>
      </c>
      <c r="C9" s="73" t="n">
        <f aca="false">Calculo!$E$102</f>
        <v>16309504.016261</v>
      </c>
      <c r="D9" s="74" t="n">
        <f aca="false">Calculo!$E$258</f>
        <v>16309504.016261</v>
      </c>
      <c r="E9" s="48" t="n">
        <f aca="false">IF(AND(ISNUMBER(C9),ISNUMBER(D9)),D9-C9,"")</f>
        <v>0</v>
      </c>
      <c r="F9" s="11"/>
    </row>
    <row r="10" customFormat="false" ht="15" hidden="false" customHeight="false" outlineLevel="0" collapsed="false">
      <c r="B10" s="15" t="s">
        <v>1496</v>
      </c>
      <c r="C10" s="75" t="n">
        <f aca="false">IF(Calculo!$E$71=0,"",Calculo!$E$102/Calculo!$E$71)</f>
        <v>0.200800449552502</v>
      </c>
      <c r="D10" s="76" t="n">
        <f aca="false">IF(Calculo!$E$227=0,"",Calculo!$E$258/Calculo!$E$227)</f>
        <v>0.200800449552502</v>
      </c>
      <c r="E10" s="49" t="n">
        <f aca="false">IF(AND(ISNUMBER(C10),ISNUMBER(D10)),D10-C10,"")</f>
        <v>0</v>
      </c>
      <c r="F10" s="11"/>
    </row>
    <row r="11" customFormat="false" ht="15" hidden="false" customHeight="false" outlineLevel="0" collapsed="false">
      <c r="B11" s="15" t="s">
        <v>1497</v>
      </c>
      <c r="C11" s="73" t="n">
        <f aca="false">Calculo!$E$107</f>
        <v>14751245.7980366</v>
      </c>
      <c r="D11" s="74" t="n">
        <f aca="false">Calculo!$E$263</f>
        <v>14751245.7980366</v>
      </c>
      <c r="E11" s="48" t="n">
        <f aca="false">IF(AND(ISNUMBER(C11),ISNUMBER(D11)),D11-C11,"")</f>
        <v>0</v>
      </c>
      <c r="F11" s="11"/>
    </row>
    <row r="12" customFormat="false" ht="15" hidden="false" customHeight="false" outlineLevel="0" collapsed="false">
      <c r="B12" s="15" t="s">
        <v>1498</v>
      </c>
      <c r="C12" s="73" t="n">
        <f aca="false">Calculo!$E$117</f>
        <v>755044.09</v>
      </c>
      <c r="D12" s="74" t="n">
        <f aca="false">Calculo!$E$273</f>
        <v>755044.09</v>
      </c>
      <c r="E12" s="48" t="n">
        <f aca="false">IF(AND(ISNUMBER(C12),ISNUMBER(D12)),D12-C12,"")</f>
        <v>0</v>
      </c>
      <c r="F12" s="11" t="s">
        <v>1499</v>
      </c>
    </row>
    <row r="13" customFormat="false" ht="15" hidden="false" customHeight="false" outlineLevel="0" collapsed="false">
      <c r="B13" s="15" t="s">
        <v>1500</v>
      </c>
      <c r="C13" s="73" t="n">
        <f aca="false">MAX(0,-MIN(Calculo!$F$121:$ES$121))</f>
        <v>3207787.01305363</v>
      </c>
      <c r="D13" s="74" t="n">
        <f aca="false">MAX(0,-MIN(Calculo!$F$277:$ES$277))</f>
        <v>3207787.01305363</v>
      </c>
      <c r="E13" s="48" t="n">
        <f aca="false">IF(AND(ISNUMBER(C13),ISNUMBER(D13)),D13-C13,"")</f>
        <v>0</v>
      </c>
      <c r="F13" s="11" t="s">
        <v>1501</v>
      </c>
    </row>
    <row r="14" customFormat="false" ht="15" hidden="false" customHeight="false" outlineLevel="0" collapsed="false">
      <c r="B14" s="15" t="s">
        <v>1502</v>
      </c>
      <c r="C14" s="77" t="n">
        <f aca="false">IF(MIN(Calculo!$F$121:$ES$121)&gt;=0,"",MATCH(MIN(Calculo!$F$121:$ES$121),Calculo!$F$121:$ES$121,0))</f>
        <v>13</v>
      </c>
      <c r="D14" s="26" t="n">
        <f aca="false">IF(MIN(Calculo!$F$277:$ES$277)&gt;=0,"",MATCH(MIN(Calculo!$F$277:$ES$277),Calculo!$F$277:$ES$277,0))</f>
        <v>13</v>
      </c>
      <c r="E14" s="34" t="n">
        <f aca="false">IF(AND(ISNUMBER(C14),ISNUMBER(D14)),D14-C14,"")</f>
        <v>0</v>
      </c>
      <c r="F14" s="11"/>
    </row>
    <row r="15" customFormat="false" ht="15" hidden="false" customHeight="false" outlineLevel="0" collapsed="false">
      <c r="B15" s="15" t="s">
        <v>1240</v>
      </c>
      <c r="C15" s="73" t="n">
        <f aca="false">Calculo!$E$138</f>
        <v>1139710</v>
      </c>
      <c r="D15" s="74" t="n">
        <f aca="false">Calculo!$E$294</f>
        <v>1139710</v>
      </c>
      <c r="E15" s="48" t="n">
        <f aca="false">IF(AND(ISNUMBER(C15),ISNUMBER(D15)),D15-C15,"")</f>
        <v>0</v>
      </c>
      <c r="F15" s="11"/>
    </row>
    <row r="16" customFormat="false" ht="15" hidden="false" customHeight="false" outlineLevel="0" collapsed="false">
      <c r="B16" s="15" t="s">
        <v>1503</v>
      </c>
      <c r="C16" s="73" t="n">
        <f aca="false">Calculo!$E$157</f>
        <v>311740.118672618</v>
      </c>
      <c r="D16" s="74" t="n">
        <f aca="false">Calculo!$E$313</f>
        <v>311740.118672618</v>
      </c>
      <c r="E16" s="48" t="n">
        <f aca="false">IF(AND(ISNUMBER(C16),ISNUMBER(D16)),D16-C16,"")</f>
        <v>0</v>
      </c>
      <c r="F16" s="11" t="s">
        <v>1504</v>
      </c>
    </row>
    <row r="17" customFormat="false" ht="15" hidden="false" customHeight="false" outlineLevel="0" collapsed="false">
      <c r="B17" s="15" t="s">
        <v>1505</v>
      </c>
      <c r="C17" s="73" t="n">
        <f aca="false">Calculo!$E$148</f>
        <v>2791587</v>
      </c>
      <c r="D17" s="74" t="n">
        <f aca="false">Calculo!$E$304</f>
        <v>2791587</v>
      </c>
      <c r="E17" s="48" t="n">
        <f aca="false">IF(AND(ISNUMBER(C17),ISNUMBER(D17)),D17-C17,"")</f>
        <v>0</v>
      </c>
      <c r="F17" s="11" t="s">
        <v>1506</v>
      </c>
    </row>
    <row r="18" customFormat="false" ht="15" hidden="false" customHeight="false" outlineLevel="0" collapsed="false">
      <c r="B18" s="15" t="s">
        <v>1507</v>
      </c>
      <c r="C18" s="73" t="n">
        <f aca="false">Calculo!$E$145</f>
        <v>0</v>
      </c>
      <c r="D18" s="74" t="n">
        <f aca="false">Calculo!$E$301</f>
        <v>0</v>
      </c>
      <c r="E18" s="48" t="n">
        <f aca="false">IF(AND(ISNUMBER(C18),ISNUMBER(D18)),D18-C18,"")</f>
        <v>0</v>
      </c>
      <c r="F18" s="11" t="s">
        <v>1508</v>
      </c>
    </row>
    <row r="19" customFormat="false" ht="15" hidden="false" customHeight="false" outlineLevel="0" collapsed="false">
      <c r="B19" s="15" t="s">
        <v>1509</v>
      </c>
      <c r="C19" s="73" t="n">
        <f aca="false">Calculo!$E$105</f>
        <v>813214.128224454</v>
      </c>
      <c r="D19" s="74" t="n">
        <f aca="false">Calculo!$E$261</f>
        <v>813214.128224454</v>
      </c>
      <c r="E19" s="48" t="n">
        <f aca="false">IF(AND(ISNUMBER(C19),ISNUMBER(D19)),D19-C19,"")</f>
        <v>0</v>
      </c>
      <c r="F19" s="11"/>
    </row>
    <row r="20" customFormat="false" ht="15" hidden="false" customHeight="false" outlineLevel="0" collapsed="false">
      <c r="B20" s="15" t="s">
        <v>1510</v>
      </c>
      <c r="C20" s="78" t="n">
        <f aca="false">IF(MAX(Calculo!$F$148:$ES$148)&lt;1,"Sin deuda",IF(INDEX(Calculo!$F$148:$ES$148,1,MIN(144,Fin))&gt;1,"No cancela en el horizonte",(_xlfn.MAXIFS(Calculo!$F$4:$ES$4,Calculo!$F$148:$ES$148,"&gt;1")+1)/12))</f>
        <v>5</v>
      </c>
      <c r="D20" s="79" t="n">
        <f aca="false">IF(MAX(Calculo!$F$304:$ES$304)&lt;1,"Sin deuda",IF(INDEX(Calculo!$F$304:$ES$304,1,MIN(144,Fin))&gt;1,"No cancela en el horizonte",(_xlfn.MAXIFS(Calculo!$F$4:$ES$4,Calculo!$F$304:$ES$304,"&gt;1")+1)/12))</f>
        <v>5</v>
      </c>
      <c r="E20" s="50" t="n">
        <f aca="false">IF(AND(ISNUMBER(C20),ISNUMBER(D20)),D20-C20,"")</f>
        <v>0</v>
      </c>
      <c r="F20" s="11" t="s">
        <v>1511</v>
      </c>
    </row>
    <row r="21" customFormat="false" ht="15" hidden="false" customHeight="false" outlineLevel="0" collapsed="false">
      <c r="B21" s="15" t="s">
        <v>1512</v>
      </c>
      <c r="C21" s="73" t="n">
        <f aca="false">MIN(Calculo!$F$154:$ES$154)</f>
        <v>-311740.118672618</v>
      </c>
      <c r="D21" s="74" t="n">
        <f aca="false">MIN(Calculo!$F$310:$ES$310)</f>
        <v>-311740.118672618</v>
      </c>
      <c r="E21" s="48" t="n">
        <f aca="false">IF(AND(ISNUMBER(C21),ISNUMBER(D21)),D21-C21,"")</f>
        <v>0</v>
      </c>
      <c r="F21" s="11" t="s">
        <v>1513</v>
      </c>
    </row>
    <row r="22" customFormat="false" ht="15" hidden="false" customHeight="false" outlineLevel="0" collapsed="false">
      <c r="B22" s="15" t="s">
        <v>1514</v>
      </c>
      <c r="C22" s="73" t="n">
        <f aca="false">Calculo!$E$156</f>
        <v>373700.713193166</v>
      </c>
      <c r="D22" s="74" t="n">
        <f aca="false">Calculo!$E$312</f>
        <v>373700.713193166</v>
      </c>
      <c r="E22" s="48" t="n">
        <f aca="false">IF(AND(ISNUMBER(C22),ISNUMBER(D22)),D22-C22,"")</f>
        <v>0</v>
      </c>
      <c r="F22" s="11" t="s">
        <v>1515</v>
      </c>
    </row>
    <row r="23" customFormat="false" ht="15" hidden="false" customHeight="false" outlineLevel="0" collapsed="false">
      <c r="B23" s="15" t="s">
        <v>1516</v>
      </c>
      <c r="C23" s="77" t="n">
        <f aca="false">SUMPRODUCT(--(Calculo!$F$156:$ES$156&gt;0.5))</f>
        <v>12</v>
      </c>
      <c r="D23" s="26" t="n">
        <f aca="false">SUMPRODUCT(--(Calculo!$F$312:$ES$312&gt;0.5))</f>
        <v>12</v>
      </c>
      <c r="E23" s="34" t="n">
        <f aca="false">IF(AND(ISNUMBER(C23),ISNUMBER(D23)),D23-C23,"")</f>
        <v>0</v>
      </c>
      <c r="F23" s="11"/>
    </row>
    <row r="24" customFormat="false" ht="15" hidden="false" customHeight="false" outlineLevel="0" collapsed="false">
      <c r="B24" s="15" t="s">
        <v>1517</v>
      </c>
      <c r="C24" s="80" t="n">
        <f aca="false">IF(COUNTIFS(D114:O114,"&gt;1",D69:O69,"&gt;="&amp;(ROUNDUP(P_Inicio/12,0)+1))=0,"Sin deuda",_xlfn.MINIFS(D115:O115,D114:O114,"&gt;1",D69:O69,"&gt;="&amp;(ROUNDUP(P_Inicio/12,0)+1)))</f>
        <v>0.399863944695061</v>
      </c>
      <c r="D24" s="81" t="n">
        <f aca="false">IF(COUNTIFS(D67:O67,"&gt;1",D69:O69,"&gt;="&amp;(ROUNDUP(V_Inicio/12,0)+1))=0,"Sin deuda",_xlfn.MINIFS(D68:O68,D67:O67,"&gt;1",D69:O69,"&gt;="&amp;(ROUNDUP(V_Inicio/12,0)+1)))</f>
        <v>0.399863944695061</v>
      </c>
      <c r="E24" s="82" t="n">
        <f aca="false">IF(AND(ISNUMBER(C24),ISNUMBER(D24)),D24-C24,"")</f>
        <v>0</v>
      </c>
      <c r="F24" s="11" t="s">
        <v>1518</v>
      </c>
    </row>
    <row r="25" customFormat="false" ht="15" hidden="false" customHeight="false" outlineLevel="0" collapsed="false">
      <c r="B25" s="15" t="s">
        <v>1519</v>
      </c>
      <c r="C25" s="73" t="n">
        <f aca="false">SUMPRODUCT(Calculo!$F$120:$ES$120,Calculo!$F$159:$ES$159)</f>
        <v>6989921.75871111</v>
      </c>
      <c r="D25" s="74" t="n">
        <f aca="false">SUMPRODUCT(Calculo!$F$276:$ES$276,Calculo!$F$315:$ES$315)</f>
        <v>6989921.75871111</v>
      </c>
      <c r="E25" s="48" t="n">
        <f aca="false">IF(AND(ISNUMBER(C25),ISNUMBER(D25)),D25-C25,"")</f>
        <v>0</v>
      </c>
      <c r="F25" s="11" t="s">
        <v>1520</v>
      </c>
    </row>
    <row r="26" customFormat="false" ht="15" hidden="false" customHeight="false" outlineLevel="0" collapsed="false">
      <c r="B26" s="15" t="s">
        <v>1521</v>
      </c>
      <c r="C26" s="83" t="n">
        <f aca="false">IF(COUNTIF(Calculo!$F$120:$ES$120,"&lt;0")=0,"No existe",IF(COUNTIF(Calculo!$F$120:$ES$120,"&gt;0")=0,"No existe",IFERROR((1+IRR(Calculo!$F$120:$ES$120,0.01))^12-1,IFERROR((1+IRR(Calculo!$F$120:$ES$120,-0.01))^12-1,"No converge"))))</f>
        <v>0.349257269740243</v>
      </c>
      <c r="D26" s="84" t="n">
        <f aca="false">IF(COUNTIF(Calculo!$F$276:$ES$276,"&lt;0")=0,"No existe",IF(COUNTIF(Calculo!$F$276:$ES$276,"&gt;0")=0,"No existe",IFERROR((1+IRR(Calculo!$F$276:$ES$276,0.01))^12-1,IFERROR((1+IRR(Calculo!$F$276:$ES$276,-0.01))^12-1,"No converge"))))</f>
        <v>0.349257269740243</v>
      </c>
      <c r="E26" s="47" t="n">
        <f aca="false">IF(AND(ISNUMBER(C26),ISNUMBER(D26)),D26-C26,"")</f>
        <v>0</v>
      </c>
      <c r="F26" s="11"/>
    </row>
    <row r="27" customFormat="false" ht="15" hidden="false" customHeight="false" outlineLevel="0" collapsed="false">
      <c r="B27" s="15" t="s">
        <v>1522</v>
      </c>
      <c r="C27" s="73" t="n">
        <f aca="false">SUMPRODUCT(Calculo!$F$161:$ES$161,Calculo!$F$160:$ES$160)</f>
        <v>3695678.09104638</v>
      </c>
      <c r="D27" s="74" t="n">
        <f aca="false">SUMPRODUCT(Calculo!$F$317:$ES$317,Calculo!$F$316:$ES$316)</f>
        <v>3695678.09104638</v>
      </c>
      <c r="E27" s="48" t="n">
        <f aca="false">IF(AND(ISNUMBER(C27),ISNUMBER(D27)),D27-C27,"")</f>
        <v>0</v>
      </c>
      <c r="F27" s="11" t="s">
        <v>1523</v>
      </c>
    </row>
    <row r="28" customFormat="false" ht="15" hidden="false" customHeight="false" outlineLevel="0" collapsed="false">
      <c r="B28" s="15" t="s">
        <v>1524</v>
      </c>
      <c r="C28" s="83" t="n">
        <f aca="false">IF(COUNTIF(Calculo!$F$161:$ES$161,"&lt;0")=0,"No existe",IF(COUNTIF(Calculo!$F$161:$ES$161,"&gt;0")=0,"No existe",IFERROR((1+IRR(Calculo!$F$161:$ES$161,0.01))^12-1,IFERROR((1+IRR(Calculo!$F$161:$ES$161,-0.01))^12-1,"No converge"))))</f>
        <v>0.436297177538501</v>
      </c>
      <c r="D28" s="84" t="n">
        <f aca="false">IF(COUNTIF(Calculo!$F$317:$ES$317,"&lt;0")=0,"No existe",IF(COUNTIF(Calculo!$F$317:$ES$317,"&gt;0")=0,"No existe",IFERROR((1+IRR(Calculo!$F$317:$ES$317,0.01))^12-1,IFERROR((1+IRR(Calculo!$F$317:$ES$317,-0.01))^12-1,"No converge"))))</f>
        <v>0.436297177538501</v>
      </c>
      <c r="E28" s="47" t="n">
        <f aca="false">IF(AND(ISNUMBER(C28),ISNUMBER(D28)),D28-C28,"")</f>
        <v>0</v>
      </c>
      <c r="F28" s="11"/>
    </row>
    <row r="29" customFormat="false" ht="15" hidden="false" customHeight="false" outlineLevel="0" collapsed="false">
      <c r="B29" s="15" t="s">
        <v>1525</v>
      </c>
      <c r="C29" s="78" t="n">
        <f aca="false">IF(MAX(Calculo!$F$163:$ES$163)=0,"No recupera",MAX(Calculo!$F$163:$ES$163)/12)</f>
        <v>4.12764300579957</v>
      </c>
      <c r="D29" s="79" t="n">
        <f aca="false">IF(MAX(Calculo!$F$319:$ES$319)=0,"No recupera",MAX(Calculo!$F$319:$ES$319)/12)</f>
        <v>4.12764300579957</v>
      </c>
      <c r="E29" s="50" t="n">
        <f aca="false">IF(AND(ISNUMBER(C29),ISNUMBER(D29)),D29-C29,"")</f>
        <v>0</v>
      </c>
      <c r="F29" s="11"/>
    </row>
    <row r="30" customFormat="false" ht="15" hidden="false" customHeight="false" outlineLevel="0" collapsed="false">
      <c r="B30" s="15" t="s">
        <v>1526</v>
      </c>
      <c r="C30" s="78" t="n">
        <f aca="false">Calculo!$E$165</f>
        <v>0</v>
      </c>
      <c r="D30" s="79" t="n">
        <f aca="false">Calculo!$E$321</f>
        <v>0</v>
      </c>
      <c r="E30" s="50" t="n">
        <f aca="false">IF(AND(ISNUMBER(C30),ISNUMBER(D30)),D30-C30,"")</f>
        <v>0</v>
      </c>
      <c r="F30" s="11"/>
    </row>
    <row r="32" customFormat="false" ht="15" hidden="false" customHeight="false" outlineLevel="0" collapsed="false">
      <c r="B32" s="11" t="s">
        <v>1527</v>
      </c>
      <c r="C32" s="48" t="n">
        <f aca="false">IF(pub_VAN="","",pub_VAN)</f>
        <v>4588736</v>
      </c>
      <c r="D32" s="47" t="n">
        <f aca="false">IF(pub_TIR="","",pub_TIR)</f>
        <v>0.2261</v>
      </c>
      <c r="F32" s="11" t="s">
        <v>1528</v>
      </c>
    </row>
    <row r="34" customFormat="false" ht="15" hidden="false" customHeight="false" outlineLevel="0" collapsed="false">
      <c r="A34" s="12" t="s">
        <v>1529</v>
      </c>
      <c r="B34" s="13"/>
      <c r="C34" s="13"/>
      <c r="D34" s="13"/>
      <c r="E34" s="13"/>
      <c r="F34" s="13"/>
      <c r="G34" s="13"/>
      <c r="H34" s="13"/>
      <c r="I34" s="13"/>
      <c r="J34" s="13"/>
      <c r="K34" s="13"/>
      <c r="L34" s="13"/>
      <c r="M34" s="13"/>
      <c r="N34" s="13"/>
      <c r="O34" s="13"/>
    </row>
    <row r="35" customFormat="false" ht="15" hidden="false" customHeight="false" outlineLevel="0" collapsed="false">
      <c r="A35" s="14"/>
      <c r="B35" s="14" t="s">
        <v>1530</v>
      </c>
      <c r="C35" s="14" t="s">
        <v>549</v>
      </c>
      <c r="D35" s="14" t="s">
        <v>452</v>
      </c>
      <c r="E35" s="14" t="s">
        <v>453</v>
      </c>
      <c r="F35" s="14" t="s">
        <v>454</v>
      </c>
      <c r="G35" s="14" t="s">
        <v>455</v>
      </c>
      <c r="H35" s="14" t="s">
        <v>456</v>
      </c>
      <c r="I35" s="14" t="s">
        <v>457</v>
      </c>
      <c r="J35" s="14" t="s">
        <v>458</v>
      </c>
      <c r="K35" s="14" t="s">
        <v>459</v>
      </c>
      <c r="L35" s="14" t="s">
        <v>460</v>
      </c>
      <c r="M35" s="14" t="s">
        <v>461</v>
      </c>
      <c r="N35" s="14" t="s">
        <v>1531</v>
      </c>
      <c r="O35" s="14" t="s">
        <v>1532</v>
      </c>
    </row>
    <row r="36" customFormat="false" ht="15" hidden="false" customHeight="false" outlineLevel="0" collapsed="false">
      <c r="B36" s="11" t="s">
        <v>1533</v>
      </c>
      <c r="D36" s="85" t="str">
        <f aca="false">IF(Corte&gt;=12,"Real",IF(Corte&gt;0,"Real+Proy.","Proyección"))</f>
        <v>Proyección</v>
      </c>
      <c r="E36" s="85" t="str">
        <f aca="false">IF(Corte&gt;=24,"Real",IF(Corte&gt;12,"Real+Proy.","Proyección"))</f>
        <v>Proyección</v>
      </c>
      <c r="F36" s="85" t="str">
        <f aca="false">IF(Corte&gt;=36,"Real",IF(Corte&gt;24,"Real+Proy.","Proyección"))</f>
        <v>Proyección</v>
      </c>
      <c r="G36" s="85" t="str">
        <f aca="false">IF(Corte&gt;=48,"Real",IF(Corte&gt;36,"Real+Proy.","Proyección"))</f>
        <v>Proyección</v>
      </c>
      <c r="H36" s="85" t="str">
        <f aca="false">IF(Corte&gt;=60,"Real",IF(Corte&gt;48,"Real+Proy.","Proyección"))</f>
        <v>Proyección</v>
      </c>
      <c r="I36" s="85" t="str">
        <f aca="false">IF(Corte&gt;=72,"Real",IF(Corte&gt;60,"Real+Proy.","Proyección"))</f>
        <v>Proyección</v>
      </c>
      <c r="J36" s="85" t="str">
        <f aca="false">IF(Corte&gt;=84,"Real",IF(Corte&gt;72,"Real+Proy.","Proyección"))</f>
        <v>Proyección</v>
      </c>
      <c r="K36" s="85" t="str">
        <f aca="false">IF(Corte&gt;=96,"Real",IF(Corte&gt;84,"Real+Proy.","Proyección"))</f>
        <v>Proyección</v>
      </c>
      <c r="L36" s="85" t="str">
        <f aca="false">IF(Corte&gt;=108,"Real",IF(Corte&gt;96,"Real+Proy.","Proyección"))</f>
        <v>Proyección</v>
      </c>
      <c r="M36" s="85" t="str">
        <f aca="false">IF(Corte&gt;=120,"Real",IF(Corte&gt;108,"Real+Proy.","Proyección"))</f>
        <v>Proyección</v>
      </c>
      <c r="N36" s="85" t="str">
        <f aca="false">IF(Corte&gt;=132,"Real",IF(Corte&gt;120,"Real+Proy.","Proyección"))</f>
        <v>Proyección</v>
      </c>
      <c r="O36" s="85" t="str">
        <f aca="false">IF(Corte&gt;=144,"Real",IF(Corte&gt;132,"Real+Proy.","Proyección"))</f>
        <v>Proyección</v>
      </c>
    </row>
    <row r="37" customFormat="false" ht="15" hidden="false" customHeight="false" outlineLevel="0" collapsed="false">
      <c r="B37" s="11" t="s">
        <v>1534</v>
      </c>
      <c r="D37" s="86" t="str">
        <f aca="false">IF(n_Fecha1="","",YEAR(EOMONTH(n_Fecha1,0)))</f>
        <v/>
      </c>
      <c r="E37" s="86" t="str">
        <f aca="false">IF(n_Fecha1="","",YEAR(EOMONTH(n_Fecha1,12)))</f>
        <v/>
      </c>
      <c r="F37" s="86" t="str">
        <f aca="false">IF(n_Fecha1="","",YEAR(EOMONTH(n_Fecha1,24)))</f>
        <v/>
      </c>
      <c r="G37" s="86" t="str">
        <f aca="false">IF(n_Fecha1="","",YEAR(EOMONTH(n_Fecha1,36)))</f>
        <v/>
      </c>
      <c r="H37" s="86" t="str">
        <f aca="false">IF(n_Fecha1="","",YEAR(EOMONTH(n_Fecha1,48)))</f>
        <v/>
      </c>
      <c r="I37" s="86" t="str">
        <f aca="false">IF(n_Fecha1="","",YEAR(EOMONTH(n_Fecha1,60)))</f>
        <v/>
      </c>
      <c r="J37" s="86" t="str">
        <f aca="false">IF(n_Fecha1="","",YEAR(EOMONTH(n_Fecha1,72)))</f>
        <v/>
      </c>
      <c r="K37" s="86" t="str">
        <f aca="false">IF(n_Fecha1="","",YEAR(EOMONTH(n_Fecha1,84)))</f>
        <v/>
      </c>
      <c r="L37" s="86" t="str">
        <f aca="false">IF(n_Fecha1="","",YEAR(EOMONTH(n_Fecha1,96)))</f>
        <v/>
      </c>
      <c r="M37" s="86" t="str">
        <f aca="false">IF(n_Fecha1="","",YEAR(EOMONTH(n_Fecha1,108)))</f>
        <v/>
      </c>
      <c r="N37" s="86" t="str">
        <f aca="false">IF(n_Fecha1="","",YEAR(EOMONTH(n_Fecha1,120)))</f>
        <v/>
      </c>
      <c r="O37" s="86" t="str">
        <f aca="false">IF(n_Fecha1="","",YEAR(EOMONTH(n_Fecha1,132)))</f>
        <v/>
      </c>
    </row>
    <row r="38" customFormat="false" ht="15" hidden="false" customHeight="false" outlineLevel="0" collapsed="false">
      <c r="A38" s="11" t="s">
        <v>1535</v>
      </c>
      <c r="B38" s="67" t="s">
        <v>506</v>
      </c>
      <c r="C38" s="54" t="n">
        <f aca="false">SUM(D38:O38)</f>
        <v>81222447.7216454</v>
      </c>
      <c r="D38" s="19" t="n">
        <f aca="false">SUMIFS(Calculo!$F$227:$ES$227,Calculo!$F$6:$ES$6,1)</f>
        <v>4850000</v>
      </c>
      <c r="E38" s="19" t="n">
        <f aca="false">SUMIFS(Calculo!$F$227:$ES$227,Calculo!$F$6:$ES$6,2)</f>
        <v>6181200</v>
      </c>
      <c r="F38" s="19" t="n">
        <f aca="false">SUMIFS(Calculo!$F$227:$ES$227,Calculo!$F$6:$ES$6,3)</f>
        <v>7538539</v>
      </c>
      <c r="G38" s="19" t="n">
        <f aca="false">SUMIFS(Calculo!$F$227:$ES$227,Calculo!$F$6:$ES$6,4)</f>
        <v>8685437.43</v>
      </c>
      <c r="H38" s="19" t="n">
        <f aca="false">SUMIFS(Calculo!$F$227:$ES$227,Calculo!$F$6:$ES$6,5)</f>
        <v>8772291.8043</v>
      </c>
      <c r="I38" s="19" t="n">
        <f aca="false">SUMIFS(Calculo!$F$227:$ES$227,Calculo!$F$6:$ES$6,6)</f>
        <v>8860014.722343</v>
      </c>
      <c r="J38" s="19" t="n">
        <f aca="false">SUMIFS(Calculo!$F$227:$ES$227,Calculo!$F$6:$ES$6,7)</f>
        <v>8948614.86956643</v>
      </c>
      <c r="K38" s="19" t="n">
        <f aca="false">SUMIFS(Calculo!$F$227:$ES$227,Calculo!$F$6:$ES$6,8)</f>
        <v>9038101.01826209</v>
      </c>
      <c r="L38" s="19" t="n">
        <f aca="false">SUMIFS(Calculo!$F$227:$ES$227,Calculo!$F$6:$ES$6,9)</f>
        <v>9128482.02844472</v>
      </c>
      <c r="M38" s="19" t="n">
        <f aca="false">SUMIFS(Calculo!$F$227:$ES$227,Calculo!$F$6:$ES$6,10)</f>
        <v>9219766.84872916</v>
      </c>
      <c r="N38" s="19" t="n">
        <f aca="false">SUMIFS(Calculo!$F$227:$ES$227,Calculo!$F$6:$ES$6,11)</f>
        <v>0</v>
      </c>
      <c r="O38" s="19" t="n">
        <f aca="false">SUMIFS(Calculo!$F$227:$ES$227,Calculo!$F$6:$ES$6,12)</f>
        <v>0</v>
      </c>
    </row>
    <row r="39" customFormat="false" ht="15" hidden="false" customHeight="false" outlineLevel="0" collapsed="false">
      <c r="A39" s="11" t="s">
        <v>1536</v>
      </c>
      <c r="B39" s="15" t="s">
        <v>1158</v>
      </c>
      <c r="C39" s="54" t="n">
        <f aca="false">SUM(D39:O39)</f>
        <v>39318093.38356</v>
      </c>
      <c r="D39" s="48" t="n">
        <f aca="false">SUMIFS(Calculo!$F$249:$ES$249,Calculo!$F$6:$ES$6,1)</f>
        <v>2390070</v>
      </c>
      <c r="E39" s="48" t="n">
        <f aca="false">SUMIFS(Calculo!$F$249:$ES$249,Calculo!$F$6:$ES$6,2)</f>
        <v>3037306.5</v>
      </c>
      <c r="F39" s="48" t="n">
        <f aca="false">SUMIFS(Calculo!$F$249:$ES$249,Calculo!$F$6:$ES$6,3)</f>
        <v>3692696.28</v>
      </c>
      <c r="G39" s="48" t="n">
        <f aca="false">SUMIFS(Calculo!$F$249:$ES$249,Calculo!$F$6:$ES$6,4)</f>
        <v>4231505.57985</v>
      </c>
      <c r="H39" s="48" t="n">
        <f aca="false">SUMIFS(Calculo!$F$249:$ES$249,Calculo!$F$6:$ES$6,5)</f>
        <v>4258549.4356485</v>
      </c>
      <c r="I39" s="48" t="n">
        <f aca="false">SUMIFS(Calculo!$F$249:$ES$249,Calculo!$F$6:$ES$6,6)</f>
        <v>4285863.73000499</v>
      </c>
      <c r="J39" s="48" t="n">
        <f aca="false">SUMIFS(Calculo!$F$249:$ES$249,Calculo!$F$6:$ES$6,7)</f>
        <v>4313451.16730504</v>
      </c>
      <c r="K39" s="48" t="n">
        <f aca="false">SUMIFS(Calculo!$F$249:$ES$249,Calculo!$F$6:$ES$6,8)</f>
        <v>4341314.47897809</v>
      </c>
      <c r="L39" s="48" t="n">
        <f aca="false">SUMIFS(Calculo!$F$249:$ES$249,Calculo!$F$6:$ES$6,9)</f>
        <v>4369456.42376787</v>
      </c>
      <c r="M39" s="48" t="n">
        <f aca="false">SUMIFS(Calculo!$F$249:$ES$249,Calculo!$F$6:$ES$6,10)</f>
        <v>4397879.78800555</v>
      </c>
      <c r="N39" s="48" t="n">
        <f aca="false">SUMIFS(Calculo!$F$249:$ES$249,Calculo!$F$6:$ES$6,11)</f>
        <v>0</v>
      </c>
      <c r="O39" s="48" t="n">
        <f aca="false">SUMIFS(Calculo!$F$249:$ES$249,Calculo!$F$6:$ES$6,12)</f>
        <v>0</v>
      </c>
    </row>
    <row r="40" customFormat="false" ht="15" hidden="false" customHeight="false" outlineLevel="0" collapsed="false">
      <c r="A40" s="11" t="s">
        <v>1537</v>
      </c>
      <c r="B40" s="15" t="s">
        <v>1160</v>
      </c>
      <c r="C40" s="54" t="n">
        <f aca="false">SUM(D40:O40)</f>
        <v>10172052.5275746</v>
      </c>
      <c r="D40" s="48" t="n">
        <f aca="false">SUMIFS(Calculo!$F$250:$ES$250,Calculo!$F$6:$ES$6,1)</f>
        <v>635639.583055655</v>
      </c>
      <c r="E40" s="48" t="n">
        <f aca="false">SUMIFS(Calculo!$F$250:$ES$250,Calculo!$F$6:$ES$6,2)</f>
        <v>802571.522045655</v>
      </c>
      <c r="F40" s="48" t="n">
        <f aca="false">SUMIFS(Calculo!$F$250:$ES$250,Calculo!$F$6:$ES$6,3)</f>
        <v>970173.181376907</v>
      </c>
      <c r="G40" s="48" t="n">
        <f aca="false">SUMIFS(Calculo!$F$250:$ES$250,Calculo!$F$6:$ES$6,4)</f>
        <v>1105264.93508943</v>
      </c>
      <c r="H40" s="48" t="n">
        <f aca="false">SUMIFS(Calculo!$F$250:$ES$250,Calculo!$F$6:$ES$6,5)</f>
        <v>1106743.50819138</v>
      </c>
      <c r="I40" s="48" t="n">
        <f aca="false">SUMIFS(Calculo!$F$250:$ES$250,Calculo!$F$6:$ES$6,6)</f>
        <v>1107923.80288369</v>
      </c>
      <c r="J40" s="48" t="n">
        <f aca="false">SUMIFS(Calculo!$F$250:$ES$250,Calculo!$F$6:$ES$6,7)</f>
        <v>1109115.90052291</v>
      </c>
      <c r="K40" s="48" t="n">
        <f aca="false">SUMIFS(Calculo!$F$250:$ES$250,Calculo!$F$6:$ES$6,8)</f>
        <v>1110319.91913853</v>
      </c>
      <c r="L40" s="48" t="n">
        <f aca="false">SUMIFS(Calculo!$F$250:$ES$250,Calculo!$F$6:$ES$6,9)</f>
        <v>1111535.9779403</v>
      </c>
      <c r="M40" s="48" t="n">
        <f aca="false">SUMIFS(Calculo!$F$250:$ES$250,Calculo!$F$6:$ES$6,10)</f>
        <v>1112764.19733009</v>
      </c>
      <c r="N40" s="48" t="n">
        <f aca="false">SUMIFS(Calculo!$F$250:$ES$250,Calculo!$F$6:$ES$6,11)</f>
        <v>0</v>
      </c>
      <c r="O40" s="48" t="n">
        <f aca="false">SUMIFS(Calculo!$F$250:$ES$250,Calculo!$F$6:$ES$6,12)</f>
        <v>0</v>
      </c>
    </row>
    <row r="41" customFormat="false" ht="15" hidden="false" customHeight="false" outlineLevel="0" collapsed="false">
      <c r="A41" s="11" t="s">
        <v>1538</v>
      </c>
      <c r="B41" s="15" t="s">
        <v>1162</v>
      </c>
      <c r="C41" s="54" t="n">
        <f aca="false">SUM(D41:O41)</f>
        <v>6984448.30293321</v>
      </c>
      <c r="D41" s="48" t="n">
        <f aca="false">SUMIFS(Calculo!$F$251:$ES$251,Calculo!$F$6:$ES$6,1)</f>
        <v>636656.648353644</v>
      </c>
      <c r="E41" s="48" t="n">
        <f aca="false">SUMIFS(Calculo!$F$251:$ES$251,Calculo!$F$6:$ES$6,2)</f>
        <v>636656.648353644</v>
      </c>
      <c r="F41" s="48" t="n">
        <f aca="false">SUMIFS(Calculo!$F$251:$ES$251,Calculo!$F$6:$ES$6,3)</f>
        <v>668401.662478849</v>
      </c>
      <c r="G41" s="48" t="n">
        <f aca="false">SUMIFS(Calculo!$F$251:$ES$251,Calculo!$F$6:$ES$6,4)</f>
        <v>693822.092331617</v>
      </c>
      <c r="H41" s="48" t="n">
        <f aca="false">SUMIFS(Calculo!$F$251:$ES$251,Calculo!$F$6:$ES$6,5)</f>
        <v>724818.541902575</v>
      </c>
      <c r="I41" s="48" t="n">
        <f aca="false">SUMIFS(Calculo!$F$251:$ES$251,Calculo!$F$6:$ES$6,6)</f>
        <v>724818.541902575</v>
      </c>
      <c r="J41" s="48" t="n">
        <f aca="false">SUMIFS(Calculo!$F$251:$ES$251,Calculo!$F$6:$ES$6,7)</f>
        <v>724818.541902575</v>
      </c>
      <c r="K41" s="48" t="n">
        <f aca="false">SUMIFS(Calculo!$F$251:$ES$251,Calculo!$F$6:$ES$6,8)</f>
        <v>724818.541902575</v>
      </c>
      <c r="L41" s="48" t="n">
        <f aca="false">SUMIFS(Calculo!$F$251:$ES$251,Calculo!$F$6:$ES$6,9)</f>
        <v>724818.541902575</v>
      </c>
      <c r="M41" s="48" t="n">
        <f aca="false">SUMIFS(Calculo!$F$251:$ES$251,Calculo!$F$6:$ES$6,10)</f>
        <v>724818.541902575</v>
      </c>
      <c r="N41" s="48" t="n">
        <f aca="false">SUMIFS(Calculo!$F$251:$ES$251,Calculo!$F$6:$ES$6,11)</f>
        <v>0</v>
      </c>
      <c r="O41" s="48" t="n">
        <f aca="false">SUMIFS(Calculo!$F$251:$ES$251,Calculo!$F$6:$ES$6,12)</f>
        <v>0</v>
      </c>
    </row>
    <row r="42" customFormat="false" ht="15" hidden="false" customHeight="false" outlineLevel="0" collapsed="false">
      <c r="A42" s="11" t="s">
        <v>1539</v>
      </c>
      <c r="B42" s="15" t="s">
        <v>1164</v>
      </c>
      <c r="C42" s="54" t="n">
        <f aca="false">SUM(D42:O42)</f>
        <v>3406933.03324133</v>
      </c>
      <c r="D42" s="48" t="n">
        <f aca="false">SUMIFS(Calculo!$F$252:$ES$252,Calculo!$F$6:$ES$6,1)</f>
        <v>238476.137132109</v>
      </c>
      <c r="E42" s="48" t="n">
        <f aca="false">SUMIFS(Calculo!$F$252:$ES$252,Calculo!$F$6:$ES$6,2)</f>
        <v>279808.427921609</v>
      </c>
      <c r="F42" s="48" t="n">
        <f aca="false">SUMIFS(Calculo!$F$252:$ES$252,Calculo!$F$6:$ES$6,3)</f>
        <v>323181.596811232</v>
      </c>
      <c r="G42" s="48" t="n">
        <f aca="false">SUMIFS(Calculo!$F$252:$ES$252,Calculo!$F$6:$ES$6,4)</f>
        <v>358796.744123132</v>
      </c>
      <c r="H42" s="48" t="n">
        <f aca="false">SUMIFS(Calculo!$F$252:$ES$252,Calculo!$F$6:$ES$6,5)</f>
        <v>362434.742650662</v>
      </c>
      <c r="I42" s="48" t="n">
        <f aca="false">SUMIFS(Calculo!$F$252:$ES$252,Calculo!$F$6:$ES$6,6)</f>
        <v>364534.767799139</v>
      </c>
      <c r="J42" s="48" t="n">
        <f aca="false">SUMIFS(Calculo!$F$252:$ES$252,Calculo!$F$6:$ES$6,7)</f>
        <v>366662.546156061</v>
      </c>
      <c r="K42" s="48" t="n">
        <f aca="false">SUMIFS(Calculo!$F$252:$ES$252,Calculo!$F$6:$ES$6,8)</f>
        <v>368818.490312653</v>
      </c>
      <c r="L42" s="48" t="n">
        <f aca="false">SUMIFS(Calculo!$F$252:$ES$252,Calculo!$F$6:$ES$6,9)</f>
        <v>371003.019687231</v>
      </c>
      <c r="M42" s="48" t="n">
        <f aca="false">SUMIFS(Calculo!$F$252:$ES$252,Calculo!$F$6:$ES$6,10)</f>
        <v>373216.560647506</v>
      </c>
      <c r="N42" s="48" t="n">
        <f aca="false">SUMIFS(Calculo!$F$252:$ES$252,Calculo!$F$6:$ES$6,11)</f>
        <v>0</v>
      </c>
      <c r="O42" s="48" t="n">
        <f aca="false">SUMIFS(Calculo!$F$252:$ES$252,Calculo!$F$6:$ES$6,12)</f>
        <v>0</v>
      </c>
    </row>
    <row r="43" customFormat="false" ht="15" hidden="false" customHeight="false" outlineLevel="0" collapsed="false">
      <c r="A43" s="11" t="s">
        <v>1540</v>
      </c>
      <c r="B43" s="67" t="s">
        <v>1541</v>
      </c>
      <c r="C43" s="54" t="n">
        <f aca="false">SUM(D43:O43)</f>
        <v>21340920.4743363</v>
      </c>
      <c r="D43" s="19" t="n">
        <f aca="false">SUMIFS(Calculo!$F$253:$ES$253,Calculo!$F$6:$ES$6,1)</f>
        <v>949157.631458592</v>
      </c>
      <c r="E43" s="19" t="n">
        <f aca="false">SUMIFS(Calculo!$F$253:$ES$253,Calculo!$F$6:$ES$6,2)</f>
        <v>1424856.90167909</v>
      </c>
      <c r="F43" s="19" t="n">
        <f aca="false">SUMIFS(Calculo!$F$253:$ES$253,Calculo!$F$6:$ES$6,3)</f>
        <v>1884086.27933301</v>
      </c>
      <c r="G43" s="19" t="n">
        <f aca="false">SUMIFS(Calculo!$F$253:$ES$253,Calculo!$F$6:$ES$6,4)</f>
        <v>2296048.07860582</v>
      </c>
      <c r="H43" s="19" t="n">
        <f aca="false">SUMIFS(Calculo!$F$253:$ES$253,Calculo!$F$6:$ES$6,5)</f>
        <v>2319745.57590688</v>
      </c>
      <c r="I43" s="19" t="n">
        <f aca="false">SUMIFS(Calculo!$F$253:$ES$253,Calculo!$F$6:$ES$6,6)</f>
        <v>2376873.87975261</v>
      </c>
      <c r="J43" s="19" t="n">
        <f aca="false">SUMIFS(Calculo!$F$253:$ES$253,Calculo!$F$6:$ES$6,7)</f>
        <v>2434566.71367985</v>
      </c>
      <c r="K43" s="19" t="n">
        <f aca="false">SUMIFS(Calculo!$F$253:$ES$253,Calculo!$F$6:$ES$6,8)</f>
        <v>2492829.58793025</v>
      </c>
      <c r="L43" s="19" t="n">
        <f aca="false">SUMIFS(Calculo!$F$253:$ES$253,Calculo!$F$6:$ES$6,9)</f>
        <v>2551668.06514674</v>
      </c>
      <c r="M43" s="19" t="n">
        <f aca="false">SUMIFS(Calculo!$F$253:$ES$253,Calculo!$F$6:$ES$6,10)</f>
        <v>2611087.76084344</v>
      </c>
      <c r="N43" s="19" t="n">
        <f aca="false">SUMIFS(Calculo!$F$253:$ES$253,Calculo!$F$6:$ES$6,11)</f>
        <v>0</v>
      </c>
      <c r="O43" s="19" t="n">
        <f aca="false">SUMIFS(Calculo!$F$253:$ES$253,Calculo!$F$6:$ES$6,12)</f>
        <v>0</v>
      </c>
    </row>
    <row r="44" customFormat="false" ht="15" hidden="false" customHeight="false" outlineLevel="0" collapsed="false">
      <c r="A44" s="11" t="s">
        <v>1542</v>
      </c>
      <c r="B44" s="15" t="s">
        <v>1168</v>
      </c>
      <c r="C44" s="54" t="n">
        <f aca="false">SUM(D44:O44)</f>
        <v>1075198.52627014</v>
      </c>
      <c r="D44" s="48" t="n">
        <f aca="false">SUMIFS(Calculo!$F$254:$ES$254,Calculo!$F$6:$ES$6,1)</f>
        <v>107519.852627014</v>
      </c>
      <c r="E44" s="48" t="n">
        <f aca="false">SUMIFS(Calculo!$F$254:$ES$254,Calculo!$F$6:$ES$6,2)</f>
        <v>107519.852627014</v>
      </c>
      <c r="F44" s="48" t="n">
        <f aca="false">SUMIFS(Calculo!$F$254:$ES$254,Calculo!$F$6:$ES$6,3)</f>
        <v>107519.852627014</v>
      </c>
      <c r="G44" s="48" t="n">
        <f aca="false">SUMIFS(Calculo!$F$254:$ES$254,Calculo!$F$6:$ES$6,4)</f>
        <v>107519.852627014</v>
      </c>
      <c r="H44" s="48" t="n">
        <f aca="false">SUMIFS(Calculo!$F$254:$ES$254,Calculo!$F$6:$ES$6,5)</f>
        <v>107519.852627014</v>
      </c>
      <c r="I44" s="48" t="n">
        <f aca="false">SUMIFS(Calculo!$F$254:$ES$254,Calculo!$F$6:$ES$6,6)</f>
        <v>107519.852627014</v>
      </c>
      <c r="J44" s="48" t="n">
        <f aca="false">SUMIFS(Calculo!$F$254:$ES$254,Calculo!$F$6:$ES$6,7)</f>
        <v>107519.852627014</v>
      </c>
      <c r="K44" s="48" t="n">
        <f aca="false">SUMIFS(Calculo!$F$254:$ES$254,Calculo!$F$6:$ES$6,8)</f>
        <v>107519.852627014</v>
      </c>
      <c r="L44" s="48" t="n">
        <f aca="false">SUMIFS(Calculo!$F$254:$ES$254,Calculo!$F$6:$ES$6,9)</f>
        <v>107519.852627014</v>
      </c>
      <c r="M44" s="48" t="n">
        <f aca="false">SUMIFS(Calculo!$F$254:$ES$254,Calculo!$F$6:$ES$6,10)</f>
        <v>107519.852627014</v>
      </c>
      <c r="N44" s="48" t="n">
        <f aca="false">SUMIFS(Calculo!$F$254:$ES$254,Calculo!$F$6:$ES$6,11)</f>
        <v>0</v>
      </c>
      <c r="O44" s="48" t="n">
        <f aca="false">SUMIFS(Calculo!$F$254:$ES$254,Calculo!$F$6:$ES$6,12)</f>
        <v>0</v>
      </c>
    </row>
    <row r="45" customFormat="false" ht="15" hidden="false" customHeight="false" outlineLevel="0" collapsed="false">
      <c r="A45" s="11" t="s">
        <v>1543</v>
      </c>
      <c r="B45" s="15" t="s">
        <v>1466</v>
      </c>
      <c r="C45" s="54" t="n">
        <f aca="false">SUM(D45:O45)</f>
        <v>3143993.45458867</v>
      </c>
      <c r="D45" s="48" t="n">
        <f aca="false">SUMIFS(Calculo!$F$255:$ES$255,Calculo!$F$6:$ES$6,1)</f>
        <v>283167.773124501</v>
      </c>
      <c r="E45" s="48" t="n">
        <f aca="false">SUMIFS(Calculo!$F$255:$ES$255,Calculo!$F$6:$ES$6,2)</f>
        <v>289568.213124501</v>
      </c>
      <c r="F45" s="48" t="n">
        <f aca="false">SUMIFS(Calculo!$F$255:$ES$255,Calculo!$F$6:$ES$6,3)</f>
        <v>296160.666324501</v>
      </c>
      <c r="G45" s="48" t="n">
        <f aca="false">SUMIFS(Calculo!$F$255:$ES$255,Calculo!$F$6:$ES$6,4)</f>
        <v>302950.893120501</v>
      </c>
      <c r="H45" s="48" t="n">
        <f aca="false">SUMIFS(Calculo!$F$255:$ES$255,Calculo!$F$6:$ES$6,5)</f>
        <v>309944.826720381</v>
      </c>
      <c r="I45" s="48" t="n">
        <f aca="false">SUMIFS(Calculo!$F$255:$ES$255,Calculo!$F$6:$ES$6,6)</f>
        <v>317148.578328258</v>
      </c>
      <c r="J45" s="48" t="n">
        <f aca="false">SUMIFS(Calculo!$F$255:$ES$255,Calculo!$F$6:$ES$6,7)</f>
        <v>324568.44248437</v>
      </c>
      <c r="K45" s="48" t="n">
        <f aca="false">SUMIFS(Calculo!$F$255:$ES$255,Calculo!$F$6:$ES$6,8)</f>
        <v>332210.902565167</v>
      </c>
      <c r="L45" s="48" t="n">
        <f aca="false">SUMIFS(Calculo!$F$255:$ES$255,Calculo!$F$6:$ES$6,9)</f>
        <v>340082.636448387</v>
      </c>
      <c r="M45" s="48" t="n">
        <f aca="false">SUMIFS(Calculo!$F$255:$ES$255,Calculo!$F$6:$ES$6,10)</f>
        <v>348190.522348103</v>
      </c>
      <c r="N45" s="48" t="n">
        <f aca="false">SUMIFS(Calculo!$F$255:$ES$255,Calculo!$F$6:$ES$6,11)</f>
        <v>0</v>
      </c>
      <c r="O45" s="48" t="n">
        <f aca="false">SUMIFS(Calculo!$F$255:$ES$255,Calculo!$F$6:$ES$6,12)</f>
        <v>0</v>
      </c>
    </row>
    <row r="46" customFormat="false" ht="15" hidden="false" customHeight="false" outlineLevel="0" collapsed="false">
      <c r="A46" s="11" t="s">
        <v>1544</v>
      </c>
      <c r="B46" s="15" t="s">
        <v>1011</v>
      </c>
      <c r="C46" s="54" t="n">
        <f aca="false">SUM(D46:O46)</f>
        <v>812224.477216454</v>
      </c>
      <c r="D46" s="48" t="n">
        <f aca="false">SUMIFS(Calculo!$F$256:$ES$256,Calculo!$F$6:$ES$6,1)</f>
        <v>48500</v>
      </c>
      <c r="E46" s="48" t="n">
        <f aca="false">SUMIFS(Calculo!$F$256:$ES$256,Calculo!$F$6:$ES$6,2)</f>
        <v>61812</v>
      </c>
      <c r="F46" s="48" t="n">
        <f aca="false">SUMIFS(Calculo!$F$256:$ES$256,Calculo!$F$6:$ES$6,3)</f>
        <v>75385.39</v>
      </c>
      <c r="G46" s="48" t="n">
        <f aca="false">SUMIFS(Calculo!$F$256:$ES$256,Calculo!$F$6:$ES$6,4)</f>
        <v>86854.3743</v>
      </c>
      <c r="H46" s="48" t="n">
        <f aca="false">SUMIFS(Calculo!$F$256:$ES$256,Calculo!$F$6:$ES$6,5)</f>
        <v>87722.918043</v>
      </c>
      <c r="I46" s="48" t="n">
        <f aca="false">SUMIFS(Calculo!$F$256:$ES$256,Calculo!$F$6:$ES$6,6)</f>
        <v>88600.14722343</v>
      </c>
      <c r="J46" s="48" t="n">
        <f aca="false">SUMIFS(Calculo!$F$256:$ES$256,Calculo!$F$6:$ES$6,7)</f>
        <v>89486.1486956643</v>
      </c>
      <c r="K46" s="48" t="n">
        <f aca="false">SUMIFS(Calculo!$F$256:$ES$256,Calculo!$F$6:$ES$6,8)</f>
        <v>90381.0101826209</v>
      </c>
      <c r="L46" s="48" t="n">
        <f aca="false">SUMIFS(Calculo!$F$256:$ES$256,Calculo!$F$6:$ES$6,9)</f>
        <v>91284.8202844471</v>
      </c>
      <c r="M46" s="48" t="n">
        <f aca="false">SUMIFS(Calculo!$F$256:$ES$256,Calculo!$F$6:$ES$6,10)</f>
        <v>92197.6684872916</v>
      </c>
      <c r="N46" s="48" t="n">
        <f aca="false">SUMIFS(Calculo!$F$256:$ES$256,Calculo!$F$6:$ES$6,11)</f>
        <v>0</v>
      </c>
      <c r="O46" s="48" t="n">
        <f aca="false">SUMIFS(Calculo!$F$256:$ES$256,Calculo!$F$6:$ES$6,12)</f>
        <v>0</v>
      </c>
    </row>
    <row r="47" customFormat="false" ht="15" hidden="false" customHeight="false" outlineLevel="0" collapsed="false">
      <c r="A47" s="11" t="s">
        <v>1545</v>
      </c>
      <c r="B47" s="15" t="s">
        <v>1546</v>
      </c>
      <c r="C47" s="54" t="n">
        <f aca="false">SUM(D47:O47)</f>
        <v>0</v>
      </c>
      <c r="D47" s="48" t="n">
        <f aca="false">SUMIFS(Calculo!$F$257:$ES$257,Calculo!$F$6:$ES$6,1)</f>
        <v>0</v>
      </c>
      <c r="E47" s="48" t="n">
        <f aca="false">SUMIFS(Calculo!$F$257:$ES$257,Calculo!$F$6:$ES$6,2)</f>
        <v>0</v>
      </c>
      <c r="F47" s="48" t="n">
        <f aca="false">SUMIFS(Calculo!$F$257:$ES$257,Calculo!$F$6:$ES$6,3)</f>
        <v>0</v>
      </c>
      <c r="G47" s="48" t="n">
        <f aca="false">SUMIFS(Calculo!$F$257:$ES$257,Calculo!$F$6:$ES$6,4)</f>
        <v>0</v>
      </c>
      <c r="H47" s="48" t="n">
        <f aca="false">SUMIFS(Calculo!$F$257:$ES$257,Calculo!$F$6:$ES$6,5)</f>
        <v>0</v>
      </c>
      <c r="I47" s="48" t="n">
        <f aca="false">SUMIFS(Calculo!$F$257:$ES$257,Calculo!$F$6:$ES$6,6)</f>
        <v>0</v>
      </c>
      <c r="J47" s="48" t="n">
        <f aca="false">SUMIFS(Calculo!$F$257:$ES$257,Calculo!$F$6:$ES$6,7)</f>
        <v>0</v>
      </c>
      <c r="K47" s="48" t="n">
        <f aca="false">SUMIFS(Calculo!$F$257:$ES$257,Calculo!$F$6:$ES$6,8)</f>
        <v>0</v>
      </c>
      <c r="L47" s="48" t="n">
        <f aca="false">SUMIFS(Calculo!$F$257:$ES$257,Calculo!$F$6:$ES$6,9)</f>
        <v>0</v>
      </c>
      <c r="M47" s="48" t="n">
        <f aca="false">SUMIFS(Calculo!$F$257:$ES$257,Calculo!$F$6:$ES$6,10)</f>
        <v>0</v>
      </c>
      <c r="N47" s="48" t="n">
        <f aca="false">SUMIFS(Calculo!$F$257:$ES$257,Calculo!$F$6:$ES$6,11)</f>
        <v>0</v>
      </c>
      <c r="O47" s="48" t="n">
        <f aca="false">SUMIFS(Calculo!$F$257:$ES$257,Calculo!$F$6:$ES$6,12)</f>
        <v>0</v>
      </c>
    </row>
    <row r="48" customFormat="false" ht="15" hidden="false" customHeight="false" outlineLevel="0" collapsed="false">
      <c r="A48" s="11" t="s">
        <v>1547</v>
      </c>
      <c r="B48" s="67" t="s">
        <v>509</v>
      </c>
      <c r="C48" s="54" t="n">
        <f aca="false">SUM(D48:O48)</f>
        <v>16309504.016261</v>
      </c>
      <c r="D48" s="19" t="n">
        <f aca="false">SUMIFS(Calculo!$F$258:$ES$258,Calculo!$F$6:$ES$6,1)</f>
        <v>509970.005707077</v>
      </c>
      <c r="E48" s="19" t="n">
        <f aca="false">SUMIFS(Calculo!$F$258:$ES$258,Calculo!$F$6:$ES$6,2)</f>
        <v>965956.835927578</v>
      </c>
      <c r="F48" s="19" t="n">
        <f aca="false">SUMIFS(Calculo!$F$258:$ES$258,Calculo!$F$6:$ES$6,3)</f>
        <v>1405020.3703815</v>
      </c>
      <c r="G48" s="19" t="n">
        <f aca="false">SUMIFS(Calculo!$F$258:$ES$258,Calculo!$F$6:$ES$6,4)</f>
        <v>1798722.9585583</v>
      </c>
      <c r="H48" s="19" t="n">
        <f aca="false">SUMIFS(Calculo!$F$258:$ES$258,Calculo!$F$6:$ES$6,5)</f>
        <v>1814557.97851649</v>
      </c>
      <c r="I48" s="19" t="n">
        <f aca="false">SUMIFS(Calculo!$F$258:$ES$258,Calculo!$F$6:$ES$6,6)</f>
        <v>1863605.30157391</v>
      </c>
      <c r="J48" s="19" t="n">
        <f aca="false">SUMIFS(Calculo!$F$258:$ES$258,Calculo!$F$6:$ES$6,7)</f>
        <v>1912992.2698728</v>
      </c>
      <c r="K48" s="19" t="n">
        <f aca="false">SUMIFS(Calculo!$F$258:$ES$258,Calculo!$F$6:$ES$6,8)</f>
        <v>1962717.82255545</v>
      </c>
      <c r="L48" s="19" t="n">
        <f aca="false">SUMIFS(Calculo!$F$258:$ES$258,Calculo!$F$6:$ES$6,9)</f>
        <v>2012780.75578689</v>
      </c>
      <c r="M48" s="19" t="n">
        <f aca="false">SUMIFS(Calculo!$F$258:$ES$258,Calculo!$F$6:$ES$6,10)</f>
        <v>2063179.71738103</v>
      </c>
      <c r="N48" s="19" t="n">
        <f aca="false">SUMIFS(Calculo!$F$258:$ES$258,Calculo!$F$6:$ES$6,11)</f>
        <v>0</v>
      </c>
      <c r="O48" s="19" t="n">
        <f aca="false">SUMIFS(Calculo!$F$258:$ES$258,Calculo!$F$6:$ES$6,12)</f>
        <v>0</v>
      </c>
    </row>
    <row r="49" customFormat="false" ht="15" hidden="false" customHeight="false" outlineLevel="0" collapsed="false">
      <c r="A49" s="11" t="s">
        <v>1548</v>
      </c>
      <c r="B49" s="15" t="s">
        <v>1467</v>
      </c>
      <c r="C49" s="54" t="n">
        <f aca="false">SUM(D49:O49)</f>
        <v>745044.09</v>
      </c>
      <c r="D49" s="48" t="n">
        <f aca="false">SUMIFS(Calculo!$F$259:$ES$259,Calculo!$F$6:$ES$6,1)</f>
        <v>71592.209</v>
      </c>
      <c r="E49" s="48" t="n">
        <f aca="false">SUMIFS(Calculo!$F$259:$ES$259,Calculo!$F$6:$ES$6,2)</f>
        <v>81592.209</v>
      </c>
      <c r="F49" s="48" t="n">
        <f aca="false">SUMIFS(Calculo!$F$259:$ES$259,Calculo!$F$6:$ES$6,3)</f>
        <v>81592.209</v>
      </c>
      <c r="G49" s="48" t="n">
        <f aca="false">SUMIFS(Calculo!$F$259:$ES$259,Calculo!$F$6:$ES$6,4)</f>
        <v>81592.209</v>
      </c>
      <c r="H49" s="48" t="n">
        <f aca="false">SUMIFS(Calculo!$F$259:$ES$259,Calculo!$F$6:$ES$6,5)</f>
        <v>81592.209</v>
      </c>
      <c r="I49" s="48" t="n">
        <f aca="false">SUMIFS(Calculo!$F$259:$ES$259,Calculo!$F$6:$ES$6,6)</f>
        <v>69416.609</v>
      </c>
      <c r="J49" s="48" t="n">
        <f aca="false">SUMIFS(Calculo!$F$259:$ES$259,Calculo!$F$6:$ES$6,7)</f>
        <v>69416.609</v>
      </c>
      <c r="K49" s="48" t="n">
        <f aca="false">SUMIFS(Calculo!$F$259:$ES$259,Calculo!$F$6:$ES$6,8)</f>
        <v>69416.609</v>
      </c>
      <c r="L49" s="48" t="n">
        <f aca="false">SUMIFS(Calculo!$F$259:$ES$259,Calculo!$F$6:$ES$6,9)</f>
        <v>69416.609</v>
      </c>
      <c r="M49" s="48" t="n">
        <f aca="false">SUMIFS(Calculo!$F$259:$ES$259,Calculo!$F$6:$ES$6,10)</f>
        <v>69416.609</v>
      </c>
      <c r="N49" s="48" t="n">
        <f aca="false">SUMIFS(Calculo!$F$259:$ES$259,Calculo!$F$6:$ES$6,11)</f>
        <v>0</v>
      </c>
      <c r="O49" s="48" t="n">
        <f aca="false">SUMIFS(Calculo!$F$259:$ES$259,Calculo!$F$6:$ES$6,12)</f>
        <v>0</v>
      </c>
    </row>
    <row r="50" customFormat="false" ht="15" hidden="false" customHeight="false" outlineLevel="0" collapsed="false">
      <c r="A50" s="11" t="s">
        <v>1549</v>
      </c>
      <c r="B50" s="15" t="s">
        <v>1180</v>
      </c>
      <c r="C50" s="54" t="n">
        <f aca="false">SUM(D50:O50)</f>
        <v>813214.128224454</v>
      </c>
      <c r="D50" s="48" t="n">
        <f aca="false">SUMIFS(Calculo!$F$261:$ES$261,Calculo!$F$6:$ES$6,1)</f>
        <v>271101.932431026</v>
      </c>
      <c r="E50" s="48" t="n">
        <f aca="false">SUMIFS(Calculo!$F$261:$ES$261,Calculo!$F$6:$ES$6,2)</f>
        <v>226274.254121452</v>
      </c>
      <c r="F50" s="48" t="n">
        <f aca="false">SUMIFS(Calculo!$F$261:$ES$261,Calculo!$F$6:$ES$6,3)</f>
        <v>169415.972941167</v>
      </c>
      <c r="G50" s="48" t="n">
        <f aca="false">SUMIFS(Calculo!$F$261:$ES$261,Calculo!$F$6:$ES$6,4)</f>
        <v>107223.992796456</v>
      </c>
      <c r="H50" s="48" t="n">
        <f aca="false">SUMIFS(Calculo!$F$261:$ES$261,Calculo!$F$6:$ES$6,5)</f>
        <v>39197.9759343531</v>
      </c>
      <c r="I50" s="48" t="n">
        <f aca="false">SUMIFS(Calculo!$F$261:$ES$261,Calculo!$F$6:$ES$6,6)</f>
        <v>0</v>
      </c>
      <c r="J50" s="48" t="n">
        <f aca="false">SUMIFS(Calculo!$F$261:$ES$261,Calculo!$F$6:$ES$6,7)</f>
        <v>0</v>
      </c>
      <c r="K50" s="48" t="n">
        <f aca="false">SUMIFS(Calculo!$F$261:$ES$261,Calculo!$F$6:$ES$6,8)</f>
        <v>0</v>
      </c>
      <c r="L50" s="48" t="n">
        <f aca="false">SUMIFS(Calculo!$F$261:$ES$261,Calculo!$F$6:$ES$6,9)</f>
        <v>0</v>
      </c>
      <c r="M50" s="48" t="n">
        <f aca="false">SUMIFS(Calculo!$F$261:$ES$261,Calculo!$F$6:$ES$6,10)</f>
        <v>0</v>
      </c>
      <c r="N50" s="48" t="n">
        <f aca="false">SUMIFS(Calculo!$F$261:$ES$261,Calculo!$F$6:$ES$6,11)</f>
        <v>0</v>
      </c>
      <c r="O50" s="48" t="n">
        <f aca="false">SUMIFS(Calculo!$F$261:$ES$261,Calculo!$F$6:$ES$6,12)</f>
        <v>0</v>
      </c>
    </row>
    <row r="51" customFormat="false" ht="15" hidden="false" customHeight="false" outlineLevel="0" collapsed="false">
      <c r="A51" s="11" t="s">
        <v>1550</v>
      </c>
      <c r="B51" s="15" t="s">
        <v>1182</v>
      </c>
      <c r="C51" s="54" t="n">
        <f aca="false">SUM(D51:O51)</f>
        <v>0</v>
      </c>
      <c r="D51" s="48" t="n">
        <f aca="false">SUMIFS(Calculo!$F$262:$ES$262,Calculo!$F$6:$ES$6,1)</f>
        <v>0</v>
      </c>
      <c r="E51" s="48" t="n">
        <f aca="false">SUMIFS(Calculo!$F$262:$ES$262,Calculo!$F$6:$ES$6,2)</f>
        <v>0</v>
      </c>
      <c r="F51" s="48" t="n">
        <f aca="false">SUMIFS(Calculo!$F$262:$ES$262,Calculo!$F$6:$ES$6,3)</f>
        <v>0</v>
      </c>
      <c r="G51" s="48" t="n">
        <f aca="false">SUMIFS(Calculo!$F$262:$ES$262,Calculo!$F$6:$ES$6,4)</f>
        <v>0</v>
      </c>
      <c r="H51" s="48" t="n">
        <f aca="false">SUMIFS(Calculo!$F$262:$ES$262,Calculo!$F$6:$ES$6,5)</f>
        <v>0</v>
      </c>
      <c r="I51" s="48" t="n">
        <f aca="false">SUMIFS(Calculo!$F$262:$ES$262,Calculo!$F$6:$ES$6,6)</f>
        <v>0</v>
      </c>
      <c r="J51" s="48" t="n">
        <f aca="false">SUMIFS(Calculo!$F$262:$ES$262,Calculo!$F$6:$ES$6,7)</f>
        <v>0</v>
      </c>
      <c r="K51" s="48" t="n">
        <f aca="false">SUMIFS(Calculo!$F$262:$ES$262,Calculo!$F$6:$ES$6,8)</f>
        <v>0</v>
      </c>
      <c r="L51" s="48" t="n">
        <f aca="false">SUMIFS(Calculo!$F$262:$ES$262,Calculo!$F$6:$ES$6,9)</f>
        <v>0</v>
      </c>
      <c r="M51" s="48" t="n">
        <f aca="false">SUMIFS(Calculo!$F$262:$ES$262,Calculo!$F$6:$ES$6,10)</f>
        <v>0</v>
      </c>
      <c r="N51" s="48" t="n">
        <f aca="false">SUMIFS(Calculo!$F$262:$ES$262,Calculo!$F$6:$ES$6,11)</f>
        <v>0</v>
      </c>
      <c r="O51" s="48" t="n">
        <f aca="false">SUMIFS(Calculo!$F$262:$ES$262,Calculo!$F$6:$ES$6,12)</f>
        <v>0</v>
      </c>
    </row>
    <row r="52" customFormat="false" ht="15" hidden="false" customHeight="false" outlineLevel="0" collapsed="false">
      <c r="A52" s="11" t="s">
        <v>1551</v>
      </c>
      <c r="B52" s="67" t="s">
        <v>1468</v>
      </c>
      <c r="C52" s="54" t="n">
        <f aca="false">SUM(D52:O52)</f>
        <v>14751245.7980366</v>
      </c>
      <c r="D52" s="19" t="n">
        <f aca="false">SUMIFS(Calculo!$F$263:$ES$263,Calculo!$F$6:$ES$6,1)</f>
        <v>167275.864276051</v>
      </c>
      <c r="E52" s="19" t="n">
        <f aca="false">SUMIFS(Calculo!$F$263:$ES$263,Calculo!$F$6:$ES$6,2)</f>
        <v>658090.372806125</v>
      </c>
      <c r="F52" s="19" t="n">
        <f aca="false">SUMIFS(Calculo!$F$263:$ES$263,Calculo!$F$6:$ES$6,3)</f>
        <v>1154012.18844033</v>
      </c>
      <c r="G52" s="19" t="n">
        <f aca="false">SUMIFS(Calculo!$F$263:$ES$263,Calculo!$F$6:$ES$6,4)</f>
        <v>1609906.75676184</v>
      </c>
      <c r="H52" s="19" t="n">
        <f aca="false">SUMIFS(Calculo!$F$263:$ES$263,Calculo!$F$6:$ES$6,5)</f>
        <v>1693767.79358213</v>
      </c>
      <c r="I52" s="19" t="n">
        <f aca="false">SUMIFS(Calculo!$F$263:$ES$263,Calculo!$F$6:$ES$6,6)</f>
        <v>1794188.69257391</v>
      </c>
      <c r="J52" s="19" t="n">
        <f aca="false">SUMIFS(Calculo!$F$263:$ES$263,Calculo!$F$6:$ES$6,7)</f>
        <v>1843575.6608728</v>
      </c>
      <c r="K52" s="19" t="n">
        <f aca="false">SUMIFS(Calculo!$F$263:$ES$263,Calculo!$F$6:$ES$6,8)</f>
        <v>1893301.21355545</v>
      </c>
      <c r="L52" s="19" t="n">
        <f aca="false">SUMIFS(Calculo!$F$263:$ES$263,Calculo!$F$6:$ES$6,9)</f>
        <v>1943364.14678689</v>
      </c>
      <c r="M52" s="19" t="n">
        <f aca="false">SUMIFS(Calculo!$F$263:$ES$263,Calculo!$F$6:$ES$6,10)</f>
        <v>1993763.10838103</v>
      </c>
      <c r="N52" s="19" t="n">
        <f aca="false">SUMIFS(Calculo!$F$263:$ES$263,Calculo!$F$6:$ES$6,11)</f>
        <v>0</v>
      </c>
      <c r="O52" s="19" t="n">
        <f aca="false">SUMIFS(Calculo!$F$263:$ES$263,Calculo!$F$6:$ES$6,12)</f>
        <v>0</v>
      </c>
    </row>
    <row r="53" customFormat="false" ht="15" hidden="false" customHeight="false" outlineLevel="0" collapsed="false">
      <c r="A53" s="11" t="s">
        <v>1552</v>
      </c>
      <c r="B53" s="67" t="s">
        <v>1469</v>
      </c>
      <c r="C53" s="54" t="n">
        <f aca="false">SUM(D53:O53)</f>
        <v>11809741.4989387</v>
      </c>
      <c r="D53" s="19" t="n">
        <f aca="false">SUMIFS(Calculo!$F$272:$ES$272,Calculo!$F$6:$ES$6,1)</f>
        <v>-1878093.88165195</v>
      </c>
      <c r="E53" s="19" t="n">
        <f aca="false">SUMIFS(Calculo!$F$272:$ES$272,Calculo!$F$6:$ES$6,2)</f>
        <v>310811.391531933</v>
      </c>
      <c r="F53" s="19" t="n">
        <f aca="false">SUMIFS(Calculo!$F$272:$ES$272,Calculo!$F$6:$ES$6,3)</f>
        <v>737693.439749074</v>
      </c>
      <c r="G53" s="19" t="n">
        <f aca="false">SUMIFS(Calculo!$F$272:$ES$272,Calculo!$F$6:$ES$6,4)</f>
        <v>1239913.88862499</v>
      </c>
      <c r="H53" s="19" t="n">
        <f aca="false">SUMIFS(Calculo!$F$272:$ES$272,Calculo!$F$6:$ES$6,5)</f>
        <v>1776448.43081063</v>
      </c>
      <c r="I53" s="19" t="n">
        <f aca="false">SUMIFS(Calculo!$F$272:$ES$272,Calculo!$F$6:$ES$6,6)</f>
        <v>1825880.44510532</v>
      </c>
      <c r="J53" s="19" t="n">
        <f aca="false">SUMIFS(Calculo!$F$272:$ES$272,Calculo!$F$6:$ES$6,7)</f>
        <v>1874902.37664802</v>
      </c>
      <c r="K53" s="19" t="n">
        <f aca="false">SUMIFS(Calculo!$F$272:$ES$272,Calculo!$F$6:$ES$6,8)</f>
        <v>1924259.60486093</v>
      </c>
      <c r="L53" s="19" t="n">
        <f aca="false">SUMIFS(Calculo!$F$272:$ES$272,Calculo!$F$6:$ES$6,9)</f>
        <v>1973950.90383755</v>
      </c>
      <c r="M53" s="19" t="n">
        <f aca="false">SUMIFS(Calculo!$F$272:$ES$272,Calculo!$F$6:$ES$6,10)</f>
        <v>2023974.89942226</v>
      </c>
      <c r="N53" s="19" t="n">
        <f aca="false">SUMIFS(Calculo!$F$272:$ES$272,Calculo!$F$6:$ES$6,11)</f>
        <v>0</v>
      </c>
      <c r="O53" s="19" t="n">
        <f aca="false">SUMIFS(Calculo!$F$272:$ES$272,Calculo!$F$6:$ES$6,12)</f>
        <v>0</v>
      </c>
    </row>
    <row r="54" customFormat="false" ht="15" hidden="false" customHeight="false" outlineLevel="0" collapsed="false">
      <c r="A54" s="11" t="s">
        <v>1553</v>
      </c>
      <c r="B54" s="15" t="s">
        <v>1014</v>
      </c>
      <c r="C54" s="54" t="n">
        <f aca="false">SUM(D54:O54)</f>
        <v>755044.09</v>
      </c>
      <c r="D54" s="48" t="n">
        <f aca="false">SUMIFS(Calculo!$F$273:$ES$273,Calculo!$F$6:$ES$6,1)</f>
        <v>655044.09</v>
      </c>
      <c r="E54" s="48" t="n">
        <f aca="false">SUMIFS(Calculo!$F$273:$ES$273,Calculo!$F$6:$ES$6,2)</f>
        <v>100000</v>
      </c>
      <c r="F54" s="48" t="n">
        <f aca="false">SUMIFS(Calculo!$F$273:$ES$273,Calculo!$F$6:$ES$6,3)</f>
        <v>0</v>
      </c>
      <c r="G54" s="48" t="n">
        <f aca="false">SUMIFS(Calculo!$F$273:$ES$273,Calculo!$F$6:$ES$6,4)</f>
        <v>0</v>
      </c>
      <c r="H54" s="48" t="n">
        <f aca="false">SUMIFS(Calculo!$F$273:$ES$273,Calculo!$F$6:$ES$6,5)</f>
        <v>0</v>
      </c>
      <c r="I54" s="48" t="n">
        <f aca="false">SUMIFS(Calculo!$F$273:$ES$273,Calculo!$F$6:$ES$6,6)</f>
        <v>0</v>
      </c>
      <c r="J54" s="48" t="n">
        <f aca="false">SUMIFS(Calculo!$F$273:$ES$273,Calculo!$F$6:$ES$6,7)</f>
        <v>0</v>
      </c>
      <c r="K54" s="48" t="n">
        <f aca="false">SUMIFS(Calculo!$F$273:$ES$273,Calculo!$F$6:$ES$6,8)</f>
        <v>0</v>
      </c>
      <c r="L54" s="48" t="n">
        <f aca="false">SUMIFS(Calculo!$F$273:$ES$273,Calculo!$F$6:$ES$6,9)</f>
        <v>0</v>
      </c>
      <c r="M54" s="48" t="n">
        <f aca="false">SUMIFS(Calculo!$F$273:$ES$273,Calculo!$F$6:$ES$6,10)</f>
        <v>0</v>
      </c>
      <c r="N54" s="48" t="n">
        <f aca="false">SUMIFS(Calculo!$F$273:$ES$273,Calculo!$F$6:$ES$6,11)</f>
        <v>0</v>
      </c>
      <c r="O54" s="48" t="n">
        <f aca="false">SUMIFS(Calculo!$F$273:$ES$273,Calculo!$F$6:$ES$6,12)</f>
        <v>0</v>
      </c>
    </row>
    <row r="55" customFormat="false" ht="15" hidden="false" customHeight="false" outlineLevel="0" collapsed="false">
      <c r="A55" s="11" t="s">
        <v>1554</v>
      </c>
      <c r="B55" s="67" t="s">
        <v>1555</v>
      </c>
      <c r="C55" s="54" t="n">
        <f aca="false">SUM(D55:O55)</f>
        <v>15564459.926261</v>
      </c>
      <c r="D55" s="19" t="n">
        <f aca="false">SUMIFS(Calculo!$F$276:$ES$276,Calculo!$F$6:$ES$6,1)</f>
        <v>-2533137.97165195</v>
      </c>
      <c r="E55" s="19" t="n">
        <f aca="false">SUMIFS(Calculo!$F$276:$ES$276,Calculo!$F$6:$ES$6,2)</f>
        <v>210811.391531933</v>
      </c>
      <c r="F55" s="19" t="n">
        <f aca="false">SUMIFS(Calculo!$F$276:$ES$276,Calculo!$F$6:$ES$6,3)</f>
        <v>737693.439749074</v>
      </c>
      <c r="G55" s="19" t="n">
        <f aca="false">SUMIFS(Calculo!$F$276:$ES$276,Calculo!$F$6:$ES$6,4)</f>
        <v>1239913.88862499</v>
      </c>
      <c r="H55" s="19" t="n">
        <f aca="false">SUMIFS(Calculo!$F$276:$ES$276,Calculo!$F$6:$ES$6,5)</f>
        <v>1776448.43081063</v>
      </c>
      <c r="I55" s="19" t="n">
        <f aca="false">SUMIFS(Calculo!$F$276:$ES$276,Calculo!$F$6:$ES$6,6)</f>
        <v>1825880.44510532</v>
      </c>
      <c r="J55" s="19" t="n">
        <f aca="false">SUMIFS(Calculo!$F$276:$ES$276,Calculo!$F$6:$ES$6,7)</f>
        <v>1874902.37664802</v>
      </c>
      <c r="K55" s="19" t="n">
        <f aca="false">SUMIFS(Calculo!$F$276:$ES$276,Calculo!$F$6:$ES$6,8)</f>
        <v>1924259.60486093</v>
      </c>
      <c r="L55" s="19" t="n">
        <f aca="false">SUMIFS(Calculo!$F$276:$ES$276,Calculo!$F$6:$ES$6,9)</f>
        <v>1973950.90383755</v>
      </c>
      <c r="M55" s="19" t="n">
        <f aca="false">SUMIFS(Calculo!$F$276:$ES$276,Calculo!$F$6:$ES$6,10)</f>
        <v>6533737.41674454</v>
      </c>
      <c r="N55" s="19" t="n">
        <f aca="false">SUMIFS(Calculo!$F$276:$ES$276,Calculo!$F$6:$ES$6,11)</f>
        <v>0</v>
      </c>
      <c r="O55" s="19" t="n">
        <f aca="false">SUMIFS(Calculo!$F$276:$ES$276,Calculo!$F$6:$ES$6,12)</f>
        <v>0</v>
      </c>
    </row>
    <row r="56" customFormat="false" ht="15" hidden="false" customHeight="false" outlineLevel="0" collapsed="false">
      <c r="A56" s="11" t="s">
        <v>1556</v>
      </c>
      <c r="B56" s="15" t="s">
        <v>1240</v>
      </c>
      <c r="C56" s="54" t="n">
        <f aca="false">SUM(D56:O56)</f>
        <v>1139710</v>
      </c>
      <c r="D56" s="48" t="n">
        <f aca="false">SUMIFS(Calculo!$F$294:$ES$294,Calculo!$F$6:$ES$6,1)</f>
        <v>767782</v>
      </c>
      <c r="E56" s="48" t="n">
        <f aca="false">SUMIFS(Calculo!$F$294:$ES$294,Calculo!$F$6:$ES$6,2)</f>
        <v>371928</v>
      </c>
      <c r="F56" s="48" t="n">
        <f aca="false">SUMIFS(Calculo!$F$294:$ES$294,Calculo!$F$6:$ES$6,3)</f>
        <v>0</v>
      </c>
      <c r="G56" s="48" t="n">
        <f aca="false">SUMIFS(Calculo!$F$294:$ES$294,Calculo!$F$6:$ES$6,4)</f>
        <v>0</v>
      </c>
      <c r="H56" s="48" t="n">
        <f aca="false">SUMIFS(Calculo!$F$294:$ES$294,Calculo!$F$6:$ES$6,5)</f>
        <v>0</v>
      </c>
      <c r="I56" s="48" t="n">
        <f aca="false">SUMIFS(Calculo!$F$294:$ES$294,Calculo!$F$6:$ES$6,6)</f>
        <v>0</v>
      </c>
      <c r="J56" s="48" t="n">
        <f aca="false">SUMIFS(Calculo!$F$294:$ES$294,Calculo!$F$6:$ES$6,7)</f>
        <v>0</v>
      </c>
      <c r="K56" s="48" t="n">
        <f aca="false">SUMIFS(Calculo!$F$294:$ES$294,Calculo!$F$6:$ES$6,8)</f>
        <v>0</v>
      </c>
      <c r="L56" s="48" t="n">
        <f aca="false">SUMIFS(Calculo!$F$294:$ES$294,Calculo!$F$6:$ES$6,9)</f>
        <v>0</v>
      </c>
      <c r="M56" s="48" t="n">
        <f aca="false">SUMIFS(Calculo!$F$294:$ES$294,Calculo!$F$6:$ES$6,10)</f>
        <v>0</v>
      </c>
      <c r="N56" s="48" t="n">
        <f aca="false">SUMIFS(Calculo!$F$294:$ES$294,Calculo!$F$6:$ES$6,11)</f>
        <v>0</v>
      </c>
      <c r="O56" s="48" t="n">
        <f aca="false">SUMIFS(Calculo!$F$294:$ES$294,Calculo!$F$6:$ES$6,12)</f>
        <v>0</v>
      </c>
    </row>
    <row r="57" customFormat="false" ht="15" hidden="false" customHeight="false" outlineLevel="0" collapsed="false">
      <c r="A57" s="11" t="s">
        <v>1557</v>
      </c>
      <c r="B57" s="15" t="s">
        <v>1236</v>
      </c>
      <c r="C57" s="54" t="n">
        <f aca="false">SUM(D57:O57)</f>
        <v>2791587</v>
      </c>
      <c r="D57" s="48" t="n">
        <f aca="false">SUMIFS(Calculo!$F$302:$ES$302,Calculo!$F$6:$ES$6,1)</f>
        <v>2791587</v>
      </c>
      <c r="E57" s="48" t="n">
        <f aca="false">SUMIFS(Calculo!$F$302:$ES$302,Calculo!$F$6:$ES$6,2)</f>
        <v>0</v>
      </c>
      <c r="F57" s="48" t="n">
        <f aca="false">SUMIFS(Calculo!$F$302:$ES$302,Calculo!$F$6:$ES$6,3)</f>
        <v>0</v>
      </c>
      <c r="G57" s="48" t="n">
        <f aca="false">SUMIFS(Calculo!$F$302:$ES$302,Calculo!$F$6:$ES$6,4)</f>
        <v>0</v>
      </c>
      <c r="H57" s="48" t="n">
        <f aca="false">SUMIFS(Calculo!$F$302:$ES$302,Calculo!$F$6:$ES$6,5)</f>
        <v>0</v>
      </c>
      <c r="I57" s="48" t="n">
        <f aca="false">SUMIFS(Calculo!$F$302:$ES$302,Calculo!$F$6:$ES$6,6)</f>
        <v>0</v>
      </c>
      <c r="J57" s="48" t="n">
        <f aca="false">SUMIFS(Calculo!$F$302:$ES$302,Calculo!$F$6:$ES$6,7)</f>
        <v>0</v>
      </c>
      <c r="K57" s="48" t="n">
        <f aca="false">SUMIFS(Calculo!$F$302:$ES$302,Calculo!$F$6:$ES$6,8)</f>
        <v>0</v>
      </c>
      <c r="L57" s="48" t="n">
        <f aca="false">SUMIFS(Calculo!$F$302:$ES$302,Calculo!$F$6:$ES$6,9)</f>
        <v>0</v>
      </c>
      <c r="M57" s="48" t="n">
        <f aca="false">SUMIFS(Calculo!$F$302:$ES$302,Calculo!$F$6:$ES$6,10)</f>
        <v>0</v>
      </c>
      <c r="N57" s="48" t="n">
        <f aca="false">SUMIFS(Calculo!$F$302:$ES$302,Calculo!$F$6:$ES$6,11)</f>
        <v>0</v>
      </c>
      <c r="O57" s="48" t="n">
        <f aca="false">SUMIFS(Calculo!$F$302:$ES$302,Calculo!$F$6:$ES$6,12)</f>
        <v>0</v>
      </c>
    </row>
    <row r="58" customFormat="false" ht="15" hidden="false" customHeight="false" outlineLevel="0" collapsed="false">
      <c r="A58" s="11" t="s">
        <v>1558</v>
      </c>
      <c r="B58" s="15" t="s">
        <v>1471</v>
      </c>
      <c r="C58" s="54" t="n">
        <f aca="false">SUM(D58:O58)</f>
        <v>2791587</v>
      </c>
      <c r="D58" s="48" t="n">
        <f aca="false">SUMIFS(Calculo!$F$303:$ES$303,Calculo!$F$6:$ES$6,1)</f>
        <v>257526.352358103</v>
      </c>
      <c r="E58" s="48" t="n">
        <f aca="false">SUMIFS(Calculo!$F$303:$ES$303,Calculo!$F$6:$ES$6,2)</f>
        <v>551018.611753115</v>
      </c>
      <c r="F58" s="48" t="n">
        <f aca="false">SUMIFS(Calculo!$F$303:$ES$303,Calculo!$F$6:$ES$6,3)</f>
        <v>602707.958280647</v>
      </c>
      <c r="G58" s="48" t="n">
        <f aca="false">SUMIFS(Calculo!$F$303:$ES$303,Calculo!$F$6:$ES$6,4)</f>
        <v>659246.122048566</v>
      </c>
      <c r="H58" s="48" t="n">
        <f aca="false">SUMIFS(Calculo!$F$303:$ES$303,Calculo!$F$6:$ES$6,5)</f>
        <v>721087.95555957</v>
      </c>
      <c r="I58" s="48" t="n">
        <f aca="false">SUMIFS(Calculo!$F$303:$ES$303,Calculo!$F$6:$ES$6,6)</f>
        <v>0</v>
      </c>
      <c r="J58" s="48" t="n">
        <f aca="false">SUMIFS(Calculo!$F$303:$ES$303,Calculo!$F$6:$ES$6,7)</f>
        <v>0</v>
      </c>
      <c r="K58" s="48" t="n">
        <f aca="false">SUMIFS(Calculo!$F$303:$ES$303,Calculo!$F$6:$ES$6,8)</f>
        <v>0</v>
      </c>
      <c r="L58" s="48" t="n">
        <f aca="false">SUMIFS(Calculo!$F$303:$ES$303,Calculo!$F$6:$ES$6,9)</f>
        <v>0</v>
      </c>
      <c r="M58" s="48" t="n">
        <f aca="false">SUMIFS(Calculo!$F$303:$ES$303,Calculo!$F$6:$ES$6,10)</f>
        <v>0</v>
      </c>
      <c r="N58" s="48" t="n">
        <f aca="false">SUMIFS(Calculo!$F$303:$ES$303,Calculo!$F$6:$ES$6,11)</f>
        <v>0</v>
      </c>
      <c r="O58" s="48" t="n">
        <f aca="false">SUMIFS(Calculo!$F$303:$ES$303,Calculo!$F$6:$ES$6,12)</f>
        <v>0</v>
      </c>
    </row>
    <row r="59" customFormat="false" ht="15" hidden="false" customHeight="false" outlineLevel="0" collapsed="false">
      <c r="A59" s="11" t="s">
        <v>1559</v>
      </c>
      <c r="B59" s="15" t="s">
        <v>1560</v>
      </c>
      <c r="C59" s="54" t="n">
        <f aca="false">SUM(D59:O59)</f>
        <v>2791587</v>
      </c>
      <c r="D59" s="48" t="n">
        <f aca="false">SUMIFS(Calculo!$F$293:$ES$293,Calculo!$F$6:$ES$6,1)</f>
        <v>257526.352358103</v>
      </c>
      <c r="E59" s="48" t="n">
        <f aca="false">SUMIFS(Calculo!$F$293:$ES$293,Calculo!$F$6:$ES$6,2)</f>
        <v>551018.611753115</v>
      </c>
      <c r="F59" s="48" t="n">
        <f aca="false">SUMIFS(Calculo!$F$293:$ES$293,Calculo!$F$6:$ES$6,3)</f>
        <v>602707.958280647</v>
      </c>
      <c r="G59" s="48" t="n">
        <f aca="false">SUMIFS(Calculo!$F$293:$ES$293,Calculo!$F$6:$ES$6,4)</f>
        <v>659246.122048566</v>
      </c>
      <c r="H59" s="48" t="n">
        <f aca="false">SUMIFS(Calculo!$F$293:$ES$293,Calculo!$F$6:$ES$6,5)</f>
        <v>721087.95555957</v>
      </c>
      <c r="I59" s="48" t="n">
        <f aca="false">SUMIFS(Calculo!$F$293:$ES$293,Calculo!$F$6:$ES$6,6)</f>
        <v>0</v>
      </c>
      <c r="J59" s="48" t="n">
        <f aca="false">SUMIFS(Calculo!$F$293:$ES$293,Calculo!$F$6:$ES$6,7)</f>
        <v>0</v>
      </c>
      <c r="K59" s="48" t="n">
        <f aca="false">SUMIFS(Calculo!$F$293:$ES$293,Calculo!$F$6:$ES$6,8)</f>
        <v>0</v>
      </c>
      <c r="L59" s="48" t="n">
        <f aca="false">SUMIFS(Calculo!$F$293:$ES$293,Calculo!$F$6:$ES$6,9)</f>
        <v>0</v>
      </c>
      <c r="M59" s="48" t="n">
        <f aca="false">SUMIFS(Calculo!$F$293:$ES$293,Calculo!$F$6:$ES$6,10)</f>
        <v>0</v>
      </c>
      <c r="N59" s="48" t="n">
        <f aca="false">SUMIFS(Calculo!$F$293:$ES$293,Calculo!$F$6:$ES$6,11)</f>
        <v>0</v>
      </c>
      <c r="O59" s="48" t="n">
        <f aca="false">SUMIFS(Calculo!$F$293:$ES$293,Calculo!$F$6:$ES$6,12)</f>
        <v>0</v>
      </c>
    </row>
    <row r="60" customFormat="false" ht="15" hidden="false" customHeight="false" outlineLevel="0" collapsed="false">
      <c r="A60" s="11" t="s">
        <v>1561</v>
      </c>
      <c r="B60" s="15" t="s">
        <v>1024</v>
      </c>
      <c r="C60" s="54" t="n">
        <f aca="false">SUM(D60:O60)</f>
        <v>9743309.6365382</v>
      </c>
      <c r="D60" s="48" t="n">
        <f aca="false">SUMIFS(Calculo!$F$309:$ES$309,Calculo!$F$6:$ES$6,1)</f>
        <v>0</v>
      </c>
      <c r="E60" s="48" t="n">
        <f aca="false">SUMIFS(Calculo!$F$309:$ES$309,Calculo!$F$6:$ES$6,2)</f>
        <v>0</v>
      </c>
      <c r="F60" s="48" t="n">
        <f aca="false">SUMIFS(Calculo!$F$309:$ES$309,Calculo!$F$6:$ES$6,3)</f>
        <v>0</v>
      </c>
      <c r="G60" s="48" t="n">
        <f aca="false">SUMIFS(Calculo!$F$309:$ES$309,Calculo!$F$6:$ES$6,4)</f>
        <v>0</v>
      </c>
      <c r="H60" s="48" t="n">
        <f aca="false">SUMIFS(Calculo!$F$309:$ES$309,Calculo!$F$6:$ES$6,5)</f>
        <v>804953.378380922</v>
      </c>
      <c r="I60" s="48" t="n">
        <f aca="false">SUMIFS(Calculo!$F$309:$ES$309,Calculo!$F$6:$ES$6,6)</f>
        <v>1463926.54436822</v>
      </c>
      <c r="J60" s="48" t="n">
        <f aca="false">SUMIFS(Calculo!$F$309:$ES$309,Calculo!$F$6:$ES$6,7)</f>
        <v>1794188.69257391</v>
      </c>
      <c r="K60" s="48" t="n">
        <f aca="false">SUMIFS(Calculo!$F$309:$ES$309,Calculo!$F$6:$ES$6,8)</f>
        <v>1843575.6608728</v>
      </c>
      <c r="L60" s="48" t="n">
        <f aca="false">SUMIFS(Calculo!$F$309:$ES$309,Calculo!$F$6:$ES$6,9)</f>
        <v>1893301.21355545</v>
      </c>
      <c r="M60" s="48" t="n">
        <f aca="false">SUMIFS(Calculo!$F$309:$ES$309,Calculo!$F$6:$ES$6,10)</f>
        <v>1943364.14678689</v>
      </c>
      <c r="N60" s="48" t="n">
        <f aca="false">SUMIFS(Calculo!$F$309:$ES$309,Calculo!$F$6:$ES$6,11)</f>
        <v>0</v>
      </c>
      <c r="O60" s="48" t="n">
        <f aca="false">SUMIFS(Calculo!$F$309:$ES$309,Calculo!$F$6:$ES$6,12)</f>
        <v>0</v>
      </c>
    </row>
    <row r="61" customFormat="false" ht="15" hidden="false" customHeight="false" outlineLevel="0" collapsed="false">
      <c r="A61" s="11" t="s">
        <v>1562</v>
      </c>
      <c r="B61" s="67" t="s">
        <v>1472</v>
      </c>
      <c r="C61" s="54" t="n">
        <f aca="false">INDEX(Calculo!$F$310:$ES$310,1,MIN(144,Fin))</f>
        <v>1637883.64417609</v>
      </c>
      <c r="D61" s="19" t="n">
        <f aca="false">INDEX(Calculo!$F$310:$ES$310,1,MIN(144,12))</f>
        <v>497602.743558918</v>
      </c>
      <c r="E61" s="19" t="n">
        <f aca="false">INDEX(Calculo!$F$310:$ES$310,1,MIN(144,24))</f>
        <v>303049.269216285</v>
      </c>
      <c r="F61" s="19" t="n">
        <f aca="false">INDEX(Calculo!$F$310:$ES$310,1,MIN(144,36))</f>
        <v>268618.777743545</v>
      </c>
      <c r="G61" s="19" t="n">
        <f aca="false">INDEX(Calculo!$F$310:$ES$310,1,MIN(144,48))</f>
        <v>742062.551523511</v>
      </c>
      <c r="H61" s="19" t="n">
        <f aca="false">INDEX(Calculo!$F$310:$ES$310,1,MIN(144,60))</f>
        <v>953271.672459291</v>
      </c>
      <c r="I61" s="19" t="n">
        <f aca="false">INDEX(Calculo!$F$310:$ES$310,1,MIN(144,72))</f>
        <v>1315225.57319639</v>
      </c>
      <c r="J61" s="19" t="n">
        <f aca="false">INDEX(Calculo!$F$310:$ES$310,1,MIN(144,84))</f>
        <v>1395939.25727049</v>
      </c>
      <c r="K61" s="19" t="n">
        <f aca="false">INDEX(Calculo!$F$310:$ES$310,1,MIN(144,96))</f>
        <v>1476623.20125862</v>
      </c>
      <c r="L61" s="19" t="n">
        <f aca="false">INDEX(Calculo!$F$310:$ES$310,1,MIN(144,108))</f>
        <v>1557272.89154073</v>
      </c>
      <c r="M61" s="19" t="n">
        <f aca="false">INDEX(Calculo!$F$310:$ES$310,1,MIN(144,120))</f>
        <v>1637883.64417609</v>
      </c>
      <c r="N61" s="19" t="n">
        <f aca="false">INDEX(Calculo!$F$310:$ES$310,1,MIN(144,132))</f>
        <v>1637883.64417609</v>
      </c>
      <c r="O61" s="19" t="n">
        <f aca="false">INDEX(Calculo!$F$310:$ES$310,1,MIN(144,144))</f>
        <v>1637883.64417609</v>
      </c>
    </row>
    <row r="62" customFormat="false" ht="15" hidden="false" customHeight="false" outlineLevel="0" collapsed="false">
      <c r="A62" s="11" t="s">
        <v>1563</v>
      </c>
      <c r="B62" s="15" t="s">
        <v>1473</v>
      </c>
      <c r="C62" s="54" t="n">
        <f aca="false">INDEX(Calculo!$F$304:$ES$304,1,MIN(144,Fin))</f>
        <v>0</v>
      </c>
      <c r="D62" s="48" t="n">
        <f aca="false">INDEX(Calculo!$F$304:$ES$304,1,MIN(144,12))</f>
        <v>2534060.6476419</v>
      </c>
      <c r="E62" s="48" t="n">
        <f aca="false">INDEX(Calculo!$F$304:$ES$304,1,MIN(144,24))</f>
        <v>1983042.03588878</v>
      </c>
      <c r="F62" s="48" t="n">
        <f aca="false">INDEX(Calculo!$F$304:$ES$304,1,MIN(144,36))</f>
        <v>1380334.07760814</v>
      </c>
      <c r="G62" s="48" t="n">
        <f aca="false">INDEX(Calculo!$F$304:$ES$304,1,MIN(144,48))</f>
        <v>721087.95555957</v>
      </c>
      <c r="H62" s="48" t="n">
        <f aca="false">INDEX(Calculo!$F$304:$ES$304,1,MIN(144,60))</f>
        <v>0</v>
      </c>
      <c r="I62" s="48" t="n">
        <f aca="false">INDEX(Calculo!$F$304:$ES$304,1,MIN(144,72))</f>
        <v>0</v>
      </c>
      <c r="J62" s="48" t="n">
        <f aca="false">INDEX(Calculo!$F$304:$ES$304,1,MIN(144,84))</f>
        <v>0</v>
      </c>
      <c r="K62" s="48" t="n">
        <f aca="false">INDEX(Calculo!$F$304:$ES$304,1,MIN(144,96))</f>
        <v>0</v>
      </c>
      <c r="L62" s="48" t="n">
        <f aca="false">INDEX(Calculo!$F$304:$ES$304,1,MIN(144,108))</f>
        <v>0</v>
      </c>
      <c r="M62" s="48" t="n">
        <f aca="false">INDEX(Calculo!$F$304:$ES$304,1,MIN(144,120))</f>
        <v>0</v>
      </c>
      <c r="N62" s="48" t="n">
        <f aca="false">INDEX(Calculo!$F$304:$ES$304,1,MIN(144,132))</f>
        <v>0</v>
      </c>
      <c r="O62" s="48" t="n">
        <f aca="false">INDEX(Calculo!$F$304:$ES$304,1,MIN(144,144))</f>
        <v>0</v>
      </c>
    </row>
    <row r="63" customFormat="false" ht="15" hidden="false" customHeight="false" outlineLevel="0" collapsed="false">
      <c r="A63" s="11" t="s">
        <v>1564</v>
      </c>
      <c r="B63" s="15" t="s">
        <v>1565</v>
      </c>
      <c r="C63" s="54" t="n">
        <f aca="false">INDEX(Calculo!$F$301:$ES$301,1,MIN(144,Fin))</f>
        <v>0</v>
      </c>
      <c r="D63" s="48" t="n">
        <f aca="false">INDEX(Calculo!$F$301:$ES$301,1,MIN(144,12))</f>
        <v>0</v>
      </c>
      <c r="E63" s="48" t="n">
        <f aca="false">INDEX(Calculo!$F$301:$ES$301,1,MIN(144,24))</f>
        <v>0</v>
      </c>
      <c r="F63" s="48" t="n">
        <f aca="false">INDEX(Calculo!$F$301:$ES$301,1,MIN(144,36))</f>
        <v>0</v>
      </c>
      <c r="G63" s="48" t="n">
        <f aca="false">INDEX(Calculo!$F$301:$ES$301,1,MIN(144,48))</f>
        <v>0</v>
      </c>
      <c r="H63" s="48" t="n">
        <f aca="false">INDEX(Calculo!$F$301:$ES$301,1,MIN(144,60))</f>
        <v>0</v>
      </c>
      <c r="I63" s="48" t="n">
        <f aca="false">INDEX(Calculo!$F$301:$ES$301,1,MIN(144,72))</f>
        <v>0</v>
      </c>
      <c r="J63" s="48" t="n">
        <f aca="false">INDEX(Calculo!$F$301:$ES$301,1,MIN(144,84))</f>
        <v>0</v>
      </c>
      <c r="K63" s="48" t="n">
        <f aca="false">INDEX(Calculo!$F$301:$ES$301,1,MIN(144,96))</f>
        <v>0</v>
      </c>
      <c r="L63" s="48" t="n">
        <f aca="false">INDEX(Calculo!$F$301:$ES$301,1,MIN(144,108))</f>
        <v>0</v>
      </c>
      <c r="M63" s="48" t="n">
        <f aca="false">INDEX(Calculo!$F$301:$ES$301,1,MIN(144,120))</f>
        <v>0</v>
      </c>
      <c r="N63" s="48" t="n">
        <f aca="false">INDEX(Calculo!$F$301:$ES$301,1,MIN(144,132))</f>
        <v>0</v>
      </c>
      <c r="O63" s="48" t="n">
        <f aca="false">INDEX(Calculo!$F$301:$ES$301,1,MIN(144,144))</f>
        <v>0</v>
      </c>
    </row>
    <row r="64" customFormat="false" ht="15" hidden="false" customHeight="false" outlineLevel="0" collapsed="false">
      <c r="A64" s="11" t="s">
        <v>1566</v>
      </c>
      <c r="B64" s="15" t="s">
        <v>1567</v>
      </c>
      <c r="C64" s="54" t="n">
        <f aca="false">INDEX(Calculo!$F$269:$ES$269,1,MIN(144,Fin))</f>
        <v>4499762.51732228</v>
      </c>
      <c r="D64" s="48" t="n">
        <f aca="false">INDEX(Calculo!$F$269:$ES$269,1,MIN(144,12))</f>
        <v>2388063.88735903</v>
      </c>
      <c r="E64" s="48" t="n">
        <f aca="false">INDEX(Calculo!$F$269:$ES$269,1,MIN(144,24))</f>
        <v>3043209.33175467</v>
      </c>
      <c r="F64" s="48" t="n">
        <f aca="false">INDEX(Calculo!$F$269:$ES$269,1,MIN(144,36))</f>
        <v>3710536.2623871</v>
      </c>
      <c r="G64" s="48" t="n">
        <f aca="false">INDEX(Calculo!$F$269:$ES$269,1,MIN(144,48))</f>
        <v>4269345.33232041</v>
      </c>
      <c r="H64" s="48" t="n">
        <f aca="false">INDEX(Calculo!$F$269:$ES$269,1,MIN(144,60))</f>
        <v>4307454.88002627</v>
      </c>
      <c r="I64" s="48" t="n">
        <f aca="false">INDEX(Calculo!$F$269:$ES$269,1,MIN(144,72))</f>
        <v>4345179.73649487</v>
      </c>
      <c r="J64" s="48" t="n">
        <f aca="false">INDEX(Calculo!$F$269:$ES$269,1,MIN(144,84))</f>
        <v>4383269.62971965</v>
      </c>
      <c r="K64" s="48" t="n">
        <f aca="false">INDEX(Calculo!$F$269:$ES$269,1,MIN(144,96))</f>
        <v>4421727.84741417</v>
      </c>
      <c r="L64" s="48" t="n">
        <f aca="false">INDEX(Calculo!$F$269:$ES$269,1,MIN(144,108))</f>
        <v>4460557.6993635</v>
      </c>
      <c r="M64" s="48" t="n">
        <f aca="false">INDEX(Calculo!$F$269:$ES$269,1,MIN(144,120))</f>
        <v>4499762.51732228</v>
      </c>
      <c r="N64" s="48" t="n">
        <f aca="false">INDEX(Calculo!$F$269:$ES$269,1,MIN(144,132))</f>
        <v>4499762.51732228</v>
      </c>
      <c r="O64" s="48" t="n">
        <f aca="false">INDEX(Calculo!$F$269:$ES$269,1,MIN(144,144))</f>
        <v>4499762.51732228</v>
      </c>
    </row>
    <row r="65" customFormat="false" ht="15" hidden="false" customHeight="false" outlineLevel="0" collapsed="false">
      <c r="A65" s="11" t="s">
        <v>1568</v>
      </c>
      <c r="B65" s="15" t="s">
        <v>1569</v>
      </c>
      <c r="C65" s="54" t="n">
        <f aca="false">MAX(D65:O65)</f>
        <v>373700.713193166</v>
      </c>
      <c r="D65" s="48" t="n">
        <f aca="false">_xlfn.MAXIFS(Calculo!$F$312:$ES$312,Calculo!$F$6:$ES$6,1)</f>
        <v>0</v>
      </c>
      <c r="E65" s="48" t="n">
        <f aca="false">_xlfn.MAXIFS(Calculo!$F$312:$ES$312,Calculo!$F$6:$ES$6,2)</f>
        <v>0</v>
      </c>
      <c r="F65" s="48" t="n">
        <f aca="false">_xlfn.MAXIFS(Calculo!$F$312:$ES$312,Calculo!$F$6:$ES$6,3)</f>
        <v>373700.713193166</v>
      </c>
      <c r="G65" s="48" t="n">
        <f aca="false">_xlfn.MAXIFS(Calculo!$F$312:$ES$312,Calculo!$F$6:$ES$6,4)</f>
        <v>275779.326421707</v>
      </c>
      <c r="H65" s="48" t="n">
        <f aca="false">_xlfn.MAXIFS(Calculo!$F$312:$ES$312,Calculo!$F$6:$ES$6,5)</f>
        <v>0</v>
      </c>
      <c r="I65" s="48" t="n">
        <f aca="false">_xlfn.MAXIFS(Calculo!$F$312:$ES$312,Calculo!$F$6:$ES$6,6)</f>
        <v>0</v>
      </c>
      <c r="J65" s="48" t="n">
        <f aca="false">_xlfn.MAXIFS(Calculo!$F$312:$ES$312,Calculo!$F$6:$ES$6,7)</f>
        <v>0</v>
      </c>
      <c r="K65" s="48" t="n">
        <f aca="false">_xlfn.MAXIFS(Calculo!$F$312:$ES$312,Calculo!$F$6:$ES$6,8)</f>
        <v>0</v>
      </c>
      <c r="L65" s="48" t="n">
        <f aca="false">_xlfn.MAXIFS(Calculo!$F$312:$ES$312,Calculo!$F$6:$ES$6,9)</f>
        <v>0</v>
      </c>
      <c r="M65" s="48" t="n">
        <f aca="false">_xlfn.MAXIFS(Calculo!$F$312:$ES$312,Calculo!$F$6:$ES$6,10)</f>
        <v>0</v>
      </c>
      <c r="N65" s="48" t="n">
        <f aca="false">_xlfn.MAXIFS(Calculo!$F$312:$ES$312,Calculo!$F$6:$ES$6,11)</f>
        <v>0</v>
      </c>
      <c r="O65" s="48" t="n">
        <f aca="false">_xlfn.MAXIFS(Calculo!$F$312:$ES$312,Calculo!$F$6:$ES$6,12)</f>
        <v>0</v>
      </c>
    </row>
    <row r="66" customFormat="false" ht="15" hidden="false" customHeight="false" outlineLevel="0" collapsed="false">
      <c r="A66" s="11" t="s">
        <v>1570</v>
      </c>
      <c r="B66" s="15" t="s">
        <v>1476</v>
      </c>
      <c r="D66" s="49" t="n">
        <f aca="false">IF(D38=0,"",D48/D38)</f>
        <v>0.105148454784964</v>
      </c>
      <c r="E66" s="49" t="n">
        <f aca="false">IF(E38=0,"",E48/E38)</f>
        <v>0.156273350793952</v>
      </c>
      <c r="F66" s="49" t="n">
        <f aca="false">IF(F38=0,"",F48/F38)</f>
        <v>0.186378338081357</v>
      </c>
      <c r="G66" s="49" t="n">
        <f aca="false">IF(G38=0,"",G48/G38)</f>
        <v>0.20709641547188</v>
      </c>
      <c r="H66" s="49" t="n">
        <f aca="false">IF(H38=0,"",H48/H38)</f>
        <v>0.206851073698555</v>
      </c>
      <c r="I66" s="49" t="n">
        <f aca="false">IF(I38=0,"",I48/I38)</f>
        <v>0.210338849310748</v>
      </c>
      <c r="J66" s="49" t="n">
        <f aca="false">IF(J38=0,"",J48/J38)</f>
        <v>0.213775237593333</v>
      </c>
      <c r="K66" s="49" t="n">
        <f aca="false">IF(K38=0,"",K48/K38)</f>
        <v>0.217160421043054</v>
      </c>
      <c r="L66" s="49" t="n">
        <f aca="false">IF(L38=0,"",L48/L38)</f>
        <v>0.22049457396257</v>
      </c>
      <c r="M66" s="49" t="n">
        <f aca="false">IF(M38=0,"",M48/M38)</f>
        <v>0.22377786241584</v>
      </c>
      <c r="N66" s="49" t="str">
        <f aca="false">IF(N38=0,"",N48/N38)</f>
        <v/>
      </c>
      <c r="O66" s="49" t="str">
        <f aca="false">IF(O38=0,"",O48/O38)</f>
        <v/>
      </c>
    </row>
    <row r="67" customFormat="false" ht="15" hidden="false" customHeight="false" outlineLevel="0" collapsed="false">
      <c r="A67" s="11" t="s">
        <v>1571</v>
      </c>
      <c r="B67" s="15" t="s">
        <v>1572</v>
      </c>
      <c r="D67" s="48" t="n">
        <f aca="false">D50+D59</f>
        <v>528628.284789129</v>
      </c>
      <c r="E67" s="48" t="n">
        <f aca="false">E50+E59</f>
        <v>777292.865874567</v>
      </c>
      <c r="F67" s="48" t="n">
        <f aca="false">F50+F59</f>
        <v>772123.931221814</v>
      </c>
      <c r="G67" s="48" t="n">
        <f aca="false">G50+G59</f>
        <v>766470.114845022</v>
      </c>
      <c r="H67" s="48" t="n">
        <f aca="false">H50+H59</f>
        <v>760285.931493923</v>
      </c>
      <c r="I67" s="48" t="n">
        <f aca="false">I50+I59</f>
        <v>0</v>
      </c>
      <c r="J67" s="48" t="n">
        <f aca="false">J50+J59</f>
        <v>0</v>
      </c>
      <c r="K67" s="48" t="n">
        <f aca="false">K50+K59</f>
        <v>0</v>
      </c>
      <c r="L67" s="48" t="n">
        <f aca="false">L50+L59</f>
        <v>0</v>
      </c>
      <c r="M67" s="48" t="n">
        <f aca="false">M50+M59</f>
        <v>0</v>
      </c>
      <c r="N67" s="48" t="n">
        <f aca="false">N50+N59</f>
        <v>0</v>
      </c>
      <c r="O67" s="48" t="n">
        <f aca="false">O50+O59</f>
        <v>0</v>
      </c>
    </row>
    <row r="68" customFormat="false" ht="15" hidden="false" customHeight="false" outlineLevel="0" collapsed="false">
      <c r="A68" s="11" t="s">
        <v>1573</v>
      </c>
      <c r="B68" s="15" t="s">
        <v>1574</v>
      </c>
      <c r="D68" s="82" t="n">
        <f aca="false">IF(D67&gt;1,D53/D67,"")</f>
        <v>-3.5527684304693</v>
      </c>
      <c r="E68" s="82" t="n">
        <f aca="false">IF(E67&gt;1,E53/E67,"")</f>
        <v>0.399863944695061</v>
      </c>
      <c r="F68" s="82" t="n">
        <f aca="false">IF(F67&gt;1,F53/F67,"")</f>
        <v>0.95540807624204</v>
      </c>
      <c r="G68" s="82" t="n">
        <f aca="false">IF(G67&gt;1,G53/G67,"")</f>
        <v>1.6176937164415</v>
      </c>
      <c r="H68" s="82" t="n">
        <f aca="false">IF(H67&gt;1,H53/H67,"")</f>
        <v>2.33655307460444</v>
      </c>
      <c r="I68" s="82" t="str">
        <f aca="false">IF(I67&gt;1,I53/I67,"")</f>
        <v/>
      </c>
      <c r="J68" s="82" t="str">
        <f aca="false">IF(J67&gt;1,J53/J67,"")</f>
        <v/>
      </c>
      <c r="K68" s="82" t="str">
        <f aca="false">IF(K67&gt;1,K53/K67,"")</f>
        <v/>
      </c>
      <c r="L68" s="82" t="str">
        <f aca="false">IF(L67&gt;1,L53/L67,"")</f>
        <v/>
      </c>
      <c r="M68" s="82" t="str">
        <f aca="false">IF(M67&gt;1,M53/M67,"")</f>
        <v/>
      </c>
      <c r="N68" s="82" t="str">
        <f aca="false">IF(N67&gt;1,N53/N67,"")</f>
        <v/>
      </c>
      <c r="O68" s="82" t="str">
        <f aca="false">IF(O67&gt;1,O53/O67,"")</f>
        <v/>
      </c>
    </row>
    <row r="69" customFormat="false" ht="15" hidden="false" customHeight="false" outlineLevel="0" collapsed="false">
      <c r="A69" s="11" t="s">
        <v>1575</v>
      </c>
      <c r="B69" s="15" t="s">
        <v>1576</v>
      </c>
      <c r="D69" s="34" t="n">
        <f aca="false">1</f>
        <v>1</v>
      </c>
      <c r="E69" s="34" t="n">
        <f aca="false">2</f>
        <v>2</v>
      </c>
      <c r="F69" s="34" t="n">
        <f aca="false">3</f>
        <v>3</v>
      </c>
      <c r="G69" s="34" t="n">
        <f aca="false">4</f>
        <v>4</v>
      </c>
      <c r="H69" s="34" t="n">
        <f aca="false">5</f>
        <v>5</v>
      </c>
      <c r="I69" s="34" t="n">
        <f aca="false">6</f>
        <v>6</v>
      </c>
      <c r="J69" s="34" t="n">
        <f aca="false">7</f>
        <v>7</v>
      </c>
      <c r="K69" s="34" t="n">
        <f aca="false">8</f>
        <v>8</v>
      </c>
      <c r="L69" s="34" t="n">
        <f aca="false">9</f>
        <v>9</v>
      </c>
      <c r="M69" s="34" t="n">
        <f aca="false">10</f>
        <v>10</v>
      </c>
      <c r="N69" s="34" t="n">
        <f aca="false">11</f>
        <v>11</v>
      </c>
      <c r="O69" s="34" t="n">
        <f aca="false">12</f>
        <v>12</v>
      </c>
    </row>
    <row r="70" customFormat="false" ht="15" hidden="false" customHeight="false" outlineLevel="0" collapsed="false">
      <c r="B70" s="20" t="s">
        <v>289</v>
      </c>
    </row>
    <row r="71" customFormat="false" ht="15" hidden="false" customHeight="false" outlineLevel="0" collapsed="false">
      <c r="A71" s="11" t="s">
        <v>1577</v>
      </c>
      <c r="B71" s="15" t="str">
        <f aca="false">IF(INDEX(Prod_Nombre,1)="","Producto 1",INDEX(Prod_Nombre,1))</f>
        <v>Gabinetes metálicos 153 kg</v>
      </c>
      <c r="C71" s="54" t="n">
        <f aca="false">SUM(D71:O71)</f>
        <v>192000</v>
      </c>
      <c r="D71" s="48" t="n">
        <f aca="false">SUMIFS(Calculo!$F$177:$ES$177,Calculo!$F$6:$ES$6,1)</f>
        <v>12000</v>
      </c>
      <c r="E71" s="48" t="n">
        <f aca="false">SUMIFS(Calculo!$F$177:$ES$177,Calculo!$F$6:$ES$6,2)</f>
        <v>15000</v>
      </c>
      <c r="F71" s="48" t="n">
        <f aca="false">SUMIFS(Calculo!$F$177:$ES$177,Calculo!$F$6:$ES$6,3)</f>
        <v>18000</v>
      </c>
      <c r="G71" s="48" t="n">
        <f aca="false">SUMIFS(Calculo!$F$177:$ES$177,Calculo!$F$6:$ES$6,4)</f>
        <v>21000</v>
      </c>
      <c r="H71" s="48" t="n">
        <f aca="false">SUMIFS(Calculo!$F$177:$ES$177,Calculo!$F$6:$ES$6,5)</f>
        <v>21000</v>
      </c>
      <c r="I71" s="48" t="n">
        <f aca="false">SUMIFS(Calculo!$F$177:$ES$177,Calculo!$F$6:$ES$6,6)</f>
        <v>21000</v>
      </c>
      <c r="J71" s="48" t="n">
        <f aca="false">SUMIFS(Calculo!$F$177:$ES$177,Calculo!$F$6:$ES$6,7)</f>
        <v>21000</v>
      </c>
      <c r="K71" s="48" t="n">
        <f aca="false">SUMIFS(Calculo!$F$177:$ES$177,Calculo!$F$6:$ES$6,8)</f>
        <v>21000</v>
      </c>
      <c r="L71" s="48" t="n">
        <f aca="false">SUMIFS(Calculo!$F$177:$ES$177,Calculo!$F$6:$ES$6,9)</f>
        <v>21000</v>
      </c>
      <c r="M71" s="48" t="n">
        <f aca="false">SUMIFS(Calculo!$F$177:$ES$177,Calculo!$F$6:$ES$6,10)</f>
        <v>21000</v>
      </c>
      <c r="N71" s="48" t="n">
        <f aca="false">SUMIFS(Calculo!$F$177:$ES$177,Calculo!$F$6:$ES$6,11)</f>
        <v>0</v>
      </c>
      <c r="O71" s="48" t="n">
        <f aca="false">SUMIFS(Calculo!$F$177:$ES$177,Calculo!$F$6:$ES$6,12)</f>
        <v>0</v>
      </c>
    </row>
    <row r="72" customFormat="false" ht="15" hidden="false" customHeight="false" outlineLevel="0" collapsed="false">
      <c r="A72" s="11" t="s">
        <v>1578</v>
      </c>
      <c r="B72" s="15" t="str">
        <f aca="false">IF(INDEX(Prod_Nombre,2)="","Producto 2",INDEX(Prod_Nombre,2))</f>
        <v>Cajas metálicas 13 kg</v>
      </c>
      <c r="C72" s="54" t="n">
        <f aca="false">SUM(D72:O72)</f>
        <v>1110000</v>
      </c>
      <c r="D72" s="48" t="n">
        <f aca="false">SUMIFS(Calculo!$F$178:$ES$178,Calculo!$F$6:$ES$6,1)</f>
        <v>70000</v>
      </c>
      <c r="E72" s="48" t="n">
        <f aca="false">SUMIFS(Calculo!$F$178:$ES$178,Calculo!$F$6:$ES$6,2)</f>
        <v>90000</v>
      </c>
      <c r="F72" s="48" t="n">
        <f aca="false">SUMIFS(Calculo!$F$178:$ES$178,Calculo!$F$6:$ES$6,3)</f>
        <v>110000</v>
      </c>
      <c r="G72" s="48" t="n">
        <f aca="false">SUMIFS(Calculo!$F$178:$ES$178,Calculo!$F$6:$ES$6,4)</f>
        <v>120000</v>
      </c>
      <c r="H72" s="48" t="n">
        <f aca="false">SUMIFS(Calculo!$F$178:$ES$178,Calculo!$F$6:$ES$6,5)</f>
        <v>120000</v>
      </c>
      <c r="I72" s="48" t="n">
        <f aca="false">SUMIFS(Calculo!$F$178:$ES$178,Calculo!$F$6:$ES$6,6)</f>
        <v>120000</v>
      </c>
      <c r="J72" s="48" t="n">
        <f aca="false">SUMIFS(Calculo!$F$178:$ES$178,Calculo!$F$6:$ES$6,7)</f>
        <v>120000</v>
      </c>
      <c r="K72" s="48" t="n">
        <f aca="false">SUMIFS(Calculo!$F$178:$ES$178,Calculo!$F$6:$ES$6,8)</f>
        <v>120000</v>
      </c>
      <c r="L72" s="48" t="n">
        <f aca="false">SUMIFS(Calculo!$F$178:$ES$178,Calculo!$F$6:$ES$6,9)</f>
        <v>120000</v>
      </c>
      <c r="M72" s="48" t="n">
        <f aca="false">SUMIFS(Calculo!$F$178:$ES$178,Calculo!$F$6:$ES$6,10)</f>
        <v>120000</v>
      </c>
      <c r="N72" s="48" t="n">
        <f aca="false">SUMIFS(Calculo!$F$178:$ES$178,Calculo!$F$6:$ES$6,11)</f>
        <v>0</v>
      </c>
      <c r="O72" s="48" t="n">
        <f aca="false">SUMIFS(Calculo!$F$178:$ES$178,Calculo!$F$6:$ES$6,12)</f>
        <v>0</v>
      </c>
    </row>
    <row r="73" customFormat="false" ht="15" hidden="false" customHeight="false" outlineLevel="0" collapsed="false">
      <c r="A73" s="11" t="s">
        <v>1579</v>
      </c>
      <c r="B73" s="15" t="str">
        <f aca="false">IF(INDEX(Prod_Nombre,3)="","Producto 3",INDEX(Prod_Nombre,3))</f>
        <v>Producto 3</v>
      </c>
      <c r="C73" s="54" t="n">
        <f aca="false">SUM(D73:O73)</f>
        <v>0</v>
      </c>
      <c r="D73" s="48" t="n">
        <f aca="false">SUMIFS(Calculo!$F$179:$ES$179,Calculo!$F$6:$ES$6,1)</f>
        <v>0</v>
      </c>
      <c r="E73" s="48" t="n">
        <f aca="false">SUMIFS(Calculo!$F$179:$ES$179,Calculo!$F$6:$ES$6,2)</f>
        <v>0</v>
      </c>
      <c r="F73" s="48" t="n">
        <f aca="false">SUMIFS(Calculo!$F$179:$ES$179,Calculo!$F$6:$ES$6,3)</f>
        <v>0</v>
      </c>
      <c r="G73" s="48" t="n">
        <f aca="false">SUMIFS(Calculo!$F$179:$ES$179,Calculo!$F$6:$ES$6,4)</f>
        <v>0</v>
      </c>
      <c r="H73" s="48" t="n">
        <f aca="false">SUMIFS(Calculo!$F$179:$ES$179,Calculo!$F$6:$ES$6,5)</f>
        <v>0</v>
      </c>
      <c r="I73" s="48" t="n">
        <f aca="false">SUMIFS(Calculo!$F$179:$ES$179,Calculo!$F$6:$ES$6,6)</f>
        <v>0</v>
      </c>
      <c r="J73" s="48" t="n">
        <f aca="false">SUMIFS(Calculo!$F$179:$ES$179,Calculo!$F$6:$ES$6,7)</f>
        <v>0</v>
      </c>
      <c r="K73" s="48" t="n">
        <f aca="false">SUMIFS(Calculo!$F$179:$ES$179,Calculo!$F$6:$ES$6,8)</f>
        <v>0</v>
      </c>
      <c r="L73" s="48" t="n">
        <f aca="false">SUMIFS(Calculo!$F$179:$ES$179,Calculo!$F$6:$ES$6,9)</f>
        <v>0</v>
      </c>
      <c r="M73" s="48" t="n">
        <f aca="false">SUMIFS(Calculo!$F$179:$ES$179,Calculo!$F$6:$ES$6,10)</f>
        <v>0</v>
      </c>
      <c r="N73" s="48" t="n">
        <f aca="false">SUMIFS(Calculo!$F$179:$ES$179,Calculo!$F$6:$ES$6,11)</f>
        <v>0</v>
      </c>
      <c r="O73" s="48" t="n">
        <f aca="false">SUMIFS(Calculo!$F$179:$ES$179,Calculo!$F$6:$ES$6,12)</f>
        <v>0</v>
      </c>
    </row>
    <row r="74" customFormat="false" ht="15" hidden="false" customHeight="false" outlineLevel="0" collapsed="false">
      <c r="A74" s="11" t="s">
        <v>1580</v>
      </c>
      <c r="B74" s="15" t="str">
        <f aca="false">IF(INDEX(Prod_Nombre,4)="","Producto 4",INDEX(Prod_Nombre,4))</f>
        <v>Producto 4</v>
      </c>
      <c r="C74" s="54" t="n">
        <f aca="false">SUM(D74:O74)</f>
        <v>0</v>
      </c>
      <c r="D74" s="48" t="n">
        <f aca="false">SUMIFS(Calculo!$F$180:$ES$180,Calculo!$F$6:$ES$6,1)</f>
        <v>0</v>
      </c>
      <c r="E74" s="48" t="n">
        <f aca="false">SUMIFS(Calculo!$F$180:$ES$180,Calculo!$F$6:$ES$6,2)</f>
        <v>0</v>
      </c>
      <c r="F74" s="48" t="n">
        <f aca="false">SUMIFS(Calculo!$F$180:$ES$180,Calculo!$F$6:$ES$6,3)</f>
        <v>0</v>
      </c>
      <c r="G74" s="48" t="n">
        <f aca="false">SUMIFS(Calculo!$F$180:$ES$180,Calculo!$F$6:$ES$6,4)</f>
        <v>0</v>
      </c>
      <c r="H74" s="48" t="n">
        <f aca="false">SUMIFS(Calculo!$F$180:$ES$180,Calculo!$F$6:$ES$6,5)</f>
        <v>0</v>
      </c>
      <c r="I74" s="48" t="n">
        <f aca="false">SUMIFS(Calculo!$F$180:$ES$180,Calculo!$F$6:$ES$6,6)</f>
        <v>0</v>
      </c>
      <c r="J74" s="48" t="n">
        <f aca="false">SUMIFS(Calculo!$F$180:$ES$180,Calculo!$F$6:$ES$6,7)</f>
        <v>0</v>
      </c>
      <c r="K74" s="48" t="n">
        <f aca="false">SUMIFS(Calculo!$F$180:$ES$180,Calculo!$F$6:$ES$6,8)</f>
        <v>0</v>
      </c>
      <c r="L74" s="48" t="n">
        <f aca="false">SUMIFS(Calculo!$F$180:$ES$180,Calculo!$F$6:$ES$6,9)</f>
        <v>0</v>
      </c>
      <c r="M74" s="48" t="n">
        <f aca="false">SUMIFS(Calculo!$F$180:$ES$180,Calculo!$F$6:$ES$6,10)</f>
        <v>0</v>
      </c>
      <c r="N74" s="48" t="n">
        <f aca="false">SUMIFS(Calculo!$F$180:$ES$180,Calculo!$F$6:$ES$6,11)</f>
        <v>0</v>
      </c>
      <c r="O74" s="48" t="n">
        <f aca="false">SUMIFS(Calculo!$F$180:$ES$180,Calculo!$F$6:$ES$6,12)</f>
        <v>0</v>
      </c>
    </row>
    <row r="75" customFormat="false" ht="15" hidden="false" customHeight="false" outlineLevel="0" collapsed="false">
      <c r="A75" s="11" t="s">
        <v>1581</v>
      </c>
      <c r="B75" s="15" t="str">
        <f aca="false">IF(INDEX(Prod_Nombre,5)="","Producto 5",INDEX(Prod_Nombre,5))</f>
        <v>Producto 5</v>
      </c>
      <c r="C75" s="54" t="n">
        <f aca="false">SUM(D75:O75)</f>
        <v>0</v>
      </c>
      <c r="D75" s="48" t="n">
        <f aca="false">SUMIFS(Calculo!$F$181:$ES$181,Calculo!$F$6:$ES$6,1)</f>
        <v>0</v>
      </c>
      <c r="E75" s="48" t="n">
        <f aca="false">SUMIFS(Calculo!$F$181:$ES$181,Calculo!$F$6:$ES$6,2)</f>
        <v>0</v>
      </c>
      <c r="F75" s="48" t="n">
        <f aca="false">SUMIFS(Calculo!$F$181:$ES$181,Calculo!$F$6:$ES$6,3)</f>
        <v>0</v>
      </c>
      <c r="G75" s="48" t="n">
        <f aca="false">SUMIFS(Calculo!$F$181:$ES$181,Calculo!$F$6:$ES$6,4)</f>
        <v>0</v>
      </c>
      <c r="H75" s="48" t="n">
        <f aca="false">SUMIFS(Calculo!$F$181:$ES$181,Calculo!$F$6:$ES$6,5)</f>
        <v>0</v>
      </c>
      <c r="I75" s="48" t="n">
        <f aca="false">SUMIFS(Calculo!$F$181:$ES$181,Calculo!$F$6:$ES$6,6)</f>
        <v>0</v>
      </c>
      <c r="J75" s="48" t="n">
        <f aca="false">SUMIFS(Calculo!$F$181:$ES$181,Calculo!$F$6:$ES$6,7)</f>
        <v>0</v>
      </c>
      <c r="K75" s="48" t="n">
        <f aca="false">SUMIFS(Calculo!$F$181:$ES$181,Calculo!$F$6:$ES$6,8)</f>
        <v>0</v>
      </c>
      <c r="L75" s="48" t="n">
        <f aca="false">SUMIFS(Calculo!$F$181:$ES$181,Calculo!$F$6:$ES$6,9)</f>
        <v>0</v>
      </c>
      <c r="M75" s="48" t="n">
        <f aca="false">SUMIFS(Calculo!$F$181:$ES$181,Calculo!$F$6:$ES$6,10)</f>
        <v>0</v>
      </c>
      <c r="N75" s="48" t="n">
        <f aca="false">SUMIFS(Calculo!$F$181:$ES$181,Calculo!$F$6:$ES$6,11)</f>
        <v>0</v>
      </c>
      <c r="O75" s="48" t="n">
        <f aca="false">SUMIFS(Calculo!$F$181:$ES$181,Calculo!$F$6:$ES$6,12)</f>
        <v>0</v>
      </c>
    </row>
    <row r="76" customFormat="false" ht="15" hidden="false" customHeight="false" outlineLevel="0" collapsed="false">
      <c r="A76" s="11" t="s">
        <v>1582</v>
      </c>
      <c r="B76" s="15" t="str">
        <f aca="false">IF(INDEX(Prod_Nombre,6)="","Producto 6",INDEX(Prod_Nombre,6))</f>
        <v>Producto 6</v>
      </c>
      <c r="C76" s="54" t="n">
        <f aca="false">SUM(D76:O76)</f>
        <v>0</v>
      </c>
      <c r="D76" s="48" t="n">
        <f aca="false">SUMIFS(Calculo!$F$182:$ES$182,Calculo!$F$6:$ES$6,1)</f>
        <v>0</v>
      </c>
      <c r="E76" s="48" t="n">
        <f aca="false">SUMIFS(Calculo!$F$182:$ES$182,Calculo!$F$6:$ES$6,2)</f>
        <v>0</v>
      </c>
      <c r="F76" s="48" t="n">
        <f aca="false">SUMIFS(Calculo!$F$182:$ES$182,Calculo!$F$6:$ES$6,3)</f>
        <v>0</v>
      </c>
      <c r="G76" s="48" t="n">
        <f aca="false">SUMIFS(Calculo!$F$182:$ES$182,Calculo!$F$6:$ES$6,4)</f>
        <v>0</v>
      </c>
      <c r="H76" s="48" t="n">
        <f aca="false">SUMIFS(Calculo!$F$182:$ES$182,Calculo!$F$6:$ES$6,5)</f>
        <v>0</v>
      </c>
      <c r="I76" s="48" t="n">
        <f aca="false">SUMIFS(Calculo!$F$182:$ES$182,Calculo!$F$6:$ES$6,6)</f>
        <v>0</v>
      </c>
      <c r="J76" s="48" t="n">
        <f aca="false">SUMIFS(Calculo!$F$182:$ES$182,Calculo!$F$6:$ES$6,7)</f>
        <v>0</v>
      </c>
      <c r="K76" s="48" t="n">
        <f aca="false">SUMIFS(Calculo!$F$182:$ES$182,Calculo!$F$6:$ES$6,8)</f>
        <v>0</v>
      </c>
      <c r="L76" s="48" t="n">
        <f aca="false">SUMIFS(Calculo!$F$182:$ES$182,Calculo!$F$6:$ES$6,9)</f>
        <v>0</v>
      </c>
      <c r="M76" s="48" t="n">
        <f aca="false">SUMIFS(Calculo!$F$182:$ES$182,Calculo!$F$6:$ES$6,10)</f>
        <v>0</v>
      </c>
      <c r="N76" s="48" t="n">
        <f aca="false">SUMIFS(Calculo!$F$182:$ES$182,Calculo!$F$6:$ES$6,11)</f>
        <v>0</v>
      </c>
      <c r="O76" s="48" t="n">
        <f aca="false">SUMIFS(Calculo!$F$182:$ES$182,Calculo!$F$6:$ES$6,12)</f>
        <v>0</v>
      </c>
    </row>
    <row r="77" customFormat="false" ht="15" hidden="false" customHeight="false" outlineLevel="0" collapsed="false">
      <c r="A77" s="11" t="s">
        <v>1583</v>
      </c>
      <c r="B77" s="15" t="str">
        <f aca="false">IF(INDEX(Prod_Nombre,7)="","Producto 7",INDEX(Prod_Nombre,7))</f>
        <v>Producto 7</v>
      </c>
      <c r="C77" s="54" t="n">
        <f aca="false">SUM(D77:O77)</f>
        <v>0</v>
      </c>
      <c r="D77" s="48" t="n">
        <f aca="false">SUMIFS(Calculo!$F$183:$ES$183,Calculo!$F$6:$ES$6,1)</f>
        <v>0</v>
      </c>
      <c r="E77" s="48" t="n">
        <f aca="false">SUMIFS(Calculo!$F$183:$ES$183,Calculo!$F$6:$ES$6,2)</f>
        <v>0</v>
      </c>
      <c r="F77" s="48" t="n">
        <f aca="false">SUMIFS(Calculo!$F$183:$ES$183,Calculo!$F$6:$ES$6,3)</f>
        <v>0</v>
      </c>
      <c r="G77" s="48" t="n">
        <f aca="false">SUMIFS(Calculo!$F$183:$ES$183,Calculo!$F$6:$ES$6,4)</f>
        <v>0</v>
      </c>
      <c r="H77" s="48" t="n">
        <f aca="false">SUMIFS(Calculo!$F$183:$ES$183,Calculo!$F$6:$ES$6,5)</f>
        <v>0</v>
      </c>
      <c r="I77" s="48" t="n">
        <f aca="false">SUMIFS(Calculo!$F$183:$ES$183,Calculo!$F$6:$ES$6,6)</f>
        <v>0</v>
      </c>
      <c r="J77" s="48" t="n">
        <f aca="false">SUMIFS(Calculo!$F$183:$ES$183,Calculo!$F$6:$ES$6,7)</f>
        <v>0</v>
      </c>
      <c r="K77" s="48" t="n">
        <f aca="false">SUMIFS(Calculo!$F$183:$ES$183,Calculo!$F$6:$ES$6,8)</f>
        <v>0</v>
      </c>
      <c r="L77" s="48" t="n">
        <f aca="false">SUMIFS(Calculo!$F$183:$ES$183,Calculo!$F$6:$ES$6,9)</f>
        <v>0</v>
      </c>
      <c r="M77" s="48" t="n">
        <f aca="false">SUMIFS(Calculo!$F$183:$ES$183,Calculo!$F$6:$ES$6,10)</f>
        <v>0</v>
      </c>
      <c r="N77" s="48" t="n">
        <f aca="false">SUMIFS(Calculo!$F$183:$ES$183,Calculo!$F$6:$ES$6,11)</f>
        <v>0</v>
      </c>
      <c r="O77" s="48" t="n">
        <f aca="false">SUMIFS(Calculo!$F$183:$ES$183,Calculo!$F$6:$ES$6,12)</f>
        <v>0</v>
      </c>
    </row>
    <row r="78" customFormat="false" ht="15" hidden="false" customHeight="false" outlineLevel="0" collapsed="false">
      <c r="A78" s="11" t="s">
        <v>1584</v>
      </c>
      <c r="B78" s="15" t="str">
        <f aca="false">IF(INDEX(Prod_Nombre,8)="","Producto 8",INDEX(Prod_Nombre,8))</f>
        <v>Producto 8</v>
      </c>
      <c r="C78" s="54" t="n">
        <f aca="false">SUM(D78:O78)</f>
        <v>0</v>
      </c>
      <c r="D78" s="48" t="n">
        <f aca="false">SUMIFS(Calculo!$F$184:$ES$184,Calculo!$F$6:$ES$6,1)</f>
        <v>0</v>
      </c>
      <c r="E78" s="48" t="n">
        <f aca="false">SUMIFS(Calculo!$F$184:$ES$184,Calculo!$F$6:$ES$6,2)</f>
        <v>0</v>
      </c>
      <c r="F78" s="48" t="n">
        <f aca="false">SUMIFS(Calculo!$F$184:$ES$184,Calculo!$F$6:$ES$6,3)</f>
        <v>0</v>
      </c>
      <c r="G78" s="48" t="n">
        <f aca="false">SUMIFS(Calculo!$F$184:$ES$184,Calculo!$F$6:$ES$6,4)</f>
        <v>0</v>
      </c>
      <c r="H78" s="48" t="n">
        <f aca="false">SUMIFS(Calculo!$F$184:$ES$184,Calculo!$F$6:$ES$6,5)</f>
        <v>0</v>
      </c>
      <c r="I78" s="48" t="n">
        <f aca="false">SUMIFS(Calculo!$F$184:$ES$184,Calculo!$F$6:$ES$6,6)</f>
        <v>0</v>
      </c>
      <c r="J78" s="48" t="n">
        <f aca="false">SUMIFS(Calculo!$F$184:$ES$184,Calculo!$F$6:$ES$6,7)</f>
        <v>0</v>
      </c>
      <c r="K78" s="48" t="n">
        <f aca="false">SUMIFS(Calculo!$F$184:$ES$184,Calculo!$F$6:$ES$6,8)</f>
        <v>0</v>
      </c>
      <c r="L78" s="48" t="n">
        <f aca="false">SUMIFS(Calculo!$F$184:$ES$184,Calculo!$F$6:$ES$6,9)</f>
        <v>0</v>
      </c>
      <c r="M78" s="48" t="n">
        <f aca="false">SUMIFS(Calculo!$F$184:$ES$184,Calculo!$F$6:$ES$6,10)</f>
        <v>0</v>
      </c>
      <c r="N78" s="48" t="n">
        <f aca="false">SUMIFS(Calculo!$F$184:$ES$184,Calculo!$F$6:$ES$6,11)</f>
        <v>0</v>
      </c>
      <c r="O78" s="48" t="n">
        <f aca="false">SUMIFS(Calculo!$F$184:$ES$184,Calculo!$F$6:$ES$6,12)</f>
        <v>0</v>
      </c>
    </row>
    <row r="79" customFormat="false" ht="15" hidden="false" customHeight="false" outlineLevel="0" collapsed="false">
      <c r="A79" s="11" t="s">
        <v>1585</v>
      </c>
      <c r="B79" s="15" t="str">
        <f aca="false">IF(INDEX(Prod_Nombre,9)="","Producto 9",INDEX(Prod_Nombre,9))</f>
        <v>Producto 9</v>
      </c>
      <c r="C79" s="54" t="n">
        <f aca="false">SUM(D79:O79)</f>
        <v>0</v>
      </c>
      <c r="D79" s="48" t="n">
        <f aca="false">SUMIFS(Calculo!$F$185:$ES$185,Calculo!$F$6:$ES$6,1)</f>
        <v>0</v>
      </c>
      <c r="E79" s="48" t="n">
        <f aca="false">SUMIFS(Calculo!$F$185:$ES$185,Calculo!$F$6:$ES$6,2)</f>
        <v>0</v>
      </c>
      <c r="F79" s="48" t="n">
        <f aca="false">SUMIFS(Calculo!$F$185:$ES$185,Calculo!$F$6:$ES$6,3)</f>
        <v>0</v>
      </c>
      <c r="G79" s="48" t="n">
        <f aca="false">SUMIFS(Calculo!$F$185:$ES$185,Calculo!$F$6:$ES$6,4)</f>
        <v>0</v>
      </c>
      <c r="H79" s="48" t="n">
        <f aca="false">SUMIFS(Calculo!$F$185:$ES$185,Calculo!$F$6:$ES$6,5)</f>
        <v>0</v>
      </c>
      <c r="I79" s="48" t="n">
        <f aca="false">SUMIFS(Calculo!$F$185:$ES$185,Calculo!$F$6:$ES$6,6)</f>
        <v>0</v>
      </c>
      <c r="J79" s="48" t="n">
        <f aca="false">SUMIFS(Calculo!$F$185:$ES$185,Calculo!$F$6:$ES$6,7)</f>
        <v>0</v>
      </c>
      <c r="K79" s="48" t="n">
        <f aca="false">SUMIFS(Calculo!$F$185:$ES$185,Calculo!$F$6:$ES$6,8)</f>
        <v>0</v>
      </c>
      <c r="L79" s="48" t="n">
        <f aca="false">SUMIFS(Calculo!$F$185:$ES$185,Calculo!$F$6:$ES$6,9)</f>
        <v>0</v>
      </c>
      <c r="M79" s="48" t="n">
        <f aca="false">SUMIFS(Calculo!$F$185:$ES$185,Calculo!$F$6:$ES$6,10)</f>
        <v>0</v>
      </c>
      <c r="N79" s="48" t="n">
        <f aca="false">SUMIFS(Calculo!$F$185:$ES$185,Calculo!$F$6:$ES$6,11)</f>
        <v>0</v>
      </c>
      <c r="O79" s="48" t="n">
        <f aca="false">SUMIFS(Calculo!$F$185:$ES$185,Calculo!$F$6:$ES$6,12)</f>
        <v>0</v>
      </c>
    </row>
    <row r="80" customFormat="false" ht="15" hidden="false" customHeight="false" outlineLevel="0" collapsed="false">
      <c r="A80" s="11" t="s">
        <v>1586</v>
      </c>
      <c r="B80" s="15" t="str">
        <f aca="false">IF(INDEX(Prod_Nombre,10)="","Producto 10",INDEX(Prod_Nombre,10))</f>
        <v>Producto 10</v>
      </c>
      <c r="C80" s="54" t="n">
        <f aca="false">SUM(D80:O80)</f>
        <v>0</v>
      </c>
      <c r="D80" s="48" t="n">
        <f aca="false">SUMIFS(Calculo!$F$186:$ES$186,Calculo!$F$6:$ES$6,1)</f>
        <v>0</v>
      </c>
      <c r="E80" s="48" t="n">
        <f aca="false">SUMIFS(Calculo!$F$186:$ES$186,Calculo!$F$6:$ES$6,2)</f>
        <v>0</v>
      </c>
      <c r="F80" s="48" t="n">
        <f aca="false">SUMIFS(Calculo!$F$186:$ES$186,Calculo!$F$6:$ES$6,3)</f>
        <v>0</v>
      </c>
      <c r="G80" s="48" t="n">
        <f aca="false">SUMIFS(Calculo!$F$186:$ES$186,Calculo!$F$6:$ES$6,4)</f>
        <v>0</v>
      </c>
      <c r="H80" s="48" t="n">
        <f aca="false">SUMIFS(Calculo!$F$186:$ES$186,Calculo!$F$6:$ES$6,5)</f>
        <v>0</v>
      </c>
      <c r="I80" s="48" t="n">
        <f aca="false">SUMIFS(Calculo!$F$186:$ES$186,Calculo!$F$6:$ES$6,6)</f>
        <v>0</v>
      </c>
      <c r="J80" s="48" t="n">
        <f aca="false">SUMIFS(Calculo!$F$186:$ES$186,Calculo!$F$6:$ES$6,7)</f>
        <v>0</v>
      </c>
      <c r="K80" s="48" t="n">
        <f aca="false">SUMIFS(Calculo!$F$186:$ES$186,Calculo!$F$6:$ES$6,8)</f>
        <v>0</v>
      </c>
      <c r="L80" s="48" t="n">
        <f aca="false">SUMIFS(Calculo!$F$186:$ES$186,Calculo!$F$6:$ES$6,9)</f>
        <v>0</v>
      </c>
      <c r="M80" s="48" t="n">
        <f aca="false">SUMIFS(Calculo!$F$186:$ES$186,Calculo!$F$6:$ES$6,10)</f>
        <v>0</v>
      </c>
      <c r="N80" s="48" t="n">
        <f aca="false">SUMIFS(Calculo!$F$186:$ES$186,Calculo!$F$6:$ES$6,11)</f>
        <v>0</v>
      </c>
      <c r="O80" s="48" t="n">
        <f aca="false">SUMIFS(Calculo!$F$186:$ES$186,Calculo!$F$6:$ES$6,12)</f>
        <v>0</v>
      </c>
    </row>
    <row r="81" customFormat="false" ht="15" hidden="false" customHeight="false" outlineLevel="0" collapsed="false">
      <c r="A81" s="11" t="s">
        <v>1587</v>
      </c>
      <c r="B81" s="15" t="str">
        <f aca="false">IF(INDEX(Prod_Nombre,11)="","Producto 11",INDEX(Prod_Nombre,11))</f>
        <v>Producto 11</v>
      </c>
      <c r="C81" s="54" t="n">
        <f aca="false">SUM(D81:O81)</f>
        <v>0</v>
      </c>
      <c r="D81" s="48" t="n">
        <f aca="false">SUMIFS(Calculo!$F$187:$ES$187,Calculo!$F$6:$ES$6,1)</f>
        <v>0</v>
      </c>
      <c r="E81" s="48" t="n">
        <f aca="false">SUMIFS(Calculo!$F$187:$ES$187,Calculo!$F$6:$ES$6,2)</f>
        <v>0</v>
      </c>
      <c r="F81" s="48" t="n">
        <f aca="false">SUMIFS(Calculo!$F$187:$ES$187,Calculo!$F$6:$ES$6,3)</f>
        <v>0</v>
      </c>
      <c r="G81" s="48" t="n">
        <f aca="false">SUMIFS(Calculo!$F$187:$ES$187,Calculo!$F$6:$ES$6,4)</f>
        <v>0</v>
      </c>
      <c r="H81" s="48" t="n">
        <f aca="false">SUMIFS(Calculo!$F$187:$ES$187,Calculo!$F$6:$ES$6,5)</f>
        <v>0</v>
      </c>
      <c r="I81" s="48" t="n">
        <f aca="false">SUMIFS(Calculo!$F$187:$ES$187,Calculo!$F$6:$ES$6,6)</f>
        <v>0</v>
      </c>
      <c r="J81" s="48" t="n">
        <f aca="false">SUMIFS(Calculo!$F$187:$ES$187,Calculo!$F$6:$ES$6,7)</f>
        <v>0</v>
      </c>
      <c r="K81" s="48" t="n">
        <f aca="false">SUMIFS(Calculo!$F$187:$ES$187,Calculo!$F$6:$ES$6,8)</f>
        <v>0</v>
      </c>
      <c r="L81" s="48" t="n">
        <f aca="false">SUMIFS(Calculo!$F$187:$ES$187,Calculo!$F$6:$ES$6,9)</f>
        <v>0</v>
      </c>
      <c r="M81" s="48" t="n">
        <f aca="false">SUMIFS(Calculo!$F$187:$ES$187,Calculo!$F$6:$ES$6,10)</f>
        <v>0</v>
      </c>
      <c r="N81" s="48" t="n">
        <f aca="false">SUMIFS(Calculo!$F$187:$ES$187,Calculo!$F$6:$ES$6,11)</f>
        <v>0</v>
      </c>
      <c r="O81" s="48" t="n">
        <f aca="false">SUMIFS(Calculo!$F$187:$ES$187,Calculo!$F$6:$ES$6,12)</f>
        <v>0</v>
      </c>
    </row>
    <row r="82" customFormat="false" ht="15" hidden="false" customHeight="false" outlineLevel="0" collapsed="false">
      <c r="A82" s="11" t="s">
        <v>1588</v>
      </c>
      <c r="B82" s="15" t="str">
        <f aca="false">IF(INDEX(Prod_Nombre,12)="","Producto 12",INDEX(Prod_Nombre,12))</f>
        <v>Producto 12</v>
      </c>
      <c r="C82" s="54" t="n">
        <f aca="false">SUM(D82:O82)</f>
        <v>0</v>
      </c>
      <c r="D82" s="48" t="n">
        <f aca="false">SUMIFS(Calculo!$F$188:$ES$188,Calculo!$F$6:$ES$6,1)</f>
        <v>0</v>
      </c>
      <c r="E82" s="48" t="n">
        <f aca="false">SUMIFS(Calculo!$F$188:$ES$188,Calculo!$F$6:$ES$6,2)</f>
        <v>0</v>
      </c>
      <c r="F82" s="48" t="n">
        <f aca="false">SUMIFS(Calculo!$F$188:$ES$188,Calculo!$F$6:$ES$6,3)</f>
        <v>0</v>
      </c>
      <c r="G82" s="48" t="n">
        <f aca="false">SUMIFS(Calculo!$F$188:$ES$188,Calculo!$F$6:$ES$6,4)</f>
        <v>0</v>
      </c>
      <c r="H82" s="48" t="n">
        <f aca="false">SUMIFS(Calculo!$F$188:$ES$188,Calculo!$F$6:$ES$6,5)</f>
        <v>0</v>
      </c>
      <c r="I82" s="48" t="n">
        <f aca="false">SUMIFS(Calculo!$F$188:$ES$188,Calculo!$F$6:$ES$6,6)</f>
        <v>0</v>
      </c>
      <c r="J82" s="48" t="n">
        <f aca="false">SUMIFS(Calculo!$F$188:$ES$188,Calculo!$F$6:$ES$6,7)</f>
        <v>0</v>
      </c>
      <c r="K82" s="48" t="n">
        <f aca="false">SUMIFS(Calculo!$F$188:$ES$188,Calculo!$F$6:$ES$6,8)</f>
        <v>0</v>
      </c>
      <c r="L82" s="48" t="n">
        <f aca="false">SUMIFS(Calculo!$F$188:$ES$188,Calculo!$F$6:$ES$6,9)</f>
        <v>0</v>
      </c>
      <c r="M82" s="48" t="n">
        <f aca="false">SUMIFS(Calculo!$F$188:$ES$188,Calculo!$F$6:$ES$6,10)</f>
        <v>0</v>
      </c>
      <c r="N82" s="48" t="n">
        <f aca="false">SUMIFS(Calculo!$F$188:$ES$188,Calculo!$F$6:$ES$6,11)</f>
        <v>0</v>
      </c>
      <c r="O82" s="48" t="n">
        <f aca="false">SUMIFS(Calculo!$F$188:$ES$188,Calculo!$F$6:$ES$6,12)</f>
        <v>0</v>
      </c>
    </row>
    <row r="83" customFormat="false" ht="15" hidden="false" customHeight="false" outlineLevel="0" collapsed="false">
      <c r="A83" s="11" t="s">
        <v>1589</v>
      </c>
      <c r="B83" s="15" t="str">
        <f aca="false">IF(INDEX(Prod_Nombre,13)="","Producto 13",INDEX(Prod_Nombre,13))</f>
        <v>Producto 13</v>
      </c>
      <c r="C83" s="54" t="n">
        <f aca="false">SUM(D83:O83)</f>
        <v>0</v>
      </c>
      <c r="D83" s="48" t="n">
        <f aca="false">SUMIFS(Calculo!$F$189:$ES$189,Calculo!$F$6:$ES$6,1)</f>
        <v>0</v>
      </c>
      <c r="E83" s="48" t="n">
        <f aca="false">SUMIFS(Calculo!$F$189:$ES$189,Calculo!$F$6:$ES$6,2)</f>
        <v>0</v>
      </c>
      <c r="F83" s="48" t="n">
        <f aca="false">SUMIFS(Calculo!$F$189:$ES$189,Calculo!$F$6:$ES$6,3)</f>
        <v>0</v>
      </c>
      <c r="G83" s="48" t="n">
        <f aca="false">SUMIFS(Calculo!$F$189:$ES$189,Calculo!$F$6:$ES$6,4)</f>
        <v>0</v>
      </c>
      <c r="H83" s="48" t="n">
        <f aca="false">SUMIFS(Calculo!$F$189:$ES$189,Calculo!$F$6:$ES$6,5)</f>
        <v>0</v>
      </c>
      <c r="I83" s="48" t="n">
        <f aca="false">SUMIFS(Calculo!$F$189:$ES$189,Calculo!$F$6:$ES$6,6)</f>
        <v>0</v>
      </c>
      <c r="J83" s="48" t="n">
        <f aca="false">SUMIFS(Calculo!$F$189:$ES$189,Calculo!$F$6:$ES$6,7)</f>
        <v>0</v>
      </c>
      <c r="K83" s="48" t="n">
        <f aca="false">SUMIFS(Calculo!$F$189:$ES$189,Calculo!$F$6:$ES$6,8)</f>
        <v>0</v>
      </c>
      <c r="L83" s="48" t="n">
        <f aca="false">SUMIFS(Calculo!$F$189:$ES$189,Calculo!$F$6:$ES$6,9)</f>
        <v>0</v>
      </c>
      <c r="M83" s="48" t="n">
        <f aca="false">SUMIFS(Calculo!$F$189:$ES$189,Calculo!$F$6:$ES$6,10)</f>
        <v>0</v>
      </c>
      <c r="N83" s="48" t="n">
        <f aca="false">SUMIFS(Calculo!$F$189:$ES$189,Calculo!$F$6:$ES$6,11)</f>
        <v>0</v>
      </c>
      <c r="O83" s="48" t="n">
        <f aca="false">SUMIFS(Calculo!$F$189:$ES$189,Calculo!$F$6:$ES$6,12)</f>
        <v>0</v>
      </c>
    </row>
    <row r="84" customFormat="false" ht="15" hidden="false" customHeight="false" outlineLevel="0" collapsed="false">
      <c r="A84" s="11" t="s">
        <v>1590</v>
      </c>
      <c r="B84" s="15" t="str">
        <f aca="false">IF(INDEX(Prod_Nombre,14)="","Producto 14",INDEX(Prod_Nombre,14))</f>
        <v>Producto 14</v>
      </c>
      <c r="C84" s="54" t="n">
        <f aca="false">SUM(D84:O84)</f>
        <v>0</v>
      </c>
      <c r="D84" s="48" t="n">
        <f aca="false">SUMIFS(Calculo!$F$190:$ES$190,Calculo!$F$6:$ES$6,1)</f>
        <v>0</v>
      </c>
      <c r="E84" s="48" t="n">
        <f aca="false">SUMIFS(Calculo!$F$190:$ES$190,Calculo!$F$6:$ES$6,2)</f>
        <v>0</v>
      </c>
      <c r="F84" s="48" t="n">
        <f aca="false">SUMIFS(Calculo!$F$190:$ES$190,Calculo!$F$6:$ES$6,3)</f>
        <v>0</v>
      </c>
      <c r="G84" s="48" t="n">
        <f aca="false">SUMIFS(Calculo!$F$190:$ES$190,Calculo!$F$6:$ES$6,4)</f>
        <v>0</v>
      </c>
      <c r="H84" s="48" t="n">
        <f aca="false">SUMIFS(Calculo!$F$190:$ES$190,Calculo!$F$6:$ES$6,5)</f>
        <v>0</v>
      </c>
      <c r="I84" s="48" t="n">
        <f aca="false">SUMIFS(Calculo!$F$190:$ES$190,Calculo!$F$6:$ES$6,6)</f>
        <v>0</v>
      </c>
      <c r="J84" s="48" t="n">
        <f aca="false">SUMIFS(Calculo!$F$190:$ES$190,Calculo!$F$6:$ES$6,7)</f>
        <v>0</v>
      </c>
      <c r="K84" s="48" t="n">
        <f aca="false">SUMIFS(Calculo!$F$190:$ES$190,Calculo!$F$6:$ES$6,8)</f>
        <v>0</v>
      </c>
      <c r="L84" s="48" t="n">
        <f aca="false">SUMIFS(Calculo!$F$190:$ES$190,Calculo!$F$6:$ES$6,9)</f>
        <v>0</v>
      </c>
      <c r="M84" s="48" t="n">
        <f aca="false">SUMIFS(Calculo!$F$190:$ES$190,Calculo!$F$6:$ES$6,10)</f>
        <v>0</v>
      </c>
      <c r="N84" s="48" t="n">
        <f aca="false">SUMIFS(Calculo!$F$190:$ES$190,Calculo!$F$6:$ES$6,11)</f>
        <v>0</v>
      </c>
      <c r="O84" s="48" t="n">
        <f aca="false">SUMIFS(Calculo!$F$190:$ES$190,Calculo!$F$6:$ES$6,12)</f>
        <v>0</v>
      </c>
    </row>
    <row r="85" customFormat="false" ht="15" hidden="false" customHeight="false" outlineLevel="0" collapsed="false">
      <c r="A85" s="11" t="s">
        <v>1591</v>
      </c>
      <c r="B85" s="15" t="str">
        <f aca="false">IF(INDEX(Prod_Nombre,15)="","Producto 15",INDEX(Prod_Nombre,15))</f>
        <v>Producto 15</v>
      </c>
      <c r="C85" s="54" t="n">
        <f aca="false">SUM(D85:O85)</f>
        <v>0</v>
      </c>
      <c r="D85" s="48" t="n">
        <f aca="false">SUMIFS(Calculo!$F$191:$ES$191,Calculo!$F$6:$ES$6,1)</f>
        <v>0</v>
      </c>
      <c r="E85" s="48" t="n">
        <f aca="false">SUMIFS(Calculo!$F$191:$ES$191,Calculo!$F$6:$ES$6,2)</f>
        <v>0</v>
      </c>
      <c r="F85" s="48" t="n">
        <f aca="false">SUMIFS(Calculo!$F$191:$ES$191,Calculo!$F$6:$ES$6,3)</f>
        <v>0</v>
      </c>
      <c r="G85" s="48" t="n">
        <f aca="false">SUMIFS(Calculo!$F$191:$ES$191,Calculo!$F$6:$ES$6,4)</f>
        <v>0</v>
      </c>
      <c r="H85" s="48" t="n">
        <f aca="false">SUMIFS(Calculo!$F$191:$ES$191,Calculo!$F$6:$ES$6,5)</f>
        <v>0</v>
      </c>
      <c r="I85" s="48" t="n">
        <f aca="false">SUMIFS(Calculo!$F$191:$ES$191,Calculo!$F$6:$ES$6,6)</f>
        <v>0</v>
      </c>
      <c r="J85" s="48" t="n">
        <f aca="false">SUMIFS(Calculo!$F$191:$ES$191,Calculo!$F$6:$ES$6,7)</f>
        <v>0</v>
      </c>
      <c r="K85" s="48" t="n">
        <f aca="false">SUMIFS(Calculo!$F$191:$ES$191,Calculo!$F$6:$ES$6,8)</f>
        <v>0</v>
      </c>
      <c r="L85" s="48" t="n">
        <f aca="false">SUMIFS(Calculo!$F$191:$ES$191,Calculo!$F$6:$ES$6,9)</f>
        <v>0</v>
      </c>
      <c r="M85" s="48" t="n">
        <f aca="false">SUMIFS(Calculo!$F$191:$ES$191,Calculo!$F$6:$ES$6,10)</f>
        <v>0</v>
      </c>
      <c r="N85" s="48" t="n">
        <f aca="false">SUMIFS(Calculo!$F$191:$ES$191,Calculo!$F$6:$ES$6,11)</f>
        <v>0</v>
      </c>
      <c r="O85" s="48" t="n">
        <f aca="false">SUMIFS(Calculo!$F$191:$ES$191,Calculo!$F$6:$ES$6,12)</f>
        <v>0</v>
      </c>
    </row>
    <row r="86" customFormat="false" ht="15" hidden="false" customHeight="false" outlineLevel="0" collapsed="false">
      <c r="A86" s="11" t="s">
        <v>1592</v>
      </c>
      <c r="B86" s="15" t="str">
        <f aca="false">IF(INDEX(Prod_Nombre,16)="","Producto 16",INDEX(Prod_Nombre,16))</f>
        <v>Producto 16</v>
      </c>
      <c r="C86" s="54" t="n">
        <f aca="false">SUM(D86:O86)</f>
        <v>0</v>
      </c>
      <c r="D86" s="48" t="n">
        <f aca="false">SUMIFS(Calculo!$F$192:$ES$192,Calculo!$F$6:$ES$6,1)</f>
        <v>0</v>
      </c>
      <c r="E86" s="48" t="n">
        <f aca="false">SUMIFS(Calculo!$F$192:$ES$192,Calculo!$F$6:$ES$6,2)</f>
        <v>0</v>
      </c>
      <c r="F86" s="48" t="n">
        <f aca="false">SUMIFS(Calculo!$F$192:$ES$192,Calculo!$F$6:$ES$6,3)</f>
        <v>0</v>
      </c>
      <c r="G86" s="48" t="n">
        <f aca="false">SUMIFS(Calculo!$F$192:$ES$192,Calculo!$F$6:$ES$6,4)</f>
        <v>0</v>
      </c>
      <c r="H86" s="48" t="n">
        <f aca="false">SUMIFS(Calculo!$F$192:$ES$192,Calculo!$F$6:$ES$6,5)</f>
        <v>0</v>
      </c>
      <c r="I86" s="48" t="n">
        <f aca="false">SUMIFS(Calculo!$F$192:$ES$192,Calculo!$F$6:$ES$6,6)</f>
        <v>0</v>
      </c>
      <c r="J86" s="48" t="n">
        <f aca="false">SUMIFS(Calculo!$F$192:$ES$192,Calculo!$F$6:$ES$6,7)</f>
        <v>0</v>
      </c>
      <c r="K86" s="48" t="n">
        <f aca="false">SUMIFS(Calculo!$F$192:$ES$192,Calculo!$F$6:$ES$6,8)</f>
        <v>0</v>
      </c>
      <c r="L86" s="48" t="n">
        <f aca="false">SUMIFS(Calculo!$F$192:$ES$192,Calculo!$F$6:$ES$6,9)</f>
        <v>0</v>
      </c>
      <c r="M86" s="48" t="n">
        <f aca="false">SUMIFS(Calculo!$F$192:$ES$192,Calculo!$F$6:$ES$6,10)</f>
        <v>0</v>
      </c>
      <c r="N86" s="48" t="n">
        <f aca="false">SUMIFS(Calculo!$F$192:$ES$192,Calculo!$F$6:$ES$6,11)</f>
        <v>0</v>
      </c>
      <c r="O86" s="48" t="n">
        <f aca="false">SUMIFS(Calculo!$F$192:$ES$192,Calculo!$F$6:$ES$6,12)</f>
        <v>0</v>
      </c>
    </row>
    <row r="87" customFormat="false" ht="15" hidden="false" customHeight="false" outlineLevel="0" collapsed="false">
      <c r="A87" s="11" t="s">
        <v>1593</v>
      </c>
      <c r="B87" s="15" t="str">
        <f aca="false">IF(INDEX(Prod_Nombre,17)="","Producto 17",INDEX(Prod_Nombre,17))</f>
        <v>Producto 17</v>
      </c>
      <c r="C87" s="54" t="n">
        <f aca="false">SUM(D87:O87)</f>
        <v>0</v>
      </c>
      <c r="D87" s="48" t="n">
        <f aca="false">SUMIFS(Calculo!$F$193:$ES$193,Calculo!$F$6:$ES$6,1)</f>
        <v>0</v>
      </c>
      <c r="E87" s="48" t="n">
        <f aca="false">SUMIFS(Calculo!$F$193:$ES$193,Calculo!$F$6:$ES$6,2)</f>
        <v>0</v>
      </c>
      <c r="F87" s="48" t="n">
        <f aca="false">SUMIFS(Calculo!$F$193:$ES$193,Calculo!$F$6:$ES$6,3)</f>
        <v>0</v>
      </c>
      <c r="G87" s="48" t="n">
        <f aca="false">SUMIFS(Calculo!$F$193:$ES$193,Calculo!$F$6:$ES$6,4)</f>
        <v>0</v>
      </c>
      <c r="H87" s="48" t="n">
        <f aca="false">SUMIFS(Calculo!$F$193:$ES$193,Calculo!$F$6:$ES$6,5)</f>
        <v>0</v>
      </c>
      <c r="I87" s="48" t="n">
        <f aca="false">SUMIFS(Calculo!$F$193:$ES$193,Calculo!$F$6:$ES$6,6)</f>
        <v>0</v>
      </c>
      <c r="J87" s="48" t="n">
        <f aca="false">SUMIFS(Calculo!$F$193:$ES$193,Calculo!$F$6:$ES$6,7)</f>
        <v>0</v>
      </c>
      <c r="K87" s="48" t="n">
        <f aca="false">SUMIFS(Calculo!$F$193:$ES$193,Calculo!$F$6:$ES$6,8)</f>
        <v>0</v>
      </c>
      <c r="L87" s="48" t="n">
        <f aca="false">SUMIFS(Calculo!$F$193:$ES$193,Calculo!$F$6:$ES$6,9)</f>
        <v>0</v>
      </c>
      <c r="M87" s="48" t="n">
        <f aca="false">SUMIFS(Calculo!$F$193:$ES$193,Calculo!$F$6:$ES$6,10)</f>
        <v>0</v>
      </c>
      <c r="N87" s="48" t="n">
        <f aca="false">SUMIFS(Calculo!$F$193:$ES$193,Calculo!$F$6:$ES$6,11)</f>
        <v>0</v>
      </c>
      <c r="O87" s="48" t="n">
        <f aca="false">SUMIFS(Calculo!$F$193:$ES$193,Calculo!$F$6:$ES$6,12)</f>
        <v>0</v>
      </c>
    </row>
    <row r="88" customFormat="false" ht="15" hidden="false" customHeight="false" outlineLevel="0" collapsed="false">
      <c r="A88" s="11" t="s">
        <v>1594</v>
      </c>
      <c r="B88" s="15" t="str">
        <f aca="false">IF(INDEX(Prod_Nombre,18)="","Producto 18",INDEX(Prod_Nombre,18))</f>
        <v>Producto 18</v>
      </c>
      <c r="C88" s="54" t="n">
        <f aca="false">SUM(D88:O88)</f>
        <v>0</v>
      </c>
      <c r="D88" s="48" t="n">
        <f aca="false">SUMIFS(Calculo!$F$194:$ES$194,Calculo!$F$6:$ES$6,1)</f>
        <v>0</v>
      </c>
      <c r="E88" s="48" t="n">
        <f aca="false">SUMIFS(Calculo!$F$194:$ES$194,Calculo!$F$6:$ES$6,2)</f>
        <v>0</v>
      </c>
      <c r="F88" s="48" t="n">
        <f aca="false">SUMIFS(Calculo!$F$194:$ES$194,Calculo!$F$6:$ES$6,3)</f>
        <v>0</v>
      </c>
      <c r="G88" s="48" t="n">
        <f aca="false">SUMIFS(Calculo!$F$194:$ES$194,Calculo!$F$6:$ES$6,4)</f>
        <v>0</v>
      </c>
      <c r="H88" s="48" t="n">
        <f aca="false">SUMIFS(Calculo!$F$194:$ES$194,Calculo!$F$6:$ES$6,5)</f>
        <v>0</v>
      </c>
      <c r="I88" s="48" t="n">
        <f aca="false">SUMIFS(Calculo!$F$194:$ES$194,Calculo!$F$6:$ES$6,6)</f>
        <v>0</v>
      </c>
      <c r="J88" s="48" t="n">
        <f aca="false">SUMIFS(Calculo!$F$194:$ES$194,Calculo!$F$6:$ES$6,7)</f>
        <v>0</v>
      </c>
      <c r="K88" s="48" t="n">
        <f aca="false">SUMIFS(Calculo!$F$194:$ES$194,Calculo!$F$6:$ES$6,8)</f>
        <v>0</v>
      </c>
      <c r="L88" s="48" t="n">
        <f aca="false">SUMIFS(Calculo!$F$194:$ES$194,Calculo!$F$6:$ES$6,9)</f>
        <v>0</v>
      </c>
      <c r="M88" s="48" t="n">
        <f aca="false">SUMIFS(Calculo!$F$194:$ES$194,Calculo!$F$6:$ES$6,10)</f>
        <v>0</v>
      </c>
      <c r="N88" s="48" t="n">
        <f aca="false">SUMIFS(Calculo!$F$194:$ES$194,Calculo!$F$6:$ES$6,11)</f>
        <v>0</v>
      </c>
      <c r="O88" s="48" t="n">
        <f aca="false">SUMIFS(Calculo!$F$194:$ES$194,Calculo!$F$6:$ES$6,12)</f>
        <v>0</v>
      </c>
    </row>
    <row r="89" customFormat="false" ht="15" hidden="false" customHeight="false" outlineLevel="0" collapsed="false">
      <c r="A89" s="11" t="s">
        <v>1595</v>
      </c>
      <c r="B89" s="15" t="str">
        <f aca="false">IF(INDEX(Prod_Nombre,19)="","Producto 19",INDEX(Prod_Nombre,19))</f>
        <v>Producto 19</v>
      </c>
      <c r="C89" s="54" t="n">
        <f aca="false">SUM(D89:O89)</f>
        <v>0</v>
      </c>
      <c r="D89" s="48" t="n">
        <f aca="false">SUMIFS(Calculo!$F$195:$ES$195,Calculo!$F$6:$ES$6,1)</f>
        <v>0</v>
      </c>
      <c r="E89" s="48" t="n">
        <f aca="false">SUMIFS(Calculo!$F$195:$ES$195,Calculo!$F$6:$ES$6,2)</f>
        <v>0</v>
      </c>
      <c r="F89" s="48" t="n">
        <f aca="false">SUMIFS(Calculo!$F$195:$ES$195,Calculo!$F$6:$ES$6,3)</f>
        <v>0</v>
      </c>
      <c r="G89" s="48" t="n">
        <f aca="false">SUMIFS(Calculo!$F$195:$ES$195,Calculo!$F$6:$ES$6,4)</f>
        <v>0</v>
      </c>
      <c r="H89" s="48" t="n">
        <f aca="false">SUMIFS(Calculo!$F$195:$ES$195,Calculo!$F$6:$ES$6,5)</f>
        <v>0</v>
      </c>
      <c r="I89" s="48" t="n">
        <f aca="false">SUMIFS(Calculo!$F$195:$ES$195,Calculo!$F$6:$ES$6,6)</f>
        <v>0</v>
      </c>
      <c r="J89" s="48" t="n">
        <f aca="false">SUMIFS(Calculo!$F$195:$ES$195,Calculo!$F$6:$ES$6,7)</f>
        <v>0</v>
      </c>
      <c r="K89" s="48" t="n">
        <f aca="false">SUMIFS(Calculo!$F$195:$ES$195,Calculo!$F$6:$ES$6,8)</f>
        <v>0</v>
      </c>
      <c r="L89" s="48" t="n">
        <f aca="false">SUMIFS(Calculo!$F$195:$ES$195,Calculo!$F$6:$ES$6,9)</f>
        <v>0</v>
      </c>
      <c r="M89" s="48" t="n">
        <f aca="false">SUMIFS(Calculo!$F$195:$ES$195,Calculo!$F$6:$ES$6,10)</f>
        <v>0</v>
      </c>
      <c r="N89" s="48" t="n">
        <f aca="false">SUMIFS(Calculo!$F$195:$ES$195,Calculo!$F$6:$ES$6,11)</f>
        <v>0</v>
      </c>
      <c r="O89" s="48" t="n">
        <f aca="false">SUMIFS(Calculo!$F$195:$ES$195,Calculo!$F$6:$ES$6,12)</f>
        <v>0</v>
      </c>
    </row>
    <row r="90" customFormat="false" ht="15" hidden="false" customHeight="false" outlineLevel="0" collapsed="false">
      <c r="A90" s="11" t="s">
        <v>1596</v>
      </c>
      <c r="B90" s="15" t="str">
        <f aca="false">IF(INDEX(Prod_Nombre,20)="","Producto 20",INDEX(Prod_Nombre,20))</f>
        <v>Producto 20</v>
      </c>
      <c r="C90" s="54" t="n">
        <f aca="false">SUM(D90:O90)</f>
        <v>0</v>
      </c>
      <c r="D90" s="48" t="n">
        <f aca="false">SUMIFS(Calculo!$F$196:$ES$196,Calculo!$F$6:$ES$6,1)</f>
        <v>0</v>
      </c>
      <c r="E90" s="48" t="n">
        <f aca="false">SUMIFS(Calculo!$F$196:$ES$196,Calculo!$F$6:$ES$6,2)</f>
        <v>0</v>
      </c>
      <c r="F90" s="48" t="n">
        <f aca="false">SUMIFS(Calculo!$F$196:$ES$196,Calculo!$F$6:$ES$6,3)</f>
        <v>0</v>
      </c>
      <c r="G90" s="48" t="n">
        <f aca="false">SUMIFS(Calculo!$F$196:$ES$196,Calculo!$F$6:$ES$6,4)</f>
        <v>0</v>
      </c>
      <c r="H90" s="48" t="n">
        <f aca="false">SUMIFS(Calculo!$F$196:$ES$196,Calculo!$F$6:$ES$6,5)</f>
        <v>0</v>
      </c>
      <c r="I90" s="48" t="n">
        <f aca="false">SUMIFS(Calculo!$F$196:$ES$196,Calculo!$F$6:$ES$6,6)</f>
        <v>0</v>
      </c>
      <c r="J90" s="48" t="n">
        <f aca="false">SUMIFS(Calculo!$F$196:$ES$196,Calculo!$F$6:$ES$6,7)</f>
        <v>0</v>
      </c>
      <c r="K90" s="48" t="n">
        <f aca="false">SUMIFS(Calculo!$F$196:$ES$196,Calculo!$F$6:$ES$6,8)</f>
        <v>0</v>
      </c>
      <c r="L90" s="48" t="n">
        <f aca="false">SUMIFS(Calculo!$F$196:$ES$196,Calculo!$F$6:$ES$6,9)</f>
        <v>0</v>
      </c>
      <c r="M90" s="48" t="n">
        <f aca="false">SUMIFS(Calculo!$F$196:$ES$196,Calculo!$F$6:$ES$6,10)</f>
        <v>0</v>
      </c>
      <c r="N90" s="48" t="n">
        <f aca="false">SUMIFS(Calculo!$F$196:$ES$196,Calculo!$F$6:$ES$6,11)</f>
        <v>0</v>
      </c>
      <c r="O90" s="48" t="n">
        <f aca="false">SUMIFS(Calculo!$F$196:$ES$196,Calculo!$F$6:$ES$6,12)</f>
        <v>0</v>
      </c>
    </row>
    <row r="91" customFormat="false" ht="15" hidden="false" customHeight="false" outlineLevel="0" collapsed="false">
      <c r="A91" s="11" t="s">
        <v>1597</v>
      </c>
      <c r="B91" s="15" t="str">
        <f aca="false">IF(INDEX(Prod_Nombre,21)="","Producto 21",INDEX(Prod_Nombre,21))</f>
        <v>Producto 21</v>
      </c>
      <c r="C91" s="54" t="n">
        <f aca="false">SUM(D91:O91)</f>
        <v>0</v>
      </c>
      <c r="D91" s="48" t="n">
        <f aca="false">SUMIFS(Calculo!$F$197:$ES$197,Calculo!$F$6:$ES$6,1)</f>
        <v>0</v>
      </c>
      <c r="E91" s="48" t="n">
        <f aca="false">SUMIFS(Calculo!$F$197:$ES$197,Calculo!$F$6:$ES$6,2)</f>
        <v>0</v>
      </c>
      <c r="F91" s="48" t="n">
        <f aca="false">SUMIFS(Calculo!$F$197:$ES$197,Calculo!$F$6:$ES$6,3)</f>
        <v>0</v>
      </c>
      <c r="G91" s="48" t="n">
        <f aca="false">SUMIFS(Calculo!$F$197:$ES$197,Calculo!$F$6:$ES$6,4)</f>
        <v>0</v>
      </c>
      <c r="H91" s="48" t="n">
        <f aca="false">SUMIFS(Calculo!$F$197:$ES$197,Calculo!$F$6:$ES$6,5)</f>
        <v>0</v>
      </c>
      <c r="I91" s="48" t="n">
        <f aca="false">SUMIFS(Calculo!$F$197:$ES$197,Calculo!$F$6:$ES$6,6)</f>
        <v>0</v>
      </c>
      <c r="J91" s="48" t="n">
        <f aca="false">SUMIFS(Calculo!$F$197:$ES$197,Calculo!$F$6:$ES$6,7)</f>
        <v>0</v>
      </c>
      <c r="K91" s="48" t="n">
        <f aca="false">SUMIFS(Calculo!$F$197:$ES$197,Calculo!$F$6:$ES$6,8)</f>
        <v>0</v>
      </c>
      <c r="L91" s="48" t="n">
        <f aca="false">SUMIFS(Calculo!$F$197:$ES$197,Calculo!$F$6:$ES$6,9)</f>
        <v>0</v>
      </c>
      <c r="M91" s="48" t="n">
        <f aca="false">SUMIFS(Calculo!$F$197:$ES$197,Calculo!$F$6:$ES$6,10)</f>
        <v>0</v>
      </c>
      <c r="N91" s="48" t="n">
        <f aca="false">SUMIFS(Calculo!$F$197:$ES$197,Calculo!$F$6:$ES$6,11)</f>
        <v>0</v>
      </c>
      <c r="O91" s="48" t="n">
        <f aca="false">SUMIFS(Calculo!$F$197:$ES$197,Calculo!$F$6:$ES$6,12)</f>
        <v>0</v>
      </c>
    </row>
    <row r="92" customFormat="false" ht="15" hidden="false" customHeight="false" outlineLevel="0" collapsed="false">
      <c r="A92" s="11" t="s">
        <v>1598</v>
      </c>
      <c r="B92" s="15" t="str">
        <f aca="false">IF(INDEX(Prod_Nombre,22)="","Producto 22",INDEX(Prod_Nombre,22))</f>
        <v>Producto 22</v>
      </c>
      <c r="C92" s="54" t="n">
        <f aca="false">SUM(D92:O92)</f>
        <v>0</v>
      </c>
      <c r="D92" s="48" t="n">
        <f aca="false">SUMIFS(Calculo!$F$198:$ES$198,Calculo!$F$6:$ES$6,1)</f>
        <v>0</v>
      </c>
      <c r="E92" s="48" t="n">
        <f aca="false">SUMIFS(Calculo!$F$198:$ES$198,Calculo!$F$6:$ES$6,2)</f>
        <v>0</v>
      </c>
      <c r="F92" s="48" t="n">
        <f aca="false">SUMIFS(Calculo!$F$198:$ES$198,Calculo!$F$6:$ES$6,3)</f>
        <v>0</v>
      </c>
      <c r="G92" s="48" t="n">
        <f aca="false">SUMIFS(Calculo!$F$198:$ES$198,Calculo!$F$6:$ES$6,4)</f>
        <v>0</v>
      </c>
      <c r="H92" s="48" t="n">
        <f aca="false">SUMIFS(Calculo!$F$198:$ES$198,Calculo!$F$6:$ES$6,5)</f>
        <v>0</v>
      </c>
      <c r="I92" s="48" t="n">
        <f aca="false">SUMIFS(Calculo!$F$198:$ES$198,Calculo!$F$6:$ES$6,6)</f>
        <v>0</v>
      </c>
      <c r="J92" s="48" t="n">
        <f aca="false">SUMIFS(Calculo!$F$198:$ES$198,Calculo!$F$6:$ES$6,7)</f>
        <v>0</v>
      </c>
      <c r="K92" s="48" t="n">
        <f aca="false">SUMIFS(Calculo!$F$198:$ES$198,Calculo!$F$6:$ES$6,8)</f>
        <v>0</v>
      </c>
      <c r="L92" s="48" t="n">
        <f aca="false">SUMIFS(Calculo!$F$198:$ES$198,Calculo!$F$6:$ES$6,9)</f>
        <v>0</v>
      </c>
      <c r="M92" s="48" t="n">
        <f aca="false">SUMIFS(Calculo!$F$198:$ES$198,Calculo!$F$6:$ES$6,10)</f>
        <v>0</v>
      </c>
      <c r="N92" s="48" t="n">
        <f aca="false">SUMIFS(Calculo!$F$198:$ES$198,Calculo!$F$6:$ES$6,11)</f>
        <v>0</v>
      </c>
      <c r="O92" s="48" t="n">
        <f aca="false">SUMIFS(Calculo!$F$198:$ES$198,Calculo!$F$6:$ES$6,12)</f>
        <v>0</v>
      </c>
    </row>
    <row r="93" customFormat="false" ht="15" hidden="false" customHeight="false" outlineLevel="0" collapsed="false">
      <c r="A93" s="11" t="s">
        <v>1599</v>
      </c>
      <c r="B93" s="15" t="str">
        <f aca="false">IF(INDEX(Prod_Nombre,23)="","Producto 23",INDEX(Prod_Nombre,23))</f>
        <v>Producto 23</v>
      </c>
      <c r="C93" s="54" t="n">
        <f aca="false">SUM(D93:O93)</f>
        <v>0</v>
      </c>
      <c r="D93" s="48" t="n">
        <f aca="false">SUMIFS(Calculo!$F$199:$ES$199,Calculo!$F$6:$ES$6,1)</f>
        <v>0</v>
      </c>
      <c r="E93" s="48" t="n">
        <f aca="false">SUMIFS(Calculo!$F$199:$ES$199,Calculo!$F$6:$ES$6,2)</f>
        <v>0</v>
      </c>
      <c r="F93" s="48" t="n">
        <f aca="false">SUMIFS(Calculo!$F$199:$ES$199,Calculo!$F$6:$ES$6,3)</f>
        <v>0</v>
      </c>
      <c r="G93" s="48" t="n">
        <f aca="false">SUMIFS(Calculo!$F$199:$ES$199,Calculo!$F$6:$ES$6,4)</f>
        <v>0</v>
      </c>
      <c r="H93" s="48" t="n">
        <f aca="false">SUMIFS(Calculo!$F$199:$ES$199,Calculo!$F$6:$ES$6,5)</f>
        <v>0</v>
      </c>
      <c r="I93" s="48" t="n">
        <f aca="false">SUMIFS(Calculo!$F$199:$ES$199,Calculo!$F$6:$ES$6,6)</f>
        <v>0</v>
      </c>
      <c r="J93" s="48" t="n">
        <f aca="false">SUMIFS(Calculo!$F$199:$ES$199,Calculo!$F$6:$ES$6,7)</f>
        <v>0</v>
      </c>
      <c r="K93" s="48" t="n">
        <f aca="false">SUMIFS(Calculo!$F$199:$ES$199,Calculo!$F$6:$ES$6,8)</f>
        <v>0</v>
      </c>
      <c r="L93" s="48" t="n">
        <f aca="false">SUMIFS(Calculo!$F$199:$ES$199,Calculo!$F$6:$ES$6,9)</f>
        <v>0</v>
      </c>
      <c r="M93" s="48" t="n">
        <f aca="false">SUMIFS(Calculo!$F$199:$ES$199,Calculo!$F$6:$ES$6,10)</f>
        <v>0</v>
      </c>
      <c r="N93" s="48" t="n">
        <f aca="false">SUMIFS(Calculo!$F$199:$ES$199,Calculo!$F$6:$ES$6,11)</f>
        <v>0</v>
      </c>
      <c r="O93" s="48" t="n">
        <f aca="false">SUMIFS(Calculo!$F$199:$ES$199,Calculo!$F$6:$ES$6,12)</f>
        <v>0</v>
      </c>
    </row>
    <row r="94" customFormat="false" ht="15" hidden="false" customHeight="false" outlineLevel="0" collapsed="false">
      <c r="A94" s="11" t="s">
        <v>1600</v>
      </c>
      <c r="B94" s="15" t="str">
        <f aca="false">IF(INDEX(Prod_Nombre,24)="","Producto 24",INDEX(Prod_Nombre,24))</f>
        <v>Producto 24</v>
      </c>
      <c r="C94" s="54" t="n">
        <f aca="false">SUM(D94:O94)</f>
        <v>0</v>
      </c>
      <c r="D94" s="48" t="n">
        <f aca="false">SUMIFS(Calculo!$F$200:$ES$200,Calculo!$F$6:$ES$6,1)</f>
        <v>0</v>
      </c>
      <c r="E94" s="48" t="n">
        <f aca="false">SUMIFS(Calculo!$F$200:$ES$200,Calculo!$F$6:$ES$6,2)</f>
        <v>0</v>
      </c>
      <c r="F94" s="48" t="n">
        <f aca="false">SUMIFS(Calculo!$F$200:$ES$200,Calculo!$F$6:$ES$6,3)</f>
        <v>0</v>
      </c>
      <c r="G94" s="48" t="n">
        <f aca="false">SUMIFS(Calculo!$F$200:$ES$200,Calculo!$F$6:$ES$6,4)</f>
        <v>0</v>
      </c>
      <c r="H94" s="48" t="n">
        <f aca="false">SUMIFS(Calculo!$F$200:$ES$200,Calculo!$F$6:$ES$6,5)</f>
        <v>0</v>
      </c>
      <c r="I94" s="48" t="n">
        <f aca="false">SUMIFS(Calculo!$F$200:$ES$200,Calculo!$F$6:$ES$6,6)</f>
        <v>0</v>
      </c>
      <c r="J94" s="48" t="n">
        <f aca="false">SUMIFS(Calculo!$F$200:$ES$200,Calculo!$F$6:$ES$6,7)</f>
        <v>0</v>
      </c>
      <c r="K94" s="48" t="n">
        <f aca="false">SUMIFS(Calculo!$F$200:$ES$200,Calculo!$F$6:$ES$6,8)</f>
        <v>0</v>
      </c>
      <c r="L94" s="48" t="n">
        <f aca="false">SUMIFS(Calculo!$F$200:$ES$200,Calculo!$F$6:$ES$6,9)</f>
        <v>0</v>
      </c>
      <c r="M94" s="48" t="n">
        <f aca="false">SUMIFS(Calculo!$F$200:$ES$200,Calculo!$F$6:$ES$6,10)</f>
        <v>0</v>
      </c>
      <c r="N94" s="48" t="n">
        <f aca="false">SUMIFS(Calculo!$F$200:$ES$200,Calculo!$F$6:$ES$6,11)</f>
        <v>0</v>
      </c>
      <c r="O94" s="48" t="n">
        <f aca="false">SUMIFS(Calculo!$F$200:$ES$200,Calculo!$F$6:$ES$6,12)</f>
        <v>0</v>
      </c>
    </row>
    <row r="95" customFormat="false" ht="15" hidden="false" customHeight="false" outlineLevel="0" collapsed="false">
      <c r="A95" s="11" t="s">
        <v>1601</v>
      </c>
      <c r="B95" s="15" t="str">
        <f aca="false">IF(INDEX(Prod_Nombre,25)="","Producto 25",INDEX(Prod_Nombre,25))</f>
        <v>Producto 25</v>
      </c>
      <c r="C95" s="54" t="n">
        <f aca="false">SUM(D95:O95)</f>
        <v>0</v>
      </c>
      <c r="D95" s="48" t="n">
        <f aca="false">SUMIFS(Calculo!$F$201:$ES$201,Calculo!$F$6:$ES$6,1)</f>
        <v>0</v>
      </c>
      <c r="E95" s="48" t="n">
        <f aca="false">SUMIFS(Calculo!$F$201:$ES$201,Calculo!$F$6:$ES$6,2)</f>
        <v>0</v>
      </c>
      <c r="F95" s="48" t="n">
        <f aca="false">SUMIFS(Calculo!$F$201:$ES$201,Calculo!$F$6:$ES$6,3)</f>
        <v>0</v>
      </c>
      <c r="G95" s="48" t="n">
        <f aca="false">SUMIFS(Calculo!$F$201:$ES$201,Calculo!$F$6:$ES$6,4)</f>
        <v>0</v>
      </c>
      <c r="H95" s="48" t="n">
        <f aca="false">SUMIFS(Calculo!$F$201:$ES$201,Calculo!$F$6:$ES$6,5)</f>
        <v>0</v>
      </c>
      <c r="I95" s="48" t="n">
        <f aca="false">SUMIFS(Calculo!$F$201:$ES$201,Calculo!$F$6:$ES$6,6)</f>
        <v>0</v>
      </c>
      <c r="J95" s="48" t="n">
        <f aca="false">SUMIFS(Calculo!$F$201:$ES$201,Calculo!$F$6:$ES$6,7)</f>
        <v>0</v>
      </c>
      <c r="K95" s="48" t="n">
        <f aca="false">SUMIFS(Calculo!$F$201:$ES$201,Calculo!$F$6:$ES$6,8)</f>
        <v>0</v>
      </c>
      <c r="L95" s="48" t="n">
        <f aca="false">SUMIFS(Calculo!$F$201:$ES$201,Calculo!$F$6:$ES$6,9)</f>
        <v>0</v>
      </c>
      <c r="M95" s="48" t="n">
        <f aca="false">SUMIFS(Calculo!$F$201:$ES$201,Calculo!$F$6:$ES$6,10)</f>
        <v>0</v>
      </c>
      <c r="N95" s="48" t="n">
        <f aca="false">SUMIFS(Calculo!$F$201:$ES$201,Calculo!$F$6:$ES$6,11)</f>
        <v>0</v>
      </c>
      <c r="O95" s="48" t="n">
        <f aca="false">SUMIFS(Calculo!$F$201:$ES$201,Calculo!$F$6:$ES$6,12)</f>
        <v>0</v>
      </c>
    </row>
    <row r="97" customFormat="false" ht="15" hidden="false" customHeight="false" outlineLevel="0" collapsed="false">
      <c r="A97" s="12" t="s">
        <v>1602</v>
      </c>
      <c r="B97" s="13"/>
      <c r="C97" s="13"/>
      <c r="D97" s="13"/>
      <c r="E97" s="13"/>
      <c r="F97" s="13"/>
      <c r="G97" s="13"/>
      <c r="H97" s="13"/>
      <c r="I97" s="13"/>
      <c r="J97" s="13"/>
      <c r="K97" s="13"/>
      <c r="L97" s="13"/>
      <c r="M97" s="13"/>
      <c r="N97" s="13"/>
      <c r="O97" s="13"/>
    </row>
    <row r="98" customFormat="false" ht="15" hidden="false" customHeight="false" outlineLevel="0" collapsed="false">
      <c r="A98" s="14"/>
      <c r="B98" s="14" t="s">
        <v>1530</v>
      </c>
      <c r="C98" s="14" t="s">
        <v>549</v>
      </c>
      <c r="D98" s="14" t="s">
        <v>452</v>
      </c>
      <c r="E98" s="14" t="s">
        <v>453</v>
      </c>
      <c r="F98" s="14" t="s">
        <v>454</v>
      </c>
      <c r="G98" s="14" t="s">
        <v>455</v>
      </c>
      <c r="H98" s="14" t="s">
        <v>456</v>
      </c>
      <c r="I98" s="14" t="s">
        <v>457</v>
      </c>
      <c r="J98" s="14" t="s">
        <v>458</v>
      </c>
      <c r="K98" s="14" t="s">
        <v>459</v>
      </c>
      <c r="L98" s="14" t="s">
        <v>460</v>
      </c>
      <c r="M98" s="14" t="s">
        <v>461</v>
      </c>
      <c r="N98" s="14" t="s">
        <v>1531</v>
      </c>
      <c r="O98" s="14" t="s">
        <v>1532</v>
      </c>
    </row>
    <row r="99" customFormat="false" ht="15" hidden="false" customHeight="false" outlineLevel="0" collapsed="false">
      <c r="B99" s="11" t="s">
        <v>1533</v>
      </c>
      <c r="D99" s="85" t="str">
        <f aca="false">IF(Corte&gt;=12,"Real",IF(Corte&gt;0,"Real+Proy.","Proyección"))</f>
        <v>Proyección</v>
      </c>
      <c r="E99" s="85" t="str">
        <f aca="false">IF(Corte&gt;=24,"Real",IF(Corte&gt;12,"Real+Proy.","Proyección"))</f>
        <v>Proyección</v>
      </c>
      <c r="F99" s="85" t="str">
        <f aca="false">IF(Corte&gt;=36,"Real",IF(Corte&gt;24,"Real+Proy.","Proyección"))</f>
        <v>Proyección</v>
      </c>
      <c r="G99" s="85" t="str">
        <f aca="false">IF(Corte&gt;=48,"Real",IF(Corte&gt;36,"Real+Proy.","Proyección"))</f>
        <v>Proyección</v>
      </c>
      <c r="H99" s="85" t="str">
        <f aca="false">IF(Corte&gt;=60,"Real",IF(Corte&gt;48,"Real+Proy.","Proyección"))</f>
        <v>Proyección</v>
      </c>
      <c r="I99" s="85" t="str">
        <f aca="false">IF(Corte&gt;=72,"Real",IF(Corte&gt;60,"Real+Proy.","Proyección"))</f>
        <v>Proyección</v>
      </c>
      <c r="J99" s="85" t="str">
        <f aca="false">IF(Corte&gt;=84,"Real",IF(Corte&gt;72,"Real+Proy.","Proyección"))</f>
        <v>Proyección</v>
      </c>
      <c r="K99" s="85" t="str">
        <f aca="false">IF(Corte&gt;=96,"Real",IF(Corte&gt;84,"Real+Proy.","Proyección"))</f>
        <v>Proyección</v>
      </c>
      <c r="L99" s="85" t="str">
        <f aca="false">IF(Corte&gt;=108,"Real",IF(Corte&gt;96,"Real+Proy.","Proyección"))</f>
        <v>Proyección</v>
      </c>
      <c r="M99" s="85" t="str">
        <f aca="false">IF(Corte&gt;=120,"Real",IF(Corte&gt;108,"Real+Proy.","Proyección"))</f>
        <v>Proyección</v>
      </c>
      <c r="N99" s="85" t="str">
        <f aca="false">IF(Corte&gt;=132,"Real",IF(Corte&gt;120,"Real+Proy.","Proyección"))</f>
        <v>Proyección</v>
      </c>
      <c r="O99" s="85" t="str">
        <f aca="false">IF(Corte&gt;=144,"Real",IF(Corte&gt;132,"Real+Proy.","Proyección"))</f>
        <v>Proyección</v>
      </c>
    </row>
    <row r="100" customFormat="false" ht="15" hidden="false" customHeight="false" outlineLevel="0" collapsed="false">
      <c r="B100" s="11" t="s">
        <v>1534</v>
      </c>
      <c r="D100" s="86" t="str">
        <f aca="false">IF(n_Fecha1="","",YEAR(EOMONTH(n_Fecha1,0)))</f>
        <v/>
      </c>
      <c r="E100" s="86" t="str">
        <f aca="false">IF(n_Fecha1="","",YEAR(EOMONTH(n_Fecha1,12)))</f>
        <v/>
      </c>
      <c r="F100" s="86" t="str">
        <f aca="false">IF(n_Fecha1="","",YEAR(EOMONTH(n_Fecha1,24)))</f>
        <v/>
      </c>
      <c r="G100" s="86" t="str">
        <f aca="false">IF(n_Fecha1="","",YEAR(EOMONTH(n_Fecha1,36)))</f>
        <v/>
      </c>
      <c r="H100" s="86" t="str">
        <f aca="false">IF(n_Fecha1="","",YEAR(EOMONTH(n_Fecha1,48)))</f>
        <v/>
      </c>
      <c r="I100" s="86" t="str">
        <f aca="false">IF(n_Fecha1="","",YEAR(EOMONTH(n_Fecha1,60)))</f>
        <v/>
      </c>
      <c r="J100" s="86" t="str">
        <f aca="false">IF(n_Fecha1="","",YEAR(EOMONTH(n_Fecha1,72)))</f>
        <v/>
      </c>
      <c r="K100" s="86" t="str">
        <f aca="false">IF(n_Fecha1="","",YEAR(EOMONTH(n_Fecha1,84)))</f>
        <v/>
      </c>
      <c r="L100" s="86" t="str">
        <f aca="false">IF(n_Fecha1="","",YEAR(EOMONTH(n_Fecha1,96)))</f>
        <v/>
      </c>
      <c r="M100" s="86" t="str">
        <f aca="false">IF(n_Fecha1="","",YEAR(EOMONTH(n_Fecha1,108)))</f>
        <v/>
      </c>
      <c r="N100" s="86" t="str">
        <f aca="false">IF(n_Fecha1="","",YEAR(EOMONTH(n_Fecha1,120)))</f>
        <v/>
      </c>
      <c r="O100" s="86" t="str">
        <f aca="false">IF(n_Fecha1="","",YEAR(EOMONTH(n_Fecha1,132)))</f>
        <v/>
      </c>
    </row>
    <row r="101" customFormat="false" ht="15" hidden="false" customHeight="false" outlineLevel="0" collapsed="false">
      <c r="A101" s="11" t="s">
        <v>1603</v>
      </c>
      <c r="B101" s="67" t="s">
        <v>506</v>
      </c>
      <c r="C101" s="54" t="n">
        <f aca="false">SUM(D101:O101)</f>
        <v>81222447.7216454</v>
      </c>
      <c r="D101" s="19" t="n">
        <f aca="false">SUMIFS(Calculo!$F$71:$ES$71,Calculo!$F$6:$ES$6,1)</f>
        <v>4850000</v>
      </c>
      <c r="E101" s="19" t="n">
        <f aca="false">SUMIFS(Calculo!$F$71:$ES$71,Calculo!$F$6:$ES$6,2)</f>
        <v>6181200</v>
      </c>
      <c r="F101" s="19" t="n">
        <f aca="false">SUMIFS(Calculo!$F$71:$ES$71,Calculo!$F$6:$ES$6,3)</f>
        <v>7538539</v>
      </c>
      <c r="G101" s="19" t="n">
        <f aca="false">SUMIFS(Calculo!$F$71:$ES$71,Calculo!$F$6:$ES$6,4)</f>
        <v>8685437.43</v>
      </c>
      <c r="H101" s="19" t="n">
        <f aca="false">SUMIFS(Calculo!$F$71:$ES$71,Calculo!$F$6:$ES$6,5)</f>
        <v>8772291.8043</v>
      </c>
      <c r="I101" s="19" t="n">
        <f aca="false">SUMIFS(Calculo!$F$71:$ES$71,Calculo!$F$6:$ES$6,6)</f>
        <v>8860014.722343</v>
      </c>
      <c r="J101" s="19" t="n">
        <f aca="false">SUMIFS(Calculo!$F$71:$ES$71,Calculo!$F$6:$ES$6,7)</f>
        <v>8948614.86956643</v>
      </c>
      <c r="K101" s="19" t="n">
        <f aca="false">SUMIFS(Calculo!$F$71:$ES$71,Calculo!$F$6:$ES$6,8)</f>
        <v>9038101.01826209</v>
      </c>
      <c r="L101" s="19" t="n">
        <f aca="false">SUMIFS(Calculo!$F$71:$ES$71,Calculo!$F$6:$ES$6,9)</f>
        <v>9128482.02844472</v>
      </c>
      <c r="M101" s="19" t="n">
        <f aca="false">SUMIFS(Calculo!$F$71:$ES$71,Calculo!$F$6:$ES$6,10)</f>
        <v>9219766.84872916</v>
      </c>
      <c r="N101" s="19" t="n">
        <f aca="false">SUMIFS(Calculo!$F$71:$ES$71,Calculo!$F$6:$ES$6,11)</f>
        <v>0</v>
      </c>
      <c r="O101" s="19" t="n">
        <f aca="false">SUMIFS(Calculo!$F$71:$ES$71,Calculo!$F$6:$ES$6,12)</f>
        <v>0</v>
      </c>
    </row>
    <row r="102" customFormat="false" ht="15" hidden="false" customHeight="false" outlineLevel="0" collapsed="false">
      <c r="A102" s="11" t="s">
        <v>1604</v>
      </c>
      <c r="B102" s="67" t="s">
        <v>509</v>
      </c>
      <c r="C102" s="54" t="n">
        <f aca="false">SUM(D102:O102)</f>
        <v>16309504.016261</v>
      </c>
      <c r="D102" s="19" t="n">
        <f aca="false">SUMIFS(Calculo!$F$102:$ES$102,Calculo!$F$6:$ES$6,1)</f>
        <v>509970.005707077</v>
      </c>
      <c r="E102" s="19" t="n">
        <f aca="false">SUMIFS(Calculo!$F$102:$ES$102,Calculo!$F$6:$ES$6,2)</f>
        <v>965956.835927578</v>
      </c>
      <c r="F102" s="19" t="n">
        <f aca="false">SUMIFS(Calculo!$F$102:$ES$102,Calculo!$F$6:$ES$6,3)</f>
        <v>1405020.3703815</v>
      </c>
      <c r="G102" s="19" t="n">
        <f aca="false">SUMIFS(Calculo!$F$102:$ES$102,Calculo!$F$6:$ES$6,4)</f>
        <v>1798722.9585583</v>
      </c>
      <c r="H102" s="19" t="n">
        <f aca="false">SUMIFS(Calculo!$F$102:$ES$102,Calculo!$F$6:$ES$6,5)</f>
        <v>1814557.97851648</v>
      </c>
      <c r="I102" s="19" t="n">
        <f aca="false">SUMIFS(Calculo!$F$102:$ES$102,Calculo!$F$6:$ES$6,6)</f>
        <v>1863605.30157391</v>
      </c>
      <c r="J102" s="19" t="n">
        <f aca="false">SUMIFS(Calculo!$F$102:$ES$102,Calculo!$F$6:$ES$6,7)</f>
        <v>1912992.2698728</v>
      </c>
      <c r="K102" s="19" t="n">
        <f aca="false">SUMIFS(Calculo!$F$102:$ES$102,Calculo!$F$6:$ES$6,8)</f>
        <v>1962717.82255545</v>
      </c>
      <c r="L102" s="19" t="n">
        <f aca="false">SUMIFS(Calculo!$F$102:$ES$102,Calculo!$F$6:$ES$6,9)</f>
        <v>2012780.75578689</v>
      </c>
      <c r="M102" s="19" t="n">
        <f aca="false">SUMIFS(Calculo!$F$102:$ES$102,Calculo!$F$6:$ES$6,10)</f>
        <v>2063179.71738103</v>
      </c>
      <c r="N102" s="19" t="n">
        <f aca="false">SUMIFS(Calculo!$F$102:$ES$102,Calculo!$F$6:$ES$6,11)</f>
        <v>0</v>
      </c>
      <c r="O102" s="19" t="n">
        <f aca="false">SUMIFS(Calculo!$F$102:$ES$102,Calculo!$F$6:$ES$6,12)</f>
        <v>0</v>
      </c>
    </row>
    <row r="103" customFormat="false" ht="15" hidden="false" customHeight="false" outlineLevel="0" collapsed="false">
      <c r="A103" s="11" t="s">
        <v>1605</v>
      </c>
      <c r="B103" s="67" t="s">
        <v>1468</v>
      </c>
      <c r="C103" s="54" t="n">
        <f aca="false">SUM(D103:O103)</f>
        <v>14751245.7980366</v>
      </c>
      <c r="D103" s="19" t="n">
        <f aca="false">SUMIFS(Calculo!$F$107:$ES$107,Calculo!$F$6:$ES$6,1)</f>
        <v>167275.864276051</v>
      </c>
      <c r="E103" s="19" t="n">
        <f aca="false">SUMIFS(Calculo!$F$107:$ES$107,Calculo!$F$6:$ES$6,2)</f>
        <v>658090.372806125</v>
      </c>
      <c r="F103" s="19" t="n">
        <f aca="false">SUMIFS(Calculo!$F$107:$ES$107,Calculo!$F$6:$ES$6,3)</f>
        <v>1154012.18844033</v>
      </c>
      <c r="G103" s="19" t="n">
        <f aca="false">SUMIFS(Calculo!$F$107:$ES$107,Calculo!$F$6:$ES$6,4)</f>
        <v>1609906.75676184</v>
      </c>
      <c r="H103" s="19" t="n">
        <f aca="false">SUMIFS(Calculo!$F$107:$ES$107,Calculo!$F$6:$ES$6,5)</f>
        <v>1693767.79358213</v>
      </c>
      <c r="I103" s="19" t="n">
        <f aca="false">SUMIFS(Calculo!$F$107:$ES$107,Calculo!$F$6:$ES$6,6)</f>
        <v>1794188.69257391</v>
      </c>
      <c r="J103" s="19" t="n">
        <f aca="false">SUMIFS(Calculo!$F$107:$ES$107,Calculo!$F$6:$ES$6,7)</f>
        <v>1843575.6608728</v>
      </c>
      <c r="K103" s="19" t="n">
        <f aca="false">SUMIFS(Calculo!$F$107:$ES$107,Calculo!$F$6:$ES$6,8)</f>
        <v>1893301.21355545</v>
      </c>
      <c r="L103" s="19" t="n">
        <f aca="false">SUMIFS(Calculo!$F$107:$ES$107,Calculo!$F$6:$ES$6,9)</f>
        <v>1943364.14678689</v>
      </c>
      <c r="M103" s="19" t="n">
        <f aca="false">SUMIFS(Calculo!$F$107:$ES$107,Calculo!$F$6:$ES$6,10)</f>
        <v>1993763.10838103</v>
      </c>
      <c r="N103" s="19" t="n">
        <f aca="false">SUMIFS(Calculo!$F$107:$ES$107,Calculo!$F$6:$ES$6,11)</f>
        <v>0</v>
      </c>
      <c r="O103" s="19" t="n">
        <f aca="false">SUMIFS(Calculo!$F$107:$ES$107,Calculo!$F$6:$ES$6,12)</f>
        <v>0</v>
      </c>
    </row>
    <row r="104" customFormat="false" ht="15" hidden="false" customHeight="false" outlineLevel="0" collapsed="false">
      <c r="A104" s="11" t="s">
        <v>1606</v>
      </c>
      <c r="B104" s="15" t="s">
        <v>1469</v>
      </c>
      <c r="C104" s="54" t="n">
        <f aca="false">SUM(D104:O104)</f>
        <v>11809741.4989387</v>
      </c>
      <c r="D104" s="48" t="n">
        <f aca="false">SUMIFS(Calculo!$F$116:$ES$116,Calculo!$F$6:$ES$6,1)</f>
        <v>-1878093.88165195</v>
      </c>
      <c r="E104" s="48" t="n">
        <f aca="false">SUMIFS(Calculo!$F$116:$ES$116,Calculo!$F$6:$ES$6,2)</f>
        <v>310811.391531933</v>
      </c>
      <c r="F104" s="48" t="n">
        <f aca="false">SUMIFS(Calculo!$F$116:$ES$116,Calculo!$F$6:$ES$6,3)</f>
        <v>737693.439749073</v>
      </c>
      <c r="G104" s="48" t="n">
        <f aca="false">SUMIFS(Calculo!$F$116:$ES$116,Calculo!$F$6:$ES$6,4)</f>
        <v>1239913.88862499</v>
      </c>
      <c r="H104" s="48" t="n">
        <f aca="false">SUMIFS(Calculo!$F$116:$ES$116,Calculo!$F$6:$ES$6,5)</f>
        <v>1776448.43081062</v>
      </c>
      <c r="I104" s="48" t="n">
        <f aca="false">SUMIFS(Calculo!$F$116:$ES$116,Calculo!$F$6:$ES$6,6)</f>
        <v>1825880.44510532</v>
      </c>
      <c r="J104" s="48" t="n">
        <f aca="false">SUMIFS(Calculo!$F$116:$ES$116,Calculo!$F$6:$ES$6,7)</f>
        <v>1874902.37664802</v>
      </c>
      <c r="K104" s="48" t="n">
        <f aca="false">SUMIFS(Calculo!$F$116:$ES$116,Calculo!$F$6:$ES$6,8)</f>
        <v>1924259.60486093</v>
      </c>
      <c r="L104" s="48" t="n">
        <f aca="false">SUMIFS(Calculo!$F$116:$ES$116,Calculo!$F$6:$ES$6,9)</f>
        <v>1973950.90383755</v>
      </c>
      <c r="M104" s="48" t="n">
        <f aca="false">SUMIFS(Calculo!$F$116:$ES$116,Calculo!$F$6:$ES$6,10)</f>
        <v>2023974.89942226</v>
      </c>
      <c r="N104" s="48" t="n">
        <f aca="false">SUMIFS(Calculo!$F$116:$ES$116,Calculo!$F$6:$ES$6,11)</f>
        <v>0</v>
      </c>
      <c r="O104" s="48" t="n">
        <f aca="false">SUMIFS(Calculo!$F$116:$ES$116,Calculo!$F$6:$ES$6,12)</f>
        <v>0</v>
      </c>
    </row>
    <row r="105" customFormat="false" ht="15" hidden="false" customHeight="false" outlineLevel="0" collapsed="false">
      <c r="A105" s="11" t="s">
        <v>1607</v>
      </c>
      <c r="B105" s="15" t="s">
        <v>1013</v>
      </c>
      <c r="C105" s="54" t="n">
        <f aca="false">SUM(D105:O105)</f>
        <v>755044.09</v>
      </c>
      <c r="D105" s="48" t="n">
        <f aca="false">SUMIFS(Calculo!$F$117:$ES$117,Calculo!$F$6:$ES$6,1)</f>
        <v>655044.09</v>
      </c>
      <c r="E105" s="48" t="n">
        <f aca="false">SUMIFS(Calculo!$F$117:$ES$117,Calculo!$F$6:$ES$6,2)</f>
        <v>100000</v>
      </c>
      <c r="F105" s="48" t="n">
        <f aca="false">SUMIFS(Calculo!$F$117:$ES$117,Calculo!$F$6:$ES$6,3)</f>
        <v>0</v>
      </c>
      <c r="G105" s="48" t="n">
        <f aca="false">SUMIFS(Calculo!$F$117:$ES$117,Calculo!$F$6:$ES$6,4)</f>
        <v>0</v>
      </c>
      <c r="H105" s="48" t="n">
        <f aca="false">SUMIFS(Calculo!$F$117:$ES$117,Calculo!$F$6:$ES$6,5)</f>
        <v>0</v>
      </c>
      <c r="I105" s="48" t="n">
        <f aca="false">SUMIFS(Calculo!$F$117:$ES$117,Calculo!$F$6:$ES$6,6)</f>
        <v>0</v>
      </c>
      <c r="J105" s="48" t="n">
        <f aca="false">SUMIFS(Calculo!$F$117:$ES$117,Calculo!$F$6:$ES$6,7)</f>
        <v>0</v>
      </c>
      <c r="K105" s="48" t="n">
        <f aca="false">SUMIFS(Calculo!$F$117:$ES$117,Calculo!$F$6:$ES$6,8)</f>
        <v>0</v>
      </c>
      <c r="L105" s="48" t="n">
        <f aca="false">SUMIFS(Calculo!$F$117:$ES$117,Calculo!$F$6:$ES$6,9)</f>
        <v>0</v>
      </c>
      <c r="M105" s="48" t="n">
        <f aca="false">SUMIFS(Calculo!$F$117:$ES$117,Calculo!$F$6:$ES$6,10)</f>
        <v>0</v>
      </c>
      <c r="N105" s="48" t="n">
        <f aca="false">SUMIFS(Calculo!$F$117:$ES$117,Calculo!$F$6:$ES$6,11)</f>
        <v>0</v>
      </c>
      <c r="O105" s="48" t="n">
        <f aca="false">SUMIFS(Calculo!$F$117:$ES$117,Calculo!$F$6:$ES$6,12)</f>
        <v>0</v>
      </c>
    </row>
    <row r="106" customFormat="false" ht="15" hidden="false" customHeight="false" outlineLevel="0" collapsed="false">
      <c r="A106" s="11" t="s">
        <v>1608</v>
      </c>
      <c r="B106" s="67" t="s">
        <v>1555</v>
      </c>
      <c r="C106" s="54" t="n">
        <f aca="false">SUM(D106:O106)</f>
        <v>15564459.926261</v>
      </c>
      <c r="D106" s="19" t="n">
        <f aca="false">SUMIFS(Calculo!$F$120:$ES$120,Calculo!$F$6:$ES$6,1)</f>
        <v>-2533137.97165195</v>
      </c>
      <c r="E106" s="19" t="n">
        <f aca="false">SUMIFS(Calculo!$F$120:$ES$120,Calculo!$F$6:$ES$6,2)</f>
        <v>210811.391531933</v>
      </c>
      <c r="F106" s="19" t="n">
        <f aca="false">SUMIFS(Calculo!$F$120:$ES$120,Calculo!$F$6:$ES$6,3)</f>
        <v>737693.439749073</v>
      </c>
      <c r="G106" s="19" t="n">
        <f aca="false">SUMIFS(Calculo!$F$120:$ES$120,Calculo!$F$6:$ES$6,4)</f>
        <v>1239913.88862499</v>
      </c>
      <c r="H106" s="19" t="n">
        <f aca="false">SUMIFS(Calculo!$F$120:$ES$120,Calculo!$F$6:$ES$6,5)</f>
        <v>1776448.43081062</v>
      </c>
      <c r="I106" s="19" t="n">
        <f aca="false">SUMIFS(Calculo!$F$120:$ES$120,Calculo!$F$6:$ES$6,6)</f>
        <v>1825880.44510532</v>
      </c>
      <c r="J106" s="19" t="n">
        <f aca="false">SUMIFS(Calculo!$F$120:$ES$120,Calculo!$F$6:$ES$6,7)</f>
        <v>1874902.37664802</v>
      </c>
      <c r="K106" s="19" t="n">
        <f aca="false">SUMIFS(Calculo!$F$120:$ES$120,Calculo!$F$6:$ES$6,8)</f>
        <v>1924259.60486093</v>
      </c>
      <c r="L106" s="19" t="n">
        <f aca="false">SUMIFS(Calculo!$F$120:$ES$120,Calculo!$F$6:$ES$6,9)</f>
        <v>1973950.90383755</v>
      </c>
      <c r="M106" s="19" t="n">
        <f aca="false">SUMIFS(Calculo!$F$120:$ES$120,Calculo!$F$6:$ES$6,10)</f>
        <v>6533737.41674454</v>
      </c>
      <c r="N106" s="19" t="n">
        <f aca="false">SUMIFS(Calculo!$F$120:$ES$120,Calculo!$F$6:$ES$6,11)</f>
        <v>0</v>
      </c>
      <c r="O106" s="19" t="n">
        <f aca="false">SUMIFS(Calculo!$F$120:$ES$120,Calculo!$F$6:$ES$6,12)</f>
        <v>0</v>
      </c>
    </row>
    <row r="107" customFormat="false" ht="15" hidden="false" customHeight="false" outlineLevel="0" collapsed="false">
      <c r="A107" s="11" t="s">
        <v>1609</v>
      </c>
      <c r="B107" s="15" t="s">
        <v>1240</v>
      </c>
      <c r="C107" s="54" t="n">
        <f aca="false">SUM(D107:O107)</f>
        <v>1139710</v>
      </c>
      <c r="D107" s="48" t="n">
        <f aca="false">SUMIFS(Calculo!$F$138:$ES$138,Calculo!$F$6:$ES$6,1)</f>
        <v>767782</v>
      </c>
      <c r="E107" s="48" t="n">
        <f aca="false">SUMIFS(Calculo!$F$138:$ES$138,Calculo!$F$6:$ES$6,2)</f>
        <v>371928</v>
      </c>
      <c r="F107" s="48" t="n">
        <f aca="false">SUMIFS(Calculo!$F$138:$ES$138,Calculo!$F$6:$ES$6,3)</f>
        <v>0</v>
      </c>
      <c r="G107" s="48" t="n">
        <f aca="false">SUMIFS(Calculo!$F$138:$ES$138,Calculo!$F$6:$ES$6,4)</f>
        <v>0</v>
      </c>
      <c r="H107" s="48" t="n">
        <f aca="false">SUMIFS(Calculo!$F$138:$ES$138,Calculo!$F$6:$ES$6,5)</f>
        <v>0</v>
      </c>
      <c r="I107" s="48" t="n">
        <f aca="false">SUMIFS(Calculo!$F$138:$ES$138,Calculo!$F$6:$ES$6,6)</f>
        <v>0</v>
      </c>
      <c r="J107" s="48" t="n">
        <f aca="false">SUMIFS(Calculo!$F$138:$ES$138,Calculo!$F$6:$ES$6,7)</f>
        <v>0</v>
      </c>
      <c r="K107" s="48" t="n">
        <f aca="false">SUMIFS(Calculo!$F$138:$ES$138,Calculo!$F$6:$ES$6,8)</f>
        <v>0</v>
      </c>
      <c r="L107" s="48" t="n">
        <f aca="false">SUMIFS(Calculo!$F$138:$ES$138,Calculo!$F$6:$ES$6,9)</f>
        <v>0</v>
      </c>
      <c r="M107" s="48" t="n">
        <f aca="false">SUMIFS(Calculo!$F$138:$ES$138,Calculo!$F$6:$ES$6,10)</f>
        <v>0</v>
      </c>
      <c r="N107" s="48" t="n">
        <f aca="false">SUMIFS(Calculo!$F$138:$ES$138,Calculo!$F$6:$ES$6,11)</f>
        <v>0</v>
      </c>
      <c r="O107" s="48" t="n">
        <f aca="false">SUMIFS(Calculo!$F$138:$ES$138,Calculo!$F$6:$ES$6,12)</f>
        <v>0</v>
      </c>
    </row>
    <row r="108" customFormat="false" ht="15" hidden="false" customHeight="false" outlineLevel="0" collapsed="false">
      <c r="A108" s="11" t="s">
        <v>1610</v>
      </c>
      <c r="B108" s="15" t="s">
        <v>1180</v>
      </c>
      <c r="C108" s="54" t="n">
        <f aca="false">SUM(D108:O108)</f>
        <v>813214.128224454</v>
      </c>
      <c r="D108" s="48" t="n">
        <f aca="false">SUMIFS(Calculo!$F$105:$ES$105,Calculo!$F$6:$ES$6,1)</f>
        <v>271101.932431026</v>
      </c>
      <c r="E108" s="48" t="n">
        <f aca="false">SUMIFS(Calculo!$F$105:$ES$105,Calculo!$F$6:$ES$6,2)</f>
        <v>226274.254121452</v>
      </c>
      <c r="F108" s="48" t="n">
        <f aca="false">SUMIFS(Calculo!$F$105:$ES$105,Calculo!$F$6:$ES$6,3)</f>
        <v>169415.972941167</v>
      </c>
      <c r="G108" s="48" t="n">
        <f aca="false">SUMIFS(Calculo!$F$105:$ES$105,Calculo!$F$6:$ES$6,4)</f>
        <v>107223.992796456</v>
      </c>
      <c r="H108" s="48" t="n">
        <f aca="false">SUMIFS(Calculo!$F$105:$ES$105,Calculo!$F$6:$ES$6,5)</f>
        <v>39197.9759343531</v>
      </c>
      <c r="I108" s="48" t="n">
        <f aca="false">SUMIFS(Calculo!$F$105:$ES$105,Calculo!$F$6:$ES$6,6)</f>
        <v>0</v>
      </c>
      <c r="J108" s="48" t="n">
        <f aca="false">SUMIFS(Calculo!$F$105:$ES$105,Calculo!$F$6:$ES$6,7)</f>
        <v>0</v>
      </c>
      <c r="K108" s="48" t="n">
        <f aca="false">SUMIFS(Calculo!$F$105:$ES$105,Calculo!$F$6:$ES$6,8)</f>
        <v>0</v>
      </c>
      <c r="L108" s="48" t="n">
        <f aca="false">SUMIFS(Calculo!$F$105:$ES$105,Calculo!$F$6:$ES$6,9)</f>
        <v>0</v>
      </c>
      <c r="M108" s="48" t="n">
        <f aca="false">SUMIFS(Calculo!$F$105:$ES$105,Calculo!$F$6:$ES$6,10)</f>
        <v>0</v>
      </c>
      <c r="N108" s="48" t="n">
        <f aca="false">SUMIFS(Calculo!$F$105:$ES$105,Calculo!$F$6:$ES$6,11)</f>
        <v>0</v>
      </c>
      <c r="O108" s="48" t="n">
        <f aca="false">SUMIFS(Calculo!$F$105:$ES$105,Calculo!$F$6:$ES$6,12)</f>
        <v>0</v>
      </c>
    </row>
    <row r="109" customFormat="false" ht="15" hidden="false" customHeight="false" outlineLevel="0" collapsed="false">
      <c r="A109" s="11" t="s">
        <v>1611</v>
      </c>
      <c r="B109" s="15" t="s">
        <v>1471</v>
      </c>
      <c r="C109" s="54" t="n">
        <f aca="false">SUM(D109:O109)</f>
        <v>2791587</v>
      </c>
      <c r="D109" s="48" t="n">
        <f aca="false">SUMIFS(Calculo!$F$147:$ES$147,Calculo!$F$6:$ES$6,1)</f>
        <v>257526.352358103</v>
      </c>
      <c r="E109" s="48" t="n">
        <f aca="false">SUMIFS(Calculo!$F$147:$ES$147,Calculo!$F$6:$ES$6,2)</f>
        <v>551018.611753115</v>
      </c>
      <c r="F109" s="48" t="n">
        <f aca="false">SUMIFS(Calculo!$F$147:$ES$147,Calculo!$F$6:$ES$6,3)</f>
        <v>602707.958280647</v>
      </c>
      <c r="G109" s="48" t="n">
        <f aca="false">SUMIFS(Calculo!$F$147:$ES$147,Calculo!$F$6:$ES$6,4)</f>
        <v>659246.122048566</v>
      </c>
      <c r="H109" s="48" t="n">
        <f aca="false">SUMIFS(Calculo!$F$147:$ES$147,Calculo!$F$6:$ES$6,5)</f>
        <v>721087.95555957</v>
      </c>
      <c r="I109" s="48" t="n">
        <f aca="false">SUMIFS(Calculo!$F$147:$ES$147,Calculo!$F$6:$ES$6,6)</f>
        <v>0</v>
      </c>
      <c r="J109" s="48" t="n">
        <f aca="false">SUMIFS(Calculo!$F$147:$ES$147,Calculo!$F$6:$ES$6,7)</f>
        <v>0</v>
      </c>
      <c r="K109" s="48" t="n">
        <f aca="false">SUMIFS(Calculo!$F$147:$ES$147,Calculo!$F$6:$ES$6,8)</f>
        <v>0</v>
      </c>
      <c r="L109" s="48" t="n">
        <f aca="false">SUMIFS(Calculo!$F$147:$ES$147,Calculo!$F$6:$ES$6,9)</f>
        <v>0</v>
      </c>
      <c r="M109" s="48" t="n">
        <f aca="false">SUMIFS(Calculo!$F$147:$ES$147,Calculo!$F$6:$ES$6,10)</f>
        <v>0</v>
      </c>
      <c r="N109" s="48" t="n">
        <f aca="false">SUMIFS(Calculo!$F$147:$ES$147,Calculo!$F$6:$ES$6,11)</f>
        <v>0</v>
      </c>
      <c r="O109" s="48" t="n">
        <f aca="false">SUMIFS(Calculo!$F$147:$ES$147,Calculo!$F$6:$ES$6,12)</f>
        <v>0</v>
      </c>
    </row>
    <row r="110" customFormat="false" ht="15" hidden="false" customHeight="false" outlineLevel="0" collapsed="false">
      <c r="A110" s="11" t="s">
        <v>1612</v>
      </c>
      <c r="B110" s="15" t="s">
        <v>1560</v>
      </c>
      <c r="C110" s="54" t="n">
        <f aca="false">SUM(D110:O110)</f>
        <v>2791587</v>
      </c>
      <c r="D110" s="48" t="n">
        <f aca="false">SUMIFS(Calculo!$F$137:$ES$137,Calculo!$F$6:$ES$6,1)</f>
        <v>257526.352358103</v>
      </c>
      <c r="E110" s="48" t="n">
        <f aca="false">SUMIFS(Calculo!$F$137:$ES$137,Calculo!$F$6:$ES$6,2)</f>
        <v>551018.611753115</v>
      </c>
      <c r="F110" s="48" t="n">
        <f aca="false">SUMIFS(Calculo!$F$137:$ES$137,Calculo!$F$6:$ES$6,3)</f>
        <v>602707.958280647</v>
      </c>
      <c r="G110" s="48" t="n">
        <f aca="false">SUMIFS(Calculo!$F$137:$ES$137,Calculo!$F$6:$ES$6,4)</f>
        <v>659246.122048566</v>
      </c>
      <c r="H110" s="48" t="n">
        <f aca="false">SUMIFS(Calculo!$F$137:$ES$137,Calculo!$F$6:$ES$6,5)</f>
        <v>721087.95555957</v>
      </c>
      <c r="I110" s="48" t="n">
        <f aca="false">SUMIFS(Calculo!$F$137:$ES$137,Calculo!$F$6:$ES$6,6)</f>
        <v>0</v>
      </c>
      <c r="J110" s="48" t="n">
        <f aca="false">SUMIFS(Calculo!$F$137:$ES$137,Calculo!$F$6:$ES$6,7)</f>
        <v>0</v>
      </c>
      <c r="K110" s="48" t="n">
        <f aca="false">SUMIFS(Calculo!$F$137:$ES$137,Calculo!$F$6:$ES$6,8)</f>
        <v>0</v>
      </c>
      <c r="L110" s="48" t="n">
        <f aca="false">SUMIFS(Calculo!$F$137:$ES$137,Calculo!$F$6:$ES$6,9)</f>
        <v>0</v>
      </c>
      <c r="M110" s="48" t="n">
        <f aca="false">SUMIFS(Calculo!$F$137:$ES$137,Calculo!$F$6:$ES$6,10)</f>
        <v>0</v>
      </c>
      <c r="N110" s="48" t="n">
        <f aca="false">SUMIFS(Calculo!$F$137:$ES$137,Calculo!$F$6:$ES$6,11)</f>
        <v>0</v>
      </c>
      <c r="O110" s="48" t="n">
        <f aca="false">SUMIFS(Calculo!$F$137:$ES$137,Calculo!$F$6:$ES$6,12)</f>
        <v>0</v>
      </c>
    </row>
    <row r="111" customFormat="false" ht="15" hidden="false" customHeight="false" outlineLevel="0" collapsed="false">
      <c r="A111" s="11" t="s">
        <v>1613</v>
      </c>
      <c r="B111" s="67" t="s">
        <v>1472</v>
      </c>
      <c r="C111" s="54" t="n">
        <f aca="false">INDEX(Calculo!$F$154:$ES$154,1,MIN(144,Fin))</f>
        <v>1637883.64417609</v>
      </c>
      <c r="D111" s="19" t="n">
        <f aca="false">INDEX(Calculo!$F$154:$ES$154,1,MIN(144,12))</f>
        <v>497602.743558918</v>
      </c>
      <c r="E111" s="19" t="n">
        <f aca="false">INDEX(Calculo!$F$154:$ES$154,1,MIN(144,24))</f>
        <v>303049.269216285</v>
      </c>
      <c r="F111" s="19" t="n">
        <f aca="false">INDEX(Calculo!$F$154:$ES$154,1,MIN(144,36))</f>
        <v>268618.777743544</v>
      </c>
      <c r="G111" s="19" t="n">
        <f aca="false">INDEX(Calculo!$F$154:$ES$154,1,MIN(144,48))</f>
        <v>742062.551523509</v>
      </c>
      <c r="H111" s="19" t="n">
        <f aca="false">INDEX(Calculo!$F$154:$ES$154,1,MIN(144,60))</f>
        <v>953271.672459288</v>
      </c>
      <c r="I111" s="19" t="n">
        <f aca="false">INDEX(Calculo!$F$154:$ES$154,1,MIN(144,72))</f>
        <v>1315225.57319639</v>
      </c>
      <c r="J111" s="19" t="n">
        <f aca="false">INDEX(Calculo!$F$154:$ES$154,1,MIN(144,84))</f>
        <v>1395939.25727049</v>
      </c>
      <c r="K111" s="19" t="n">
        <f aca="false">INDEX(Calculo!$F$154:$ES$154,1,MIN(144,96))</f>
        <v>1476623.20125862</v>
      </c>
      <c r="L111" s="19" t="n">
        <f aca="false">INDEX(Calculo!$F$154:$ES$154,1,MIN(144,108))</f>
        <v>1557272.89154073</v>
      </c>
      <c r="M111" s="19" t="n">
        <f aca="false">INDEX(Calculo!$F$154:$ES$154,1,MIN(144,120))</f>
        <v>1637883.64417609</v>
      </c>
      <c r="N111" s="19" t="n">
        <f aca="false">INDEX(Calculo!$F$154:$ES$154,1,MIN(144,132))</f>
        <v>1637883.64417609</v>
      </c>
      <c r="O111" s="19" t="n">
        <f aca="false">INDEX(Calculo!$F$154:$ES$154,1,MIN(144,144))</f>
        <v>1637883.64417609</v>
      </c>
    </row>
    <row r="112" customFormat="false" ht="15" hidden="false" customHeight="false" outlineLevel="0" collapsed="false">
      <c r="A112" s="11" t="s">
        <v>1614</v>
      </c>
      <c r="B112" s="15" t="s">
        <v>1473</v>
      </c>
      <c r="C112" s="54" t="n">
        <f aca="false">INDEX(Calculo!$F$148:$ES$148,1,MIN(144,Fin))</f>
        <v>0</v>
      </c>
      <c r="D112" s="48" t="n">
        <f aca="false">INDEX(Calculo!$F$148:$ES$148,1,MIN(144,12))</f>
        <v>2534060.6476419</v>
      </c>
      <c r="E112" s="48" t="n">
        <f aca="false">INDEX(Calculo!$F$148:$ES$148,1,MIN(144,24))</f>
        <v>1983042.03588878</v>
      </c>
      <c r="F112" s="48" t="n">
        <f aca="false">INDEX(Calculo!$F$148:$ES$148,1,MIN(144,36))</f>
        <v>1380334.07760814</v>
      </c>
      <c r="G112" s="48" t="n">
        <f aca="false">INDEX(Calculo!$F$148:$ES$148,1,MIN(144,48))</f>
        <v>721087.95555957</v>
      </c>
      <c r="H112" s="48" t="n">
        <f aca="false">INDEX(Calculo!$F$148:$ES$148,1,MIN(144,60))</f>
        <v>0</v>
      </c>
      <c r="I112" s="48" t="n">
        <f aca="false">INDEX(Calculo!$F$148:$ES$148,1,MIN(144,72))</f>
        <v>0</v>
      </c>
      <c r="J112" s="48" t="n">
        <f aca="false">INDEX(Calculo!$F$148:$ES$148,1,MIN(144,84))</f>
        <v>0</v>
      </c>
      <c r="K112" s="48" t="n">
        <f aca="false">INDEX(Calculo!$F$148:$ES$148,1,MIN(144,96))</f>
        <v>0</v>
      </c>
      <c r="L112" s="48" t="n">
        <f aca="false">INDEX(Calculo!$F$148:$ES$148,1,MIN(144,108))</f>
        <v>0</v>
      </c>
      <c r="M112" s="48" t="n">
        <f aca="false">INDEX(Calculo!$F$148:$ES$148,1,MIN(144,120))</f>
        <v>0</v>
      </c>
      <c r="N112" s="48" t="n">
        <f aca="false">INDEX(Calculo!$F$148:$ES$148,1,MIN(144,132))</f>
        <v>0</v>
      </c>
      <c r="O112" s="48" t="n">
        <f aca="false">INDEX(Calculo!$F$148:$ES$148,1,MIN(144,144))</f>
        <v>0</v>
      </c>
    </row>
    <row r="113" customFormat="false" ht="15" hidden="false" customHeight="false" outlineLevel="0" collapsed="false">
      <c r="A113" s="11" t="s">
        <v>1615</v>
      </c>
      <c r="B113" s="15" t="s">
        <v>1567</v>
      </c>
      <c r="C113" s="54" t="n">
        <f aca="false">INDEX(Calculo!$F$113:$ES$113,1,MIN(144,Fin))</f>
        <v>4499762.51732228</v>
      </c>
      <c r="D113" s="48" t="n">
        <f aca="false">INDEX(Calculo!$F$113:$ES$113,1,MIN(144,12))</f>
        <v>2388063.88735903</v>
      </c>
      <c r="E113" s="48" t="n">
        <f aca="false">INDEX(Calculo!$F$113:$ES$113,1,MIN(144,24))</f>
        <v>3043209.33175467</v>
      </c>
      <c r="F113" s="48" t="n">
        <f aca="false">INDEX(Calculo!$F$113:$ES$113,1,MIN(144,36))</f>
        <v>3710536.2623871</v>
      </c>
      <c r="G113" s="48" t="n">
        <f aca="false">INDEX(Calculo!$F$113:$ES$113,1,MIN(144,48))</f>
        <v>4269345.33232041</v>
      </c>
      <c r="H113" s="48" t="n">
        <f aca="false">INDEX(Calculo!$F$113:$ES$113,1,MIN(144,60))</f>
        <v>4307454.88002627</v>
      </c>
      <c r="I113" s="48" t="n">
        <f aca="false">INDEX(Calculo!$F$113:$ES$113,1,MIN(144,72))</f>
        <v>4345179.73649487</v>
      </c>
      <c r="J113" s="48" t="n">
        <f aca="false">INDEX(Calculo!$F$113:$ES$113,1,MIN(144,84))</f>
        <v>4383269.62971965</v>
      </c>
      <c r="K113" s="48" t="n">
        <f aca="false">INDEX(Calculo!$F$113:$ES$113,1,MIN(144,96))</f>
        <v>4421727.84741417</v>
      </c>
      <c r="L113" s="48" t="n">
        <f aca="false">INDEX(Calculo!$F$113:$ES$113,1,MIN(144,108))</f>
        <v>4460557.6993635</v>
      </c>
      <c r="M113" s="48" t="n">
        <f aca="false">INDEX(Calculo!$F$113:$ES$113,1,MIN(144,120))</f>
        <v>4499762.51732228</v>
      </c>
      <c r="N113" s="48" t="n">
        <f aca="false">INDEX(Calculo!$F$113:$ES$113,1,MIN(144,132))</f>
        <v>4499762.51732228</v>
      </c>
      <c r="O113" s="48" t="n">
        <f aca="false">INDEX(Calculo!$F$113:$ES$113,1,MIN(144,144))</f>
        <v>4499762.51732228</v>
      </c>
    </row>
    <row r="114" customFormat="false" ht="15" hidden="false" customHeight="false" outlineLevel="0" collapsed="false">
      <c r="A114" s="11" t="s">
        <v>1616</v>
      </c>
      <c r="B114" s="15" t="s">
        <v>1617</v>
      </c>
      <c r="D114" s="48" t="n">
        <f aca="false">D108+D110</f>
        <v>528628.284789129</v>
      </c>
      <c r="E114" s="48" t="n">
        <f aca="false">E108+E110</f>
        <v>777292.865874567</v>
      </c>
      <c r="F114" s="48" t="n">
        <f aca="false">F108+F110</f>
        <v>772123.931221814</v>
      </c>
      <c r="G114" s="48" t="n">
        <f aca="false">G108+G110</f>
        <v>766470.114845022</v>
      </c>
      <c r="H114" s="48" t="n">
        <f aca="false">H108+H110</f>
        <v>760285.931493923</v>
      </c>
      <c r="I114" s="48" t="n">
        <f aca="false">I108+I110</f>
        <v>0</v>
      </c>
      <c r="J114" s="48" t="n">
        <f aca="false">J108+J110</f>
        <v>0</v>
      </c>
      <c r="K114" s="48" t="n">
        <f aca="false">K108+K110</f>
        <v>0</v>
      </c>
      <c r="L114" s="48" t="n">
        <f aca="false">L108+L110</f>
        <v>0</v>
      </c>
      <c r="M114" s="48" t="n">
        <f aca="false">M108+M110</f>
        <v>0</v>
      </c>
      <c r="N114" s="48" t="n">
        <f aca="false">N108+N110</f>
        <v>0</v>
      </c>
      <c r="O114" s="48" t="n">
        <f aca="false">O108+O110</f>
        <v>0</v>
      </c>
    </row>
    <row r="115" customFormat="false" ht="15" hidden="false" customHeight="false" outlineLevel="0" collapsed="false">
      <c r="A115" s="11" t="s">
        <v>1618</v>
      </c>
      <c r="B115" s="15" t="s">
        <v>1619</v>
      </c>
      <c r="D115" s="82" t="n">
        <f aca="false">IF(D114&gt;1,D104/D114,"")</f>
        <v>-3.5527684304693</v>
      </c>
      <c r="E115" s="82" t="n">
        <f aca="false">IF(E114&gt;1,E104/E114,"")</f>
        <v>0.399863944695061</v>
      </c>
      <c r="F115" s="82" t="n">
        <f aca="false">IF(F114&gt;1,F104/F114,"")</f>
        <v>0.955408076242039</v>
      </c>
      <c r="G115" s="82" t="n">
        <f aca="false">IF(G114&gt;1,G104/G114,"")</f>
        <v>1.6176937164415</v>
      </c>
      <c r="H115" s="82" t="n">
        <f aca="false">IF(H114&gt;1,H104/H114,"")</f>
        <v>2.33655307460444</v>
      </c>
      <c r="I115" s="82" t="str">
        <f aca="false">IF(I114&gt;1,I104/I114,"")</f>
        <v/>
      </c>
      <c r="J115" s="82" t="str">
        <f aca="false">IF(J114&gt;1,J104/J114,"")</f>
        <v/>
      </c>
      <c r="K115" s="82" t="str">
        <f aca="false">IF(K114&gt;1,K104/K114,"")</f>
        <v/>
      </c>
      <c r="L115" s="82" t="str">
        <f aca="false">IF(L114&gt;1,L104/L114,"")</f>
        <v/>
      </c>
      <c r="M115" s="82" t="str">
        <f aca="false">IF(M114&gt;1,M104/M114,"")</f>
        <v/>
      </c>
      <c r="N115" s="82" t="str">
        <f aca="false">IF(N114&gt;1,N104/N114,"")</f>
        <v/>
      </c>
      <c r="O115" s="82" t="str">
        <f aca="false">IF(O114&gt;1,O104/O114,"")</f>
        <v/>
      </c>
    </row>
    <row r="116" customFormat="false" ht="15" hidden="false" customHeight="false" outlineLevel="0" collapsed="false">
      <c r="B116" s="20" t="s">
        <v>289</v>
      </c>
    </row>
    <row r="117" customFormat="false" ht="15" hidden="false" customHeight="false" outlineLevel="0" collapsed="false">
      <c r="A117" s="11" t="s">
        <v>1620</v>
      </c>
      <c r="B117" s="15" t="str">
        <f aca="false">IF(INDEX(Prod_Nombre,1)="","Producto 1",INDEX(Prod_Nombre,1))</f>
        <v>Gabinetes metálicos 153 kg</v>
      </c>
      <c r="C117" s="54" t="n">
        <f aca="false">SUM(D117:O117)</f>
        <v>192000</v>
      </c>
      <c r="D117" s="48" t="n">
        <f aca="false">SUMIFS(Calculo!$F$21:$ES$21,Calculo!$F$6:$ES$6,1)</f>
        <v>12000</v>
      </c>
      <c r="E117" s="48" t="n">
        <f aca="false">SUMIFS(Calculo!$F$21:$ES$21,Calculo!$F$6:$ES$6,2)</f>
        <v>15000</v>
      </c>
      <c r="F117" s="48" t="n">
        <f aca="false">SUMIFS(Calculo!$F$21:$ES$21,Calculo!$F$6:$ES$6,3)</f>
        <v>18000</v>
      </c>
      <c r="G117" s="48" t="n">
        <f aca="false">SUMIFS(Calculo!$F$21:$ES$21,Calculo!$F$6:$ES$6,4)</f>
        <v>21000</v>
      </c>
      <c r="H117" s="48" t="n">
        <f aca="false">SUMIFS(Calculo!$F$21:$ES$21,Calculo!$F$6:$ES$6,5)</f>
        <v>21000</v>
      </c>
      <c r="I117" s="48" t="n">
        <f aca="false">SUMIFS(Calculo!$F$21:$ES$21,Calculo!$F$6:$ES$6,6)</f>
        <v>21000</v>
      </c>
      <c r="J117" s="48" t="n">
        <f aca="false">SUMIFS(Calculo!$F$21:$ES$21,Calculo!$F$6:$ES$6,7)</f>
        <v>21000</v>
      </c>
      <c r="K117" s="48" t="n">
        <f aca="false">SUMIFS(Calculo!$F$21:$ES$21,Calculo!$F$6:$ES$6,8)</f>
        <v>21000</v>
      </c>
      <c r="L117" s="48" t="n">
        <f aca="false">SUMIFS(Calculo!$F$21:$ES$21,Calculo!$F$6:$ES$6,9)</f>
        <v>21000</v>
      </c>
      <c r="M117" s="48" t="n">
        <f aca="false">SUMIFS(Calculo!$F$21:$ES$21,Calculo!$F$6:$ES$6,10)</f>
        <v>21000</v>
      </c>
      <c r="N117" s="48" t="n">
        <f aca="false">SUMIFS(Calculo!$F$21:$ES$21,Calculo!$F$6:$ES$6,11)</f>
        <v>0</v>
      </c>
      <c r="O117" s="48" t="n">
        <f aca="false">SUMIFS(Calculo!$F$21:$ES$21,Calculo!$F$6:$ES$6,12)</f>
        <v>0</v>
      </c>
    </row>
    <row r="118" customFormat="false" ht="15" hidden="false" customHeight="false" outlineLevel="0" collapsed="false">
      <c r="A118" s="11" t="s">
        <v>1621</v>
      </c>
      <c r="B118" s="15" t="str">
        <f aca="false">IF(INDEX(Prod_Nombre,2)="","Producto 2",INDEX(Prod_Nombre,2))</f>
        <v>Cajas metálicas 13 kg</v>
      </c>
      <c r="C118" s="54" t="n">
        <f aca="false">SUM(D118:O118)</f>
        <v>1110000</v>
      </c>
      <c r="D118" s="48" t="n">
        <f aca="false">SUMIFS(Calculo!$F$22:$ES$22,Calculo!$F$6:$ES$6,1)</f>
        <v>70000</v>
      </c>
      <c r="E118" s="48" t="n">
        <f aca="false">SUMIFS(Calculo!$F$22:$ES$22,Calculo!$F$6:$ES$6,2)</f>
        <v>90000</v>
      </c>
      <c r="F118" s="48" t="n">
        <f aca="false">SUMIFS(Calculo!$F$22:$ES$22,Calculo!$F$6:$ES$6,3)</f>
        <v>110000</v>
      </c>
      <c r="G118" s="48" t="n">
        <f aca="false">SUMIFS(Calculo!$F$22:$ES$22,Calculo!$F$6:$ES$6,4)</f>
        <v>120000</v>
      </c>
      <c r="H118" s="48" t="n">
        <f aca="false">SUMIFS(Calculo!$F$22:$ES$22,Calculo!$F$6:$ES$6,5)</f>
        <v>120000</v>
      </c>
      <c r="I118" s="48" t="n">
        <f aca="false">SUMIFS(Calculo!$F$22:$ES$22,Calculo!$F$6:$ES$6,6)</f>
        <v>120000</v>
      </c>
      <c r="J118" s="48" t="n">
        <f aca="false">SUMIFS(Calculo!$F$22:$ES$22,Calculo!$F$6:$ES$6,7)</f>
        <v>120000</v>
      </c>
      <c r="K118" s="48" t="n">
        <f aca="false">SUMIFS(Calculo!$F$22:$ES$22,Calculo!$F$6:$ES$6,8)</f>
        <v>120000</v>
      </c>
      <c r="L118" s="48" t="n">
        <f aca="false">SUMIFS(Calculo!$F$22:$ES$22,Calculo!$F$6:$ES$6,9)</f>
        <v>120000</v>
      </c>
      <c r="M118" s="48" t="n">
        <f aca="false">SUMIFS(Calculo!$F$22:$ES$22,Calculo!$F$6:$ES$6,10)</f>
        <v>120000</v>
      </c>
      <c r="N118" s="48" t="n">
        <f aca="false">SUMIFS(Calculo!$F$22:$ES$22,Calculo!$F$6:$ES$6,11)</f>
        <v>0</v>
      </c>
      <c r="O118" s="48" t="n">
        <f aca="false">SUMIFS(Calculo!$F$22:$ES$22,Calculo!$F$6:$ES$6,12)</f>
        <v>0</v>
      </c>
    </row>
    <row r="119" customFormat="false" ht="15" hidden="false" customHeight="false" outlineLevel="0" collapsed="false">
      <c r="A119" s="11" t="s">
        <v>1622</v>
      </c>
      <c r="B119" s="15" t="str">
        <f aca="false">IF(INDEX(Prod_Nombre,3)="","Producto 3",INDEX(Prod_Nombre,3))</f>
        <v>Producto 3</v>
      </c>
      <c r="C119" s="54" t="n">
        <f aca="false">SUM(D119:O119)</f>
        <v>0</v>
      </c>
      <c r="D119" s="48" t="n">
        <f aca="false">SUMIFS(Calculo!$F$23:$ES$23,Calculo!$F$6:$ES$6,1)</f>
        <v>0</v>
      </c>
      <c r="E119" s="48" t="n">
        <f aca="false">SUMIFS(Calculo!$F$23:$ES$23,Calculo!$F$6:$ES$6,2)</f>
        <v>0</v>
      </c>
      <c r="F119" s="48" t="n">
        <f aca="false">SUMIFS(Calculo!$F$23:$ES$23,Calculo!$F$6:$ES$6,3)</f>
        <v>0</v>
      </c>
      <c r="G119" s="48" t="n">
        <f aca="false">SUMIFS(Calculo!$F$23:$ES$23,Calculo!$F$6:$ES$6,4)</f>
        <v>0</v>
      </c>
      <c r="H119" s="48" t="n">
        <f aca="false">SUMIFS(Calculo!$F$23:$ES$23,Calculo!$F$6:$ES$6,5)</f>
        <v>0</v>
      </c>
      <c r="I119" s="48" t="n">
        <f aca="false">SUMIFS(Calculo!$F$23:$ES$23,Calculo!$F$6:$ES$6,6)</f>
        <v>0</v>
      </c>
      <c r="J119" s="48" t="n">
        <f aca="false">SUMIFS(Calculo!$F$23:$ES$23,Calculo!$F$6:$ES$6,7)</f>
        <v>0</v>
      </c>
      <c r="K119" s="48" t="n">
        <f aca="false">SUMIFS(Calculo!$F$23:$ES$23,Calculo!$F$6:$ES$6,8)</f>
        <v>0</v>
      </c>
      <c r="L119" s="48" t="n">
        <f aca="false">SUMIFS(Calculo!$F$23:$ES$23,Calculo!$F$6:$ES$6,9)</f>
        <v>0</v>
      </c>
      <c r="M119" s="48" t="n">
        <f aca="false">SUMIFS(Calculo!$F$23:$ES$23,Calculo!$F$6:$ES$6,10)</f>
        <v>0</v>
      </c>
      <c r="N119" s="48" t="n">
        <f aca="false">SUMIFS(Calculo!$F$23:$ES$23,Calculo!$F$6:$ES$6,11)</f>
        <v>0</v>
      </c>
      <c r="O119" s="48" t="n">
        <f aca="false">SUMIFS(Calculo!$F$23:$ES$23,Calculo!$F$6:$ES$6,12)</f>
        <v>0</v>
      </c>
    </row>
    <row r="120" customFormat="false" ht="15" hidden="false" customHeight="false" outlineLevel="0" collapsed="false">
      <c r="A120" s="11" t="s">
        <v>1623</v>
      </c>
      <c r="B120" s="15" t="str">
        <f aca="false">IF(INDEX(Prod_Nombre,4)="","Producto 4",INDEX(Prod_Nombre,4))</f>
        <v>Producto 4</v>
      </c>
      <c r="C120" s="54" t="n">
        <f aca="false">SUM(D120:O120)</f>
        <v>0</v>
      </c>
      <c r="D120" s="48" t="n">
        <f aca="false">SUMIFS(Calculo!$F$24:$ES$24,Calculo!$F$6:$ES$6,1)</f>
        <v>0</v>
      </c>
      <c r="E120" s="48" t="n">
        <f aca="false">SUMIFS(Calculo!$F$24:$ES$24,Calculo!$F$6:$ES$6,2)</f>
        <v>0</v>
      </c>
      <c r="F120" s="48" t="n">
        <f aca="false">SUMIFS(Calculo!$F$24:$ES$24,Calculo!$F$6:$ES$6,3)</f>
        <v>0</v>
      </c>
      <c r="G120" s="48" t="n">
        <f aca="false">SUMIFS(Calculo!$F$24:$ES$24,Calculo!$F$6:$ES$6,4)</f>
        <v>0</v>
      </c>
      <c r="H120" s="48" t="n">
        <f aca="false">SUMIFS(Calculo!$F$24:$ES$24,Calculo!$F$6:$ES$6,5)</f>
        <v>0</v>
      </c>
      <c r="I120" s="48" t="n">
        <f aca="false">SUMIFS(Calculo!$F$24:$ES$24,Calculo!$F$6:$ES$6,6)</f>
        <v>0</v>
      </c>
      <c r="J120" s="48" t="n">
        <f aca="false">SUMIFS(Calculo!$F$24:$ES$24,Calculo!$F$6:$ES$6,7)</f>
        <v>0</v>
      </c>
      <c r="K120" s="48" t="n">
        <f aca="false">SUMIFS(Calculo!$F$24:$ES$24,Calculo!$F$6:$ES$6,8)</f>
        <v>0</v>
      </c>
      <c r="L120" s="48" t="n">
        <f aca="false">SUMIFS(Calculo!$F$24:$ES$24,Calculo!$F$6:$ES$6,9)</f>
        <v>0</v>
      </c>
      <c r="M120" s="48" t="n">
        <f aca="false">SUMIFS(Calculo!$F$24:$ES$24,Calculo!$F$6:$ES$6,10)</f>
        <v>0</v>
      </c>
      <c r="N120" s="48" t="n">
        <f aca="false">SUMIFS(Calculo!$F$24:$ES$24,Calculo!$F$6:$ES$6,11)</f>
        <v>0</v>
      </c>
      <c r="O120" s="48" t="n">
        <f aca="false">SUMIFS(Calculo!$F$24:$ES$24,Calculo!$F$6:$ES$6,12)</f>
        <v>0</v>
      </c>
    </row>
    <row r="121" customFormat="false" ht="15" hidden="false" customHeight="false" outlineLevel="0" collapsed="false">
      <c r="A121" s="11" t="s">
        <v>1624</v>
      </c>
      <c r="B121" s="15" t="str">
        <f aca="false">IF(INDEX(Prod_Nombre,5)="","Producto 5",INDEX(Prod_Nombre,5))</f>
        <v>Producto 5</v>
      </c>
      <c r="C121" s="54" t="n">
        <f aca="false">SUM(D121:O121)</f>
        <v>0</v>
      </c>
      <c r="D121" s="48" t="n">
        <f aca="false">SUMIFS(Calculo!$F$25:$ES$25,Calculo!$F$6:$ES$6,1)</f>
        <v>0</v>
      </c>
      <c r="E121" s="48" t="n">
        <f aca="false">SUMIFS(Calculo!$F$25:$ES$25,Calculo!$F$6:$ES$6,2)</f>
        <v>0</v>
      </c>
      <c r="F121" s="48" t="n">
        <f aca="false">SUMIFS(Calculo!$F$25:$ES$25,Calculo!$F$6:$ES$6,3)</f>
        <v>0</v>
      </c>
      <c r="G121" s="48" t="n">
        <f aca="false">SUMIFS(Calculo!$F$25:$ES$25,Calculo!$F$6:$ES$6,4)</f>
        <v>0</v>
      </c>
      <c r="H121" s="48" t="n">
        <f aca="false">SUMIFS(Calculo!$F$25:$ES$25,Calculo!$F$6:$ES$6,5)</f>
        <v>0</v>
      </c>
      <c r="I121" s="48" t="n">
        <f aca="false">SUMIFS(Calculo!$F$25:$ES$25,Calculo!$F$6:$ES$6,6)</f>
        <v>0</v>
      </c>
      <c r="J121" s="48" t="n">
        <f aca="false">SUMIFS(Calculo!$F$25:$ES$25,Calculo!$F$6:$ES$6,7)</f>
        <v>0</v>
      </c>
      <c r="K121" s="48" t="n">
        <f aca="false">SUMIFS(Calculo!$F$25:$ES$25,Calculo!$F$6:$ES$6,8)</f>
        <v>0</v>
      </c>
      <c r="L121" s="48" t="n">
        <f aca="false">SUMIFS(Calculo!$F$25:$ES$25,Calculo!$F$6:$ES$6,9)</f>
        <v>0</v>
      </c>
      <c r="M121" s="48" t="n">
        <f aca="false">SUMIFS(Calculo!$F$25:$ES$25,Calculo!$F$6:$ES$6,10)</f>
        <v>0</v>
      </c>
      <c r="N121" s="48" t="n">
        <f aca="false">SUMIFS(Calculo!$F$25:$ES$25,Calculo!$F$6:$ES$6,11)</f>
        <v>0</v>
      </c>
      <c r="O121" s="48" t="n">
        <f aca="false">SUMIFS(Calculo!$F$25:$ES$25,Calculo!$F$6:$ES$6,12)</f>
        <v>0</v>
      </c>
    </row>
    <row r="122" customFormat="false" ht="15" hidden="false" customHeight="false" outlineLevel="0" collapsed="false">
      <c r="A122" s="11" t="s">
        <v>1625</v>
      </c>
      <c r="B122" s="15" t="str">
        <f aca="false">IF(INDEX(Prod_Nombre,6)="","Producto 6",INDEX(Prod_Nombre,6))</f>
        <v>Producto 6</v>
      </c>
      <c r="C122" s="54" t="n">
        <f aca="false">SUM(D122:O122)</f>
        <v>0</v>
      </c>
      <c r="D122" s="48" t="n">
        <f aca="false">SUMIFS(Calculo!$F$26:$ES$26,Calculo!$F$6:$ES$6,1)</f>
        <v>0</v>
      </c>
      <c r="E122" s="48" t="n">
        <f aca="false">SUMIFS(Calculo!$F$26:$ES$26,Calculo!$F$6:$ES$6,2)</f>
        <v>0</v>
      </c>
      <c r="F122" s="48" t="n">
        <f aca="false">SUMIFS(Calculo!$F$26:$ES$26,Calculo!$F$6:$ES$6,3)</f>
        <v>0</v>
      </c>
      <c r="G122" s="48" t="n">
        <f aca="false">SUMIFS(Calculo!$F$26:$ES$26,Calculo!$F$6:$ES$6,4)</f>
        <v>0</v>
      </c>
      <c r="H122" s="48" t="n">
        <f aca="false">SUMIFS(Calculo!$F$26:$ES$26,Calculo!$F$6:$ES$6,5)</f>
        <v>0</v>
      </c>
      <c r="I122" s="48" t="n">
        <f aca="false">SUMIFS(Calculo!$F$26:$ES$26,Calculo!$F$6:$ES$6,6)</f>
        <v>0</v>
      </c>
      <c r="J122" s="48" t="n">
        <f aca="false">SUMIFS(Calculo!$F$26:$ES$26,Calculo!$F$6:$ES$6,7)</f>
        <v>0</v>
      </c>
      <c r="K122" s="48" t="n">
        <f aca="false">SUMIFS(Calculo!$F$26:$ES$26,Calculo!$F$6:$ES$6,8)</f>
        <v>0</v>
      </c>
      <c r="L122" s="48" t="n">
        <f aca="false">SUMIFS(Calculo!$F$26:$ES$26,Calculo!$F$6:$ES$6,9)</f>
        <v>0</v>
      </c>
      <c r="M122" s="48" t="n">
        <f aca="false">SUMIFS(Calculo!$F$26:$ES$26,Calculo!$F$6:$ES$6,10)</f>
        <v>0</v>
      </c>
      <c r="N122" s="48" t="n">
        <f aca="false">SUMIFS(Calculo!$F$26:$ES$26,Calculo!$F$6:$ES$6,11)</f>
        <v>0</v>
      </c>
      <c r="O122" s="48" t="n">
        <f aca="false">SUMIFS(Calculo!$F$26:$ES$26,Calculo!$F$6:$ES$6,12)</f>
        <v>0</v>
      </c>
    </row>
    <row r="123" customFormat="false" ht="15" hidden="false" customHeight="false" outlineLevel="0" collapsed="false">
      <c r="A123" s="11" t="s">
        <v>1626</v>
      </c>
      <c r="B123" s="15" t="str">
        <f aca="false">IF(INDEX(Prod_Nombre,7)="","Producto 7",INDEX(Prod_Nombre,7))</f>
        <v>Producto 7</v>
      </c>
      <c r="C123" s="54" t="n">
        <f aca="false">SUM(D123:O123)</f>
        <v>0</v>
      </c>
      <c r="D123" s="48" t="n">
        <f aca="false">SUMIFS(Calculo!$F$27:$ES$27,Calculo!$F$6:$ES$6,1)</f>
        <v>0</v>
      </c>
      <c r="E123" s="48" t="n">
        <f aca="false">SUMIFS(Calculo!$F$27:$ES$27,Calculo!$F$6:$ES$6,2)</f>
        <v>0</v>
      </c>
      <c r="F123" s="48" t="n">
        <f aca="false">SUMIFS(Calculo!$F$27:$ES$27,Calculo!$F$6:$ES$6,3)</f>
        <v>0</v>
      </c>
      <c r="G123" s="48" t="n">
        <f aca="false">SUMIFS(Calculo!$F$27:$ES$27,Calculo!$F$6:$ES$6,4)</f>
        <v>0</v>
      </c>
      <c r="H123" s="48" t="n">
        <f aca="false">SUMIFS(Calculo!$F$27:$ES$27,Calculo!$F$6:$ES$6,5)</f>
        <v>0</v>
      </c>
      <c r="I123" s="48" t="n">
        <f aca="false">SUMIFS(Calculo!$F$27:$ES$27,Calculo!$F$6:$ES$6,6)</f>
        <v>0</v>
      </c>
      <c r="J123" s="48" t="n">
        <f aca="false">SUMIFS(Calculo!$F$27:$ES$27,Calculo!$F$6:$ES$6,7)</f>
        <v>0</v>
      </c>
      <c r="K123" s="48" t="n">
        <f aca="false">SUMIFS(Calculo!$F$27:$ES$27,Calculo!$F$6:$ES$6,8)</f>
        <v>0</v>
      </c>
      <c r="L123" s="48" t="n">
        <f aca="false">SUMIFS(Calculo!$F$27:$ES$27,Calculo!$F$6:$ES$6,9)</f>
        <v>0</v>
      </c>
      <c r="M123" s="48" t="n">
        <f aca="false">SUMIFS(Calculo!$F$27:$ES$27,Calculo!$F$6:$ES$6,10)</f>
        <v>0</v>
      </c>
      <c r="N123" s="48" t="n">
        <f aca="false">SUMIFS(Calculo!$F$27:$ES$27,Calculo!$F$6:$ES$6,11)</f>
        <v>0</v>
      </c>
      <c r="O123" s="48" t="n">
        <f aca="false">SUMIFS(Calculo!$F$27:$ES$27,Calculo!$F$6:$ES$6,12)</f>
        <v>0</v>
      </c>
    </row>
    <row r="124" customFormat="false" ht="15" hidden="false" customHeight="false" outlineLevel="0" collapsed="false">
      <c r="A124" s="11" t="s">
        <v>1627</v>
      </c>
      <c r="B124" s="15" t="str">
        <f aca="false">IF(INDEX(Prod_Nombre,8)="","Producto 8",INDEX(Prod_Nombre,8))</f>
        <v>Producto 8</v>
      </c>
      <c r="C124" s="54" t="n">
        <f aca="false">SUM(D124:O124)</f>
        <v>0</v>
      </c>
      <c r="D124" s="48" t="n">
        <f aca="false">SUMIFS(Calculo!$F$28:$ES$28,Calculo!$F$6:$ES$6,1)</f>
        <v>0</v>
      </c>
      <c r="E124" s="48" t="n">
        <f aca="false">SUMIFS(Calculo!$F$28:$ES$28,Calculo!$F$6:$ES$6,2)</f>
        <v>0</v>
      </c>
      <c r="F124" s="48" t="n">
        <f aca="false">SUMIFS(Calculo!$F$28:$ES$28,Calculo!$F$6:$ES$6,3)</f>
        <v>0</v>
      </c>
      <c r="G124" s="48" t="n">
        <f aca="false">SUMIFS(Calculo!$F$28:$ES$28,Calculo!$F$6:$ES$6,4)</f>
        <v>0</v>
      </c>
      <c r="H124" s="48" t="n">
        <f aca="false">SUMIFS(Calculo!$F$28:$ES$28,Calculo!$F$6:$ES$6,5)</f>
        <v>0</v>
      </c>
      <c r="I124" s="48" t="n">
        <f aca="false">SUMIFS(Calculo!$F$28:$ES$28,Calculo!$F$6:$ES$6,6)</f>
        <v>0</v>
      </c>
      <c r="J124" s="48" t="n">
        <f aca="false">SUMIFS(Calculo!$F$28:$ES$28,Calculo!$F$6:$ES$6,7)</f>
        <v>0</v>
      </c>
      <c r="K124" s="48" t="n">
        <f aca="false">SUMIFS(Calculo!$F$28:$ES$28,Calculo!$F$6:$ES$6,8)</f>
        <v>0</v>
      </c>
      <c r="L124" s="48" t="n">
        <f aca="false">SUMIFS(Calculo!$F$28:$ES$28,Calculo!$F$6:$ES$6,9)</f>
        <v>0</v>
      </c>
      <c r="M124" s="48" t="n">
        <f aca="false">SUMIFS(Calculo!$F$28:$ES$28,Calculo!$F$6:$ES$6,10)</f>
        <v>0</v>
      </c>
      <c r="N124" s="48" t="n">
        <f aca="false">SUMIFS(Calculo!$F$28:$ES$28,Calculo!$F$6:$ES$6,11)</f>
        <v>0</v>
      </c>
      <c r="O124" s="48" t="n">
        <f aca="false">SUMIFS(Calculo!$F$28:$ES$28,Calculo!$F$6:$ES$6,12)</f>
        <v>0</v>
      </c>
    </row>
    <row r="125" customFormat="false" ht="15" hidden="false" customHeight="false" outlineLevel="0" collapsed="false">
      <c r="A125" s="11" t="s">
        <v>1628</v>
      </c>
      <c r="B125" s="15" t="str">
        <f aca="false">IF(INDEX(Prod_Nombre,9)="","Producto 9",INDEX(Prod_Nombre,9))</f>
        <v>Producto 9</v>
      </c>
      <c r="C125" s="54" t="n">
        <f aca="false">SUM(D125:O125)</f>
        <v>0</v>
      </c>
      <c r="D125" s="48" t="n">
        <f aca="false">SUMIFS(Calculo!$F$29:$ES$29,Calculo!$F$6:$ES$6,1)</f>
        <v>0</v>
      </c>
      <c r="E125" s="48" t="n">
        <f aca="false">SUMIFS(Calculo!$F$29:$ES$29,Calculo!$F$6:$ES$6,2)</f>
        <v>0</v>
      </c>
      <c r="F125" s="48" t="n">
        <f aca="false">SUMIFS(Calculo!$F$29:$ES$29,Calculo!$F$6:$ES$6,3)</f>
        <v>0</v>
      </c>
      <c r="G125" s="48" t="n">
        <f aca="false">SUMIFS(Calculo!$F$29:$ES$29,Calculo!$F$6:$ES$6,4)</f>
        <v>0</v>
      </c>
      <c r="H125" s="48" t="n">
        <f aca="false">SUMIFS(Calculo!$F$29:$ES$29,Calculo!$F$6:$ES$6,5)</f>
        <v>0</v>
      </c>
      <c r="I125" s="48" t="n">
        <f aca="false">SUMIFS(Calculo!$F$29:$ES$29,Calculo!$F$6:$ES$6,6)</f>
        <v>0</v>
      </c>
      <c r="J125" s="48" t="n">
        <f aca="false">SUMIFS(Calculo!$F$29:$ES$29,Calculo!$F$6:$ES$6,7)</f>
        <v>0</v>
      </c>
      <c r="K125" s="48" t="n">
        <f aca="false">SUMIFS(Calculo!$F$29:$ES$29,Calculo!$F$6:$ES$6,8)</f>
        <v>0</v>
      </c>
      <c r="L125" s="48" t="n">
        <f aca="false">SUMIFS(Calculo!$F$29:$ES$29,Calculo!$F$6:$ES$6,9)</f>
        <v>0</v>
      </c>
      <c r="M125" s="48" t="n">
        <f aca="false">SUMIFS(Calculo!$F$29:$ES$29,Calculo!$F$6:$ES$6,10)</f>
        <v>0</v>
      </c>
      <c r="N125" s="48" t="n">
        <f aca="false">SUMIFS(Calculo!$F$29:$ES$29,Calculo!$F$6:$ES$6,11)</f>
        <v>0</v>
      </c>
      <c r="O125" s="48" t="n">
        <f aca="false">SUMIFS(Calculo!$F$29:$ES$29,Calculo!$F$6:$ES$6,12)</f>
        <v>0</v>
      </c>
    </row>
    <row r="126" customFormat="false" ht="15" hidden="false" customHeight="false" outlineLevel="0" collapsed="false">
      <c r="A126" s="11" t="s">
        <v>1629</v>
      </c>
      <c r="B126" s="15" t="str">
        <f aca="false">IF(INDEX(Prod_Nombre,10)="","Producto 10",INDEX(Prod_Nombre,10))</f>
        <v>Producto 10</v>
      </c>
      <c r="C126" s="54" t="n">
        <f aca="false">SUM(D126:O126)</f>
        <v>0</v>
      </c>
      <c r="D126" s="48" t="n">
        <f aca="false">SUMIFS(Calculo!$F$30:$ES$30,Calculo!$F$6:$ES$6,1)</f>
        <v>0</v>
      </c>
      <c r="E126" s="48" t="n">
        <f aca="false">SUMIFS(Calculo!$F$30:$ES$30,Calculo!$F$6:$ES$6,2)</f>
        <v>0</v>
      </c>
      <c r="F126" s="48" t="n">
        <f aca="false">SUMIFS(Calculo!$F$30:$ES$30,Calculo!$F$6:$ES$6,3)</f>
        <v>0</v>
      </c>
      <c r="G126" s="48" t="n">
        <f aca="false">SUMIFS(Calculo!$F$30:$ES$30,Calculo!$F$6:$ES$6,4)</f>
        <v>0</v>
      </c>
      <c r="H126" s="48" t="n">
        <f aca="false">SUMIFS(Calculo!$F$30:$ES$30,Calculo!$F$6:$ES$6,5)</f>
        <v>0</v>
      </c>
      <c r="I126" s="48" t="n">
        <f aca="false">SUMIFS(Calculo!$F$30:$ES$30,Calculo!$F$6:$ES$6,6)</f>
        <v>0</v>
      </c>
      <c r="J126" s="48" t="n">
        <f aca="false">SUMIFS(Calculo!$F$30:$ES$30,Calculo!$F$6:$ES$6,7)</f>
        <v>0</v>
      </c>
      <c r="K126" s="48" t="n">
        <f aca="false">SUMIFS(Calculo!$F$30:$ES$30,Calculo!$F$6:$ES$6,8)</f>
        <v>0</v>
      </c>
      <c r="L126" s="48" t="n">
        <f aca="false">SUMIFS(Calculo!$F$30:$ES$30,Calculo!$F$6:$ES$6,9)</f>
        <v>0</v>
      </c>
      <c r="M126" s="48" t="n">
        <f aca="false">SUMIFS(Calculo!$F$30:$ES$30,Calculo!$F$6:$ES$6,10)</f>
        <v>0</v>
      </c>
      <c r="N126" s="48" t="n">
        <f aca="false">SUMIFS(Calculo!$F$30:$ES$30,Calculo!$F$6:$ES$6,11)</f>
        <v>0</v>
      </c>
      <c r="O126" s="48" t="n">
        <f aca="false">SUMIFS(Calculo!$F$30:$ES$30,Calculo!$F$6:$ES$6,12)</f>
        <v>0</v>
      </c>
    </row>
    <row r="127" customFormat="false" ht="15" hidden="false" customHeight="false" outlineLevel="0" collapsed="false">
      <c r="A127" s="11" t="s">
        <v>1630</v>
      </c>
      <c r="B127" s="15" t="str">
        <f aca="false">IF(INDEX(Prod_Nombre,11)="","Producto 11",INDEX(Prod_Nombre,11))</f>
        <v>Producto 11</v>
      </c>
      <c r="C127" s="54" t="n">
        <f aca="false">SUM(D127:O127)</f>
        <v>0</v>
      </c>
      <c r="D127" s="48" t="n">
        <f aca="false">SUMIFS(Calculo!$F$31:$ES$31,Calculo!$F$6:$ES$6,1)</f>
        <v>0</v>
      </c>
      <c r="E127" s="48" t="n">
        <f aca="false">SUMIFS(Calculo!$F$31:$ES$31,Calculo!$F$6:$ES$6,2)</f>
        <v>0</v>
      </c>
      <c r="F127" s="48" t="n">
        <f aca="false">SUMIFS(Calculo!$F$31:$ES$31,Calculo!$F$6:$ES$6,3)</f>
        <v>0</v>
      </c>
      <c r="G127" s="48" t="n">
        <f aca="false">SUMIFS(Calculo!$F$31:$ES$31,Calculo!$F$6:$ES$6,4)</f>
        <v>0</v>
      </c>
      <c r="H127" s="48" t="n">
        <f aca="false">SUMIFS(Calculo!$F$31:$ES$31,Calculo!$F$6:$ES$6,5)</f>
        <v>0</v>
      </c>
      <c r="I127" s="48" t="n">
        <f aca="false">SUMIFS(Calculo!$F$31:$ES$31,Calculo!$F$6:$ES$6,6)</f>
        <v>0</v>
      </c>
      <c r="J127" s="48" t="n">
        <f aca="false">SUMIFS(Calculo!$F$31:$ES$31,Calculo!$F$6:$ES$6,7)</f>
        <v>0</v>
      </c>
      <c r="K127" s="48" t="n">
        <f aca="false">SUMIFS(Calculo!$F$31:$ES$31,Calculo!$F$6:$ES$6,8)</f>
        <v>0</v>
      </c>
      <c r="L127" s="48" t="n">
        <f aca="false">SUMIFS(Calculo!$F$31:$ES$31,Calculo!$F$6:$ES$6,9)</f>
        <v>0</v>
      </c>
      <c r="M127" s="48" t="n">
        <f aca="false">SUMIFS(Calculo!$F$31:$ES$31,Calculo!$F$6:$ES$6,10)</f>
        <v>0</v>
      </c>
      <c r="N127" s="48" t="n">
        <f aca="false">SUMIFS(Calculo!$F$31:$ES$31,Calculo!$F$6:$ES$6,11)</f>
        <v>0</v>
      </c>
      <c r="O127" s="48" t="n">
        <f aca="false">SUMIFS(Calculo!$F$31:$ES$31,Calculo!$F$6:$ES$6,12)</f>
        <v>0</v>
      </c>
    </row>
    <row r="128" customFormat="false" ht="15" hidden="false" customHeight="false" outlineLevel="0" collapsed="false">
      <c r="A128" s="11" t="s">
        <v>1631</v>
      </c>
      <c r="B128" s="15" t="str">
        <f aca="false">IF(INDEX(Prod_Nombre,12)="","Producto 12",INDEX(Prod_Nombre,12))</f>
        <v>Producto 12</v>
      </c>
      <c r="C128" s="54" t="n">
        <f aca="false">SUM(D128:O128)</f>
        <v>0</v>
      </c>
      <c r="D128" s="48" t="n">
        <f aca="false">SUMIFS(Calculo!$F$32:$ES$32,Calculo!$F$6:$ES$6,1)</f>
        <v>0</v>
      </c>
      <c r="E128" s="48" t="n">
        <f aca="false">SUMIFS(Calculo!$F$32:$ES$32,Calculo!$F$6:$ES$6,2)</f>
        <v>0</v>
      </c>
      <c r="F128" s="48" t="n">
        <f aca="false">SUMIFS(Calculo!$F$32:$ES$32,Calculo!$F$6:$ES$6,3)</f>
        <v>0</v>
      </c>
      <c r="G128" s="48" t="n">
        <f aca="false">SUMIFS(Calculo!$F$32:$ES$32,Calculo!$F$6:$ES$6,4)</f>
        <v>0</v>
      </c>
      <c r="H128" s="48" t="n">
        <f aca="false">SUMIFS(Calculo!$F$32:$ES$32,Calculo!$F$6:$ES$6,5)</f>
        <v>0</v>
      </c>
      <c r="I128" s="48" t="n">
        <f aca="false">SUMIFS(Calculo!$F$32:$ES$32,Calculo!$F$6:$ES$6,6)</f>
        <v>0</v>
      </c>
      <c r="J128" s="48" t="n">
        <f aca="false">SUMIFS(Calculo!$F$32:$ES$32,Calculo!$F$6:$ES$6,7)</f>
        <v>0</v>
      </c>
      <c r="K128" s="48" t="n">
        <f aca="false">SUMIFS(Calculo!$F$32:$ES$32,Calculo!$F$6:$ES$6,8)</f>
        <v>0</v>
      </c>
      <c r="L128" s="48" t="n">
        <f aca="false">SUMIFS(Calculo!$F$32:$ES$32,Calculo!$F$6:$ES$6,9)</f>
        <v>0</v>
      </c>
      <c r="M128" s="48" t="n">
        <f aca="false">SUMIFS(Calculo!$F$32:$ES$32,Calculo!$F$6:$ES$6,10)</f>
        <v>0</v>
      </c>
      <c r="N128" s="48" t="n">
        <f aca="false">SUMIFS(Calculo!$F$32:$ES$32,Calculo!$F$6:$ES$6,11)</f>
        <v>0</v>
      </c>
      <c r="O128" s="48" t="n">
        <f aca="false">SUMIFS(Calculo!$F$32:$ES$32,Calculo!$F$6:$ES$6,12)</f>
        <v>0</v>
      </c>
    </row>
    <row r="129" customFormat="false" ht="15" hidden="false" customHeight="false" outlineLevel="0" collapsed="false">
      <c r="A129" s="11" t="s">
        <v>1632</v>
      </c>
      <c r="B129" s="15" t="str">
        <f aca="false">IF(INDEX(Prod_Nombre,13)="","Producto 13",INDEX(Prod_Nombre,13))</f>
        <v>Producto 13</v>
      </c>
      <c r="C129" s="54" t="n">
        <f aca="false">SUM(D129:O129)</f>
        <v>0</v>
      </c>
      <c r="D129" s="48" t="n">
        <f aca="false">SUMIFS(Calculo!$F$33:$ES$33,Calculo!$F$6:$ES$6,1)</f>
        <v>0</v>
      </c>
      <c r="E129" s="48" t="n">
        <f aca="false">SUMIFS(Calculo!$F$33:$ES$33,Calculo!$F$6:$ES$6,2)</f>
        <v>0</v>
      </c>
      <c r="F129" s="48" t="n">
        <f aca="false">SUMIFS(Calculo!$F$33:$ES$33,Calculo!$F$6:$ES$6,3)</f>
        <v>0</v>
      </c>
      <c r="G129" s="48" t="n">
        <f aca="false">SUMIFS(Calculo!$F$33:$ES$33,Calculo!$F$6:$ES$6,4)</f>
        <v>0</v>
      </c>
      <c r="H129" s="48" t="n">
        <f aca="false">SUMIFS(Calculo!$F$33:$ES$33,Calculo!$F$6:$ES$6,5)</f>
        <v>0</v>
      </c>
      <c r="I129" s="48" t="n">
        <f aca="false">SUMIFS(Calculo!$F$33:$ES$33,Calculo!$F$6:$ES$6,6)</f>
        <v>0</v>
      </c>
      <c r="J129" s="48" t="n">
        <f aca="false">SUMIFS(Calculo!$F$33:$ES$33,Calculo!$F$6:$ES$6,7)</f>
        <v>0</v>
      </c>
      <c r="K129" s="48" t="n">
        <f aca="false">SUMIFS(Calculo!$F$33:$ES$33,Calculo!$F$6:$ES$6,8)</f>
        <v>0</v>
      </c>
      <c r="L129" s="48" t="n">
        <f aca="false">SUMIFS(Calculo!$F$33:$ES$33,Calculo!$F$6:$ES$6,9)</f>
        <v>0</v>
      </c>
      <c r="M129" s="48" t="n">
        <f aca="false">SUMIFS(Calculo!$F$33:$ES$33,Calculo!$F$6:$ES$6,10)</f>
        <v>0</v>
      </c>
      <c r="N129" s="48" t="n">
        <f aca="false">SUMIFS(Calculo!$F$33:$ES$33,Calculo!$F$6:$ES$6,11)</f>
        <v>0</v>
      </c>
      <c r="O129" s="48" t="n">
        <f aca="false">SUMIFS(Calculo!$F$33:$ES$33,Calculo!$F$6:$ES$6,12)</f>
        <v>0</v>
      </c>
    </row>
    <row r="130" customFormat="false" ht="15" hidden="false" customHeight="false" outlineLevel="0" collapsed="false">
      <c r="A130" s="11" t="s">
        <v>1633</v>
      </c>
      <c r="B130" s="15" t="str">
        <f aca="false">IF(INDEX(Prod_Nombre,14)="","Producto 14",INDEX(Prod_Nombre,14))</f>
        <v>Producto 14</v>
      </c>
      <c r="C130" s="54" t="n">
        <f aca="false">SUM(D130:O130)</f>
        <v>0</v>
      </c>
      <c r="D130" s="48" t="n">
        <f aca="false">SUMIFS(Calculo!$F$34:$ES$34,Calculo!$F$6:$ES$6,1)</f>
        <v>0</v>
      </c>
      <c r="E130" s="48" t="n">
        <f aca="false">SUMIFS(Calculo!$F$34:$ES$34,Calculo!$F$6:$ES$6,2)</f>
        <v>0</v>
      </c>
      <c r="F130" s="48" t="n">
        <f aca="false">SUMIFS(Calculo!$F$34:$ES$34,Calculo!$F$6:$ES$6,3)</f>
        <v>0</v>
      </c>
      <c r="G130" s="48" t="n">
        <f aca="false">SUMIFS(Calculo!$F$34:$ES$34,Calculo!$F$6:$ES$6,4)</f>
        <v>0</v>
      </c>
      <c r="H130" s="48" t="n">
        <f aca="false">SUMIFS(Calculo!$F$34:$ES$34,Calculo!$F$6:$ES$6,5)</f>
        <v>0</v>
      </c>
      <c r="I130" s="48" t="n">
        <f aca="false">SUMIFS(Calculo!$F$34:$ES$34,Calculo!$F$6:$ES$6,6)</f>
        <v>0</v>
      </c>
      <c r="J130" s="48" t="n">
        <f aca="false">SUMIFS(Calculo!$F$34:$ES$34,Calculo!$F$6:$ES$6,7)</f>
        <v>0</v>
      </c>
      <c r="K130" s="48" t="n">
        <f aca="false">SUMIFS(Calculo!$F$34:$ES$34,Calculo!$F$6:$ES$6,8)</f>
        <v>0</v>
      </c>
      <c r="L130" s="48" t="n">
        <f aca="false">SUMIFS(Calculo!$F$34:$ES$34,Calculo!$F$6:$ES$6,9)</f>
        <v>0</v>
      </c>
      <c r="M130" s="48" t="n">
        <f aca="false">SUMIFS(Calculo!$F$34:$ES$34,Calculo!$F$6:$ES$6,10)</f>
        <v>0</v>
      </c>
      <c r="N130" s="48" t="n">
        <f aca="false">SUMIFS(Calculo!$F$34:$ES$34,Calculo!$F$6:$ES$6,11)</f>
        <v>0</v>
      </c>
      <c r="O130" s="48" t="n">
        <f aca="false">SUMIFS(Calculo!$F$34:$ES$34,Calculo!$F$6:$ES$6,12)</f>
        <v>0</v>
      </c>
    </row>
    <row r="131" customFormat="false" ht="15" hidden="false" customHeight="false" outlineLevel="0" collapsed="false">
      <c r="A131" s="11" t="s">
        <v>1634</v>
      </c>
      <c r="B131" s="15" t="str">
        <f aca="false">IF(INDEX(Prod_Nombre,15)="","Producto 15",INDEX(Prod_Nombre,15))</f>
        <v>Producto 15</v>
      </c>
      <c r="C131" s="54" t="n">
        <f aca="false">SUM(D131:O131)</f>
        <v>0</v>
      </c>
      <c r="D131" s="48" t="n">
        <f aca="false">SUMIFS(Calculo!$F$35:$ES$35,Calculo!$F$6:$ES$6,1)</f>
        <v>0</v>
      </c>
      <c r="E131" s="48" t="n">
        <f aca="false">SUMIFS(Calculo!$F$35:$ES$35,Calculo!$F$6:$ES$6,2)</f>
        <v>0</v>
      </c>
      <c r="F131" s="48" t="n">
        <f aca="false">SUMIFS(Calculo!$F$35:$ES$35,Calculo!$F$6:$ES$6,3)</f>
        <v>0</v>
      </c>
      <c r="G131" s="48" t="n">
        <f aca="false">SUMIFS(Calculo!$F$35:$ES$35,Calculo!$F$6:$ES$6,4)</f>
        <v>0</v>
      </c>
      <c r="H131" s="48" t="n">
        <f aca="false">SUMIFS(Calculo!$F$35:$ES$35,Calculo!$F$6:$ES$6,5)</f>
        <v>0</v>
      </c>
      <c r="I131" s="48" t="n">
        <f aca="false">SUMIFS(Calculo!$F$35:$ES$35,Calculo!$F$6:$ES$6,6)</f>
        <v>0</v>
      </c>
      <c r="J131" s="48" t="n">
        <f aca="false">SUMIFS(Calculo!$F$35:$ES$35,Calculo!$F$6:$ES$6,7)</f>
        <v>0</v>
      </c>
      <c r="K131" s="48" t="n">
        <f aca="false">SUMIFS(Calculo!$F$35:$ES$35,Calculo!$F$6:$ES$6,8)</f>
        <v>0</v>
      </c>
      <c r="L131" s="48" t="n">
        <f aca="false">SUMIFS(Calculo!$F$35:$ES$35,Calculo!$F$6:$ES$6,9)</f>
        <v>0</v>
      </c>
      <c r="M131" s="48" t="n">
        <f aca="false">SUMIFS(Calculo!$F$35:$ES$35,Calculo!$F$6:$ES$6,10)</f>
        <v>0</v>
      </c>
      <c r="N131" s="48" t="n">
        <f aca="false">SUMIFS(Calculo!$F$35:$ES$35,Calculo!$F$6:$ES$6,11)</f>
        <v>0</v>
      </c>
      <c r="O131" s="48" t="n">
        <f aca="false">SUMIFS(Calculo!$F$35:$ES$35,Calculo!$F$6:$ES$6,12)</f>
        <v>0</v>
      </c>
    </row>
    <row r="132" customFormat="false" ht="15" hidden="false" customHeight="false" outlineLevel="0" collapsed="false">
      <c r="A132" s="11" t="s">
        <v>1635</v>
      </c>
      <c r="B132" s="15" t="str">
        <f aca="false">IF(INDEX(Prod_Nombre,16)="","Producto 16",INDEX(Prod_Nombre,16))</f>
        <v>Producto 16</v>
      </c>
      <c r="C132" s="54" t="n">
        <f aca="false">SUM(D132:O132)</f>
        <v>0</v>
      </c>
      <c r="D132" s="48" t="n">
        <f aca="false">SUMIFS(Calculo!$F$36:$ES$36,Calculo!$F$6:$ES$6,1)</f>
        <v>0</v>
      </c>
      <c r="E132" s="48" t="n">
        <f aca="false">SUMIFS(Calculo!$F$36:$ES$36,Calculo!$F$6:$ES$6,2)</f>
        <v>0</v>
      </c>
      <c r="F132" s="48" t="n">
        <f aca="false">SUMIFS(Calculo!$F$36:$ES$36,Calculo!$F$6:$ES$6,3)</f>
        <v>0</v>
      </c>
      <c r="G132" s="48" t="n">
        <f aca="false">SUMIFS(Calculo!$F$36:$ES$36,Calculo!$F$6:$ES$6,4)</f>
        <v>0</v>
      </c>
      <c r="H132" s="48" t="n">
        <f aca="false">SUMIFS(Calculo!$F$36:$ES$36,Calculo!$F$6:$ES$6,5)</f>
        <v>0</v>
      </c>
      <c r="I132" s="48" t="n">
        <f aca="false">SUMIFS(Calculo!$F$36:$ES$36,Calculo!$F$6:$ES$6,6)</f>
        <v>0</v>
      </c>
      <c r="J132" s="48" t="n">
        <f aca="false">SUMIFS(Calculo!$F$36:$ES$36,Calculo!$F$6:$ES$6,7)</f>
        <v>0</v>
      </c>
      <c r="K132" s="48" t="n">
        <f aca="false">SUMIFS(Calculo!$F$36:$ES$36,Calculo!$F$6:$ES$6,8)</f>
        <v>0</v>
      </c>
      <c r="L132" s="48" t="n">
        <f aca="false">SUMIFS(Calculo!$F$36:$ES$36,Calculo!$F$6:$ES$6,9)</f>
        <v>0</v>
      </c>
      <c r="M132" s="48" t="n">
        <f aca="false">SUMIFS(Calculo!$F$36:$ES$36,Calculo!$F$6:$ES$6,10)</f>
        <v>0</v>
      </c>
      <c r="N132" s="48" t="n">
        <f aca="false">SUMIFS(Calculo!$F$36:$ES$36,Calculo!$F$6:$ES$6,11)</f>
        <v>0</v>
      </c>
      <c r="O132" s="48" t="n">
        <f aca="false">SUMIFS(Calculo!$F$36:$ES$36,Calculo!$F$6:$ES$6,12)</f>
        <v>0</v>
      </c>
    </row>
    <row r="133" customFormat="false" ht="15" hidden="false" customHeight="false" outlineLevel="0" collapsed="false">
      <c r="A133" s="11" t="s">
        <v>1636</v>
      </c>
      <c r="B133" s="15" t="str">
        <f aca="false">IF(INDEX(Prod_Nombre,17)="","Producto 17",INDEX(Prod_Nombre,17))</f>
        <v>Producto 17</v>
      </c>
      <c r="C133" s="54" t="n">
        <f aca="false">SUM(D133:O133)</f>
        <v>0</v>
      </c>
      <c r="D133" s="48" t="n">
        <f aca="false">SUMIFS(Calculo!$F$37:$ES$37,Calculo!$F$6:$ES$6,1)</f>
        <v>0</v>
      </c>
      <c r="E133" s="48" t="n">
        <f aca="false">SUMIFS(Calculo!$F$37:$ES$37,Calculo!$F$6:$ES$6,2)</f>
        <v>0</v>
      </c>
      <c r="F133" s="48" t="n">
        <f aca="false">SUMIFS(Calculo!$F$37:$ES$37,Calculo!$F$6:$ES$6,3)</f>
        <v>0</v>
      </c>
      <c r="G133" s="48" t="n">
        <f aca="false">SUMIFS(Calculo!$F$37:$ES$37,Calculo!$F$6:$ES$6,4)</f>
        <v>0</v>
      </c>
      <c r="H133" s="48" t="n">
        <f aca="false">SUMIFS(Calculo!$F$37:$ES$37,Calculo!$F$6:$ES$6,5)</f>
        <v>0</v>
      </c>
      <c r="I133" s="48" t="n">
        <f aca="false">SUMIFS(Calculo!$F$37:$ES$37,Calculo!$F$6:$ES$6,6)</f>
        <v>0</v>
      </c>
      <c r="J133" s="48" t="n">
        <f aca="false">SUMIFS(Calculo!$F$37:$ES$37,Calculo!$F$6:$ES$6,7)</f>
        <v>0</v>
      </c>
      <c r="K133" s="48" t="n">
        <f aca="false">SUMIFS(Calculo!$F$37:$ES$37,Calculo!$F$6:$ES$6,8)</f>
        <v>0</v>
      </c>
      <c r="L133" s="48" t="n">
        <f aca="false">SUMIFS(Calculo!$F$37:$ES$37,Calculo!$F$6:$ES$6,9)</f>
        <v>0</v>
      </c>
      <c r="M133" s="48" t="n">
        <f aca="false">SUMIFS(Calculo!$F$37:$ES$37,Calculo!$F$6:$ES$6,10)</f>
        <v>0</v>
      </c>
      <c r="N133" s="48" t="n">
        <f aca="false">SUMIFS(Calculo!$F$37:$ES$37,Calculo!$F$6:$ES$6,11)</f>
        <v>0</v>
      </c>
      <c r="O133" s="48" t="n">
        <f aca="false">SUMIFS(Calculo!$F$37:$ES$37,Calculo!$F$6:$ES$6,12)</f>
        <v>0</v>
      </c>
    </row>
    <row r="134" customFormat="false" ht="15" hidden="false" customHeight="false" outlineLevel="0" collapsed="false">
      <c r="A134" s="11" t="s">
        <v>1637</v>
      </c>
      <c r="B134" s="15" t="str">
        <f aca="false">IF(INDEX(Prod_Nombre,18)="","Producto 18",INDEX(Prod_Nombre,18))</f>
        <v>Producto 18</v>
      </c>
      <c r="C134" s="54" t="n">
        <f aca="false">SUM(D134:O134)</f>
        <v>0</v>
      </c>
      <c r="D134" s="48" t="n">
        <f aca="false">SUMIFS(Calculo!$F$38:$ES$38,Calculo!$F$6:$ES$6,1)</f>
        <v>0</v>
      </c>
      <c r="E134" s="48" t="n">
        <f aca="false">SUMIFS(Calculo!$F$38:$ES$38,Calculo!$F$6:$ES$6,2)</f>
        <v>0</v>
      </c>
      <c r="F134" s="48" t="n">
        <f aca="false">SUMIFS(Calculo!$F$38:$ES$38,Calculo!$F$6:$ES$6,3)</f>
        <v>0</v>
      </c>
      <c r="G134" s="48" t="n">
        <f aca="false">SUMIFS(Calculo!$F$38:$ES$38,Calculo!$F$6:$ES$6,4)</f>
        <v>0</v>
      </c>
      <c r="H134" s="48" t="n">
        <f aca="false">SUMIFS(Calculo!$F$38:$ES$38,Calculo!$F$6:$ES$6,5)</f>
        <v>0</v>
      </c>
      <c r="I134" s="48" t="n">
        <f aca="false">SUMIFS(Calculo!$F$38:$ES$38,Calculo!$F$6:$ES$6,6)</f>
        <v>0</v>
      </c>
      <c r="J134" s="48" t="n">
        <f aca="false">SUMIFS(Calculo!$F$38:$ES$38,Calculo!$F$6:$ES$6,7)</f>
        <v>0</v>
      </c>
      <c r="K134" s="48" t="n">
        <f aca="false">SUMIFS(Calculo!$F$38:$ES$38,Calculo!$F$6:$ES$6,8)</f>
        <v>0</v>
      </c>
      <c r="L134" s="48" t="n">
        <f aca="false">SUMIFS(Calculo!$F$38:$ES$38,Calculo!$F$6:$ES$6,9)</f>
        <v>0</v>
      </c>
      <c r="M134" s="48" t="n">
        <f aca="false">SUMIFS(Calculo!$F$38:$ES$38,Calculo!$F$6:$ES$6,10)</f>
        <v>0</v>
      </c>
      <c r="N134" s="48" t="n">
        <f aca="false">SUMIFS(Calculo!$F$38:$ES$38,Calculo!$F$6:$ES$6,11)</f>
        <v>0</v>
      </c>
      <c r="O134" s="48" t="n">
        <f aca="false">SUMIFS(Calculo!$F$38:$ES$38,Calculo!$F$6:$ES$6,12)</f>
        <v>0</v>
      </c>
    </row>
    <row r="135" customFormat="false" ht="15" hidden="false" customHeight="false" outlineLevel="0" collapsed="false">
      <c r="A135" s="11" t="s">
        <v>1638</v>
      </c>
      <c r="B135" s="15" t="str">
        <f aca="false">IF(INDEX(Prod_Nombre,19)="","Producto 19",INDEX(Prod_Nombre,19))</f>
        <v>Producto 19</v>
      </c>
      <c r="C135" s="54" t="n">
        <f aca="false">SUM(D135:O135)</f>
        <v>0</v>
      </c>
      <c r="D135" s="48" t="n">
        <f aca="false">SUMIFS(Calculo!$F$39:$ES$39,Calculo!$F$6:$ES$6,1)</f>
        <v>0</v>
      </c>
      <c r="E135" s="48" t="n">
        <f aca="false">SUMIFS(Calculo!$F$39:$ES$39,Calculo!$F$6:$ES$6,2)</f>
        <v>0</v>
      </c>
      <c r="F135" s="48" t="n">
        <f aca="false">SUMIFS(Calculo!$F$39:$ES$39,Calculo!$F$6:$ES$6,3)</f>
        <v>0</v>
      </c>
      <c r="G135" s="48" t="n">
        <f aca="false">SUMIFS(Calculo!$F$39:$ES$39,Calculo!$F$6:$ES$6,4)</f>
        <v>0</v>
      </c>
      <c r="H135" s="48" t="n">
        <f aca="false">SUMIFS(Calculo!$F$39:$ES$39,Calculo!$F$6:$ES$6,5)</f>
        <v>0</v>
      </c>
      <c r="I135" s="48" t="n">
        <f aca="false">SUMIFS(Calculo!$F$39:$ES$39,Calculo!$F$6:$ES$6,6)</f>
        <v>0</v>
      </c>
      <c r="J135" s="48" t="n">
        <f aca="false">SUMIFS(Calculo!$F$39:$ES$39,Calculo!$F$6:$ES$6,7)</f>
        <v>0</v>
      </c>
      <c r="K135" s="48" t="n">
        <f aca="false">SUMIFS(Calculo!$F$39:$ES$39,Calculo!$F$6:$ES$6,8)</f>
        <v>0</v>
      </c>
      <c r="L135" s="48" t="n">
        <f aca="false">SUMIFS(Calculo!$F$39:$ES$39,Calculo!$F$6:$ES$6,9)</f>
        <v>0</v>
      </c>
      <c r="M135" s="48" t="n">
        <f aca="false">SUMIFS(Calculo!$F$39:$ES$39,Calculo!$F$6:$ES$6,10)</f>
        <v>0</v>
      </c>
      <c r="N135" s="48" t="n">
        <f aca="false">SUMIFS(Calculo!$F$39:$ES$39,Calculo!$F$6:$ES$6,11)</f>
        <v>0</v>
      </c>
      <c r="O135" s="48" t="n">
        <f aca="false">SUMIFS(Calculo!$F$39:$ES$39,Calculo!$F$6:$ES$6,12)</f>
        <v>0</v>
      </c>
    </row>
    <row r="136" customFormat="false" ht="15" hidden="false" customHeight="false" outlineLevel="0" collapsed="false">
      <c r="A136" s="11" t="s">
        <v>1639</v>
      </c>
      <c r="B136" s="15" t="str">
        <f aca="false">IF(INDEX(Prod_Nombre,20)="","Producto 20",INDEX(Prod_Nombre,20))</f>
        <v>Producto 20</v>
      </c>
      <c r="C136" s="54" t="n">
        <f aca="false">SUM(D136:O136)</f>
        <v>0</v>
      </c>
      <c r="D136" s="48" t="n">
        <f aca="false">SUMIFS(Calculo!$F$40:$ES$40,Calculo!$F$6:$ES$6,1)</f>
        <v>0</v>
      </c>
      <c r="E136" s="48" t="n">
        <f aca="false">SUMIFS(Calculo!$F$40:$ES$40,Calculo!$F$6:$ES$6,2)</f>
        <v>0</v>
      </c>
      <c r="F136" s="48" t="n">
        <f aca="false">SUMIFS(Calculo!$F$40:$ES$40,Calculo!$F$6:$ES$6,3)</f>
        <v>0</v>
      </c>
      <c r="G136" s="48" t="n">
        <f aca="false">SUMIFS(Calculo!$F$40:$ES$40,Calculo!$F$6:$ES$6,4)</f>
        <v>0</v>
      </c>
      <c r="H136" s="48" t="n">
        <f aca="false">SUMIFS(Calculo!$F$40:$ES$40,Calculo!$F$6:$ES$6,5)</f>
        <v>0</v>
      </c>
      <c r="I136" s="48" t="n">
        <f aca="false">SUMIFS(Calculo!$F$40:$ES$40,Calculo!$F$6:$ES$6,6)</f>
        <v>0</v>
      </c>
      <c r="J136" s="48" t="n">
        <f aca="false">SUMIFS(Calculo!$F$40:$ES$40,Calculo!$F$6:$ES$6,7)</f>
        <v>0</v>
      </c>
      <c r="K136" s="48" t="n">
        <f aca="false">SUMIFS(Calculo!$F$40:$ES$40,Calculo!$F$6:$ES$6,8)</f>
        <v>0</v>
      </c>
      <c r="L136" s="48" t="n">
        <f aca="false">SUMIFS(Calculo!$F$40:$ES$40,Calculo!$F$6:$ES$6,9)</f>
        <v>0</v>
      </c>
      <c r="M136" s="48" t="n">
        <f aca="false">SUMIFS(Calculo!$F$40:$ES$40,Calculo!$F$6:$ES$6,10)</f>
        <v>0</v>
      </c>
      <c r="N136" s="48" t="n">
        <f aca="false">SUMIFS(Calculo!$F$40:$ES$40,Calculo!$F$6:$ES$6,11)</f>
        <v>0</v>
      </c>
      <c r="O136" s="48" t="n">
        <f aca="false">SUMIFS(Calculo!$F$40:$ES$40,Calculo!$F$6:$ES$6,12)</f>
        <v>0</v>
      </c>
    </row>
    <row r="137" customFormat="false" ht="15" hidden="false" customHeight="false" outlineLevel="0" collapsed="false">
      <c r="A137" s="11" t="s">
        <v>1640</v>
      </c>
      <c r="B137" s="15" t="str">
        <f aca="false">IF(INDEX(Prod_Nombre,21)="","Producto 21",INDEX(Prod_Nombre,21))</f>
        <v>Producto 21</v>
      </c>
      <c r="C137" s="54" t="n">
        <f aca="false">SUM(D137:O137)</f>
        <v>0</v>
      </c>
      <c r="D137" s="48" t="n">
        <f aca="false">SUMIFS(Calculo!$F$41:$ES$41,Calculo!$F$6:$ES$6,1)</f>
        <v>0</v>
      </c>
      <c r="E137" s="48" t="n">
        <f aca="false">SUMIFS(Calculo!$F$41:$ES$41,Calculo!$F$6:$ES$6,2)</f>
        <v>0</v>
      </c>
      <c r="F137" s="48" t="n">
        <f aca="false">SUMIFS(Calculo!$F$41:$ES$41,Calculo!$F$6:$ES$6,3)</f>
        <v>0</v>
      </c>
      <c r="G137" s="48" t="n">
        <f aca="false">SUMIFS(Calculo!$F$41:$ES$41,Calculo!$F$6:$ES$6,4)</f>
        <v>0</v>
      </c>
      <c r="H137" s="48" t="n">
        <f aca="false">SUMIFS(Calculo!$F$41:$ES$41,Calculo!$F$6:$ES$6,5)</f>
        <v>0</v>
      </c>
      <c r="I137" s="48" t="n">
        <f aca="false">SUMIFS(Calculo!$F$41:$ES$41,Calculo!$F$6:$ES$6,6)</f>
        <v>0</v>
      </c>
      <c r="J137" s="48" t="n">
        <f aca="false">SUMIFS(Calculo!$F$41:$ES$41,Calculo!$F$6:$ES$6,7)</f>
        <v>0</v>
      </c>
      <c r="K137" s="48" t="n">
        <f aca="false">SUMIFS(Calculo!$F$41:$ES$41,Calculo!$F$6:$ES$6,8)</f>
        <v>0</v>
      </c>
      <c r="L137" s="48" t="n">
        <f aca="false">SUMIFS(Calculo!$F$41:$ES$41,Calculo!$F$6:$ES$6,9)</f>
        <v>0</v>
      </c>
      <c r="M137" s="48" t="n">
        <f aca="false">SUMIFS(Calculo!$F$41:$ES$41,Calculo!$F$6:$ES$6,10)</f>
        <v>0</v>
      </c>
      <c r="N137" s="48" t="n">
        <f aca="false">SUMIFS(Calculo!$F$41:$ES$41,Calculo!$F$6:$ES$6,11)</f>
        <v>0</v>
      </c>
      <c r="O137" s="48" t="n">
        <f aca="false">SUMIFS(Calculo!$F$41:$ES$41,Calculo!$F$6:$ES$6,12)</f>
        <v>0</v>
      </c>
    </row>
    <row r="138" customFormat="false" ht="15" hidden="false" customHeight="false" outlineLevel="0" collapsed="false">
      <c r="A138" s="11" t="s">
        <v>1641</v>
      </c>
      <c r="B138" s="15" t="str">
        <f aca="false">IF(INDEX(Prod_Nombre,22)="","Producto 22",INDEX(Prod_Nombre,22))</f>
        <v>Producto 22</v>
      </c>
      <c r="C138" s="54" t="n">
        <f aca="false">SUM(D138:O138)</f>
        <v>0</v>
      </c>
      <c r="D138" s="48" t="n">
        <f aca="false">SUMIFS(Calculo!$F$42:$ES$42,Calculo!$F$6:$ES$6,1)</f>
        <v>0</v>
      </c>
      <c r="E138" s="48" t="n">
        <f aca="false">SUMIFS(Calculo!$F$42:$ES$42,Calculo!$F$6:$ES$6,2)</f>
        <v>0</v>
      </c>
      <c r="F138" s="48" t="n">
        <f aca="false">SUMIFS(Calculo!$F$42:$ES$42,Calculo!$F$6:$ES$6,3)</f>
        <v>0</v>
      </c>
      <c r="G138" s="48" t="n">
        <f aca="false">SUMIFS(Calculo!$F$42:$ES$42,Calculo!$F$6:$ES$6,4)</f>
        <v>0</v>
      </c>
      <c r="H138" s="48" t="n">
        <f aca="false">SUMIFS(Calculo!$F$42:$ES$42,Calculo!$F$6:$ES$6,5)</f>
        <v>0</v>
      </c>
      <c r="I138" s="48" t="n">
        <f aca="false">SUMIFS(Calculo!$F$42:$ES$42,Calculo!$F$6:$ES$6,6)</f>
        <v>0</v>
      </c>
      <c r="J138" s="48" t="n">
        <f aca="false">SUMIFS(Calculo!$F$42:$ES$42,Calculo!$F$6:$ES$6,7)</f>
        <v>0</v>
      </c>
      <c r="K138" s="48" t="n">
        <f aca="false">SUMIFS(Calculo!$F$42:$ES$42,Calculo!$F$6:$ES$6,8)</f>
        <v>0</v>
      </c>
      <c r="L138" s="48" t="n">
        <f aca="false">SUMIFS(Calculo!$F$42:$ES$42,Calculo!$F$6:$ES$6,9)</f>
        <v>0</v>
      </c>
      <c r="M138" s="48" t="n">
        <f aca="false">SUMIFS(Calculo!$F$42:$ES$42,Calculo!$F$6:$ES$6,10)</f>
        <v>0</v>
      </c>
      <c r="N138" s="48" t="n">
        <f aca="false">SUMIFS(Calculo!$F$42:$ES$42,Calculo!$F$6:$ES$6,11)</f>
        <v>0</v>
      </c>
      <c r="O138" s="48" t="n">
        <f aca="false">SUMIFS(Calculo!$F$42:$ES$42,Calculo!$F$6:$ES$6,12)</f>
        <v>0</v>
      </c>
    </row>
    <row r="139" customFormat="false" ht="15" hidden="false" customHeight="false" outlineLevel="0" collapsed="false">
      <c r="A139" s="11" t="s">
        <v>1642</v>
      </c>
      <c r="B139" s="15" t="str">
        <f aca="false">IF(INDEX(Prod_Nombre,23)="","Producto 23",INDEX(Prod_Nombre,23))</f>
        <v>Producto 23</v>
      </c>
      <c r="C139" s="54" t="n">
        <f aca="false">SUM(D139:O139)</f>
        <v>0</v>
      </c>
      <c r="D139" s="48" t="n">
        <f aca="false">SUMIFS(Calculo!$F$43:$ES$43,Calculo!$F$6:$ES$6,1)</f>
        <v>0</v>
      </c>
      <c r="E139" s="48" t="n">
        <f aca="false">SUMIFS(Calculo!$F$43:$ES$43,Calculo!$F$6:$ES$6,2)</f>
        <v>0</v>
      </c>
      <c r="F139" s="48" t="n">
        <f aca="false">SUMIFS(Calculo!$F$43:$ES$43,Calculo!$F$6:$ES$6,3)</f>
        <v>0</v>
      </c>
      <c r="G139" s="48" t="n">
        <f aca="false">SUMIFS(Calculo!$F$43:$ES$43,Calculo!$F$6:$ES$6,4)</f>
        <v>0</v>
      </c>
      <c r="H139" s="48" t="n">
        <f aca="false">SUMIFS(Calculo!$F$43:$ES$43,Calculo!$F$6:$ES$6,5)</f>
        <v>0</v>
      </c>
      <c r="I139" s="48" t="n">
        <f aca="false">SUMIFS(Calculo!$F$43:$ES$43,Calculo!$F$6:$ES$6,6)</f>
        <v>0</v>
      </c>
      <c r="J139" s="48" t="n">
        <f aca="false">SUMIFS(Calculo!$F$43:$ES$43,Calculo!$F$6:$ES$6,7)</f>
        <v>0</v>
      </c>
      <c r="K139" s="48" t="n">
        <f aca="false">SUMIFS(Calculo!$F$43:$ES$43,Calculo!$F$6:$ES$6,8)</f>
        <v>0</v>
      </c>
      <c r="L139" s="48" t="n">
        <f aca="false">SUMIFS(Calculo!$F$43:$ES$43,Calculo!$F$6:$ES$6,9)</f>
        <v>0</v>
      </c>
      <c r="M139" s="48" t="n">
        <f aca="false">SUMIFS(Calculo!$F$43:$ES$43,Calculo!$F$6:$ES$6,10)</f>
        <v>0</v>
      </c>
      <c r="N139" s="48" t="n">
        <f aca="false">SUMIFS(Calculo!$F$43:$ES$43,Calculo!$F$6:$ES$6,11)</f>
        <v>0</v>
      </c>
      <c r="O139" s="48" t="n">
        <f aca="false">SUMIFS(Calculo!$F$43:$ES$43,Calculo!$F$6:$ES$6,12)</f>
        <v>0</v>
      </c>
    </row>
    <row r="140" customFormat="false" ht="15" hidden="false" customHeight="false" outlineLevel="0" collapsed="false">
      <c r="A140" s="11" t="s">
        <v>1643</v>
      </c>
      <c r="B140" s="15" t="str">
        <f aca="false">IF(INDEX(Prod_Nombre,24)="","Producto 24",INDEX(Prod_Nombre,24))</f>
        <v>Producto 24</v>
      </c>
      <c r="C140" s="54" t="n">
        <f aca="false">SUM(D140:O140)</f>
        <v>0</v>
      </c>
      <c r="D140" s="48" t="n">
        <f aca="false">SUMIFS(Calculo!$F$44:$ES$44,Calculo!$F$6:$ES$6,1)</f>
        <v>0</v>
      </c>
      <c r="E140" s="48" t="n">
        <f aca="false">SUMIFS(Calculo!$F$44:$ES$44,Calculo!$F$6:$ES$6,2)</f>
        <v>0</v>
      </c>
      <c r="F140" s="48" t="n">
        <f aca="false">SUMIFS(Calculo!$F$44:$ES$44,Calculo!$F$6:$ES$6,3)</f>
        <v>0</v>
      </c>
      <c r="G140" s="48" t="n">
        <f aca="false">SUMIFS(Calculo!$F$44:$ES$44,Calculo!$F$6:$ES$6,4)</f>
        <v>0</v>
      </c>
      <c r="H140" s="48" t="n">
        <f aca="false">SUMIFS(Calculo!$F$44:$ES$44,Calculo!$F$6:$ES$6,5)</f>
        <v>0</v>
      </c>
      <c r="I140" s="48" t="n">
        <f aca="false">SUMIFS(Calculo!$F$44:$ES$44,Calculo!$F$6:$ES$6,6)</f>
        <v>0</v>
      </c>
      <c r="J140" s="48" t="n">
        <f aca="false">SUMIFS(Calculo!$F$44:$ES$44,Calculo!$F$6:$ES$6,7)</f>
        <v>0</v>
      </c>
      <c r="K140" s="48" t="n">
        <f aca="false">SUMIFS(Calculo!$F$44:$ES$44,Calculo!$F$6:$ES$6,8)</f>
        <v>0</v>
      </c>
      <c r="L140" s="48" t="n">
        <f aca="false">SUMIFS(Calculo!$F$44:$ES$44,Calculo!$F$6:$ES$6,9)</f>
        <v>0</v>
      </c>
      <c r="M140" s="48" t="n">
        <f aca="false">SUMIFS(Calculo!$F$44:$ES$44,Calculo!$F$6:$ES$6,10)</f>
        <v>0</v>
      </c>
      <c r="N140" s="48" t="n">
        <f aca="false">SUMIFS(Calculo!$F$44:$ES$44,Calculo!$F$6:$ES$6,11)</f>
        <v>0</v>
      </c>
      <c r="O140" s="48" t="n">
        <f aca="false">SUMIFS(Calculo!$F$44:$ES$44,Calculo!$F$6:$ES$6,12)</f>
        <v>0</v>
      </c>
    </row>
    <row r="141" customFormat="false" ht="15" hidden="false" customHeight="false" outlineLevel="0" collapsed="false">
      <c r="A141" s="11" t="s">
        <v>1644</v>
      </c>
      <c r="B141" s="15" t="str">
        <f aca="false">IF(INDEX(Prod_Nombre,25)="","Producto 25",INDEX(Prod_Nombre,25))</f>
        <v>Producto 25</v>
      </c>
      <c r="C141" s="54" t="n">
        <f aca="false">SUM(D141:O141)</f>
        <v>0</v>
      </c>
      <c r="D141" s="48" t="n">
        <f aca="false">SUMIFS(Calculo!$F$45:$ES$45,Calculo!$F$6:$ES$6,1)</f>
        <v>0</v>
      </c>
      <c r="E141" s="48" t="n">
        <f aca="false">SUMIFS(Calculo!$F$45:$ES$45,Calculo!$F$6:$ES$6,2)</f>
        <v>0</v>
      </c>
      <c r="F141" s="48" t="n">
        <f aca="false">SUMIFS(Calculo!$F$45:$ES$45,Calculo!$F$6:$ES$6,3)</f>
        <v>0</v>
      </c>
      <c r="G141" s="48" t="n">
        <f aca="false">SUMIFS(Calculo!$F$45:$ES$45,Calculo!$F$6:$ES$6,4)</f>
        <v>0</v>
      </c>
      <c r="H141" s="48" t="n">
        <f aca="false">SUMIFS(Calculo!$F$45:$ES$45,Calculo!$F$6:$ES$6,5)</f>
        <v>0</v>
      </c>
      <c r="I141" s="48" t="n">
        <f aca="false">SUMIFS(Calculo!$F$45:$ES$45,Calculo!$F$6:$ES$6,6)</f>
        <v>0</v>
      </c>
      <c r="J141" s="48" t="n">
        <f aca="false">SUMIFS(Calculo!$F$45:$ES$45,Calculo!$F$6:$ES$6,7)</f>
        <v>0</v>
      </c>
      <c r="K141" s="48" t="n">
        <f aca="false">SUMIFS(Calculo!$F$45:$ES$45,Calculo!$F$6:$ES$6,8)</f>
        <v>0</v>
      </c>
      <c r="L141" s="48" t="n">
        <f aca="false">SUMIFS(Calculo!$F$45:$ES$45,Calculo!$F$6:$ES$6,9)</f>
        <v>0</v>
      </c>
      <c r="M141" s="48" t="n">
        <f aca="false">SUMIFS(Calculo!$F$45:$ES$45,Calculo!$F$6:$ES$6,10)</f>
        <v>0</v>
      </c>
      <c r="N141" s="48" t="n">
        <f aca="false">SUMIFS(Calculo!$F$45:$ES$45,Calculo!$F$6:$ES$6,11)</f>
        <v>0</v>
      </c>
      <c r="O141" s="48" t="n">
        <f aca="false">SUMIFS(Calculo!$F$45:$ES$45,Calculo!$F$6:$ES$6,12)</f>
        <v>0</v>
      </c>
    </row>
    <row r="143" customFormat="false" ht="15" hidden="false" customHeight="false" outlineLevel="0" collapsed="false">
      <c r="A143" s="12" t="s">
        <v>1645</v>
      </c>
      <c r="B143" s="13"/>
      <c r="C143" s="13"/>
      <c r="D143" s="13"/>
      <c r="E143" s="13"/>
      <c r="F143" s="13"/>
      <c r="G143" s="13"/>
      <c r="H143" s="13"/>
      <c r="I143" s="13"/>
      <c r="J143" s="13"/>
      <c r="K143" s="13"/>
      <c r="L143" s="13"/>
      <c r="M143" s="13"/>
      <c r="N143" s="13"/>
      <c r="O143" s="13"/>
    </row>
    <row r="144" customFormat="false" ht="15" hidden="false" customHeight="false" outlineLevel="0" collapsed="false">
      <c r="A144" s="14"/>
      <c r="B144" s="14" t="s">
        <v>1530</v>
      </c>
      <c r="C144" s="14" t="s">
        <v>549</v>
      </c>
      <c r="D144" s="14" t="s">
        <v>452</v>
      </c>
      <c r="E144" s="14" t="s">
        <v>453</v>
      </c>
      <c r="F144" s="14" t="s">
        <v>454</v>
      </c>
      <c r="G144" s="14" t="s">
        <v>455</v>
      </c>
      <c r="H144" s="14" t="s">
        <v>456</v>
      </c>
      <c r="I144" s="14" t="s">
        <v>457</v>
      </c>
      <c r="J144" s="14" t="s">
        <v>458</v>
      </c>
      <c r="K144" s="14" t="s">
        <v>459</v>
      </c>
      <c r="L144" s="14" t="s">
        <v>460</v>
      </c>
      <c r="M144" s="14" t="s">
        <v>461</v>
      </c>
      <c r="N144" s="14" t="s">
        <v>1531</v>
      </c>
      <c r="O144" s="14" t="s">
        <v>1532</v>
      </c>
    </row>
    <row r="145" customFormat="false" ht="15" hidden="false" customHeight="false" outlineLevel="0" collapsed="false">
      <c r="B145" s="11" t="s">
        <v>1533</v>
      </c>
      <c r="D145" s="85" t="str">
        <f aca="false">IF(Corte&gt;=12,"Real",IF(Corte&gt;0,"Real+Proy.","Proyección"))</f>
        <v>Proyección</v>
      </c>
      <c r="E145" s="85" t="str">
        <f aca="false">IF(Corte&gt;=24,"Real",IF(Corte&gt;12,"Real+Proy.","Proyección"))</f>
        <v>Proyección</v>
      </c>
      <c r="F145" s="85" t="str">
        <f aca="false">IF(Corte&gt;=36,"Real",IF(Corte&gt;24,"Real+Proy.","Proyección"))</f>
        <v>Proyección</v>
      </c>
      <c r="G145" s="85" t="str">
        <f aca="false">IF(Corte&gt;=48,"Real",IF(Corte&gt;36,"Real+Proy.","Proyección"))</f>
        <v>Proyección</v>
      </c>
      <c r="H145" s="85" t="str">
        <f aca="false">IF(Corte&gt;=60,"Real",IF(Corte&gt;48,"Real+Proy.","Proyección"))</f>
        <v>Proyección</v>
      </c>
      <c r="I145" s="85" t="str">
        <f aca="false">IF(Corte&gt;=72,"Real",IF(Corte&gt;60,"Real+Proy.","Proyección"))</f>
        <v>Proyección</v>
      </c>
      <c r="J145" s="85" t="str">
        <f aca="false">IF(Corte&gt;=84,"Real",IF(Corte&gt;72,"Real+Proy.","Proyección"))</f>
        <v>Proyección</v>
      </c>
      <c r="K145" s="85" t="str">
        <f aca="false">IF(Corte&gt;=96,"Real",IF(Corte&gt;84,"Real+Proy.","Proyección"))</f>
        <v>Proyección</v>
      </c>
      <c r="L145" s="85" t="str">
        <f aca="false">IF(Corte&gt;=108,"Real",IF(Corte&gt;96,"Real+Proy.","Proyección"))</f>
        <v>Proyección</v>
      </c>
      <c r="M145" s="85" t="str">
        <f aca="false">IF(Corte&gt;=120,"Real",IF(Corte&gt;108,"Real+Proy.","Proyección"))</f>
        <v>Proyección</v>
      </c>
      <c r="N145" s="85" t="str">
        <f aca="false">IF(Corte&gt;=132,"Real",IF(Corte&gt;120,"Real+Proy.","Proyección"))</f>
        <v>Proyección</v>
      </c>
      <c r="O145" s="85" t="str">
        <f aca="false">IF(Corte&gt;=144,"Real",IF(Corte&gt;132,"Real+Proy.","Proyección"))</f>
        <v>Proyección</v>
      </c>
    </row>
    <row r="146" customFormat="false" ht="15" hidden="false" customHeight="false" outlineLevel="0" collapsed="false">
      <c r="B146" s="11" t="s">
        <v>1534</v>
      </c>
      <c r="D146" s="86" t="str">
        <f aca="false">IF(n_Fecha1="","",YEAR(EOMONTH(n_Fecha1,0)))</f>
        <v/>
      </c>
      <c r="E146" s="86" t="str">
        <f aca="false">IF(n_Fecha1="","",YEAR(EOMONTH(n_Fecha1,12)))</f>
        <v/>
      </c>
      <c r="F146" s="86" t="str">
        <f aca="false">IF(n_Fecha1="","",YEAR(EOMONTH(n_Fecha1,24)))</f>
        <v/>
      </c>
      <c r="G146" s="86" t="str">
        <f aca="false">IF(n_Fecha1="","",YEAR(EOMONTH(n_Fecha1,36)))</f>
        <v/>
      </c>
      <c r="H146" s="86" t="str">
        <f aca="false">IF(n_Fecha1="","",YEAR(EOMONTH(n_Fecha1,48)))</f>
        <v/>
      </c>
      <c r="I146" s="86" t="str">
        <f aca="false">IF(n_Fecha1="","",YEAR(EOMONTH(n_Fecha1,60)))</f>
        <v/>
      </c>
      <c r="J146" s="86" t="str">
        <f aca="false">IF(n_Fecha1="","",YEAR(EOMONTH(n_Fecha1,72)))</f>
        <v/>
      </c>
      <c r="K146" s="86" t="str">
        <f aca="false">IF(n_Fecha1="","",YEAR(EOMONTH(n_Fecha1,84)))</f>
        <v/>
      </c>
      <c r="L146" s="86" t="str">
        <f aca="false">IF(n_Fecha1="","",YEAR(EOMONTH(n_Fecha1,96)))</f>
        <v/>
      </c>
      <c r="M146" s="86" t="str">
        <f aca="false">IF(n_Fecha1="","",YEAR(EOMONTH(n_Fecha1,108)))</f>
        <v/>
      </c>
      <c r="N146" s="86" t="str">
        <f aca="false">IF(n_Fecha1="","",YEAR(EOMONTH(n_Fecha1,120)))</f>
        <v/>
      </c>
      <c r="O146" s="86" t="str">
        <f aca="false">IF(n_Fecha1="","",YEAR(EOMONTH(n_Fecha1,132)))</f>
        <v/>
      </c>
    </row>
    <row r="147" customFormat="false" ht="15" hidden="false" customHeight="false" outlineLevel="0" collapsed="false">
      <c r="B147" s="15" t="s">
        <v>506</v>
      </c>
      <c r="C147" s="48" t="n">
        <f aca="false">C38-C101</f>
        <v>0</v>
      </c>
      <c r="D147" s="48" t="n">
        <f aca="false">D38-D101</f>
        <v>0</v>
      </c>
      <c r="E147" s="48" t="n">
        <f aca="false">E38-E101</f>
        <v>0</v>
      </c>
      <c r="F147" s="48" t="n">
        <f aca="false">F38-F101</f>
        <v>0</v>
      </c>
      <c r="G147" s="48" t="n">
        <f aca="false">G38-G101</f>
        <v>0</v>
      </c>
      <c r="H147" s="48" t="n">
        <f aca="false">H38-H101</f>
        <v>0</v>
      </c>
      <c r="I147" s="48" t="n">
        <f aca="false">I38-I101</f>
        <v>0</v>
      </c>
      <c r="J147" s="48" t="n">
        <f aca="false">J38-J101</f>
        <v>0</v>
      </c>
      <c r="K147" s="48" t="n">
        <f aca="false">K38-K101</f>
        <v>0</v>
      </c>
      <c r="L147" s="48" t="n">
        <f aca="false">L38-L101</f>
        <v>0</v>
      </c>
      <c r="M147" s="48" t="n">
        <f aca="false">M38-M101</f>
        <v>0</v>
      </c>
      <c r="N147" s="48" t="n">
        <f aca="false">N38-N101</f>
        <v>0</v>
      </c>
      <c r="O147" s="48" t="n">
        <f aca="false">O38-O101</f>
        <v>0</v>
      </c>
    </row>
    <row r="148" customFormat="false" ht="15" hidden="false" customHeight="false" outlineLevel="0" collapsed="false">
      <c r="B148" s="15" t="s">
        <v>509</v>
      </c>
      <c r="C148" s="48" t="n">
        <f aca="false">C48-C102</f>
        <v>0</v>
      </c>
      <c r="D148" s="48" t="n">
        <f aca="false">D48-D102</f>
        <v>0</v>
      </c>
      <c r="E148" s="48" t="n">
        <f aca="false">E48-E102</f>
        <v>0</v>
      </c>
      <c r="F148" s="48" t="n">
        <f aca="false">F48-F102</f>
        <v>0</v>
      </c>
      <c r="G148" s="48" t="n">
        <f aca="false">G48-G102</f>
        <v>0</v>
      </c>
      <c r="H148" s="48" t="n">
        <f aca="false">H48-H102</f>
        <v>0</v>
      </c>
      <c r="I148" s="48" t="n">
        <f aca="false">I48-I102</f>
        <v>0</v>
      </c>
      <c r="J148" s="48" t="n">
        <f aca="false">J48-J102</f>
        <v>0</v>
      </c>
      <c r="K148" s="48" t="n">
        <f aca="false">K48-K102</f>
        <v>0</v>
      </c>
      <c r="L148" s="48" t="n">
        <f aca="false">L48-L102</f>
        <v>0</v>
      </c>
      <c r="M148" s="48" t="n">
        <f aca="false">M48-M102</f>
        <v>0</v>
      </c>
      <c r="N148" s="48" t="n">
        <f aca="false">N48-N102</f>
        <v>0</v>
      </c>
      <c r="O148" s="48" t="n">
        <f aca="false">O48-O102</f>
        <v>0</v>
      </c>
    </row>
    <row r="149" customFormat="false" ht="15" hidden="false" customHeight="false" outlineLevel="0" collapsed="false">
      <c r="B149" s="15" t="s">
        <v>1468</v>
      </c>
      <c r="C149" s="48" t="n">
        <f aca="false">C52-C103</f>
        <v>0</v>
      </c>
      <c r="D149" s="48" t="n">
        <f aca="false">D52-D103</f>
        <v>0</v>
      </c>
      <c r="E149" s="48" t="n">
        <f aca="false">E52-E103</f>
        <v>0</v>
      </c>
      <c r="F149" s="48" t="n">
        <f aca="false">F52-F103</f>
        <v>0</v>
      </c>
      <c r="G149" s="48" t="n">
        <f aca="false">G52-G103</f>
        <v>0</v>
      </c>
      <c r="H149" s="48" t="n">
        <f aca="false">H52-H103</f>
        <v>0</v>
      </c>
      <c r="I149" s="48" t="n">
        <f aca="false">I52-I103</f>
        <v>0</v>
      </c>
      <c r="J149" s="48" t="n">
        <f aca="false">J52-J103</f>
        <v>0</v>
      </c>
      <c r="K149" s="48" t="n">
        <f aca="false">K52-K103</f>
        <v>0</v>
      </c>
      <c r="L149" s="48" t="n">
        <f aca="false">L52-L103</f>
        <v>0</v>
      </c>
      <c r="M149" s="48" t="n">
        <f aca="false">M52-M103</f>
        <v>0</v>
      </c>
      <c r="N149" s="48" t="n">
        <f aca="false">N52-N103</f>
        <v>0</v>
      </c>
      <c r="O149" s="48" t="n">
        <f aca="false">O52-O103</f>
        <v>0</v>
      </c>
    </row>
    <row r="150" customFormat="false" ht="15" hidden="false" customHeight="false" outlineLevel="0" collapsed="false">
      <c r="B150" s="15" t="s">
        <v>1013</v>
      </c>
      <c r="C150" s="48" t="n">
        <f aca="false">C54-C105</f>
        <v>0</v>
      </c>
      <c r="D150" s="48" t="n">
        <f aca="false">D54-D105</f>
        <v>0</v>
      </c>
      <c r="E150" s="48" t="n">
        <f aca="false">E54-E105</f>
        <v>0</v>
      </c>
      <c r="F150" s="48" t="n">
        <f aca="false">F54-F105</f>
        <v>0</v>
      </c>
      <c r="G150" s="48" t="n">
        <f aca="false">G54-G105</f>
        <v>0</v>
      </c>
      <c r="H150" s="48" t="n">
        <f aca="false">H54-H105</f>
        <v>0</v>
      </c>
      <c r="I150" s="48" t="n">
        <f aca="false">I54-I105</f>
        <v>0</v>
      </c>
      <c r="J150" s="48" t="n">
        <f aca="false">J54-J105</f>
        <v>0</v>
      </c>
      <c r="K150" s="48" t="n">
        <f aca="false">K54-K105</f>
        <v>0</v>
      </c>
      <c r="L150" s="48" t="n">
        <f aca="false">L54-L105</f>
        <v>0</v>
      </c>
      <c r="M150" s="48" t="n">
        <f aca="false">M54-M105</f>
        <v>0</v>
      </c>
      <c r="N150" s="48" t="n">
        <f aca="false">N54-N105</f>
        <v>0</v>
      </c>
      <c r="O150" s="48" t="n">
        <f aca="false">O54-O105</f>
        <v>0</v>
      </c>
    </row>
    <row r="151" customFormat="false" ht="15" hidden="false" customHeight="false" outlineLevel="0" collapsed="false">
      <c r="B151" s="15" t="s">
        <v>1646</v>
      </c>
      <c r="C151" s="48" t="n">
        <f aca="false">C55-C106</f>
        <v>0</v>
      </c>
      <c r="D151" s="48" t="n">
        <f aca="false">D55-D106</f>
        <v>0</v>
      </c>
      <c r="E151" s="48" t="n">
        <f aca="false">E55-E106</f>
        <v>0</v>
      </c>
      <c r="F151" s="48" t="n">
        <f aca="false">F55-F106</f>
        <v>0</v>
      </c>
      <c r="G151" s="48" t="n">
        <f aca="false">G55-G106</f>
        <v>0</v>
      </c>
      <c r="H151" s="48" t="n">
        <f aca="false">H55-H106</f>
        <v>0</v>
      </c>
      <c r="I151" s="48" t="n">
        <f aca="false">I55-I106</f>
        <v>0</v>
      </c>
      <c r="J151" s="48" t="n">
        <f aca="false">J55-J106</f>
        <v>0</v>
      </c>
      <c r="K151" s="48" t="n">
        <f aca="false">K55-K106</f>
        <v>0</v>
      </c>
      <c r="L151" s="48" t="n">
        <f aca="false">L55-L106</f>
        <v>0</v>
      </c>
      <c r="M151" s="48" t="n">
        <f aca="false">M55-M106</f>
        <v>0</v>
      </c>
      <c r="N151" s="48" t="n">
        <f aca="false">N55-N106</f>
        <v>0</v>
      </c>
      <c r="O151" s="48" t="n">
        <f aca="false">O55-O106</f>
        <v>0</v>
      </c>
    </row>
    <row r="152" customFormat="false" ht="15" hidden="false" customHeight="false" outlineLevel="0" collapsed="false">
      <c r="B152" s="15" t="s">
        <v>1472</v>
      </c>
      <c r="C152" s="48" t="n">
        <f aca="false">C61-C111</f>
        <v>0</v>
      </c>
      <c r="D152" s="48" t="n">
        <f aca="false">D61-D111</f>
        <v>0</v>
      </c>
      <c r="E152" s="48" t="n">
        <f aca="false">E61-E111</f>
        <v>0</v>
      </c>
      <c r="F152" s="48" t="n">
        <f aca="false">F61-F111</f>
        <v>0</v>
      </c>
      <c r="G152" s="48" t="n">
        <f aca="false">G61-G111</f>
        <v>0</v>
      </c>
      <c r="H152" s="48" t="n">
        <f aca="false">H61-H111</f>
        <v>0</v>
      </c>
      <c r="I152" s="48" t="n">
        <f aca="false">I61-I111</f>
        <v>0</v>
      </c>
      <c r="J152" s="48" t="n">
        <f aca="false">J61-J111</f>
        <v>0</v>
      </c>
      <c r="K152" s="48" t="n">
        <f aca="false">K61-K111</f>
        <v>0</v>
      </c>
      <c r="L152" s="48" t="n">
        <f aca="false">L61-L111</f>
        <v>0</v>
      </c>
      <c r="M152" s="48" t="n">
        <f aca="false">M61-M111</f>
        <v>0</v>
      </c>
      <c r="N152" s="48" t="n">
        <f aca="false">N61-N111</f>
        <v>0</v>
      </c>
      <c r="O152" s="48" t="n">
        <f aca="false">O61-O111</f>
        <v>0</v>
      </c>
    </row>
    <row r="153" customFormat="false" ht="15" hidden="false" customHeight="false" outlineLevel="0" collapsed="false">
      <c r="B153" s="15" t="s">
        <v>1647</v>
      </c>
      <c r="C153" s="48" t="n">
        <f aca="false">SUM(C71:C95)-SUM(C117:C141)</f>
        <v>0</v>
      </c>
      <c r="D153" s="48" t="n">
        <f aca="false">SUM(D71:D95)-SUM(D117:D141)</f>
        <v>0</v>
      </c>
      <c r="E153" s="48" t="n">
        <f aca="false">SUM(E71:E95)-SUM(E117:E141)</f>
        <v>0</v>
      </c>
      <c r="F153" s="48" t="n">
        <f aca="false">SUM(F71:F95)-SUM(F117:F141)</f>
        <v>0</v>
      </c>
      <c r="G153" s="48" t="n">
        <f aca="false">SUM(G71:G95)-SUM(G117:G141)</f>
        <v>0</v>
      </c>
      <c r="H153" s="48" t="n">
        <f aca="false">SUM(H71:H95)-SUM(H117:H141)</f>
        <v>0</v>
      </c>
      <c r="I153" s="48" t="n">
        <f aca="false">SUM(I71:I95)-SUM(I117:I141)</f>
        <v>0</v>
      </c>
      <c r="J153" s="48" t="n">
        <f aca="false">SUM(J71:J95)-SUM(J117:J141)</f>
        <v>0</v>
      </c>
      <c r="K153" s="48" t="n">
        <f aca="false">SUM(K71:K95)-SUM(K117:K141)</f>
        <v>0</v>
      </c>
      <c r="L153" s="48" t="n">
        <f aca="false">SUM(L71:L95)-SUM(L117:L141)</f>
        <v>0</v>
      </c>
      <c r="M153" s="48" t="n">
        <f aca="false">SUM(M71:M95)-SUM(M117:M141)</f>
        <v>0</v>
      </c>
      <c r="N153" s="48" t="n">
        <f aca="false">SUM(N71:N95)-SUM(N117:N141)</f>
        <v>0</v>
      </c>
      <c r="O153" s="48" t="n">
        <f aca="false">SUM(O71:O95)-SUM(O117:O141)</f>
        <v>0</v>
      </c>
    </row>
    <row r="154" customFormat="false" ht="15" hidden="false" customHeight="false" outlineLevel="0" collapsed="false">
      <c r="B154" s="15" t="s">
        <v>1648</v>
      </c>
      <c r="C154" s="49" t="n">
        <f aca="false">IF(C101=0,"",C147/C101)</f>
        <v>0</v>
      </c>
      <c r="D154" s="49" t="n">
        <f aca="false">IF(D101=0,"",D147/D101)</f>
        <v>0</v>
      </c>
      <c r="E154" s="49" t="n">
        <f aca="false">IF(E101=0,"",E147/E101)</f>
        <v>0</v>
      </c>
      <c r="F154" s="49" t="n">
        <f aca="false">IF(F101=0,"",F147/F101)</f>
        <v>0</v>
      </c>
      <c r="G154" s="49" t="n">
        <f aca="false">IF(G101=0,"",G147/G101)</f>
        <v>0</v>
      </c>
      <c r="H154" s="49" t="n">
        <f aca="false">IF(H101=0,"",H147/H101)</f>
        <v>0</v>
      </c>
      <c r="I154" s="49" t="n">
        <f aca="false">IF(I101=0,"",I147/I101)</f>
        <v>0</v>
      </c>
      <c r="J154" s="49" t="n">
        <f aca="false">IF(J101=0,"",J147/J101)</f>
        <v>0</v>
      </c>
      <c r="K154" s="49" t="n">
        <f aca="false">IF(K101=0,"",K147/K101)</f>
        <v>0</v>
      </c>
      <c r="L154" s="49" t="n">
        <f aca="false">IF(L101=0,"",L147/L101)</f>
        <v>0</v>
      </c>
      <c r="M154" s="49" t="n">
        <f aca="false">IF(M101=0,"",M147/M101)</f>
        <v>0</v>
      </c>
      <c r="N154" s="49" t="str">
        <f aca="false">IF(N101=0,"",N147/N101)</f>
        <v/>
      </c>
      <c r="O154" s="49" t="str">
        <f aca="false">IF(O101=0,"",O147/O101)</f>
        <v/>
      </c>
    </row>
    <row r="156" customFormat="false" ht="15" hidden="false" customHeight="false" outlineLevel="0" collapsed="false">
      <c r="A156" s="12" t="s">
        <v>1649</v>
      </c>
      <c r="B156" s="13"/>
      <c r="C156" s="13"/>
      <c r="D156" s="13"/>
      <c r="E156" s="13"/>
      <c r="F156" s="13"/>
      <c r="G156" s="13"/>
      <c r="H156" s="13"/>
      <c r="I156" s="13"/>
      <c r="J156" s="13"/>
      <c r="K156" s="13"/>
      <c r="L156" s="13"/>
      <c r="M156" s="13"/>
      <c r="N156" s="13"/>
      <c r="O156" s="13"/>
    </row>
    <row r="157" customFormat="false" ht="15" hidden="false" customHeight="false" outlineLevel="0" collapsed="false">
      <c r="A157" s="14"/>
      <c r="B157" s="14" t="s">
        <v>1530</v>
      </c>
      <c r="C157" s="14" t="s">
        <v>549</v>
      </c>
      <c r="D157" s="14" t="s">
        <v>452</v>
      </c>
      <c r="E157" s="14" t="s">
        <v>453</v>
      </c>
      <c r="F157" s="14" t="s">
        <v>454</v>
      </c>
      <c r="G157" s="14" t="s">
        <v>455</v>
      </c>
      <c r="H157" s="14" t="s">
        <v>456</v>
      </c>
      <c r="I157" s="14" t="s">
        <v>457</v>
      </c>
      <c r="J157" s="14" t="s">
        <v>458</v>
      </c>
      <c r="K157" s="14" t="s">
        <v>459</v>
      </c>
      <c r="L157" s="14" t="s">
        <v>460</v>
      </c>
      <c r="M157" s="14" t="s">
        <v>461</v>
      </c>
      <c r="N157" s="14" t="s">
        <v>1531</v>
      </c>
      <c r="O157" s="14" t="s">
        <v>1532</v>
      </c>
    </row>
    <row r="158" customFormat="false" ht="15" hidden="false" customHeight="false" outlineLevel="0" collapsed="false">
      <c r="B158" s="11" t="s">
        <v>1533</v>
      </c>
      <c r="D158" s="85" t="str">
        <f aca="false">IF(Corte&gt;=12,"Real",IF(Corte&gt;0,"Real+Proy.","Proyección"))</f>
        <v>Proyección</v>
      </c>
      <c r="E158" s="85" t="str">
        <f aca="false">IF(Corte&gt;=24,"Real",IF(Corte&gt;12,"Real+Proy.","Proyección"))</f>
        <v>Proyección</v>
      </c>
      <c r="F158" s="85" t="str">
        <f aca="false">IF(Corte&gt;=36,"Real",IF(Corte&gt;24,"Real+Proy.","Proyección"))</f>
        <v>Proyección</v>
      </c>
      <c r="G158" s="85" t="str">
        <f aca="false">IF(Corte&gt;=48,"Real",IF(Corte&gt;36,"Real+Proy.","Proyección"))</f>
        <v>Proyección</v>
      </c>
      <c r="H158" s="85" t="str">
        <f aca="false">IF(Corte&gt;=60,"Real",IF(Corte&gt;48,"Real+Proy.","Proyección"))</f>
        <v>Proyección</v>
      </c>
      <c r="I158" s="85" t="str">
        <f aca="false">IF(Corte&gt;=72,"Real",IF(Corte&gt;60,"Real+Proy.","Proyección"))</f>
        <v>Proyección</v>
      </c>
      <c r="J158" s="85" t="str">
        <f aca="false">IF(Corte&gt;=84,"Real",IF(Corte&gt;72,"Real+Proy.","Proyección"))</f>
        <v>Proyección</v>
      </c>
      <c r="K158" s="85" t="str">
        <f aca="false">IF(Corte&gt;=96,"Real",IF(Corte&gt;84,"Real+Proy.","Proyección"))</f>
        <v>Proyección</v>
      </c>
      <c r="L158" s="85" t="str">
        <f aca="false">IF(Corte&gt;=108,"Real",IF(Corte&gt;96,"Real+Proy.","Proyección"))</f>
        <v>Proyección</v>
      </c>
      <c r="M158" s="85" t="str">
        <f aca="false">IF(Corte&gt;=120,"Real",IF(Corte&gt;108,"Real+Proy.","Proyección"))</f>
        <v>Proyección</v>
      </c>
      <c r="N158" s="85" t="str">
        <f aca="false">IF(Corte&gt;=132,"Real",IF(Corte&gt;120,"Real+Proy.","Proyección"))</f>
        <v>Proyección</v>
      </c>
      <c r="O158" s="85" t="str">
        <f aca="false">IF(Corte&gt;=144,"Real",IF(Corte&gt;132,"Real+Proy.","Proyección"))</f>
        <v>Proyección</v>
      </c>
    </row>
    <row r="159" customFormat="false" ht="15" hidden="false" customHeight="false" outlineLevel="0" collapsed="false">
      <c r="B159" s="11" t="s">
        <v>1534</v>
      </c>
      <c r="D159" s="86" t="str">
        <f aca="false">IF(n_Fecha1="","",YEAR(EOMONTH(n_Fecha1,0)))</f>
        <v/>
      </c>
      <c r="E159" s="86" t="str">
        <f aca="false">IF(n_Fecha1="","",YEAR(EOMONTH(n_Fecha1,12)))</f>
        <v/>
      </c>
      <c r="F159" s="86" t="str">
        <f aca="false">IF(n_Fecha1="","",YEAR(EOMONTH(n_Fecha1,24)))</f>
        <v/>
      </c>
      <c r="G159" s="86" t="str">
        <f aca="false">IF(n_Fecha1="","",YEAR(EOMONTH(n_Fecha1,36)))</f>
        <v/>
      </c>
      <c r="H159" s="86" t="str">
        <f aca="false">IF(n_Fecha1="","",YEAR(EOMONTH(n_Fecha1,48)))</f>
        <v/>
      </c>
      <c r="I159" s="86" t="str">
        <f aca="false">IF(n_Fecha1="","",YEAR(EOMONTH(n_Fecha1,60)))</f>
        <v/>
      </c>
      <c r="J159" s="86" t="str">
        <f aca="false">IF(n_Fecha1="","",YEAR(EOMONTH(n_Fecha1,72)))</f>
        <v/>
      </c>
      <c r="K159" s="86" t="str">
        <f aca="false">IF(n_Fecha1="","",YEAR(EOMONTH(n_Fecha1,84)))</f>
        <v/>
      </c>
      <c r="L159" s="86" t="str">
        <f aca="false">IF(n_Fecha1="","",YEAR(EOMONTH(n_Fecha1,96)))</f>
        <v/>
      </c>
      <c r="M159" s="86" t="str">
        <f aca="false">IF(n_Fecha1="","",YEAR(EOMONTH(n_Fecha1,108)))</f>
        <v/>
      </c>
      <c r="N159" s="86" t="str">
        <f aca="false">IF(n_Fecha1="","",YEAR(EOMONTH(n_Fecha1,120)))</f>
        <v/>
      </c>
      <c r="O159" s="86" t="str">
        <f aca="false">IF(n_Fecha1="","",YEAR(EOMONTH(n_Fecha1,132)))</f>
        <v/>
      </c>
    </row>
    <row r="160" customFormat="false" ht="15" hidden="false" customHeight="false" outlineLevel="0" collapsed="false">
      <c r="B160" s="15" t="s">
        <v>507</v>
      </c>
      <c r="C160" s="54" t="n">
        <f aca="false">SUM(D160:M160)</f>
        <v>81222448</v>
      </c>
      <c r="D160" s="87" t="n">
        <f aca="false">IF(INDEX(pub_Ventas,1,1)="","",INDEX(pub_Ventas,1,1))</f>
        <v>4850000</v>
      </c>
      <c r="E160" s="87" t="n">
        <f aca="false">IF(INDEX(pub_Ventas,1,2)="","",INDEX(pub_Ventas,1,2))</f>
        <v>6181200</v>
      </c>
      <c r="F160" s="87" t="n">
        <f aca="false">IF(INDEX(pub_Ventas,1,3)="","",INDEX(pub_Ventas,1,3))</f>
        <v>7538539</v>
      </c>
      <c r="G160" s="87" t="n">
        <f aca="false">IF(INDEX(pub_Ventas,1,4)="","",INDEX(pub_Ventas,1,4))</f>
        <v>8685437</v>
      </c>
      <c r="H160" s="87" t="n">
        <f aca="false">IF(INDEX(pub_Ventas,1,5)="","",INDEX(pub_Ventas,1,5))</f>
        <v>8772292</v>
      </c>
      <c r="I160" s="87" t="n">
        <f aca="false">IF(INDEX(pub_Ventas,1,6)="","",INDEX(pub_Ventas,1,6))</f>
        <v>8860015</v>
      </c>
      <c r="J160" s="87" t="n">
        <f aca="false">IF(INDEX(pub_Ventas,1,7)="","",INDEX(pub_Ventas,1,7))</f>
        <v>8948615</v>
      </c>
      <c r="K160" s="87" t="n">
        <f aca="false">IF(INDEX(pub_Ventas,1,8)="","",INDEX(pub_Ventas,1,8))</f>
        <v>9038101</v>
      </c>
      <c r="L160" s="87" t="n">
        <f aca="false">IF(INDEX(pub_Ventas,1,9)="","",INDEX(pub_Ventas,1,9))</f>
        <v>9128482</v>
      </c>
      <c r="M160" s="87" t="n">
        <f aca="false">IF(INDEX(pub_Ventas,1,10)="","",INDEX(pub_Ventas,1,10))</f>
        <v>9219767</v>
      </c>
    </row>
    <row r="161" customFormat="false" ht="15" hidden="false" customHeight="false" outlineLevel="0" collapsed="false">
      <c r="B161" s="15" t="s">
        <v>1650</v>
      </c>
      <c r="D161" s="48" t="n">
        <f aca="false">IF(D160="","",D101-D160)</f>
        <v>0</v>
      </c>
      <c r="E161" s="48" t="n">
        <f aca="false">IF(E160="","",E101-E160)</f>
        <v>0</v>
      </c>
      <c r="F161" s="48" t="n">
        <f aca="false">IF(F160="","",F101-F160)</f>
        <v>0</v>
      </c>
      <c r="G161" s="48" t="n">
        <f aca="false">IF(G160="","",G101-G160)</f>
        <v>0.429999999701977</v>
      </c>
      <c r="H161" s="48" t="n">
        <f aca="false">IF(H160="","",H101-H160)</f>
        <v>-0.195700000971556</v>
      </c>
      <c r="I161" s="48" t="n">
        <f aca="false">IF(I160="","",I101-I160)</f>
        <v>-0.277657000347972</v>
      </c>
      <c r="J161" s="48" t="n">
        <f aca="false">IF(J160="","",J101-J160)</f>
        <v>-0.130433570593596</v>
      </c>
      <c r="K161" s="48" t="n">
        <f aca="false">IF(K160="","",K101-K160)</f>
        <v>0.0182620920240879</v>
      </c>
      <c r="L161" s="48" t="n">
        <f aca="false">IF(L160="","",L101-L160)</f>
        <v>0.0284447148442268</v>
      </c>
      <c r="M161" s="48" t="n">
        <f aca="false">IF(M160="","",M101-M160)</f>
        <v>-0.151270836591721</v>
      </c>
    </row>
    <row r="162" customFormat="false" ht="15" hidden="false" customHeight="false" outlineLevel="0" collapsed="false">
      <c r="B162" s="15" t="s">
        <v>510</v>
      </c>
      <c r="C162" s="54" t="n">
        <f aca="false">SUM(D162:M162)</f>
        <v>17354010</v>
      </c>
      <c r="D162" s="87" t="n">
        <f aca="false">IF(INDEX(pub_EBITDA,1,1)="","",INDEX(pub_EBITDA,1,1))</f>
        <v>573024</v>
      </c>
      <c r="E162" s="87" t="n">
        <f aca="false">IF(INDEX(pub_EBITDA,1,2)="","",INDEX(pub_EBITDA,1,2))</f>
        <v>1029011</v>
      </c>
      <c r="F162" s="87" t="n">
        <f aca="false">IF(INDEX(pub_EBITDA,1,3)="","",INDEX(pub_EBITDA,1,3))</f>
        <v>1479759</v>
      </c>
      <c r="G162" s="87" t="n">
        <f aca="false">IF(INDEX(pub_EBITDA,1,4)="","",INDEX(pub_EBITDA,1,4))</f>
        <v>1886306</v>
      </c>
      <c r="H162" s="87" t="n">
        <f aca="false">IF(INDEX(pub_EBITDA,1,5)="","",INDEX(pub_EBITDA,1,5))</f>
        <v>1914796</v>
      </c>
      <c r="I162" s="87" t="n">
        <f aca="false">IF(INDEX(pub_EBITDA,1,6)="","",INDEX(pub_EBITDA,1,6))</f>
        <v>1973999</v>
      </c>
      <c r="J162" s="87" t="n">
        <f aca="false">IF(INDEX(pub_EBITDA,1,7)="","",INDEX(pub_EBITDA,1,7))</f>
        <v>2033657</v>
      </c>
      <c r="K162" s="87" t="n">
        <f aca="false">IF(INDEX(pub_EBITDA,1,8)="","",INDEX(pub_EBITDA,1,8))</f>
        <v>2093768</v>
      </c>
      <c r="L162" s="87" t="n">
        <f aca="false">IF(INDEX(pub_EBITDA,1,9)="","",INDEX(pub_EBITDA,1,9))</f>
        <v>2154335</v>
      </c>
      <c r="M162" s="87" t="n">
        <f aca="false">IF(INDEX(pub_EBITDA,1,10)="","",INDEX(pub_EBITDA,1,10))</f>
        <v>2215355</v>
      </c>
    </row>
    <row r="163" customFormat="false" ht="15" hidden="false" customHeight="false" outlineLevel="0" collapsed="false">
      <c r="B163" s="15" t="s">
        <v>1650</v>
      </c>
      <c r="D163" s="48" t="n">
        <f aca="false">IF(D162="","",D102-D162)</f>
        <v>-63053.994292923</v>
      </c>
      <c r="E163" s="48" t="n">
        <f aca="false">IF(E162="","",E102-E162)</f>
        <v>-63054.1640724225</v>
      </c>
      <c r="F163" s="48" t="n">
        <f aca="false">IF(F162="","",F102-F162)</f>
        <v>-74738.6296185039</v>
      </c>
      <c r="G163" s="48" t="n">
        <f aca="false">IF(G162="","",G102-G162)</f>
        <v>-87583.0414417</v>
      </c>
      <c r="H163" s="48" t="n">
        <f aca="false">IF(H162="","",H102-H162)</f>
        <v>-100238.021483516</v>
      </c>
      <c r="I163" s="48" t="n">
        <f aca="false">IF(I162="","",I102-I162)</f>
        <v>-110393.698426086</v>
      </c>
      <c r="J163" s="48" t="n">
        <f aca="false">IF(J162="","",J102-J162)</f>
        <v>-120664.730127203</v>
      </c>
      <c r="K163" s="48" t="n">
        <f aca="false">IF(K162="","",K102-K162)</f>
        <v>-131050.17744455</v>
      </c>
      <c r="L163" s="48" t="n">
        <f aca="false">IF(L162="","",L102-L162)</f>
        <v>-141554.244213109</v>
      </c>
      <c r="M163" s="48" t="n">
        <f aca="false">IF(M162="","",M102-M162)</f>
        <v>-152175.282618967</v>
      </c>
    </row>
    <row r="164" customFormat="false" ht="15" hidden="false" customHeight="false" outlineLevel="0" collapsed="false">
      <c r="B164" s="15" t="s">
        <v>512</v>
      </c>
      <c r="C164" s="54" t="n">
        <f aca="false">SUM(D164:M164)</f>
        <v>15945168</v>
      </c>
      <c r="D164" s="87" t="n">
        <f aca="false">IF(INDEX(pub_Utilidad,1,1)="","",INDEX(pub_Utilidad,1,1))</f>
        <v>301922</v>
      </c>
      <c r="E164" s="87" t="n">
        <f aca="false">IF(INDEX(pub_Utilidad,1,2)="","",INDEX(pub_Utilidad,1,2))</f>
        <v>731144</v>
      </c>
      <c r="F164" s="87" t="n">
        <f aca="false">IF(INDEX(pub_Utilidad,1,3)="","",INDEX(pub_Utilidad,1,3))</f>
        <v>1238751</v>
      </c>
      <c r="G164" s="87" t="n">
        <f aca="false">IF(INDEX(pub_Utilidad,1,4)="","",INDEX(pub_Utilidad,1,4))</f>
        <v>1707489</v>
      </c>
      <c r="H164" s="87" t="n">
        <f aca="false">IF(INDEX(pub_Utilidad,1,5)="","",INDEX(pub_Utilidad,1,5))</f>
        <v>1804006</v>
      </c>
      <c r="I164" s="87" t="n">
        <f aca="false">IF(INDEX(pub_Utilidad,1,6)="","",INDEX(pub_Utilidad,1,6))</f>
        <v>1902407</v>
      </c>
      <c r="J164" s="87" t="n">
        <f aca="false">IF(INDEX(pub_Utilidad,1,7)="","",INDEX(pub_Utilidad,1,7))</f>
        <v>1974240</v>
      </c>
      <c r="K164" s="87" t="n">
        <f aca="false">IF(INDEX(pub_Utilidad,1,8)="","",INDEX(pub_Utilidad,1,8))</f>
        <v>2034352</v>
      </c>
      <c r="L164" s="87" t="n">
        <f aca="false">IF(INDEX(pub_Utilidad,1,9)="","",INDEX(pub_Utilidad,1,9))</f>
        <v>2094918</v>
      </c>
      <c r="M164" s="87" t="n">
        <f aca="false">IF(INDEX(pub_Utilidad,1,10)="","",INDEX(pub_Utilidad,1,10))</f>
        <v>2155939</v>
      </c>
    </row>
    <row r="165" customFormat="false" ht="15" hidden="false" customHeight="false" outlineLevel="0" collapsed="false">
      <c r="B165" s="15" t="s">
        <v>1650</v>
      </c>
      <c r="D165" s="48" t="n">
        <f aca="false">IF(D164="","",D103-D164)</f>
        <v>-134646.135723949</v>
      </c>
      <c r="E165" s="48" t="n">
        <f aca="false">IF(E164="","",E103-E164)</f>
        <v>-73053.6271938746</v>
      </c>
      <c r="F165" s="48" t="n">
        <f aca="false">IF(F164="","",F103-F164)</f>
        <v>-84738.8115596711</v>
      </c>
      <c r="G165" s="48" t="n">
        <f aca="false">IF(G164="","",G103-G164)</f>
        <v>-97582.2432381557</v>
      </c>
      <c r="H165" s="48" t="n">
        <f aca="false">IF(H164="","",H103-H164)</f>
        <v>-110238.206417869</v>
      </c>
      <c r="I165" s="48" t="n">
        <f aca="false">IF(I164="","",I103-I164)</f>
        <v>-108218.307426086</v>
      </c>
      <c r="J165" s="48" t="n">
        <f aca="false">IF(J164="","",J103-J164)</f>
        <v>-130664.339127203</v>
      </c>
      <c r="K165" s="48" t="n">
        <f aca="false">IF(K164="","",K103-K164)</f>
        <v>-141050.78644455</v>
      </c>
      <c r="L165" s="48" t="n">
        <f aca="false">IF(L164="","",L103-L164)</f>
        <v>-151553.85321311</v>
      </c>
      <c r="M165" s="48" t="n">
        <f aca="false">IF(M164="","",M103-M164)</f>
        <v>-162175.891618967</v>
      </c>
    </row>
    <row r="168" customFormat="false" ht="15" hidden="false" customHeight="false" outlineLevel="0" collapsed="false">
      <c r="B168" s="11" t="s">
        <v>1651</v>
      </c>
      <c r="D168" s="88" t="s">
        <v>452</v>
      </c>
      <c r="E168" s="88" t="s">
        <v>453</v>
      </c>
      <c r="F168" s="88" t="s">
        <v>454</v>
      </c>
      <c r="G168" s="88" t="s">
        <v>455</v>
      </c>
      <c r="H168" s="88" t="s">
        <v>456</v>
      </c>
      <c r="I168" s="88" t="s">
        <v>457</v>
      </c>
      <c r="J168" s="88" t="s">
        <v>458</v>
      </c>
      <c r="K168" s="88" t="s">
        <v>459</v>
      </c>
      <c r="L168" s="88" t="s">
        <v>460</v>
      </c>
      <c r="M168" s="88" t="s">
        <v>461</v>
      </c>
      <c r="N168" s="88" t="s">
        <v>1531</v>
      </c>
      <c r="O168" s="88" t="s">
        <v>1532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80"/>
  </cols>
  <sheetData>
    <row r="1" customFormat="false" ht="16.15" hidden="false" customHeight="false" outlineLevel="0" collapsed="false">
      <c r="A1" s="10" t="s">
        <v>1652</v>
      </c>
    </row>
    <row r="2" customFormat="false" ht="15" hidden="false" customHeight="false" outlineLevel="0" collapsed="false">
      <c r="A2" s="11" t="s">
        <v>1653</v>
      </c>
    </row>
    <row r="4" customFormat="false" ht="15" hidden="false" customHeight="false" outlineLevel="0" collapsed="false">
      <c r="A4" s="14" t="s">
        <v>353</v>
      </c>
      <c r="B4" s="14" t="s">
        <v>202</v>
      </c>
      <c r="C4" s="14" t="s">
        <v>109</v>
      </c>
      <c r="D4" s="14" t="s">
        <v>1654</v>
      </c>
      <c r="E4" s="14" t="s">
        <v>717</v>
      </c>
      <c r="F4" s="14" t="s">
        <v>1655</v>
      </c>
    </row>
    <row r="5" customFormat="false" ht="15" hidden="false" customHeight="false" outlineLevel="0" collapsed="false">
      <c r="A5" s="15" t="s">
        <v>1656</v>
      </c>
      <c r="B5" s="15" t="s">
        <v>1657</v>
      </c>
      <c r="C5" s="50" t="n">
        <f aca="false">r_ChkP</f>
        <v>0</v>
      </c>
      <c r="D5" s="28" t="n">
        <f aca="false">0</f>
        <v>0</v>
      </c>
      <c r="E5" s="89" t="str">
        <f aca="false">IF(ABS(C5)&lt;0.01,"OK","REVISAR")</f>
        <v>OK</v>
      </c>
      <c r="F5" s="11" t="s">
        <v>1658</v>
      </c>
    </row>
    <row r="6" customFormat="false" ht="15" hidden="false" customHeight="false" outlineLevel="0" collapsed="false">
      <c r="A6" s="15" t="s">
        <v>1659</v>
      </c>
      <c r="B6" s="15" t="s">
        <v>1660</v>
      </c>
      <c r="C6" s="50" t="n">
        <f aca="false">r_ChkV</f>
        <v>0</v>
      </c>
      <c r="D6" s="28" t="n">
        <f aca="false">0</f>
        <v>0</v>
      </c>
      <c r="E6" s="89" t="str">
        <f aca="false">IF(ABS(C6)&lt;0.01,"OK","REVISAR")</f>
        <v>OK</v>
      </c>
      <c r="F6" s="11" t="s">
        <v>1661</v>
      </c>
    </row>
    <row r="7" customFormat="false" ht="15" hidden="false" customHeight="false" outlineLevel="0" collapsed="false">
      <c r="A7" s="15" t="s">
        <v>1662</v>
      </c>
      <c r="B7" s="15" t="s">
        <v>1663</v>
      </c>
      <c r="C7" s="50" t="n">
        <f aca="false">SUMPRODUCT((Calculo!$F$8:$ES$8=1)*(Calculo!$F$227:$ES$227=0))</f>
        <v>0</v>
      </c>
      <c r="D7" s="28" t="n">
        <f aca="false">0</f>
        <v>0</v>
      </c>
      <c r="E7" s="89" t="str">
        <f aca="false">IF(C7=0,"OK","REVISAR")</f>
        <v>OK</v>
      </c>
      <c r="F7" s="11" t="s">
        <v>1664</v>
      </c>
    </row>
    <row r="8" customFormat="false" ht="15" hidden="false" customHeight="false" outlineLevel="0" collapsed="false">
      <c r="A8" s="15" t="s">
        <v>1665</v>
      </c>
      <c r="B8" s="15" t="s">
        <v>1666</v>
      </c>
      <c r="C8" s="50" t="n">
        <f aca="false">SUMPRODUCT((Calculo!$F$8:$ES$8=1)*(Calculo!$F$249:$ES$249+Calculo!$F$251:$ES$251+Calculo!$F$254:$ES$254=0))</f>
        <v>0</v>
      </c>
      <c r="D8" s="28" t="n">
        <f aca="false">0</f>
        <v>0</v>
      </c>
      <c r="E8" s="89" t="str">
        <f aca="false">IF(C8=0,"OK","REVISAR")</f>
        <v>OK</v>
      </c>
      <c r="F8" s="11" t="s">
        <v>1667</v>
      </c>
    </row>
    <row r="9" customFormat="false" ht="15" hidden="false" customHeight="false" outlineLevel="0" collapsed="false">
      <c r="A9" s="15" t="s">
        <v>1668</v>
      </c>
      <c r="B9" s="15" t="s">
        <v>1669</v>
      </c>
      <c r="C9" s="50" t="n">
        <f aca="false">IF(Corte=0,1,IF(ISNUMBER(INDEX(Reales!$F$79:$ES$79,1,Corte)),1,0))</f>
        <v>1</v>
      </c>
      <c r="D9" s="28" t="n">
        <f aca="false">1</f>
        <v>1</v>
      </c>
      <c r="E9" s="89" t="str">
        <f aca="false">IF(C9=1,"OK","REVISAR")</f>
        <v>OK</v>
      </c>
      <c r="F9" s="11" t="s">
        <v>1670</v>
      </c>
    </row>
    <row r="10" customFormat="false" ht="15" hidden="false" customHeight="false" outlineLevel="0" collapsed="false">
      <c r="A10" s="15" t="s">
        <v>1671</v>
      </c>
      <c r="B10" s="15" t="s">
        <v>1672</v>
      </c>
      <c r="C10" s="50" t="n">
        <f aca="false">IF(Corte=0,1,IF(AND(ISNUMBER(INDEX(Reales!$F$80:$ES$80,1,Corte)),ISNUMBER(INDEX(Reales!$F$81:$ES$81,1,Corte)),ISNUMBER(INDEX(Reales!$F$83:$ES$83,1,Corte))),1,0))</f>
        <v>1</v>
      </c>
      <c r="D10" s="28" t="n">
        <f aca="false">1</f>
        <v>1</v>
      </c>
      <c r="E10" s="89" t="str">
        <f aca="false">IF(C10=1,"OK","REVISAR")</f>
        <v>OK</v>
      </c>
      <c r="F10" s="11" t="s">
        <v>1673</v>
      </c>
    </row>
    <row r="11" customFormat="false" ht="15" hidden="false" customHeight="false" outlineLevel="0" collapsed="false">
      <c r="A11" s="15" t="s">
        <v>1674</v>
      </c>
      <c r="B11" s="15" t="s">
        <v>1675</v>
      </c>
      <c r="C11" s="50" t="n">
        <f aca="false">IF(Corte=0,0,IF(ISNUMBER(INDEX(Reales!$F$84:$ES$84,1,Corte)),INDEX(Reales!$F$84:$ES$84,1,Corte)-INDEX(Calculo!$F$304:$ES$304,1,Corte),0))</f>
        <v>0</v>
      </c>
      <c r="D11" s="28" t="n">
        <f aca="false">0</f>
        <v>0</v>
      </c>
      <c r="E11" s="89" t="str">
        <f aca="false">IF(ABS(C11)&lt;1,"OK","REVISAR")</f>
        <v>OK</v>
      </c>
      <c r="F11" s="11" t="s">
        <v>1676</v>
      </c>
    </row>
    <row r="12" customFormat="false" ht="15" hidden="false" customHeight="false" outlineLevel="0" collapsed="false">
      <c r="A12" s="15" t="s">
        <v>1677</v>
      </c>
      <c r="B12" s="15" t="s">
        <v>1678</v>
      </c>
      <c r="C12" s="50" t="n">
        <f aca="false">i_Pagado-SUM(Reales!$F$72:$ES$72)</f>
        <v>0</v>
      </c>
      <c r="D12" s="28" t="n">
        <f aca="false">0</f>
        <v>0</v>
      </c>
      <c r="E12" s="89" t="str">
        <f aca="false">IF(ABS(C12)&lt;1,"OK","REVISAR")</f>
        <v>OK</v>
      </c>
      <c r="F12" s="11" t="s">
        <v>1679</v>
      </c>
    </row>
    <row r="13" customFormat="false" ht="15" hidden="false" customHeight="false" outlineLevel="0" collapsed="false">
      <c r="A13" s="15" t="s">
        <v>1680</v>
      </c>
      <c r="B13" s="15" t="s">
        <v>1681</v>
      </c>
      <c r="C13" s="50" t="n">
        <f aca="false">COUNTIF(TC_O,"&gt;0")+COUNTIF(TC_V,"&gt;0")</f>
        <v>20</v>
      </c>
      <c r="D13" s="28" t="n">
        <f aca="false">20</f>
        <v>20</v>
      </c>
      <c r="E13" s="89" t="str">
        <f aca="false">IF(C13=20,"OK","REVISAR")</f>
        <v>OK</v>
      </c>
      <c r="F13" s="11" t="s">
        <v>1682</v>
      </c>
    </row>
    <row r="14" customFormat="false" ht="15" hidden="false" customHeight="false" outlineLevel="0" collapsed="false">
      <c r="A14" s="15" t="s">
        <v>1683</v>
      </c>
      <c r="B14" s="15" t="s">
        <v>1684</v>
      </c>
      <c r="C14" s="50" t="n">
        <f aca="false">SUM(c_CapExceso)</f>
        <v>0</v>
      </c>
      <c r="D14" s="28" t="n">
        <f aca="false">0</f>
        <v>0</v>
      </c>
      <c r="E14" s="89" t="str">
        <f aca="false">IF(C14=0,"OK","REVISAR")</f>
        <v>OK</v>
      </c>
      <c r="F14" s="11" t="s">
        <v>1685</v>
      </c>
    </row>
    <row r="15" customFormat="false" ht="15" hidden="false" customHeight="false" outlineLevel="0" collapsed="false">
      <c r="A15" s="15" t="s">
        <v>1686</v>
      </c>
      <c r="B15" s="15" t="s">
        <v>1687</v>
      </c>
      <c r="C15" s="50" t="n">
        <f aca="false">SUMPRODUCT((Precio_V=0)*(VolTot_V&gt;0))</f>
        <v>0</v>
      </c>
      <c r="D15" s="28" t="n">
        <f aca="false">0</f>
        <v>0</v>
      </c>
      <c r="E15" s="89" t="str">
        <f aca="false">IF(C15=0,"OK","REVISAR")</f>
        <v>OK</v>
      </c>
      <c r="F15" s="11" t="s">
        <v>1688</v>
      </c>
    </row>
    <row r="16" customFormat="false" ht="15" hidden="false" customHeight="false" outlineLevel="0" collapsed="false">
      <c r="A16" s="15" t="s">
        <v>1689</v>
      </c>
      <c r="B16" s="15" t="s">
        <v>1690</v>
      </c>
      <c r="C16" s="50" t="n">
        <f aca="false">r_DeudaFinP</f>
        <v>0</v>
      </c>
      <c r="D16" s="28" t="n">
        <f aca="false">0</f>
        <v>0</v>
      </c>
      <c r="E16" s="89" t="str">
        <f aca="false">IF(ABS(C16)&lt;1,"OK","REVISAR")</f>
        <v>OK</v>
      </c>
      <c r="F16" s="11" t="s">
        <v>1691</v>
      </c>
    </row>
    <row r="17" customFormat="false" ht="15" hidden="false" customHeight="false" outlineLevel="0" collapsed="false">
      <c r="A17" s="15" t="s">
        <v>1692</v>
      </c>
      <c r="B17" s="15" t="s">
        <v>1693</v>
      </c>
      <c r="C17" s="50" t="n">
        <f aca="false">SUMPRODUCT(--(Calculo!$F$312:$ES$312&gt;0.5))</f>
        <v>12</v>
      </c>
      <c r="D17" s="28" t="n">
        <f aca="false">0</f>
        <v>0</v>
      </c>
      <c r="E17" s="89" t="str">
        <f aca="false">IF(C17=0,"OK","REVISAR")</f>
        <v>REVISAR</v>
      </c>
      <c r="F17" s="11" t="s">
        <v>1694</v>
      </c>
    </row>
    <row r="18" customFormat="false" ht="15" hidden="false" customHeight="false" outlineLevel="0" collapsed="false">
      <c r="A18" s="15" t="s">
        <v>1695</v>
      </c>
      <c r="B18" s="15" t="s">
        <v>1696</v>
      </c>
      <c r="C18" s="50" t="n">
        <f aca="false">IF(n_Etapa="Operación",IF(AND(ISNUMBER(n_InicioReal),Corte&gt;0),1,0),1)</f>
        <v>0</v>
      </c>
      <c r="D18" s="28" t="n">
        <f aca="false">1</f>
        <v>1</v>
      </c>
      <c r="E18" s="89" t="str">
        <f aca="false">IF(C18=1,"OK","REVISAR")</f>
        <v>REVISAR</v>
      </c>
      <c r="F18" s="11" t="s">
        <v>1697</v>
      </c>
    </row>
    <row r="19" customFormat="false" ht="15" hidden="false" customHeight="false" outlineLevel="0" collapsed="false">
      <c r="A19" s="15" t="s">
        <v>1698</v>
      </c>
      <c r="B19" s="15" t="s">
        <v>1699</v>
      </c>
      <c r="C19" s="50" t="n">
        <f aca="false">IF(MAX(Fin,V_Inicio)&lt;=144,1,0)</f>
        <v>1</v>
      </c>
      <c r="D19" s="28" t="n">
        <f aca="false">1</f>
        <v>1</v>
      </c>
      <c r="E19" s="89" t="str">
        <f aca="false">IF(C19=1,"OK","REVISAR")</f>
        <v>OK</v>
      </c>
      <c r="F19" s="11" t="s">
        <v>1700</v>
      </c>
    </row>
    <row r="20" customFormat="false" ht="15" hidden="false" customHeight="false" outlineLevel="0" collapsed="false">
      <c r="A20" s="15" t="s">
        <v>1701</v>
      </c>
      <c r="B20" s="15" t="s">
        <v>1702</v>
      </c>
      <c r="C20" s="50" t="n">
        <f aca="false">c_Modificados</f>
        <v>0</v>
      </c>
      <c r="D20" s="28" t="s">
        <v>1703</v>
      </c>
      <c r="E20" s="89" t="str">
        <f aca="false">IF(TRUE(),"OK","REVISAR")</f>
        <v>OK</v>
      </c>
      <c r="F20" s="11" t="s">
        <v>1704</v>
      </c>
    </row>
    <row r="22" customFormat="false" ht="15" hidden="false" customHeight="false" outlineLevel="0" collapsed="false">
      <c r="B22" s="20" t="s">
        <v>1705</v>
      </c>
      <c r="C22" s="27" t="n">
        <f aca="false">COUNTIF(E5:E20,"REVISAR")</f>
        <v>2</v>
      </c>
    </row>
    <row r="23" customFormat="false" ht="15" hidden="false" customHeight="false" outlineLevel="0" collapsed="false">
      <c r="B23" s="15" t="s">
        <v>1706</v>
      </c>
      <c r="C23" s="27" t="n">
        <f aca="false">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customFormat="false" ht="15" hidden="false" customHeight="false" outlineLevel="0" collapsed="false">
      <c r="B24" s="15" t="s">
        <v>1707</v>
      </c>
      <c r="C24" s="48" t="n">
        <f aca="false">INDEX(Calculo!$F$148:$ES$148,1,MIN(144,Fin))</f>
        <v>0</v>
      </c>
    </row>
  </sheetData>
  <conditionalFormatting sqref="E5:E20">
    <cfRule type="cellIs" priority="2" operator="equal" aboveAverage="0" equalAverage="0" bottom="0" percent="0" rank="0" text="" dxfId="0">
      <formula>"OK"</formula>
    </cfRule>
    <cfRule type="cellIs" priority="3" operator="equal" aboveAverage="0" equalAverage="0" bottom="0" percent="0" rank="0" text="" dxfId="1">
      <formula>"REVISAR"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G6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58"/>
    <col collapsed="false" customWidth="true" hidden="false" outlineLevel="0" max="4" min="3" style="0" width="18"/>
    <col collapsed="false" customWidth="true" hidden="false" outlineLevel="0" max="5" min="5" style="0" width="16"/>
    <col collapsed="false" customWidth="true" hidden="false" outlineLevel="0" max="6" min="6" style="0" width="12"/>
    <col collapsed="false" customWidth="true" hidden="false" outlineLevel="0" max="7" min="7" style="0" width="90"/>
  </cols>
  <sheetData>
    <row r="1" customFormat="false" ht="16.15" hidden="false" customHeight="false" outlineLevel="0" collapsed="false">
      <c r="A1" s="10" t="s">
        <v>1708</v>
      </c>
    </row>
    <row r="2" customFormat="false" ht="15" hidden="false" customHeight="false" outlineLevel="0" collapsed="false">
      <c r="A2" s="11" t="str">
        <f aca="false">"Plan de referencia: "&amp;IF(n_Version="","(sin versión)",n_Version)&amp;"   |   Cada hoja tiene el modelo (A), el plan publicado (B) y la diferencia (C)."</f>
        <v>Plan de referencia: Plan CIE–PERG Oct-2025   |   Cada hoja tiene el modelo (A), el plan publicado (B) y la diferencia (C).</v>
      </c>
    </row>
    <row r="4" customFormat="false" ht="15" hidden="false" customHeight="false" outlineLevel="0" collapsed="false">
      <c r="A4" s="12" t="s">
        <v>1709</v>
      </c>
      <c r="B4" s="13"/>
      <c r="C4" s="13"/>
      <c r="D4" s="13"/>
      <c r="E4" s="13"/>
      <c r="F4" s="13"/>
      <c r="G4" s="13"/>
    </row>
    <row r="5" customFormat="false" ht="15" hidden="false" customHeight="false" outlineLevel="0" collapsed="false">
      <c r="B5" s="20" t="s">
        <v>1710</v>
      </c>
      <c r="C5" s="16" t="s">
        <v>128</v>
      </c>
      <c r="D5" s="11" t="s">
        <v>1711</v>
      </c>
    </row>
    <row r="6" customFormat="false" ht="15" hidden="false" customHeight="false" outlineLevel="0" collapsed="false">
      <c r="B6" s="11" t="s">
        <v>1712</v>
      </c>
      <c r="C6" s="90" t="n">
        <f aca="false">IF(cu_Ver="Presupuesto original",1,0)</f>
        <v>0</v>
      </c>
    </row>
    <row r="7" customFormat="false" ht="15" hidden="false" customHeight="false" outlineLevel="0" collapsed="false">
      <c r="B7" s="15" t="s">
        <v>1713</v>
      </c>
      <c r="C7" s="20" t="str">
        <f aca="false">n_Escenario&amp;" / "&amp;IF(Corte=0,"sin reales","mes "&amp;Corte)</f>
        <v>Vigente / sin reales</v>
      </c>
    </row>
    <row r="9" customFormat="false" ht="15" hidden="false" customHeight="false" outlineLevel="0" collapsed="false">
      <c r="A9" s="12" t="s">
        <v>1714</v>
      </c>
      <c r="B9" s="13"/>
      <c r="C9" s="13"/>
      <c r="D9" s="13"/>
      <c r="E9" s="13"/>
      <c r="F9" s="13"/>
      <c r="G9" s="13"/>
    </row>
    <row r="10" customFormat="false" ht="24" hidden="false" customHeight="true" outlineLevel="0" collapsed="false">
      <c r="A10" s="14"/>
      <c r="B10" s="14" t="s">
        <v>1715</v>
      </c>
      <c r="C10" s="14" t="s">
        <v>1716</v>
      </c>
      <c r="D10" s="14" t="s">
        <v>1717</v>
      </c>
      <c r="E10" s="14" t="s">
        <v>1718</v>
      </c>
      <c r="F10" s="14"/>
      <c r="G10" s="14" t="s">
        <v>1719</v>
      </c>
    </row>
    <row r="11" customFormat="false" ht="15" hidden="false" customHeight="false" outlineLevel="0" collapsed="false">
      <c r="B11" s="20" t="s">
        <v>1720</v>
      </c>
      <c r="C11" s="28" t="s">
        <v>1721</v>
      </c>
      <c r="D11" s="28" t="s">
        <v>1722</v>
      </c>
      <c r="E11" s="91" t="str">
        <f aca="false">HYPERLINK("#'C01 Inversión'!A1","Abrir")</f>
        <v>Abrir</v>
      </c>
      <c r="G11" s="15" t="s">
        <v>1723</v>
      </c>
    </row>
    <row r="12" customFormat="false" ht="15" hidden="false" customHeight="false" outlineLevel="0" collapsed="false">
      <c r="B12" s="20" t="s">
        <v>1724</v>
      </c>
      <c r="C12" s="28" t="s">
        <v>1725</v>
      </c>
      <c r="D12" s="28" t="s">
        <v>1726</v>
      </c>
      <c r="E12" s="91" t="str">
        <f aca="false">HYPERLINK("#'C07 Producción'!A1","Abrir")</f>
        <v>Abrir</v>
      </c>
      <c r="G12" s="15" t="s">
        <v>1727</v>
      </c>
    </row>
    <row r="13" customFormat="false" ht="15" hidden="false" customHeight="false" outlineLevel="0" collapsed="false">
      <c r="B13" s="20" t="s">
        <v>1728</v>
      </c>
      <c r="C13" s="28" t="s">
        <v>1729</v>
      </c>
      <c r="D13" s="28" t="s">
        <v>1730</v>
      </c>
      <c r="E13" s="91" t="str">
        <f aca="false">HYPERLINK("#'C08 Ingresos'!A1","Abrir")</f>
        <v>Abrir</v>
      </c>
      <c r="G13" s="15" t="s">
        <v>1731</v>
      </c>
    </row>
    <row r="14" customFormat="false" ht="15" hidden="false" customHeight="false" outlineLevel="0" collapsed="false">
      <c r="B14" s="20" t="s">
        <v>1732</v>
      </c>
      <c r="C14" s="28" t="s">
        <v>1733</v>
      </c>
      <c r="D14" s="28" t="s">
        <v>1734</v>
      </c>
      <c r="E14" s="91" t="str">
        <f aca="false">HYPERLINK("#'C09 Materiales'!A1","Abrir")</f>
        <v>Abrir</v>
      </c>
      <c r="G14" s="15" t="s">
        <v>1735</v>
      </c>
    </row>
    <row r="15" customFormat="false" ht="15" hidden="false" customHeight="false" outlineLevel="0" collapsed="false">
      <c r="B15" s="20" t="s">
        <v>1736</v>
      </c>
      <c r="C15" s="28" t="s">
        <v>1737</v>
      </c>
      <c r="D15" s="28" t="s">
        <v>1738</v>
      </c>
      <c r="E15" s="91" t="str">
        <f aca="false">HYPERLINK("#'C10a Costos'!A1","Abrir")</f>
        <v>Abrir</v>
      </c>
      <c r="G15" s="15" t="s">
        <v>1739</v>
      </c>
    </row>
    <row r="16" customFormat="false" ht="15" hidden="false" customHeight="false" outlineLevel="0" collapsed="false">
      <c r="B16" s="20" t="s">
        <v>1740</v>
      </c>
      <c r="C16" s="28" t="s">
        <v>1741</v>
      </c>
      <c r="D16" s="28" t="s">
        <v>1742</v>
      </c>
      <c r="E16" s="91" t="str">
        <f aca="false">HYPERLINK("#'C10b Costo unitario'!A1","Abrir")</f>
        <v>Abrir</v>
      </c>
      <c r="G16" s="15" t="s">
        <v>1743</v>
      </c>
    </row>
    <row r="17" customFormat="false" ht="15" hidden="false" customHeight="false" outlineLevel="0" collapsed="false">
      <c r="B17" s="20" t="s">
        <v>1744</v>
      </c>
      <c r="C17" s="28" t="s">
        <v>1745</v>
      </c>
      <c r="D17" s="28" t="s">
        <v>1746</v>
      </c>
      <c r="E17" s="91" t="str">
        <f aca="false">HYPERLINK("#'C11 Rubros'!A1","Abrir")</f>
        <v>Abrir</v>
      </c>
      <c r="G17" s="15" t="s">
        <v>1747</v>
      </c>
    </row>
    <row r="18" customFormat="false" ht="15" hidden="false" customHeight="false" outlineLevel="0" collapsed="false">
      <c r="B18" s="20" t="s">
        <v>1748</v>
      </c>
      <c r="C18" s="28" t="s">
        <v>1749</v>
      </c>
      <c r="D18" s="28" t="s">
        <v>1750</v>
      </c>
      <c r="E18" s="91" t="str">
        <f aca="false">HYPERLINK("#'C13 Deuda e IVA'!A1","Abrir")</f>
        <v>Abrir</v>
      </c>
      <c r="G18" s="15" t="s">
        <v>1751</v>
      </c>
    </row>
    <row r="19" customFormat="false" ht="15" hidden="false" customHeight="false" outlineLevel="0" collapsed="false">
      <c r="B19" s="20" t="s">
        <v>1752</v>
      </c>
      <c r="C19" s="28" t="s">
        <v>1753</v>
      </c>
      <c r="D19" s="28" t="s">
        <v>1754</v>
      </c>
      <c r="E19" s="91" t="str">
        <f aca="false">HYPERLINK("#'C15 Resultados'!A1","Abrir")</f>
        <v>Abrir</v>
      </c>
      <c r="G19" s="15" t="s">
        <v>1755</v>
      </c>
    </row>
    <row r="20" customFormat="false" ht="15" hidden="false" customHeight="false" outlineLevel="0" collapsed="false">
      <c r="B20" s="20" t="s">
        <v>1756</v>
      </c>
      <c r="C20" s="28" t="s">
        <v>1730</v>
      </c>
      <c r="D20" s="28" t="s">
        <v>1757</v>
      </c>
      <c r="E20" s="91" t="str">
        <f aca="false">HYPERLINK("#'C16 Capital trabajo'!A1","Abrir")</f>
        <v>Abrir</v>
      </c>
      <c r="G20" s="15" t="s">
        <v>1758</v>
      </c>
    </row>
    <row r="21" customFormat="false" ht="15" hidden="false" customHeight="false" outlineLevel="0" collapsed="false">
      <c r="B21" s="20" t="s">
        <v>1759</v>
      </c>
      <c r="C21" s="28" t="s">
        <v>1760</v>
      </c>
      <c r="D21" s="28" t="s">
        <v>1761</v>
      </c>
      <c r="E21" s="91" t="str">
        <f aca="false">HYPERLINK("#'C17 Equilibrio'!A1","Abrir")</f>
        <v>Abrir</v>
      </c>
      <c r="G21" s="15" t="s">
        <v>1762</v>
      </c>
    </row>
    <row r="22" customFormat="false" ht="15" hidden="false" customHeight="false" outlineLevel="0" collapsed="false">
      <c r="B22" s="20" t="s">
        <v>1763</v>
      </c>
      <c r="C22" s="28" t="s">
        <v>1764</v>
      </c>
      <c r="D22" s="28" t="s">
        <v>1765</v>
      </c>
      <c r="E22" s="91" t="str">
        <f aca="false">HYPERLINK("#'C18 Fondos'!A1","Abrir")</f>
        <v>Abrir</v>
      </c>
      <c r="G22" s="15" t="s">
        <v>1766</v>
      </c>
    </row>
    <row r="23" customFormat="false" ht="15" hidden="false" customHeight="false" outlineLevel="0" collapsed="false">
      <c r="B23" s="20" t="s">
        <v>1767</v>
      </c>
      <c r="C23" s="28" t="s">
        <v>1738</v>
      </c>
      <c r="D23" s="28" t="s">
        <v>1768</v>
      </c>
      <c r="E23" s="91" t="str">
        <f aca="false">HYPERLINK("#'C19 VAN-TIR'!A1","Abrir")</f>
        <v>Abrir</v>
      </c>
      <c r="G23" s="15" t="s">
        <v>1769</v>
      </c>
    </row>
    <row r="24" customFormat="false" ht="15" hidden="false" customHeight="false" outlineLevel="0" collapsed="false">
      <c r="B24" s="20" t="s">
        <v>1770</v>
      </c>
      <c r="C24" s="28" t="s">
        <v>1742</v>
      </c>
      <c r="D24" s="28" t="s">
        <v>1771</v>
      </c>
      <c r="E24" s="91" t="str">
        <f aca="false">HYPERLINK("#'C20 Depreciación'!A1","Abrir")</f>
        <v>Abrir</v>
      </c>
      <c r="G24" s="15" t="s">
        <v>1772</v>
      </c>
    </row>
    <row r="25" customFormat="false" ht="15" hidden="false" customHeight="false" outlineLevel="0" collapsed="false">
      <c r="B25" s="20" t="s">
        <v>1773</v>
      </c>
      <c r="C25" s="28" t="s">
        <v>277</v>
      </c>
      <c r="D25" s="28" t="s">
        <v>1774</v>
      </c>
      <c r="E25" s="91" t="str">
        <f aca="false">HYPERLINK("#'RRHH'!A1","Abrir")</f>
        <v>Abrir</v>
      </c>
      <c r="G25" s="15" t="s">
        <v>1775</v>
      </c>
    </row>
    <row r="27" customFormat="false" ht="15" hidden="false" customHeight="false" outlineLevel="0" collapsed="false">
      <c r="A27" s="12" t="s">
        <v>1776</v>
      </c>
      <c r="B27" s="13"/>
      <c r="C27" s="13"/>
      <c r="D27" s="13"/>
      <c r="E27" s="13"/>
      <c r="F27" s="13"/>
      <c r="G27" s="13"/>
    </row>
    <row r="28" customFormat="false" ht="24" hidden="false" customHeight="true" outlineLevel="0" collapsed="false">
      <c r="A28" s="14"/>
      <c r="B28" s="14" t="s">
        <v>451</v>
      </c>
      <c r="C28" s="14" t="s">
        <v>1777</v>
      </c>
      <c r="D28" s="14" t="s">
        <v>1778</v>
      </c>
      <c r="E28" s="14" t="s">
        <v>1779</v>
      </c>
      <c r="F28" s="14" t="s">
        <v>1780</v>
      </c>
      <c r="G28" s="14" t="s">
        <v>1781</v>
      </c>
    </row>
    <row r="29" customFormat="false" ht="15" hidden="false" customHeight="false" outlineLevel="0" collapsed="false">
      <c r="B29" s="15" t="s">
        <v>1782</v>
      </c>
      <c r="C29" s="74" t="n">
        <f aca="false">'C01 Inversión'!$D$11</f>
        <v>655044.09</v>
      </c>
      <c r="D29" s="92" t="n">
        <f aca="false">IF(ISNUMBER('C01 Inversión'!$G$11),'C01 Inversión'!$G$11,"")</f>
        <v>655044</v>
      </c>
      <c r="E29" s="48" t="n">
        <f aca="false">IF(AND(ISNUMBER(C29),ISNUMBER(D29)),C29-D29,"")</f>
        <v>0.0899999999674037</v>
      </c>
      <c r="F29" s="49" t="n">
        <f aca="false">IF(AND(ISNUMBER(E29),N(D29)&lt;&gt;0),E29/D29,"")</f>
        <v>1.37395350491576E-007</v>
      </c>
      <c r="G29" s="11" t="str">
        <f aca="false">IF(NOT(ISNUMBER(E29)),"",IF(ABS(E29)&lt;2,"Sin diferencia","Diferencia a explicar"))</f>
        <v>Sin diferencia</v>
      </c>
    </row>
    <row r="30" customFormat="false" ht="15" hidden="false" customHeight="false" outlineLevel="0" collapsed="false">
      <c r="B30" s="15" t="s">
        <v>1783</v>
      </c>
      <c r="C30" s="74" t="n">
        <f aca="false">'C01 Inversión'!$D$13</f>
        <v>2388063.88735903</v>
      </c>
      <c r="D30" s="92" t="n">
        <f aca="false">IF(ISNUMBER('C01 Inversión'!$G$13),'C01 Inversión'!$G$13,"")</f>
        <v>2336543</v>
      </c>
      <c r="E30" s="48" t="n">
        <f aca="false">IF(AND(ISNUMBER(C30),ISNUMBER(D30)),C30-D30,"")</f>
        <v>51520.8873590301</v>
      </c>
      <c r="F30" s="49" t="n">
        <f aca="false">IF(AND(ISNUMBER(E30),N(D30)&lt;&gt;0),E30/D30,"")</f>
        <v>0.0220500488794899</v>
      </c>
      <c r="G30" s="11" t="str">
        <f aca="false">IF(NOT(ISNUMBER(E30)),"",IF(ABS(E30)&lt;2,"Sin diferencia","Capital de trabajo: el plan valúa clientes al costo, incluye caja y sueldos y lo forma al inicio del año; el modelo, a precio de venta y mes a mes."))</f>
        <v>Capital de trabajo: el plan valúa clientes al costo, incluye caja y sueldos y lo forma al inicio del año; el modelo, a precio de venta y mes a mes.</v>
      </c>
    </row>
    <row r="31" customFormat="false" ht="15" hidden="false" customHeight="false" outlineLevel="0" collapsed="false">
      <c r="B31" s="15" t="s">
        <v>1784</v>
      </c>
      <c r="C31" s="74" t="n">
        <f aca="false">'C08 Ingresos'!$O$8</f>
        <v>81222447.7216454</v>
      </c>
      <c r="D31" s="92" t="n">
        <f aca="false">IF(ISNUMBER('C08 Ingresos'!$O$89),'C08 Ingresos'!$O$89,"")</f>
        <v>81222448</v>
      </c>
      <c r="E31" s="48" t="n">
        <f aca="false">IF(AND(ISNUMBER(C31),ISNUMBER(D31)),C31-D31,"")</f>
        <v>-0.278354600071907</v>
      </c>
      <c r="F31" s="49" t="n">
        <f aca="false">IF(AND(ISNUMBER(E31),N(D31)&lt;&gt;0),E31/D31,"")</f>
        <v>-3.42706489309343E-009</v>
      </c>
      <c r="G31" s="11" t="str">
        <f aca="false">IF(NOT(ISNUMBER(E31)),"",IF(ABS(E31)&lt;2,"Sin diferencia","Diferencia a explicar"))</f>
        <v>Sin diferencia</v>
      </c>
    </row>
    <row r="32" customFormat="false" ht="15" hidden="false" customHeight="false" outlineLevel="0" collapsed="false">
      <c r="B32" s="15" t="s">
        <v>1785</v>
      </c>
      <c r="C32" s="74" t="n">
        <f aca="false">'C10a Costos'!$O$36</f>
        <v>66471201.9236088</v>
      </c>
      <c r="D32" s="92" t="n">
        <f aca="false">IF(ISNUMBER('C10a Costos'!$O$98),'C10a Costos'!$O$98,"")</f>
        <v>65277283</v>
      </c>
      <c r="E32" s="48" t="n">
        <f aca="false">IF(AND(ISNUMBER(C32),ISNUMBER(D32)),C32-D32,"")</f>
        <v>1193918.92360883</v>
      </c>
      <c r="F32" s="49" t="n">
        <f aca="false">IF(AND(ISNUMBER(E32),N(D32)&lt;&gt;0),E32/D32,"")</f>
        <v>0.0182899604385929</v>
      </c>
      <c r="G32" s="11" t="str">
        <f aca="false">IF(NOT(ISNUMBER(E32)),"",IF(ABS(E32)&lt;2,"Sin diferencia","C1 nómina, C2 materia prima, mantenimiento y depreciación."))</f>
        <v>C1 nómina, C2 materia prima, mantenimiento y depreciación.</v>
      </c>
    </row>
    <row r="33" customFormat="false" ht="15" hidden="false" customHeight="false" outlineLevel="0" collapsed="false">
      <c r="B33" s="15" t="s">
        <v>1786</v>
      </c>
      <c r="C33" s="74" t="n">
        <f aca="false">'C15 Resultados'!$O$11</f>
        <v>16309504.016261</v>
      </c>
      <c r="D33" s="92" t="n">
        <f aca="false">IF(ISNUMBER('C15 Resultados'!$O$29),'C15 Resultados'!$O$29,"")</f>
        <v>17354010</v>
      </c>
      <c r="E33" s="48" t="n">
        <f aca="false">IF(AND(ISNUMBER(C33),ISNUMBER(D33)),C33-D33,"")</f>
        <v>-1044505.98373898</v>
      </c>
      <c r="F33" s="49" t="n">
        <f aca="false">IF(AND(ISNUMBER(E33),N(D33)&lt;&gt;0),E33/D33,"")</f>
        <v>-0.0601881630665752</v>
      </c>
      <c r="G33" s="11" t="str">
        <f aca="false">IF(NOT(ISNUMBER(E33)),"",IF(ABS(E33)&lt;2,"Sin diferencia","C1 nómina, C2 materia prima de cajas y mantenimiento (ver Conciliacion_Plan_vs_Modelo_ECOSTAR.md)."))</f>
        <v>C1 nómina, C2 materia prima de cajas y mantenimiento (ver Conciliacion_Plan_vs_Modelo_ECOSTAR.md).</v>
      </c>
    </row>
    <row r="34" customFormat="false" ht="15" hidden="false" customHeight="false" outlineLevel="0" collapsed="false">
      <c r="B34" s="15" t="s">
        <v>1787</v>
      </c>
      <c r="C34" s="74" t="n">
        <f aca="false">'C15 Resultados'!$O$16</f>
        <v>14751245.7980366</v>
      </c>
      <c r="D34" s="92" t="n">
        <f aca="false">IF(ISNUMBER('C15 Resultados'!$O$34),'C15 Resultados'!$O$34,"")</f>
        <v>15945168</v>
      </c>
      <c r="E34" s="48" t="n">
        <f aca="false">IF(AND(ISNUMBER(C34),ISNUMBER(D34)),C34-D34,"")</f>
        <v>-1193922.20196343</v>
      </c>
      <c r="F34" s="49" t="n">
        <f aca="false">IF(AND(ISNUMBER(E34),N(D34)&lt;&gt;0),E34/D34,"")</f>
        <v>-0.0748767402114191</v>
      </c>
      <c r="G34" s="11" t="str">
        <f aca="false">IF(NOT(ISNUMBER(E34)),"",IF(ABS(E34)&lt;2,"Sin diferencia","EBITDA y depreciación."))</f>
        <v>EBITDA y depreciación.</v>
      </c>
    </row>
    <row r="35" customFormat="false" ht="15" hidden="false" customHeight="false" outlineLevel="0" collapsed="false">
      <c r="B35" s="15" t="s">
        <v>1788</v>
      </c>
      <c r="C35" s="74" t="n">
        <f aca="false">'C16 Capital trabajo'!$N$18</f>
        <v>4499762.51732228</v>
      </c>
      <c r="D35" s="92" t="n">
        <f aca="false">IF(ISNUMBER('C16 Capital trabajo'!$N$34),'C16 Capital trabajo'!$N$34,"")</f>
        <v>3980818</v>
      </c>
      <c r="E35" s="48" t="n">
        <f aca="false">IF(AND(ISNUMBER(C35),ISNUMBER(D35)),C35-D35,"")</f>
        <v>518944.51732228</v>
      </c>
      <c r="F35" s="49" t="n">
        <f aca="false">IF(AND(ISNUMBER(E35),N(D35)&lt;&gt;0),E35/D35,"")</f>
        <v>0.130361276833626</v>
      </c>
      <c r="G35" s="11" t="str">
        <f aca="false">IF(NOT(ISNUMBER(E35)),"",IF(ABS(E35)&lt;2,"Sin diferencia","Capital de trabajo: el plan valúa clientes al costo, incluye caja y sueldos y lo forma al inicio del año; el modelo, a precio de venta y mes a mes."))</f>
        <v>Capital de trabajo: el plan valúa clientes al costo, incluye caja y sueldos y lo forma al inicio del año; el modelo, a precio de venta y mes a mes.</v>
      </c>
    </row>
    <row r="36" customFormat="false" ht="15" hidden="false" customHeight="false" outlineLevel="0" collapsed="false">
      <c r="B36" s="15" t="s">
        <v>1789</v>
      </c>
      <c r="C36" s="74" t="n">
        <f aca="false">'C18 Fondos'!$N$26</f>
        <v>1637883.64417609</v>
      </c>
      <c r="D36" s="92" t="n">
        <f aca="false">IF(ISNUMBER('C18 Fondos'!$N$50),'C18 Fondos'!$N$50,"")</f>
        <v>1909351</v>
      </c>
      <c r="E36" s="48" t="n">
        <f aca="false">IF(AND(ISNUMBER(C36),ISNUMBER(D36)),C36-D36,"")</f>
        <v>-271467.355823905</v>
      </c>
      <c r="F36" s="49" t="n">
        <f aca="false">IF(AND(ISNUMBER(E36),N(D36)&lt;&gt;0),E36/D36,"")</f>
        <v>-0.142177816349066</v>
      </c>
      <c r="G36" s="11" t="str">
        <f aca="false">IF(NOT(ISNUMBER(E36)),"",IF(ABS(E36)&lt;2,"Sin diferencia","Menor EBITDA, mayor capital de trabajo y calendario de dividendos."))</f>
        <v>Menor EBITDA, mayor capital de trabajo y calendario de dividendos.</v>
      </c>
    </row>
    <row r="37" customFormat="false" ht="15" hidden="false" customHeight="false" outlineLevel="0" collapsed="false">
      <c r="B37" s="15" t="s">
        <v>1790</v>
      </c>
      <c r="C37" s="74" t="n">
        <f aca="false">'C17 Equilibrio'!$E$27</f>
        <v>73373.3898405186</v>
      </c>
      <c r="D37" s="92" t="n">
        <f aca="false">IF(ISNUMBER('C17 Equilibrio'!$E$52),'C17 Equilibrio'!$E$52,"")</f>
        <v>66042.085016994</v>
      </c>
      <c r="E37" s="48" t="n">
        <f aca="false">IF(AND(ISNUMBER(C37),ISNUMBER(D37)),C37-D37,"")</f>
        <v>7331.30482352464</v>
      </c>
      <c r="F37" s="49" t="n">
        <f aca="false">IF(AND(ISNUMBER(E37),N(D37)&lt;&gt;0),E37/D37,"")</f>
        <v>0.111009590651751</v>
      </c>
      <c r="G37" s="11" t="str">
        <f aca="false">IF(NOT(ISNUMBER(E37)),"",IF(ABS(E37)&lt;2,"Sin diferencia","Clasificación de costos fijos y variables y C1 nómina."))</f>
        <v>Clasificación de costos fijos y variables y C1 nómina.</v>
      </c>
    </row>
    <row r="38" customFormat="false" ht="15" hidden="false" customHeight="false" outlineLevel="0" collapsed="false">
      <c r="B38" s="15" t="s">
        <v>1791</v>
      </c>
      <c r="C38" s="79" t="n">
        <f aca="false">RRHH!$E$75</f>
        <v>65</v>
      </c>
      <c r="D38" s="93" t="n">
        <f aca="false">IF(ISNUMBER(RRHH!$E$155),RRHH!$E$155,"")</f>
        <v>65</v>
      </c>
      <c r="E38" s="50" t="n">
        <f aca="false">IF(AND(ISNUMBER(C38),ISNUMBER(D38)),C38-D38,"")</f>
        <v>0</v>
      </c>
      <c r="F38" s="49" t="n">
        <f aca="false">IF(AND(ISNUMBER(E38),N(D38)&lt;&gt;0),E38/D38,"")</f>
        <v>0</v>
      </c>
      <c r="G38" s="11" t="str">
        <f aca="false">IF(NOT(ISNUMBER(E38)),"",IF(ABS(E38)&lt;0.005,"Sin diferencia","Diferencia a explicar"))</f>
        <v>Sin diferencia</v>
      </c>
    </row>
    <row r="39" customFormat="false" ht="15" hidden="false" customHeight="false" outlineLevel="0" collapsed="false">
      <c r="B39" s="15" t="s">
        <v>1792</v>
      </c>
      <c r="C39" s="74" t="n">
        <f aca="false">'C19 VAN-TIR'!$D$101</f>
        <v>4177576.23023219</v>
      </c>
      <c r="D39" s="92" t="n">
        <f aca="false">IF(ISNUMBER('C19 VAN-TIR'!$E$101),'C19 VAN-TIR'!$E$101,"")</f>
        <v>4588736</v>
      </c>
      <c r="E39" s="48" t="n">
        <f aca="false">IF(AND(ISNUMBER(C39),ISNUMBER(D39)),C39-D39,"")</f>
        <v>-411159.769767809</v>
      </c>
      <c r="F39" s="49" t="n">
        <f aca="false">IF(AND(ISNUMBER(E39),N(D39)&lt;&gt;0),E39/D39,"")</f>
        <v>-0.089601966591194</v>
      </c>
      <c r="G39" s="11" t="str">
        <f aca="false">IF(NOT(ISNUMBER(E39)),"",IF(ABS(E39)&lt;2,"Sin diferencia","Mismo método que el plan con las cifras del modelo: la diferencia es de cifras, no de método."))</f>
        <v>Mismo método que el plan con las cifras del modelo: la diferencia es de cifras, no de método.</v>
      </c>
    </row>
    <row r="40" customFormat="false" ht="15" hidden="false" customHeight="false" outlineLevel="0" collapsed="false">
      <c r="B40" s="15" t="s">
        <v>1793</v>
      </c>
      <c r="C40" s="84" t="n">
        <f aca="false">'C19 VAN-TIR'!$D$103</f>
        <v>0.239913566483965</v>
      </c>
      <c r="D40" s="94" t="n">
        <f aca="false">IF(ISNUMBER('C19 VAN-TIR'!$E$103),'C19 VAN-TIR'!$E$103,"")</f>
        <v>0.2261</v>
      </c>
      <c r="E40" s="47" t="n">
        <f aca="false">IF(AND(ISNUMBER(C40),ISNUMBER(D40)),C40-D40,"")</f>
        <v>0.0138135664839651</v>
      </c>
      <c r="F40" s="49" t="n">
        <f aca="false">IF(AND(ISNUMBER(E40),N(D40)&lt;&gt;0),E40/D40,"")</f>
        <v>0.0610949424323976</v>
      </c>
      <c r="G40" s="11" t="str">
        <f aca="false">IF(NOT(ISNUMBER(E40)),"",IF(ABS(E40)&lt;0.00005,"Sin diferencia","Mismo método que el plan con las cifras del modelo."))</f>
        <v>Mismo método que el plan con las cifras del modelo.</v>
      </c>
    </row>
    <row r="41" customFormat="false" ht="15" hidden="false" customHeight="false" outlineLevel="0" collapsed="false">
      <c r="B41" s="15" t="s">
        <v>1794</v>
      </c>
      <c r="C41" s="26" t="n">
        <f aca="false">'C19 VAN-TIR'!$D$105</f>
        <v>8</v>
      </c>
      <c r="D41" s="95" t="n">
        <f aca="false">IF(ISNUMBER('C19 VAN-TIR'!$E$105),'C19 VAN-TIR'!$E$105,"")</f>
        <v>7</v>
      </c>
      <c r="E41" s="34" t="n">
        <f aca="false">IF(AND(ISNUMBER(C41),ISNUMBER(D41)),C41-D41,"")</f>
        <v>1</v>
      </c>
      <c r="F41" s="49" t="n">
        <f aca="false">IF(AND(ISNUMBER(E41),N(D41)&lt;&gt;0),E41/D41,"")</f>
        <v>0.142857142857143</v>
      </c>
      <c r="G41" s="11" t="str">
        <f aca="false">IF(NOT(ISNUMBER(E41)),"",IF(ABS(E41)&lt;1,"Sin diferencia","Sigue al VAN con el método del plan."))</f>
        <v>Sigue al VAN con el método del plan.</v>
      </c>
    </row>
    <row r="42" customFormat="false" ht="15" hidden="false" customHeight="false" outlineLevel="0" collapsed="false">
      <c r="B42" s="15" t="s">
        <v>1795</v>
      </c>
      <c r="C42" s="74" t="n">
        <f aca="false">'C19 VAN-TIR'!$D$106</f>
        <v>6989921.75871111</v>
      </c>
      <c r="D42" s="92" t="str">
        <f aca="false">IF(ISNUMBER('C19 VAN-TIR'!$E$106),'C19 VAN-TIR'!$E$106,"")</f>
        <v/>
      </c>
      <c r="E42" s="48" t="str">
        <f aca="false">IF(AND(ISNUMBER(C42),ISNUMBER(D42)),C42-D42,"")</f>
        <v/>
      </c>
      <c r="F42" s="49" t="str">
        <f aca="false">IF(AND(ISNUMBER(E42),N(D42)&lt;&gt;0),E42/D42,"")</f>
        <v/>
      </c>
      <c r="G42" s="11" t="s">
        <v>1796</v>
      </c>
    </row>
    <row r="43" customFormat="false" ht="15" hidden="false" customHeight="false" outlineLevel="0" collapsed="false">
      <c r="B43" s="15" t="s">
        <v>1797</v>
      </c>
      <c r="C43" s="74" t="n">
        <f aca="false">'C19 VAN-TIR'!$D$109</f>
        <v>3695678.09104638</v>
      </c>
      <c r="D43" s="92" t="str">
        <f aca="false">IF(ISNUMBER('C19 VAN-TIR'!$E$109),'C19 VAN-TIR'!$E$109,"")</f>
        <v/>
      </c>
      <c r="E43" s="48" t="str">
        <f aca="false">IF(AND(ISNUMBER(C43),ISNUMBER(D43)),C43-D43,"")</f>
        <v/>
      </c>
      <c r="F43" s="49" t="str">
        <f aca="false">IF(AND(ISNUMBER(E43),N(D43)&lt;&gt;0),E43/D43,"")</f>
        <v/>
      </c>
      <c r="G43" s="11" t="s">
        <v>1798</v>
      </c>
    </row>
    <row r="45" customFormat="false" ht="15" hidden="false" customHeight="false" outlineLevel="0" collapsed="false">
      <c r="A45" s="12" t="s">
        <v>1799</v>
      </c>
      <c r="B45" s="13"/>
      <c r="C45" s="13"/>
      <c r="D45" s="13"/>
      <c r="E45" s="13"/>
      <c r="F45" s="13"/>
      <c r="G45" s="13"/>
    </row>
    <row r="46" customFormat="false" ht="15" hidden="false" customHeight="false" outlineLevel="0" collapsed="false">
      <c r="B46" s="11" t="s">
        <v>209</v>
      </c>
      <c r="C46" s="25" t="s">
        <v>1800</v>
      </c>
      <c r="D46" s="25"/>
      <c r="E46" s="25"/>
      <c r="F46" s="25"/>
      <c r="G46" s="25"/>
    </row>
    <row r="47" customFormat="false" ht="15" hidden="false" customHeight="false" outlineLevel="0" collapsed="false">
      <c r="B47" s="11" t="s">
        <v>211</v>
      </c>
      <c r="C47" s="25" t="s">
        <v>1801</v>
      </c>
      <c r="D47" s="25"/>
      <c r="E47" s="25"/>
      <c r="F47" s="25"/>
      <c r="G47" s="25"/>
    </row>
    <row r="48" customFormat="false" ht="15" hidden="false" customHeight="false" outlineLevel="0" collapsed="false">
      <c r="B48" s="11" t="s">
        <v>213</v>
      </c>
      <c r="C48" s="25" t="s">
        <v>1802</v>
      </c>
      <c r="D48" s="25"/>
      <c r="E48" s="25"/>
      <c r="F48" s="25"/>
      <c r="G48" s="25"/>
    </row>
    <row r="49" customFormat="false" ht="15" hidden="false" customHeight="false" outlineLevel="0" collapsed="false">
      <c r="B49" s="11" t="s">
        <v>215</v>
      </c>
      <c r="C49" s="25" t="s">
        <v>1803</v>
      </c>
      <c r="D49" s="25"/>
      <c r="E49" s="25"/>
      <c r="F49" s="25"/>
      <c r="G49" s="25"/>
    </row>
    <row r="50" customFormat="false" ht="15" hidden="false" customHeight="false" outlineLevel="0" collapsed="false">
      <c r="B50" s="11" t="s">
        <v>217</v>
      </c>
      <c r="C50" s="25" t="s">
        <v>1804</v>
      </c>
      <c r="D50" s="25"/>
      <c r="E50" s="25"/>
      <c r="F50" s="25"/>
      <c r="G50" s="25"/>
    </row>
    <row r="51" customFormat="false" ht="15" hidden="false" customHeight="false" outlineLevel="0" collapsed="false">
      <c r="B51" s="11" t="s">
        <v>219</v>
      </c>
      <c r="C51" s="25" t="s">
        <v>1805</v>
      </c>
      <c r="D51" s="25"/>
      <c r="E51" s="25"/>
      <c r="F51" s="25"/>
      <c r="G51" s="25"/>
    </row>
    <row r="52" customFormat="false" ht="15" hidden="false" customHeight="false" outlineLevel="0" collapsed="false">
      <c r="B52" s="11" t="s">
        <v>221</v>
      </c>
      <c r="C52" s="25" t="s">
        <v>1806</v>
      </c>
      <c r="D52" s="25"/>
      <c r="E52" s="25"/>
      <c r="F52" s="25"/>
      <c r="G52" s="25"/>
    </row>
    <row r="53" customFormat="false" ht="15" hidden="false" customHeight="false" outlineLevel="0" collapsed="false">
      <c r="B53" s="11" t="s">
        <v>223</v>
      </c>
      <c r="C53" s="25" t="s">
        <v>1807</v>
      </c>
      <c r="D53" s="25"/>
      <c r="E53" s="25"/>
      <c r="F53" s="25"/>
      <c r="G53" s="25"/>
    </row>
    <row r="54" customFormat="false" ht="15" hidden="false" customHeight="false" outlineLevel="0" collapsed="false">
      <c r="B54" s="11" t="s">
        <v>225</v>
      </c>
      <c r="C54" s="25" t="s">
        <v>1808</v>
      </c>
      <c r="D54" s="25"/>
      <c r="E54" s="25"/>
      <c r="F54" s="25"/>
      <c r="G54" s="25"/>
    </row>
    <row r="55" customFormat="false" ht="15" hidden="false" customHeight="false" outlineLevel="0" collapsed="false">
      <c r="B55" s="11" t="s">
        <v>226</v>
      </c>
      <c r="C55" s="25" t="s">
        <v>1809</v>
      </c>
      <c r="D55" s="25"/>
      <c r="E55" s="25"/>
      <c r="F55" s="25"/>
      <c r="G55" s="25"/>
    </row>
    <row r="56" customFormat="false" ht="15" hidden="false" customHeight="false" outlineLevel="0" collapsed="false">
      <c r="B56" s="11" t="s">
        <v>1810</v>
      </c>
      <c r="C56" s="25" t="s">
        <v>1811</v>
      </c>
      <c r="D56" s="25"/>
      <c r="E56" s="25"/>
      <c r="F56" s="25"/>
      <c r="G56" s="25"/>
    </row>
    <row r="57" customFormat="false" ht="15" hidden="false" customHeight="false" outlineLevel="0" collapsed="false">
      <c r="B57" s="11" t="s">
        <v>1812</v>
      </c>
      <c r="C57" s="25"/>
      <c r="D57" s="25"/>
      <c r="E57" s="25"/>
      <c r="F57" s="25"/>
      <c r="G57" s="25"/>
    </row>
    <row r="59" customFormat="false" ht="15" hidden="false" customHeight="false" outlineLevel="0" collapsed="false">
      <c r="A59" s="12" t="s">
        <v>1813</v>
      </c>
      <c r="B59" s="13"/>
      <c r="C59" s="13"/>
      <c r="D59" s="13"/>
      <c r="E59" s="13"/>
      <c r="F59" s="13"/>
      <c r="G59" s="13"/>
    </row>
    <row r="60" customFormat="false" ht="15" hidden="false" customHeight="false" outlineLevel="0" collapsed="false">
      <c r="B60" s="96" t="s">
        <v>1814</v>
      </c>
      <c r="C60" s="96"/>
      <c r="D60" s="96"/>
      <c r="E60" s="96"/>
      <c r="F60" s="96"/>
      <c r="G60" s="96"/>
    </row>
    <row r="61" customFormat="false" ht="15" hidden="false" customHeight="false" outlineLevel="0" collapsed="false">
      <c r="B61" s="96" t="s">
        <v>1815</v>
      </c>
      <c r="C61" s="96"/>
      <c r="D61" s="96"/>
      <c r="E61" s="96"/>
      <c r="F61" s="96"/>
      <c r="G61" s="96"/>
    </row>
    <row r="62" customFormat="false" ht="15" hidden="false" customHeight="false" outlineLevel="0" collapsed="false">
      <c r="B62" s="96" t="s">
        <v>1816</v>
      </c>
      <c r="C62" s="96"/>
      <c r="D62" s="96"/>
      <c r="E62" s="96"/>
      <c r="F62" s="96"/>
      <c r="G62" s="96"/>
    </row>
    <row r="63" customFormat="false" ht="15" hidden="false" customHeight="false" outlineLevel="0" collapsed="false">
      <c r="B63" s="96" t="s">
        <v>1817</v>
      </c>
      <c r="C63" s="96"/>
      <c r="D63" s="96"/>
      <c r="E63" s="96"/>
      <c r="F63" s="96"/>
      <c r="G63" s="96"/>
    </row>
    <row r="64" customFormat="false" ht="15" hidden="false" customHeight="false" outlineLevel="0" collapsed="false">
      <c r="B64" s="96" t="s">
        <v>1818</v>
      </c>
      <c r="C64" s="96"/>
      <c r="D64" s="96"/>
      <c r="E64" s="96"/>
      <c r="F64" s="96"/>
      <c r="G64" s="96"/>
    </row>
  </sheetData>
  <mergeCells count="17">
    <mergeCell ref="C46:G46"/>
    <mergeCell ref="C47:G47"/>
    <mergeCell ref="C48:G48"/>
    <mergeCell ref="C49:G49"/>
    <mergeCell ref="C50:G50"/>
    <mergeCell ref="C51:G51"/>
    <mergeCell ref="C52:G52"/>
    <mergeCell ref="C53:G53"/>
    <mergeCell ref="C54:G54"/>
    <mergeCell ref="C55:G55"/>
    <mergeCell ref="C56:G56"/>
    <mergeCell ref="C57:G57"/>
    <mergeCell ref="B60:G60"/>
    <mergeCell ref="B61:G61"/>
    <mergeCell ref="B62:G62"/>
    <mergeCell ref="B63:G63"/>
    <mergeCell ref="B64:G64"/>
  </mergeCells>
  <dataValidations count="1">
    <dataValidation allowBlank="true" errorStyle="stop" operator="between" showDropDown="false" showErrorMessage="false" showInputMessage="false" sqref="C5" type="list">
      <formula1>"Vigente,Presupuesto original"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O4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0"/>
    <col collapsed="false" customWidth="true" hidden="false" outlineLevel="0" max="4" min="3" style="0" width="15"/>
    <col collapsed="false" customWidth="true" hidden="false" outlineLevel="0" max="5" min="5" style="0" width="12"/>
    <col collapsed="false" customWidth="true" hidden="false" outlineLevel="0" max="6" min="6" style="0" width="10"/>
    <col collapsed="false" customWidth="true" hidden="false" outlineLevel="0" max="8" min="7" style="0" width="15"/>
    <col collapsed="false" customWidth="true" hidden="false" outlineLevel="0" max="9" min="9" style="0" width="80"/>
    <col collapsed="false" customWidth="true" hidden="false" outlineLevel="0" max="14" min="10"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1819</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cuadros 1, 2, 5 y 6, pág. 11-13"</f>
        <v>Plan de referencia: Plan CIE–PERG Oct-2025 — cuadros 1, 2, 5 y 6, pág. 11-13</v>
      </c>
    </row>
    <row r="5" customFormat="false" ht="15" hidden="false" customHeight="false" outlineLevel="0" collapsed="false">
      <c r="A5" s="12" t="s">
        <v>1820</v>
      </c>
      <c r="B5" s="13"/>
      <c r="C5" s="13"/>
      <c r="D5" s="13"/>
      <c r="E5" s="13"/>
      <c r="F5" s="13"/>
      <c r="G5" s="13"/>
      <c r="H5" s="13"/>
      <c r="I5" s="13"/>
    </row>
    <row r="6" customFormat="false" ht="24" hidden="false" customHeight="true" outlineLevel="0" collapsed="false">
      <c r="A6" s="14"/>
      <c r="B6" s="14" t="s">
        <v>451</v>
      </c>
      <c r="C6" s="14"/>
      <c r="D6" s="14" t="s">
        <v>1821</v>
      </c>
      <c r="E6" s="14"/>
      <c r="F6" s="14"/>
      <c r="G6" s="14" t="s">
        <v>1778</v>
      </c>
      <c r="H6" s="14" t="s">
        <v>1779</v>
      </c>
      <c r="I6" s="14" t="s">
        <v>1822</v>
      </c>
    </row>
    <row r="7" customFormat="false" ht="15" hidden="false" customHeight="false" outlineLevel="0" collapsed="false">
      <c r="A7" s="11" t="s">
        <v>1823</v>
      </c>
      <c r="B7" s="15" t="s">
        <v>1824</v>
      </c>
      <c r="D7" s="74" t="n">
        <f aca="false">IF(cu_P=1,SUMIF(Inversion!$C$6:$C$25,"Infraestructura",Inv_D),SUMIF(Inversion!$C$6:$C$25,"Infraestructura",Inv_BaseV))</f>
        <v>87000</v>
      </c>
      <c r="G7" s="37" t="n">
        <v>87000</v>
      </c>
      <c r="H7" s="48" t="n">
        <f aca="false">IF(AND(ISNUMBER(D7),ISNUMBER(G7)),D7-G7,"")</f>
        <v>0</v>
      </c>
      <c r="I7" s="11" t="str">
        <f aca="false">IF(NOT(ISNUMBER(H7)),"",IF(ABS(H7)&lt;2,"Sin diferencia","Diferencia a explicar"))</f>
        <v>Sin diferencia</v>
      </c>
    </row>
    <row r="8" customFormat="false" ht="15" hidden="false" customHeight="false" outlineLevel="0" collapsed="false">
      <c r="A8" s="11" t="s">
        <v>1825</v>
      </c>
      <c r="B8" s="15" t="s">
        <v>1826</v>
      </c>
      <c r="D8" s="74" t="n">
        <f aca="false">IF(cu_P=1,SUMIF(Inversion!$C$6:$C$25,"Maquinaria",Inv_D),SUMIF(Inversion!$C$6:$C$25,"Maquinaria",Inv_BaseV))</f>
        <v>507166.09</v>
      </c>
      <c r="G8" s="37" t="n">
        <v>507166</v>
      </c>
      <c r="H8" s="48" t="n">
        <f aca="false">IF(AND(ISNUMBER(D8),ISNUMBER(G8)),D8-G8,"")</f>
        <v>0.0899999999674037</v>
      </c>
      <c r="I8" s="11" t="str">
        <f aca="false">IF(NOT(ISNUMBER(H8)),"",IF(ABS(H8)&lt;2,"Sin diferencia","Diferencia a explicar"))</f>
        <v>Sin diferencia</v>
      </c>
    </row>
    <row r="9" customFormat="false" ht="15" hidden="false" customHeight="false" outlineLevel="0" collapsed="false">
      <c r="A9" s="11" t="s">
        <v>1827</v>
      </c>
      <c r="B9" s="15" t="s">
        <v>1828</v>
      </c>
      <c r="D9" s="74" t="n">
        <f aca="false">D10-D7-D8</f>
        <v>160878</v>
      </c>
      <c r="G9" s="92" t="n">
        <f aca="false">IF(G10="","",G10-G7-G8)</f>
        <v>160878</v>
      </c>
      <c r="H9" s="48" t="n">
        <f aca="false">IF(AND(ISNUMBER(D9),ISNUMBER(G9)),D9-G9,"")</f>
        <v>0</v>
      </c>
      <c r="I9" s="11" t="str">
        <f aca="false">IF(NOT(ISNUMBER(H9)),"",IF(ABS(H9)&lt;2,"Sin diferencia","Diferencia a explicar"))</f>
        <v>Sin diferencia</v>
      </c>
    </row>
    <row r="10" customFormat="false" ht="15" hidden="false" customHeight="false" outlineLevel="0" collapsed="false">
      <c r="A10" s="11" t="s">
        <v>1829</v>
      </c>
      <c r="B10" s="67" t="s">
        <v>1830</v>
      </c>
      <c r="D10" s="74" t="n">
        <f aca="false">IF(cu_P=1,Calculo!$E$117,Calculo!$E$273)</f>
        <v>755044.09</v>
      </c>
      <c r="G10" s="37" t="n">
        <v>755044</v>
      </c>
      <c r="H10" s="48" t="n">
        <f aca="false">IF(AND(ISNUMBER(D10),ISNUMBER(G10)),D10-G10,"")</f>
        <v>0.0899999999674037</v>
      </c>
      <c r="I10" s="11" t="str">
        <f aca="false">IF(NOT(ISNUMBER(H10)),"",IF(ABS(H10)&lt;2,"Sin diferencia","Diferencia a explicar"))</f>
        <v>Sin diferencia</v>
      </c>
    </row>
    <row r="11" customFormat="false" ht="15" hidden="false" customHeight="false" outlineLevel="0" collapsed="false">
      <c r="A11" s="11" t="s">
        <v>1831</v>
      </c>
      <c r="B11" s="15" t="s">
        <v>1832</v>
      </c>
      <c r="D11" s="74" t="n">
        <f aca="false">IF(cu_P=1,SUMIFS(Calculo!$F$117:$ES$117,Calculo!$F$16:$ES$16,1)+SUMIFS(Calculo!$F$117:$ES$117,Calculo!$F$14:$ES$14,1),SUMIFS(Calculo!$F$273:$ES$273,Calculo!$F$172:$ES$172,1)+SUMIFS(Calculo!$F$273:$ES$273,Calculo!$F$170:$ES$170,1))</f>
        <v>655044.09</v>
      </c>
      <c r="G11" s="37" t="n">
        <v>655044</v>
      </c>
      <c r="H11" s="48" t="n">
        <f aca="false">IF(AND(ISNUMBER(D11),ISNUMBER(G11)),D11-G11,"")</f>
        <v>0.0899999999674037</v>
      </c>
      <c r="I11" s="11" t="str">
        <f aca="false">IF(NOT(ISNUMBER(H11)),"",IF(ABS(H11)&lt;2,"Sin diferencia","Diferencia a explicar"))</f>
        <v>Sin diferencia</v>
      </c>
    </row>
    <row r="12" customFormat="false" ht="15" hidden="false" customHeight="false" outlineLevel="0" collapsed="false">
      <c r="A12" s="11" t="s">
        <v>1833</v>
      </c>
      <c r="B12" s="15" t="s">
        <v>1834</v>
      </c>
      <c r="D12" s="74" t="n">
        <f aca="false">D10-D11</f>
        <v>100000</v>
      </c>
      <c r="G12" s="92" t="n">
        <f aca="false">IF(G10="","",G10-G11)</f>
        <v>100000</v>
      </c>
      <c r="H12" s="48" t="n">
        <f aca="false">IF(AND(ISNUMBER(D12),ISNUMBER(G12)),D12-G12,"")</f>
        <v>0</v>
      </c>
      <c r="I12" s="11" t="str">
        <f aca="false">IF(NOT(ISNUMBER(H12)),"",IF(ABS(H12)&lt;2,"Sin diferencia","Diferencia a explicar"))</f>
        <v>Sin diferencia</v>
      </c>
    </row>
    <row r="13" customFormat="false" ht="15" hidden="false" customHeight="false" outlineLevel="0" collapsed="false">
      <c r="A13" s="11" t="s">
        <v>1835</v>
      </c>
      <c r="B13" s="67" t="s">
        <v>1836</v>
      </c>
      <c r="D13" s="74" t="n">
        <f aca="false">IF(cu_P=1,IF(COUNTIFS(Calculo!$F$14:$ES$14,1)=0,0,INDEX(Calculo!$F$113:$ES$113,1,_xlfn.MAXIFS(Calculo!$F$4:$ES$4,Calculo!$F$14:$ES$14,1))),IF(COUNTIFS(Calculo!$F$170:$ES$170,1)=0,0,INDEX(Calculo!$F$269:$ES$269,1,_xlfn.MAXIFS(Calculo!$F$4:$ES$4,Calculo!$F$170:$ES$170,1))))</f>
        <v>2388063.88735903</v>
      </c>
      <c r="G13" s="37" t="n">
        <v>2336543</v>
      </c>
      <c r="H13" s="48" t="n">
        <f aca="false">IF(AND(ISNUMBER(D13),ISNUMBER(G13)),D13-G13,"")</f>
        <v>51520.8873590301</v>
      </c>
      <c r="I13" s="11" t="str">
        <f aca="false">IF(NOT(ISNUMBER(H13)),"",IF(ABS(H13)&lt;2,"Sin diferencia","Capital de trabajo: el plan valúa clientes al costo, incluye caja y sueldos y lo forma al inicio del año; el modelo, a precio de venta y mes a mes."))</f>
        <v>Capital de trabajo: el plan valúa clientes al costo, incluye caja y sueldos y lo forma al inicio del año; el modelo, a precio de venta y mes a mes.</v>
      </c>
    </row>
    <row r="14" customFormat="false" ht="15" hidden="false" customHeight="false" outlineLevel="0" collapsed="false">
      <c r="A14" s="11" t="s">
        <v>1837</v>
      </c>
      <c r="B14" s="67" t="s">
        <v>1838</v>
      </c>
      <c r="D14" s="74" t="n">
        <f aca="false">D11+D13</f>
        <v>3043107.97735903</v>
      </c>
      <c r="G14" s="92" t="n">
        <f aca="false">IF(G11="","",G11+G13)</f>
        <v>2991587</v>
      </c>
      <c r="H14" s="48" t="n">
        <f aca="false">IF(AND(ISNUMBER(D14),ISNUMBER(G14)),D14-G14,"")</f>
        <v>51520.9773590299</v>
      </c>
      <c r="I14" s="11" t="str">
        <f aca="false">IF(NOT(ISNUMBER(H14)),"",IF(ABS(H14)&lt;2,"Sin diferencia","Capital de trabajo: el plan valúa clientes al costo, incluye caja y sueldos y lo forma al inicio del año; el modelo, a precio de venta y mes a mes."))</f>
        <v>Capital de trabajo: el plan valúa clientes al costo, incluye caja y sueldos y lo forma al inicio del año; el modelo, a precio de venta y mes a mes.</v>
      </c>
    </row>
    <row r="15" customFormat="false" ht="15" hidden="false" customHeight="false" outlineLevel="0" collapsed="false">
      <c r="A15" s="11" t="s">
        <v>1839</v>
      </c>
      <c r="B15" s="15" t="s">
        <v>1840</v>
      </c>
      <c r="D15" s="74" t="n">
        <f aca="false">IF(cu_P=1,Calculo!$E$138,Calculo!$E$294)</f>
        <v>1139710</v>
      </c>
      <c r="G15" s="37" t="n">
        <v>1139710</v>
      </c>
      <c r="H15" s="48" t="n">
        <f aca="false">IF(AND(ISNUMBER(D15),ISNUMBER(G15)),D15-G15,"")</f>
        <v>0</v>
      </c>
      <c r="I15" s="11" t="str">
        <f aca="false">IF(NOT(ISNUMBER(H15)),"",IF(ABS(H15)&lt;2,"Sin diferencia","Diferencia a explicar"))</f>
        <v>Sin diferencia</v>
      </c>
    </row>
    <row r="16" customFormat="false" ht="15" hidden="false" customHeight="false" outlineLevel="0" collapsed="false">
      <c r="A16" s="11" t="s">
        <v>1841</v>
      </c>
      <c r="B16" s="15" t="s">
        <v>1842</v>
      </c>
      <c r="D16" s="74" t="n">
        <f aca="false">IF(cu_P=1,Calculo!$E$136,Calculo!$E$292)</f>
        <v>2791587</v>
      </c>
      <c r="G16" s="37" t="n">
        <v>2791587</v>
      </c>
      <c r="H16" s="48" t="n">
        <f aca="false">IF(AND(ISNUMBER(D16),ISNUMBER(G16)),D16-G16,"")</f>
        <v>0</v>
      </c>
      <c r="I16" s="11" t="str">
        <f aca="false">IF(NOT(ISNUMBER(H16)),"",IF(ABS(H16)&lt;2,"Sin diferencia","Diferencia a explicar"))</f>
        <v>Sin diferencia</v>
      </c>
    </row>
    <row r="17" customFormat="false" ht="15" hidden="false" customHeight="false" outlineLevel="0" collapsed="false">
      <c r="A17" s="11" t="s">
        <v>1843</v>
      </c>
      <c r="B17" s="67" t="s">
        <v>1844</v>
      </c>
      <c r="D17" s="74" t="n">
        <f aca="false">D15+D16</f>
        <v>3931297</v>
      </c>
      <c r="G17" s="92" t="n">
        <f aca="false">IF(G15="","",G15+G16)</f>
        <v>3931297</v>
      </c>
      <c r="H17" s="48" t="n">
        <f aca="false">IF(AND(ISNUMBER(D17),ISNUMBER(G17)),D17-G17,"")</f>
        <v>0</v>
      </c>
      <c r="I17" s="11" t="str">
        <f aca="false">IF(NOT(ISNUMBER(H17)),"",IF(ABS(H17)&lt;2,"Sin diferencia","Diferencia a explicar"))</f>
        <v>Sin diferencia</v>
      </c>
    </row>
    <row r="18" customFormat="false" ht="15" hidden="false" customHeight="false" outlineLevel="0" collapsed="false">
      <c r="A18" s="11" t="s">
        <v>1845</v>
      </c>
      <c r="B18" s="15" t="s">
        <v>1846</v>
      </c>
      <c r="D18" s="76" t="n">
        <f aca="false">IF(N(D17)=0,"",D15/D17)</f>
        <v>0.289906867886095</v>
      </c>
      <c r="G18" s="97" t="n">
        <f aca="false">IF(G17="","",IF(N(G17)=0,"",G15/G17))</f>
        <v>0.289906867886095</v>
      </c>
      <c r="H18" s="49" t="n">
        <f aca="false">IF(AND(ISNUMBER(D18),ISNUMBER(G18)),D18-G18,"")</f>
        <v>0</v>
      </c>
      <c r="I18" s="11" t="str">
        <f aca="false">IF(NOT(ISNUMBER(H18)),"",IF(ABS(H18)&lt;0.0005,"Sin diferencia","Diferencia a explicar"))</f>
        <v>Sin diferencia</v>
      </c>
    </row>
    <row r="19" customFormat="false" ht="15" hidden="false" customHeight="false" outlineLevel="0" collapsed="false">
      <c r="A19" s="11" t="s">
        <v>1847</v>
      </c>
      <c r="B19" s="15" t="s">
        <v>1848</v>
      </c>
      <c r="D19" s="76" t="n">
        <f aca="false">IF(N(D17)=0,"",D16/D17)</f>
        <v>0.710093132113906</v>
      </c>
      <c r="G19" s="97" t="n">
        <f aca="false">IF(G17="","",IF(N(G17)=0,"",G16/G17))</f>
        <v>0.710093132113906</v>
      </c>
      <c r="H19" s="49" t="n">
        <f aca="false">IF(AND(ISNUMBER(D19),ISNUMBER(G19)),D19-G19,"")</f>
        <v>0</v>
      </c>
      <c r="I19" s="11" t="str">
        <f aca="false">IF(NOT(ISNUMBER(H19)),"",IF(ABS(H19)&lt;0.0005,"Sin diferencia","Diferencia a explicar"))</f>
        <v>Sin diferencia</v>
      </c>
    </row>
    <row r="21" customFormat="false" ht="15" hidden="false" customHeight="false" outlineLevel="0" collapsed="false">
      <c r="A21" s="12" t="s">
        <v>1849</v>
      </c>
      <c r="B21" s="13"/>
      <c r="C21" s="13"/>
      <c r="D21" s="13"/>
      <c r="E21" s="13"/>
      <c r="F21" s="13"/>
      <c r="G21" s="13"/>
      <c r="H21" s="13"/>
      <c r="I21" s="13"/>
    </row>
    <row r="22" customFormat="false" ht="24" hidden="false" customHeight="true" outlineLevel="0" collapsed="false">
      <c r="A22" s="14" t="s">
        <v>530</v>
      </c>
      <c r="B22" s="14" t="s">
        <v>636</v>
      </c>
      <c r="C22" s="14" t="s">
        <v>558</v>
      </c>
      <c r="D22" s="14" t="s">
        <v>1821</v>
      </c>
      <c r="E22" s="14" t="s">
        <v>1850</v>
      </c>
      <c r="F22" s="14" t="s">
        <v>1851</v>
      </c>
      <c r="G22" s="14" t="s">
        <v>1778</v>
      </c>
      <c r="H22" s="14" t="s">
        <v>1779</v>
      </c>
      <c r="I22" s="14" t="s">
        <v>1822</v>
      </c>
    </row>
    <row r="23" customFormat="false" ht="15" hidden="false" customHeight="false" outlineLevel="0" collapsed="false">
      <c r="A23" s="11" t="n">
        <v>1</v>
      </c>
      <c r="B23" s="53" t="str">
        <f aca="false">IF(Inversion!$B$6="","",Inversion!$B$6)</f>
        <v>Adecuación de infraestructura</v>
      </c>
      <c r="C23" s="53" t="str">
        <f aca="false">IF(Inversion!$C$6="","",Inversion!$C$6)</f>
        <v>Infraestructura</v>
      </c>
      <c r="D23" s="98" t="n">
        <f aca="false">IF(cu_P=1,N(Inversion!$D$6),N(Inversion!$U$6))</f>
        <v>87000</v>
      </c>
      <c r="E23" s="34" t="n">
        <f aca="false">IF(Inversion!$B$6="","",IF(cu_P=1,Inversion!$S$6,Inversion!$Q$6))</f>
        <v>1</v>
      </c>
      <c r="F23" s="34" t="n">
        <f aca="false">IF(Inversion!$B$6="","",N(Inversion!$F$6))</f>
        <v>10</v>
      </c>
      <c r="G23" s="37" t="n">
        <v>87000</v>
      </c>
      <c r="H23" s="48" t="n">
        <f aca="false">IF(ISNUMBER(G23),D23-G23,"")</f>
        <v>0</v>
      </c>
      <c r="I23" s="11" t="str">
        <f aca="false">IF(NOT(ISNUMBER(H23)),"",IF(ABS(H23)&lt;2,"Sin diferencia","Gastos de despacho (3% del CIF) incluidos en cada máquina; el plan los presenta en una línea aparte (14.772 en total)."))</f>
        <v>Sin diferencia</v>
      </c>
    </row>
    <row r="24" customFormat="false" ht="15" hidden="false" customHeight="false" outlineLevel="0" collapsed="false">
      <c r="A24" s="11" t="n">
        <v>2</v>
      </c>
      <c r="B24" s="53" t="str">
        <f aca="false">IF(Inversion!$B$7="","",Inversion!$B$7)</f>
        <v>Conjunto línea de pintura</v>
      </c>
      <c r="C24" s="53" t="str">
        <f aca="false">IF(Inversion!$C$7="","",Inversion!$C$7)</f>
        <v>Maquinaria</v>
      </c>
      <c r="D24" s="98" t="n">
        <f aca="false">IF(cu_P=1,N(Inversion!$D$7),N(Inversion!$U$7))</f>
        <v>183073.6</v>
      </c>
      <c r="E24" s="34" t="n">
        <f aca="false">IF(Inversion!$B$7="","",IF(cu_P=1,Inversion!$S$7,Inversion!$Q$7))</f>
        <v>1</v>
      </c>
      <c r="F24" s="34" t="n">
        <f aca="false">IF(Inversion!$B$7="","",N(Inversion!$F$7))</f>
        <v>10</v>
      </c>
      <c r="G24" s="37" t="n">
        <v>177741</v>
      </c>
      <c r="H24" s="48" t="n">
        <f aca="false">IF(ISNUMBER(G24),D24-G24,"")</f>
        <v>5332.60000000001</v>
      </c>
      <c r="I24" s="11" t="str">
        <f aca="false">IF(NOT(ISNUMBER(H24)),"",IF(ABS(H24)&lt;2,"Sin diferencia","Gastos de despacho (3% del CIF) incluidos en cada máquina; el plan los presenta en una línea aparte (14.772 en total)."))</f>
        <v>Gastos de despacho (3% del CIF) incluidos en cada máquina; el plan los presenta en una línea aparte (14.772 en total).</v>
      </c>
    </row>
    <row r="25" customFormat="false" ht="15" hidden="false" customHeight="false" outlineLevel="0" collapsed="false">
      <c r="A25" s="11" t="n">
        <v>3</v>
      </c>
      <c r="B25" s="53" t="str">
        <f aca="false">IF(Inversion!$B$8="","",Inversion!$B$8)</f>
        <v>Cortadoras láser (2)</v>
      </c>
      <c r="C25" s="53" t="str">
        <f aca="false">IF(Inversion!$C$8="","",Inversion!$C$8)</f>
        <v>Maquinaria</v>
      </c>
      <c r="D25" s="98" t="n">
        <f aca="false">IF(cu_P=1,N(Inversion!$D$8),N(Inversion!$U$8))</f>
        <v>84295.23</v>
      </c>
      <c r="E25" s="34" t="n">
        <f aca="false">IF(Inversion!$B$8="","",IF(cu_P=1,Inversion!$S$8,Inversion!$Q$8))</f>
        <v>1</v>
      </c>
      <c r="F25" s="34" t="n">
        <f aca="false">IF(Inversion!$B$8="","",N(Inversion!$F$8))</f>
        <v>10</v>
      </c>
      <c r="G25" s="37" t="n">
        <v>81840</v>
      </c>
      <c r="H25" s="48" t="n">
        <f aca="false">IF(ISNUMBER(G25),D25-G25,"")</f>
        <v>2455.23</v>
      </c>
      <c r="I25" s="11" t="str">
        <f aca="false">IF(NOT(ISNUMBER(H25)),"",IF(ABS(H25)&lt;2,"Sin diferencia","Gastos de despacho (3% del CIF) incluidos en cada máquina; el plan los presenta en una línea aparte (14.772 en total)."))</f>
        <v>Gastos de despacho (3% del CIF) incluidos en cada máquina; el plan los presenta en una línea aparte (14.772 en total).</v>
      </c>
    </row>
    <row r="26" customFormat="false" ht="15" hidden="false" customHeight="false" outlineLevel="0" collapsed="false">
      <c r="A26" s="11" t="n">
        <v>4</v>
      </c>
      <c r="B26" s="53" t="str">
        <f aca="false">IF(Inversion!$B$9="","",Inversion!$B$9)</f>
        <v>Manipulador</v>
      </c>
      <c r="C26" s="53" t="str">
        <f aca="false">IF(Inversion!$C$9="","",Inversion!$C$9)</f>
        <v>Maquinaria</v>
      </c>
      <c r="D26" s="98" t="n">
        <f aca="false">IF(cu_P=1,N(Inversion!$D$9),N(Inversion!$U$9))</f>
        <v>10197</v>
      </c>
      <c r="E26" s="34" t="n">
        <f aca="false">IF(Inversion!$B$9="","",IF(cu_P=1,Inversion!$S$9,Inversion!$Q$9))</f>
        <v>1</v>
      </c>
      <c r="F26" s="34" t="n">
        <f aca="false">IF(Inversion!$B$9="","",N(Inversion!$F$9))</f>
        <v>10</v>
      </c>
      <c r="G26" s="37" t="n">
        <v>9900</v>
      </c>
      <c r="H26" s="48" t="n">
        <f aca="false">IF(ISNUMBER(G26),D26-G26,"")</f>
        <v>297</v>
      </c>
      <c r="I26" s="11" t="str">
        <f aca="false">IF(NOT(ISNUMBER(H26)),"",IF(ABS(H26)&lt;2,"Sin diferencia","Gastos de despacho (3% del CIF) incluidos en cada máquina; el plan los presenta en una línea aparte (14.772 en total)."))</f>
        <v>Gastos de despacho (3% del CIF) incluidos en cada máquina; el plan los presenta en una línea aparte (14.772 en total).</v>
      </c>
    </row>
    <row r="27" customFormat="false" ht="15" hidden="false" customHeight="false" outlineLevel="0" collapsed="false">
      <c r="A27" s="11" t="n">
        <v>5</v>
      </c>
      <c r="B27" s="53" t="str">
        <f aca="false">IF(Inversion!$B$10="","",Inversion!$B$10)</f>
        <v>Dobladoras (4)</v>
      </c>
      <c r="C27" s="53" t="str">
        <f aca="false">IF(Inversion!$C$10="","",Inversion!$C$10)</f>
        <v>Maquinaria</v>
      </c>
      <c r="D27" s="98" t="n">
        <f aca="false">IF(cu_P=1,N(Inversion!$D$10),N(Inversion!$U$10))</f>
        <v>151967.08</v>
      </c>
      <c r="E27" s="34" t="n">
        <f aca="false">IF(Inversion!$B$10="","",IF(cu_P=1,Inversion!$S$10,Inversion!$Q$10))</f>
        <v>1</v>
      </c>
      <c r="F27" s="34" t="n">
        <f aca="false">IF(Inversion!$B$10="","",N(Inversion!$F$10))</f>
        <v>10</v>
      </c>
      <c r="G27" s="37" t="n">
        <v>147541</v>
      </c>
      <c r="H27" s="48" t="n">
        <f aca="false">IF(ISNUMBER(G27),D27-G27,"")</f>
        <v>4426.07999999999</v>
      </c>
      <c r="I27" s="11" t="str">
        <f aca="false">IF(NOT(ISNUMBER(H27)),"",IF(ABS(H27)&lt;2,"Sin diferencia","Gastos de despacho (3% del CIF) incluidos en cada máquina; el plan los presenta en una línea aparte (14.772 en total)."))</f>
        <v>Gastos de despacho (3% del CIF) incluidos en cada máquina; el plan los presenta en una línea aparte (14.772 en total).</v>
      </c>
    </row>
    <row r="28" customFormat="false" ht="15" hidden="false" customHeight="false" outlineLevel="0" collapsed="false">
      <c r="A28" s="11" t="n">
        <v>6</v>
      </c>
      <c r="B28" s="53" t="str">
        <f aca="false">IF(Inversion!$B$11="","",Inversion!$B$11)</f>
        <v>Soldadoras (6)</v>
      </c>
      <c r="C28" s="53" t="str">
        <f aca="false">IF(Inversion!$C$11="","",Inversion!$C$11)</f>
        <v>Maquinaria</v>
      </c>
      <c r="D28" s="98" t="n">
        <f aca="false">IF(cu_P=1,N(Inversion!$D$11),N(Inversion!$U$11))</f>
        <v>3399</v>
      </c>
      <c r="E28" s="34" t="n">
        <f aca="false">IF(Inversion!$B$11="","",IF(cu_P=1,Inversion!$S$11,Inversion!$Q$11))</f>
        <v>1</v>
      </c>
      <c r="F28" s="34" t="n">
        <f aca="false">IF(Inversion!$B$11="","",N(Inversion!$F$11))</f>
        <v>10</v>
      </c>
      <c r="G28" s="37" t="n">
        <v>3300</v>
      </c>
      <c r="H28" s="48" t="n">
        <f aca="false">IF(ISNUMBER(G28),D28-G28,"")</f>
        <v>99</v>
      </c>
      <c r="I28" s="11" t="str">
        <f aca="false">IF(NOT(ISNUMBER(H28)),"",IF(ABS(H28)&lt;2,"Sin diferencia","Gastos de despacho (3% del CIF) incluidos en cada máquina; el plan los presenta en una línea aparte (14.772 en total)."))</f>
        <v>Gastos de despacho (3% del CIF) incluidos en cada máquina; el plan los presenta en una línea aparte (14.772 en total).</v>
      </c>
    </row>
    <row r="29" customFormat="false" ht="15" hidden="false" customHeight="false" outlineLevel="0" collapsed="false">
      <c r="A29" s="11" t="n">
        <v>7</v>
      </c>
      <c r="B29" s="53" t="str">
        <f aca="false">IF(Inversion!$B$12="","",Inversion!$B$12)</f>
        <v>Lijadoras (4)</v>
      </c>
      <c r="C29" s="53" t="str">
        <f aca="false">IF(Inversion!$C$12="","",Inversion!$C$12)</f>
        <v>Maquinaria</v>
      </c>
      <c r="D29" s="98" t="n">
        <f aca="false">IF(cu_P=1,N(Inversion!$D$12),N(Inversion!$U$12))</f>
        <v>589.16</v>
      </c>
      <c r="E29" s="34" t="n">
        <f aca="false">IF(Inversion!$B$12="","",IF(cu_P=1,Inversion!$S$12,Inversion!$Q$12))</f>
        <v>1</v>
      </c>
      <c r="F29" s="34" t="n">
        <f aca="false">IF(Inversion!$B$12="","",N(Inversion!$F$12))</f>
        <v>10</v>
      </c>
      <c r="G29" s="37" t="n">
        <v>572</v>
      </c>
      <c r="H29" s="48" t="n">
        <f aca="false">IF(ISNUMBER(G29),D29-G29,"")</f>
        <v>17.16</v>
      </c>
      <c r="I29" s="11" t="str">
        <f aca="false">IF(NOT(ISNUMBER(H29)),"",IF(ABS(H29)&lt;2,"Sin diferencia","Gastos de despacho (3% del CIF) incluidos en cada máquina; el plan los presenta en una línea aparte (14.772 en total)."))</f>
        <v>Gastos de despacho (3% del CIF) incluidos en cada máquina; el plan los presenta en una línea aparte (14.772 en total).</v>
      </c>
    </row>
    <row r="30" customFormat="false" ht="15" hidden="false" customHeight="false" outlineLevel="0" collapsed="false">
      <c r="A30" s="11" t="n">
        <v>8</v>
      </c>
      <c r="B30" s="53" t="str">
        <f aca="false">IF(Inversion!$B$13="","",Inversion!$B$13)</f>
        <v>Conjunto baño</v>
      </c>
      <c r="C30" s="53" t="str">
        <f aca="false">IF(Inversion!$C$13="","",Inversion!$C$13)</f>
        <v>Maquinaria</v>
      </c>
      <c r="D30" s="98" t="n">
        <f aca="false">IF(cu_P=1,N(Inversion!$D$13),N(Inversion!$U$13))</f>
        <v>28325.01</v>
      </c>
      <c r="E30" s="34" t="n">
        <f aca="false">IF(Inversion!$B$13="","",IF(cu_P=1,Inversion!$S$13,Inversion!$Q$13))</f>
        <v>1</v>
      </c>
      <c r="F30" s="34" t="n">
        <f aca="false">IF(Inversion!$B$13="","",N(Inversion!$F$13))</f>
        <v>10</v>
      </c>
      <c r="G30" s="37" t="n">
        <v>27500</v>
      </c>
      <c r="H30" s="48" t="n">
        <f aca="false">IF(ISNUMBER(G30),D30-G30,"")</f>
        <v>825.009999999998</v>
      </c>
      <c r="I30" s="11" t="str">
        <f aca="false">IF(NOT(ISNUMBER(H30)),"",IF(ABS(H30)&lt;2,"Sin diferencia","Gastos de despacho (3% del CIF) incluidos en cada máquina; el plan los presenta en una línea aparte (14.772 en total)."))</f>
        <v>Gastos de despacho (3% del CIF) incluidos en cada máquina; el plan los presenta en una línea aparte (14.772 en total).</v>
      </c>
    </row>
    <row r="31" customFormat="false" ht="15" hidden="false" customHeight="false" outlineLevel="0" collapsed="false">
      <c r="A31" s="11" t="n">
        <v>9</v>
      </c>
      <c r="B31" s="53" t="str">
        <f aca="false">IF(Inversion!$B$14="","",Inversion!$B$14)</f>
        <v>Línea de montaje</v>
      </c>
      <c r="C31" s="53" t="str">
        <f aca="false">IF(Inversion!$C$14="","",Inversion!$C$14)</f>
        <v>Maquinaria</v>
      </c>
      <c r="D31" s="98" t="n">
        <f aca="false">IF(cu_P=1,N(Inversion!$D$14),N(Inversion!$U$14))</f>
        <v>9857.1</v>
      </c>
      <c r="E31" s="34" t="n">
        <f aca="false">IF(Inversion!$B$14="","",IF(cu_P=1,Inversion!$S$14,Inversion!$Q$14))</f>
        <v>1</v>
      </c>
      <c r="F31" s="34" t="n">
        <f aca="false">IF(Inversion!$B$14="","",N(Inversion!$F$14))</f>
        <v>10</v>
      </c>
      <c r="G31" s="37" t="n">
        <v>9570</v>
      </c>
      <c r="H31" s="48" t="n">
        <f aca="false">IF(ISNUMBER(G31),D31-G31,"")</f>
        <v>287.1</v>
      </c>
      <c r="I31" s="11" t="str">
        <f aca="false">IF(NOT(ISNUMBER(H31)),"",IF(ABS(H31)&lt;2,"Sin diferencia","Gastos de despacho (3% del CIF) incluidos en cada máquina; el plan los presenta en una línea aparte (14.772 en total)."))</f>
        <v>Gastos de despacho (3% del CIF) incluidos en cada máquina; el plan los presenta en una línea aparte (14.772 en total).</v>
      </c>
    </row>
    <row r="32" customFormat="false" ht="15" hidden="false" customHeight="false" outlineLevel="0" collapsed="false">
      <c r="A32" s="11" t="n">
        <v>10</v>
      </c>
      <c r="B32" s="53" t="str">
        <f aca="false">IF(Inversion!$B$15="","",Inversion!$B$15)</f>
        <v>Montacargas</v>
      </c>
      <c r="C32" s="53" t="str">
        <f aca="false">IF(Inversion!$C$15="","",Inversion!$C$15)</f>
        <v>Maquinaria</v>
      </c>
      <c r="D32" s="98" t="n">
        <f aca="false">IF(cu_P=1,N(Inversion!$D$15),N(Inversion!$U$15))</f>
        <v>29458.01</v>
      </c>
      <c r="E32" s="34" t="n">
        <f aca="false">IF(Inversion!$B$15="","",IF(cu_P=1,Inversion!$S$15,Inversion!$Q$15))</f>
        <v>1</v>
      </c>
      <c r="F32" s="34" t="n">
        <f aca="false">IF(Inversion!$B$15="","",N(Inversion!$F$15))</f>
        <v>10</v>
      </c>
      <c r="G32" s="37" t="n">
        <v>28600</v>
      </c>
      <c r="H32" s="48" t="n">
        <f aca="false">IF(ISNUMBER(G32),D32-G32,"")</f>
        <v>858.009999999998</v>
      </c>
      <c r="I32" s="11" t="str">
        <f aca="false">IF(NOT(ISNUMBER(H32)),"",IF(ABS(H32)&lt;2,"Sin diferencia","Gastos de despacho (3% del CIF) incluidos en cada máquina; el plan los presenta en una línea aparte (14.772 en total)."))</f>
        <v>Gastos de despacho (3% del CIF) incluidos en cada máquina; el plan los presenta en una línea aparte (14.772 en total).</v>
      </c>
    </row>
    <row r="33" customFormat="false" ht="15" hidden="false" customHeight="false" outlineLevel="0" collapsed="false">
      <c r="A33" s="11" t="n">
        <v>11</v>
      </c>
      <c r="B33" s="53" t="str">
        <f aca="false">IF(Inversion!$B$16="","",Inversion!$B$16)</f>
        <v>Soldadoras capacitivas (2)</v>
      </c>
      <c r="C33" s="53" t="str">
        <f aca="false">IF(Inversion!$C$16="","",Inversion!$C$16)</f>
        <v>Maquinaria</v>
      </c>
      <c r="D33" s="98" t="n">
        <f aca="false">IF(cu_P=1,N(Inversion!$D$16),N(Inversion!$U$16))</f>
        <v>6004.9</v>
      </c>
      <c r="E33" s="34" t="n">
        <f aca="false">IF(Inversion!$B$16="","",IF(cu_P=1,Inversion!$S$16,Inversion!$Q$16))</f>
        <v>1</v>
      </c>
      <c r="F33" s="34" t="n">
        <f aca="false">IF(Inversion!$B$16="","",N(Inversion!$F$16))</f>
        <v>10</v>
      </c>
      <c r="G33" s="37" t="n">
        <v>5830</v>
      </c>
      <c r="H33" s="48" t="n">
        <f aca="false">IF(ISNUMBER(G33),D33-G33,"")</f>
        <v>174.9</v>
      </c>
      <c r="I33" s="11" t="str">
        <f aca="false">IF(NOT(ISNUMBER(H33)),"",IF(ABS(H33)&lt;2,"Sin diferencia","Gastos de despacho (3% del CIF) incluidos en cada máquina; el plan los presenta en una línea aparte (14.772 en total)."))</f>
        <v>Gastos de despacho (3% del CIF) incluidos en cada máquina; el plan los presenta en una línea aparte (14.772 en total).</v>
      </c>
    </row>
    <row r="34" customFormat="false" ht="15" hidden="false" customHeight="false" outlineLevel="0" collapsed="false">
      <c r="A34" s="11" t="n">
        <v>12</v>
      </c>
      <c r="B34" s="53" t="str">
        <f aca="false">IF(Inversion!$B$17="","",Inversion!$B$17)</f>
        <v>Software de gestión</v>
      </c>
      <c r="C34" s="53" t="str">
        <f aca="false">IF(Inversion!$C$17="","",Inversion!$C$17)</f>
        <v>Intangible</v>
      </c>
      <c r="D34" s="98" t="n">
        <f aca="false">IF(cu_P=1,N(Inversion!$D$17),N(Inversion!$U$17))</f>
        <v>43478</v>
      </c>
      <c r="E34" s="34" t="n">
        <f aca="false">IF(Inversion!$B$17="","",IF(cu_P=1,Inversion!$S$17,Inversion!$Q$17))</f>
        <v>1</v>
      </c>
      <c r="F34" s="34" t="n">
        <f aca="false">IF(Inversion!$B$17="","",N(Inversion!$F$17))</f>
        <v>5</v>
      </c>
      <c r="G34" s="37" t="n">
        <v>43478</v>
      </c>
      <c r="H34" s="48" t="n">
        <f aca="false">IF(ISNUMBER(G34),D34-G34,"")</f>
        <v>0</v>
      </c>
      <c r="I34" s="11" t="str">
        <f aca="false">IF(NOT(ISNUMBER(H34)),"",IF(ABS(H34)&lt;2,"Sin diferencia","Gastos de despacho (3% del CIF) incluidos en cada máquina; el plan los presenta en una línea aparte (14.772 en total)."))</f>
        <v>Sin diferencia</v>
      </c>
    </row>
    <row r="35" customFormat="false" ht="15" hidden="false" customHeight="false" outlineLevel="0" collapsed="false">
      <c r="A35" s="11" t="n">
        <v>13</v>
      </c>
      <c r="B35" s="53" t="str">
        <f aca="false">IF(Inversion!$B$18="","",Inversion!$B$18)</f>
        <v>Mobiliario</v>
      </c>
      <c r="C35" s="53" t="str">
        <f aca="false">IF(Inversion!$C$18="","",Inversion!$C$18)</f>
        <v>Mobiliario</v>
      </c>
      <c r="D35" s="98" t="n">
        <f aca="false">IF(cu_P=1,N(Inversion!$D$18),N(Inversion!$U$18))</f>
        <v>17400</v>
      </c>
      <c r="E35" s="34" t="n">
        <f aca="false">IF(Inversion!$B$18="","",IF(cu_P=1,Inversion!$S$18,Inversion!$Q$18))</f>
        <v>1</v>
      </c>
      <c r="F35" s="34" t="n">
        <f aca="false">IF(Inversion!$B$18="","",N(Inversion!$F$18))</f>
        <v>5</v>
      </c>
      <c r="G35" s="37" t="n">
        <v>17400</v>
      </c>
      <c r="H35" s="48" t="n">
        <f aca="false">IF(ISNUMBER(G35),D35-G35,"")</f>
        <v>0</v>
      </c>
      <c r="I35" s="11" t="str">
        <f aca="false">IF(NOT(ISNUMBER(H35)),"",IF(ABS(H35)&lt;2,"Sin diferencia","Gastos de despacho (3% del CIF) incluidos en cada máquina; el plan los presenta en una línea aparte (14.772 en total)."))</f>
        <v>Sin diferencia</v>
      </c>
    </row>
    <row r="36" customFormat="false" ht="15" hidden="false" customHeight="false" outlineLevel="0" collapsed="false">
      <c r="A36" s="11" t="n">
        <v>14</v>
      </c>
      <c r="B36" s="53" t="str">
        <f aca="false">IF(Inversion!$B$19="","",Inversion!$B$19)</f>
        <v>Inversión adicional año 2 (no desagregada)</v>
      </c>
      <c r="C36" s="53" t="str">
        <f aca="false">IF(Inversion!$C$19="","",Inversion!$C$19)</f>
        <v>Pendiente</v>
      </c>
      <c r="D36" s="98" t="n">
        <f aca="false">IF(cu_P=1,N(Inversion!$D$19),N(Inversion!$U$19))</f>
        <v>100000</v>
      </c>
      <c r="E36" s="34" t="n">
        <f aca="false">IF(Inversion!$B$19="","",IF(cu_P=1,Inversion!$S$19,Inversion!$Q$19))</f>
        <v>13</v>
      </c>
      <c r="F36" s="34" t="n">
        <f aca="false">IF(Inversion!$B$19="","",N(Inversion!$F$19))</f>
        <v>10</v>
      </c>
      <c r="G36" s="37" t="n">
        <v>100000</v>
      </c>
      <c r="H36" s="48" t="n">
        <f aca="false">IF(ISNUMBER(G36),D36-G36,"")</f>
        <v>0</v>
      </c>
      <c r="I36" s="11" t="str">
        <f aca="false">IF(NOT(ISNUMBER(H36)),"",IF(ABS(H36)&lt;2,"Sin diferencia","Gastos de despacho (3% del CIF) incluidos en cada máquina; el plan los presenta en una línea aparte (14.772 en total)."))</f>
        <v>Sin diferencia</v>
      </c>
    </row>
    <row r="37" customFormat="false" ht="15" hidden="true" customHeight="false" outlineLevel="1" collapsed="false">
      <c r="A37" s="11" t="n">
        <v>15</v>
      </c>
      <c r="B37" s="53" t="str">
        <f aca="false">IF(Inversion!$B$20="","",Inversion!$B$20)</f>
        <v/>
      </c>
      <c r="C37" s="53" t="str">
        <f aca="false">IF(Inversion!$C$20="","",Inversion!$C$20)</f>
        <v/>
      </c>
      <c r="D37" s="98" t="n">
        <f aca="false">IF(cu_P=1,N(Inversion!$D$20),N(Inversion!$U$20))</f>
        <v>0</v>
      </c>
      <c r="E37" s="34" t="str">
        <f aca="false">IF(Inversion!$B$20="","",IF(cu_P=1,Inversion!$S$20,Inversion!$Q$20))</f>
        <v/>
      </c>
      <c r="F37" s="34" t="str">
        <f aca="false">IF(Inversion!$B$20="","",N(Inversion!$F$20))</f>
        <v/>
      </c>
      <c r="G37" s="37"/>
      <c r="H37" s="48" t="str">
        <f aca="false">IF(ISNUMBER(G37),D37-G37,"")</f>
        <v/>
      </c>
      <c r="I37" s="11" t="str">
        <f aca="false">IF(NOT(ISNUMBER(H37)),"",IF(ABS(H37)&lt;2,"Sin diferencia","Gastos de despacho (3% del CIF) incluidos en cada máquina; el plan los presenta en una línea aparte (14.772 en total)."))</f>
        <v/>
      </c>
    </row>
    <row r="38" customFormat="false" ht="15" hidden="true" customHeight="false" outlineLevel="1" collapsed="false">
      <c r="A38" s="11" t="n">
        <v>16</v>
      </c>
      <c r="B38" s="53" t="str">
        <f aca="false">IF(Inversion!$B$21="","",Inversion!$B$21)</f>
        <v/>
      </c>
      <c r="C38" s="53" t="str">
        <f aca="false">IF(Inversion!$C$21="","",Inversion!$C$21)</f>
        <v/>
      </c>
      <c r="D38" s="98" t="n">
        <f aca="false">IF(cu_P=1,N(Inversion!$D$21),N(Inversion!$U$21))</f>
        <v>0</v>
      </c>
      <c r="E38" s="34" t="str">
        <f aca="false">IF(Inversion!$B$21="","",IF(cu_P=1,Inversion!$S$21,Inversion!$Q$21))</f>
        <v/>
      </c>
      <c r="F38" s="34" t="str">
        <f aca="false">IF(Inversion!$B$21="","",N(Inversion!$F$21))</f>
        <v/>
      </c>
      <c r="G38" s="37"/>
      <c r="H38" s="48" t="str">
        <f aca="false">IF(ISNUMBER(G38),D38-G38,"")</f>
        <v/>
      </c>
      <c r="I38" s="11" t="str">
        <f aca="false">IF(NOT(ISNUMBER(H38)),"",IF(ABS(H38)&lt;2,"Sin diferencia","Gastos de despacho (3% del CIF) incluidos en cada máquina; el plan los presenta en una línea aparte (14.772 en total)."))</f>
        <v/>
      </c>
    </row>
    <row r="39" customFormat="false" ht="15" hidden="true" customHeight="false" outlineLevel="1" collapsed="false">
      <c r="A39" s="11" t="n">
        <v>17</v>
      </c>
      <c r="B39" s="53" t="str">
        <f aca="false">IF(Inversion!$B$22="","",Inversion!$B$22)</f>
        <v/>
      </c>
      <c r="C39" s="53" t="str">
        <f aca="false">IF(Inversion!$C$22="","",Inversion!$C$22)</f>
        <v/>
      </c>
      <c r="D39" s="98" t="n">
        <f aca="false">IF(cu_P=1,N(Inversion!$D$22),N(Inversion!$U$22))</f>
        <v>0</v>
      </c>
      <c r="E39" s="34" t="str">
        <f aca="false">IF(Inversion!$B$22="","",IF(cu_P=1,Inversion!$S$22,Inversion!$Q$22))</f>
        <v/>
      </c>
      <c r="F39" s="34" t="str">
        <f aca="false">IF(Inversion!$B$22="","",N(Inversion!$F$22))</f>
        <v/>
      </c>
      <c r="G39" s="37"/>
      <c r="H39" s="48" t="str">
        <f aca="false">IF(ISNUMBER(G39),D39-G39,"")</f>
        <v/>
      </c>
      <c r="I39" s="11" t="str">
        <f aca="false">IF(NOT(ISNUMBER(H39)),"",IF(ABS(H39)&lt;2,"Sin diferencia","Gastos de despacho (3% del CIF) incluidos en cada máquina; el plan los presenta en una línea aparte (14.772 en total)."))</f>
        <v/>
      </c>
    </row>
    <row r="40" customFormat="false" ht="15" hidden="true" customHeight="false" outlineLevel="1" collapsed="false">
      <c r="A40" s="11" t="n">
        <v>18</v>
      </c>
      <c r="B40" s="53" t="str">
        <f aca="false">IF(Inversion!$B$23="","",Inversion!$B$23)</f>
        <v/>
      </c>
      <c r="C40" s="53" t="str">
        <f aca="false">IF(Inversion!$C$23="","",Inversion!$C$23)</f>
        <v/>
      </c>
      <c r="D40" s="98" t="n">
        <f aca="false">IF(cu_P=1,N(Inversion!$D$23),N(Inversion!$U$23))</f>
        <v>0</v>
      </c>
      <c r="E40" s="34" t="str">
        <f aca="false">IF(Inversion!$B$23="","",IF(cu_P=1,Inversion!$S$23,Inversion!$Q$23))</f>
        <v/>
      </c>
      <c r="F40" s="34" t="str">
        <f aca="false">IF(Inversion!$B$23="","",N(Inversion!$F$23))</f>
        <v/>
      </c>
      <c r="G40" s="37"/>
      <c r="H40" s="48" t="str">
        <f aca="false">IF(ISNUMBER(G40),D40-G40,"")</f>
        <v/>
      </c>
      <c r="I40" s="11" t="str">
        <f aca="false">IF(NOT(ISNUMBER(H40)),"",IF(ABS(H40)&lt;2,"Sin diferencia","Gastos de despacho (3% del CIF) incluidos en cada máquina; el plan los presenta en una línea aparte (14.772 en total)."))</f>
        <v/>
      </c>
    </row>
    <row r="41" customFormat="false" ht="15" hidden="true" customHeight="false" outlineLevel="1" collapsed="false">
      <c r="A41" s="11" t="n">
        <v>19</v>
      </c>
      <c r="B41" s="53" t="str">
        <f aca="false">IF(Inversion!$B$24="","",Inversion!$B$24)</f>
        <v/>
      </c>
      <c r="C41" s="53" t="str">
        <f aca="false">IF(Inversion!$C$24="","",Inversion!$C$24)</f>
        <v/>
      </c>
      <c r="D41" s="98" t="n">
        <f aca="false">IF(cu_P=1,N(Inversion!$D$24),N(Inversion!$U$24))</f>
        <v>0</v>
      </c>
      <c r="E41" s="34" t="str">
        <f aca="false">IF(Inversion!$B$24="","",IF(cu_P=1,Inversion!$S$24,Inversion!$Q$24))</f>
        <v/>
      </c>
      <c r="F41" s="34" t="str">
        <f aca="false">IF(Inversion!$B$24="","",N(Inversion!$F$24))</f>
        <v/>
      </c>
      <c r="G41" s="37"/>
      <c r="H41" s="48" t="str">
        <f aca="false">IF(ISNUMBER(G41),D41-G41,"")</f>
        <v/>
      </c>
      <c r="I41" s="11" t="str">
        <f aca="false">IF(NOT(ISNUMBER(H41)),"",IF(ABS(H41)&lt;2,"Sin diferencia","Gastos de despacho (3% del CIF) incluidos en cada máquina; el plan los presenta en una línea aparte (14.772 en total)."))</f>
        <v/>
      </c>
    </row>
    <row r="42" customFormat="false" ht="15" hidden="true" customHeight="false" outlineLevel="1" collapsed="false">
      <c r="A42" s="11" t="n">
        <v>20</v>
      </c>
      <c r="B42" s="53" t="str">
        <f aca="false">IF(Inversion!$B$25="","",Inversion!$B$25)</f>
        <v/>
      </c>
      <c r="C42" s="53" t="str">
        <f aca="false">IF(Inversion!$C$25="","",Inversion!$C$25)</f>
        <v/>
      </c>
      <c r="D42" s="98" t="n">
        <f aca="false">IF(cu_P=1,N(Inversion!$D$25),N(Inversion!$U$25))</f>
        <v>0</v>
      </c>
      <c r="E42" s="34" t="str">
        <f aca="false">IF(Inversion!$B$25="","",IF(cu_P=1,Inversion!$S$25,Inversion!$Q$25))</f>
        <v/>
      </c>
      <c r="F42" s="34" t="str">
        <f aca="false">IF(Inversion!$B$25="","",N(Inversion!$F$25))</f>
        <v/>
      </c>
      <c r="G42" s="37"/>
      <c r="H42" s="48" t="str">
        <f aca="false">IF(ISNUMBER(G42),D42-G42,"")</f>
        <v/>
      </c>
      <c r="I42" s="11" t="str">
        <f aca="false">IF(NOT(ISNUMBER(H42)),"",IF(ABS(H42)&lt;2,"Sin diferencia","Gastos de despacho (3% del CIF) incluidos en cada máquina; el plan los presenta en una línea aparte (14.772 en total)."))</f>
        <v/>
      </c>
    </row>
    <row r="43" customFormat="false" ht="15" hidden="false" customHeight="false" outlineLevel="0" collapsed="false">
      <c r="B43" s="67" t="s">
        <v>672</v>
      </c>
      <c r="D43" s="54" t="n">
        <f aca="false">SUM(D23:D42)</f>
        <v>755044.09</v>
      </c>
      <c r="G43" s="54" t="n">
        <f aca="false">SUM(G23:G42)</f>
        <v>740272</v>
      </c>
      <c r="H43" s="54" t="n">
        <f aca="false">SUM(H23:H42)</f>
        <v>14772.09</v>
      </c>
    </row>
    <row r="45" customFormat="false" ht="15" hidden="false" customHeight="false" outlineLevel="0" collapsed="false">
      <c r="A45" s="12" t="s">
        <v>240</v>
      </c>
      <c r="B45" s="13"/>
      <c r="C45" s="13"/>
      <c r="D45" s="13"/>
      <c r="E45" s="13"/>
      <c r="F45" s="13"/>
      <c r="G45" s="13"/>
      <c r="H45" s="13"/>
      <c r="I45" s="13"/>
    </row>
    <row r="46" customFormat="false" ht="15" hidden="false" customHeight="false" outlineLevel="0" collapsed="false">
      <c r="B46" s="11" t="s">
        <v>1852</v>
      </c>
    </row>
    <row r="47" customFormat="false" ht="15" hidden="false" customHeight="false" outlineLevel="0" collapsed="false">
      <c r="B47" s="11" t="s">
        <v>1853</v>
      </c>
    </row>
    <row r="48" customFormat="false" ht="15" hidden="false" customHeight="false" outlineLevel="0" collapsed="false">
      <c r="B48" s="11" t="s">
        <v>1854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4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1855</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cuadros 7 y 7a, pág. 14-15"</f>
        <v>Plan de referencia: Plan CIE–PERG Oct-2025 — cuadros 7 y 7a, pág. 14-15</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1858</v>
      </c>
      <c r="B8" s="53" t="str">
        <f aca="false">IF(INDEX(Prod_Nombre,1)="","Producto 1",INDEX(Prod_Nombre,1))&amp;" — capacidad instalada"</f>
        <v>Gabinetes metálicos 153 kg — capacidad instalada</v>
      </c>
      <c r="C8" s="11" t="s">
        <v>544</v>
      </c>
      <c r="E8" s="48" t="n">
        <f aca="false">IF(cu_P=1,IF(INDEX(Prod_Nombre,1)="",0,IF(AND(N(INDEX(Cap_Anio,1))&gt;0,1&gt;=N(INDEX(Cap_Anio,1))),N(INDEX(Cap_Amp,1)),N(INDEX(Cap_Ini,1)))),IF(INDEX(Prod_Nombre,1)="",0,IF(AND(N(INDEX(Cap_Anio,1))&gt;0,1&gt;=N(INDEX(Cap_Anio,1))),N(INDEX(Cap_Amp,1)),N(INDEX(Cap_Ini,1)))))</f>
        <v>15000</v>
      </c>
      <c r="F8" s="48" t="n">
        <f aca="false">IF(cu_P=1,IF(INDEX(Prod_Nombre,1)="",0,IF(AND(N(INDEX(Cap_Anio,1))&gt;0,2&gt;=N(INDEX(Cap_Anio,1))),N(INDEX(Cap_Amp,1)),N(INDEX(Cap_Ini,1)))),IF(INDEX(Prod_Nombre,1)="",0,IF(AND(N(INDEX(Cap_Anio,1))&gt;0,2&gt;=N(INDEX(Cap_Anio,1))),N(INDEX(Cap_Amp,1)),N(INDEX(Cap_Ini,1)))))</f>
        <v>15000</v>
      </c>
      <c r="G8" s="48" t="n">
        <f aca="false">IF(cu_P=1,IF(INDEX(Prod_Nombre,1)="",0,IF(AND(N(INDEX(Cap_Anio,1))&gt;0,3&gt;=N(INDEX(Cap_Anio,1))),N(INDEX(Cap_Amp,1)),N(INDEX(Cap_Ini,1)))),IF(INDEX(Prod_Nombre,1)="",0,IF(AND(N(INDEX(Cap_Anio,1))&gt;0,3&gt;=N(INDEX(Cap_Anio,1))),N(INDEX(Cap_Amp,1)),N(INDEX(Cap_Ini,1)))))</f>
        <v>22000</v>
      </c>
      <c r="H8" s="48" t="n">
        <f aca="false">IF(cu_P=1,IF(INDEX(Prod_Nombre,1)="",0,IF(AND(N(INDEX(Cap_Anio,1))&gt;0,4&gt;=N(INDEX(Cap_Anio,1))),N(INDEX(Cap_Amp,1)),N(INDEX(Cap_Ini,1)))),IF(INDEX(Prod_Nombre,1)="",0,IF(AND(N(INDEX(Cap_Anio,1))&gt;0,4&gt;=N(INDEX(Cap_Anio,1))),N(INDEX(Cap_Amp,1)),N(INDEX(Cap_Ini,1)))))</f>
        <v>22000</v>
      </c>
      <c r="I8" s="48" t="n">
        <f aca="false">IF(cu_P=1,IF(INDEX(Prod_Nombre,1)="",0,IF(AND(N(INDEX(Cap_Anio,1))&gt;0,5&gt;=N(INDEX(Cap_Anio,1))),N(INDEX(Cap_Amp,1)),N(INDEX(Cap_Ini,1)))),IF(INDEX(Prod_Nombre,1)="",0,IF(AND(N(INDEX(Cap_Anio,1))&gt;0,5&gt;=N(INDEX(Cap_Anio,1))),N(INDEX(Cap_Amp,1)),N(INDEX(Cap_Ini,1)))))</f>
        <v>22000</v>
      </c>
      <c r="J8" s="48" t="n">
        <f aca="false">IF(cu_P=1,IF(INDEX(Prod_Nombre,1)="",0,IF(AND(N(INDEX(Cap_Anio,1))&gt;0,6&gt;=N(INDEX(Cap_Anio,1))),N(INDEX(Cap_Amp,1)),N(INDEX(Cap_Ini,1)))),IF(INDEX(Prod_Nombre,1)="",0,IF(AND(N(INDEX(Cap_Anio,1))&gt;0,6&gt;=N(INDEX(Cap_Anio,1))),N(INDEX(Cap_Amp,1)),N(INDEX(Cap_Ini,1)))))</f>
        <v>22000</v>
      </c>
      <c r="K8" s="48" t="n">
        <f aca="false">IF(cu_P=1,IF(INDEX(Prod_Nombre,1)="",0,IF(AND(N(INDEX(Cap_Anio,1))&gt;0,7&gt;=N(INDEX(Cap_Anio,1))),N(INDEX(Cap_Amp,1)),N(INDEX(Cap_Ini,1)))),IF(INDEX(Prod_Nombre,1)="",0,IF(AND(N(INDEX(Cap_Anio,1))&gt;0,7&gt;=N(INDEX(Cap_Anio,1))),N(INDEX(Cap_Amp,1)),N(INDEX(Cap_Ini,1)))))</f>
        <v>22000</v>
      </c>
      <c r="L8" s="48" t="n">
        <f aca="false">IF(cu_P=1,IF(INDEX(Prod_Nombre,1)="",0,IF(AND(N(INDEX(Cap_Anio,1))&gt;0,8&gt;=N(INDEX(Cap_Anio,1))),N(INDEX(Cap_Amp,1)),N(INDEX(Cap_Ini,1)))),IF(INDEX(Prod_Nombre,1)="",0,IF(AND(N(INDEX(Cap_Anio,1))&gt;0,8&gt;=N(INDEX(Cap_Anio,1))),N(INDEX(Cap_Amp,1)),N(INDEX(Cap_Ini,1)))))</f>
        <v>22000</v>
      </c>
      <c r="M8" s="48" t="n">
        <f aca="false">IF(cu_P=1,IF(INDEX(Prod_Nombre,1)="",0,IF(AND(N(INDEX(Cap_Anio,1))&gt;0,9&gt;=N(INDEX(Cap_Anio,1))),N(INDEX(Cap_Amp,1)),N(INDEX(Cap_Ini,1)))),IF(INDEX(Prod_Nombre,1)="",0,IF(AND(N(INDEX(Cap_Anio,1))&gt;0,9&gt;=N(INDEX(Cap_Anio,1))),N(INDEX(Cap_Amp,1)),N(INDEX(Cap_Ini,1)))))</f>
        <v>22000</v>
      </c>
      <c r="N8" s="48" t="n">
        <f aca="false">IF(cu_P=1,IF(INDEX(Prod_Nombre,1)="",0,IF(AND(N(INDEX(Cap_Anio,1))&gt;0,10&gt;=N(INDEX(Cap_Anio,1))),N(INDEX(Cap_Amp,1)),N(INDEX(Cap_Ini,1)))),IF(INDEX(Prod_Nombre,1)="",0,IF(AND(N(INDEX(Cap_Anio,1))&gt;0,10&gt;=N(INDEX(Cap_Anio,1))),N(INDEX(Cap_Amp,1)),N(INDEX(Cap_Ini,1)))))</f>
        <v>22000</v>
      </c>
    </row>
    <row r="9" customFormat="false" ht="15" hidden="false" customHeight="false" outlineLevel="0" collapsed="false">
      <c r="A9" s="11" t="s">
        <v>1859</v>
      </c>
      <c r="B9" s="15" t="s">
        <v>1860</v>
      </c>
      <c r="C9" s="11" t="s">
        <v>544</v>
      </c>
      <c r="D9" s="48" t="n">
        <f aca="false">IF(cu_P=1,SUMIFS(Calculo!$F$21:$ES$21,Calculo!$F$16:$ES$16,1)/(1-P_Merma),SUMIFS(Calculo!$F$177:$ES$177,Calculo!$F$172:$ES$172,1)/(1-V_Merma))</f>
        <v>0</v>
      </c>
      <c r="E9" s="48" t="n">
        <f aca="false">IF(cu_P=1,SUMIFS(Calculo!$F$21:$ES$21,Calculo!$F$14:$ES$14,1)/(1-P_Merma),SUMIFS(Calculo!$F$177:$ES$177,Calculo!$F$170:$ES$170,1)/(1-V_Merma))</f>
        <v>12000</v>
      </c>
      <c r="F9" s="48" t="n">
        <f aca="false">IF(cu_P=1,SUMIFS(Calculo!$F$21:$ES$21,Calculo!$F$14:$ES$14,2)/(1-P_Merma),SUMIFS(Calculo!$F$177:$ES$177,Calculo!$F$170:$ES$170,2)/(1-V_Merma))</f>
        <v>15000</v>
      </c>
      <c r="G9" s="48" t="n">
        <f aca="false">IF(cu_P=1,SUMIFS(Calculo!$F$21:$ES$21,Calculo!$F$14:$ES$14,3)/(1-P_Merma),SUMIFS(Calculo!$F$177:$ES$177,Calculo!$F$170:$ES$170,3)/(1-V_Merma))</f>
        <v>18000</v>
      </c>
      <c r="H9" s="48" t="n">
        <f aca="false">IF(cu_P=1,SUMIFS(Calculo!$F$21:$ES$21,Calculo!$F$14:$ES$14,4)/(1-P_Merma),SUMIFS(Calculo!$F$177:$ES$177,Calculo!$F$170:$ES$170,4)/(1-V_Merma))</f>
        <v>21000</v>
      </c>
      <c r="I9" s="48" t="n">
        <f aca="false">IF(cu_P=1,SUMIFS(Calculo!$F$21:$ES$21,Calculo!$F$14:$ES$14,5)/(1-P_Merma),SUMIFS(Calculo!$F$177:$ES$177,Calculo!$F$170:$ES$170,5)/(1-V_Merma))</f>
        <v>21000</v>
      </c>
      <c r="J9" s="48" t="n">
        <f aca="false">IF(cu_P=1,SUMIFS(Calculo!$F$21:$ES$21,Calculo!$F$14:$ES$14,6)/(1-P_Merma),SUMIFS(Calculo!$F$177:$ES$177,Calculo!$F$170:$ES$170,6)/(1-V_Merma))</f>
        <v>21000</v>
      </c>
      <c r="K9" s="48" t="n">
        <f aca="false">IF(cu_P=1,SUMIFS(Calculo!$F$21:$ES$21,Calculo!$F$14:$ES$14,7)/(1-P_Merma),SUMIFS(Calculo!$F$177:$ES$177,Calculo!$F$170:$ES$170,7)/(1-V_Merma))</f>
        <v>21000</v>
      </c>
      <c r="L9" s="48" t="n">
        <f aca="false">IF(cu_P=1,SUMIFS(Calculo!$F$21:$ES$21,Calculo!$F$14:$ES$14,8)/(1-P_Merma),SUMIFS(Calculo!$F$177:$ES$177,Calculo!$F$170:$ES$170,8)/(1-V_Merma))</f>
        <v>21000</v>
      </c>
      <c r="M9" s="48" t="n">
        <f aca="false">IF(cu_P=1,SUMIFS(Calculo!$F$21:$ES$21,Calculo!$F$14:$ES$14,9)/(1-P_Merma),SUMIFS(Calculo!$F$177:$ES$177,Calculo!$F$170:$ES$170,9)/(1-V_Merma))</f>
        <v>21000</v>
      </c>
      <c r="N9" s="48" t="n">
        <f aca="false">IF(cu_P=1,SUMIFS(Calculo!$F$21:$ES$21,Calculo!$F$14:$ES$14,10)/(1-P_Merma),SUMIFS(Calculo!$F$177:$ES$177,Calculo!$F$170:$ES$170,10)/(1-V_Merma))</f>
        <v>21000</v>
      </c>
      <c r="O9" s="54" t="n">
        <f aca="false">SUM(D9:N9)</f>
        <v>192000</v>
      </c>
    </row>
    <row r="10" customFormat="false" ht="15" hidden="false" customHeight="false" outlineLevel="0" collapsed="false">
      <c r="A10" s="11" t="s">
        <v>1861</v>
      </c>
      <c r="B10" s="15" t="s">
        <v>1862</v>
      </c>
      <c r="C10" s="11" t="s">
        <v>544</v>
      </c>
      <c r="D10" s="48" t="n">
        <f aca="false">IF(cu_P=1,SUMIFS(Calculo!$F$21:$ES$21,Calculo!$F$16:$ES$16,1),SUMIFS(Calculo!$F$177:$ES$177,Calculo!$F$172:$ES$172,1))</f>
        <v>0</v>
      </c>
      <c r="E10" s="48" t="n">
        <f aca="false">IF(cu_P=1,SUMIFS(Calculo!$F$21:$ES$21,Calculo!$F$14:$ES$14,1),SUMIFS(Calculo!$F$177:$ES$177,Calculo!$F$170:$ES$170,1))</f>
        <v>12000</v>
      </c>
      <c r="F10" s="48" t="n">
        <f aca="false">IF(cu_P=1,SUMIFS(Calculo!$F$21:$ES$21,Calculo!$F$14:$ES$14,2),SUMIFS(Calculo!$F$177:$ES$177,Calculo!$F$170:$ES$170,2))</f>
        <v>15000</v>
      </c>
      <c r="G10" s="48" t="n">
        <f aca="false">IF(cu_P=1,SUMIFS(Calculo!$F$21:$ES$21,Calculo!$F$14:$ES$14,3),SUMIFS(Calculo!$F$177:$ES$177,Calculo!$F$170:$ES$170,3))</f>
        <v>18000</v>
      </c>
      <c r="H10" s="48" t="n">
        <f aca="false">IF(cu_P=1,SUMIFS(Calculo!$F$21:$ES$21,Calculo!$F$14:$ES$14,4),SUMIFS(Calculo!$F$177:$ES$177,Calculo!$F$170:$ES$170,4))</f>
        <v>21000</v>
      </c>
      <c r="I10" s="48" t="n">
        <f aca="false">IF(cu_P=1,SUMIFS(Calculo!$F$21:$ES$21,Calculo!$F$14:$ES$14,5),SUMIFS(Calculo!$F$177:$ES$177,Calculo!$F$170:$ES$170,5))</f>
        <v>21000</v>
      </c>
      <c r="J10" s="48" t="n">
        <f aca="false">IF(cu_P=1,SUMIFS(Calculo!$F$21:$ES$21,Calculo!$F$14:$ES$14,6),SUMIFS(Calculo!$F$177:$ES$177,Calculo!$F$170:$ES$170,6))</f>
        <v>21000</v>
      </c>
      <c r="K10" s="48" t="n">
        <f aca="false">IF(cu_P=1,SUMIFS(Calculo!$F$21:$ES$21,Calculo!$F$14:$ES$14,7),SUMIFS(Calculo!$F$177:$ES$177,Calculo!$F$170:$ES$170,7))</f>
        <v>21000</v>
      </c>
      <c r="L10" s="48" t="n">
        <f aca="false">IF(cu_P=1,SUMIFS(Calculo!$F$21:$ES$21,Calculo!$F$14:$ES$14,8),SUMIFS(Calculo!$F$177:$ES$177,Calculo!$F$170:$ES$170,8))</f>
        <v>21000</v>
      </c>
      <c r="M10" s="48" t="n">
        <f aca="false">IF(cu_P=1,SUMIFS(Calculo!$F$21:$ES$21,Calculo!$F$14:$ES$14,9),SUMIFS(Calculo!$F$177:$ES$177,Calculo!$F$170:$ES$170,9))</f>
        <v>21000</v>
      </c>
      <c r="N10" s="48" t="n">
        <f aca="false">IF(cu_P=1,SUMIFS(Calculo!$F$21:$ES$21,Calculo!$F$14:$ES$14,10),SUMIFS(Calculo!$F$177:$ES$177,Calculo!$F$170:$ES$170,10))</f>
        <v>21000</v>
      </c>
      <c r="O10" s="54" t="n">
        <f aca="false">SUM(D10:N10)</f>
        <v>192000</v>
      </c>
    </row>
    <row r="11" customFormat="false" ht="15" hidden="false" customHeight="false" outlineLevel="0" collapsed="false">
      <c r="A11" s="11" t="s">
        <v>1863</v>
      </c>
      <c r="B11" s="15" t="s">
        <v>1864</v>
      </c>
      <c r="C11" s="11" t="s">
        <v>367</v>
      </c>
      <c r="E11" s="49" t="n">
        <f aca="false">IFERROR(IF(OR(NOT(ISNUMBER(E9)),N(E8)=0),"",E9/E8),"")</f>
        <v>0.8</v>
      </c>
      <c r="F11" s="49" t="n">
        <f aca="false">IFERROR(IF(OR(NOT(ISNUMBER(F9)),N(F8)=0),"",F9/F8),"")</f>
        <v>1</v>
      </c>
      <c r="G11" s="49" t="n">
        <f aca="false">IFERROR(IF(OR(NOT(ISNUMBER(G9)),N(G8)=0),"",G9/G8),"")</f>
        <v>0.818181818181818</v>
      </c>
      <c r="H11" s="49" t="n">
        <f aca="false">IFERROR(IF(OR(NOT(ISNUMBER(H9)),N(H8)=0),"",H9/H8),"")</f>
        <v>0.954545454545455</v>
      </c>
      <c r="I11" s="49" t="n">
        <f aca="false">IFERROR(IF(OR(NOT(ISNUMBER(I9)),N(I8)=0),"",I9/I8),"")</f>
        <v>0.954545454545455</v>
      </c>
      <c r="J11" s="49" t="n">
        <f aca="false">IFERROR(IF(OR(NOT(ISNUMBER(J9)),N(J8)=0),"",J9/J8),"")</f>
        <v>0.954545454545455</v>
      </c>
      <c r="K11" s="49" t="n">
        <f aca="false">IFERROR(IF(OR(NOT(ISNUMBER(K9)),N(K8)=0),"",K9/K8),"")</f>
        <v>0.954545454545455</v>
      </c>
      <c r="L11" s="49" t="n">
        <f aca="false">IFERROR(IF(OR(NOT(ISNUMBER(L9)),N(L8)=0),"",L9/L8),"")</f>
        <v>0.954545454545455</v>
      </c>
      <c r="M11" s="49" t="n">
        <f aca="false">IFERROR(IF(OR(NOT(ISNUMBER(M9)),N(M8)=0),"",M9/M8),"")</f>
        <v>0.954545454545455</v>
      </c>
      <c r="N11" s="49" t="n">
        <f aca="false">IFERROR(IF(OR(NOT(ISNUMBER(N9)),N(N8)=0),"",N9/N8),"")</f>
        <v>0.954545454545455</v>
      </c>
    </row>
    <row r="12" customFormat="false" ht="15" hidden="false" customHeight="false" outlineLevel="0" collapsed="false">
      <c r="A12" s="11" t="s">
        <v>1865</v>
      </c>
      <c r="B12" s="15" t="s">
        <v>1866</v>
      </c>
      <c r="C12" s="11" t="s">
        <v>367</v>
      </c>
      <c r="E12" s="49" t="n">
        <f aca="false">IFERROR(IF(OR(NOT(ISNUMBER(E10)),N(E9)=0),"",E10/E9),"")</f>
        <v>1</v>
      </c>
      <c r="F12" s="49" t="n">
        <f aca="false">IFERROR(IF(OR(NOT(ISNUMBER(F10)),N(F9)=0),"",F10/F9),"")</f>
        <v>1</v>
      </c>
      <c r="G12" s="49" t="n">
        <f aca="false">IFERROR(IF(OR(NOT(ISNUMBER(G10)),N(G9)=0),"",G10/G9),"")</f>
        <v>1</v>
      </c>
      <c r="H12" s="49" t="n">
        <f aca="false">IFERROR(IF(OR(NOT(ISNUMBER(H10)),N(H9)=0),"",H10/H9),"")</f>
        <v>1</v>
      </c>
      <c r="I12" s="49" t="n">
        <f aca="false">IFERROR(IF(OR(NOT(ISNUMBER(I10)),N(I9)=0),"",I10/I9),"")</f>
        <v>1</v>
      </c>
      <c r="J12" s="49" t="n">
        <f aca="false">IFERROR(IF(OR(NOT(ISNUMBER(J10)),N(J9)=0),"",J10/J9),"")</f>
        <v>1</v>
      </c>
      <c r="K12" s="49" t="n">
        <f aca="false">IFERROR(IF(OR(NOT(ISNUMBER(K10)),N(K9)=0),"",K10/K9),"")</f>
        <v>1</v>
      </c>
      <c r="L12" s="49" t="n">
        <f aca="false">IFERROR(IF(OR(NOT(ISNUMBER(L10)),N(L9)=0),"",L10/L9),"")</f>
        <v>1</v>
      </c>
      <c r="M12" s="49" t="n">
        <f aca="false">IFERROR(IF(OR(NOT(ISNUMBER(M10)),N(M9)=0),"",M10/M9),"")</f>
        <v>1</v>
      </c>
      <c r="N12" s="49" t="n">
        <f aca="false">IFERROR(IF(OR(NOT(ISNUMBER(N10)),N(N9)=0),"",N10/N9),"")</f>
        <v>1</v>
      </c>
      <c r="O12" s="99" t="n">
        <f aca="false">IFERROR(IF(OR(NOT(ISNUMBER(O10)),N(O9)=0),"",O10/O9),"")</f>
        <v>1</v>
      </c>
    </row>
    <row r="13" customFormat="false" ht="15" hidden="false" customHeight="false" outlineLevel="0" collapsed="false">
      <c r="A13" s="11" t="s">
        <v>1867</v>
      </c>
      <c r="B13" s="53" t="str">
        <f aca="false">IF(INDEX(Prod_Nombre,2)="","Producto 2",INDEX(Prod_Nombre,2))&amp;" — capacidad instalada"</f>
        <v>Cajas metálicas 13 kg — capacidad instalada</v>
      </c>
      <c r="C13" s="11" t="s">
        <v>544</v>
      </c>
      <c r="E13" s="48" t="n">
        <f aca="false">IF(cu_P=1,IF(INDEX(Prod_Nombre,2)="",0,IF(AND(N(INDEX(Cap_Anio,2))&gt;0,1&gt;=N(INDEX(Cap_Anio,2))),N(INDEX(Cap_Amp,2)),N(INDEX(Cap_Ini,2)))),IF(INDEX(Prod_Nombre,2)="",0,IF(AND(N(INDEX(Cap_Anio,2))&gt;0,1&gt;=N(INDEX(Cap_Anio,2))),N(INDEX(Cap_Amp,2)),N(INDEX(Cap_Ini,2)))))</f>
        <v>90000</v>
      </c>
      <c r="F13" s="48" t="n">
        <f aca="false">IF(cu_P=1,IF(INDEX(Prod_Nombre,2)="",0,IF(AND(N(INDEX(Cap_Anio,2))&gt;0,2&gt;=N(INDEX(Cap_Anio,2))),N(INDEX(Cap_Amp,2)),N(INDEX(Cap_Ini,2)))),IF(INDEX(Prod_Nombre,2)="",0,IF(AND(N(INDEX(Cap_Anio,2))&gt;0,2&gt;=N(INDEX(Cap_Anio,2))),N(INDEX(Cap_Amp,2)),N(INDEX(Cap_Ini,2)))))</f>
        <v>90000</v>
      </c>
      <c r="G13" s="48" t="n">
        <f aca="false">IF(cu_P=1,IF(INDEX(Prod_Nombre,2)="",0,IF(AND(N(INDEX(Cap_Anio,2))&gt;0,3&gt;=N(INDEX(Cap_Anio,2))),N(INDEX(Cap_Amp,2)),N(INDEX(Cap_Ini,2)))),IF(INDEX(Prod_Nombre,2)="",0,IF(AND(N(INDEX(Cap_Anio,2))&gt;0,3&gt;=N(INDEX(Cap_Anio,2))),N(INDEX(Cap_Amp,2)),N(INDEX(Cap_Ini,2)))))</f>
        <v>121000</v>
      </c>
      <c r="H13" s="48" t="n">
        <f aca="false">IF(cu_P=1,IF(INDEX(Prod_Nombre,2)="",0,IF(AND(N(INDEX(Cap_Anio,2))&gt;0,4&gt;=N(INDEX(Cap_Anio,2))),N(INDEX(Cap_Amp,2)),N(INDEX(Cap_Ini,2)))),IF(INDEX(Prod_Nombre,2)="",0,IF(AND(N(INDEX(Cap_Anio,2))&gt;0,4&gt;=N(INDEX(Cap_Anio,2))),N(INDEX(Cap_Amp,2)),N(INDEX(Cap_Ini,2)))))</f>
        <v>121000</v>
      </c>
      <c r="I13" s="48" t="n">
        <f aca="false">IF(cu_P=1,IF(INDEX(Prod_Nombre,2)="",0,IF(AND(N(INDEX(Cap_Anio,2))&gt;0,5&gt;=N(INDEX(Cap_Anio,2))),N(INDEX(Cap_Amp,2)),N(INDEX(Cap_Ini,2)))),IF(INDEX(Prod_Nombre,2)="",0,IF(AND(N(INDEX(Cap_Anio,2))&gt;0,5&gt;=N(INDEX(Cap_Anio,2))),N(INDEX(Cap_Amp,2)),N(INDEX(Cap_Ini,2)))))</f>
        <v>121000</v>
      </c>
      <c r="J13" s="48" t="n">
        <f aca="false">IF(cu_P=1,IF(INDEX(Prod_Nombre,2)="",0,IF(AND(N(INDEX(Cap_Anio,2))&gt;0,6&gt;=N(INDEX(Cap_Anio,2))),N(INDEX(Cap_Amp,2)),N(INDEX(Cap_Ini,2)))),IF(INDEX(Prod_Nombre,2)="",0,IF(AND(N(INDEX(Cap_Anio,2))&gt;0,6&gt;=N(INDEX(Cap_Anio,2))),N(INDEX(Cap_Amp,2)),N(INDEX(Cap_Ini,2)))))</f>
        <v>121000</v>
      </c>
      <c r="K13" s="48" t="n">
        <f aca="false">IF(cu_P=1,IF(INDEX(Prod_Nombre,2)="",0,IF(AND(N(INDEX(Cap_Anio,2))&gt;0,7&gt;=N(INDEX(Cap_Anio,2))),N(INDEX(Cap_Amp,2)),N(INDEX(Cap_Ini,2)))),IF(INDEX(Prod_Nombre,2)="",0,IF(AND(N(INDEX(Cap_Anio,2))&gt;0,7&gt;=N(INDEX(Cap_Anio,2))),N(INDEX(Cap_Amp,2)),N(INDEX(Cap_Ini,2)))))</f>
        <v>121000</v>
      </c>
      <c r="L13" s="48" t="n">
        <f aca="false">IF(cu_P=1,IF(INDEX(Prod_Nombre,2)="",0,IF(AND(N(INDEX(Cap_Anio,2))&gt;0,8&gt;=N(INDEX(Cap_Anio,2))),N(INDEX(Cap_Amp,2)),N(INDEX(Cap_Ini,2)))),IF(INDEX(Prod_Nombre,2)="",0,IF(AND(N(INDEX(Cap_Anio,2))&gt;0,8&gt;=N(INDEX(Cap_Anio,2))),N(INDEX(Cap_Amp,2)),N(INDEX(Cap_Ini,2)))))</f>
        <v>121000</v>
      </c>
      <c r="M13" s="48" t="n">
        <f aca="false">IF(cu_P=1,IF(INDEX(Prod_Nombre,2)="",0,IF(AND(N(INDEX(Cap_Anio,2))&gt;0,9&gt;=N(INDEX(Cap_Anio,2))),N(INDEX(Cap_Amp,2)),N(INDEX(Cap_Ini,2)))),IF(INDEX(Prod_Nombre,2)="",0,IF(AND(N(INDEX(Cap_Anio,2))&gt;0,9&gt;=N(INDEX(Cap_Anio,2))),N(INDEX(Cap_Amp,2)),N(INDEX(Cap_Ini,2)))))</f>
        <v>121000</v>
      </c>
      <c r="N13" s="48" t="n">
        <f aca="false">IF(cu_P=1,IF(INDEX(Prod_Nombre,2)="",0,IF(AND(N(INDEX(Cap_Anio,2))&gt;0,10&gt;=N(INDEX(Cap_Anio,2))),N(INDEX(Cap_Amp,2)),N(INDEX(Cap_Ini,2)))),IF(INDEX(Prod_Nombre,2)="",0,IF(AND(N(INDEX(Cap_Anio,2))&gt;0,10&gt;=N(INDEX(Cap_Anio,2))),N(INDEX(Cap_Amp,2)),N(INDEX(Cap_Ini,2)))))</f>
        <v>121000</v>
      </c>
    </row>
    <row r="14" customFormat="false" ht="15" hidden="false" customHeight="false" outlineLevel="0" collapsed="false">
      <c r="A14" s="11" t="s">
        <v>1868</v>
      </c>
      <c r="B14" s="15" t="s">
        <v>1860</v>
      </c>
      <c r="C14" s="11" t="s">
        <v>544</v>
      </c>
      <c r="D14" s="48" t="n">
        <f aca="false">IF(cu_P=1,SUMIFS(Calculo!$F$22:$ES$22,Calculo!$F$16:$ES$16,1)/(1-P_Merma),SUMIFS(Calculo!$F$178:$ES$178,Calculo!$F$172:$ES$172,1)/(1-V_Merma))</f>
        <v>0</v>
      </c>
      <c r="E14" s="48" t="n">
        <f aca="false">IF(cu_P=1,SUMIFS(Calculo!$F$22:$ES$22,Calculo!$F$14:$ES$14,1)/(1-P_Merma),SUMIFS(Calculo!$F$178:$ES$178,Calculo!$F$170:$ES$170,1)/(1-V_Merma))</f>
        <v>70000</v>
      </c>
      <c r="F14" s="48" t="n">
        <f aca="false">IF(cu_P=1,SUMIFS(Calculo!$F$22:$ES$22,Calculo!$F$14:$ES$14,2)/(1-P_Merma),SUMIFS(Calculo!$F$178:$ES$178,Calculo!$F$170:$ES$170,2)/(1-V_Merma))</f>
        <v>90000</v>
      </c>
      <c r="G14" s="48" t="n">
        <f aca="false">IF(cu_P=1,SUMIFS(Calculo!$F$22:$ES$22,Calculo!$F$14:$ES$14,3)/(1-P_Merma),SUMIFS(Calculo!$F$178:$ES$178,Calculo!$F$170:$ES$170,3)/(1-V_Merma))</f>
        <v>110000</v>
      </c>
      <c r="H14" s="48" t="n">
        <f aca="false">IF(cu_P=1,SUMIFS(Calculo!$F$22:$ES$22,Calculo!$F$14:$ES$14,4)/(1-P_Merma),SUMIFS(Calculo!$F$178:$ES$178,Calculo!$F$170:$ES$170,4)/(1-V_Merma))</f>
        <v>120000</v>
      </c>
      <c r="I14" s="48" t="n">
        <f aca="false">IF(cu_P=1,SUMIFS(Calculo!$F$22:$ES$22,Calculo!$F$14:$ES$14,5)/(1-P_Merma),SUMIFS(Calculo!$F$178:$ES$178,Calculo!$F$170:$ES$170,5)/(1-V_Merma))</f>
        <v>120000</v>
      </c>
      <c r="J14" s="48" t="n">
        <f aca="false">IF(cu_P=1,SUMIFS(Calculo!$F$22:$ES$22,Calculo!$F$14:$ES$14,6)/(1-P_Merma),SUMIFS(Calculo!$F$178:$ES$178,Calculo!$F$170:$ES$170,6)/(1-V_Merma))</f>
        <v>120000</v>
      </c>
      <c r="K14" s="48" t="n">
        <f aca="false">IF(cu_P=1,SUMIFS(Calculo!$F$22:$ES$22,Calculo!$F$14:$ES$14,7)/(1-P_Merma),SUMIFS(Calculo!$F$178:$ES$178,Calculo!$F$170:$ES$170,7)/(1-V_Merma))</f>
        <v>120000</v>
      </c>
      <c r="L14" s="48" t="n">
        <f aca="false">IF(cu_P=1,SUMIFS(Calculo!$F$22:$ES$22,Calculo!$F$14:$ES$14,8)/(1-P_Merma),SUMIFS(Calculo!$F$178:$ES$178,Calculo!$F$170:$ES$170,8)/(1-V_Merma))</f>
        <v>120000</v>
      </c>
      <c r="M14" s="48" t="n">
        <f aca="false">IF(cu_P=1,SUMIFS(Calculo!$F$22:$ES$22,Calculo!$F$14:$ES$14,9)/(1-P_Merma),SUMIFS(Calculo!$F$178:$ES$178,Calculo!$F$170:$ES$170,9)/(1-V_Merma))</f>
        <v>120000</v>
      </c>
      <c r="N14" s="48" t="n">
        <f aca="false">IF(cu_P=1,SUMIFS(Calculo!$F$22:$ES$22,Calculo!$F$14:$ES$14,10)/(1-P_Merma),SUMIFS(Calculo!$F$178:$ES$178,Calculo!$F$170:$ES$170,10)/(1-V_Merma))</f>
        <v>120000</v>
      </c>
      <c r="O14" s="54" t="n">
        <f aca="false">SUM(D14:N14)</f>
        <v>1110000</v>
      </c>
    </row>
    <row r="15" customFormat="false" ht="15" hidden="false" customHeight="false" outlineLevel="0" collapsed="false">
      <c r="A15" s="11" t="s">
        <v>1869</v>
      </c>
      <c r="B15" s="15" t="s">
        <v>1862</v>
      </c>
      <c r="C15" s="11" t="s">
        <v>544</v>
      </c>
      <c r="D15" s="48" t="n">
        <f aca="false">IF(cu_P=1,SUMIFS(Calculo!$F$22:$ES$22,Calculo!$F$16:$ES$16,1),SUMIFS(Calculo!$F$178:$ES$178,Calculo!$F$172:$ES$172,1))</f>
        <v>0</v>
      </c>
      <c r="E15" s="48" t="n">
        <f aca="false">IF(cu_P=1,SUMIFS(Calculo!$F$22:$ES$22,Calculo!$F$14:$ES$14,1),SUMIFS(Calculo!$F$178:$ES$178,Calculo!$F$170:$ES$170,1))</f>
        <v>70000</v>
      </c>
      <c r="F15" s="48" t="n">
        <f aca="false">IF(cu_P=1,SUMIFS(Calculo!$F$22:$ES$22,Calculo!$F$14:$ES$14,2),SUMIFS(Calculo!$F$178:$ES$178,Calculo!$F$170:$ES$170,2))</f>
        <v>90000</v>
      </c>
      <c r="G15" s="48" t="n">
        <f aca="false">IF(cu_P=1,SUMIFS(Calculo!$F$22:$ES$22,Calculo!$F$14:$ES$14,3),SUMIFS(Calculo!$F$178:$ES$178,Calculo!$F$170:$ES$170,3))</f>
        <v>110000</v>
      </c>
      <c r="H15" s="48" t="n">
        <f aca="false">IF(cu_P=1,SUMIFS(Calculo!$F$22:$ES$22,Calculo!$F$14:$ES$14,4),SUMIFS(Calculo!$F$178:$ES$178,Calculo!$F$170:$ES$170,4))</f>
        <v>120000</v>
      </c>
      <c r="I15" s="48" t="n">
        <f aca="false">IF(cu_P=1,SUMIFS(Calculo!$F$22:$ES$22,Calculo!$F$14:$ES$14,5),SUMIFS(Calculo!$F$178:$ES$178,Calculo!$F$170:$ES$170,5))</f>
        <v>120000</v>
      </c>
      <c r="J15" s="48" t="n">
        <f aca="false">IF(cu_P=1,SUMIFS(Calculo!$F$22:$ES$22,Calculo!$F$14:$ES$14,6),SUMIFS(Calculo!$F$178:$ES$178,Calculo!$F$170:$ES$170,6))</f>
        <v>120000</v>
      </c>
      <c r="K15" s="48" t="n">
        <f aca="false">IF(cu_P=1,SUMIFS(Calculo!$F$22:$ES$22,Calculo!$F$14:$ES$14,7),SUMIFS(Calculo!$F$178:$ES$178,Calculo!$F$170:$ES$170,7))</f>
        <v>120000</v>
      </c>
      <c r="L15" s="48" t="n">
        <f aca="false">IF(cu_P=1,SUMIFS(Calculo!$F$22:$ES$22,Calculo!$F$14:$ES$14,8),SUMIFS(Calculo!$F$178:$ES$178,Calculo!$F$170:$ES$170,8))</f>
        <v>120000</v>
      </c>
      <c r="M15" s="48" t="n">
        <f aca="false">IF(cu_P=1,SUMIFS(Calculo!$F$22:$ES$22,Calculo!$F$14:$ES$14,9),SUMIFS(Calculo!$F$178:$ES$178,Calculo!$F$170:$ES$170,9))</f>
        <v>120000</v>
      </c>
      <c r="N15" s="48" t="n">
        <f aca="false">IF(cu_P=1,SUMIFS(Calculo!$F$22:$ES$22,Calculo!$F$14:$ES$14,10),SUMIFS(Calculo!$F$178:$ES$178,Calculo!$F$170:$ES$170,10))</f>
        <v>120000</v>
      </c>
      <c r="O15" s="54" t="n">
        <f aca="false">SUM(D15:N15)</f>
        <v>1110000</v>
      </c>
    </row>
    <row r="16" customFormat="false" ht="15" hidden="false" customHeight="false" outlineLevel="0" collapsed="false">
      <c r="A16" s="11" t="s">
        <v>1870</v>
      </c>
      <c r="B16" s="15" t="s">
        <v>1864</v>
      </c>
      <c r="C16" s="11" t="s">
        <v>367</v>
      </c>
      <c r="E16" s="49" t="n">
        <f aca="false">IFERROR(IF(OR(NOT(ISNUMBER(E14)),N(E13)=0),"",E14/E13),"")</f>
        <v>0.777777777777778</v>
      </c>
      <c r="F16" s="49" t="n">
        <f aca="false">IFERROR(IF(OR(NOT(ISNUMBER(F14)),N(F13)=0),"",F14/F13),"")</f>
        <v>1</v>
      </c>
      <c r="G16" s="49" t="n">
        <f aca="false">IFERROR(IF(OR(NOT(ISNUMBER(G14)),N(G13)=0),"",G14/G13),"")</f>
        <v>0.909090909090909</v>
      </c>
      <c r="H16" s="49" t="n">
        <f aca="false">IFERROR(IF(OR(NOT(ISNUMBER(H14)),N(H13)=0),"",H14/H13),"")</f>
        <v>0.991735537190083</v>
      </c>
      <c r="I16" s="49" t="n">
        <f aca="false">IFERROR(IF(OR(NOT(ISNUMBER(I14)),N(I13)=0),"",I14/I13),"")</f>
        <v>0.991735537190083</v>
      </c>
      <c r="J16" s="49" t="n">
        <f aca="false">IFERROR(IF(OR(NOT(ISNUMBER(J14)),N(J13)=0),"",J14/J13),"")</f>
        <v>0.991735537190083</v>
      </c>
      <c r="K16" s="49" t="n">
        <f aca="false">IFERROR(IF(OR(NOT(ISNUMBER(K14)),N(K13)=0),"",K14/K13),"")</f>
        <v>0.991735537190083</v>
      </c>
      <c r="L16" s="49" t="n">
        <f aca="false">IFERROR(IF(OR(NOT(ISNUMBER(L14)),N(L13)=0),"",L14/L13),"")</f>
        <v>0.991735537190083</v>
      </c>
      <c r="M16" s="49" t="n">
        <f aca="false">IFERROR(IF(OR(NOT(ISNUMBER(M14)),N(M13)=0),"",M14/M13),"")</f>
        <v>0.991735537190083</v>
      </c>
      <c r="N16" s="49" t="n">
        <f aca="false">IFERROR(IF(OR(NOT(ISNUMBER(N14)),N(N13)=0),"",N14/N13),"")</f>
        <v>0.991735537190083</v>
      </c>
    </row>
    <row r="17" customFormat="false" ht="15" hidden="false" customHeight="false" outlineLevel="0" collapsed="false">
      <c r="A17" s="11" t="s">
        <v>1871</v>
      </c>
      <c r="B17" s="15" t="s">
        <v>1866</v>
      </c>
      <c r="C17" s="11" t="s">
        <v>367</v>
      </c>
      <c r="E17" s="49" t="n">
        <f aca="false">IFERROR(IF(OR(NOT(ISNUMBER(E15)),N(E14)=0),"",E15/E14),"")</f>
        <v>1</v>
      </c>
      <c r="F17" s="49" t="n">
        <f aca="false">IFERROR(IF(OR(NOT(ISNUMBER(F15)),N(F14)=0),"",F15/F14),"")</f>
        <v>1</v>
      </c>
      <c r="G17" s="49" t="n">
        <f aca="false">IFERROR(IF(OR(NOT(ISNUMBER(G15)),N(G14)=0),"",G15/G14),"")</f>
        <v>1</v>
      </c>
      <c r="H17" s="49" t="n">
        <f aca="false">IFERROR(IF(OR(NOT(ISNUMBER(H15)),N(H14)=0),"",H15/H14),"")</f>
        <v>1</v>
      </c>
      <c r="I17" s="49" t="n">
        <f aca="false">IFERROR(IF(OR(NOT(ISNUMBER(I15)),N(I14)=0),"",I15/I14),"")</f>
        <v>1</v>
      </c>
      <c r="J17" s="49" t="n">
        <f aca="false">IFERROR(IF(OR(NOT(ISNUMBER(J15)),N(J14)=0),"",J15/J14),"")</f>
        <v>1</v>
      </c>
      <c r="K17" s="49" t="n">
        <f aca="false">IFERROR(IF(OR(NOT(ISNUMBER(K15)),N(K14)=0),"",K15/K14),"")</f>
        <v>1</v>
      </c>
      <c r="L17" s="49" t="n">
        <f aca="false">IFERROR(IF(OR(NOT(ISNUMBER(L15)),N(L14)=0),"",L15/L14),"")</f>
        <v>1</v>
      </c>
      <c r="M17" s="49" t="n">
        <f aca="false">IFERROR(IF(OR(NOT(ISNUMBER(M15)),N(M14)=0),"",M15/M14),"")</f>
        <v>1</v>
      </c>
      <c r="N17" s="49" t="n">
        <f aca="false">IFERROR(IF(OR(NOT(ISNUMBER(N15)),N(N14)=0),"",N15/N14),"")</f>
        <v>1</v>
      </c>
      <c r="O17" s="99" t="n">
        <f aca="false">IFERROR(IF(OR(NOT(ISNUMBER(O15)),N(O14)=0),"",O15/O14),"")</f>
        <v>1</v>
      </c>
    </row>
    <row r="18" customFormat="false" ht="15" hidden="true" customHeight="false" outlineLevel="1" collapsed="false">
      <c r="A18" s="11" t="s">
        <v>1872</v>
      </c>
      <c r="B18" s="53" t="str">
        <f aca="false">IF(INDEX(Prod_Nombre,3)="","Producto 3",INDEX(Prod_Nombre,3))&amp;" — capacidad instalada"</f>
        <v>Producto 3 — capacidad instalada</v>
      </c>
      <c r="C18" s="11" t="s">
        <v>544</v>
      </c>
      <c r="E18" s="48" t="n">
        <f aca="false">IF(cu_P=1,IF(INDEX(Prod_Nombre,3)="",0,IF(AND(N(INDEX(Cap_Anio,3))&gt;0,1&gt;=N(INDEX(Cap_Anio,3))),N(INDEX(Cap_Amp,3)),N(INDEX(Cap_Ini,3)))),IF(INDEX(Prod_Nombre,3)="",0,IF(AND(N(INDEX(Cap_Anio,3))&gt;0,1&gt;=N(INDEX(Cap_Anio,3))),N(INDEX(Cap_Amp,3)),N(INDEX(Cap_Ini,3)))))</f>
        <v>0</v>
      </c>
      <c r="F18" s="48" t="n">
        <f aca="false">IF(cu_P=1,IF(INDEX(Prod_Nombre,3)="",0,IF(AND(N(INDEX(Cap_Anio,3))&gt;0,2&gt;=N(INDEX(Cap_Anio,3))),N(INDEX(Cap_Amp,3)),N(INDEX(Cap_Ini,3)))),IF(INDEX(Prod_Nombre,3)="",0,IF(AND(N(INDEX(Cap_Anio,3))&gt;0,2&gt;=N(INDEX(Cap_Anio,3))),N(INDEX(Cap_Amp,3)),N(INDEX(Cap_Ini,3)))))</f>
        <v>0</v>
      </c>
      <c r="G18" s="48" t="n">
        <f aca="false">IF(cu_P=1,IF(INDEX(Prod_Nombre,3)="",0,IF(AND(N(INDEX(Cap_Anio,3))&gt;0,3&gt;=N(INDEX(Cap_Anio,3))),N(INDEX(Cap_Amp,3)),N(INDEX(Cap_Ini,3)))),IF(INDEX(Prod_Nombre,3)="",0,IF(AND(N(INDEX(Cap_Anio,3))&gt;0,3&gt;=N(INDEX(Cap_Anio,3))),N(INDEX(Cap_Amp,3)),N(INDEX(Cap_Ini,3)))))</f>
        <v>0</v>
      </c>
      <c r="H18" s="48" t="n">
        <f aca="false">IF(cu_P=1,IF(INDEX(Prod_Nombre,3)="",0,IF(AND(N(INDEX(Cap_Anio,3))&gt;0,4&gt;=N(INDEX(Cap_Anio,3))),N(INDEX(Cap_Amp,3)),N(INDEX(Cap_Ini,3)))),IF(INDEX(Prod_Nombre,3)="",0,IF(AND(N(INDEX(Cap_Anio,3))&gt;0,4&gt;=N(INDEX(Cap_Anio,3))),N(INDEX(Cap_Amp,3)),N(INDEX(Cap_Ini,3)))))</f>
        <v>0</v>
      </c>
      <c r="I18" s="48" t="n">
        <f aca="false">IF(cu_P=1,IF(INDEX(Prod_Nombre,3)="",0,IF(AND(N(INDEX(Cap_Anio,3))&gt;0,5&gt;=N(INDEX(Cap_Anio,3))),N(INDEX(Cap_Amp,3)),N(INDEX(Cap_Ini,3)))),IF(INDEX(Prod_Nombre,3)="",0,IF(AND(N(INDEX(Cap_Anio,3))&gt;0,5&gt;=N(INDEX(Cap_Anio,3))),N(INDEX(Cap_Amp,3)),N(INDEX(Cap_Ini,3)))))</f>
        <v>0</v>
      </c>
      <c r="J18" s="48" t="n">
        <f aca="false">IF(cu_P=1,IF(INDEX(Prod_Nombre,3)="",0,IF(AND(N(INDEX(Cap_Anio,3))&gt;0,6&gt;=N(INDEX(Cap_Anio,3))),N(INDEX(Cap_Amp,3)),N(INDEX(Cap_Ini,3)))),IF(INDEX(Prod_Nombre,3)="",0,IF(AND(N(INDEX(Cap_Anio,3))&gt;0,6&gt;=N(INDEX(Cap_Anio,3))),N(INDEX(Cap_Amp,3)),N(INDEX(Cap_Ini,3)))))</f>
        <v>0</v>
      </c>
      <c r="K18" s="48" t="n">
        <f aca="false">IF(cu_P=1,IF(INDEX(Prod_Nombre,3)="",0,IF(AND(N(INDEX(Cap_Anio,3))&gt;0,7&gt;=N(INDEX(Cap_Anio,3))),N(INDEX(Cap_Amp,3)),N(INDEX(Cap_Ini,3)))),IF(INDEX(Prod_Nombre,3)="",0,IF(AND(N(INDEX(Cap_Anio,3))&gt;0,7&gt;=N(INDEX(Cap_Anio,3))),N(INDEX(Cap_Amp,3)),N(INDEX(Cap_Ini,3)))))</f>
        <v>0</v>
      </c>
      <c r="L18" s="48" t="n">
        <f aca="false">IF(cu_P=1,IF(INDEX(Prod_Nombre,3)="",0,IF(AND(N(INDEX(Cap_Anio,3))&gt;0,8&gt;=N(INDEX(Cap_Anio,3))),N(INDEX(Cap_Amp,3)),N(INDEX(Cap_Ini,3)))),IF(INDEX(Prod_Nombre,3)="",0,IF(AND(N(INDEX(Cap_Anio,3))&gt;0,8&gt;=N(INDEX(Cap_Anio,3))),N(INDEX(Cap_Amp,3)),N(INDEX(Cap_Ini,3)))))</f>
        <v>0</v>
      </c>
      <c r="M18" s="48" t="n">
        <f aca="false">IF(cu_P=1,IF(INDEX(Prod_Nombre,3)="",0,IF(AND(N(INDEX(Cap_Anio,3))&gt;0,9&gt;=N(INDEX(Cap_Anio,3))),N(INDEX(Cap_Amp,3)),N(INDEX(Cap_Ini,3)))),IF(INDEX(Prod_Nombre,3)="",0,IF(AND(N(INDEX(Cap_Anio,3))&gt;0,9&gt;=N(INDEX(Cap_Anio,3))),N(INDEX(Cap_Amp,3)),N(INDEX(Cap_Ini,3)))))</f>
        <v>0</v>
      </c>
      <c r="N18" s="48" t="n">
        <f aca="false">IF(cu_P=1,IF(INDEX(Prod_Nombre,3)="",0,IF(AND(N(INDEX(Cap_Anio,3))&gt;0,10&gt;=N(INDEX(Cap_Anio,3))),N(INDEX(Cap_Amp,3)),N(INDEX(Cap_Ini,3)))),IF(INDEX(Prod_Nombre,3)="",0,IF(AND(N(INDEX(Cap_Anio,3))&gt;0,10&gt;=N(INDEX(Cap_Anio,3))),N(INDEX(Cap_Amp,3)),N(INDEX(Cap_Ini,3)))))</f>
        <v>0</v>
      </c>
    </row>
    <row r="19" customFormat="false" ht="15" hidden="true" customHeight="false" outlineLevel="1" collapsed="false">
      <c r="A19" s="11" t="s">
        <v>1873</v>
      </c>
      <c r="B19" s="15" t="s">
        <v>1860</v>
      </c>
      <c r="C19" s="11" t="s">
        <v>544</v>
      </c>
      <c r="D19" s="48" t="n">
        <f aca="false">IF(cu_P=1,SUMIFS(Calculo!$F$23:$ES$23,Calculo!$F$16:$ES$16,1)/(1-P_Merma),SUMIFS(Calculo!$F$179:$ES$179,Calculo!$F$172:$ES$172,1)/(1-V_Merma))</f>
        <v>0</v>
      </c>
      <c r="E19" s="48" t="n">
        <f aca="false">IF(cu_P=1,SUMIFS(Calculo!$F$23:$ES$23,Calculo!$F$14:$ES$14,1)/(1-P_Merma),SUMIFS(Calculo!$F$179:$ES$179,Calculo!$F$170:$ES$170,1)/(1-V_Merma))</f>
        <v>0</v>
      </c>
      <c r="F19" s="48" t="n">
        <f aca="false">IF(cu_P=1,SUMIFS(Calculo!$F$23:$ES$23,Calculo!$F$14:$ES$14,2)/(1-P_Merma),SUMIFS(Calculo!$F$179:$ES$179,Calculo!$F$170:$ES$170,2)/(1-V_Merma))</f>
        <v>0</v>
      </c>
      <c r="G19" s="48" t="n">
        <f aca="false">IF(cu_P=1,SUMIFS(Calculo!$F$23:$ES$23,Calculo!$F$14:$ES$14,3)/(1-P_Merma),SUMIFS(Calculo!$F$179:$ES$179,Calculo!$F$170:$ES$170,3)/(1-V_Merma))</f>
        <v>0</v>
      </c>
      <c r="H19" s="48" t="n">
        <f aca="false">IF(cu_P=1,SUMIFS(Calculo!$F$23:$ES$23,Calculo!$F$14:$ES$14,4)/(1-P_Merma),SUMIFS(Calculo!$F$179:$ES$179,Calculo!$F$170:$ES$170,4)/(1-V_Merma))</f>
        <v>0</v>
      </c>
      <c r="I19" s="48" t="n">
        <f aca="false">IF(cu_P=1,SUMIFS(Calculo!$F$23:$ES$23,Calculo!$F$14:$ES$14,5)/(1-P_Merma),SUMIFS(Calculo!$F$179:$ES$179,Calculo!$F$170:$ES$170,5)/(1-V_Merma))</f>
        <v>0</v>
      </c>
      <c r="J19" s="48" t="n">
        <f aca="false">IF(cu_P=1,SUMIFS(Calculo!$F$23:$ES$23,Calculo!$F$14:$ES$14,6)/(1-P_Merma),SUMIFS(Calculo!$F$179:$ES$179,Calculo!$F$170:$ES$170,6)/(1-V_Merma))</f>
        <v>0</v>
      </c>
      <c r="K19" s="48" t="n">
        <f aca="false">IF(cu_P=1,SUMIFS(Calculo!$F$23:$ES$23,Calculo!$F$14:$ES$14,7)/(1-P_Merma),SUMIFS(Calculo!$F$179:$ES$179,Calculo!$F$170:$ES$170,7)/(1-V_Merma))</f>
        <v>0</v>
      </c>
      <c r="L19" s="48" t="n">
        <f aca="false">IF(cu_P=1,SUMIFS(Calculo!$F$23:$ES$23,Calculo!$F$14:$ES$14,8)/(1-P_Merma),SUMIFS(Calculo!$F$179:$ES$179,Calculo!$F$170:$ES$170,8)/(1-V_Merma))</f>
        <v>0</v>
      </c>
      <c r="M19" s="48" t="n">
        <f aca="false">IF(cu_P=1,SUMIFS(Calculo!$F$23:$ES$23,Calculo!$F$14:$ES$14,9)/(1-P_Merma),SUMIFS(Calculo!$F$179:$ES$179,Calculo!$F$170:$ES$170,9)/(1-V_Merma))</f>
        <v>0</v>
      </c>
      <c r="N19" s="48" t="n">
        <f aca="false">IF(cu_P=1,SUMIFS(Calculo!$F$23:$ES$23,Calculo!$F$14:$ES$14,10)/(1-P_Merma),SUMIFS(Calculo!$F$179:$ES$179,Calculo!$F$170:$ES$170,10)/(1-V_Merma))</f>
        <v>0</v>
      </c>
      <c r="O19" s="54" t="n">
        <f aca="false">SUM(D19:N19)</f>
        <v>0</v>
      </c>
    </row>
    <row r="20" customFormat="false" ht="15" hidden="true" customHeight="false" outlineLevel="1" collapsed="false">
      <c r="A20" s="11" t="s">
        <v>1874</v>
      </c>
      <c r="B20" s="15" t="s">
        <v>1862</v>
      </c>
      <c r="C20" s="11" t="s">
        <v>544</v>
      </c>
      <c r="D20" s="48" t="n">
        <f aca="false">IF(cu_P=1,SUMIFS(Calculo!$F$23:$ES$23,Calculo!$F$16:$ES$16,1),SUMIFS(Calculo!$F$179:$ES$179,Calculo!$F$172:$ES$172,1))</f>
        <v>0</v>
      </c>
      <c r="E20" s="48" t="n">
        <f aca="false">IF(cu_P=1,SUMIFS(Calculo!$F$23:$ES$23,Calculo!$F$14:$ES$14,1),SUMIFS(Calculo!$F$179:$ES$179,Calculo!$F$170:$ES$170,1))</f>
        <v>0</v>
      </c>
      <c r="F20" s="48" t="n">
        <f aca="false">IF(cu_P=1,SUMIFS(Calculo!$F$23:$ES$23,Calculo!$F$14:$ES$14,2),SUMIFS(Calculo!$F$179:$ES$179,Calculo!$F$170:$ES$170,2))</f>
        <v>0</v>
      </c>
      <c r="G20" s="48" t="n">
        <f aca="false">IF(cu_P=1,SUMIFS(Calculo!$F$23:$ES$23,Calculo!$F$14:$ES$14,3),SUMIFS(Calculo!$F$179:$ES$179,Calculo!$F$170:$ES$170,3))</f>
        <v>0</v>
      </c>
      <c r="H20" s="48" t="n">
        <f aca="false">IF(cu_P=1,SUMIFS(Calculo!$F$23:$ES$23,Calculo!$F$14:$ES$14,4),SUMIFS(Calculo!$F$179:$ES$179,Calculo!$F$170:$ES$170,4))</f>
        <v>0</v>
      </c>
      <c r="I20" s="48" t="n">
        <f aca="false">IF(cu_P=1,SUMIFS(Calculo!$F$23:$ES$23,Calculo!$F$14:$ES$14,5),SUMIFS(Calculo!$F$179:$ES$179,Calculo!$F$170:$ES$170,5))</f>
        <v>0</v>
      </c>
      <c r="J20" s="48" t="n">
        <f aca="false">IF(cu_P=1,SUMIFS(Calculo!$F$23:$ES$23,Calculo!$F$14:$ES$14,6),SUMIFS(Calculo!$F$179:$ES$179,Calculo!$F$170:$ES$170,6))</f>
        <v>0</v>
      </c>
      <c r="K20" s="48" t="n">
        <f aca="false">IF(cu_P=1,SUMIFS(Calculo!$F$23:$ES$23,Calculo!$F$14:$ES$14,7),SUMIFS(Calculo!$F$179:$ES$179,Calculo!$F$170:$ES$170,7))</f>
        <v>0</v>
      </c>
      <c r="L20" s="48" t="n">
        <f aca="false">IF(cu_P=1,SUMIFS(Calculo!$F$23:$ES$23,Calculo!$F$14:$ES$14,8),SUMIFS(Calculo!$F$179:$ES$179,Calculo!$F$170:$ES$170,8))</f>
        <v>0</v>
      </c>
      <c r="M20" s="48" t="n">
        <f aca="false">IF(cu_P=1,SUMIFS(Calculo!$F$23:$ES$23,Calculo!$F$14:$ES$14,9),SUMIFS(Calculo!$F$179:$ES$179,Calculo!$F$170:$ES$170,9))</f>
        <v>0</v>
      </c>
      <c r="N20" s="48" t="n">
        <f aca="false">IF(cu_P=1,SUMIFS(Calculo!$F$23:$ES$23,Calculo!$F$14:$ES$14,10),SUMIFS(Calculo!$F$179:$ES$179,Calculo!$F$170:$ES$170,10))</f>
        <v>0</v>
      </c>
      <c r="O20" s="54" t="n">
        <f aca="false">SUM(D20:N20)</f>
        <v>0</v>
      </c>
    </row>
    <row r="21" customFormat="false" ht="15" hidden="true" customHeight="false" outlineLevel="1" collapsed="false">
      <c r="A21" s="11" t="s">
        <v>1875</v>
      </c>
      <c r="B21" s="15" t="s">
        <v>1864</v>
      </c>
      <c r="C21" s="11" t="s">
        <v>367</v>
      </c>
      <c r="E21" s="49" t="str">
        <f aca="false">IFERROR(IF(OR(NOT(ISNUMBER(E19)),N(E18)=0),"",E19/E18),"")</f>
        <v/>
      </c>
      <c r="F21" s="49" t="str">
        <f aca="false">IFERROR(IF(OR(NOT(ISNUMBER(F19)),N(F18)=0),"",F19/F18),"")</f>
        <v/>
      </c>
      <c r="G21" s="49" t="str">
        <f aca="false">IFERROR(IF(OR(NOT(ISNUMBER(G19)),N(G18)=0),"",G19/G18),"")</f>
        <v/>
      </c>
      <c r="H21" s="49" t="str">
        <f aca="false">IFERROR(IF(OR(NOT(ISNUMBER(H19)),N(H18)=0),"",H19/H18),"")</f>
        <v/>
      </c>
      <c r="I21" s="49" t="str">
        <f aca="false">IFERROR(IF(OR(NOT(ISNUMBER(I19)),N(I18)=0),"",I19/I18),"")</f>
        <v/>
      </c>
      <c r="J21" s="49" t="str">
        <f aca="false">IFERROR(IF(OR(NOT(ISNUMBER(J19)),N(J18)=0),"",J19/J18),"")</f>
        <v/>
      </c>
      <c r="K21" s="49" t="str">
        <f aca="false">IFERROR(IF(OR(NOT(ISNUMBER(K19)),N(K18)=0),"",K19/K18),"")</f>
        <v/>
      </c>
      <c r="L21" s="49" t="str">
        <f aca="false">IFERROR(IF(OR(NOT(ISNUMBER(L19)),N(L18)=0),"",L19/L18),"")</f>
        <v/>
      </c>
      <c r="M21" s="49" t="str">
        <f aca="false">IFERROR(IF(OR(NOT(ISNUMBER(M19)),N(M18)=0),"",M19/M18),"")</f>
        <v/>
      </c>
      <c r="N21" s="49" t="str">
        <f aca="false">IFERROR(IF(OR(NOT(ISNUMBER(N19)),N(N18)=0),"",N19/N18),"")</f>
        <v/>
      </c>
    </row>
    <row r="22" customFormat="false" ht="15" hidden="true" customHeight="false" outlineLevel="1" collapsed="false">
      <c r="A22" s="11" t="s">
        <v>1876</v>
      </c>
      <c r="B22" s="15" t="s">
        <v>1866</v>
      </c>
      <c r="C22" s="11" t="s">
        <v>367</v>
      </c>
      <c r="E22" s="49" t="str">
        <f aca="false">IFERROR(IF(OR(NOT(ISNUMBER(E20)),N(E19)=0),"",E20/E19),"")</f>
        <v/>
      </c>
      <c r="F22" s="49" t="str">
        <f aca="false">IFERROR(IF(OR(NOT(ISNUMBER(F20)),N(F19)=0),"",F20/F19),"")</f>
        <v/>
      </c>
      <c r="G22" s="49" t="str">
        <f aca="false">IFERROR(IF(OR(NOT(ISNUMBER(G20)),N(G19)=0),"",G20/G19),"")</f>
        <v/>
      </c>
      <c r="H22" s="49" t="str">
        <f aca="false">IFERROR(IF(OR(NOT(ISNUMBER(H20)),N(H19)=0),"",H20/H19),"")</f>
        <v/>
      </c>
      <c r="I22" s="49" t="str">
        <f aca="false">IFERROR(IF(OR(NOT(ISNUMBER(I20)),N(I19)=0),"",I20/I19),"")</f>
        <v/>
      </c>
      <c r="J22" s="49" t="str">
        <f aca="false">IFERROR(IF(OR(NOT(ISNUMBER(J20)),N(J19)=0),"",J20/J19),"")</f>
        <v/>
      </c>
      <c r="K22" s="49" t="str">
        <f aca="false">IFERROR(IF(OR(NOT(ISNUMBER(K20)),N(K19)=0),"",K20/K19),"")</f>
        <v/>
      </c>
      <c r="L22" s="49" t="str">
        <f aca="false">IFERROR(IF(OR(NOT(ISNUMBER(L20)),N(L19)=0),"",L20/L19),"")</f>
        <v/>
      </c>
      <c r="M22" s="49" t="str">
        <f aca="false">IFERROR(IF(OR(NOT(ISNUMBER(M20)),N(M19)=0),"",M20/M19),"")</f>
        <v/>
      </c>
      <c r="N22" s="49" t="str">
        <f aca="false">IFERROR(IF(OR(NOT(ISNUMBER(N20)),N(N19)=0),"",N20/N19),"")</f>
        <v/>
      </c>
      <c r="O22" s="99" t="str">
        <f aca="false">IFERROR(IF(OR(NOT(ISNUMBER(O20)),N(O19)=0),"",O20/O19),"")</f>
        <v/>
      </c>
    </row>
    <row r="23" customFormat="false" ht="15" hidden="true" customHeight="false" outlineLevel="1" collapsed="false">
      <c r="A23" s="11" t="s">
        <v>1877</v>
      </c>
      <c r="B23" s="53" t="str">
        <f aca="false">IF(INDEX(Prod_Nombre,4)="","Producto 4",INDEX(Prod_Nombre,4))&amp;" — capacidad instalada"</f>
        <v>Producto 4 — capacidad instalada</v>
      </c>
      <c r="C23" s="11" t="s">
        <v>544</v>
      </c>
      <c r="E23" s="48" t="n">
        <f aca="false">IF(cu_P=1,IF(INDEX(Prod_Nombre,4)="",0,IF(AND(N(INDEX(Cap_Anio,4))&gt;0,1&gt;=N(INDEX(Cap_Anio,4))),N(INDEX(Cap_Amp,4)),N(INDEX(Cap_Ini,4)))),IF(INDEX(Prod_Nombre,4)="",0,IF(AND(N(INDEX(Cap_Anio,4))&gt;0,1&gt;=N(INDEX(Cap_Anio,4))),N(INDEX(Cap_Amp,4)),N(INDEX(Cap_Ini,4)))))</f>
        <v>0</v>
      </c>
      <c r="F23" s="48" t="n">
        <f aca="false">IF(cu_P=1,IF(INDEX(Prod_Nombre,4)="",0,IF(AND(N(INDEX(Cap_Anio,4))&gt;0,2&gt;=N(INDEX(Cap_Anio,4))),N(INDEX(Cap_Amp,4)),N(INDEX(Cap_Ini,4)))),IF(INDEX(Prod_Nombre,4)="",0,IF(AND(N(INDEX(Cap_Anio,4))&gt;0,2&gt;=N(INDEX(Cap_Anio,4))),N(INDEX(Cap_Amp,4)),N(INDEX(Cap_Ini,4)))))</f>
        <v>0</v>
      </c>
      <c r="G23" s="48" t="n">
        <f aca="false">IF(cu_P=1,IF(INDEX(Prod_Nombre,4)="",0,IF(AND(N(INDEX(Cap_Anio,4))&gt;0,3&gt;=N(INDEX(Cap_Anio,4))),N(INDEX(Cap_Amp,4)),N(INDEX(Cap_Ini,4)))),IF(INDEX(Prod_Nombre,4)="",0,IF(AND(N(INDEX(Cap_Anio,4))&gt;0,3&gt;=N(INDEX(Cap_Anio,4))),N(INDEX(Cap_Amp,4)),N(INDEX(Cap_Ini,4)))))</f>
        <v>0</v>
      </c>
      <c r="H23" s="48" t="n">
        <f aca="false">IF(cu_P=1,IF(INDEX(Prod_Nombre,4)="",0,IF(AND(N(INDEX(Cap_Anio,4))&gt;0,4&gt;=N(INDEX(Cap_Anio,4))),N(INDEX(Cap_Amp,4)),N(INDEX(Cap_Ini,4)))),IF(INDEX(Prod_Nombre,4)="",0,IF(AND(N(INDEX(Cap_Anio,4))&gt;0,4&gt;=N(INDEX(Cap_Anio,4))),N(INDEX(Cap_Amp,4)),N(INDEX(Cap_Ini,4)))))</f>
        <v>0</v>
      </c>
      <c r="I23" s="48" t="n">
        <f aca="false">IF(cu_P=1,IF(INDEX(Prod_Nombre,4)="",0,IF(AND(N(INDEX(Cap_Anio,4))&gt;0,5&gt;=N(INDEX(Cap_Anio,4))),N(INDEX(Cap_Amp,4)),N(INDEX(Cap_Ini,4)))),IF(INDEX(Prod_Nombre,4)="",0,IF(AND(N(INDEX(Cap_Anio,4))&gt;0,5&gt;=N(INDEX(Cap_Anio,4))),N(INDEX(Cap_Amp,4)),N(INDEX(Cap_Ini,4)))))</f>
        <v>0</v>
      </c>
      <c r="J23" s="48" t="n">
        <f aca="false">IF(cu_P=1,IF(INDEX(Prod_Nombre,4)="",0,IF(AND(N(INDEX(Cap_Anio,4))&gt;0,6&gt;=N(INDEX(Cap_Anio,4))),N(INDEX(Cap_Amp,4)),N(INDEX(Cap_Ini,4)))),IF(INDEX(Prod_Nombre,4)="",0,IF(AND(N(INDEX(Cap_Anio,4))&gt;0,6&gt;=N(INDEX(Cap_Anio,4))),N(INDEX(Cap_Amp,4)),N(INDEX(Cap_Ini,4)))))</f>
        <v>0</v>
      </c>
      <c r="K23" s="48" t="n">
        <f aca="false">IF(cu_P=1,IF(INDEX(Prod_Nombre,4)="",0,IF(AND(N(INDEX(Cap_Anio,4))&gt;0,7&gt;=N(INDEX(Cap_Anio,4))),N(INDEX(Cap_Amp,4)),N(INDEX(Cap_Ini,4)))),IF(INDEX(Prod_Nombre,4)="",0,IF(AND(N(INDEX(Cap_Anio,4))&gt;0,7&gt;=N(INDEX(Cap_Anio,4))),N(INDEX(Cap_Amp,4)),N(INDEX(Cap_Ini,4)))))</f>
        <v>0</v>
      </c>
      <c r="L23" s="48" t="n">
        <f aca="false">IF(cu_P=1,IF(INDEX(Prod_Nombre,4)="",0,IF(AND(N(INDEX(Cap_Anio,4))&gt;0,8&gt;=N(INDEX(Cap_Anio,4))),N(INDEX(Cap_Amp,4)),N(INDEX(Cap_Ini,4)))),IF(INDEX(Prod_Nombre,4)="",0,IF(AND(N(INDEX(Cap_Anio,4))&gt;0,8&gt;=N(INDEX(Cap_Anio,4))),N(INDEX(Cap_Amp,4)),N(INDEX(Cap_Ini,4)))))</f>
        <v>0</v>
      </c>
      <c r="M23" s="48" t="n">
        <f aca="false">IF(cu_P=1,IF(INDEX(Prod_Nombre,4)="",0,IF(AND(N(INDEX(Cap_Anio,4))&gt;0,9&gt;=N(INDEX(Cap_Anio,4))),N(INDEX(Cap_Amp,4)),N(INDEX(Cap_Ini,4)))),IF(INDEX(Prod_Nombre,4)="",0,IF(AND(N(INDEX(Cap_Anio,4))&gt;0,9&gt;=N(INDEX(Cap_Anio,4))),N(INDEX(Cap_Amp,4)),N(INDEX(Cap_Ini,4)))))</f>
        <v>0</v>
      </c>
      <c r="N23" s="48" t="n">
        <f aca="false">IF(cu_P=1,IF(INDEX(Prod_Nombre,4)="",0,IF(AND(N(INDEX(Cap_Anio,4))&gt;0,10&gt;=N(INDEX(Cap_Anio,4))),N(INDEX(Cap_Amp,4)),N(INDEX(Cap_Ini,4)))),IF(INDEX(Prod_Nombre,4)="",0,IF(AND(N(INDEX(Cap_Anio,4))&gt;0,10&gt;=N(INDEX(Cap_Anio,4))),N(INDEX(Cap_Amp,4)),N(INDEX(Cap_Ini,4)))))</f>
        <v>0</v>
      </c>
    </row>
    <row r="24" customFormat="false" ht="15" hidden="true" customHeight="false" outlineLevel="1" collapsed="false">
      <c r="A24" s="11" t="s">
        <v>1878</v>
      </c>
      <c r="B24" s="15" t="s">
        <v>1860</v>
      </c>
      <c r="C24" s="11" t="s">
        <v>544</v>
      </c>
      <c r="D24" s="48" t="n">
        <f aca="false">IF(cu_P=1,SUMIFS(Calculo!$F$24:$ES$24,Calculo!$F$16:$ES$16,1)/(1-P_Merma),SUMIFS(Calculo!$F$180:$ES$180,Calculo!$F$172:$ES$172,1)/(1-V_Merma))</f>
        <v>0</v>
      </c>
      <c r="E24" s="48" t="n">
        <f aca="false">IF(cu_P=1,SUMIFS(Calculo!$F$24:$ES$24,Calculo!$F$14:$ES$14,1)/(1-P_Merma),SUMIFS(Calculo!$F$180:$ES$180,Calculo!$F$170:$ES$170,1)/(1-V_Merma))</f>
        <v>0</v>
      </c>
      <c r="F24" s="48" t="n">
        <f aca="false">IF(cu_P=1,SUMIFS(Calculo!$F$24:$ES$24,Calculo!$F$14:$ES$14,2)/(1-P_Merma),SUMIFS(Calculo!$F$180:$ES$180,Calculo!$F$170:$ES$170,2)/(1-V_Merma))</f>
        <v>0</v>
      </c>
      <c r="G24" s="48" t="n">
        <f aca="false">IF(cu_P=1,SUMIFS(Calculo!$F$24:$ES$24,Calculo!$F$14:$ES$14,3)/(1-P_Merma),SUMIFS(Calculo!$F$180:$ES$180,Calculo!$F$170:$ES$170,3)/(1-V_Merma))</f>
        <v>0</v>
      </c>
      <c r="H24" s="48" t="n">
        <f aca="false">IF(cu_P=1,SUMIFS(Calculo!$F$24:$ES$24,Calculo!$F$14:$ES$14,4)/(1-P_Merma),SUMIFS(Calculo!$F$180:$ES$180,Calculo!$F$170:$ES$170,4)/(1-V_Merma))</f>
        <v>0</v>
      </c>
      <c r="I24" s="48" t="n">
        <f aca="false">IF(cu_P=1,SUMIFS(Calculo!$F$24:$ES$24,Calculo!$F$14:$ES$14,5)/(1-P_Merma),SUMIFS(Calculo!$F$180:$ES$180,Calculo!$F$170:$ES$170,5)/(1-V_Merma))</f>
        <v>0</v>
      </c>
      <c r="J24" s="48" t="n">
        <f aca="false">IF(cu_P=1,SUMIFS(Calculo!$F$24:$ES$24,Calculo!$F$14:$ES$14,6)/(1-P_Merma),SUMIFS(Calculo!$F$180:$ES$180,Calculo!$F$170:$ES$170,6)/(1-V_Merma))</f>
        <v>0</v>
      </c>
      <c r="K24" s="48" t="n">
        <f aca="false">IF(cu_P=1,SUMIFS(Calculo!$F$24:$ES$24,Calculo!$F$14:$ES$14,7)/(1-P_Merma),SUMIFS(Calculo!$F$180:$ES$180,Calculo!$F$170:$ES$170,7)/(1-V_Merma))</f>
        <v>0</v>
      </c>
      <c r="L24" s="48" t="n">
        <f aca="false">IF(cu_P=1,SUMIFS(Calculo!$F$24:$ES$24,Calculo!$F$14:$ES$14,8)/(1-P_Merma),SUMIFS(Calculo!$F$180:$ES$180,Calculo!$F$170:$ES$170,8)/(1-V_Merma))</f>
        <v>0</v>
      </c>
      <c r="M24" s="48" t="n">
        <f aca="false">IF(cu_P=1,SUMIFS(Calculo!$F$24:$ES$24,Calculo!$F$14:$ES$14,9)/(1-P_Merma),SUMIFS(Calculo!$F$180:$ES$180,Calculo!$F$170:$ES$170,9)/(1-V_Merma))</f>
        <v>0</v>
      </c>
      <c r="N24" s="48" t="n">
        <f aca="false">IF(cu_P=1,SUMIFS(Calculo!$F$24:$ES$24,Calculo!$F$14:$ES$14,10)/(1-P_Merma),SUMIFS(Calculo!$F$180:$ES$180,Calculo!$F$170:$ES$170,10)/(1-V_Merma))</f>
        <v>0</v>
      </c>
      <c r="O24" s="54" t="n">
        <f aca="false">SUM(D24:N24)</f>
        <v>0</v>
      </c>
    </row>
    <row r="25" customFormat="false" ht="15" hidden="true" customHeight="false" outlineLevel="1" collapsed="false">
      <c r="A25" s="11" t="s">
        <v>1879</v>
      </c>
      <c r="B25" s="15" t="s">
        <v>1862</v>
      </c>
      <c r="C25" s="11" t="s">
        <v>544</v>
      </c>
      <c r="D25" s="48" t="n">
        <f aca="false">IF(cu_P=1,SUMIFS(Calculo!$F$24:$ES$24,Calculo!$F$16:$ES$16,1),SUMIFS(Calculo!$F$180:$ES$180,Calculo!$F$172:$ES$172,1))</f>
        <v>0</v>
      </c>
      <c r="E25" s="48" t="n">
        <f aca="false">IF(cu_P=1,SUMIFS(Calculo!$F$24:$ES$24,Calculo!$F$14:$ES$14,1),SUMIFS(Calculo!$F$180:$ES$180,Calculo!$F$170:$ES$170,1))</f>
        <v>0</v>
      </c>
      <c r="F25" s="48" t="n">
        <f aca="false">IF(cu_P=1,SUMIFS(Calculo!$F$24:$ES$24,Calculo!$F$14:$ES$14,2),SUMIFS(Calculo!$F$180:$ES$180,Calculo!$F$170:$ES$170,2))</f>
        <v>0</v>
      </c>
      <c r="G25" s="48" t="n">
        <f aca="false">IF(cu_P=1,SUMIFS(Calculo!$F$24:$ES$24,Calculo!$F$14:$ES$14,3),SUMIFS(Calculo!$F$180:$ES$180,Calculo!$F$170:$ES$170,3))</f>
        <v>0</v>
      </c>
      <c r="H25" s="48" t="n">
        <f aca="false">IF(cu_P=1,SUMIFS(Calculo!$F$24:$ES$24,Calculo!$F$14:$ES$14,4),SUMIFS(Calculo!$F$180:$ES$180,Calculo!$F$170:$ES$170,4))</f>
        <v>0</v>
      </c>
      <c r="I25" s="48" t="n">
        <f aca="false">IF(cu_P=1,SUMIFS(Calculo!$F$24:$ES$24,Calculo!$F$14:$ES$14,5),SUMIFS(Calculo!$F$180:$ES$180,Calculo!$F$170:$ES$170,5))</f>
        <v>0</v>
      </c>
      <c r="J25" s="48" t="n">
        <f aca="false">IF(cu_P=1,SUMIFS(Calculo!$F$24:$ES$24,Calculo!$F$14:$ES$14,6),SUMIFS(Calculo!$F$180:$ES$180,Calculo!$F$170:$ES$170,6))</f>
        <v>0</v>
      </c>
      <c r="K25" s="48" t="n">
        <f aca="false">IF(cu_P=1,SUMIFS(Calculo!$F$24:$ES$24,Calculo!$F$14:$ES$14,7),SUMIFS(Calculo!$F$180:$ES$180,Calculo!$F$170:$ES$170,7))</f>
        <v>0</v>
      </c>
      <c r="L25" s="48" t="n">
        <f aca="false">IF(cu_P=1,SUMIFS(Calculo!$F$24:$ES$24,Calculo!$F$14:$ES$14,8),SUMIFS(Calculo!$F$180:$ES$180,Calculo!$F$170:$ES$170,8))</f>
        <v>0</v>
      </c>
      <c r="M25" s="48" t="n">
        <f aca="false">IF(cu_P=1,SUMIFS(Calculo!$F$24:$ES$24,Calculo!$F$14:$ES$14,9),SUMIFS(Calculo!$F$180:$ES$180,Calculo!$F$170:$ES$170,9))</f>
        <v>0</v>
      </c>
      <c r="N25" s="48" t="n">
        <f aca="false">IF(cu_P=1,SUMIFS(Calculo!$F$24:$ES$24,Calculo!$F$14:$ES$14,10),SUMIFS(Calculo!$F$180:$ES$180,Calculo!$F$170:$ES$170,10))</f>
        <v>0</v>
      </c>
      <c r="O25" s="54" t="n">
        <f aca="false">SUM(D25:N25)</f>
        <v>0</v>
      </c>
    </row>
    <row r="26" customFormat="false" ht="15" hidden="true" customHeight="false" outlineLevel="1" collapsed="false">
      <c r="A26" s="11" t="s">
        <v>1880</v>
      </c>
      <c r="B26" s="15" t="s">
        <v>1864</v>
      </c>
      <c r="C26" s="11" t="s">
        <v>367</v>
      </c>
      <c r="E26" s="49" t="str">
        <f aca="false">IFERROR(IF(OR(NOT(ISNUMBER(E24)),N(E23)=0),"",E24/E23),"")</f>
        <v/>
      </c>
      <c r="F26" s="49" t="str">
        <f aca="false">IFERROR(IF(OR(NOT(ISNUMBER(F24)),N(F23)=0),"",F24/F23),"")</f>
        <v/>
      </c>
      <c r="G26" s="49" t="str">
        <f aca="false">IFERROR(IF(OR(NOT(ISNUMBER(G24)),N(G23)=0),"",G24/G23),"")</f>
        <v/>
      </c>
      <c r="H26" s="49" t="str">
        <f aca="false">IFERROR(IF(OR(NOT(ISNUMBER(H24)),N(H23)=0),"",H24/H23),"")</f>
        <v/>
      </c>
      <c r="I26" s="49" t="str">
        <f aca="false">IFERROR(IF(OR(NOT(ISNUMBER(I24)),N(I23)=0),"",I24/I23),"")</f>
        <v/>
      </c>
      <c r="J26" s="49" t="str">
        <f aca="false">IFERROR(IF(OR(NOT(ISNUMBER(J24)),N(J23)=0),"",J24/J23),"")</f>
        <v/>
      </c>
      <c r="K26" s="49" t="str">
        <f aca="false">IFERROR(IF(OR(NOT(ISNUMBER(K24)),N(K23)=0),"",K24/K23),"")</f>
        <v/>
      </c>
      <c r="L26" s="49" t="str">
        <f aca="false">IFERROR(IF(OR(NOT(ISNUMBER(L24)),N(L23)=0),"",L24/L23),"")</f>
        <v/>
      </c>
      <c r="M26" s="49" t="str">
        <f aca="false">IFERROR(IF(OR(NOT(ISNUMBER(M24)),N(M23)=0),"",M24/M23),"")</f>
        <v/>
      </c>
      <c r="N26" s="49" t="str">
        <f aca="false">IFERROR(IF(OR(NOT(ISNUMBER(N24)),N(N23)=0),"",N24/N23),"")</f>
        <v/>
      </c>
    </row>
    <row r="27" customFormat="false" ht="15" hidden="true" customHeight="false" outlineLevel="1" collapsed="false">
      <c r="A27" s="11" t="s">
        <v>1881</v>
      </c>
      <c r="B27" s="15" t="s">
        <v>1866</v>
      </c>
      <c r="C27" s="11" t="s">
        <v>367</v>
      </c>
      <c r="E27" s="49" t="str">
        <f aca="false">IFERROR(IF(OR(NOT(ISNUMBER(E25)),N(E24)=0),"",E25/E24),"")</f>
        <v/>
      </c>
      <c r="F27" s="49" t="str">
        <f aca="false">IFERROR(IF(OR(NOT(ISNUMBER(F25)),N(F24)=0),"",F25/F24),"")</f>
        <v/>
      </c>
      <c r="G27" s="49" t="str">
        <f aca="false">IFERROR(IF(OR(NOT(ISNUMBER(G25)),N(G24)=0),"",G25/G24),"")</f>
        <v/>
      </c>
      <c r="H27" s="49" t="str">
        <f aca="false">IFERROR(IF(OR(NOT(ISNUMBER(H25)),N(H24)=0),"",H25/H24),"")</f>
        <v/>
      </c>
      <c r="I27" s="49" t="str">
        <f aca="false">IFERROR(IF(OR(NOT(ISNUMBER(I25)),N(I24)=0),"",I25/I24),"")</f>
        <v/>
      </c>
      <c r="J27" s="49" t="str">
        <f aca="false">IFERROR(IF(OR(NOT(ISNUMBER(J25)),N(J24)=0),"",J25/J24),"")</f>
        <v/>
      </c>
      <c r="K27" s="49" t="str">
        <f aca="false">IFERROR(IF(OR(NOT(ISNUMBER(K25)),N(K24)=0),"",K25/K24),"")</f>
        <v/>
      </c>
      <c r="L27" s="49" t="str">
        <f aca="false">IFERROR(IF(OR(NOT(ISNUMBER(L25)),N(L24)=0),"",L25/L24),"")</f>
        <v/>
      </c>
      <c r="M27" s="49" t="str">
        <f aca="false">IFERROR(IF(OR(NOT(ISNUMBER(M25)),N(M24)=0),"",M25/M24),"")</f>
        <v/>
      </c>
      <c r="N27" s="49" t="str">
        <f aca="false">IFERROR(IF(OR(NOT(ISNUMBER(N25)),N(N24)=0),"",N25/N24),"")</f>
        <v/>
      </c>
      <c r="O27" s="99" t="str">
        <f aca="false">IFERROR(IF(OR(NOT(ISNUMBER(O25)),N(O24)=0),"",O25/O24),"")</f>
        <v/>
      </c>
    </row>
    <row r="28" customFormat="false" ht="15" hidden="true" customHeight="false" outlineLevel="1" collapsed="false">
      <c r="A28" s="11" t="s">
        <v>1882</v>
      </c>
      <c r="B28" s="53" t="str">
        <f aca="false">IF(INDEX(Prod_Nombre,5)="","Producto 5",INDEX(Prod_Nombre,5))&amp;" — capacidad instalada"</f>
        <v>Producto 5 — capacidad instalada</v>
      </c>
      <c r="C28" s="11" t="s">
        <v>544</v>
      </c>
      <c r="E28" s="48" t="n">
        <f aca="false">IF(cu_P=1,IF(INDEX(Prod_Nombre,5)="",0,IF(AND(N(INDEX(Cap_Anio,5))&gt;0,1&gt;=N(INDEX(Cap_Anio,5))),N(INDEX(Cap_Amp,5)),N(INDEX(Cap_Ini,5)))),IF(INDEX(Prod_Nombre,5)="",0,IF(AND(N(INDEX(Cap_Anio,5))&gt;0,1&gt;=N(INDEX(Cap_Anio,5))),N(INDEX(Cap_Amp,5)),N(INDEX(Cap_Ini,5)))))</f>
        <v>0</v>
      </c>
      <c r="F28" s="48" t="n">
        <f aca="false">IF(cu_P=1,IF(INDEX(Prod_Nombre,5)="",0,IF(AND(N(INDEX(Cap_Anio,5))&gt;0,2&gt;=N(INDEX(Cap_Anio,5))),N(INDEX(Cap_Amp,5)),N(INDEX(Cap_Ini,5)))),IF(INDEX(Prod_Nombre,5)="",0,IF(AND(N(INDEX(Cap_Anio,5))&gt;0,2&gt;=N(INDEX(Cap_Anio,5))),N(INDEX(Cap_Amp,5)),N(INDEX(Cap_Ini,5)))))</f>
        <v>0</v>
      </c>
      <c r="G28" s="48" t="n">
        <f aca="false">IF(cu_P=1,IF(INDEX(Prod_Nombre,5)="",0,IF(AND(N(INDEX(Cap_Anio,5))&gt;0,3&gt;=N(INDEX(Cap_Anio,5))),N(INDEX(Cap_Amp,5)),N(INDEX(Cap_Ini,5)))),IF(INDEX(Prod_Nombre,5)="",0,IF(AND(N(INDEX(Cap_Anio,5))&gt;0,3&gt;=N(INDEX(Cap_Anio,5))),N(INDEX(Cap_Amp,5)),N(INDEX(Cap_Ini,5)))))</f>
        <v>0</v>
      </c>
      <c r="H28" s="48" t="n">
        <f aca="false">IF(cu_P=1,IF(INDEX(Prod_Nombre,5)="",0,IF(AND(N(INDEX(Cap_Anio,5))&gt;0,4&gt;=N(INDEX(Cap_Anio,5))),N(INDEX(Cap_Amp,5)),N(INDEX(Cap_Ini,5)))),IF(INDEX(Prod_Nombre,5)="",0,IF(AND(N(INDEX(Cap_Anio,5))&gt;0,4&gt;=N(INDEX(Cap_Anio,5))),N(INDEX(Cap_Amp,5)),N(INDEX(Cap_Ini,5)))))</f>
        <v>0</v>
      </c>
      <c r="I28" s="48" t="n">
        <f aca="false">IF(cu_P=1,IF(INDEX(Prod_Nombre,5)="",0,IF(AND(N(INDEX(Cap_Anio,5))&gt;0,5&gt;=N(INDEX(Cap_Anio,5))),N(INDEX(Cap_Amp,5)),N(INDEX(Cap_Ini,5)))),IF(INDEX(Prod_Nombre,5)="",0,IF(AND(N(INDEX(Cap_Anio,5))&gt;0,5&gt;=N(INDEX(Cap_Anio,5))),N(INDEX(Cap_Amp,5)),N(INDEX(Cap_Ini,5)))))</f>
        <v>0</v>
      </c>
      <c r="J28" s="48" t="n">
        <f aca="false">IF(cu_P=1,IF(INDEX(Prod_Nombre,5)="",0,IF(AND(N(INDEX(Cap_Anio,5))&gt;0,6&gt;=N(INDEX(Cap_Anio,5))),N(INDEX(Cap_Amp,5)),N(INDEX(Cap_Ini,5)))),IF(INDEX(Prod_Nombre,5)="",0,IF(AND(N(INDEX(Cap_Anio,5))&gt;0,6&gt;=N(INDEX(Cap_Anio,5))),N(INDEX(Cap_Amp,5)),N(INDEX(Cap_Ini,5)))))</f>
        <v>0</v>
      </c>
      <c r="K28" s="48" t="n">
        <f aca="false">IF(cu_P=1,IF(INDEX(Prod_Nombre,5)="",0,IF(AND(N(INDEX(Cap_Anio,5))&gt;0,7&gt;=N(INDEX(Cap_Anio,5))),N(INDEX(Cap_Amp,5)),N(INDEX(Cap_Ini,5)))),IF(INDEX(Prod_Nombre,5)="",0,IF(AND(N(INDEX(Cap_Anio,5))&gt;0,7&gt;=N(INDEX(Cap_Anio,5))),N(INDEX(Cap_Amp,5)),N(INDEX(Cap_Ini,5)))))</f>
        <v>0</v>
      </c>
      <c r="L28" s="48" t="n">
        <f aca="false">IF(cu_P=1,IF(INDEX(Prod_Nombre,5)="",0,IF(AND(N(INDEX(Cap_Anio,5))&gt;0,8&gt;=N(INDEX(Cap_Anio,5))),N(INDEX(Cap_Amp,5)),N(INDEX(Cap_Ini,5)))),IF(INDEX(Prod_Nombre,5)="",0,IF(AND(N(INDEX(Cap_Anio,5))&gt;0,8&gt;=N(INDEX(Cap_Anio,5))),N(INDEX(Cap_Amp,5)),N(INDEX(Cap_Ini,5)))))</f>
        <v>0</v>
      </c>
      <c r="M28" s="48" t="n">
        <f aca="false">IF(cu_P=1,IF(INDEX(Prod_Nombre,5)="",0,IF(AND(N(INDEX(Cap_Anio,5))&gt;0,9&gt;=N(INDEX(Cap_Anio,5))),N(INDEX(Cap_Amp,5)),N(INDEX(Cap_Ini,5)))),IF(INDEX(Prod_Nombre,5)="",0,IF(AND(N(INDEX(Cap_Anio,5))&gt;0,9&gt;=N(INDEX(Cap_Anio,5))),N(INDEX(Cap_Amp,5)),N(INDEX(Cap_Ini,5)))))</f>
        <v>0</v>
      </c>
      <c r="N28" s="48" t="n">
        <f aca="false">IF(cu_P=1,IF(INDEX(Prod_Nombre,5)="",0,IF(AND(N(INDEX(Cap_Anio,5))&gt;0,10&gt;=N(INDEX(Cap_Anio,5))),N(INDEX(Cap_Amp,5)),N(INDEX(Cap_Ini,5)))),IF(INDEX(Prod_Nombre,5)="",0,IF(AND(N(INDEX(Cap_Anio,5))&gt;0,10&gt;=N(INDEX(Cap_Anio,5))),N(INDEX(Cap_Amp,5)),N(INDEX(Cap_Ini,5)))))</f>
        <v>0</v>
      </c>
    </row>
    <row r="29" customFormat="false" ht="15" hidden="true" customHeight="false" outlineLevel="1" collapsed="false">
      <c r="A29" s="11" t="s">
        <v>1883</v>
      </c>
      <c r="B29" s="15" t="s">
        <v>1860</v>
      </c>
      <c r="C29" s="11" t="s">
        <v>544</v>
      </c>
      <c r="D29" s="48" t="n">
        <f aca="false">IF(cu_P=1,SUMIFS(Calculo!$F$25:$ES$25,Calculo!$F$16:$ES$16,1)/(1-P_Merma),SUMIFS(Calculo!$F$181:$ES$181,Calculo!$F$172:$ES$172,1)/(1-V_Merma))</f>
        <v>0</v>
      </c>
      <c r="E29" s="48" t="n">
        <f aca="false">IF(cu_P=1,SUMIFS(Calculo!$F$25:$ES$25,Calculo!$F$14:$ES$14,1)/(1-P_Merma),SUMIFS(Calculo!$F$181:$ES$181,Calculo!$F$170:$ES$170,1)/(1-V_Merma))</f>
        <v>0</v>
      </c>
      <c r="F29" s="48" t="n">
        <f aca="false">IF(cu_P=1,SUMIFS(Calculo!$F$25:$ES$25,Calculo!$F$14:$ES$14,2)/(1-P_Merma),SUMIFS(Calculo!$F$181:$ES$181,Calculo!$F$170:$ES$170,2)/(1-V_Merma))</f>
        <v>0</v>
      </c>
      <c r="G29" s="48" t="n">
        <f aca="false">IF(cu_P=1,SUMIFS(Calculo!$F$25:$ES$25,Calculo!$F$14:$ES$14,3)/(1-P_Merma),SUMIFS(Calculo!$F$181:$ES$181,Calculo!$F$170:$ES$170,3)/(1-V_Merma))</f>
        <v>0</v>
      </c>
      <c r="H29" s="48" t="n">
        <f aca="false">IF(cu_P=1,SUMIFS(Calculo!$F$25:$ES$25,Calculo!$F$14:$ES$14,4)/(1-P_Merma),SUMIFS(Calculo!$F$181:$ES$181,Calculo!$F$170:$ES$170,4)/(1-V_Merma))</f>
        <v>0</v>
      </c>
      <c r="I29" s="48" t="n">
        <f aca="false">IF(cu_P=1,SUMIFS(Calculo!$F$25:$ES$25,Calculo!$F$14:$ES$14,5)/(1-P_Merma),SUMIFS(Calculo!$F$181:$ES$181,Calculo!$F$170:$ES$170,5)/(1-V_Merma))</f>
        <v>0</v>
      </c>
      <c r="J29" s="48" t="n">
        <f aca="false">IF(cu_P=1,SUMIFS(Calculo!$F$25:$ES$25,Calculo!$F$14:$ES$14,6)/(1-P_Merma),SUMIFS(Calculo!$F$181:$ES$181,Calculo!$F$170:$ES$170,6)/(1-V_Merma))</f>
        <v>0</v>
      </c>
      <c r="K29" s="48" t="n">
        <f aca="false">IF(cu_P=1,SUMIFS(Calculo!$F$25:$ES$25,Calculo!$F$14:$ES$14,7)/(1-P_Merma),SUMIFS(Calculo!$F$181:$ES$181,Calculo!$F$170:$ES$170,7)/(1-V_Merma))</f>
        <v>0</v>
      </c>
      <c r="L29" s="48" t="n">
        <f aca="false">IF(cu_P=1,SUMIFS(Calculo!$F$25:$ES$25,Calculo!$F$14:$ES$14,8)/(1-P_Merma),SUMIFS(Calculo!$F$181:$ES$181,Calculo!$F$170:$ES$170,8)/(1-V_Merma))</f>
        <v>0</v>
      </c>
      <c r="M29" s="48" t="n">
        <f aca="false">IF(cu_P=1,SUMIFS(Calculo!$F$25:$ES$25,Calculo!$F$14:$ES$14,9)/(1-P_Merma),SUMIFS(Calculo!$F$181:$ES$181,Calculo!$F$170:$ES$170,9)/(1-V_Merma))</f>
        <v>0</v>
      </c>
      <c r="N29" s="48" t="n">
        <f aca="false">IF(cu_P=1,SUMIFS(Calculo!$F$25:$ES$25,Calculo!$F$14:$ES$14,10)/(1-P_Merma),SUMIFS(Calculo!$F$181:$ES$181,Calculo!$F$170:$ES$170,10)/(1-V_Merma))</f>
        <v>0</v>
      </c>
      <c r="O29" s="54" t="n">
        <f aca="false">SUM(D29:N29)</f>
        <v>0</v>
      </c>
    </row>
    <row r="30" customFormat="false" ht="15" hidden="true" customHeight="false" outlineLevel="1" collapsed="false">
      <c r="A30" s="11" t="s">
        <v>1884</v>
      </c>
      <c r="B30" s="15" t="s">
        <v>1862</v>
      </c>
      <c r="C30" s="11" t="s">
        <v>544</v>
      </c>
      <c r="D30" s="48" t="n">
        <f aca="false">IF(cu_P=1,SUMIFS(Calculo!$F$25:$ES$25,Calculo!$F$16:$ES$16,1),SUMIFS(Calculo!$F$181:$ES$181,Calculo!$F$172:$ES$172,1))</f>
        <v>0</v>
      </c>
      <c r="E30" s="48" t="n">
        <f aca="false">IF(cu_P=1,SUMIFS(Calculo!$F$25:$ES$25,Calculo!$F$14:$ES$14,1),SUMIFS(Calculo!$F$181:$ES$181,Calculo!$F$170:$ES$170,1))</f>
        <v>0</v>
      </c>
      <c r="F30" s="48" t="n">
        <f aca="false">IF(cu_P=1,SUMIFS(Calculo!$F$25:$ES$25,Calculo!$F$14:$ES$14,2),SUMIFS(Calculo!$F$181:$ES$181,Calculo!$F$170:$ES$170,2))</f>
        <v>0</v>
      </c>
      <c r="G30" s="48" t="n">
        <f aca="false">IF(cu_P=1,SUMIFS(Calculo!$F$25:$ES$25,Calculo!$F$14:$ES$14,3),SUMIFS(Calculo!$F$181:$ES$181,Calculo!$F$170:$ES$170,3))</f>
        <v>0</v>
      </c>
      <c r="H30" s="48" t="n">
        <f aca="false">IF(cu_P=1,SUMIFS(Calculo!$F$25:$ES$25,Calculo!$F$14:$ES$14,4),SUMIFS(Calculo!$F$181:$ES$181,Calculo!$F$170:$ES$170,4))</f>
        <v>0</v>
      </c>
      <c r="I30" s="48" t="n">
        <f aca="false">IF(cu_P=1,SUMIFS(Calculo!$F$25:$ES$25,Calculo!$F$14:$ES$14,5),SUMIFS(Calculo!$F$181:$ES$181,Calculo!$F$170:$ES$170,5))</f>
        <v>0</v>
      </c>
      <c r="J30" s="48" t="n">
        <f aca="false">IF(cu_P=1,SUMIFS(Calculo!$F$25:$ES$25,Calculo!$F$14:$ES$14,6),SUMIFS(Calculo!$F$181:$ES$181,Calculo!$F$170:$ES$170,6))</f>
        <v>0</v>
      </c>
      <c r="K30" s="48" t="n">
        <f aca="false">IF(cu_P=1,SUMIFS(Calculo!$F$25:$ES$25,Calculo!$F$14:$ES$14,7),SUMIFS(Calculo!$F$181:$ES$181,Calculo!$F$170:$ES$170,7))</f>
        <v>0</v>
      </c>
      <c r="L30" s="48" t="n">
        <f aca="false">IF(cu_P=1,SUMIFS(Calculo!$F$25:$ES$25,Calculo!$F$14:$ES$14,8),SUMIFS(Calculo!$F$181:$ES$181,Calculo!$F$170:$ES$170,8))</f>
        <v>0</v>
      </c>
      <c r="M30" s="48" t="n">
        <f aca="false">IF(cu_P=1,SUMIFS(Calculo!$F$25:$ES$25,Calculo!$F$14:$ES$14,9),SUMIFS(Calculo!$F$181:$ES$181,Calculo!$F$170:$ES$170,9))</f>
        <v>0</v>
      </c>
      <c r="N30" s="48" t="n">
        <f aca="false">IF(cu_P=1,SUMIFS(Calculo!$F$25:$ES$25,Calculo!$F$14:$ES$14,10),SUMIFS(Calculo!$F$181:$ES$181,Calculo!$F$170:$ES$170,10))</f>
        <v>0</v>
      </c>
      <c r="O30" s="54" t="n">
        <f aca="false">SUM(D30:N30)</f>
        <v>0</v>
      </c>
    </row>
    <row r="31" customFormat="false" ht="15" hidden="true" customHeight="false" outlineLevel="1" collapsed="false">
      <c r="A31" s="11" t="s">
        <v>1885</v>
      </c>
      <c r="B31" s="15" t="s">
        <v>1864</v>
      </c>
      <c r="C31" s="11" t="s">
        <v>367</v>
      </c>
      <c r="E31" s="49" t="str">
        <f aca="false">IFERROR(IF(OR(NOT(ISNUMBER(E29)),N(E28)=0),"",E29/E28),"")</f>
        <v/>
      </c>
      <c r="F31" s="49" t="str">
        <f aca="false">IFERROR(IF(OR(NOT(ISNUMBER(F29)),N(F28)=0),"",F29/F28),"")</f>
        <v/>
      </c>
      <c r="G31" s="49" t="str">
        <f aca="false">IFERROR(IF(OR(NOT(ISNUMBER(G29)),N(G28)=0),"",G29/G28),"")</f>
        <v/>
      </c>
      <c r="H31" s="49" t="str">
        <f aca="false">IFERROR(IF(OR(NOT(ISNUMBER(H29)),N(H28)=0),"",H29/H28),"")</f>
        <v/>
      </c>
      <c r="I31" s="49" t="str">
        <f aca="false">IFERROR(IF(OR(NOT(ISNUMBER(I29)),N(I28)=0),"",I29/I28),"")</f>
        <v/>
      </c>
      <c r="J31" s="49" t="str">
        <f aca="false">IFERROR(IF(OR(NOT(ISNUMBER(J29)),N(J28)=0),"",J29/J28),"")</f>
        <v/>
      </c>
      <c r="K31" s="49" t="str">
        <f aca="false">IFERROR(IF(OR(NOT(ISNUMBER(K29)),N(K28)=0),"",K29/K28),"")</f>
        <v/>
      </c>
      <c r="L31" s="49" t="str">
        <f aca="false">IFERROR(IF(OR(NOT(ISNUMBER(L29)),N(L28)=0),"",L29/L28),"")</f>
        <v/>
      </c>
      <c r="M31" s="49" t="str">
        <f aca="false">IFERROR(IF(OR(NOT(ISNUMBER(M29)),N(M28)=0),"",M29/M28),"")</f>
        <v/>
      </c>
      <c r="N31" s="49" t="str">
        <f aca="false">IFERROR(IF(OR(NOT(ISNUMBER(N29)),N(N28)=0),"",N29/N28),"")</f>
        <v/>
      </c>
    </row>
    <row r="32" customFormat="false" ht="15" hidden="true" customHeight="false" outlineLevel="1" collapsed="false">
      <c r="A32" s="11" t="s">
        <v>1886</v>
      </c>
      <c r="B32" s="15" t="s">
        <v>1866</v>
      </c>
      <c r="C32" s="11" t="s">
        <v>367</v>
      </c>
      <c r="E32" s="49" t="str">
        <f aca="false">IFERROR(IF(OR(NOT(ISNUMBER(E30)),N(E29)=0),"",E30/E29),"")</f>
        <v/>
      </c>
      <c r="F32" s="49" t="str">
        <f aca="false">IFERROR(IF(OR(NOT(ISNUMBER(F30)),N(F29)=0),"",F30/F29),"")</f>
        <v/>
      </c>
      <c r="G32" s="49" t="str">
        <f aca="false">IFERROR(IF(OR(NOT(ISNUMBER(G30)),N(G29)=0),"",G30/G29),"")</f>
        <v/>
      </c>
      <c r="H32" s="49" t="str">
        <f aca="false">IFERROR(IF(OR(NOT(ISNUMBER(H30)),N(H29)=0),"",H30/H29),"")</f>
        <v/>
      </c>
      <c r="I32" s="49" t="str">
        <f aca="false">IFERROR(IF(OR(NOT(ISNUMBER(I30)),N(I29)=0),"",I30/I29),"")</f>
        <v/>
      </c>
      <c r="J32" s="49" t="str">
        <f aca="false">IFERROR(IF(OR(NOT(ISNUMBER(J30)),N(J29)=0),"",J30/J29),"")</f>
        <v/>
      </c>
      <c r="K32" s="49" t="str">
        <f aca="false">IFERROR(IF(OR(NOT(ISNUMBER(K30)),N(K29)=0),"",K30/K29),"")</f>
        <v/>
      </c>
      <c r="L32" s="49" t="str">
        <f aca="false">IFERROR(IF(OR(NOT(ISNUMBER(L30)),N(L29)=0),"",L30/L29),"")</f>
        <v/>
      </c>
      <c r="M32" s="49" t="str">
        <f aca="false">IFERROR(IF(OR(NOT(ISNUMBER(M30)),N(M29)=0),"",M30/M29),"")</f>
        <v/>
      </c>
      <c r="N32" s="49" t="str">
        <f aca="false">IFERROR(IF(OR(NOT(ISNUMBER(N30)),N(N29)=0),"",N30/N29),"")</f>
        <v/>
      </c>
      <c r="O32" s="99" t="str">
        <f aca="false">IFERROR(IF(OR(NOT(ISNUMBER(O30)),N(O29)=0),"",O30/O29),"")</f>
        <v/>
      </c>
    </row>
    <row r="33" customFormat="false" ht="15" hidden="true" customHeight="false" outlineLevel="1" collapsed="false">
      <c r="A33" s="11" t="s">
        <v>1887</v>
      </c>
      <c r="B33" s="53" t="str">
        <f aca="false">IF(INDEX(Prod_Nombre,6)="","Producto 6",INDEX(Prod_Nombre,6))&amp;" — capacidad instalada"</f>
        <v>Producto 6 — capacidad instalada</v>
      </c>
      <c r="C33" s="11" t="s">
        <v>544</v>
      </c>
      <c r="E33" s="48" t="n">
        <f aca="false">IF(cu_P=1,IF(INDEX(Prod_Nombre,6)="",0,IF(AND(N(INDEX(Cap_Anio,6))&gt;0,1&gt;=N(INDEX(Cap_Anio,6))),N(INDEX(Cap_Amp,6)),N(INDEX(Cap_Ini,6)))),IF(INDEX(Prod_Nombre,6)="",0,IF(AND(N(INDEX(Cap_Anio,6))&gt;0,1&gt;=N(INDEX(Cap_Anio,6))),N(INDEX(Cap_Amp,6)),N(INDEX(Cap_Ini,6)))))</f>
        <v>0</v>
      </c>
      <c r="F33" s="48" t="n">
        <f aca="false">IF(cu_P=1,IF(INDEX(Prod_Nombre,6)="",0,IF(AND(N(INDEX(Cap_Anio,6))&gt;0,2&gt;=N(INDEX(Cap_Anio,6))),N(INDEX(Cap_Amp,6)),N(INDEX(Cap_Ini,6)))),IF(INDEX(Prod_Nombre,6)="",0,IF(AND(N(INDEX(Cap_Anio,6))&gt;0,2&gt;=N(INDEX(Cap_Anio,6))),N(INDEX(Cap_Amp,6)),N(INDEX(Cap_Ini,6)))))</f>
        <v>0</v>
      </c>
      <c r="G33" s="48" t="n">
        <f aca="false">IF(cu_P=1,IF(INDEX(Prod_Nombre,6)="",0,IF(AND(N(INDEX(Cap_Anio,6))&gt;0,3&gt;=N(INDEX(Cap_Anio,6))),N(INDEX(Cap_Amp,6)),N(INDEX(Cap_Ini,6)))),IF(INDEX(Prod_Nombre,6)="",0,IF(AND(N(INDEX(Cap_Anio,6))&gt;0,3&gt;=N(INDEX(Cap_Anio,6))),N(INDEX(Cap_Amp,6)),N(INDEX(Cap_Ini,6)))))</f>
        <v>0</v>
      </c>
      <c r="H33" s="48" t="n">
        <f aca="false">IF(cu_P=1,IF(INDEX(Prod_Nombre,6)="",0,IF(AND(N(INDEX(Cap_Anio,6))&gt;0,4&gt;=N(INDEX(Cap_Anio,6))),N(INDEX(Cap_Amp,6)),N(INDEX(Cap_Ini,6)))),IF(INDEX(Prod_Nombre,6)="",0,IF(AND(N(INDEX(Cap_Anio,6))&gt;0,4&gt;=N(INDEX(Cap_Anio,6))),N(INDEX(Cap_Amp,6)),N(INDEX(Cap_Ini,6)))))</f>
        <v>0</v>
      </c>
      <c r="I33" s="48" t="n">
        <f aca="false">IF(cu_P=1,IF(INDEX(Prod_Nombre,6)="",0,IF(AND(N(INDEX(Cap_Anio,6))&gt;0,5&gt;=N(INDEX(Cap_Anio,6))),N(INDEX(Cap_Amp,6)),N(INDEX(Cap_Ini,6)))),IF(INDEX(Prod_Nombre,6)="",0,IF(AND(N(INDEX(Cap_Anio,6))&gt;0,5&gt;=N(INDEX(Cap_Anio,6))),N(INDEX(Cap_Amp,6)),N(INDEX(Cap_Ini,6)))))</f>
        <v>0</v>
      </c>
      <c r="J33" s="48" t="n">
        <f aca="false">IF(cu_P=1,IF(INDEX(Prod_Nombre,6)="",0,IF(AND(N(INDEX(Cap_Anio,6))&gt;0,6&gt;=N(INDEX(Cap_Anio,6))),N(INDEX(Cap_Amp,6)),N(INDEX(Cap_Ini,6)))),IF(INDEX(Prod_Nombre,6)="",0,IF(AND(N(INDEX(Cap_Anio,6))&gt;0,6&gt;=N(INDEX(Cap_Anio,6))),N(INDEX(Cap_Amp,6)),N(INDEX(Cap_Ini,6)))))</f>
        <v>0</v>
      </c>
      <c r="K33" s="48" t="n">
        <f aca="false">IF(cu_P=1,IF(INDEX(Prod_Nombre,6)="",0,IF(AND(N(INDEX(Cap_Anio,6))&gt;0,7&gt;=N(INDEX(Cap_Anio,6))),N(INDEX(Cap_Amp,6)),N(INDEX(Cap_Ini,6)))),IF(INDEX(Prod_Nombre,6)="",0,IF(AND(N(INDEX(Cap_Anio,6))&gt;0,7&gt;=N(INDEX(Cap_Anio,6))),N(INDEX(Cap_Amp,6)),N(INDEX(Cap_Ini,6)))))</f>
        <v>0</v>
      </c>
      <c r="L33" s="48" t="n">
        <f aca="false">IF(cu_P=1,IF(INDEX(Prod_Nombre,6)="",0,IF(AND(N(INDEX(Cap_Anio,6))&gt;0,8&gt;=N(INDEX(Cap_Anio,6))),N(INDEX(Cap_Amp,6)),N(INDEX(Cap_Ini,6)))),IF(INDEX(Prod_Nombre,6)="",0,IF(AND(N(INDEX(Cap_Anio,6))&gt;0,8&gt;=N(INDEX(Cap_Anio,6))),N(INDEX(Cap_Amp,6)),N(INDEX(Cap_Ini,6)))))</f>
        <v>0</v>
      </c>
      <c r="M33" s="48" t="n">
        <f aca="false">IF(cu_P=1,IF(INDEX(Prod_Nombre,6)="",0,IF(AND(N(INDEX(Cap_Anio,6))&gt;0,9&gt;=N(INDEX(Cap_Anio,6))),N(INDEX(Cap_Amp,6)),N(INDEX(Cap_Ini,6)))),IF(INDEX(Prod_Nombre,6)="",0,IF(AND(N(INDEX(Cap_Anio,6))&gt;0,9&gt;=N(INDEX(Cap_Anio,6))),N(INDEX(Cap_Amp,6)),N(INDEX(Cap_Ini,6)))))</f>
        <v>0</v>
      </c>
      <c r="N33" s="48" t="n">
        <f aca="false">IF(cu_P=1,IF(INDEX(Prod_Nombre,6)="",0,IF(AND(N(INDEX(Cap_Anio,6))&gt;0,10&gt;=N(INDEX(Cap_Anio,6))),N(INDEX(Cap_Amp,6)),N(INDEX(Cap_Ini,6)))),IF(INDEX(Prod_Nombre,6)="",0,IF(AND(N(INDEX(Cap_Anio,6))&gt;0,10&gt;=N(INDEX(Cap_Anio,6))),N(INDEX(Cap_Amp,6)),N(INDEX(Cap_Ini,6)))))</f>
        <v>0</v>
      </c>
    </row>
    <row r="34" customFormat="false" ht="15" hidden="true" customHeight="false" outlineLevel="1" collapsed="false">
      <c r="A34" s="11" t="s">
        <v>1888</v>
      </c>
      <c r="B34" s="15" t="s">
        <v>1860</v>
      </c>
      <c r="C34" s="11" t="s">
        <v>544</v>
      </c>
      <c r="D34" s="48" t="n">
        <f aca="false">IF(cu_P=1,SUMIFS(Calculo!$F$26:$ES$26,Calculo!$F$16:$ES$16,1)/(1-P_Merma),SUMIFS(Calculo!$F$182:$ES$182,Calculo!$F$172:$ES$172,1)/(1-V_Merma))</f>
        <v>0</v>
      </c>
      <c r="E34" s="48" t="n">
        <f aca="false">IF(cu_P=1,SUMIFS(Calculo!$F$26:$ES$26,Calculo!$F$14:$ES$14,1)/(1-P_Merma),SUMIFS(Calculo!$F$182:$ES$182,Calculo!$F$170:$ES$170,1)/(1-V_Merma))</f>
        <v>0</v>
      </c>
      <c r="F34" s="48" t="n">
        <f aca="false">IF(cu_P=1,SUMIFS(Calculo!$F$26:$ES$26,Calculo!$F$14:$ES$14,2)/(1-P_Merma),SUMIFS(Calculo!$F$182:$ES$182,Calculo!$F$170:$ES$170,2)/(1-V_Merma))</f>
        <v>0</v>
      </c>
      <c r="G34" s="48" t="n">
        <f aca="false">IF(cu_P=1,SUMIFS(Calculo!$F$26:$ES$26,Calculo!$F$14:$ES$14,3)/(1-P_Merma),SUMIFS(Calculo!$F$182:$ES$182,Calculo!$F$170:$ES$170,3)/(1-V_Merma))</f>
        <v>0</v>
      </c>
      <c r="H34" s="48" t="n">
        <f aca="false">IF(cu_P=1,SUMIFS(Calculo!$F$26:$ES$26,Calculo!$F$14:$ES$14,4)/(1-P_Merma),SUMIFS(Calculo!$F$182:$ES$182,Calculo!$F$170:$ES$170,4)/(1-V_Merma))</f>
        <v>0</v>
      </c>
      <c r="I34" s="48" t="n">
        <f aca="false">IF(cu_P=1,SUMIFS(Calculo!$F$26:$ES$26,Calculo!$F$14:$ES$14,5)/(1-P_Merma),SUMIFS(Calculo!$F$182:$ES$182,Calculo!$F$170:$ES$170,5)/(1-V_Merma))</f>
        <v>0</v>
      </c>
      <c r="J34" s="48" t="n">
        <f aca="false">IF(cu_P=1,SUMIFS(Calculo!$F$26:$ES$26,Calculo!$F$14:$ES$14,6)/(1-P_Merma),SUMIFS(Calculo!$F$182:$ES$182,Calculo!$F$170:$ES$170,6)/(1-V_Merma))</f>
        <v>0</v>
      </c>
      <c r="K34" s="48" t="n">
        <f aca="false">IF(cu_P=1,SUMIFS(Calculo!$F$26:$ES$26,Calculo!$F$14:$ES$14,7)/(1-P_Merma),SUMIFS(Calculo!$F$182:$ES$182,Calculo!$F$170:$ES$170,7)/(1-V_Merma))</f>
        <v>0</v>
      </c>
      <c r="L34" s="48" t="n">
        <f aca="false">IF(cu_P=1,SUMIFS(Calculo!$F$26:$ES$26,Calculo!$F$14:$ES$14,8)/(1-P_Merma),SUMIFS(Calculo!$F$182:$ES$182,Calculo!$F$170:$ES$170,8)/(1-V_Merma))</f>
        <v>0</v>
      </c>
      <c r="M34" s="48" t="n">
        <f aca="false">IF(cu_P=1,SUMIFS(Calculo!$F$26:$ES$26,Calculo!$F$14:$ES$14,9)/(1-P_Merma),SUMIFS(Calculo!$F$182:$ES$182,Calculo!$F$170:$ES$170,9)/(1-V_Merma))</f>
        <v>0</v>
      </c>
      <c r="N34" s="48" t="n">
        <f aca="false">IF(cu_P=1,SUMIFS(Calculo!$F$26:$ES$26,Calculo!$F$14:$ES$14,10)/(1-P_Merma),SUMIFS(Calculo!$F$182:$ES$182,Calculo!$F$170:$ES$170,10)/(1-V_Merma))</f>
        <v>0</v>
      </c>
      <c r="O34" s="54" t="n">
        <f aca="false">SUM(D34:N34)</f>
        <v>0</v>
      </c>
    </row>
    <row r="35" customFormat="false" ht="15" hidden="true" customHeight="false" outlineLevel="1" collapsed="false">
      <c r="A35" s="11" t="s">
        <v>1889</v>
      </c>
      <c r="B35" s="15" t="s">
        <v>1862</v>
      </c>
      <c r="C35" s="11" t="s">
        <v>544</v>
      </c>
      <c r="D35" s="48" t="n">
        <f aca="false">IF(cu_P=1,SUMIFS(Calculo!$F$26:$ES$26,Calculo!$F$16:$ES$16,1),SUMIFS(Calculo!$F$182:$ES$182,Calculo!$F$172:$ES$172,1))</f>
        <v>0</v>
      </c>
      <c r="E35" s="48" t="n">
        <f aca="false">IF(cu_P=1,SUMIFS(Calculo!$F$26:$ES$26,Calculo!$F$14:$ES$14,1),SUMIFS(Calculo!$F$182:$ES$182,Calculo!$F$170:$ES$170,1))</f>
        <v>0</v>
      </c>
      <c r="F35" s="48" t="n">
        <f aca="false">IF(cu_P=1,SUMIFS(Calculo!$F$26:$ES$26,Calculo!$F$14:$ES$14,2),SUMIFS(Calculo!$F$182:$ES$182,Calculo!$F$170:$ES$170,2))</f>
        <v>0</v>
      </c>
      <c r="G35" s="48" t="n">
        <f aca="false">IF(cu_P=1,SUMIFS(Calculo!$F$26:$ES$26,Calculo!$F$14:$ES$14,3),SUMIFS(Calculo!$F$182:$ES$182,Calculo!$F$170:$ES$170,3))</f>
        <v>0</v>
      </c>
      <c r="H35" s="48" t="n">
        <f aca="false">IF(cu_P=1,SUMIFS(Calculo!$F$26:$ES$26,Calculo!$F$14:$ES$14,4),SUMIFS(Calculo!$F$182:$ES$182,Calculo!$F$170:$ES$170,4))</f>
        <v>0</v>
      </c>
      <c r="I35" s="48" t="n">
        <f aca="false">IF(cu_P=1,SUMIFS(Calculo!$F$26:$ES$26,Calculo!$F$14:$ES$14,5),SUMIFS(Calculo!$F$182:$ES$182,Calculo!$F$170:$ES$170,5))</f>
        <v>0</v>
      </c>
      <c r="J35" s="48" t="n">
        <f aca="false">IF(cu_P=1,SUMIFS(Calculo!$F$26:$ES$26,Calculo!$F$14:$ES$14,6),SUMIFS(Calculo!$F$182:$ES$182,Calculo!$F$170:$ES$170,6))</f>
        <v>0</v>
      </c>
      <c r="K35" s="48" t="n">
        <f aca="false">IF(cu_P=1,SUMIFS(Calculo!$F$26:$ES$26,Calculo!$F$14:$ES$14,7),SUMIFS(Calculo!$F$182:$ES$182,Calculo!$F$170:$ES$170,7))</f>
        <v>0</v>
      </c>
      <c r="L35" s="48" t="n">
        <f aca="false">IF(cu_P=1,SUMIFS(Calculo!$F$26:$ES$26,Calculo!$F$14:$ES$14,8),SUMIFS(Calculo!$F$182:$ES$182,Calculo!$F$170:$ES$170,8))</f>
        <v>0</v>
      </c>
      <c r="M35" s="48" t="n">
        <f aca="false">IF(cu_P=1,SUMIFS(Calculo!$F$26:$ES$26,Calculo!$F$14:$ES$14,9),SUMIFS(Calculo!$F$182:$ES$182,Calculo!$F$170:$ES$170,9))</f>
        <v>0</v>
      </c>
      <c r="N35" s="48" t="n">
        <f aca="false">IF(cu_P=1,SUMIFS(Calculo!$F$26:$ES$26,Calculo!$F$14:$ES$14,10),SUMIFS(Calculo!$F$182:$ES$182,Calculo!$F$170:$ES$170,10))</f>
        <v>0</v>
      </c>
      <c r="O35" s="54" t="n">
        <f aca="false">SUM(D35:N35)</f>
        <v>0</v>
      </c>
    </row>
    <row r="36" customFormat="false" ht="15" hidden="true" customHeight="false" outlineLevel="1" collapsed="false">
      <c r="A36" s="11" t="s">
        <v>1890</v>
      </c>
      <c r="B36" s="15" t="s">
        <v>1864</v>
      </c>
      <c r="C36" s="11" t="s">
        <v>367</v>
      </c>
      <c r="E36" s="49" t="str">
        <f aca="false">IFERROR(IF(OR(NOT(ISNUMBER(E34)),N(E33)=0),"",E34/E33),"")</f>
        <v/>
      </c>
      <c r="F36" s="49" t="str">
        <f aca="false">IFERROR(IF(OR(NOT(ISNUMBER(F34)),N(F33)=0),"",F34/F33),"")</f>
        <v/>
      </c>
      <c r="G36" s="49" t="str">
        <f aca="false">IFERROR(IF(OR(NOT(ISNUMBER(G34)),N(G33)=0),"",G34/G33),"")</f>
        <v/>
      </c>
      <c r="H36" s="49" t="str">
        <f aca="false">IFERROR(IF(OR(NOT(ISNUMBER(H34)),N(H33)=0),"",H34/H33),"")</f>
        <v/>
      </c>
      <c r="I36" s="49" t="str">
        <f aca="false">IFERROR(IF(OR(NOT(ISNUMBER(I34)),N(I33)=0),"",I34/I33),"")</f>
        <v/>
      </c>
      <c r="J36" s="49" t="str">
        <f aca="false">IFERROR(IF(OR(NOT(ISNUMBER(J34)),N(J33)=0),"",J34/J33),"")</f>
        <v/>
      </c>
      <c r="K36" s="49" t="str">
        <f aca="false">IFERROR(IF(OR(NOT(ISNUMBER(K34)),N(K33)=0),"",K34/K33),"")</f>
        <v/>
      </c>
      <c r="L36" s="49" t="str">
        <f aca="false">IFERROR(IF(OR(NOT(ISNUMBER(L34)),N(L33)=0),"",L34/L33),"")</f>
        <v/>
      </c>
      <c r="M36" s="49" t="str">
        <f aca="false">IFERROR(IF(OR(NOT(ISNUMBER(M34)),N(M33)=0),"",M34/M33),"")</f>
        <v/>
      </c>
      <c r="N36" s="49" t="str">
        <f aca="false">IFERROR(IF(OR(NOT(ISNUMBER(N34)),N(N33)=0),"",N34/N33),"")</f>
        <v/>
      </c>
    </row>
    <row r="37" customFormat="false" ht="15" hidden="true" customHeight="false" outlineLevel="1" collapsed="false">
      <c r="A37" s="11" t="s">
        <v>1891</v>
      </c>
      <c r="B37" s="15" t="s">
        <v>1866</v>
      </c>
      <c r="C37" s="11" t="s">
        <v>367</v>
      </c>
      <c r="E37" s="49" t="str">
        <f aca="false">IFERROR(IF(OR(NOT(ISNUMBER(E35)),N(E34)=0),"",E35/E34),"")</f>
        <v/>
      </c>
      <c r="F37" s="49" t="str">
        <f aca="false">IFERROR(IF(OR(NOT(ISNUMBER(F35)),N(F34)=0),"",F35/F34),"")</f>
        <v/>
      </c>
      <c r="G37" s="49" t="str">
        <f aca="false">IFERROR(IF(OR(NOT(ISNUMBER(G35)),N(G34)=0),"",G35/G34),"")</f>
        <v/>
      </c>
      <c r="H37" s="49" t="str">
        <f aca="false">IFERROR(IF(OR(NOT(ISNUMBER(H35)),N(H34)=0),"",H35/H34),"")</f>
        <v/>
      </c>
      <c r="I37" s="49" t="str">
        <f aca="false">IFERROR(IF(OR(NOT(ISNUMBER(I35)),N(I34)=0),"",I35/I34),"")</f>
        <v/>
      </c>
      <c r="J37" s="49" t="str">
        <f aca="false">IFERROR(IF(OR(NOT(ISNUMBER(J35)),N(J34)=0),"",J35/J34),"")</f>
        <v/>
      </c>
      <c r="K37" s="49" t="str">
        <f aca="false">IFERROR(IF(OR(NOT(ISNUMBER(K35)),N(K34)=0),"",K35/K34),"")</f>
        <v/>
      </c>
      <c r="L37" s="49" t="str">
        <f aca="false">IFERROR(IF(OR(NOT(ISNUMBER(L35)),N(L34)=0),"",L35/L34),"")</f>
        <v/>
      </c>
      <c r="M37" s="49" t="str">
        <f aca="false">IFERROR(IF(OR(NOT(ISNUMBER(M35)),N(M34)=0),"",M35/M34),"")</f>
        <v/>
      </c>
      <c r="N37" s="49" t="str">
        <f aca="false">IFERROR(IF(OR(NOT(ISNUMBER(N35)),N(N34)=0),"",N35/N34),"")</f>
        <v/>
      </c>
      <c r="O37" s="99" t="str">
        <f aca="false">IFERROR(IF(OR(NOT(ISNUMBER(O35)),N(O34)=0),"",O35/O34),"")</f>
        <v/>
      </c>
    </row>
    <row r="38" customFormat="false" ht="15" hidden="true" customHeight="false" outlineLevel="1" collapsed="false">
      <c r="A38" s="11" t="s">
        <v>1892</v>
      </c>
      <c r="B38" s="53" t="str">
        <f aca="false">IF(INDEX(Prod_Nombre,7)="","Producto 7",INDEX(Prod_Nombre,7))&amp;" — capacidad instalada"</f>
        <v>Producto 7 — capacidad instalada</v>
      </c>
      <c r="C38" s="11" t="s">
        <v>544</v>
      </c>
      <c r="E38" s="48" t="n">
        <f aca="false">IF(cu_P=1,IF(INDEX(Prod_Nombre,7)="",0,IF(AND(N(INDEX(Cap_Anio,7))&gt;0,1&gt;=N(INDEX(Cap_Anio,7))),N(INDEX(Cap_Amp,7)),N(INDEX(Cap_Ini,7)))),IF(INDEX(Prod_Nombre,7)="",0,IF(AND(N(INDEX(Cap_Anio,7))&gt;0,1&gt;=N(INDEX(Cap_Anio,7))),N(INDEX(Cap_Amp,7)),N(INDEX(Cap_Ini,7)))))</f>
        <v>0</v>
      </c>
      <c r="F38" s="48" t="n">
        <f aca="false">IF(cu_P=1,IF(INDEX(Prod_Nombre,7)="",0,IF(AND(N(INDEX(Cap_Anio,7))&gt;0,2&gt;=N(INDEX(Cap_Anio,7))),N(INDEX(Cap_Amp,7)),N(INDEX(Cap_Ini,7)))),IF(INDEX(Prod_Nombre,7)="",0,IF(AND(N(INDEX(Cap_Anio,7))&gt;0,2&gt;=N(INDEX(Cap_Anio,7))),N(INDEX(Cap_Amp,7)),N(INDEX(Cap_Ini,7)))))</f>
        <v>0</v>
      </c>
      <c r="G38" s="48" t="n">
        <f aca="false">IF(cu_P=1,IF(INDEX(Prod_Nombre,7)="",0,IF(AND(N(INDEX(Cap_Anio,7))&gt;0,3&gt;=N(INDEX(Cap_Anio,7))),N(INDEX(Cap_Amp,7)),N(INDEX(Cap_Ini,7)))),IF(INDEX(Prod_Nombre,7)="",0,IF(AND(N(INDEX(Cap_Anio,7))&gt;0,3&gt;=N(INDEX(Cap_Anio,7))),N(INDEX(Cap_Amp,7)),N(INDEX(Cap_Ini,7)))))</f>
        <v>0</v>
      </c>
      <c r="H38" s="48" t="n">
        <f aca="false">IF(cu_P=1,IF(INDEX(Prod_Nombre,7)="",0,IF(AND(N(INDEX(Cap_Anio,7))&gt;0,4&gt;=N(INDEX(Cap_Anio,7))),N(INDEX(Cap_Amp,7)),N(INDEX(Cap_Ini,7)))),IF(INDEX(Prod_Nombre,7)="",0,IF(AND(N(INDEX(Cap_Anio,7))&gt;0,4&gt;=N(INDEX(Cap_Anio,7))),N(INDEX(Cap_Amp,7)),N(INDEX(Cap_Ini,7)))))</f>
        <v>0</v>
      </c>
      <c r="I38" s="48" t="n">
        <f aca="false">IF(cu_P=1,IF(INDEX(Prod_Nombre,7)="",0,IF(AND(N(INDEX(Cap_Anio,7))&gt;0,5&gt;=N(INDEX(Cap_Anio,7))),N(INDEX(Cap_Amp,7)),N(INDEX(Cap_Ini,7)))),IF(INDEX(Prod_Nombre,7)="",0,IF(AND(N(INDEX(Cap_Anio,7))&gt;0,5&gt;=N(INDEX(Cap_Anio,7))),N(INDEX(Cap_Amp,7)),N(INDEX(Cap_Ini,7)))))</f>
        <v>0</v>
      </c>
      <c r="J38" s="48" t="n">
        <f aca="false">IF(cu_P=1,IF(INDEX(Prod_Nombre,7)="",0,IF(AND(N(INDEX(Cap_Anio,7))&gt;0,6&gt;=N(INDEX(Cap_Anio,7))),N(INDEX(Cap_Amp,7)),N(INDEX(Cap_Ini,7)))),IF(INDEX(Prod_Nombre,7)="",0,IF(AND(N(INDEX(Cap_Anio,7))&gt;0,6&gt;=N(INDEX(Cap_Anio,7))),N(INDEX(Cap_Amp,7)),N(INDEX(Cap_Ini,7)))))</f>
        <v>0</v>
      </c>
      <c r="K38" s="48" t="n">
        <f aca="false">IF(cu_P=1,IF(INDEX(Prod_Nombre,7)="",0,IF(AND(N(INDEX(Cap_Anio,7))&gt;0,7&gt;=N(INDEX(Cap_Anio,7))),N(INDEX(Cap_Amp,7)),N(INDEX(Cap_Ini,7)))),IF(INDEX(Prod_Nombre,7)="",0,IF(AND(N(INDEX(Cap_Anio,7))&gt;0,7&gt;=N(INDEX(Cap_Anio,7))),N(INDEX(Cap_Amp,7)),N(INDEX(Cap_Ini,7)))))</f>
        <v>0</v>
      </c>
      <c r="L38" s="48" t="n">
        <f aca="false">IF(cu_P=1,IF(INDEX(Prod_Nombre,7)="",0,IF(AND(N(INDEX(Cap_Anio,7))&gt;0,8&gt;=N(INDEX(Cap_Anio,7))),N(INDEX(Cap_Amp,7)),N(INDEX(Cap_Ini,7)))),IF(INDEX(Prod_Nombre,7)="",0,IF(AND(N(INDEX(Cap_Anio,7))&gt;0,8&gt;=N(INDEX(Cap_Anio,7))),N(INDEX(Cap_Amp,7)),N(INDEX(Cap_Ini,7)))))</f>
        <v>0</v>
      </c>
      <c r="M38" s="48" t="n">
        <f aca="false">IF(cu_P=1,IF(INDEX(Prod_Nombre,7)="",0,IF(AND(N(INDEX(Cap_Anio,7))&gt;0,9&gt;=N(INDEX(Cap_Anio,7))),N(INDEX(Cap_Amp,7)),N(INDEX(Cap_Ini,7)))),IF(INDEX(Prod_Nombre,7)="",0,IF(AND(N(INDEX(Cap_Anio,7))&gt;0,9&gt;=N(INDEX(Cap_Anio,7))),N(INDEX(Cap_Amp,7)),N(INDEX(Cap_Ini,7)))))</f>
        <v>0</v>
      </c>
      <c r="N38" s="48" t="n">
        <f aca="false">IF(cu_P=1,IF(INDEX(Prod_Nombre,7)="",0,IF(AND(N(INDEX(Cap_Anio,7))&gt;0,10&gt;=N(INDEX(Cap_Anio,7))),N(INDEX(Cap_Amp,7)),N(INDEX(Cap_Ini,7)))),IF(INDEX(Prod_Nombre,7)="",0,IF(AND(N(INDEX(Cap_Anio,7))&gt;0,10&gt;=N(INDEX(Cap_Anio,7))),N(INDEX(Cap_Amp,7)),N(INDEX(Cap_Ini,7)))))</f>
        <v>0</v>
      </c>
    </row>
    <row r="39" customFormat="false" ht="15" hidden="true" customHeight="false" outlineLevel="1" collapsed="false">
      <c r="A39" s="11" t="s">
        <v>1893</v>
      </c>
      <c r="B39" s="15" t="s">
        <v>1860</v>
      </c>
      <c r="C39" s="11" t="s">
        <v>544</v>
      </c>
      <c r="D39" s="48" t="n">
        <f aca="false">IF(cu_P=1,SUMIFS(Calculo!$F$27:$ES$27,Calculo!$F$16:$ES$16,1)/(1-P_Merma),SUMIFS(Calculo!$F$183:$ES$183,Calculo!$F$172:$ES$172,1)/(1-V_Merma))</f>
        <v>0</v>
      </c>
      <c r="E39" s="48" t="n">
        <f aca="false">IF(cu_P=1,SUMIFS(Calculo!$F$27:$ES$27,Calculo!$F$14:$ES$14,1)/(1-P_Merma),SUMIFS(Calculo!$F$183:$ES$183,Calculo!$F$170:$ES$170,1)/(1-V_Merma))</f>
        <v>0</v>
      </c>
      <c r="F39" s="48" t="n">
        <f aca="false">IF(cu_P=1,SUMIFS(Calculo!$F$27:$ES$27,Calculo!$F$14:$ES$14,2)/(1-P_Merma),SUMIFS(Calculo!$F$183:$ES$183,Calculo!$F$170:$ES$170,2)/(1-V_Merma))</f>
        <v>0</v>
      </c>
      <c r="G39" s="48" t="n">
        <f aca="false">IF(cu_P=1,SUMIFS(Calculo!$F$27:$ES$27,Calculo!$F$14:$ES$14,3)/(1-P_Merma),SUMIFS(Calculo!$F$183:$ES$183,Calculo!$F$170:$ES$170,3)/(1-V_Merma))</f>
        <v>0</v>
      </c>
      <c r="H39" s="48" t="n">
        <f aca="false">IF(cu_P=1,SUMIFS(Calculo!$F$27:$ES$27,Calculo!$F$14:$ES$14,4)/(1-P_Merma),SUMIFS(Calculo!$F$183:$ES$183,Calculo!$F$170:$ES$170,4)/(1-V_Merma))</f>
        <v>0</v>
      </c>
      <c r="I39" s="48" t="n">
        <f aca="false">IF(cu_P=1,SUMIFS(Calculo!$F$27:$ES$27,Calculo!$F$14:$ES$14,5)/(1-P_Merma),SUMIFS(Calculo!$F$183:$ES$183,Calculo!$F$170:$ES$170,5)/(1-V_Merma))</f>
        <v>0</v>
      </c>
      <c r="J39" s="48" t="n">
        <f aca="false">IF(cu_P=1,SUMIFS(Calculo!$F$27:$ES$27,Calculo!$F$14:$ES$14,6)/(1-P_Merma),SUMIFS(Calculo!$F$183:$ES$183,Calculo!$F$170:$ES$170,6)/(1-V_Merma))</f>
        <v>0</v>
      </c>
      <c r="K39" s="48" t="n">
        <f aca="false">IF(cu_P=1,SUMIFS(Calculo!$F$27:$ES$27,Calculo!$F$14:$ES$14,7)/(1-P_Merma),SUMIFS(Calculo!$F$183:$ES$183,Calculo!$F$170:$ES$170,7)/(1-V_Merma))</f>
        <v>0</v>
      </c>
      <c r="L39" s="48" t="n">
        <f aca="false">IF(cu_P=1,SUMIFS(Calculo!$F$27:$ES$27,Calculo!$F$14:$ES$14,8)/(1-P_Merma),SUMIFS(Calculo!$F$183:$ES$183,Calculo!$F$170:$ES$170,8)/(1-V_Merma))</f>
        <v>0</v>
      </c>
      <c r="M39" s="48" t="n">
        <f aca="false">IF(cu_P=1,SUMIFS(Calculo!$F$27:$ES$27,Calculo!$F$14:$ES$14,9)/(1-P_Merma),SUMIFS(Calculo!$F$183:$ES$183,Calculo!$F$170:$ES$170,9)/(1-V_Merma))</f>
        <v>0</v>
      </c>
      <c r="N39" s="48" t="n">
        <f aca="false">IF(cu_P=1,SUMIFS(Calculo!$F$27:$ES$27,Calculo!$F$14:$ES$14,10)/(1-P_Merma),SUMIFS(Calculo!$F$183:$ES$183,Calculo!$F$170:$ES$170,10)/(1-V_Merma))</f>
        <v>0</v>
      </c>
      <c r="O39" s="54" t="n">
        <f aca="false">SUM(D39:N39)</f>
        <v>0</v>
      </c>
    </row>
    <row r="40" customFormat="false" ht="15" hidden="true" customHeight="false" outlineLevel="1" collapsed="false">
      <c r="A40" s="11" t="s">
        <v>1894</v>
      </c>
      <c r="B40" s="15" t="s">
        <v>1862</v>
      </c>
      <c r="C40" s="11" t="s">
        <v>544</v>
      </c>
      <c r="D40" s="48" t="n">
        <f aca="false">IF(cu_P=1,SUMIFS(Calculo!$F$27:$ES$27,Calculo!$F$16:$ES$16,1),SUMIFS(Calculo!$F$183:$ES$183,Calculo!$F$172:$ES$172,1))</f>
        <v>0</v>
      </c>
      <c r="E40" s="48" t="n">
        <f aca="false">IF(cu_P=1,SUMIFS(Calculo!$F$27:$ES$27,Calculo!$F$14:$ES$14,1),SUMIFS(Calculo!$F$183:$ES$183,Calculo!$F$170:$ES$170,1))</f>
        <v>0</v>
      </c>
      <c r="F40" s="48" t="n">
        <f aca="false">IF(cu_P=1,SUMIFS(Calculo!$F$27:$ES$27,Calculo!$F$14:$ES$14,2),SUMIFS(Calculo!$F$183:$ES$183,Calculo!$F$170:$ES$170,2))</f>
        <v>0</v>
      </c>
      <c r="G40" s="48" t="n">
        <f aca="false">IF(cu_P=1,SUMIFS(Calculo!$F$27:$ES$27,Calculo!$F$14:$ES$14,3),SUMIFS(Calculo!$F$183:$ES$183,Calculo!$F$170:$ES$170,3))</f>
        <v>0</v>
      </c>
      <c r="H40" s="48" t="n">
        <f aca="false">IF(cu_P=1,SUMIFS(Calculo!$F$27:$ES$27,Calculo!$F$14:$ES$14,4),SUMIFS(Calculo!$F$183:$ES$183,Calculo!$F$170:$ES$170,4))</f>
        <v>0</v>
      </c>
      <c r="I40" s="48" t="n">
        <f aca="false">IF(cu_P=1,SUMIFS(Calculo!$F$27:$ES$27,Calculo!$F$14:$ES$14,5),SUMIFS(Calculo!$F$183:$ES$183,Calculo!$F$170:$ES$170,5))</f>
        <v>0</v>
      </c>
      <c r="J40" s="48" t="n">
        <f aca="false">IF(cu_P=1,SUMIFS(Calculo!$F$27:$ES$27,Calculo!$F$14:$ES$14,6),SUMIFS(Calculo!$F$183:$ES$183,Calculo!$F$170:$ES$170,6))</f>
        <v>0</v>
      </c>
      <c r="K40" s="48" t="n">
        <f aca="false">IF(cu_P=1,SUMIFS(Calculo!$F$27:$ES$27,Calculo!$F$14:$ES$14,7),SUMIFS(Calculo!$F$183:$ES$183,Calculo!$F$170:$ES$170,7))</f>
        <v>0</v>
      </c>
      <c r="L40" s="48" t="n">
        <f aca="false">IF(cu_P=1,SUMIFS(Calculo!$F$27:$ES$27,Calculo!$F$14:$ES$14,8),SUMIFS(Calculo!$F$183:$ES$183,Calculo!$F$170:$ES$170,8))</f>
        <v>0</v>
      </c>
      <c r="M40" s="48" t="n">
        <f aca="false">IF(cu_P=1,SUMIFS(Calculo!$F$27:$ES$27,Calculo!$F$14:$ES$14,9),SUMIFS(Calculo!$F$183:$ES$183,Calculo!$F$170:$ES$170,9))</f>
        <v>0</v>
      </c>
      <c r="N40" s="48" t="n">
        <f aca="false">IF(cu_P=1,SUMIFS(Calculo!$F$27:$ES$27,Calculo!$F$14:$ES$14,10),SUMIFS(Calculo!$F$183:$ES$183,Calculo!$F$170:$ES$170,10))</f>
        <v>0</v>
      </c>
      <c r="O40" s="54" t="n">
        <f aca="false">SUM(D40:N40)</f>
        <v>0</v>
      </c>
    </row>
    <row r="41" customFormat="false" ht="15" hidden="true" customHeight="false" outlineLevel="1" collapsed="false">
      <c r="A41" s="11" t="s">
        <v>1895</v>
      </c>
      <c r="B41" s="15" t="s">
        <v>1864</v>
      </c>
      <c r="C41" s="11" t="s">
        <v>367</v>
      </c>
      <c r="E41" s="49" t="str">
        <f aca="false">IFERROR(IF(OR(NOT(ISNUMBER(E39)),N(E38)=0),"",E39/E38),"")</f>
        <v/>
      </c>
      <c r="F41" s="49" t="str">
        <f aca="false">IFERROR(IF(OR(NOT(ISNUMBER(F39)),N(F38)=0),"",F39/F38),"")</f>
        <v/>
      </c>
      <c r="G41" s="49" t="str">
        <f aca="false">IFERROR(IF(OR(NOT(ISNUMBER(G39)),N(G38)=0),"",G39/G38),"")</f>
        <v/>
      </c>
      <c r="H41" s="49" t="str">
        <f aca="false">IFERROR(IF(OR(NOT(ISNUMBER(H39)),N(H38)=0),"",H39/H38),"")</f>
        <v/>
      </c>
      <c r="I41" s="49" t="str">
        <f aca="false">IFERROR(IF(OR(NOT(ISNUMBER(I39)),N(I38)=0),"",I39/I38),"")</f>
        <v/>
      </c>
      <c r="J41" s="49" t="str">
        <f aca="false">IFERROR(IF(OR(NOT(ISNUMBER(J39)),N(J38)=0),"",J39/J38),"")</f>
        <v/>
      </c>
      <c r="K41" s="49" t="str">
        <f aca="false">IFERROR(IF(OR(NOT(ISNUMBER(K39)),N(K38)=0),"",K39/K38),"")</f>
        <v/>
      </c>
      <c r="L41" s="49" t="str">
        <f aca="false">IFERROR(IF(OR(NOT(ISNUMBER(L39)),N(L38)=0),"",L39/L38),"")</f>
        <v/>
      </c>
      <c r="M41" s="49" t="str">
        <f aca="false">IFERROR(IF(OR(NOT(ISNUMBER(M39)),N(M38)=0),"",M39/M38),"")</f>
        <v/>
      </c>
      <c r="N41" s="49" t="str">
        <f aca="false">IFERROR(IF(OR(NOT(ISNUMBER(N39)),N(N38)=0),"",N39/N38),"")</f>
        <v/>
      </c>
    </row>
    <row r="42" customFormat="false" ht="15" hidden="true" customHeight="false" outlineLevel="1" collapsed="false">
      <c r="A42" s="11" t="s">
        <v>1896</v>
      </c>
      <c r="B42" s="15" t="s">
        <v>1866</v>
      </c>
      <c r="C42" s="11" t="s">
        <v>367</v>
      </c>
      <c r="E42" s="49" t="str">
        <f aca="false">IFERROR(IF(OR(NOT(ISNUMBER(E40)),N(E39)=0),"",E40/E39),"")</f>
        <v/>
      </c>
      <c r="F42" s="49" t="str">
        <f aca="false">IFERROR(IF(OR(NOT(ISNUMBER(F40)),N(F39)=0),"",F40/F39),"")</f>
        <v/>
      </c>
      <c r="G42" s="49" t="str">
        <f aca="false">IFERROR(IF(OR(NOT(ISNUMBER(G40)),N(G39)=0),"",G40/G39),"")</f>
        <v/>
      </c>
      <c r="H42" s="49" t="str">
        <f aca="false">IFERROR(IF(OR(NOT(ISNUMBER(H40)),N(H39)=0),"",H40/H39),"")</f>
        <v/>
      </c>
      <c r="I42" s="49" t="str">
        <f aca="false">IFERROR(IF(OR(NOT(ISNUMBER(I40)),N(I39)=0),"",I40/I39),"")</f>
        <v/>
      </c>
      <c r="J42" s="49" t="str">
        <f aca="false">IFERROR(IF(OR(NOT(ISNUMBER(J40)),N(J39)=0),"",J40/J39),"")</f>
        <v/>
      </c>
      <c r="K42" s="49" t="str">
        <f aca="false">IFERROR(IF(OR(NOT(ISNUMBER(K40)),N(K39)=0),"",K40/K39),"")</f>
        <v/>
      </c>
      <c r="L42" s="49" t="str">
        <f aca="false">IFERROR(IF(OR(NOT(ISNUMBER(L40)),N(L39)=0),"",L40/L39),"")</f>
        <v/>
      </c>
      <c r="M42" s="49" t="str">
        <f aca="false">IFERROR(IF(OR(NOT(ISNUMBER(M40)),N(M39)=0),"",M40/M39),"")</f>
        <v/>
      </c>
      <c r="N42" s="49" t="str">
        <f aca="false">IFERROR(IF(OR(NOT(ISNUMBER(N40)),N(N39)=0),"",N40/N39),"")</f>
        <v/>
      </c>
      <c r="O42" s="99" t="str">
        <f aca="false">IFERROR(IF(OR(NOT(ISNUMBER(O40)),N(O39)=0),"",O40/O39),"")</f>
        <v/>
      </c>
    </row>
    <row r="43" customFormat="false" ht="15" hidden="true" customHeight="false" outlineLevel="1" collapsed="false">
      <c r="A43" s="11" t="s">
        <v>1897</v>
      </c>
      <c r="B43" s="53" t="str">
        <f aca="false">IF(INDEX(Prod_Nombre,8)="","Producto 8",INDEX(Prod_Nombre,8))&amp;" — capacidad instalada"</f>
        <v>Producto 8 — capacidad instalada</v>
      </c>
      <c r="C43" s="11" t="s">
        <v>544</v>
      </c>
      <c r="E43" s="48" t="n">
        <f aca="false">IF(cu_P=1,IF(INDEX(Prod_Nombre,8)="",0,IF(AND(N(INDEX(Cap_Anio,8))&gt;0,1&gt;=N(INDEX(Cap_Anio,8))),N(INDEX(Cap_Amp,8)),N(INDEX(Cap_Ini,8)))),IF(INDEX(Prod_Nombre,8)="",0,IF(AND(N(INDEX(Cap_Anio,8))&gt;0,1&gt;=N(INDEX(Cap_Anio,8))),N(INDEX(Cap_Amp,8)),N(INDEX(Cap_Ini,8)))))</f>
        <v>0</v>
      </c>
      <c r="F43" s="48" t="n">
        <f aca="false">IF(cu_P=1,IF(INDEX(Prod_Nombre,8)="",0,IF(AND(N(INDEX(Cap_Anio,8))&gt;0,2&gt;=N(INDEX(Cap_Anio,8))),N(INDEX(Cap_Amp,8)),N(INDEX(Cap_Ini,8)))),IF(INDEX(Prod_Nombre,8)="",0,IF(AND(N(INDEX(Cap_Anio,8))&gt;0,2&gt;=N(INDEX(Cap_Anio,8))),N(INDEX(Cap_Amp,8)),N(INDEX(Cap_Ini,8)))))</f>
        <v>0</v>
      </c>
      <c r="G43" s="48" t="n">
        <f aca="false">IF(cu_P=1,IF(INDEX(Prod_Nombre,8)="",0,IF(AND(N(INDEX(Cap_Anio,8))&gt;0,3&gt;=N(INDEX(Cap_Anio,8))),N(INDEX(Cap_Amp,8)),N(INDEX(Cap_Ini,8)))),IF(INDEX(Prod_Nombre,8)="",0,IF(AND(N(INDEX(Cap_Anio,8))&gt;0,3&gt;=N(INDEX(Cap_Anio,8))),N(INDEX(Cap_Amp,8)),N(INDEX(Cap_Ini,8)))))</f>
        <v>0</v>
      </c>
      <c r="H43" s="48" t="n">
        <f aca="false">IF(cu_P=1,IF(INDEX(Prod_Nombre,8)="",0,IF(AND(N(INDEX(Cap_Anio,8))&gt;0,4&gt;=N(INDEX(Cap_Anio,8))),N(INDEX(Cap_Amp,8)),N(INDEX(Cap_Ini,8)))),IF(INDEX(Prod_Nombre,8)="",0,IF(AND(N(INDEX(Cap_Anio,8))&gt;0,4&gt;=N(INDEX(Cap_Anio,8))),N(INDEX(Cap_Amp,8)),N(INDEX(Cap_Ini,8)))))</f>
        <v>0</v>
      </c>
      <c r="I43" s="48" t="n">
        <f aca="false">IF(cu_P=1,IF(INDEX(Prod_Nombre,8)="",0,IF(AND(N(INDEX(Cap_Anio,8))&gt;0,5&gt;=N(INDEX(Cap_Anio,8))),N(INDEX(Cap_Amp,8)),N(INDEX(Cap_Ini,8)))),IF(INDEX(Prod_Nombre,8)="",0,IF(AND(N(INDEX(Cap_Anio,8))&gt;0,5&gt;=N(INDEX(Cap_Anio,8))),N(INDEX(Cap_Amp,8)),N(INDEX(Cap_Ini,8)))))</f>
        <v>0</v>
      </c>
      <c r="J43" s="48" t="n">
        <f aca="false">IF(cu_P=1,IF(INDEX(Prod_Nombre,8)="",0,IF(AND(N(INDEX(Cap_Anio,8))&gt;0,6&gt;=N(INDEX(Cap_Anio,8))),N(INDEX(Cap_Amp,8)),N(INDEX(Cap_Ini,8)))),IF(INDEX(Prod_Nombre,8)="",0,IF(AND(N(INDEX(Cap_Anio,8))&gt;0,6&gt;=N(INDEX(Cap_Anio,8))),N(INDEX(Cap_Amp,8)),N(INDEX(Cap_Ini,8)))))</f>
        <v>0</v>
      </c>
      <c r="K43" s="48" t="n">
        <f aca="false">IF(cu_P=1,IF(INDEX(Prod_Nombre,8)="",0,IF(AND(N(INDEX(Cap_Anio,8))&gt;0,7&gt;=N(INDEX(Cap_Anio,8))),N(INDEX(Cap_Amp,8)),N(INDEX(Cap_Ini,8)))),IF(INDEX(Prod_Nombre,8)="",0,IF(AND(N(INDEX(Cap_Anio,8))&gt;0,7&gt;=N(INDEX(Cap_Anio,8))),N(INDEX(Cap_Amp,8)),N(INDEX(Cap_Ini,8)))))</f>
        <v>0</v>
      </c>
      <c r="L43" s="48" t="n">
        <f aca="false">IF(cu_P=1,IF(INDEX(Prod_Nombre,8)="",0,IF(AND(N(INDEX(Cap_Anio,8))&gt;0,8&gt;=N(INDEX(Cap_Anio,8))),N(INDEX(Cap_Amp,8)),N(INDEX(Cap_Ini,8)))),IF(INDEX(Prod_Nombre,8)="",0,IF(AND(N(INDEX(Cap_Anio,8))&gt;0,8&gt;=N(INDEX(Cap_Anio,8))),N(INDEX(Cap_Amp,8)),N(INDEX(Cap_Ini,8)))))</f>
        <v>0</v>
      </c>
      <c r="M43" s="48" t="n">
        <f aca="false">IF(cu_P=1,IF(INDEX(Prod_Nombre,8)="",0,IF(AND(N(INDEX(Cap_Anio,8))&gt;0,9&gt;=N(INDEX(Cap_Anio,8))),N(INDEX(Cap_Amp,8)),N(INDEX(Cap_Ini,8)))),IF(INDEX(Prod_Nombre,8)="",0,IF(AND(N(INDEX(Cap_Anio,8))&gt;0,9&gt;=N(INDEX(Cap_Anio,8))),N(INDEX(Cap_Amp,8)),N(INDEX(Cap_Ini,8)))))</f>
        <v>0</v>
      </c>
      <c r="N43" s="48" t="n">
        <f aca="false">IF(cu_P=1,IF(INDEX(Prod_Nombre,8)="",0,IF(AND(N(INDEX(Cap_Anio,8))&gt;0,10&gt;=N(INDEX(Cap_Anio,8))),N(INDEX(Cap_Amp,8)),N(INDEX(Cap_Ini,8)))),IF(INDEX(Prod_Nombre,8)="",0,IF(AND(N(INDEX(Cap_Anio,8))&gt;0,10&gt;=N(INDEX(Cap_Anio,8))),N(INDEX(Cap_Amp,8)),N(INDEX(Cap_Ini,8)))))</f>
        <v>0</v>
      </c>
    </row>
    <row r="44" customFormat="false" ht="15" hidden="true" customHeight="false" outlineLevel="1" collapsed="false">
      <c r="A44" s="11" t="s">
        <v>1898</v>
      </c>
      <c r="B44" s="15" t="s">
        <v>1860</v>
      </c>
      <c r="C44" s="11" t="s">
        <v>544</v>
      </c>
      <c r="D44" s="48" t="n">
        <f aca="false">IF(cu_P=1,SUMIFS(Calculo!$F$28:$ES$28,Calculo!$F$16:$ES$16,1)/(1-P_Merma),SUMIFS(Calculo!$F$184:$ES$184,Calculo!$F$172:$ES$172,1)/(1-V_Merma))</f>
        <v>0</v>
      </c>
      <c r="E44" s="48" t="n">
        <f aca="false">IF(cu_P=1,SUMIFS(Calculo!$F$28:$ES$28,Calculo!$F$14:$ES$14,1)/(1-P_Merma),SUMIFS(Calculo!$F$184:$ES$184,Calculo!$F$170:$ES$170,1)/(1-V_Merma))</f>
        <v>0</v>
      </c>
      <c r="F44" s="48" t="n">
        <f aca="false">IF(cu_P=1,SUMIFS(Calculo!$F$28:$ES$28,Calculo!$F$14:$ES$14,2)/(1-P_Merma),SUMIFS(Calculo!$F$184:$ES$184,Calculo!$F$170:$ES$170,2)/(1-V_Merma))</f>
        <v>0</v>
      </c>
      <c r="G44" s="48" t="n">
        <f aca="false">IF(cu_P=1,SUMIFS(Calculo!$F$28:$ES$28,Calculo!$F$14:$ES$14,3)/(1-P_Merma),SUMIFS(Calculo!$F$184:$ES$184,Calculo!$F$170:$ES$170,3)/(1-V_Merma))</f>
        <v>0</v>
      </c>
      <c r="H44" s="48" t="n">
        <f aca="false">IF(cu_P=1,SUMIFS(Calculo!$F$28:$ES$28,Calculo!$F$14:$ES$14,4)/(1-P_Merma),SUMIFS(Calculo!$F$184:$ES$184,Calculo!$F$170:$ES$170,4)/(1-V_Merma))</f>
        <v>0</v>
      </c>
      <c r="I44" s="48" t="n">
        <f aca="false">IF(cu_P=1,SUMIFS(Calculo!$F$28:$ES$28,Calculo!$F$14:$ES$14,5)/(1-P_Merma),SUMIFS(Calculo!$F$184:$ES$184,Calculo!$F$170:$ES$170,5)/(1-V_Merma))</f>
        <v>0</v>
      </c>
      <c r="J44" s="48" t="n">
        <f aca="false">IF(cu_P=1,SUMIFS(Calculo!$F$28:$ES$28,Calculo!$F$14:$ES$14,6)/(1-P_Merma),SUMIFS(Calculo!$F$184:$ES$184,Calculo!$F$170:$ES$170,6)/(1-V_Merma))</f>
        <v>0</v>
      </c>
      <c r="K44" s="48" t="n">
        <f aca="false">IF(cu_P=1,SUMIFS(Calculo!$F$28:$ES$28,Calculo!$F$14:$ES$14,7)/(1-P_Merma),SUMIFS(Calculo!$F$184:$ES$184,Calculo!$F$170:$ES$170,7)/(1-V_Merma))</f>
        <v>0</v>
      </c>
      <c r="L44" s="48" t="n">
        <f aca="false">IF(cu_P=1,SUMIFS(Calculo!$F$28:$ES$28,Calculo!$F$14:$ES$14,8)/(1-P_Merma),SUMIFS(Calculo!$F$184:$ES$184,Calculo!$F$170:$ES$170,8)/(1-V_Merma))</f>
        <v>0</v>
      </c>
      <c r="M44" s="48" t="n">
        <f aca="false">IF(cu_P=1,SUMIFS(Calculo!$F$28:$ES$28,Calculo!$F$14:$ES$14,9)/(1-P_Merma),SUMIFS(Calculo!$F$184:$ES$184,Calculo!$F$170:$ES$170,9)/(1-V_Merma))</f>
        <v>0</v>
      </c>
      <c r="N44" s="48" t="n">
        <f aca="false">IF(cu_P=1,SUMIFS(Calculo!$F$28:$ES$28,Calculo!$F$14:$ES$14,10)/(1-P_Merma),SUMIFS(Calculo!$F$184:$ES$184,Calculo!$F$170:$ES$170,10)/(1-V_Merma))</f>
        <v>0</v>
      </c>
      <c r="O44" s="54" t="n">
        <f aca="false">SUM(D44:N44)</f>
        <v>0</v>
      </c>
    </row>
    <row r="45" customFormat="false" ht="15" hidden="true" customHeight="false" outlineLevel="1" collapsed="false">
      <c r="A45" s="11" t="s">
        <v>1899</v>
      </c>
      <c r="B45" s="15" t="s">
        <v>1862</v>
      </c>
      <c r="C45" s="11" t="s">
        <v>544</v>
      </c>
      <c r="D45" s="48" t="n">
        <f aca="false">IF(cu_P=1,SUMIFS(Calculo!$F$28:$ES$28,Calculo!$F$16:$ES$16,1),SUMIFS(Calculo!$F$184:$ES$184,Calculo!$F$172:$ES$172,1))</f>
        <v>0</v>
      </c>
      <c r="E45" s="48" t="n">
        <f aca="false">IF(cu_P=1,SUMIFS(Calculo!$F$28:$ES$28,Calculo!$F$14:$ES$14,1),SUMIFS(Calculo!$F$184:$ES$184,Calculo!$F$170:$ES$170,1))</f>
        <v>0</v>
      </c>
      <c r="F45" s="48" t="n">
        <f aca="false">IF(cu_P=1,SUMIFS(Calculo!$F$28:$ES$28,Calculo!$F$14:$ES$14,2),SUMIFS(Calculo!$F$184:$ES$184,Calculo!$F$170:$ES$170,2))</f>
        <v>0</v>
      </c>
      <c r="G45" s="48" t="n">
        <f aca="false">IF(cu_P=1,SUMIFS(Calculo!$F$28:$ES$28,Calculo!$F$14:$ES$14,3),SUMIFS(Calculo!$F$184:$ES$184,Calculo!$F$170:$ES$170,3))</f>
        <v>0</v>
      </c>
      <c r="H45" s="48" t="n">
        <f aca="false">IF(cu_P=1,SUMIFS(Calculo!$F$28:$ES$28,Calculo!$F$14:$ES$14,4),SUMIFS(Calculo!$F$184:$ES$184,Calculo!$F$170:$ES$170,4))</f>
        <v>0</v>
      </c>
      <c r="I45" s="48" t="n">
        <f aca="false">IF(cu_P=1,SUMIFS(Calculo!$F$28:$ES$28,Calculo!$F$14:$ES$14,5),SUMIFS(Calculo!$F$184:$ES$184,Calculo!$F$170:$ES$170,5))</f>
        <v>0</v>
      </c>
      <c r="J45" s="48" t="n">
        <f aca="false">IF(cu_P=1,SUMIFS(Calculo!$F$28:$ES$28,Calculo!$F$14:$ES$14,6),SUMIFS(Calculo!$F$184:$ES$184,Calculo!$F$170:$ES$170,6))</f>
        <v>0</v>
      </c>
      <c r="K45" s="48" t="n">
        <f aca="false">IF(cu_P=1,SUMIFS(Calculo!$F$28:$ES$28,Calculo!$F$14:$ES$14,7),SUMIFS(Calculo!$F$184:$ES$184,Calculo!$F$170:$ES$170,7))</f>
        <v>0</v>
      </c>
      <c r="L45" s="48" t="n">
        <f aca="false">IF(cu_P=1,SUMIFS(Calculo!$F$28:$ES$28,Calculo!$F$14:$ES$14,8),SUMIFS(Calculo!$F$184:$ES$184,Calculo!$F$170:$ES$170,8))</f>
        <v>0</v>
      </c>
      <c r="M45" s="48" t="n">
        <f aca="false">IF(cu_P=1,SUMIFS(Calculo!$F$28:$ES$28,Calculo!$F$14:$ES$14,9),SUMIFS(Calculo!$F$184:$ES$184,Calculo!$F$170:$ES$170,9))</f>
        <v>0</v>
      </c>
      <c r="N45" s="48" t="n">
        <f aca="false">IF(cu_P=1,SUMIFS(Calculo!$F$28:$ES$28,Calculo!$F$14:$ES$14,10),SUMIFS(Calculo!$F$184:$ES$184,Calculo!$F$170:$ES$170,10))</f>
        <v>0</v>
      </c>
      <c r="O45" s="54" t="n">
        <f aca="false">SUM(D45:N45)</f>
        <v>0</v>
      </c>
    </row>
    <row r="46" customFormat="false" ht="15" hidden="true" customHeight="false" outlineLevel="1" collapsed="false">
      <c r="A46" s="11" t="s">
        <v>1900</v>
      </c>
      <c r="B46" s="15" t="s">
        <v>1864</v>
      </c>
      <c r="C46" s="11" t="s">
        <v>367</v>
      </c>
      <c r="E46" s="49" t="str">
        <f aca="false">IFERROR(IF(OR(NOT(ISNUMBER(E44)),N(E43)=0),"",E44/E43),"")</f>
        <v/>
      </c>
      <c r="F46" s="49" t="str">
        <f aca="false">IFERROR(IF(OR(NOT(ISNUMBER(F44)),N(F43)=0),"",F44/F43),"")</f>
        <v/>
      </c>
      <c r="G46" s="49" t="str">
        <f aca="false">IFERROR(IF(OR(NOT(ISNUMBER(G44)),N(G43)=0),"",G44/G43),"")</f>
        <v/>
      </c>
      <c r="H46" s="49" t="str">
        <f aca="false">IFERROR(IF(OR(NOT(ISNUMBER(H44)),N(H43)=0),"",H44/H43),"")</f>
        <v/>
      </c>
      <c r="I46" s="49" t="str">
        <f aca="false">IFERROR(IF(OR(NOT(ISNUMBER(I44)),N(I43)=0),"",I44/I43),"")</f>
        <v/>
      </c>
      <c r="J46" s="49" t="str">
        <f aca="false">IFERROR(IF(OR(NOT(ISNUMBER(J44)),N(J43)=0),"",J44/J43),"")</f>
        <v/>
      </c>
      <c r="K46" s="49" t="str">
        <f aca="false">IFERROR(IF(OR(NOT(ISNUMBER(K44)),N(K43)=0),"",K44/K43),"")</f>
        <v/>
      </c>
      <c r="L46" s="49" t="str">
        <f aca="false">IFERROR(IF(OR(NOT(ISNUMBER(L44)),N(L43)=0),"",L44/L43),"")</f>
        <v/>
      </c>
      <c r="M46" s="49" t="str">
        <f aca="false">IFERROR(IF(OR(NOT(ISNUMBER(M44)),N(M43)=0),"",M44/M43),"")</f>
        <v/>
      </c>
      <c r="N46" s="49" t="str">
        <f aca="false">IFERROR(IF(OR(NOT(ISNUMBER(N44)),N(N43)=0),"",N44/N43),"")</f>
        <v/>
      </c>
    </row>
    <row r="47" customFormat="false" ht="15" hidden="true" customHeight="false" outlineLevel="1" collapsed="false">
      <c r="A47" s="11" t="s">
        <v>1901</v>
      </c>
      <c r="B47" s="15" t="s">
        <v>1866</v>
      </c>
      <c r="C47" s="11" t="s">
        <v>367</v>
      </c>
      <c r="E47" s="49" t="str">
        <f aca="false">IFERROR(IF(OR(NOT(ISNUMBER(E45)),N(E44)=0),"",E45/E44),"")</f>
        <v/>
      </c>
      <c r="F47" s="49" t="str">
        <f aca="false">IFERROR(IF(OR(NOT(ISNUMBER(F45)),N(F44)=0),"",F45/F44),"")</f>
        <v/>
      </c>
      <c r="G47" s="49" t="str">
        <f aca="false">IFERROR(IF(OR(NOT(ISNUMBER(G45)),N(G44)=0),"",G45/G44),"")</f>
        <v/>
      </c>
      <c r="H47" s="49" t="str">
        <f aca="false">IFERROR(IF(OR(NOT(ISNUMBER(H45)),N(H44)=0),"",H45/H44),"")</f>
        <v/>
      </c>
      <c r="I47" s="49" t="str">
        <f aca="false">IFERROR(IF(OR(NOT(ISNUMBER(I45)),N(I44)=0),"",I45/I44),"")</f>
        <v/>
      </c>
      <c r="J47" s="49" t="str">
        <f aca="false">IFERROR(IF(OR(NOT(ISNUMBER(J45)),N(J44)=0),"",J45/J44),"")</f>
        <v/>
      </c>
      <c r="K47" s="49" t="str">
        <f aca="false">IFERROR(IF(OR(NOT(ISNUMBER(K45)),N(K44)=0),"",K45/K44),"")</f>
        <v/>
      </c>
      <c r="L47" s="49" t="str">
        <f aca="false">IFERROR(IF(OR(NOT(ISNUMBER(L45)),N(L44)=0),"",L45/L44),"")</f>
        <v/>
      </c>
      <c r="M47" s="49" t="str">
        <f aca="false">IFERROR(IF(OR(NOT(ISNUMBER(M45)),N(M44)=0),"",M45/M44),"")</f>
        <v/>
      </c>
      <c r="N47" s="49" t="str">
        <f aca="false">IFERROR(IF(OR(NOT(ISNUMBER(N45)),N(N44)=0),"",N45/N44),"")</f>
        <v/>
      </c>
      <c r="O47" s="99" t="str">
        <f aca="false">IFERROR(IF(OR(NOT(ISNUMBER(O45)),N(O44)=0),"",O45/O44),"")</f>
        <v/>
      </c>
    </row>
    <row r="48" customFormat="false" ht="15" hidden="true" customHeight="false" outlineLevel="1" collapsed="false">
      <c r="A48" s="11" t="s">
        <v>1902</v>
      </c>
      <c r="B48" s="53" t="str">
        <f aca="false">IF(INDEX(Prod_Nombre,9)="","Producto 9",INDEX(Prod_Nombre,9))&amp;" — capacidad instalada"</f>
        <v>Producto 9 — capacidad instalada</v>
      </c>
      <c r="C48" s="11" t="s">
        <v>544</v>
      </c>
      <c r="E48" s="48" t="n">
        <f aca="false">IF(cu_P=1,IF(INDEX(Prod_Nombre,9)="",0,IF(AND(N(INDEX(Cap_Anio,9))&gt;0,1&gt;=N(INDEX(Cap_Anio,9))),N(INDEX(Cap_Amp,9)),N(INDEX(Cap_Ini,9)))),IF(INDEX(Prod_Nombre,9)="",0,IF(AND(N(INDEX(Cap_Anio,9))&gt;0,1&gt;=N(INDEX(Cap_Anio,9))),N(INDEX(Cap_Amp,9)),N(INDEX(Cap_Ini,9)))))</f>
        <v>0</v>
      </c>
      <c r="F48" s="48" t="n">
        <f aca="false">IF(cu_P=1,IF(INDEX(Prod_Nombre,9)="",0,IF(AND(N(INDEX(Cap_Anio,9))&gt;0,2&gt;=N(INDEX(Cap_Anio,9))),N(INDEX(Cap_Amp,9)),N(INDEX(Cap_Ini,9)))),IF(INDEX(Prod_Nombre,9)="",0,IF(AND(N(INDEX(Cap_Anio,9))&gt;0,2&gt;=N(INDEX(Cap_Anio,9))),N(INDEX(Cap_Amp,9)),N(INDEX(Cap_Ini,9)))))</f>
        <v>0</v>
      </c>
      <c r="G48" s="48" t="n">
        <f aca="false">IF(cu_P=1,IF(INDEX(Prod_Nombre,9)="",0,IF(AND(N(INDEX(Cap_Anio,9))&gt;0,3&gt;=N(INDEX(Cap_Anio,9))),N(INDEX(Cap_Amp,9)),N(INDEX(Cap_Ini,9)))),IF(INDEX(Prod_Nombre,9)="",0,IF(AND(N(INDEX(Cap_Anio,9))&gt;0,3&gt;=N(INDEX(Cap_Anio,9))),N(INDEX(Cap_Amp,9)),N(INDEX(Cap_Ini,9)))))</f>
        <v>0</v>
      </c>
      <c r="H48" s="48" t="n">
        <f aca="false">IF(cu_P=1,IF(INDEX(Prod_Nombre,9)="",0,IF(AND(N(INDEX(Cap_Anio,9))&gt;0,4&gt;=N(INDEX(Cap_Anio,9))),N(INDEX(Cap_Amp,9)),N(INDEX(Cap_Ini,9)))),IF(INDEX(Prod_Nombre,9)="",0,IF(AND(N(INDEX(Cap_Anio,9))&gt;0,4&gt;=N(INDEX(Cap_Anio,9))),N(INDEX(Cap_Amp,9)),N(INDEX(Cap_Ini,9)))))</f>
        <v>0</v>
      </c>
      <c r="I48" s="48" t="n">
        <f aca="false">IF(cu_P=1,IF(INDEX(Prod_Nombre,9)="",0,IF(AND(N(INDEX(Cap_Anio,9))&gt;0,5&gt;=N(INDEX(Cap_Anio,9))),N(INDEX(Cap_Amp,9)),N(INDEX(Cap_Ini,9)))),IF(INDEX(Prod_Nombre,9)="",0,IF(AND(N(INDEX(Cap_Anio,9))&gt;0,5&gt;=N(INDEX(Cap_Anio,9))),N(INDEX(Cap_Amp,9)),N(INDEX(Cap_Ini,9)))))</f>
        <v>0</v>
      </c>
      <c r="J48" s="48" t="n">
        <f aca="false">IF(cu_P=1,IF(INDEX(Prod_Nombre,9)="",0,IF(AND(N(INDEX(Cap_Anio,9))&gt;0,6&gt;=N(INDEX(Cap_Anio,9))),N(INDEX(Cap_Amp,9)),N(INDEX(Cap_Ini,9)))),IF(INDEX(Prod_Nombre,9)="",0,IF(AND(N(INDEX(Cap_Anio,9))&gt;0,6&gt;=N(INDEX(Cap_Anio,9))),N(INDEX(Cap_Amp,9)),N(INDEX(Cap_Ini,9)))))</f>
        <v>0</v>
      </c>
      <c r="K48" s="48" t="n">
        <f aca="false">IF(cu_P=1,IF(INDEX(Prod_Nombre,9)="",0,IF(AND(N(INDEX(Cap_Anio,9))&gt;0,7&gt;=N(INDEX(Cap_Anio,9))),N(INDEX(Cap_Amp,9)),N(INDEX(Cap_Ini,9)))),IF(INDEX(Prod_Nombre,9)="",0,IF(AND(N(INDEX(Cap_Anio,9))&gt;0,7&gt;=N(INDEX(Cap_Anio,9))),N(INDEX(Cap_Amp,9)),N(INDEX(Cap_Ini,9)))))</f>
        <v>0</v>
      </c>
      <c r="L48" s="48" t="n">
        <f aca="false">IF(cu_P=1,IF(INDEX(Prod_Nombre,9)="",0,IF(AND(N(INDEX(Cap_Anio,9))&gt;0,8&gt;=N(INDEX(Cap_Anio,9))),N(INDEX(Cap_Amp,9)),N(INDEX(Cap_Ini,9)))),IF(INDEX(Prod_Nombre,9)="",0,IF(AND(N(INDEX(Cap_Anio,9))&gt;0,8&gt;=N(INDEX(Cap_Anio,9))),N(INDEX(Cap_Amp,9)),N(INDEX(Cap_Ini,9)))))</f>
        <v>0</v>
      </c>
      <c r="M48" s="48" t="n">
        <f aca="false">IF(cu_P=1,IF(INDEX(Prod_Nombre,9)="",0,IF(AND(N(INDEX(Cap_Anio,9))&gt;0,9&gt;=N(INDEX(Cap_Anio,9))),N(INDEX(Cap_Amp,9)),N(INDEX(Cap_Ini,9)))),IF(INDEX(Prod_Nombre,9)="",0,IF(AND(N(INDEX(Cap_Anio,9))&gt;0,9&gt;=N(INDEX(Cap_Anio,9))),N(INDEX(Cap_Amp,9)),N(INDEX(Cap_Ini,9)))))</f>
        <v>0</v>
      </c>
      <c r="N48" s="48" t="n">
        <f aca="false">IF(cu_P=1,IF(INDEX(Prod_Nombre,9)="",0,IF(AND(N(INDEX(Cap_Anio,9))&gt;0,10&gt;=N(INDEX(Cap_Anio,9))),N(INDEX(Cap_Amp,9)),N(INDEX(Cap_Ini,9)))),IF(INDEX(Prod_Nombre,9)="",0,IF(AND(N(INDEX(Cap_Anio,9))&gt;0,10&gt;=N(INDEX(Cap_Anio,9))),N(INDEX(Cap_Amp,9)),N(INDEX(Cap_Ini,9)))))</f>
        <v>0</v>
      </c>
    </row>
    <row r="49" customFormat="false" ht="15" hidden="true" customHeight="false" outlineLevel="1" collapsed="false">
      <c r="A49" s="11" t="s">
        <v>1903</v>
      </c>
      <c r="B49" s="15" t="s">
        <v>1860</v>
      </c>
      <c r="C49" s="11" t="s">
        <v>544</v>
      </c>
      <c r="D49" s="48" t="n">
        <f aca="false">IF(cu_P=1,SUMIFS(Calculo!$F$29:$ES$29,Calculo!$F$16:$ES$16,1)/(1-P_Merma),SUMIFS(Calculo!$F$185:$ES$185,Calculo!$F$172:$ES$172,1)/(1-V_Merma))</f>
        <v>0</v>
      </c>
      <c r="E49" s="48" t="n">
        <f aca="false">IF(cu_P=1,SUMIFS(Calculo!$F$29:$ES$29,Calculo!$F$14:$ES$14,1)/(1-P_Merma),SUMIFS(Calculo!$F$185:$ES$185,Calculo!$F$170:$ES$170,1)/(1-V_Merma))</f>
        <v>0</v>
      </c>
      <c r="F49" s="48" t="n">
        <f aca="false">IF(cu_P=1,SUMIFS(Calculo!$F$29:$ES$29,Calculo!$F$14:$ES$14,2)/(1-P_Merma),SUMIFS(Calculo!$F$185:$ES$185,Calculo!$F$170:$ES$170,2)/(1-V_Merma))</f>
        <v>0</v>
      </c>
      <c r="G49" s="48" t="n">
        <f aca="false">IF(cu_P=1,SUMIFS(Calculo!$F$29:$ES$29,Calculo!$F$14:$ES$14,3)/(1-P_Merma),SUMIFS(Calculo!$F$185:$ES$185,Calculo!$F$170:$ES$170,3)/(1-V_Merma))</f>
        <v>0</v>
      </c>
      <c r="H49" s="48" t="n">
        <f aca="false">IF(cu_P=1,SUMIFS(Calculo!$F$29:$ES$29,Calculo!$F$14:$ES$14,4)/(1-P_Merma),SUMIFS(Calculo!$F$185:$ES$185,Calculo!$F$170:$ES$170,4)/(1-V_Merma))</f>
        <v>0</v>
      </c>
      <c r="I49" s="48" t="n">
        <f aca="false">IF(cu_P=1,SUMIFS(Calculo!$F$29:$ES$29,Calculo!$F$14:$ES$14,5)/(1-P_Merma),SUMIFS(Calculo!$F$185:$ES$185,Calculo!$F$170:$ES$170,5)/(1-V_Merma))</f>
        <v>0</v>
      </c>
      <c r="J49" s="48" t="n">
        <f aca="false">IF(cu_P=1,SUMIFS(Calculo!$F$29:$ES$29,Calculo!$F$14:$ES$14,6)/(1-P_Merma),SUMIFS(Calculo!$F$185:$ES$185,Calculo!$F$170:$ES$170,6)/(1-V_Merma))</f>
        <v>0</v>
      </c>
      <c r="K49" s="48" t="n">
        <f aca="false">IF(cu_P=1,SUMIFS(Calculo!$F$29:$ES$29,Calculo!$F$14:$ES$14,7)/(1-P_Merma),SUMIFS(Calculo!$F$185:$ES$185,Calculo!$F$170:$ES$170,7)/(1-V_Merma))</f>
        <v>0</v>
      </c>
      <c r="L49" s="48" t="n">
        <f aca="false">IF(cu_P=1,SUMIFS(Calculo!$F$29:$ES$29,Calculo!$F$14:$ES$14,8)/(1-P_Merma),SUMIFS(Calculo!$F$185:$ES$185,Calculo!$F$170:$ES$170,8)/(1-V_Merma))</f>
        <v>0</v>
      </c>
      <c r="M49" s="48" t="n">
        <f aca="false">IF(cu_P=1,SUMIFS(Calculo!$F$29:$ES$29,Calculo!$F$14:$ES$14,9)/(1-P_Merma),SUMIFS(Calculo!$F$185:$ES$185,Calculo!$F$170:$ES$170,9)/(1-V_Merma))</f>
        <v>0</v>
      </c>
      <c r="N49" s="48" t="n">
        <f aca="false">IF(cu_P=1,SUMIFS(Calculo!$F$29:$ES$29,Calculo!$F$14:$ES$14,10)/(1-P_Merma),SUMIFS(Calculo!$F$185:$ES$185,Calculo!$F$170:$ES$170,10)/(1-V_Merma))</f>
        <v>0</v>
      </c>
      <c r="O49" s="54" t="n">
        <f aca="false">SUM(D49:N49)</f>
        <v>0</v>
      </c>
    </row>
    <row r="50" customFormat="false" ht="15" hidden="true" customHeight="false" outlineLevel="1" collapsed="false">
      <c r="A50" s="11" t="s">
        <v>1904</v>
      </c>
      <c r="B50" s="15" t="s">
        <v>1862</v>
      </c>
      <c r="C50" s="11" t="s">
        <v>544</v>
      </c>
      <c r="D50" s="48" t="n">
        <f aca="false">IF(cu_P=1,SUMIFS(Calculo!$F$29:$ES$29,Calculo!$F$16:$ES$16,1),SUMIFS(Calculo!$F$185:$ES$185,Calculo!$F$172:$ES$172,1))</f>
        <v>0</v>
      </c>
      <c r="E50" s="48" t="n">
        <f aca="false">IF(cu_P=1,SUMIFS(Calculo!$F$29:$ES$29,Calculo!$F$14:$ES$14,1),SUMIFS(Calculo!$F$185:$ES$185,Calculo!$F$170:$ES$170,1))</f>
        <v>0</v>
      </c>
      <c r="F50" s="48" t="n">
        <f aca="false">IF(cu_P=1,SUMIFS(Calculo!$F$29:$ES$29,Calculo!$F$14:$ES$14,2),SUMIFS(Calculo!$F$185:$ES$185,Calculo!$F$170:$ES$170,2))</f>
        <v>0</v>
      </c>
      <c r="G50" s="48" t="n">
        <f aca="false">IF(cu_P=1,SUMIFS(Calculo!$F$29:$ES$29,Calculo!$F$14:$ES$14,3),SUMIFS(Calculo!$F$185:$ES$185,Calculo!$F$170:$ES$170,3))</f>
        <v>0</v>
      </c>
      <c r="H50" s="48" t="n">
        <f aca="false">IF(cu_P=1,SUMIFS(Calculo!$F$29:$ES$29,Calculo!$F$14:$ES$14,4),SUMIFS(Calculo!$F$185:$ES$185,Calculo!$F$170:$ES$170,4))</f>
        <v>0</v>
      </c>
      <c r="I50" s="48" t="n">
        <f aca="false">IF(cu_P=1,SUMIFS(Calculo!$F$29:$ES$29,Calculo!$F$14:$ES$14,5),SUMIFS(Calculo!$F$185:$ES$185,Calculo!$F$170:$ES$170,5))</f>
        <v>0</v>
      </c>
      <c r="J50" s="48" t="n">
        <f aca="false">IF(cu_P=1,SUMIFS(Calculo!$F$29:$ES$29,Calculo!$F$14:$ES$14,6),SUMIFS(Calculo!$F$185:$ES$185,Calculo!$F$170:$ES$170,6))</f>
        <v>0</v>
      </c>
      <c r="K50" s="48" t="n">
        <f aca="false">IF(cu_P=1,SUMIFS(Calculo!$F$29:$ES$29,Calculo!$F$14:$ES$14,7),SUMIFS(Calculo!$F$185:$ES$185,Calculo!$F$170:$ES$170,7))</f>
        <v>0</v>
      </c>
      <c r="L50" s="48" t="n">
        <f aca="false">IF(cu_P=1,SUMIFS(Calculo!$F$29:$ES$29,Calculo!$F$14:$ES$14,8),SUMIFS(Calculo!$F$185:$ES$185,Calculo!$F$170:$ES$170,8))</f>
        <v>0</v>
      </c>
      <c r="M50" s="48" t="n">
        <f aca="false">IF(cu_P=1,SUMIFS(Calculo!$F$29:$ES$29,Calculo!$F$14:$ES$14,9),SUMIFS(Calculo!$F$185:$ES$185,Calculo!$F$170:$ES$170,9))</f>
        <v>0</v>
      </c>
      <c r="N50" s="48" t="n">
        <f aca="false">IF(cu_P=1,SUMIFS(Calculo!$F$29:$ES$29,Calculo!$F$14:$ES$14,10),SUMIFS(Calculo!$F$185:$ES$185,Calculo!$F$170:$ES$170,10))</f>
        <v>0</v>
      </c>
      <c r="O50" s="54" t="n">
        <f aca="false">SUM(D50:N50)</f>
        <v>0</v>
      </c>
    </row>
    <row r="51" customFormat="false" ht="15" hidden="true" customHeight="false" outlineLevel="1" collapsed="false">
      <c r="A51" s="11" t="s">
        <v>1905</v>
      </c>
      <c r="B51" s="15" t="s">
        <v>1864</v>
      </c>
      <c r="C51" s="11" t="s">
        <v>367</v>
      </c>
      <c r="E51" s="49" t="str">
        <f aca="false">IFERROR(IF(OR(NOT(ISNUMBER(E49)),N(E48)=0),"",E49/E48),"")</f>
        <v/>
      </c>
      <c r="F51" s="49" t="str">
        <f aca="false">IFERROR(IF(OR(NOT(ISNUMBER(F49)),N(F48)=0),"",F49/F48),"")</f>
        <v/>
      </c>
      <c r="G51" s="49" t="str">
        <f aca="false">IFERROR(IF(OR(NOT(ISNUMBER(G49)),N(G48)=0),"",G49/G48),"")</f>
        <v/>
      </c>
      <c r="H51" s="49" t="str">
        <f aca="false">IFERROR(IF(OR(NOT(ISNUMBER(H49)),N(H48)=0),"",H49/H48),"")</f>
        <v/>
      </c>
      <c r="I51" s="49" t="str">
        <f aca="false">IFERROR(IF(OR(NOT(ISNUMBER(I49)),N(I48)=0),"",I49/I48),"")</f>
        <v/>
      </c>
      <c r="J51" s="49" t="str">
        <f aca="false">IFERROR(IF(OR(NOT(ISNUMBER(J49)),N(J48)=0),"",J49/J48),"")</f>
        <v/>
      </c>
      <c r="K51" s="49" t="str">
        <f aca="false">IFERROR(IF(OR(NOT(ISNUMBER(K49)),N(K48)=0),"",K49/K48),"")</f>
        <v/>
      </c>
      <c r="L51" s="49" t="str">
        <f aca="false">IFERROR(IF(OR(NOT(ISNUMBER(L49)),N(L48)=0),"",L49/L48),"")</f>
        <v/>
      </c>
      <c r="M51" s="49" t="str">
        <f aca="false">IFERROR(IF(OR(NOT(ISNUMBER(M49)),N(M48)=0),"",M49/M48),"")</f>
        <v/>
      </c>
      <c r="N51" s="49" t="str">
        <f aca="false">IFERROR(IF(OR(NOT(ISNUMBER(N49)),N(N48)=0),"",N49/N48),"")</f>
        <v/>
      </c>
    </row>
    <row r="52" customFormat="false" ht="15" hidden="true" customHeight="false" outlineLevel="1" collapsed="false">
      <c r="A52" s="11" t="s">
        <v>1906</v>
      </c>
      <c r="B52" s="15" t="s">
        <v>1866</v>
      </c>
      <c r="C52" s="11" t="s">
        <v>367</v>
      </c>
      <c r="E52" s="49" t="str">
        <f aca="false">IFERROR(IF(OR(NOT(ISNUMBER(E50)),N(E49)=0),"",E50/E49),"")</f>
        <v/>
      </c>
      <c r="F52" s="49" t="str">
        <f aca="false">IFERROR(IF(OR(NOT(ISNUMBER(F50)),N(F49)=0),"",F50/F49),"")</f>
        <v/>
      </c>
      <c r="G52" s="49" t="str">
        <f aca="false">IFERROR(IF(OR(NOT(ISNUMBER(G50)),N(G49)=0),"",G50/G49),"")</f>
        <v/>
      </c>
      <c r="H52" s="49" t="str">
        <f aca="false">IFERROR(IF(OR(NOT(ISNUMBER(H50)),N(H49)=0),"",H50/H49),"")</f>
        <v/>
      </c>
      <c r="I52" s="49" t="str">
        <f aca="false">IFERROR(IF(OR(NOT(ISNUMBER(I50)),N(I49)=0),"",I50/I49),"")</f>
        <v/>
      </c>
      <c r="J52" s="49" t="str">
        <f aca="false">IFERROR(IF(OR(NOT(ISNUMBER(J50)),N(J49)=0),"",J50/J49),"")</f>
        <v/>
      </c>
      <c r="K52" s="49" t="str">
        <f aca="false">IFERROR(IF(OR(NOT(ISNUMBER(K50)),N(K49)=0),"",K50/K49),"")</f>
        <v/>
      </c>
      <c r="L52" s="49" t="str">
        <f aca="false">IFERROR(IF(OR(NOT(ISNUMBER(L50)),N(L49)=0),"",L50/L49),"")</f>
        <v/>
      </c>
      <c r="M52" s="49" t="str">
        <f aca="false">IFERROR(IF(OR(NOT(ISNUMBER(M50)),N(M49)=0),"",M50/M49),"")</f>
        <v/>
      </c>
      <c r="N52" s="49" t="str">
        <f aca="false">IFERROR(IF(OR(NOT(ISNUMBER(N50)),N(N49)=0),"",N50/N49),"")</f>
        <v/>
      </c>
      <c r="O52" s="99" t="str">
        <f aca="false">IFERROR(IF(OR(NOT(ISNUMBER(O50)),N(O49)=0),"",O50/O49),"")</f>
        <v/>
      </c>
    </row>
    <row r="53" customFormat="false" ht="15" hidden="true" customHeight="false" outlineLevel="1" collapsed="false">
      <c r="A53" s="11" t="s">
        <v>1907</v>
      </c>
      <c r="B53" s="53" t="str">
        <f aca="false">IF(INDEX(Prod_Nombre,10)="","Producto 10",INDEX(Prod_Nombre,10))&amp;" — capacidad instalada"</f>
        <v>Producto 10 — capacidad instalada</v>
      </c>
      <c r="C53" s="11" t="s">
        <v>544</v>
      </c>
      <c r="E53" s="48" t="n">
        <f aca="false">IF(cu_P=1,IF(INDEX(Prod_Nombre,10)="",0,IF(AND(N(INDEX(Cap_Anio,10))&gt;0,1&gt;=N(INDEX(Cap_Anio,10))),N(INDEX(Cap_Amp,10)),N(INDEX(Cap_Ini,10)))),IF(INDEX(Prod_Nombre,10)="",0,IF(AND(N(INDEX(Cap_Anio,10))&gt;0,1&gt;=N(INDEX(Cap_Anio,10))),N(INDEX(Cap_Amp,10)),N(INDEX(Cap_Ini,10)))))</f>
        <v>0</v>
      </c>
      <c r="F53" s="48" t="n">
        <f aca="false">IF(cu_P=1,IF(INDEX(Prod_Nombre,10)="",0,IF(AND(N(INDEX(Cap_Anio,10))&gt;0,2&gt;=N(INDEX(Cap_Anio,10))),N(INDEX(Cap_Amp,10)),N(INDEX(Cap_Ini,10)))),IF(INDEX(Prod_Nombre,10)="",0,IF(AND(N(INDEX(Cap_Anio,10))&gt;0,2&gt;=N(INDEX(Cap_Anio,10))),N(INDEX(Cap_Amp,10)),N(INDEX(Cap_Ini,10)))))</f>
        <v>0</v>
      </c>
      <c r="G53" s="48" t="n">
        <f aca="false">IF(cu_P=1,IF(INDEX(Prod_Nombre,10)="",0,IF(AND(N(INDEX(Cap_Anio,10))&gt;0,3&gt;=N(INDEX(Cap_Anio,10))),N(INDEX(Cap_Amp,10)),N(INDEX(Cap_Ini,10)))),IF(INDEX(Prod_Nombre,10)="",0,IF(AND(N(INDEX(Cap_Anio,10))&gt;0,3&gt;=N(INDEX(Cap_Anio,10))),N(INDEX(Cap_Amp,10)),N(INDEX(Cap_Ini,10)))))</f>
        <v>0</v>
      </c>
      <c r="H53" s="48" t="n">
        <f aca="false">IF(cu_P=1,IF(INDEX(Prod_Nombre,10)="",0,IF(AND(N(INDEX(Cap_Anio,10))&gt;0,4&gt;=N(INDEX(Cap_Anio,10))),N(INDEX(Cap_Amp,10)),N(INDEX(Cap_Ini,10)))),IF(INDEX(Prod_Nombre,10)="",0,IF(AND(N(INDEX(Cap_Anio,10))&gt;0,4&gt;=N(INDEX(Cap_Anio,10))),N(INDEX(Cap_Amp,10)),N(INDEX(Cap_Ini,10)))))</f>
        <v>0</v>
      </c>
      <c r="I53" s="48" t="n">
        <f aca="false">IF(cu_P=1,IF(INDEX(Prod_Nombre,10)="",0,IF(AND(N(INDEX(Cap_Anio,10))&gt;0,5&gt;=N(INDEX(Cap_Anio,10))),N(INDEX(Cap_Amp,10)),N(INDEX(Cap_Ini,10)))),IF(INDEX(Prod_Nombre,10)="",0,IF(AND(N(INDEX(Cap_Anio,10))&gt;0,5&gt;=N(INDEX(Cap_Anio,10))),N(INDEX(Cap_Amp,10)),N(INDEX(Cap_Ini,10)))))</f>
        <v>0</v>
      </c>
      <c r="J53" s="48" t="n">
        <f aca="false">IF(cu_P=1,IF(INDEX(Prod_Nombre,10)="",0,IF(AND(N(INDEX(Cap_Anio,10))&gt;0,6&gt;=N(INDEX(Cap_Anio,10))),N(INDEX(Cap_Amp,10)),N(INDEX(Cap_Ini,10)))),IF(INDEX(Prod_Nombre,10)="",0,IF(AND(N(INDEX(Cap_Anio,10))&gt;0,6&gt;=N(INDEX(Cap_Anio,10))),N(INDEX(Cap_Amp,10)),N(INDEX(Cap_Ini,10)))))</f>
        <v>0</v>
      </c>
      <c r="K53" s="48" t="n">
        <f aca="false">IF(cu_P=1,IF(INDEX(Prod_Nombre,10)="",0,IF(AND(N(INDEX(Cap_Anio,10))&gt;0,7&gt;=N(INDEX(Cap_Anio,10))),N(INDEX(Cap_Amp,10)),N(INDEX(Cap_Ini,10)))),IF(INDEX(Prod_Nombre,10)="",0,IF(AND(N(INDEX(Cap_Anio,10))&gt;0,7&gt;=N(INDEX(Cap_Anio,10))),N(INDEX(Cap_Amp,10)),N(INDEX(Cap_Ini,10)))))</f>
        <v>0</v>
      </c>
      <c r="L53" s="48" t="n">
        <f aca="false">IF(cu_P=1,IF(INDEX(Prod_Nombre,10)="",0,IF(AND(N(INDEX(Cap_Anio,10))&gt;0,8&gt;=N(INDEX(Cap_Anio,10))),N(INDEX(Cap_Amp,10)),N(INDEX(Cap_Ini,10)))),IF(INDEX(Prod_Nombre,10)="",0,IF(AND(N(INDEX(Cap_Anio,10))&gt;0,8&gt;=N(INDEX(Cap_Anio,10))),N(INDEX(Cap_Amp,10)),N(INDEX(Cap_Ini,10)))))</f>
        <v>0</v>
      </c>
      <c r="M53" s="48" t="n">
        <f aca="false">IF(cu_P=1,IF(INDEX(Prod_Nombre,10)="",0,IF(AND(N(INDEX(Cap_Anio,10))&gt;0,9&gt;=N(INDEX(Cap_Anio,10))),N(INDEX(Cap_Amp,10)),N(INDEX(Cap_Ini,10)))),IF(INDEX(Prod_Nombre,10)="",0,IF(AND(N(INDEX(Cap_Anio,10))&gt;0,9&gt;=N(INDEX(Cap_Anio,10))),N(INDEX(Cap_Amp,10)),N(INDEX(Cap_Ini,10)))))</f>
        <v>0</v>
      </c>
      <c r="N53" s="48" t="n">
        <f aca="false">IF(cu_P=1,IF(INDEX(Prod_Nombre,10)="",0,IF(AND(N(INDEX(Cap_Anio,10))&gt;0,10&gt;=N(INDEX(Cap_Anio,10))),N(INDEX(Cap_Amp,10)),N(INDEX(Cap_Ini,10)))),IF(INDEX(Prod_Nombre,10)="",0,IF(AND(N(INDEX(Cap_Anio,10))&gt;0,10&gt;=N(INDEX(Cap_Anio,10))),N(INDEX(Cap_Amp,10)),N(INDEX(Cap_Ini,10)))))</f>
        <v>0</v>
      </c>
    </row>
    <row r="54" customFormat="false" ht="15" hidden="true" customHeight="false" outlineLevel="1" collapsed="false">
      <c r="A54" s="11" t="s">
        <v>1908</v>
      </c>
      <c r="B54" s="15" t="s">
        <v>1860</v>
      </c>
      <c r="C54" s="11" t="s">
        <v>544</v>
      </c>
      <c r="D54" s="48" t="n">
        <f aca="false">IF(cu_P=1,SUMIFS(Calculo!$F$30:$ES$30,Calculo!$F$16:$ES$16,1)/(1-P_Merma),SUMIFS(Calculo!$F$186:$ES$186,Calculo!$F$172:$ES$172,1)/(1-V_Merma))</f>
        <v>0</v>
      </c>
      <c r="E54" s="48" t="n">
        <f aca="false">IF(cu_P=1,SUMIFS(Calculo!$F$30:$ES$30,Calculo!$F$14:$ES$14,1)/(1-P_Merma),SUMIFS(Calculo!$F$186:$ES$186,Calculo!$F$170:$ES$170,1)/(1-V_Merma))</f>
        <v>0</v>
      </c>
      <c r="F54" s="48" t="n">
        <f aca="false">IF(cu_P=1,SUMIFS(Calculo!$F$30:$ES$30,Calculo!$F$14:$ES$14,2)/(1-P_Merma),SUMIFS(Calculo!$F$186:$ES$186,Calculo!$F$170:$ES$170,2)/(1-V_Merma))</f>
        <v>0</v>
      </c>
      <c r="G54" s="48" t="n">
        <f aca="false">IF(cu_P=1,SUMIFS(Calculo!$F$30:$ES$30,Calculo!$F$14:$ES$14,3)/(1-P_Merma),SUMIFS(Calculo!$F$186:$ES$186,Calculo!$F$170:$ES$170,3)/(1-V_Merma))</f>
        <v>0</v>
      </c>
      <c r="H54" s="48" t="n">
        <f aca="false">IF(cu_P=1,SUMIFS(Calculo!$F$30:$ES$30,Calculo!$F$14:$ES$14,4)/(1-P_Merma),SUMIFS(Calculo!$F$186:$ES$186,Calculo!$F$170:$ES$170,4)/(1-V_Merma))</f>
        <v>0</v>
      </c>
      <c r="I54" s="48" t="n">
        <f aca="false">IF(cu_P=1,SUMIFS(Calculo!$F$30:$ES$30,Calculo!$F$14:$ES$14,5)/(1-P_Merma),SUMIFS(Calculo!$F$186:$ES$186,Calculo!$F$170:$ES$170,5)/(1-V_Merma))</f>
        <v>0</v>
      </c>
      <c r="J54" s="48" t="n">
        <f aca="false">IF(cu_P=1,SUMIFS(Calculo!$F$30:$ES$30,Calculo!$F$14:$ES$14,6)/(1-P_Merma),SUMIFS(Calculo!$F$186:$ES$186,Calculo!$F$170:$ES$170,6)/(1-V_Merma))</f>
        <v>0</v>
      </c>
      <c r="K54" s="48" t="n">
        <f aca="false">IF(cu_P=1,SUMIFS(Calculo!$F$30:$ES$30,Calculo!$F$14:$ES$14,7)/(1-P_Merma),SUMIFS(Calculo!$F$186:$ES$186,Calculo!$F$170:$ES$170,7)/(1-V_Merma))</f>
        <v>0</v>
      </c>
      <c r="L54" s="48" t="n">
        <f aca="false">IF(cu_P=1,SUMIFS(Calculo!$F$30:$ES$30,Calculo!$F$14:$ES$14,8)/(1-P_Merma),SUMIFS(Calculo!$F$186:$ES$186,Calculo!$F$170:$ES$170,8)/(1-V_Merma))</f>
        <v>0</v>
      </c>
      <c r="M54" s="48" t="n">
        <f aca="false">IF(cu_P=1,SUMIFS(Calculo!$F$30:$ES$30,Calculo!$F$14:$ES$14,9)/(1-P_Merma),SUMIFS(Calculo!$F$186:$ES$186,Calculo!$F$170:$ES$170,9)/(1-V_Merma))</f>
        <v>0</v>
      </c>
      <c r="N54" s="48" t="n">
        <f aca="false">IF(cu_P=1,SUMIFS(Calculo!$F$30:$ES$30,Calculo!$F$14:$ES$14,10)/(1-P_Merma),SUMIFS(Calculo!$F$186:$ES$186,Calculo!$F$170:$ES$170,10)/(1-V_Merma))</f>
        <v>0</v>
      </c>
      <c r="O54" s="54" t="n">
        <f aca="false">SUM(D54:N54)</f>
        <v>0</v>
      </c>
    </row>
    <row r="55" customFormat="false" ht="15" hidden="true" customHeight="false" outlineLevel="1" collapsed="false">
      <c r="A55" s="11" t="s">
        <v>1909</v>
      </c>
      <c r="B55" s="15" t="s">
        <v>1862</v>
      </c>
      <c r="C55" s="11" t="s">
        <v>544</v>
      </c>
      <c r="D55" s="48" t="n">
        <f aca="false">IF(cu_P=1,SUMIFS(Calculo!$F$30:$ES$30,Calculo!$F$16:$ES$16,1),SUMIFS(Calculo!$F$186:$ES$186,Calculo!$F$172:$ES$172,1))</f>
        <v>0</v>
      </c>
      <c r="E55" s="48" t="n">
        <f aca="false">IF(cu_P=1,SUMIFS(Calculo!$F$30:$ES$30,Calculo!$F$14:$ES$14,1),SUMIFS(Calculo!$F$186:$ES$186,Calculo!$F$170:$ES$170,1))</f>
        <v>0</v>
      </c>
      <c r="F55" s="48" t="n">
        <f aca="false">IF(cu_P=1,SUMIFS(Calculo!$F$30:$ES$30,Calculo!$F$14:$ES$14,2),SUMIFS(Calculo!$F$186:$ES$186,Calculo!$F$170:$ES$170,2))</f>
        <v>0</v>
      </c>
      <c r="G55" s="48" t="n">
        <f aca="false">IF(cu_P=1,SUMIFS(Calculo!$F$30:$ES$30,Calculo!$F$14:$ES$14,3),SUMIFS(Calculo!$F$186:$ES$186,Calculo!$F$170:$ES$170,3))</f>
        <v>0</v>
      </c>
      <c r="H55" s="48" t="n">
        <f aca="false">IF(cu_P=1,SUMIFS(Calculo!$F$30:$ES$30,Calculo!$F$14:$ES$14,4),SUMIFS(Calculo!$F$186:$ES$186,Calculo!$F$170:$ES$170,4))</f>
        <v>0</v>
      </c>
      <c r="I55" s="48" t="n">
        <f aca="false">IF(cu_P=1,SUMIFS(Calculo!$F$30:$ES$30,Calculo!$F$14:$ES$14,5),SUMIFS(Calculo!$F$186:$ES$186,Calculo!$F$170:$ES$170,5))</f>
        <v>0</v>
      </c>
      <c r="J55" s="48" t="n">
        <f aca="false">IF(cu_P=1,SUMIFS(Calculo!$F$30:$ES$30,Calculo!$F$14:$ES$14,6),SUMIFS(Calculo!$F$186:$ES$186,Calculo!$F$170:$ES$170,6))</f>
        <v>0</v>
      </c>
      <c r="K55" s="48" t="n">
        <f aca="false">IF(cu_P=1,SUMIFS(Calculo!$F$30:$ES$30,Calculo!$F$14:$ES$14,7),SUMIFS(Calculo!$F$186:$ES$186,Calculo!$F$170:$ES$170,7))</f>
        <v>0</v>
      </c>
      <c r="L55" s="48" t="n">
        <f aca="false">IF(cu_P=1,SUMIFS(Calculo!$F$30:$ES$30,Calculo!$F$14:$ES$14,8),SUMIFS(Calculo!$F$186:$ES$186,Calculo!$F$170:$ES$170,8))</f>
        <v>0</v>
      </c>
      <c r="M55" s="48" t="n">
        <f aca="false">IF(cu_P=1,SUMIFS(Calculo!$F$30:$ES$30,Calculo!$F$14:$ES$14,9),SUMIFS(Calculo!$F$186:$ES$186,Calculo!$F$170:$ES$170,9))</f>
        <v>0</v>
      </c>
      <c r="N55" s="48" t="n">
        <f aca="false">IF(cu_P=1,SUMIFS(Calculo!$F$30:$ES$30,Calculo!$F$14:$ES$14,10),SUMIFS(Calculo!$F$186:$ES$186,Calculo!$F$170:$ES$170,10))</f>
        <v>0</v>
      </c>
      <c r="O55" s="54" t="n">
        <f aca="false">SUM(D55:N55)</f>
        <v>0</v>
      </c>
    </row>
    <row r="56" customFormat="false" ht="15" hidden="true" customHeight="false" outlineLevel="1" collapsed="false">
      <c r="A56" s="11" t="s">
        <v>1910</v>
      </c>
      <c r="B56" s="15" t="s">
        <v>1864</v>
      </c>
      <c r="C56" s="11" t="s">
        <v>367</v>
      </c>
      <c r="E56" s="49" t="str">
        <f aca="false">IFERROR(IF(OR(NOT(ISNUMBER(E54)),N(E53)=0),"",E54/E53),"")</f>
        <v/>
      </c>
      <c r="F56" s="49" t="str">
        <f aca="false">IFERROR(IF(OR(NOT(ISNUMBER(F54)),N(F53)=0),"",F54/F53),"")</f>
        <v/>
      </c>
      <c r="G56" s="49" t="str">
        <f aca="false">IFERROR(IF(OR(NOT(ISNUMBER(G54)),N(G53)=0),"",G54/G53),"")</f>
        <v/>
      </c>
      <c r="H56" s="49" t="str">
        <f aca="false">IFERROR(IF(OR(NOT(ISNUMBER(H54)),N(H53)=0),"",H54/H53),"")</f>
        <v/>
      </c>
      <c r="I56" s="49" t="str">
        <f aca="false">IFERROR(IF(OR(NOT(ISNUMBER(I54)),N(I53)=0),"",I54/I53),"")</f>
        <v/>
      </c>
      <c r="J56" s="49" t="str">
        <f aca="false">IFERROR(IF(OR(NOT(ISNUMBER(J54)),N(J53)=0),"",J54/J53),"")</f>
        <v/>
      </c>
      <c r="K56" s="49" t="str">
        <f aca="false">IFERROR(IF(OR(NOT(ISNUMBER(K54)),N(K53)=0),"",K54/K53),"")</f>
        <v/>
      </c>
      <c r="L56" s="49" t="str">
        <f aca="false">IFERROR(IF(OR(NOT(ISNUMBER(L54)),N(L53)=0),"",L54/L53),"")</f>
        <v/>
      </c>
      <c r="M56" s="49" t="str">
        <f aca="false">IFERROR(IF(OR(NOT(ISNUMBER(M54)),N(M53)=0),"",M54/M53),"")</f>
        <v/>
      </c>
      <c r="N56" s="49" t="str">
        <f aca="false">IFERROR(IF(OR(NOT(ISNUMBER(N54)),N(N53)=0),"",N54/N53),"")</f>
        <v/>
      </c>
    </row>
    <row r="57" customFormat="false" ht="15" hidden="true" customHeight="false" outlineLevel="1" collapsed="false">
      <c r="A57" s="11" t="s">
        <v>1911</v>
      </c>
      <c r="B57" s="15" t="s">
        <v>1866</v>
      </c>
      <c r="C57" s="11" t="s">
        <v>367</v>
      </c>
      <c r="E57" s="49" t="str">
        <f aca="false">IFERROR(IF(OR(NOT(ISNUMBER(E55)),N(E54)=0),"",E55/E54),"")</f>
        <v/>
      </c>
      <c r="F57" s="49" t="str">
        <f aca="false">IFERROR(IF(OR(NOT(ISNUMBER(F55)),N(F54)=0),"",F55/F54),"")</f>
        <v/>
      </c>
      <c r="G57" s="49" t="str">
        <f aca="false">IFERROR(IF(OR(NOT(ISNUMBER(G55)),N(G54)=0),"",G55/G54),"")</f>
        <v/>
      </c>
      <c r="H57" s="49" t="str">
        <f aca="false">IFERROR(IF(OR(NOT(ISNUMBER(H55)),N(H54)=0),"",H55/H54),"")</f>
        <v/>
      </c>
      <c r="I57" s="49" t="str">
        <f aca="false">IFERROR(IF(OR(NOT(ISNUMBER(I55)),N(I54)=0),"",I55/I54),"")</f>
        <v/>
      </c>
      <c r="J57" s="49" t="str">
        <f aca="false">IFERROR(IF(OR(NOT(ISNUMBER(J55)),N(J54)=0),"",J55/J54),"")</f>
        <v/>
      </c>
      <c r="K57" s="49" t="str">
        <f aca="false">IFERROR(IF(OR(NOT(ISNUMBER(K55)),N(K54)=0),"",K55/K54),"")</f>
        <v/>
      </c>
      <c r="L57" s="49" t="str">
        <f aca="false">IFERROR(IF(OR(NOT(ISNUMBER(L55)),N(L54)=0),"",L55/L54),"")</f>
        <v/>
      </c>
      <c r="M57" s="49" t="str">
        <f aca="false">IFERROR(IF(OR(NOT(ISNUMBER(M55)),N(M54)=0),"",M55/M54),"")</f>
        <v/>
      </c>
      <c r="N57" s="49" t="str">
        <f aca="false">IFERROR(IF(OR(NOT(ISNUMBER(N55)),N(N54)=0),"",N55/N54),"")</f>
        <v/>
      </c>
      <c r="O57" s="99" t="str">
        <f aca="false">IFERROR(IF(OR(NOT(ISNUMBER(O55)),N(O54)=0),"",O55/O54),"")</f>
        <v/>
      </c>
    </row>
    <row r="58" customFormat="false" ht="15" hidden="true" customHeight="false" outlineLevel="1" collapsed="false">
      <c r="A58" s="11" t="s">
        <v>1912</v>
      </c>
      <c r="B58" s="53" t="str">
        <f aca="false">IF(INDEX(Prod_Nombre,11)="","Producto 11",INDEX(Prod_Nombre,11))&amp;" — capacidad instalada"</f>
        <v>Producto 11 — capacidad instalada</v>
      </c>
      <c r="C58" s="11" t="s">
        <v>544</v>
      </c>
      <c r="E58" s="48" t="n">
        <f aca="false">IF(cu_P=1,IF(INDEX(Prod_Nombre,11)="",0,IF(AND(N(INDEX(Cap_Anio,11))&gt;0,1&gt;=N(INDEX(Cap_Anio,11))),N(INDEX(Cap_Amp,11)),N(INDEX(Cap_Ini,11)))),IF(INDEX(Prod_Nombre,11)="",0,IF(AND(N(INDEX(Cap_Anio,11))&gt;0,1&gt;=N(INDEX(Cap_Anio,11))),N(INDEX(Cap_Amp,11)),N(INDEX(Cap_Ini,11)))))</f>
        <v>0</v>
      </c>
      <c r="F58" s="48" t="n">
        <f aca="false">IF(cu_P=1,IF(INDEX(Prod_Nombre,11)="",0,IF(AND(N(INDEX(Cap_Anio,11))&gt;0,2&gt;=N(INDEX(Cap_Anio,11))),N(INDEX(Cap_Amp,11)),N(INDEX(Cap_Ini,11)))),IF(INDEX(Prod_Nombre,11)="",0,IF(AND(N(INDEX(Cap_Anio,11))&gt;0,2&gt;=N(INDEX(Cap_Anio,11))),N(INDEX(Cap_Amp,11)),N(INDEX(Cap_Ini,11)))))</f>
        <v>0</v>
      </c>
      <c r="G58" s="48" t="n">
        <f aca="false">IF(cu_P=1,IF(INDEX(Prod_Nombre,11)="",0,IF(AND(N(INDEX(Cap_Anio,11))&gt;0,3&gt;=N(INDEX(Cap_Anio,11))),N(INDEX(Cap_Amp,11)),N(INDEX(Cap_Ini,11)))),IF(INDEX(Prod_Nombre,11)="",0,IF(AND(N(INDEX(Cap_Anio,11))&gt;0,3&gt;=N(INDEX(Cap_Anio,11))),N(INDEX(Cap_Amp,11)),N(INDEX(Cap_Ini,11)))))</f>
        <v>0</v>
      </c>
      <c r="H58" s="48" t="n">
        <f aca="false">IF(cu_P=1,IF(INDEX(Prod_Nombre,11)="",0,IF(AND(N(INDEX(Cap_Anio,11))&gt;0,4&gt;=N(INDEX(Cap_Anio,11))),N(INDEX(Cap_Amp,11)),N(INDEX(Cap_Ini,11)))),IF(INDEX(Prod_Nombre,11)="",0,IF(AND(N(INDEX(Cap_Anio,11))&gt;0,4&gt;=N(INDEX(Cap_Anio,11))),N(INDEX(Cap_Amp,11)),N(INDEX(Cap_Ini,11)))))</f>
        <v>0</v>
      </c>
      <c r="I58" s="48" t="n">
        <f aca="false">IF(cu_P=1,IF(INDEX(Prod_Nombre,11)="",0,IF(AND(N(INDEX(Cap_Anio,11))&gt;0,5&gt;=N(INDEX(Cap_Anio,11))),N(INDEX(Cap_Amp,11)),N(INDEX(Cap_Ini,11)))),IF(INDEX(Prod_Nombre,11)="",0,IF(AND(N(INDEX(Cap_Anio,11))&gt;0,5&gt;=N(INDEX(Cap_Anio,11))),N(INDEX(Cap_Amp,11)),N(INDEX(Cap_Ini,11)))))</f>
        <v>0</v>
      </c>
      <c r="J58" s="48" t="n">
        <f aca="false">IF(cu_P=1,IF(INDEX(Prod_Nombre,11)="",0,IF(AND(N(INDEX(Cap_Anio,11))&gt;0,6&gt;=N(INDEX(Cap_Anio,11))),N(INDEX(Cap_Amp,11)),N(INDEX(Cap_Ini,11)))),IF(INDEX(Prod_Nombre,11)="",0,IF(AND(N(INDEX(Cap_Anio,11))&gt;0,6&gt;=N(INDEX(Cap_Anio,11))),N(INDEX(Cap_Amp,11)),N(INDEX(Cap_Ini,11)))))</f>
        <v>0</v>
      </c>
      <c r="K58" s="48" t="n">
        <f aca="false">IF(cu_P=1,IF(INDEX(Prod_Nombre,11)="",0,IF(AND(N(INDEX(Cap_Anio,11))&gt;0,7&gt;=N(INDEX(Cap_Anio,11))),N(INDEX(Cap_Amp,11)),N(INDEX(Cap_Ini,11)))),IF(INDEX(Prod_Nombre,11)="",0,IF(AND(N(INDEX(Cap_Anio,11))&gt;0,7&gt;=N(INDEX(Cap_Anio,11))),N(INDEX(Cap_Amp,11)),N(INDEX(Cap_Ini,11)))))</f>
        <v>0</v>
      </c>
      <c r="L58" s="48" t="n">
        <f aca="false">IF(cu_P=1,IF(INDEX(Prod_Nombre,11)="",0,IF(AND(N(INDEX(Cap_Anio,11))&gt;0,8&gt;=N(INDEX(Cap_Anio,11))),N(INDEX(Cap_Amp,11)),N(INDEX(Cap_Ini,11)))),IF(INDEX(Prod_Nombre,11)="",0,IF(AND(N(INDEX(Cap_Anio,11))&gt;0,8&gt;=N(INDEX(Cap_Anio,11))),N(INDEX(Cap_Amp,11)),N(INDEX(Cap_Ini,11)))))</f>
        <v>0</v>
      </c>
      <c r="M58" s="48" t="n">
        <f aca="false">IF(cu_P=1,IF(INDEX(Prod_Nombre,11)="",0,IF(AND(N(INDEX(Cap_Anio,11))&gt;0,9&gt;=N(INDEX(Cap_Anio,11))),N(INDEX(Cap_Amp,11)),N(INDEX(Cap_Ini,11)))),IF(INDEX(Prod_Nombre,11)="",0,IF(AND(N(INDEX(Cap_Anio,11))&gt;0,9&gt;=N(INDEX(Cap_Anio,11))),N(INDEX(Cap_Amp,11)),N(INDEX(Cap_Ini,11)))))</f>
        <v>0</v>
      </c>
      <c r="N58" s="48" t="n">
        <f aca="false">IF(cu_P=1,IF(INDEX(Prod_Nombre,11)="",0,IF(AND(N(INDEX(Cap_Anio,11))&gt;0,10&gt;=N(INDEX(Cap_Anio,11))),N(INDEX(Cap_Amp,11)),N(INDEX(Cap_Ini,11)))),IF(INDEX(Prod_Nombre,11)="",0,IF(AND(N(INDEX(Cap_Anio,11))&gt;0,10&gt;=N(INDEX(Cap_Anio,11))),N(INDEX(Cap_Amp,11)),N(INDEX(Cap_Ini,11)))))</f>
        <v>0</v>
      </c>
    </row>
    <row r="59" customFormat="false" ht="15" hidden="true" customHeight="false" outlineLevel="1" collapsed="false">
      <c r="A59" s="11" t="s">
        <v>1913</v>
      </c>
      <c r="B59" s="15" t="s">
        <v>1860</v>
      </c>
      <c r="C59" s="11" t="s">
        <v>544</v>
      </c>
      <c r="D59" s="48" t="n">
        <f aca="false">IF(cu_P=1,SUMIFS(Calculo!$F$31:$ES$31,Calculo!$F$16:$ES$16,1)/(1-P_Merma),SUMIFS(Calculo!$F$187:$ES$187,Calculo!$F$172:$ES$172,1)/(1-V_Merma))</f>
        <v>0</v>
      </c>
      <c r="E59" s="48" t="n">
        <f aca="false">IF(cu_P=1,SUMIFS(Calculo!$F$31:$ES$31,Calculo!$F$14:$ES$14,1)/(1-P_Merma),SUMIFS(Calculo!$F$187:$ES$187,Calculo!$F$170:$ES$170,1)/(1-V_Merma))</f>
        <v>0</v>
      </c>
      <c r="F59" s="48" t="n">
        <f aca="false">IF(cu_P=1,SUMIFS(Calculo!$F$31:$ES$31,Calculo!$F$14:$ES$14,2)/(1-P_Merma),SUMIFS(Calculo!$F$187:$ES$187,Calculo!$F$170:$ES$170,2)/(1-V_Merma))</f>
        <v>0</v>
      </c>
      <c r="G59" s="48" t="n">
        <f aca="false">IF(cu_P=1,SUMIFS(Calculo!$F$31:$ES$31,Calculo!$F$14:$ES$14,3)/(1-P_Merma),SUMIFS(Calculo!$F$187:$ES$187,Calculo!$F$170:$ES$170,3)/(1-V_Merma))</f>
        <v>0</v>
      </c>
      <c r="H59" s="48" t="n">
        <f aca="false">IF(cu_P=1,SUMIFS(Calculo!$F$31:$ES$31,Calculo!$F$14:$ES$14,4)/(1-P_Merma),SUMIFS(Calculo!$F$187:$ES$187,Calculo!$F$170:$ES$170,4)/(1-V_Merma))</f>
        <v>0</v>
      </c>
      <c r="I59" s="48" t="n">
        <f aca="false">IF(cu_P=1,SUMIFS(Calculo!$F$31:$ES$31,Calculo!$F$14:$ES$14,5)/(1-P_Merma),SUMIFS(Calculo!$F$187:$ES$187,Calculo!$F$170:$ES$170,5)/(1-V_Merma))</f>
        <v>0</v>
      </c>
      <c r="J59" s="48" t="n">
        <f aca="false">IF(cu_P=1,SUMIFS(Calculo!$F$31:$ES$31,Calculo!$F$14:$ES$14,6)/(1-P_Merma),SUMIFS(Calculo!$F$187:$ES$187,Calculo!$F$170:$ES$170,6)/(1-V_Merma))</f>
        <v>0</v>
      </c>
      <c r="K59" s="48" t="n">
        <f aca="false">IF(cu_P=1,SUMIFS(Calculo!$F$31:$ES$31,Calculo!$F$14:$ES$14,7)/(1-P_Merma),SUMIFS(Calculo!$F$187:$ES$187,Calculo!$F$170:$ES$170,7)/(1-V_Merma))</f>
        <v>0</v>
      </c>
      <c r="L59" s="48" t="n">
        <f aca="false">IF(cu_P=1,SUMIFS(Calculo!$F$31:$ES$31,Calculo!$F$14:$ES$14,8)/(1-P_Merma),SUMIFS(Calculo!$F$187:$ES$187,Calculo!$F$170:$ES$170,8)/(1-V_Merma))</f>
        <v>0</v>
      </c>
      <c r="M59" s="48" t="n">
        <f aca="false">IF(cu_P=1,SUMIFS(Calculo!$F$31:$ES$31,Calculo!$F$14:$ES$14,9)/(1-P_Merma),SUMIFS(Calculo!$F$187:$ES$187,Calculo!$F$170:$ES$170,9)/(1-V_Merma))</f>
        <v>0</v>
      </c>
      <c r="N59" s="48" t="n">
        <f aca="false">IF(cu_P=1,SUMIFS(Calculo!$F$31:$ES$31,Calculo!$F$14:$ES$14,10)/(1-P_Merma),SUMIFS(Calculo!$F$187:$ES$187,Calculo!$F$170:$ES$170,10)/(1-V_Merma))</f>
        <v>0</v>
      </c>
      <c r="O59" s="54" t="n">
        <f aca="false">SUM(D59:N59)</f>
        <v>0</v>
      </c>
    </row>
    <row r="60" customFormat="false" ht="15" hidden="true" customHeight="false" outlineLevel="1" collapsed="false">
      <c r="A60" s="11" t="s">
        <v>1914</v>
      </c>
      <c r="B60" s="15" t="s">
        <v>1862</v>
      </c>
      <c r="C60" s="11" t="s">
        <v>544</v>
      </c>
      <c r="D60" s="48" t="n">
        <f aca="false">IF(cu_P=1,SUMIFS(Calculo!$F$31:$ES$31,Calculo!$F$16:$ES$16,1),SUMIFS(Calculo!$F$187:$ES$187,Calculo!$F$172:$ES$172,1))</f>
        <v>0</v>
      </c>
      <c r="E60" s="48" t="n">
        <f aca="false">IF(cu_P=1,SUMIFS(Calculo!$F$31:$ES$31,Calculo!$F$14:$ES$14,1),SUMIFS(Calculo!$F$187:$ES$187,Calculo!$F$170:$ES$170,1))</f>
        <v>0</v>
      </c>
      <c r="F60" s="48" t="n">
        <f aca="false">IF(cu_P=1,SUMIFS(Calculo!$F$31:$ES$31,Calculo!$F$14:$ES$14,2),SUMIFS(Calculo!$F$187:$ES$187,Calculo!$F$170:$ES$170,2))</f>
        <v>0</v>
      </c>
      <c r="G60" s="48" t="n">
        <f aca="false">IF(cu_P=1,SUMIFS(Calculo!$F$31:$ES$31,Calculo!$F$14:$ES$14,3),SUMIFS(Calculo!$F$187:$ES$187,Calculo!$F$170:$ES$170,3))</f>
        <v>0</v>
      </c>
      <c r="H60" s="48" t="n">
        <f aca="false">IF(cu_P=1,SUMIFS(Calculo!$F$31:$ES$31,Calculo!$F$14:$ES$14,4),SUMIFS(Calculo!$F$187:$ES$187,Calculo!$F$170:$ES$170,4))</f>
        <v>0</v>
      </c>
      <c r="I60" s="48" t="n">
        <f aca="false">IF(cu_P=1,SUMIFS(Calculo!$F$31:$ES$31,Calculo!$F$14:$ES$14,5),SUMIFS(Calculo!$F$187:$ES$187,Calculo!$F$170:$ES$170,5))</f>
        <v>0</v>
      </c>
      <c r="J60" s="48" t="n">
        <f aca="false">IF(cu_P=1,SUMIFS(Calculo!$F$31:$ES$31,Calculo!$F$14:$ES$14,6),SUMIFS(Calculo!$F$187:$ES$187,Calculo!$F$170:$ES$170,6))</f>
        <v>0</v>
      </c>
      <c r="K60" s="48" t="n">
        <f aca="false">IF(cu_P=1,SUMIFS(Calculo!$F$31:$ES$31,Calculo!$F$14:$ES$14,7),SUMIFS(Calculo!$F$187:$ES$187,Calculo!$F$170:$ES$170,7))</f>
        <v>0</v>
      </c>
      <c r="L60" s="48" t="n">
        <f aca="false">IF(cu_P=1,SUMIFS(Calculo!$F$31:$ES$31,Calculo!$F$14:$ES$14,8),SUMIFS(Calculo!$F$187:$ES$187,Calculo!$F$170:$ES$170,8))</f>
        <v>0</v>
      </c>
      <c r="M60" s="48" t="n">
        <f aca="false">IF(cu_P=1,SUMIFS(Calculo!$F$31:$ES$31,Calculo!$F$14:$ES$14,9),SUMIFS(Calculo!$F$187:$ES$187,Calculo!$F$170:$ES$170,9))</f>
        <v>0</v>
      </c>
      <c r="N60" s="48" t="n">
        <f aca="false">IF(cu_P=1,SUMIFS(Calculo!$F$31:$ES$31,Calculo!$F$14:$ES$14,10),SUMIFS(Calculo!$F$187:$ES$187,Calculo!$F$170:$ES$170,10))</f>
        <v>0</v>
      </c>
      <c r="O60" s="54" t="n">
        <f aca="false">SUM(D60:N60)</f>
        <v>0</v>
      </c>
    </row>
    <row r="61" customFormat="false" ht="15" hidden="true" customHeight="false" outlineLevel="1" collapsed="false">
      <c r="A61" s="11" t="s">
        <v>1915</v>
      </c>
      <c r="B61" s="15" t="s">
        <v>1864</v>
      </c>
      <c r="C61" s="11" t="s">
        <v>367</v>
      </c>
      <c r="E61" s="49" t="str">
        <f aca="false">IFERROR(IF(OR(NOT(ISNUMBER(E59)),N(E58)=0),"",E59/E58),"")</f>
        <v/>
      </c>
      <c r="F61" s="49" t="str">
        <f aca="false">IFERROR(IF(OR(NOT(ISNUMBER(F59)),N(F58)=0),"",F59/F58),"")</f>
        <v/>
      </c>
      <c r="G61" s="49" t="str">
        <f aca="false">IFERROR(IF(OR(NOT(ISNUMBER(G59)),N(G58)=0),"",G59/G58),"")</f>
        <v/>
      </c>
      <c r="H61" s="49" t="str">
        <f aca="false">IFERROR(IF(OR(NOT(ISNUMBER(H59)),N(H58)=0),"",H59/H58),"")</f>
        <v/>
      </c>
      <c r="I61" s="49" t="str">
        <f aca="false">IFERROR(IF(OR(NOT(ISNUMBER(I59)),N(I58)=0),"",I59/I58),"")</f>
        <v/>
      </c>
      <c r="J61" s="49" t="str">
        <f aca="false">IFERROR(IF(OR(NOT(ISNUMBER(J59)),N(J58)=0),"",J59/J58),"")</f>
        <v/>
      </c>
      <c r="K61" s="49" t="str">
        <f aca="false">IFERROR(IF(OR(NOT(ISNUMBER(K59)),N(K58)=0),"",K59/K58),"")</f>
        <v/>
      </c>
      <c r="L61" s="49" t="str">
        <f aca="false">IFERROR(IF(OR(NOT(ISNUMBER(L59)),N(L58)=0),"",L59/L58),"")</f>
        <v/>
      </c>
      <c r="M61" s="49" t="str">
        <f aca="false">IFERROR(IF(OR(NOT(ISNUMBER(M59)),N(M58)=0),"",M59/M58),"")</f>
        <v/>
      </c>
      <c r="N61" s="49" t="str">
        <f aca="false">IFERROR(IF(OR(NOT(ISNUMBER(N59)),N(N58)=0),"",N59/N58),"")</f>
        <v/>
      </c>
    </row>
    <row r="62" customFormat="false" ht="15" hidden="true" customHeight="false" outlineLevel="1" collapsed="false">
      <c r="A62" s="11" t="s">
        <v>1916</v>
      </c>
      <c r="B62" s="15" t="s">
        <v>1866</v>
      </c>
      <c r="C62" s="11" t="s">
        <v>367</v>
      </c>
      <c r="E62" s="49" t="str">
        <f aca="false">IFERROR(IF(OR(NOT(ISNUMBER(E60)),N(E59)=0),"",E60/E59),"")</f>
        <v/>
      </c>
      <c r="F62" s="49" t="str">
        <f aca="false">IFERROR(IF(OR(NOT(ISNUMBER(F60)),N(F59)=0),"",F60/F59),"")</f>
        <v/>
      </c>
      <c r="G62" s="49" t="str">
        <f aca="false">IFERROR(IF(OR(NOT(ISNUMBER(G60)),N(G59)=0),"",G60/G59),"")</f>
        <v/>
      </c>
      <c r="H62" s="49" t="str">
        <f aca="false">IFERROR(IF(OR(NOT(ISNUMBER(H60)),N(H59)=0),"",H60/H59),"")</f>
        <v/>
      </c>
      <c r="I62" s="49" t="str">
        <f aca="false">IFERROR(IF(OR(NOT(ISNUMBER(I60)),N(I59)=0),"",I60/I59),"")</f>
        <v/>
      </c>
      <c r="J62" s="49" t="str">
        <f aca="false">IFERROR(IF(OR(NOT(ISNUMBER(J60)),N(J59)=0),"",J60/J59),"")</f>
        <v/>
      </c>
      <c r="K62" s="49" t="str">
        <f aca="false">IFERROR(IF(OR(NOT(ISNUMBER(K60)),N(K59)=0),"",K60/K59),"")</f>
        <v/>
      </c>
      <c r="L62" s="49" t="str">
        <f aca="false">IFERROR(IF(OR(NOT(ISNUMBER(L60)),N(L59)=0),"",L60/L59),"")</f>
        <v/>
      </c>
      <c r="M62" s="49" t="str">
        <f aca="false">IFERROR(IF(OR(NOT(ISNUMBER(M60)),N(M59)=0),"",M60/M59),"")</f>
        <v/>
      </c>
      <c r="N62" s="49" t="str">
        <f aca="false">IFERROR(IF(OR(NOT(ISNUMBER(N60)),N(N59)=0),"",N60/N59),"")</f>
        <v/>
      </c>
      <c r="O62" s="99" t="str">
        <f aca="false">IFERROR(IF(OR(NOT(ISNUMBER(O60)),N(O59)=0),"",O60/O59),"")</f>
        <v/>
      </c>
    </row>
    <row r="63" customFormat="false" ht="15" hidden="true" customHeight="false" outlineLevel="1" collapsed="false">
      <c r="A63" s="11" t="s">
        <v>1917</v>
      </c>
      <c r="B63" s="53" t="str">
        <f aca="false">IF(INDEX(Prod_Nombre,12)="","Producto 12",INDEX(Prod_Nombre,12))&amp;" — capacidad instalada"</f>
        <v>Producto 12 — capacidad instalada</v>
      </c>
      <c r="C63" s="11" t="s">
        <v>544</v>
      </c>
      <c r="E63" s="48" t="n">
        <f aca="false">IF(cu_P=1,IF(INDEX(Prod_Nombre,12)="",0,IF(AND(N(INDEX(Cap_Anio,12))&gt;0,1&gt;=N(INDEX(Cap_Anio,12))),N(INDEX(Cap_Amp,12)),N(INDEX(Cap_Ini,12)))),IF(INDEX(Prod_Nombre,12)="",0,IF(AND(N(INDEX(Cap_Anio,12))&gt;0,1&gt;=N(INDEX(Cap_Anio,12))),N(INDEX(Cap_Amp,12)),N(INDEX(Cap_Ini,12)))))</f>
        <v>0</v>
      </c>
      <c r="F63" s="48" t="n">
        <f aca="false">IF(cu_P=1,IF(INDEX(Prod_Nombre,12)="",0,IF(AND(N(INDEX(Cap_Anio,12))&gt;0,2&gt;=N(INDEX(Cap_Anio,12))),N(INDEX(Cap_Amp,12)),N(INDEX(Cap_Ini,12)))),IF(INDEX(Prod_Nombre,12)="",0,IF(AND(N(INDEX(Cap_Anio,12))&gt;0,2&gt;=N(INDEX(Cap_Anio,12))),N(INDEX(Cap_Amp,12)),N(INDEX(Cap_Ini,12)))))</f>
        <v>0</v>
      </c>
      <c r="G63" s="48" t="n">
        <f aca="false">IF(cu_P=1,IF(INDEX(Prod_Nombre,12)="",0,IF(AND(N(INDEX(Cap_Anio,12))&gt;0,3&gt;=N(INDEX(Cap_Anio,12))),N(INDEX(Cap_Amp,12)),N(INDEX(Cap_Ini,12)))),IF(INDEX(Prod_Nombre,12)="",0,IF(AND(N(INDEX(Cap_Anio,12))&gt;0,3&gt;=N(INDEX(Cap_Anio,12))),N(INDEX(Cap_Amp,12)),N(INDEX(Cap_Ini,12)))))</f>
        <v>0</v>
      </c>
      <c r="H63" s="48" t="n">
        <f aca="false">IF(cu_P=1,IF(INDEX(Prod_Nombre,12)="",0,IF(AND(N(INDEX(Cap_Anio,12))&gt;0,4&gt;=N(INDEX(Cap_Anio,12))),N(INDEX(Cap_Amp,12)),N(INDEX(Cap_Ini,12)))),IF(INDEX(Prod_Nombre,12)="",0,IF(AND(N(INDEX(Cap_Anio,12))&gt;0,4&gt;=N(INDEX(Cap_Anio,12))),N(INDEX(Cap_Amp,12)),N(INDEX(Cap_Ini,12)))))</f>
        <v>0</v>
      </c>
      <c r="I63" s="48" t="n">
        <f aca="false">IF(cu_P=1,IF(INDEX(Prod_Nombre,12)="",0,IF(AND(N(INDEX(Cap_Anio,12))&gt;0,5&gt;=N(INDEX(Cap_Anio,12))),N(INDEX(Cap_Amp,12)),N(INDEX(Cap_Ini,12)))),IF(INDEX(Prod_Nombre,12)="",0,IF(AND(N(INDEX(Cap_Anio,12))&gt;0,5&gt;=N(INDEX(Cap_Anio,12))),N(INDEX(Cap_Amp,12)),N(INDEX(Cap_Ini,12)))))</f>
        <v>0</v>
      </c>
      <c r="J63" s="48" t="n">
        <f aca="false">IF(cu_P=1,IF(INDEX(Prod_Nombre,12)="",0,IF(AND(N(INDEX(Cap_Anio,12))&gt;0,6&gt;=N(INDEX(Cap_Anio,12))),N(INDEX(Cap_Amp,12)),N(INDEX(Cap_Ini,12)))),IF(INDEX(Prod_Nombre,12)="",0,IF(AND(N(INDEX(Cap_Anio,12))&gt;0,6&gt;=N(INDEX(Cap_Anio,12))),N(INDEX(Cap_Amp,12)),N(INDEX(Cap_Ini,12)))))</f>
        <v>0</v>
      </c>
      <c r="K63" s="48" t="n">
        <f aca="false">IF(cu_P=1,IF(INDEX(Prod_Nombre,12)="",0,IF(AND(N(INDEX(Cap_Anio,12))&gt;0,7&gt;=N(INDEX(Cap_Anio,12))),N(INDEX(Cap_Amp,12)),N(INDEX(Cap_Ini,12)))),IF(INDEX(Prod_Nombre,12)="",0,IF(AND(N(INDEX(Cap_Anio,12))&gt;0,7&gt;=N(INDEX(Cap_Anio,12))),N(INDEX(Cap_Amp,12)),N(INDEX(Cap_Ini,12)))))</f>
        <v>0</v>
      </c>
      <c r="L63" s="48" t="n">
        <f aca="false">IF(cu_P=1,IF(INDEX(Prod_Nombre,12)="",0,IF(AND(N(INDEX(Cap_Anio,12))&gt;0,8&gt;=N(INDEX(Cap_Anio,12))),N(INDEX(Cap_Amp,12)),N(INDEX(Cap_Ini,12)))),IF(INDEX(Prod_Nombre,12)="",0,IF(AND(N(INDEX(Cap_Anio,12))&gt;0,8&gt;=N(INDEX(Cap_Anio,12))),N(INDEX(Cap_Amp,12)),N(INDEX(Cap_Ini,12)))))</f>
        <v>0</v>
      </c>
      <c r="M63" s="48" t="n">
        <f aca="false">IF(cu_P=1,IF(INDEX(Prod_Nombre,12)="",0,IF(AND(N(INDEX(Cap_Anio,12))&gt;0,9&gt;=N(INDEX(Cap_Anio,12))),N(INDEX(Cap_Amp,12)),N(INDEX(Cap_Ini,12)))),IF(INDEX(Prod_Nombre,12)="",0,IF(AND(N(INDEX(Cap_Anio,12))&gt;0,9&gt;=N(INDEX(Cap_Anio,12))),N(INDEX(Cap_Amp,12)),N(INDEX(Cap_Ini,12)))))</f>
        <v>0</v>
      </c>
      <c r="N63" s="48" t="n">
        <f aca="false">IF(cu_P=1,IF(INDEX(Prod_Nombre,12)="",0,IF(AND(N(INDEX(Cap_Anio,12))&gt;0,10&gt;=N(INDEX(Cap_Anio,12))),N(INDEX(Cap_Amp,12)),N(INDEX(Cap_Ini,12)))),IF(INDEX(Prod_Nombre,12)="",0,IF(AND(N(INDEX(Cap_Anio,12))&gt;0,10&gt;=N(INDEX(Cap_Anio,12))),N(INDEX(Cap_Amp,12)),N(INDEX(Cap_Ini,12)))))</f>
        <v>0</v>
      </c>
    </row>
    <row r="64" customFormat="false" ht="15" hidden="true" customHeight="false" outlineLevel="1" collapsed="false">
      <c r="A64" s="11" t="s">
        <v>1918</v>
      </c>
      <c r="B64" s="15" t="s">
        <v>1860</v>
      </c>
      <c r="C64" s="11" t="s">
        <v>544</v>
      </c>
      <c r="D64" s="48" t="n">
        <f aca="false">IF(cu_P=1,SUMIFS(Calculo!$F$32:$ES$32,Calculo!$F$16:$ES$16,1)/(1-P_Merma),SUMIFS(Calculo!$F$188:$ES$188,Calculo!$F$172:$ES$172,1)/(1-V_Merma))</f>
        <v>0</v>
      </c>
      <c r="E64" s="48" t="n">
        <f aca="false">IF(cu_P=1,SUMIFS(Calculo!$F$32:$ES$32,Calculo!$F$14:$ES$14,1)/(1-P_Merma),SUMIFS(Calculo!$F$188:$ES$188,Calculo!$F$170:$ES$170,1)/(1-V_Merma))</f>
        <v>0</v>
      </c>
      <c r="F64" s="48" t="n">
        <f aca="false">IF(cu_P=1,SUMIFS(Calculo!$F$32:$ES$32,Calculo!$F$14:$ES$14,2)/(1-P_Merma),SUMIFS(Calculo!$F$188:$ES$188,Calculo!$F$170:$ES$170,2)/(1-V_Merma))</f>
        <v>0</v>
      </c>
      <c r="G64" s="48" t="n">
        <f aca="false">IF(cu_P=1,SUMIFS(Calculo!$F$32:$ES$32,Calculo!$F$14:$ES$14,3)/(1-P_Merma),SUMIFS(Calculo!$F$188:$ES$188,Calculo!$F$170:$ES$170,3)/(1-V_Merma))</f>
        <v>0</v>
      </c>
      <c r="H64" s="48" t="n">
        <f aca="false">IF(cu_P=1,SUMIFS(Calculo!$F$32:$ES$32,Calculo!$F$14:$ES$14,4)/(1-P_Merma),SUMIFS(Calculo!$F$188:$ES$188,Calculo!$F$170:$ES$170,4)/(1-V_Merma))</f>
        <v>0</v>
      </c>
      <c r="I64" s="48" t="n">
        <f aca="false">IF(cu_P=1,SUMIFS(Calculo!$F$32:$ES$32,Calculo!$F$14:$ES$14,5)/(1-P_Merma),SUMIFS(Calculo!$F$188:$ES$188,Calculo!$F$170:$ES$170,5)/(1-V_Merma))</f>
        <v>0</v>
      </c>
      <c r="J64" s="48" t="n">
        <f aca="false">IF(cu_P=1,SUMIFS(Calculo!$F$32:$ES$32,Calculo!$F$14:$ES$14,6)/(1-P_Merma),SUMIFS(Calculo!$F$188:$ES$188,Calculo!$F$170:$ES$170,6)/(1-V_Merma))</f>
        <v>0</v>
      </c>
      <c r="K64" s="48" t="n">
        <f aca="false">IF(cu_P=1,SUMIFS(Calculo!$F$32:$ES$32,Calculo!$F$14:$ES$14,7)/(1-P_Merma),SUMIFS(Calculo!$F$188:$ES$188,Calculo!$F$170:$ES$170,7)/(1-V_Merma))</f>
        <v>0</v>
      </c>
      <c r="L64" s="48" t="n">
        <f aca="false">IF(cu_P=1,SUMIFS(Calculo!$F$32:$ES$32,Calculo!$F$14:$ES$14,8)/(1-P_Merma),SUMIFS(Calculo!$F$188:$ES$188,Calculo!$F$170:$ES$170,8)/(1-V_Merma))</f>
        <v>0</v>
      </c>
      <c r="M64" s="48" t="n">
        <f aca="false">IF(cu_P=1,SUMIFS(Calculo!$F$32:$ES$32,Calculo!$F$14:$ES$14,9)/(1-P_Merma),SUMIFS(Calculo!$F$188:$ES$188,Calculo!$F$170:$ES$170,9)/(1-V_Merma))</f>
        <v>0</v>
      </c>
      <c r="N64" s="48" t="n">
        <f aca="false">IF(cu_P=1,SUMIFS(Calculo!$F$32:$ES$32,Calculo!$F$14:$ES$14,10)/(1-P_Merma),SUMIFS(Calculo!$F$188:$ES$188,Calculo!$F$170:$ES$170,10)/(1-V_Merma))</f>
        <v>0</v>
      </c>
      <c r="O64" s="54" t="n">
        <f aca="false">SUM(D64:N64)</f>
        <v>0</v>
      </c>
    </row>
    <row r="65" customFormat="false" ht="15" hidden="true" customHeight="false" outlineLevel="1" collapsed="false">
      <c r="A65" s="11" t="s">
        <v>1919</v>
      </c>
      <c r="B65" s="15" t="s">
        <v>1862</v>
      </c>
      <c r="C65" s="11" t="s">
        <v>544</v>
      </c>
      <c r="D65" s="48" t="n">
        <f aca="false">IF(cu_P=1,SUMIFS(Calculo!$F$32:$ES$32,Calculo!$F$16:$ES$16,1),SUMIFS(Calculo!$F$188:$ES$188,Calculo!$F$172:$ES$172,1))</f>
        <v>0</v>
      </c>
      <c r="E65" s="48" t="n">
        <f aca="false">IF(cu_P=1,SUMIFS(Calculo!$F$32:$ES$32,Calculo!$F$14:$ES$14,1),SUMIFS(Calculo!$F$188:$ES$188,Calculo!$F$170:$ES$170,1))</f>
        <v>0</v>
      </c>
      <c r="F65" s="48" t="n">
        <f aca="false">IF(cu_P=1,SUMIFS(Calculo!$F$32:$ES$32,Calculo!$F$14:$ES$14,2),SUMIFS(Calculo!$F$188:$ES$188,Calculo!$F$170:$ES$170,2))</f>
        <v>0</v>
      </c>
      <c r="G65" s="48" t="n">
        <f aca="false">IF(cu_P=1,SUMIFS(Calculo!$F$32:$ES$32,Calculo!$F$14:$ES$14,3),SUMIFS(Calculo!$F$188:$ES$188,Calculo!$F$170:$ES$170,3))</f>
        <v>0</v>
      </c>
      <c r="H65" s="48" t="n">
        <f aca="false">IF(cu_P=1,SUMIFS(Calculo!$F$32:$ES$32,Calculo!$F$14:$ES$14,4),SUMIFS(Calculo!$F$188:$ES$188,Calculo!$F$170:$ES$170,4))</f>
        <v>0</v>
      </c>
      <c r="I65" s="48" t="n">
        <f aca="false">IF(cu_P=1,SUMIFS(Calculo!$F$32:$ES$32,Calculo!$F$14:$ES$14,5),SUMIFS(Calculo!$F$188:$ES$188,Calculo!$F$170:$ES$170,5))</f>
        <v>0</v>
      </c>
      <c r="J65" s="48" t="n">
        <f aca="false">IF(cu_P=1,SUMIFS(Calculo!$F$32:$ES$32,Calculo!$F$14:$ES$14,6),SUMIFS(Calculo!$F$188:$ES$188,Calculo!$F$170:$ES$170,6))</f>
        <v>0</v>
      </c>
      <c r="K65" s="48" t="n">
        <f aca="false">IF(cu_P=1,SUMIFS(Calculo!$F$32:$ES$32,Calculo!$F$14:$ES$14,7),SUMIFS(Calculo!$F$188:$ES$188,Calculo!$F$170:$ES$170,7))</f>
        <v>0</v>
      </c>
      <c r="L65" s="48" t="n">
        <f aca="false">IF(cu_P=1,SUMIFS(Calculo!$F$32:$ES$32,Calculo!$F$14:$ES$14,8),SUMIFS(Calculo!$F$188:$ES$188,Calculo!$F$170:$ES$170,8))</f>
        <v>0</v>
      </c>
      <c r="M65" s="48" t="n">
        <f aca="false">IF(cu_P=1,SUMIFS(Calculo!$F$32:$ES$32,Calculo!$F$14:$ES$14,9),SUMIFS(Calculo!$F$188:$ES$188,Calculo!$F$170:$ES$170,9))</f>
        <v>0</v>
      </c>
      <c r="N65" s="48" t="n">
        <f aca="false">IF(cu_P=1,SUMIFS(Calculo!$F$32:$ES$32,Calculo!$F$14:$ES$14,10),SUMIFS(Calculo!$F$188:$ES$188,Calculo!$F$170:$ES$170,10))</f>
        <v>0</v>
      </c>
      <c r="O65" s="54" t="n">
        <f aca="false">SUM(D65:N65)</f>
        <v>0</v>
      </c>
    </row>
    <row r="66" customFormat="false" ht="15" hidden="true" customHeight="false" outlineLevel="1" collapsed="false">
      <c r="A66" s="11" t="s">
        <v>1920</v>
      </c>
      <c r="B66" s="15" t="s">
        <v>1864</v>
      </c>
      <c r="C66" s="11" t="s">
        <v>367</v>
      </c>
      <c r="E66" s="49" t="str">
        <f aca="false">IFERROR(IF(OR(NOT(ISNUMBER(E64)),N(E63)=0),"",E64/E63),"")</f>
        <v/>
      </c>
      <c r="F66" s="49" t="str">
        <f aca="false">IFERROR(IF(OR(NOT(ISNUMBER(F64)),N(F63)=0),"",F64/F63),"")</f>
        <v/>
      </c>
      <c r="G66" s="49" t="str">
        <f aca="false">IFERROR(IF(OR(NOT(ISNUMBER(G64)),N(G63)=0),"",G64/G63),"")</f>
        <v/>
      </c>
      <c r="H66" s="49" t="str">
        <f aca="false">IFERROR(IF(OR(NOT(ISNUMBER(H64)),N(H63)=0),"",H64/H63),"")</f>
        <v/>
      </c>
      <c r="I66" s="49" t="str">
        <f aca="false">IFERROR(IF(OR(NOT(ISNUMBER(I64)),N(I63)=0),"",I64/I63),"")</f>
        <v/>
      </c>
      <c r="J66" s="49" t="str">
        <f aca="false">IFERROR(IF(OR(NOT(ISNUMBER(J64)),N(J63)=0),"",J64/J63),"")</f>
        <v/>
      </c>
      <c r="K66" s="49" t="str">
        <f aca="false">IFERROR(IF(OR(NOT(ISNUMBER(K64)),N(K63)=0),"",K64/K63),"")</f>
        <v/>
      </c>
      <c r="L66" s="49" t="str">
        <f aca="false">IFERROR(IF(OR(NOT(ISNUMBER(L64)),N(L63)=0),"",L64/L63),"")</f>
        <v/>
      </c>
      <c r="M66" s="49" t="str">
        <f aca="false">IFERROR(IF(OR(NOT(ISNUMBER(M64)),N(M63)=0),"",M64/M63),"")</f>
        <v/>
      </c>
      <c r="N66" s="49" t="str">
        <f aca="false">IFERROR(IF(OR(NOT(ISNUMBER(N64)),N(N63)=0),"",N64/N63),"")</f>
        <v/>
      </c>
    </row>
    <row r="67" customFormat="false" ht="15" hidden="true" customHeight="false" outlineLevel="1" collapsed="false">
      <c r="A67" s="11" t="s">
        <v>1921</v>
      </c>
      <c r="B67" s="15" t="s">
        <v>1866</v>
      </c>
      <c r="C67" s="11" t="s">
        <v>367</v>
      </c>
      <c r="E67" s="49" t="str">
        <f aca="false">IFERROR(IF(OR(NOT(ISNUMBER(E65)),N(E64)=0),"",E65/E64),"")</f>
        <v/>
      </c>
      <c r="F67" s="49" t="str">
        <f aca="false">IFERROR(IF(OR(NOT(ISNUMBER(F65)),N(F64)=0),"",F65/F64),"")</f>
        <v/>
      </c>
      <c r="G67" s="49" t="str">
        <f aca="false">IFERROR(IF(OR(NOT(ISNUMBER(G65)),N(G64)=0),"",G65/G64),"")</f>
        <v/>
      </c>
      <c r="H67" s="49" t="str">
        <f aca="false">IFERROR(IF(OR(NOT(ISNUMBER(H65)),N(H64)=0),"",H65/H64),"")</f>
        <v/>
      </c>
      <c r="I67" s="49" t="str">
        <f aca="false">IFERROR(IF(OR(NOT(ISNUMBER(I65)),N(I64)=0),"",I65/I64),"")</f>
        <v/>
      </c>
      <c r="J67" s="49" t="str">
        <f aca="false">IFERROR(IF(OR(NOT(ISNUMBER(J65)),N(J64)=0),"",J65/J64),"")</f>
        <v/>
      </c>
      <c r="K67" s="49" t="str">
        <f aca="false">IFERROR(IF(OR(NOT(ISNUMBER(K65)),N(K64)=0),"",K65/K64),"")</f>
        <v/>
      </c>
      <c r="L67" s="49" t="str">
        <f aca="false">IFERROR(IF(OR(NOT(ISNUMBER(L65)),N(L64)=0),"",L65/L64),"")</f>
        <v/>
      </c>
      <c r="M67" s="49" t="str">
        <f aca="false">IFERROR(IF(OR(NOT(ISNUMBER(M65)),N(M64)=0),"",M65/M64),"")</f>
        <v/>
      </c>
      <c r="N67" s="49" t="str">
        <f aca="false">IFERROR(IF(OR(NOT(ISNUMBER(N65)),N(N64)=0),"",N65/N64),"")</f>
        <v/>
      </c>
      <c r="O67" s="99" t="str">
        <f aca="false">IFERROR(IF(OR(NOT(ISNUMBER(O65)),N(O64)=0),"",O65/O64),"")</f>
        <v/>
      </c>
    </row>
    <row r="68" customFormat="false" ht="15" hidden="true" customHeight="false" outlineLevel="1" collapsed="false">
      <c r="A68" s="11" t="s">
        <v>1922</v>
      </c>
      <c r="B68" s="53" t="str">
        <f aca="false">IF(INDEX(Prod_Nombre,13)="","Producto 13",INDEX(Prod_Nombre,13))&amp;" — capacidad instalada"</f>
        <v>Producto 13 — capacidad instalada</v>
      </c>
      <c r="C68" s="11" t="s">
        <v>544</v>
      </c>
      <c r="E68" s="48" t="n">
        <f aca="false">IF(cu_P=1,IF(INDEX(Prod_Nombre,13)="",0,IF(AND(N(INDEX(Cap_Anio,13))&gt;0,1&gt;=N(INDEX(Cap_Anio,13))),N(INDEX(Cap_Amp,13)),N(INDEX(Cap_Ini,13)))),IF(INDEX(Prod_Nombre,13)="",0,IF(AND(N(INDEX(Cap_Anio,13))&gt;0,1&gt;=N(INDEX(Cap_Anio,13))),N(INDEX(Cap_Amp,13)),N(INDEX(Cap_Ini,13)))))</f>
        <v>0</v>
      </c>
      <c r="F68" s="48" t="n">
        <f aca="false">IF(cu_P=1,IF(INDEX(Prod_Nombre,13)="",0,IF(AND(N(INDEX(Cap_Anio,13))&gt;0,2&gt;=N(INDEX(Cap_Anio,13))),N(INDEX(Cap_Amp,13)),N(INDEX(Cap_Ini,13)))),IF(INDEX(Prod_Nombre,13)="",0,IF(AND(N(INDEX(Cap_Anio,13))&gt;0,2&gt;=N(INDEX(Cap_Anio,13))),N(INDEX(Cap_Amp,13)),N(INDEX(Cap_Ini,13)))))</f>
        <v>0</v>
      </c>
      <c r="G68" s="48" t="n">
        <f aca="false">IF(cu_P=1,IF(INDEX(Prod_Nombre,13)="",0,IF(AND(N(INDEX(Cap_Anio,13))&gt;0,3&gt;=N(INDEX(Cap_Anio,13))),N(INDEX(Cap_Amp,13)),N(INDEX(Cap_Ini,13)))),IF(INDEX(Prod_Nombre,13)="",0,IF(AND(N(INDEX(Cap_Anio,13))&gt;0,3&gt;=N(INDEX(Cap_Anio,13))),N(INDEX(Cap_Amp,13)),N(INDEX(Cap_Ini,13)))))</f>
        <v>0</v>
      </c>
      <c r="H68" s="48" t="n">
        <f aca="false">IF(cu_P=1,IF(INDEX(Prod_Nombre,13)="",0,IF(AND(N(INDEX(Cap_Anio,13))&gt;0,4&gt;=N(INDEX(Cap_Anio,13))),N(INDEX(Cap_Amp,13)),N(INDEX(Cap_Ini,13)))),IF(INDEX(Prod_Nombre,13)="",0,IF(AND(N(INDEX(Cap_Anio,13))&gt;0,4&gt;=N(INDEX(Cap_Anio,13))),N(INDEX(Cap_Amp,13)),N(INDEX(Cap_Ini,13)))))</f>
        <v>0</v>
      </c>
      <c r="I68" s="48" t="n">
        <f aca="false">IF(cu_P=1,IF(INDEX(Prod_Nombre,13)="",0,IF(AND(N(INDEX(Cap_Anio,13))&gt;0,5&gt;=N(INDEX(Cap_Anio,13))),N(INDEX(Cap_Amp,13)),N(INDEX(Cap_Ini,13)))),IF(INDEX(Prod_Nombre,13)="",0,IF(AND(N(INDEX(Cap_Anio,13))&gt;0,5&gt;=N(INDEX(Cap_Anio,13))),N(INDEX(Cap_Amp,13)),N(INDEX(Cap_Ini,13)))))</f>
        <v>0</v>
      </c>
      <c r="J68" s="48" t="n">
        <f aca="false">IF(cu_P=1,IF(INDEX(Prod_Nombre,13)="",0,IF(AND(N(INDEX(Cap_Anio,13))&gt;0,6&gt;=N(INDEX(Cap_Anio,13))),N(INDEX(Cap_Amp,13)),N(INDEX(Cap_Ini,13)))),IF(INDEX(Prod_Nombre,13)="",0,IF(AND(N(INDEX(Cap_Anio,13))&gt;0,6&gt;=N(INDEX(Cap_Anio,13))),N(INDEX(Cap_Amp,13)),N(INDEX(Cap_Ini,13)))))</f>
        <v>0</v>
      </c>
      <c r="K68" s="48" t="n">
        <f aca="false">IF(cu_P=1,IF(INDEX(Prod_Nombre,13)="",0,IF(AND(N(INDEX(Cap_Anio,13))&gt;0,7&gt;=N(INDEX(Cap_Anio,13))),N(INDEX(Cap_Amp,13)),N(INDEX(Cap_Ini,13)))),IF(INDEX(Prod_Nombre,13)="",0,IF(AND(N(INDEX(Cap_Anio,13))&gt;0,7&gt;=N(INDEX(Cap_Anio,13))),N(INDEX(Cap_Amp,13)),N(INDEX(Cap_Ini,13)))))</f>
        <v>0</v>
      </c>
      <c r="L68" s="48" t="n">
        <f aca="false">IF(cu_P=1,IF(INDEX(Prod_Nombre,13)="",0,IF(AND(N(INDEX(Cap_Anio,13))&gt;0,8&gt;=N(INDEX(Cap_Anio,13))),N(INDEX(Cap_Amp,13)),N(INDEX(Cap_Ini,13)))),IF(INDEX(Prod_Nombre,13)="",0,IF(AND(N(INDEX(Cap_Anio,13))&gt;0,8&gt;=N(INDEX(Cap_Anio,13))),N(INDEX(Cap_Amp,13)),N(INDEX(Cap_Ini,13)))))</f>
        <v>0</v>
      </c>
      <c r="M68" s="48" t="n">
        <f aca="false">IF(cu_P=1,IF(INDEX(Prod_Nombre,13)="",0,IF(AND(N(INDEX(Cap_Anio,13))&gt;0,9&gt;=N(INDEX(Cap_Anio,13))),N(INDEX(Cap_Amp,13)),N(INDEX(Cap_Ini,13)))),IF(INDEX(Prod_Nombre,13)="",0,IF(AND(N(INDEX(Cap_Anio,13))&gt;0,9&gt;=N(INDEX(Cap_Anio,13))),N(INDEX(Cap_Amp,13)),N(INDEX(Cap_Ini,13)))))</f>
        <v>0</v>
      </c>
      <c r="N68" s="48" t="n">
        <f aca="false">IF(cu_P=1,IF(INDEX(Prod_Nombre,13)="",0,IF(AND(N(INDEX(Cap_Anio,13))&gt;0,10&gt;=N(INDEX(Cap_Anio,13))),N(INDEX(Cap_Amp,13)),N(INDEX(Cap_Ini,13)))),IF(INDEX(Prod_Nombre,13)="",0,IF(AND(N(INDEX(Cap_Anio,13))&gt;0,10&gt;=N(INDEX(Cap_Anio,13))),N(INDEX(Cap_Amp,13)),N(INDEX(Cap_Ini,13)))))</f>
        <v>0</v>
      </c>
    </row>
    <row r="69" customFormat="false" ht="15" hidden="true" customHeight="false" outlineLevel="1" collapsed="false">
      <c r="A69" s="11" t="s">
        <v>1923</v>
      </c>
      <c r="B69" s="15" t="s">
        <v>1860</v>
      </c>
      <c r="C69" s="11" t="s">
        <v>544</v>
      </c>
      <c r="D69" s="48" t="n">
        <f aca="false">IF(cu_P=1,SUMIFS(Calculo!$F$33:$ES$33,Calculo!$F$16:$ES$16,1)/(1-P_Merma),SUMIFS(Calculo!$F$189:$ES$189,Calculo!$F$172:$ES$172,1)/(1-V_Merma))</f>
        <v>0</v>
      </c>
      <c r="E69" s="48" t="n">
        <f aca="false">IF(cu_P=1,SUMIFS(Calculo!$F$33:$ES$33,Calculo!$F$14:$ES$14,1)/(1-P_Merma),SUMIFS(Calculo!$F$189:$ES$189,Calculo!$F$170:$ES$170,1)/(1-V_Merma))</f>
        <v>0</v>
      </c>
      <c r="F69" s="48" t="n">
        <f aca="false">IF(cu_P=1,SUMIFS(Calculo!$F$33:$ES$33,Calculo!$F$14:$ES$14,2)/(1-P_Merma),SUMIFS(Calculo!$F$189:$ES$189,Calculo!$F$170:$ES$170,2)/(1-V_Merma))</f>
        <v>0</v>
      </c>
      <c r="G69" s="48" t="n">
        <f aca="false">IF(cu_P=1,SUMIFS(Calculo!$F$33:$ES$33,Calculo!$F$14:$ES$14,3)/(1-P_Merma),SUMIFS(Calculo!$F$189:$ES$189,Calculo!$F$170:$ES$170,3)/(1-V_Merma))</f>
        <v>0</v>
      </c>
      <c r="H69" s="48" t="n">
        <f aca="false">IF(cu_P=1,SUMIFS(Calculo!$F$33:$ES$33,Calculo!$F$14:$ES$14,4)/(1-P_Merma),SUMIFS(Calculo!$F$189:$ES$189,Calculo!$F$170:$ES$170,4)/(1-V_Merma))</f>
        <v>0</v>
      </c>
      <c r="I69" s="48" t="n">
        <f aca="false">IF(cu_P=1,SUMIFS(Calculo!$F$33:$ES$33,Calculo!$F$14:$ES$14,5)/(1-P_Merma),SUMIFS(Calculo!$F$189:$ES$189,Calculo!$F$170:$ES$170,5)/(1-V_Merma))</f>
        <v>0</v>
      </c>
      <c r="J69" s="48" t="n">
        <f aca="false">IF(cu_P=1,SUMIFS(Calculo!$F$33:$ES$33,Calculo!$F$14:$ES$14,6)/(1-P_Merma),SUMIFS(Calculo!$F$189:$ES$189,Calculo!$F$170:$ES$170,6)/(1-V_Merma))</f>
        <v>0</v>
      </c>
      <c r="K69" s="48" t="n">
        <f aca="false">IF(cu_P=1,SUMIFS(Calculo!$F$33:$ES$33,Calculo!$F$14:$ES$14,7)/(1-P_Merma),SUMIFS(Calculo!$F$189:$ES$189,Calculo!$F$170:$ES$170,7)/(1-V_Merma))</f>
        <v>0</v>
      </c>
      <c r="L69" s="48" t="n">
        <f aca="false">IF(cu_P=1,SUMIFS(Calculo!$F$33:$ES$33,Calculo!$F$14:$ES$14,8)/(1-P_Merma),SUMIFS(Calculo!$F$189:$ES$189,Calculo!$F$170:$ES$170,8)/(1-V_Merma))</f>
        <v>0</v>
      </c>
      <c r="M69" s="48" t="n">
        <f aca="false">IF(cu_P=1,SUMIFS(Calculo!$F$33:$ES$33,Calculo!$F$14:$ES$14,9)/(1-P_Merma),SUMIFS(Calculo!$F$189:$ES$189,Calculo!$F$170:$ES$170,9)/(1-V_Merma))</f>
        <v>0</v>
      </c>
      <c r="N69" s="48" t="n">
        <f aca="false">IF(cu_P=1,SUMIFS(Calculo!$F$33:$ES$33,Calculo!$F$14:$ES$14,10)/(1-P_Merma),SUMIFS(Calculo!$F$189:$ES$189,Calculo!$F$170:$ES$170,10)/(1-V_Merma))</f>
        <v>0</v>
      </c>
      <c r="O69" s="54" t="n">
        <f aca="false">SUM(D69:N69)</f>
        <v>0</v>
      </c>
    </row>
    <row r="70" customFormat="false" ht="15" hidden="true" customHeight="false" outlineLevel="1" collapsed="false">
      <c r="A70" s="11" t="s">
        <v>1924</v>
      </c>
      <c r="B70" s="15" t="s">
        <v>1862</v>
      </c>
      <c r="C70" s="11" t="s">
        <v>544</v>
      </c>
      <c r="D70" s="48" t="n">
        <f aca="false">IF(cu_P=1,SUMIFS(Calculo!$F$33:$ES$33,Calculo!$F$16:$ES$16,1),SUMIFS(Calculo!$F$189:$ES$189,Calculo!$F$172:$ES$172,1))</f>
        <v>0</v>
      </c>
      <c r="E70" s="48" t="n">
        <f aca="false">IF(cu_P=1,SUMIFS(Calculo!$F$33:$ES$33,Calculo!$F$14:$ES$14,1),SUMIFS(Calculo!$F$189:$ES$189,Calculo!$F$170:$ES$170,1))</f>
        <v>0</v>
      </c>
      <c r="F70" s="48" t="n">
        <f aca="false">IF(cu_P=1,SUMIFS(Calculo!$F$33:$ES$33,Calculo!$F$14:$ES$14,2),SUMIFS(Calculo!$F$189:$ES$189,Calculo!$F$170:$ES$170,2))</f>
        <v>0</v>
      </c>
      <c r="G70" s="48" t="n">
        <f aca="false">IF(cu_P=1,SUMIFS(Calculo!$F$33:$ES$33,Calculo!$F$14:$ES$14,3),SUMIFS(Calculo!$F$189:$ES$189,Calculo!$F$170:$ES$170,3))</f>
        <v>0</v>
      </c>
      <c r="H70" s="48" t="n">
        <f aca="false">IF(cu_P=1,SUMIFS(Calculo!$F$33:$ES$33,Calculo!$F$14:$ES$14,4),SUMIFS(Calculo!$F$189:$ES$189,Calculo!$F$170:$ES$170,4))</f>
        <v>0</v>
      </c>
      <c r="I70" s="48" t="n">
        <f aca="false">IF(cu_P=1,SUMIFS(Calculo!$F$33:$ES$33,Calculo!$F$14:$ES$14,5),SUMIFS(Calculo!$F$189:$ES$189,Calculo!$F$170:$ES$170,5))</f>
        <v>0</v>
      </c>
      <c r="J70" s="48" t="n">
        <f aca="false">IF(cu_P=1,SUMIFS(Calculo!$F$33:$ES$33,Calculo!$F$14:$ES$14,6),SUMIFS(Calculo!$F$189:$ES$189,Calculo!$F$170:$ES$170,6))</f>
        <v>0</v>
      </c>
      <c r="K70" s="48" t="n">
        <f aca="false">IF(cu_P=1,SUMIFS(Calculo!$F$33:$ES$33,Calculo!$F$14:$ES$14,7),SUMIFS(Calculo!$F$189:$ES$189,Calculo!$F$170:$ES$170,7))</f>
        <v>0</v>
      </c>
      <c r="L70" s="48" t="n">
        <f aca="false">IF(cu_P=1,SUMIFS(Calculo!$F$33:$ES$33,Calculo!$F$14:$ES$14,8),SUMIFS(Calculo!$F$189:$ES$189,Calculo!$F$170:$ES$170,8))</f>
        <v>0</v>
      </c>
      <c r="M70" s="48" t="n">
        <f aca="false">IF(cu_P=1,SUMIFS(Calculo!$F$33:$ES$33,Calculo!$F$14:$ES$14,9),SUMIFS(Calculo!$F$189:$ES$189,Calculo!$F$170:$ES$170,9))</f>
        <v>0</v>
      </c>
      <c r="N70" s="48" t="n">
        <f aca="false">IF(cu_P=1,SUMIFS(Calculo!$F$33:$ES$33,Calculo!$F$14:$ES$14,10),SUMIFS(Calculo!$F$189:$ES$189,Calculo!$F$170:$ES$170,10))</f>
        <v>0</v>
      </c>
      <c r="O70" s="54" t="n">
        <f aca="false">SUM(D70:N70)</f>
        <v>0</v>
      </c>
    </row>
    <row r="71" customFormat="false" ht="15" hidden="true" customHeight="false" outlineLevel="1" collapsed="false">
      <c r="A71" s="11" t="s">
        <v>1925</v>
      </c>
      <c r="B71" s="15" t="s">
        <v>1864</v>
      </c>
      <c r="C71" s="11" t="s">
        <v>367</v>
      </c>
      <c r="E71" s="49" t="str">
        <f aca="false">IFERROR(IF(OR(NOT(ISNUMBER(E69)),N(E68)=0),"",E69/E68),"")</f>
        <v/>
      </c>
      <c r="F71" s="49" t="str">
        <f aca="false">IFERROR(IF(OR(NOT(ISNUMBER(F69)),N(F68)=0),"",F69/F68),"")</f>
        <v/>
      </c>
      <c r="G71" s="49" t="str">
        <f aca="false">IFERROR(IF(OR(NOT(ISNUMBER(G69)),N(G68)=0),"",G69/G68),"")</f>
        <v/>
      </c>
      <c r="H71" s="49" t="str">
        <f aca="false">IFERROR(IF(OR(NOT(ISNUMBER(H69)),N(H68)=0),"",H69/H68),"")</f>
        <v/>
      </c>
      <c r="I71" s="49" t="str">
        <f aca="false">IFERROR(IF(OR(NOT(ISNUMBER(I69)),N(I68)=0),"",I69/I68),"")</f>
        <v/>
      </c>
      <c r="J71" s="49" t="str">
        <f aca="false">IFERROR(IF(OR(NOT(ISNUMBER(J69)),N(J68)=0),"",J69/J68),"")</f>
        <v/>
      </c>
      <c r="K71" s="49" t="str">
        <f aca="false">IFERROR(IF(OR(NOT(ISNUMBER(K69)),N(K68)=0),"",K69/K68),"")</f>
        <v/>
      </c>
      <c r="L71" s="49" t="str">
        <f aca="false">IFERROR(IF(OR(NOT(ISNUMBER(L69)),N(L68)=0),"",L69/L68),"")</f>
        <v/>
      </c>
      <c r="M71" s="49" t="str">
        <f aca="false">IFERROR(IF(OR(NOT(ISNUMBER(M69)),N(M68)=0),"",M69/M68),"")</f>
        <v/>
      </c>
      <c r="N71" s="49" t="str">
        <f aca="false">IFERROR(IF(OR(NOT(ISNUMBER(N69)),N(N68)=0),"",N69/N68),"")</f>
        <v/>
      </c>
    </row>
    <row r="72" customFormat="false" ht="15" hidden="true" customHeight="false" outlineLevel="1" collapsed="false">
      <c r="A72" s="11" t="s">
        <v>1926</v>
      </c>
      <c r="B72" s="15" t="s">
        <v>1866</v>
      </c>
      <c r="C72" s="11" t="s">
        <v>367</v>
      </c>
      <c r="E72" s="49" t="str">
        <f aca="false">IFERROR(IF(OR(NOT(ISNUMBER(E70)),N(E69)=0),"",E70/E69),"")</f>
        <v/>
      </c>
      <c r="F72" s="49" t="str">
        <f aca="false">IFERROR(IF(OR(NOT(ISNUMBER(F70)),N(F69)=0),"",F70/F69),"")</f>
        <v/>
      </c>
      <c r="G72" s="49" t="str">
        <f aca="false">IFERROR(IF(OR(NOT(ISNUMBER(G70)),N(G69)=0),"",G70/G69),"")</f>
        <v/>
      </c>
      <c r="H72" s="49" t="str">
        <f aca="false">IFERROR(IF(OR(NOT(ISNUMBER(H70)),N(H69)=0),"",H70/H69),"")</f>
        <v/>
      </c>
      <c r="I72" s="49" t="str">
        <f aca="false">IFERROR(IF(OR(NOT(ISNUMBER(I70)),N(I69)=0),"",I70/I69),"")</f>
        <v/>
      </c>
      <c r="J72" s="49" t="str">
        <f aca="false">IFERROR(IF(OR(NOT(ISNUMBER(J70)),N(J69)=0),"",J70/J69),"")</f>
        <v/>
      </c>
      <c r="K72" s="49" t="str">
        <f aca="false">IFERROR(IF(OR(NOT(ISNUMBER(K70)),N(K69)=0),"",K70/K69),"")</f>
        <v/>
      </c>
      <c r="L72" s="49" t="str">
        <f aca="false">IFERROR(IF(OR(NOT(ISNUMBER(L70)),N(L69)=0),"",L70/L69),"")</f>
        <v/>
      </c>
      <c r="M72" s="49" t="str">
        <f aca="false">IFERROR(IF(OR(NOT(ISNUMBER(M70)),N(M69)=0),"",M70/M69),"")</f>
        <v/>
      </c>
      <c r="N72" s="49" t="str">
        <f aca="false">IFERROR(IF(OR(NOT(ISNUMBER(N70)),N(N69)=0),"",N70/N69),"")</f>
        <v/>
      </c>
      <c r="O72" s="99" t="str">
        <f aca="false">IFERROR(IF(OR(NOT(ISNUMBER(O70)),N(O69)=0),"",O70/O69),"")</f>
        <v/>
      </c>
    </row>
    <row r="73" customFormat="false" ht="15" hidden="true" customHeight="false" outlineLevel="1" collapsed="false">
      <c r="A73" s="11" t="s">
        <v>1927</v>
      </c>
      <c r="B73" s="53" t="str">
        <f aca="false">IF(INDEX(Prod_Nombre,14)="","Producto 14",INDEX(Prod_Nombre,14))&amp;" — capacidad instalada"</f>
        <v>Producto 14 — capacidad instalada</v>
      </c>
      <c r="C73" s="11" t="s">
        <v>544</v>
      </c>
      <c r="E73" s="48" t="n">
        <f aca="false">IF(cu_P=1,IF(INDEX(Prod_Nombre,14)="",0,IF(AND(N(INDEX(Cap_Anio,14))&gt;0,1&gt;=N(INDEX(Cap_Anio,14))),N(INDEX(Cap_Amp,14)),N(INDEX(Cap_Ini,14)))),IF(INDEX(Prod_Nombre,14)="",0,IF(AND(N(INDEX(Cap_Anio,14))&gt;0,1&gt;=N(INDEX(Cap_Anio,14))),N(INDEX(Cap_Amp,14)),N(INDEX(Cap_Ini,14)))))</f>
        <v>0</v>
      </c>
      <c r="F73" s="48" t="n">
        <f aca="false">IF(cu_P=1,IF(INDEX(Prod_Nombre,14)="",0,IF(AND(N(INDEX(Cap_Anio,14))&gt;0,2&gt;=N(INDEX(Cap_Anio,14))),N(INDEX(Cap_Amp,14)),N(INDEX(Cap_Ini,14)))),IF(INDEX(Prod_Nombre,14)="",0,IF(AND(N(INDEX(Cap_Anio,14))&gt;0,2&gt;=N(INDEX(Cap_Anio,14))),N(INDEX(Cap_Amp,14)),N(INDEX(Cap_Ini,14)))))</f>
        <v>0</v>
      </c>
      <c r="G73" s="48" t="n">
        <f aca="false">IF(cu_P=1,IF(INDEX(Prod_Nombre,14)="",0,IF(AND(N(INDEX(Cap_Anio,14))&gt;0,3&gt;=N(INDEX(Cap_Anio,14))),N(INDEX(Cap_Amp,14)),N(INDEX(Cap_Ini,14)))),IF(INDEX(Prod_Nombre,14)="",0,IF(AND(N(INDEX(Cap_Anio,14))&gt;0,3&gt;=N(INDEX(Cap_Anio,14))),N(INDEX(Cap_Amp,14)),N(INDEX(Cap_Ini,14)))))</f>
        <v>0</v>
      </c>
      <c r="H73" s="48" t="n">
        <f aca="false">IF(cu_P=1,IF(INDEX(Prod_Nombre,14)="",0,IF(AND(N(INDEX(Cap_Anio,14))&gt;0,4&gt;=N(INDEX(Cap_Anio,14))),N(INDEX(Cap_Amp,14)),N(INDEX(Cap_Ini,14)))),IF(INDEX(Prod_Nombre,14)="",0,IF(AND(N(INDEX(Cap_Anio,14))&gt;0,4&gt;=N(INDEX(Cap_Anio,14))),N(INDEX(Cap_Amp,14)),N(INDEX(Cap_Ini,14)))))</f>
        <v>0</v>
      </c>
      <c r="I73" s="48" t="n">
        <f aca="false">IF(cu_P=1,IF(INDEX(Prod_Nombre,14)="",0,IF(AND(N(INDEX(Cap_Anio,14))&gt;0,5&gt;=N(INDEX(Cap_Anio,14))),N(INDEX(Cap_Amp,14)),N(INDEX(Cap_Ini,14)))),IF(INDEX(Prod_Nombre,14)="",0,IF(AND(N(INDEX(Cap_Anio,14))&gt;0,5&gt;=N(INDEX(Cap_Anio,14))),N(INDEX(Cap_Amp,14)),N(INDEX(Cap_Ini,14)))))</f>
        <v>0</v>
      </c>
      <c r="J73" s="48" t="n">
        <f aca="false">IF(cu_P=1,IF(INDEX(Prod_Nombre,14)="",0,IF(AND(N(INDEX(Cap_Anio,14))&gt;0,6&gt;=N(INDEX(Cap_Anio,14))),N(INDEX(Cap_Amp,14)),N(INDEX(Cap_Ini,14)))),IF(INDEX(Prod_Nombre,14)="",0,IF(AND(N(INDEX(Cap_Anio,14))&gt;0,6&gt;=N(INDEX(Cap_Anio,14))),N(INDEX(Cap_Amp,14)),N(INDEX(Cap_Ini,14)))))</f>
        <v>0</v>
      </c>
      <c r="K73" s="48" t="n">
        <f aca="false">IF(cu_P=1,IF(INDEX(Prod_Nombre,14)="",0,IF(AND(N(INDEX(Cap_Anio,14))&gt;0,7&gt;=N(INDEX(Cap_Anio,14))),N(INDEX(Cap_Amp,14)),N(INDEX(Cap_Ini,14)))),IF(INDEX(Prod_Nombre,14)="",0,IF(AND(N(INDEX(Cap_Anio,14))&gt;0,7&gt;=N(INDEX(Cap_Anio,14))),N(INDEX(Cap_Amp,14)),N(INDEX(Cap_Ini,14)))))</f>
        <v>0</v>
      </c>
      <c r="L73" s="48" t="n">
        <f aca="false">IF(cu_P=1,IF(INDEX(Prod_Nombre,14)="",0,IF(AND(N(INDEX(Cap_Anio,14))&gt;0,8&gt;=N(INDEX(Cap_Anio,14))),N(INDEX(Cap_Amp,14)),N(INDEX(Cap_Ini,14)))),IF(INDEX(Prod_Nombre,14)="",0,IF(AND(N(INDEX(Cap_Anio,14))&gt;0,8&gt;=N(INDEX(Cap_Anio,14))),N(INDEX(Cap_Amp,14)),N(INDEX(Cap_Ini,14)))))</f>
        <v>0</v>
      </c>
      <c r="M73" s="48" t="n">
        <f aca="false">IF(cu_P=1,IF(INDEX(Prod_Nombre,14)="",0,IF(AND(N(INDEX(Cap_Anio,14))&gt;0,9&gt;=N(INDEX(Cap_Anio,14))),N(INDEX(Cap_Amp,14)),N(INDEX(Cap_Ini,14)))),IF(INDEX(Prod_Nombre,14)="",0,IF(AND(N(INDEX(Cap_Anio,14))&gt;0,9&gt;=N(INDEX(Cap_Anio,14))),N(INDEX(Cap_Amp,14)),N(INDEX(Cap_Ini,14)))))</f>
        <v>0</v>
      </c>
      <c r="N73" s="48" t="n">
        <f aca="false">IF(cu_P=1,IF(INDEX(Prod_Nombre,14)="",0,IF(AND(N(INDEX(Cap_Anio,14))&gt;0,10&gt;=N(INDEX(Cap_Anio,14))),N(INDEX(Cap_Amp,14)),N(INDEX(Cap_Ini,14)))),IF(INDEX(Prod_Nombre,14)="",0,IF(AND(N(INDEX(Cap_Anio,14))&gt;0,10&gt;=N(INDEX(Cap_Anio,14))),N(INDEX(Cap_Amp,14)),N(INDEX(Cap_Ini,14)))))</f>
        <v>0</v>
      </c>
    </row>
    <row r="74" customFormat="false" ht="15" hidden="true" customHeight="false" outlineLevel="1" collapsed="false">
      <c r="A74" s="11" t="s">
        <v>1928</v>
      </c>
      <c r="B74" s="15" t="s">
        <v>1860</v>
      </c>
      <c r="C74" s="11" t="s">
        <v>544</v>
      </c>
      <c r="D74" s="48" t="n">
        <f aca="false">IF(cu_P=1,SUMIFS(Calculo!$F$34:$ES$34,Calculo!$F$16:$ES$16,1)/(1-P_Merma),SUMIFS(Calculo!$F$190:$ES$190,Calculo!$F$172:$ES$172,1)/(1-V_Merma))</f>
        <v>0</v>
      </c>
      <c r="E74" s="48" t="n">
        <f aca="false">IF(cu_P=1,SUMIFS(Calculo!$F$34:$ES$34,Calculo!$F$14:$ES$14,1)/(1-P_Merma),SUMIFS(Calculo!$F$190:$ES$190,Calculo!$F$170:$ES$170,1)/(1-V_Merma))</f>
        <v>0</v>
      </c>
      <c r="F74" s="48" t="n">
        <f aca="false">IF(cu_P=1,SUMIFS(Calculo!$F$34:$ES$34,Calculo!$F$14:$ES$14,2)/(1-P_Merma),SUMIFS(Calculo!$F$190:$ES$190,Calculo!$F$170:$ES$170,2)/(1-V_Merma))</f>
        <v>0</v>
      </c>
      <c r="G74" s="48" t="n">
        <f aca="false">IF(cu_P=1,SUMIFS(Calculo!$F$34:$ES$34,Calculo!$F$14:$ES$14,3)/(1-P_Merma),SUMIFS(Calculo!$F$190:$ES$190,Calculo!$F$170:$ES$170,3)/(1-V_Merma))</f>
        <v>0</v>
      </c>
      <c r="H74" s="48" t="n">
        <f aca="false">IF(cu_P=1,SUMIFS(Calculo!$F$34:$ES$34,Calculo!$F$14:$ES$14,4)/(1-P_Merma),SUMIFS(Calculo!$F$190:$ES$190,Calculo!$F$170:$ES$170,4)/(1-V_Merma))</f>
        <v>0</v>
      </c>
      <c r="I74" s="48" t="n">
        <f aca="false">IF(cu_P=1,SUMIFS(Calculo!$F$34:$ES$34,Calculo!$F$14:$ES$14,5)/(1-P_Merma),SUMIFS(Calculo!$F$190:$ES$190,Calculo!$F$170:$ES$170,5)/(1-V_Merma))</f>
        <v>0</v>
      </c>
      <c r="J74" s="48" t="n">
        <f aca="false">IF(cu_P=1,SUMIFS(Calculo!$F$34:$ES$34,Calculo!$F$14:$ES$14,6)/(1-P_Merma),SUMIFS(Calculo!$F$190:$ES$190,Calculo!$F$170:$ES$170,6)/(1-V_Merma))</f>
        <v>0</v>
      </c>
      <c r="K74" s="48" t="n">
        <f aca="false">IF(cu_P=1,SUMIFS(Calculo!$F$34:$ES$34,Calculo!$F$14:$ES$14,7)/(1-P_Merma),SUMIFS(Calculo!$F$190:$ES$190,Calculo!$F$170:$ES$170,7)/(1-V_Merma))</f>
        <v>0</v>
      </c>
      <c r="L74" s="48" t="n">
        <f aca="false">IF(cu_P=1,SUMIFS(Calculo!$F$34:$ES$34,Calculo!$F$14:$ES$14,8)/(1-P_Merma),SUMIFS(Calculo!$F$190:$ES$190,Calculo!$F$170:$ES$170,8)/(1-V_Merma))</f>
        <v>0</v>
      </c>
      <c r="M74" s="48" t="n">
        <f aca="false">IF(cu_P=1,SUMIFS(Calculo!$F$34:$ES$34,Calculo!$F$14:$ES$14,9)/(1-P_Merma),SUMIFS(Calculo!$F$190:$ES$190,Calculo!$F$170:$ES$170,9)/(1-V_Merma))</f>
        <v>0</v>
      </c>
      <c r="N74" s="48" t="n">
        <f aca="false">IF(cu_P=1,SUMIFS(Calculo!$F$34:$ES$34,Calculo!$F$14:$ES$14,10)/(1-P_Merma),SUMIFS(Calculo!$F$190:$ES$190,Calculo!$F$170:$ES$170,10)/(1-V_Merma))</f>
        <v>0</v>
      </c>
      <c r="O74" s="54" t="n">
        <f aca="false">SUM(D74:N74)</f>
        <v>0</v>
      </c>
    </row>
    <row r="75" customFormat="false" ht="15" hidden="true" customHeight="false" outlineLevel="1" collapsed="false">
      <c r="A75" s="11" t="s">
        <v>1929</v>
      </c>
      <c r="B75" s="15" t="s">
        <v>1862</v>
      </c>
      <c r="C75" s="11" t="s">
        <v>544</v>
      </c>
      <c r="D75" s="48" t="n">
        <f aca="false">IF(cu_P=1,SUMIFS(Calculo!$F$34:$ES$34,Calculo!$F$16:$ES$16,1),SUMIFS(Calculo!$F$190:$ES$190,Calculo!$F$172:$ES$172,1))</f>
        <v>0</v>
      </c>
      <c r="E75" s="48" t="n">
        <f aca="false">IF(cu_P=1,SUMIFS(Calculo!$F$34:$ES$34,Calculo!$F$14:$ES$14,1),SUMIFS(Calculo!$F$190:$ES$190,Calculo!$F$170:$ES$170,1))</f>
        <v>0</v>
      </c>
      <c r="F75" s="48" t="n">
        <f aca="false">IF(cu_P=1,SUMIFS(Calculo!$F$34:$ES$34,Calculo!$F$14:$ES$14,2),SUMIFS(Calculo!$F$190:$ES$190,Calculo!$F$170:$ES$170,2))</f>
        <v>0</v>
      </c>
      <c r="G75" s="48" t="n">
        <f aca="false">IF(cu_P=1,SUMIFS(Calculo!$F$34:$ES$34,Calculo!$F$14:$ES$14,3),SUMIFS(Calculo!$F$190:$ES$190,Calculo!$F$170:$ES$170,3))</f>
        <v>0</v>
      </c>
      <c r="H75" s="48" t="n">
        <f aca="false">IF(cu_P=1,SUMIFS(Calculo!$F$34:$ES$34,Calculo!$F$14:$ES$14,4),SUMIFS(Calculo!$F$190:$ES$190,Calculo!$F$170:$ES$170,4))</f>
        <v>0</v>
      </c>
      <c r="I75" s="48" t="n">
        <f aca="false">IF(cu_P=1,SUMIFS(Calculo!$F$34:$ES$34,Calculo!$F$14:$ES$14,5),SUMIFS(Calculo!$F$190:$ES$190,Calculo!$F$170:$ES$170,5))</f>
        <v>0</v>
      </c>
      <c r="J75" s="48" t="n">
        <f aca="false">IF(cu_P=1,SUMIFS(Calculo!$F$34:$ES$34,Calculo!$F$14:$ES$14,6),SUMIFS(Calculo!$F$190:$ES$190,Calculo!$F$170:$ES$170,6))</f>
        <v>0</v>
      </c>
      <c r="K75" s="48" t="n">
        <f aca="false">IF(cu_P=1,SUMIFS(Calculo!$F$34:$ES$34,Calculo!$F$14:$ES$14,7),SUMIFS(Calculo!$F$190:$ES$190,Calculo!$F$170:$ES$170,7))</f>
        <v>0</v>
      </c>
      <c r="L75" s="48" t="n">
        <f aca="false">IF(cu_P=1,SUMIFS(Calculo!$F$34:$ES$34,Calculo!$F$14:$ES$14,8),SUMIFS(Calculo!$F$190:$ES$190,Calculo!$F$170:$ES$170,8))</f>
        <v>0</v>
      </c>
      <c r="M75" s="48" t="n">
        <f aca="false">IF(cu_P=1,SUMIFS(Calculo!$F$34:$ES$34,Calculo!$F$14:$ES$14,9),SUMIFS(Calculo!$F$190:$ES$190,Calculo!$F$170:$ES$170,9))</f>
        <v>0</v>
      </c>
      <c r="N75" s="48" t="n">
        <f aca="false">IF(cu_P=1,SUMIFS(Calculo!$F$34:$ES$34,Calculo!$F$14:$ES$14,10),SUMIFS(Calculo!$F$190:$ES$190,Calculo!$F$170:$ES$170,10))</f>
        <v>0</v>
      </c>
      <c r="O75" s="54" t="n">
        <f aca="false">SUM(D75:N75)</f>
        <v>0</v>
      </c>
    </row>
    <row r="76" customFormat="false" ht="15" hidden="true" customHeight="false" outlineLevel="1" collapsed="false">
      <c r="A76" s="11" t="s">
        <v>1930</v>
      </c>
      <c r="B76" s="15" t="s">
        <v>1864</v>
      </c>
      <c r="C76" s="11" t="s">
        <v>367</v>
      </c>
      <c r="E76" s="49" t="str">
        <f aca="false">IFERROR(IF(OR(NOT(ISNUMBER(E74)),N(E73)=0),"",E74/E73),"")</f>
        <v/>
      </c>
      <c r="F76" s="49" t="str">
        <f aca="false">IFERROR(IF(OR(NOT(ISNUMBER(F74)),N(F73)=0),"",F74/F73),"")</f>
        <v/>
      </c>
      <c r="G76" s="49" t="str">
        <f aca="false">IFERROR(IF(OR(NOT(ISNUMBER(G74)),N(G73)=0),"",G74/G73),"")</f>
        <v/>
      </c>
      <c r="H76" s="49" t="str">
        <f aca="false">IFERROR(IF(OR(NOT(ISNUMBER(H74)),N(H73)=0),"",H74/H73),"")</f>
        <v/>
      </c>
      <c r="I76" s="49" t="str">
        <f aca="false">IFERROR(IF(OR(NOT(ISNUMBER(I74)),N(I73)=0),"",I74/I73),"")</f>
        <v/>
      </c>
      <c r="J76" s="49" t="str">
        <f aca="false">IFERROR(IF(OR(NOT(ISNUMBER(J74)),N(J73)=0),"",J74/J73),"")</f>
        <v/>
      </c>
      <c r="K76" s="49" t="str">
        <f aca="false">IFERROR(IF(OR(NOT(ISNUMBER(K74)),N(K73)=0),"",K74/K73),"")</f>
        <v/>
      </c>
      <c r="L76" s="49" t="str">
        <f aca="false">IFERROR(IF(OR(NOT(ISNUMBER(L74)),N(L73)=0),"",L74/L73),"")</f>
        <v/>
      </c>
      <c r="M76" s="49" t="str">
        <f aca="false">IFERROR(IF(OR(NOT(ISNUMBER(M74)),N(M73)=0),"",M74/M73),"")</f>
        <v/>
      </c>
      <c r="N76" s="49" t="str">
        <f aca="false">IFERROR(IF(OR(NOT(ISNUMBER(N74)),N(N73)=0),"",N74/N73),"")</f>
        <v/>
      </c>
    </row>
    <row r="77" customFormat="false" ht="15" hidden="true" customHeight="false" outlineLevel="1" collapsed="false">
      <c r="A77" s="11" t="s">
        <v>1931</v>
      </c>
      <c r="B77" s="15" t="s">
        <v>1866</v>
      </c>
      <c r="C77" s="11" t="s">
        <v>367</v>
      </c>
      <c r="E77" s="49" t="str">
        <f aca="false">IFERROR(IF(OR(NOT(ISNUMBER(E75)),N(E74)=0),"",E75/E74),"")</f>
        <v/>
      </c>
      <c r="F77" s="49" t="str">
        <f aca="false">IFERROR(IF(OR(NOT(ISNUMBER(F75)),N(F74)=0),"",F75/F74),"")</f>
        <v/>
      </c>
      <c r="G77" s="49" t="str">
        <f aca="false">IFERROR(IF(OR(NOT(ISNUMBER(G75)),N(G74)=0),"",G75/G74),"")</f>
        <v/>
      </c>
      <c r="H77" s="49" t="str">
        <f aca="false">IFERROR(IF(OR(NOT(ISNUMBER(H75)),N(H74)=0),"",H75/H74),"")</f>
        <v/>
      </c>
      <c r="I77" s="49" t="str">
        <f aca="false">IFERROR(IF(OR(NOT(ISNUMBER(I75)),N(I74)=0),"",I75/I74),"")</f>
        <v/>
      </c>
      <c r="J77" s="49" t="str">
        <f aca="false">IFERROR(IF(OR(NOT(ISNUMBER(J75)),N(J74)=0),"",J75/J74),"")</f>
        <v/>
      </c>
      <c r="K77" s="49" t="str">
        <f aca="false">IFERROR(IF(OR(NOT(ISNUMBER(K75)),N(K74)=0),"",K75/K74),"")</f>
        <v/>
      </c>
      <c r="L77" s="49" t="str">
        <f aca="false">IFERROR(IF(OR(NOT(ISNUMBER(L75)),N(L74)=0),"",L75/L74),"")</f>
        <v/>
      </c>
      <c r="M77" s="49" t="str">
        <f aca="false">IFERROR(IF(OR(NOT(ISNUMBER(M75)),N(M74)=0),"",M75/M74),"")</f>
        <v/>
      </c>
      <c r="N77" s="49" t="str">
        <f aca="false">IFERROR(IF(OR(NOT(ISNUMBER(N75)),N(N74)=0),"",N75/N74),"")</f>
        <v/>
      </c>
      <c r="O77" s="99" t="str">
        <f aca="false">IFERROR(IF(OR(NOT(ISNUMBER(O75)),N(O74)=0),"",O75/O74),"")</f>
        <v/>
      </c>
    </row>
    <row r="78" customFormat="false" ht="15" hidden="true" customHeight="false" outlineLevel="1" collapsed="false">
      <c r="A78" s="11" t="s">
        <v>1932</v>
      </c>
      <c r="B78" s="53" t="str">
        <f aca="false">IF(INDEX(Prod_Nombre,15)="","Producto 15",INDEX(Prod_Nombre,15))&amp;" — capacidad instalada"</f>
        <v>Producto 15 — capacidad instalada</v>
      </c>
      <c r="C78" s="11" t="s">
        <v>544</v>
      </c>
      <c r="E78" s="48" t="n">
        <f aca="false">IF(cu_P=1,IF(INDEX(Prod_Nombre,15)="",0,IF(AND(N(INDEX(Cap_Anio,15))&gt;0,1&gt;=N(INDEX(Cap_Anio,15))),N(INDEX(Cap_Amp,15)),N(INDEX(Cap_Ini,15)))),IF(INDEX(Prod_Nombre,15)="",0,IF(AND(N(INDEX(Cap_Anio,15))&gt;0,1&gt;=N(INDEX(Cap_Anio,15))),N(INDEX(Cap_Amp,15)),N(INDEX(Cap_Ini,15)))))</f>
        <v>0</v>
      </c>
      <c r="F78" s="48" t="n">
        <f aca="false">IF(cu_P=1,IF(INDEX(Prod_Nombre,15)="",0,IF(AND(N(INDEX(Cap_Anio,15))&gt;0,2&gt;=N(INDEX(Cap_Anio,15))),N(INDEX(Cap_Amp,15)),N(INDEX(Cap_Ini,15)))),IF(INDEX(Prod_Nombre,15)="",0,IF(AND(N(INDEX(Cap_Anio,15))&gt;0,2&gt;=N(INDEX(Cap_Anio,15))),N(INDEX(Cap_Amp,15)),N(INDEX(Cap_Ini,15)))))</f>
        <v>0</v>
      </c>
      <c r="G78" s="48" t="n">
        <f aca="false">IF(cu_P=1,IF(INDEX(Prod_Nombre,15)="",0,IF(AND(N(INDEX(Cap_Anio,15))&gt;0,3&gt;=N(INDEX(Cap_Anio,15))),N(INDEX(Cap_Amp,15)),N(INDEX(Cap_Ini,15)))),IF(INDEX(Prod_Nombre,15)="",0,IF(AND(N(INDEX(Cap_Anio,15))&gt;0,3&gt;=N(INDEX(Cap_Anio,15))),N(INDEX(Cap_Amp,15)),N(INDEX(Cap_Ini,15)))))</f>
        <v>0</v>
      </c>
      <c r="H78" s="48" t="n">
        <f aca="false">IF(cu_P=1,IF(INDEX(Prod_Nombre,15)="",0,IF(AND(N(INDEX(Cap_Anio,15))&gt;0,4&gt;=N(INDEX(Cap_Anio,15))),N(INDEX(Cap_Amp,15)),N(INDEX(Cap_Ini,15)))),IF(INDEX(Prod_Nombre,15)="",0,IF(AND(N(INDEX(Cap_Anio,15))&gt;0,4&gt;=N(INDEX(Cap_Anio,15))),N(INDEX(Cap_Amp,15)),N(INDEX(Cap_Ini,15)))))</f>
        <v>0</v>
      </c>
      <c r="I78" s="48" t="n">
        <f aca="false">IF(cu_P=1,IF(INDEX(Prod_Nombre,15)="",0,IF(AND(N(INDEX(Cap_Anio,15))&gt;0,5&gt;=N(INDEX(Cap_Anio,15))),N(INDEX(Cap_Amp,15)),N(INDEX(Cap_Ini,15)))),IF(INDEX(Prod_Nombre,15)="",0,IF(AND(N(INDEX(Cap_Anio,15))&gt;0,5&gt;=N(INDEX(Cap_Anio,15))),N(INDEX(Cap_Amp,15)),N(INDEX(Cap_Ini,15)))))</f>
        <v>0</v>
      </c>
      <c r="J78" s="48" t="n">
        <f aca="false">IF(cu_P=1,IF(INDEX(Prod_Nombre,15)="",0,IF(AND(N(INDEX(Cap_Anio,15))&gt;0,6&gt;=N(INDEX(Cap_Anio,15))),N(INDEX(Cap_Amp,15)),N(INDEX(Cap_Ini,15)))),IF(INDEX(Prod_Nombre,15)="",0,IF(AND(N(INDEX(Cap_Anio,15))&gt;0,6&gt;=N(INDEX(Cap_Anio,15))),N(INDEX(Cap_Amp,15)),N(INDEX(Cap_Ini,15)))))</f>
        <v>0</v>
      </c>
      <c r="K78" s="48" t="n">
        <f aca="false">IF(cu_P=1,IF(INDEX(Prod_Nombre,15)="",0,IF(AND(N(INDEX(Cap_Anio,15))&gt;0,7&gt;=N(INDEX(Cap_Anio,15))),N(INDEX(Cap_Amp,15)),N(INDEX(Cap_Ini,15)))),IF(INDEX(Prod_Nombre,15)="",0,IF(AND(N(INDEX(Cap_Anio,15))&gt;0,7&gt;=N(INDEX(Cap_Anio,15))),N(INDEX(Cap_Amp,15)),N(INDEX(Cap_Ini,15)))))</f>
        <v>0</v>
      </c>
      <c r="L78" s="48" t="n">
        <f aca="false">IF(cu_P=1,IF(INDEX(Prod_Nombre,15)="",0,IF(AND(N(INDEX(Cap_Anio,15))&gt;0,8&gt;=N(INDEX(Cap_Anio,15))),N(INDEX(Cap_Amp,15)),N(INDEX(Cap_Ini,15)))),IF(INDEX(Prod_Nombre,15)="",0,IF(AND(N(INDEX(Cap_Anio,15))&gt;0,8&gt;=N(INDEX(Cap_Anio,15))),N(INDEX(Cap_Amp,15)),N(INDEX(Cap_Ini,15)))))</f>
        <v>0</v>
      </c>
      <c r="M78" s="48" t="n">
        <f aca="false">IF(cu_P=1,IF(INDEX(Prod_Nombre,15)="",0,IF(AND(N(INDEX(Cap_Anio,15))&gt;0,9&gt;=N(INDEX(Cap_Anio,15))),N(INDEX(Cap_Amp,15)),N(INDEX(Cap_Ini,15)))),IF(INDEX(Prod_Nombre,15)="",0,IF(AND(N(INDEX(Cap_Anio,15))&gt;0,9&gt;=N(INDEX(Cap_Anio,15))),N(INDEX(Cap_Amp,15)),N(INDEX(Cap_Ini,15)))))</f>
        <v>0</v>
      </c>
      <c r="N78" s="48" t="n">
        <f aca="false">IF(cu_P=1,IF(INDEX(Prod_Nombre,15)="",0,IF(AND(N(INDEX(Cap_Anio,15))&gt;0,10&gt;=N(INDEX(Cap_Anio,15))),N(INDEX(Cap_Amp,15)),N(INDEX(Cap_Ini,15)))),IF(INDEX(Prod_Nombre,15)="",0,IF(AND(N(INDEX(Cap_Anio,15))&gt;0,10&gt;=N(INDEX(Cap_Anio,15))),N(INDEX(Cap_Amp,15)),N(INDEX(Cap_Ini,15)))))</f>
        <v>0</v>
      </c>
    </row>
    <row r="79" customFormat="false" ht="15" hidden="true" customHeight="false" outlineLevel="1" collapsed="false">
      <c r="A79" s="11" t="s">
        <v>1933</v>
      </c>
      <c r="B79" s="15" t="s">
        <v>1860</v>
      </c>
      <c r="C79" s="11" t="s">
        <v>544</v>
      </c>
      <c r="D79" s="48" t="n">
        <f aca="false">IF(cu_P=1,SUMIFS(Calculo!$F$35:$ES$35,Calculo!$F$16:$ES$16,1)/(1-P_Merma),SUMIFS(Calculo!$F$191:$ES$191,Calculo!$F$172:$ES$172,1)/(1-V_Merma))</f>
        <v>0</v>
      </c>
      <c r="E79" s="48" t="n">
        <f aca="false">IF(cu_P=1,SUMIFS(Calculo!$F$35:$ES$35,Calculo!$F$14:$ES$14,1)/(1-P_Merma),SUMIFS(Calculo!$F$191:$ES$191,Calculo!$F$170:$ES$170,1)/(1-V_Merma))</f>
        <v>0</v>
      </c>
      <c r="F79" s="48" t="n">
        <f aca="false">IF(cu_P=1,SUMIFS(Calculo!$F$35:$ES$35,Calculo!$F$14:$ES$14,2)/(1-P_Merma),SUMIFS(Calculo!$F$191:$ES$191,Calculo!$F$170:$ES$170,2)/(1-V_Merma))</f>
        <v>0</v>
      </c>
      <c r="G79" s="48" t="n">
        <f aca="false">IF(cu_P=1,SUMIFS(Calculo!$F$35:$ES$35,Calculo!$F$14:$ES$14,3)/(1-P_Merma),SUMIFS(Calculo!$F$191:$ES$191,Calculo!$F$170:$ES$170,3)/(1-V_Merma))</f>
        <v>0</v>
      </c>
      <c r="H79" s="48" t="n">
        <f aca="false">IF(cu_P=1,SUMIFS(Calculo!$F$35:$ES$35,Calculo!$F$14:$ES$14,4)/(1-P_Merma),SUMIFS(Calculo!$F$191:$ES$191,Calculo!$F$170:$ES$170,4)/(1-V_Merma))</f>
        <v>0</v>
      </c>
      <c r="I79" s="48" t="n">
        <f aca="false">IF(cu_P=1,SUMIFS(Calculo!$F$35:$ES$35,Calculo!$F$14:$ES$14,5)/(1-P_Merma),SUMIFS(Calculo!$F$191:$ES$191,Calculo!$F$170:$ES$170,5)/(1-V_Merma))</f>
        <v>0</v>
      </c>
      <c r="J79" s="48" t="n">
        <f aca="false">IF(cu_P=1,SUMIFS(Calculo!$F$35:$ES$35,Calculo!$F$14:$ES$14,6)/(1-P_Merma),SUMIFS(Calculo!$F$191:$ES$191,Calculo!$F$170:$ES$170,6)/(1-V_Merma))</f>
        <v>0</v>
      </c>
      <c r="K79" s="48" t="n">
        <f aca="false">IF(cu_P=1,SUMIFS(Calculo!$F$35:$ES$35,Calculo!$F$14:$ES$14,7)/(1-P_Merma),SUMIFS(Calculo!$F$191:$ES$191,Calculo!$F$170:$ES$170,7)/(1-V_Merma))</f>
        <v>0</v>
      </c>
      <c r="L79" s="48" t="n">
        <f aca="false">IF(cu_P=1,SUMIFS(Calculo!$F$35:$ES$35,Calculo!$F$14:$ES$14,8)/(1-P_Merma),SUMIFS(Calculo!$F$191:$ES$191,Calculo!$F$170:$ES$170,8)/(1-V_Merma))</f>
        <v>0</v>
      </c>
      <c r="M79" s="48" t="n">
        <f aca="false">IF(cu_P=1,SUMIFS(Calculo!$F$35:$ES$35,Calculo!$F$14:$ES$14,9)/(1-P_Merma),SUMIFS(Calculo!$F$191:$ES$191,Calculo!$F$170:$ES$170,9)/(1-V_Merma))</f>
        <v>0</v>
      </c>
      <c r="N79" s="48" t="n">
        <f aca="false">IF(cu_P=1,SUMIFS(Calculo!$F$35:$ES$35,Calculo!$F$14:$ES$14,10)/(1-P_Merma),SUMIFS(Calculo!$F$191:$ES$191,Calculo!$F$170:$ES$170,10)/(1-V_Merma))</f>
        <v>0</v>
      </c>
      <c r="O79" s="54" t="n">
        <f aca="false">SUM(D79:N79)</f>
        <v>0</v>
      </c>
    </row>
    <row r="80" customFormat="false" ht="15" hidden="true" customHeight="false" outlineLevel="1" collapsed="false">
      <c r="A80" s="11" t="s">
        <v>1934</v>
      </c>
      <c r="B80" s="15" t="s">
        <v>1862</v>
      </c>
      <c r="C80" s="11" t="s">
        <v>544</v>
      </c>
      <c r="D80" s="48" t="n">
        <f aca="false">IF(cu_P=1,SUMIFS(Calculo!$F$35:$ES$35,Calculo!$F$16:$ES$16,1),SUMIFS(Calculo!$F$191:$ES$191,Calculo!$F$172:$ES$172,1))</f>
        <v>0</v>
      </c>
      <c r="E80" s="48" t="n">
        <f aca="false">IF(cu_P=1,SUMIFS(Calculo!$F$35:$ES$35,Calculo!$F$14:$ES$14,1),SUMIFS(Calculo!$F$191:$ES$191,Calculo!$F$170:$ES$170,1))</f>
        <v>0</v>
      </c>
      <c r="F80" s="48" t="n">
        <f aca="false">IF(cu_P=1,SUMIFS(Calculo!$F$35:$ES$35,Calculo!$F$14:$ES$14,2),SUMIFS(Calculo!$F$191:$ES$191,Calculo!$F$170:$ES$170,2))</f>
        <v>0</v>
      </c>
      <c r="G80" s="48" t="n">
        <f aca="false">IF(cu_P=1,SUMIFS(Calculo!$F$35:$ES$35,Calculo!$F$14:$ES$14,3),SUMIFS(Calculo!$F$191:$ES$191,Calculo!$F$170:$ES$170,3))</f>
        <v>0</v>
      </c>
      <c r="H80" s="48" t="n">
        <f aca="false">IF(cu_P=1,SUMIFS(Calculo!$F$35:$ES$35,Calculo!$F$14:$ES$14,4),SUMIFS(Calculo!$F$191:$ES$191,Calculo!$F$170:$ES$170,4))</f>
        <v>0</v>
      </c>
      <c r="I80" s="48" t="n">
        <f aca="false">IF(cu_P=1,SUMIFS(Calculo!$F$35:$ES$35,Calculo!$F$14:$ES$14,5),SUMIFS(Calculo!$F$191:$ES$191,Calculo!$F$170:$ES$170,5))</f>
        <v>0</v>
      </c>
      <c r="J80" s="48" t="n">
        <f aca="false">IF(cu_P=1,SUMIFS(Calculo!$F$35:$ES$35,Calculo!$F$14:$ES$14,6),SUMIFS(Calculo!$F$191:$ES$191,Calculo!$F$170:$ES$170,6))</f>
        <v>0</v>
      </c>
      <c r="K80" s="48" t="n">
        <f aca="false">IF(cu_P=1,SUMIFS(Calculo!$F$35:$ES$35,Calculo!$F$14:$ES$14,7),SUMIFS(Calculo!$F$191:$ES$191,Calculo!$F$170:$ES$170,7))</f>
        <v>0</v>
      </c>
      <c r="L80" s="48" t="n">
        <f aca="false">IF(cu_P=1,SUMIFS(Calculo!$F$35:$ES$35,Calculo!$F$14:$ES$14,8),SUMIFS(Calculo!$F$191:$ES$191,Calculo!$F$170:$ES$170,8))</f>
        <v>0</v>
      </c>
      <c r="M80" s="48" t="n">
        <f aca="false">IF(cu_P=1,SUMIFS(Calculo!$F$35:$ES$35,Calculo!$F$14:$ES$14,9),SUMIFS(Calculo!$F$191:$ES$191,Calculo!$F$170:$ES$170,9))</f>
        <v>0</v>
      </c>
      <c r="N80" s="48" t="n">
        <f aca="false">IF(cu_P=1,SUMIFS(Calculo!$F$35:$ES$35,Calculo!$F$14:$ES$14,10),SUMIFS(Calculo!$F$191:$ES$191,Calculo!$F$170:$ES$170,10))</f>
        <v>0</v>
      </c>
      <c r="O80" s="54" t="n">
        <f aca="false">SUM(D80:N80)</f>
        <v>0</v>
      </c>
    </row>
    <row r="81" customFormat="false" ht="15" hidden="true" customHeight="false" outlineLevel="1" collapsed="false">
      <c r="A81" s="11" t="s">
        <v>1935</v>
      </c>
      <c r="B81" s="15" t="s">
        <v>1864</v>
      </c>
      <c r="C81" s="11" t="s">
        <v>367</v>
      </c>
      <c r="E81" s="49" t="str">
        <f aca="false">IFERROR(IF(OR(NOT(ISNUMBER(E79)),N(E78)=0),"",E79/E78),"")</f>
        <v/>
      </c>
      <c r="F81" s="49" t="str">
        <f aca="false">IFERROR(IF(OR(NOT(ISNUMBER(F79)),N(F78)=0),"",F79/F78),"")</f>
        <v/>
      </c>
      <c r="G81" s="49" t="str">
        <f aca="false">IFERROR(IF(OR(NOT(ISNUMBER(G79)),N(G78)=0),"",G79/G78),"")</f>
        <v/>
      </c>
      <c r="H81" s="49" t="str">
        <f aca="false">IFERROR(IF(OR(NOT(ISNUMBER(H79)),N(H78)=0),"",H79/H78),"")</f>
        <v/>
      </c>
      <c r="I81" s="49" t="str">
        <f aca="false">IFERROR(IF(OR(NOT(ISNUMBER(I79)),N(I78)=0),"",I79/I78),"")</f>
        <v/>
      </c>
      <c r="J81" s="49" t="str">
        <f aca="false">IFERROR(IF(OR(NOT(ISNUMBER(J79)),N(J78)=0),"",J79/J78),"")</f>
        <v/>
      </c>
      <c r="K81" s="49" t="str">
        <f aca="false">IFERROR(IF(OR(NOT(ISNUMBER(K79)),N(K78)=0),"",K79/K78),"")</f>
        <v/>
      </c>
      <c r="L81" s="49" t="str">
        <f aca="false">IFERROR(IF(OR(NOT(ISNUMBER(L79)),N(L78)=0),"",L79/L78),"")</f>
        <v/>
      </c>
      <c r="M81" s="49" t="str">
        <f aca="false">IFERROR(IF(OR(NOT(ISNUMBER(M79)),N(M78)=0),"",M79/M78),"")</f>
        <v/>
      </c>
      <c r="N81" s="49" t="str">
        <f aca="false">IFERROR(IF(OR(NOT(ISNUMBER(N79)),N(N78)=0),"",N79/N78),"")</f>
        <v/>
      </c>
    </row>
    <row r="82" customFormat="false" ht="15" hidden="true" customHeight="false" outlineLevel="1" collapsed="false">
      <c r="A82" s="11" t="s">
        <v>1936</v>
      </c>
      <c r="B82" s="15" t="s">
        <v>1866</v>
      </c>
      <c r="C82" s="11" t="s">
        <v>367</v>
      </c>
      <c r="E82" s="49" t="str">
        <f aca="false">IFERROR(IF(OR(NOT(ISNUMBER(E80)),N(E79)=0),"",E80/E79),"")</f>
        <v/>
      </c>
      <c r="F82" s="49" t="str">
        <f aca="false">IFERROR(IF(OR(NOT(ISNUMBER(F80)),N(F79)=0),"",F80/F79),"")</f>
        <v/>
      </c>
      <c r="G82" s="49" t="str">
        <f aca="false">IFERROR(IF(OR(NOT(ISNUMBER(G80)),N(G79)=0),"",G80/G79),"")</f>
        <v/>
      </c>
      <c r="H82" s="49" t="str">
        <f aca="false">IFERROR(IF(OR(NOT(ISNUMBER(H80)),N(H79)=0),"",H80/H79),"")</f>
        <v/>
      </c>
      <c r="I82" s="49" t="str">
        <f aca="false">IFERROR(IF(OR(NOT(ISNUMBER(I80)),N(I79)=0),"",I80/I79),"")</f>
        <v/>
      </c>
      <c r="J82" s="49" t="str">
        <f aca="false">IFERROR(IF(OR(NOT(ISNUMBER(J80)),N(J79)=0),"",J80/J79),"")</f>
        <v/>
      </c>
      <c r="K82" s="49" t="str">
        <f aca="false">IFERROR(IF(OR(NOT(ISNUMBER(K80)),N(K79)=0),"",K80/K79),"")</f>
        <v/>
      </c>
      <c r="L82" s="49" t="str">
        <f aca="false">IFERROR(IF(OR(NOT(ISNUMBER(L80)),N(L79)=0),"",L80/L79),"")</f>
        <v/>
      </c>
      <c r="M82" s="49" t="str">
        <f aca="false">IFERROR(IF(OR(NOT(ISNUMBER(M80)),N(M79)=0),"",M80/M79),"")</f>
        <v/>
      </c>
      <c r="N82" s="49" t="str">
        <f aca="false">IFERROR(IF(OR(NOT(ISNUMBER(N80)),N(N79)=0),"",N80/N79),"")</f>
        <v/>
      </c>
      <c r="O82" s="99" t="str">
        <f aca="false">IFERROR(IF(OR(NOT(ISNUMBER(O80)),N(O79)=0),"",O80/O79),"")</f>
        <v/>
      </c>
    </row>
    <row r="83" customFormat="false" ht="15" hidden="true" customHeight="false" outlineLevel="1" collapsed="false">
      <c r="A83" s="11" t="s">
        <v>1937</v>
      </c>
      <c r="B83" s="53" t="str">
        <f aca="false">IF(INDEX(Prod_Nombre,16)="","Producto 16",INDEX(Prod_Nombre,16))&amp;" — capacidad instalada"</f>
        <v>Producto 16 — capacidad instalada</v>
      </c>
      <c r="C83" s="11" t="s">
        <v>544</v>
      </c>
      <c r="E83" s="48" t="n">
        <f aca="false">IF(cu_P=1,IF(INDEX(Prod_Nombre,16)="",0,IF(AND(N(INDEX(Cap_Anio,16))&gt;0,1&gt;=N(INDEX(Cap_Anio,16))),N(INDEX(Cap_Amp,16)),N(INDEX(Cap_Ini,16)))),IF(INDEX(Prod_Nombre,16)="",0,IF(AND(N(INDEX(Cap_Anio,16))&gt;0,1&gt;=N(INDEX(Cap_Anio,16))),N(INDEX(Cap_Amp,16)),N(INDEX(Cap_Ini,16)))))</f>
        <v>0</v>
      </c>
      <c r="F83" s="48" t="n">
        <f aca="false">IF(cu_P=1,IF(INDEX(Prod_Nombre,16)="",0,IF(AND(N(INDEX(Cap_Anio,16))&gt;0,2&gt;=N(INDEX(Cap_Anio,16))),N(INDEX(Cap_Amp,16)),N(INDEX(Cap_Ini,16)))),IF(INDEX(Prod_Nombre,16)="",0,IF(AND(N(INDEX(Cap_Anio,16))&gt;0,2&gt;=N(INDEX(Cap_Anio,16))),N(INDEX(Cap_Amp,16)),N(INDEX(Cap_Ini,16)))))</f>
        <v>0</v>
      </c>
      <c r="G83" s="48" t="n">
        <f aca="false">IF(cu_P=1,IF(INDEX(Prod_Nombre,16)="",0,IF(AND(N(INDEX(Cap_Anio,16))&gt;0,3&gt;=N(INDEX(Cap_Anio,16))),N(INDEX(Cap_Amp,16)),N(INDEX(Cap_Ini,16)))),IF(INDEX(Prod_Nombre,16)="",0,IF(AND(N(INDEX(Cap_Anio,16))&gt;0,3&gt;=N(INDEX(Cap_Anio,16))),N(INDEX(Cap_Amp,16)),N(INDEX(Cap_Ini,16)))))</f>
        <v>0</v>
      </c>
      <c r="H83" s="48" t="n">
        <f aca="false">IF(cu_P=1,IF(INDEX(Prod_Nombre,16)="",0,IF(AND(N(INDEX(Cap_Anio,16))&gt;0,4&gt;=N(INDEX(Cap_Anio,16))),N(INDEX(Cap_Amp,16)),N(INDEX(Cap_Ini,16)))),IF(INDEX(Prod_Nombre,16)="",0,IF(AND(N(INDEX(Cap_Anio,16))&gt;0,4&gt;=N(INDEX(Cap_Anio,16))),N(INDEX(Cap_Amp,16)),N(INDEX(Cap_Ini,16)))))</f>
        <v>0</v>
      </c>
      <c r="I83" s="48" t="n">
        <f aca="false">IF(cu_P=1,IF(INDEX(Prod_Nombre,16)="",0,IF(AND(N(INDEX(Cap_Anio,16))&gt;0,5&gt;=N(INDEX(Cap_Anio,16))),N(INDEX(Cap_Amp,16)),N(INDEX(Cap_Ini,16)))),IF(INDEX(Prod_Nombre,16)="",0,IF(AND(N(INDEX(Cap_Anio,16))&gt;0,5&gt;=N(INDEX(Cap_Anio,16))),N(INDEX(Cap_Amp,16)),N(INDEX(Cap_Ini,16)))))</f>
        <v>0</v>
      </c>
      <c r="J83" s="48" t="n">
        <f aca="false">IF(cu_P=1,IF(INDEX(Prod_Nombre,16)="",0,IF(AND(N(INDEX(Cap_Anio,16))&gt;0,6&gt;=N(INDEX(Cap_Anio,16))),N(INDEX(Cap_Amp,16)),N(INDEX(Cap_Ini,16)))),IF(INDEX(Prod_Nombre,16)="",0,IF(AND(N(INDEX(Cap_Anio,16))&gt;0,6&gt;=N(INDEX(Cap_Anio,16))),N(INDEX(Cap_Amp,16)),N(INDEX(Cap_Ini,16)))))</f>
        <v>0</v>
      </c>
      <c r="K83" s="48" t="n">
        <f aca="false">IF(cu_P=1,IF(INDEX(Prod_Nombre,16)="",0,IF(AND(N(INDEX(Cap_Anio,16))&gt;0,7&gt;=N(INDEX(Cap_Anio,16))),N(INDEX(Cap_Amp,16)),N(INDEX(Cap_Ini,16)))),IF(INDEX(Prod_Nombre,16)="",0,IF(AND(N(INDEX(Cap_Anio,16))&gt;0,7&gt;=N(INDEX(Cap_Anio,16))),N(INDEX(Cap_Amp,16)),N(INDEX(Cap_Ini,16)))))</f>
        <v>0</v>
      </c>
      <c r="L83" s="48" t="n">
        <f aca="false">IF(cu_P=1,IF(INDEX(Prod_Nombre,16)="",0,IF(AND(N(INDEX(Cap_Anio,16))&gt;0,8&gt;=N(INDEX(Cap_Anio,16))),N(INDEX(Cap_Amp,16)),N(INDEX(Cap_Ini,16)))),IF(INDEX(Prod_Nombre,16)="",0,IF(AND(N(INDEX(Cap_Anio,16))&gt;0,8&gt;=N(INDEX(Cap_Anio,16))),N(INDEX(Cap_Amp,16)),N(INDEX(Cap_Ini,16)))))</f>
        <v>0</v>
      </c>
      <c r="M83" s="48" t="n">
        <f aca="false">IF(cu_P=1,IF(INDEX(Prod_Nombre,16)="",0,IF(AND(N(INDEX(Cap_Anio,16))&gt;0,9&gt;=N(INDEX(Cap_Anio,16))),N(INDEX(Cap_Amp,16)),N(INDEX(Cap_Ini,16)))),IF(INDEX(Prod_Nombre,16)="",0,IF(AND(N(INDEX(Cap_Anio,16))&gt;0,9&gt;=N(INDEX(Cap_Anio,16))),N(INDEX(Cap_Amp,16)),N(INDEX(Cap_Ini,16)))))</f>
        <v>0</v>
      </c>
      <c r="N83" s="48" t="n">
        <f aca="false">IF(cu_P=1,IF(INDEX(Prod_Nombre,16)="",0,IF(AND(N(INDEX(Cap_Anio,16))&gt;0,10&gt;=N(INDEX(Cap_Anio,16))),N(INDEX(Cap_Amp,16)),N(INDEX(Cap_Ini,16)))),IF(INDEX(Prod_Nombre,16)="",0,IF(AND(N(INDEX(Cap_Anio,16))&gt;0,10&gt;=N(INDEX(Cap_Anio,16))),N(INDEX(Cap_Amp,16)),N(INDEX(Cap_Ini,16)))))</f>
        <v>0</v>
      </c>
    </row>
    <row r="84" customFormat="false" ht="15" hidden="true" customHeight="false" outlineLevel="1" collapsed="false">
      <c r="A84" s="11" t="s">
        <v>1938</v>
      </c>
      <c r="B84" s="15" t="s">
        <v>1860</v>
      </c>
      <c r="C84" s="11" t="s">
        <v>544</v>
      </c>
      <c r="D84" s="48" t="n">
        <f aca="false">IF(cu_P=1,SUMIFS(Calculo!$F$36:$ES$36,Calculo!$F$16:$ES$16,1)/(1-P_Merma),SUMIFS(Calculo!$F$192:$ES$192,Calculo!$F$172:$ES$172,1)/(1-V_Merma))</f>
        <v>0</v>
      </c>
      <c r="E84" s="48" t="n">
        <f aca="false">IF(cu_P=1,SUMIFS(Calculo!$F$36:$ES$36,Calculo!$F$14:$ES$14,1)/(1-P_Merma),SUMIFS(Calculo!$F$192:$ES$192,Calculo!$F$170:$ES$170,1)/(1-V_Merma))</f>
        <v>0</v>
      </c>
      <c r="F84" s="48" t="n">
        <f aca="false">IF(cu_P=1,SUMIFS(Calculo!$F$36:$ES$36,Calculo!$F$14:$ES$14,2)/(1-P_Merma),SUMIFS(Calculo!$F$192:$ES$192,Calculo!$F$170:$ES$170,2)/(1-V_Merma))</f>
        <v>0</v>
      </c>
      <c r="G84" s="48" t="n">
        <f aca="false">IF(cu_P=1,SUMIFS(Calculo!$F$36:$ES$36,Calculo!$F$14:$ES$14,3)/(1-P_Merma),SUMIFS(Calculo!$F$192:$ES$192,Calculo!$F$170:$ES$170,3)/(1-V_Merma))</f>
        <v>0</v>
      </c>
      <c r="H84" s="48" t="n">
        <f aca="false">IF(cu_P=1,SUMIFS(Calculo!$F$36:$ES$36,Calculo!$F$14:$ES$14,4)/(1-P_Merma),SUMIFS(Calculo!$F$192:$ES$192,Calculo!$F$170:$ES$170,4)/(1-V_Merma))</f>
        <v>0</v>
      </c>
      <c r="I84" s="48" t="n">
        <f aca="false">IF(cu_P=1,SUMIFS(Calculo!$F$36:$ES$36,Calculo!$F$14:$ES$14,5)/(1-P_Merma),SUMIFS(Calculo!$F$192:$ES$192,Calculo!$F$170:$ES$170,5)/(1-V_Merma))</f>
        <v>0</v>
      </c>
      <c r="J84" s="48" t="n">
        <f aca="false">IF(cu_P=1,SUMIFS(Calculo!$F$36:$ES$36,Calculo!$F$14:$ES$14,6)/(1-P_Merma),SUMIFS(Calculo!$F$192:$ES$192,Calculo!$F$170:$ES$170,6)/(1-V_Merma))</f>
        <v>0</v>
      </c>
      <c r="K84" s="48" t="n">
        <f aca="false">IF(cu_P=1,SUMIFS(Calculo!$F$36:$ES$36,Calculo!$F$14:$ES$14,7)/(1-P_Merma),SUMIFS(Calculo!$F$192:$ES$192,Calculo!$F$170:$ES$170,7)/(1-V_Merma))</f>
        <v>0</v>
      </c>
      <c r="L84" s="48" t="n">
        <f aca="false">IF(cu_P=1,SUMIFS(Calculo!$F$36:$ES$36,Calculo!$F$14:$ES$14,8)/(1-P_Merma),SUMIFS(Calculo!$F$192:$ES$192,Calculo!$F$170:$ES$170,8)/(1-V_Merma))</f>
        <v>0</v>
      </c>
      <c r="M84" s="48" t="n">
        <f aca="false">IF(cu_P=1,SUMIFS(Calculo!$F$36:$ES$36,Calculo!$F$14:$ES$14,9)/(1-P_Merma),SUMIFS(Calculo!$F$192:$ES$192,Calculo!$F$170:$ES$170,9)/(1-V_Merma))</f>
        <v>0</v>
      </c>
      <c r="N84" s="48" t="n">
        <f aca="false">IF(cu_P=1,SUMIFS(Calculo!$F$36:$ES$36,Calculo!$F$14:$ES$14,10)/(1-P_Merma),SUMIFS(Calculo!$F$192:$ES$192,Calculo!$F$170:$ES$170,10)/(1-V_Merma))</f>
        <v>0</v>
      </c>
      <c r="O84" s="54" t="n">
        <f aca="false">SUM(D84:N84)</f>
        <v>0</v>
      </c>
    </row>
    <row r="85" customFormat="false" ht="15" hidden="true" customHeight="false" outlineLevel="1" collapsed="false">
      <c r="A85" s="11" t="s">
        <v>1939</v>
      </c>
      <c r="B85" s="15" t="s">
        <v>1862</v>
      </c>
      <c r="C85" s="11" t="s">
        <v>544</v>
      </c>
      <c r="D85" s="48" t="n">
        <f aca="false">IF(cu_P=1,SUMIFS(Calculo!$F$36:$ES$36,Calculo!$F$16:$ES$16,1),SUMIFS(Calculo!$F$192:$ES$192,Calculo!$F$172:$ES$172,1))</f>
        <v>0</v>
      </c>
      <c r="E85" s="48" t="n">
        <f aca="false">IF(cu_P=1,SUMIFS(Calculo!$F$36:$ES$36,Calculo!$F$14:$ES$14,1),SUMIFS(Calculo!$F$192:$ES$192,Calculo!$F$170:$ES$170,1))</f>
        <v>0</v>
      </c>
      <c r="F85" s="48" t="n">
        <f aca="false">IF(cu_P=1,SUMIFS(Calculo!$F$36:$ES$36,Calculo!$F$14:$ES$14,2),SUMIFS(Calculo!$F$192:$ES$192,Calculo!$F$170:$ES$170,2))</f>
        <v>0</v>
      </c>
      <c r="G85" s="48" t="n">
        <f aca="false">IF(cu_P=1,SUMIFS(Calculo!$F$36:$ES$36,Calculo!$F$14:$ES$14,3),SUMIFS(Calculo!$F$192:$ES$192,Calculo!$F$170:$ES$170,3))</f>
        <v>0</v>
      </c>
      <c r="H85" s="48" t="n">
        <f aca="false">IF(cu_P=1,SUMIFS(Calculo!$F$36:$ES$36,Calculo!$F$14:$ES$14,4),SUMIFS(Calculo!$F$192:$ES$192,Calculo!$F$170:$ES$170,4))</f>
        <v>0</v>
      </c>
      <c r="I85" s="48" t="n">
        <f aca="false">IF(cu_P=1,SUMIFS(Calculo!$F$36:$ES$36,Calculo!$F$14:$ES$14,5),SUMIFS(Calculo!$F$192:$ES$192,Calculo!$F$170:$ES$170,5))</f>
        <v>0</v>
      </c>
      <c r="J85" s="48" t="n">
        <f aca="false">IF(cu_P=1,SUMIFS(Calculo!$F$36:$ES$36,Calculo!$F$14:$ES$14,6),SUMIFS(Calculo!$F$192:$ES$192,Calculo!$F$170:$ES$170,6))</f>
        <v>0</v>
      </c>
      <c r="K85" s="48" t="n">
        <f aca="false">IF(cu_P=1,SUMIFS(Calculo!$F$36:$ES$36,Calculo!$F$14:$ES$14,7),SUMIFS(Calculo!$F$192:$ES$192,Calculo!$F$170:$ES$170,7))</f>
        <v>0</v>
      </c>
      <c r="L85" s="48" t="n">
        <f aca="false">IF(cu_P=1,SUMIFS(Calculo!$F$36:$ES$36,Calculo!$F$14:$ES$14,8),SUMIFS(Calculo!$F$192:$ES$192,Calculo!$F$170:$ES$170,8))</f>
        <v>0</v>
      </c>
      <c r="M85" s="48" t="n">
        <f aca="false">IF(cu_P=1,SUMIFS(Calculo!$F$36:$ES$36,Calculo!$F$14:$ES$14,9),SUMIFS(Calculo!$F$192:$ES$192,Calculo!$F$170:$ES$170,9))</f>
        <v>0</v>
      </c>
      <c r="N85" s="48" t="n">
        <f aca="false">IF(cu_P=1,SUMIFS(Calculo!$F$36:$ES$36,Calculo!$F$14:$ES$14,10),SUMIFS(Calculo!$F$192:$ES$192,Calculo!$F$170:$ES$170,10))</f>
        <v>0</v>
      </c>
      <c r="O85" s="54" t="n">
        <f aca="false">SUM(D85:N85)</f>
        <v>0</v>
      </c>
    </row>
    <row r="86" customFormat="false" ht="15" hidden="true" customHeight="false" outlineLevel="1" collapsed="false">
      <c r="A86" s="11" t="s">
        <v>1940</v>
      </c>
      <c r="B86" s="15" t="s">
        <v>1864</v>
      </c>
      <c r="C86" s="11" t="s">
        <v>367</v>
      </c>
      <c r="E86" s="49" t="str">
        <f aca="false">IFERROR(IF(OR(NOT(ISNUMBER(E84)),N(E83)=0),"",E84/E83),"")</f>
        <v/>
      </c>
      <c r="F86" s="49" t="str">
        <f aca="false">IFERROR(IF(OR(NOT(ISNUMBER(F84)),N(F83)=0),"",F84/F83),"")</f>
        <v/>
      </c>
      <c r="G86" s="49" t="str">
        <f aca="false">IFERROR(IF(OR(NOT(ISNUMBER(G84)),N(G83)=0),"",G84/G83),"")</f>
        <v/>
      </c>
      <c r="H86" s="49" t="str">
        <f aca="false">IFERROR(IF(OR(NOT(ISNUMBER(H84)),N(H83)=0),"",H84/H83),"")</f>
        <v/>
      </c>
      <c r="I86" s="49" t="str">
        <f aca="false">IFERROR(IF(OR(NOT(ISNUMBER(I84)),N(I83)=0),"",I84/I83),"")</f>
        <v/>
      </c>
      <c r="J86" s="49" t="str">
        <f aca="false">IFERROR(IF(OR(NOT(ISNUMBER(J84)),N(J83)=0),"",J84/J83),"")</f>
        <v/>
      </c>
      <c r="K86" s="49" t="str">
        <f aca="false">IFERROR(IF(OR(NOT(ISNUMBER(K84)),N(K83)=0),"",K84/K83),"")</f>
        <v/>
      </c>
      <c r="L86" s="49" t="str">
        <f aca="false">IFERROR(IF(OR(NOT(ISNUMBER(L84)),N(L83)=0),"",L84/L83),"")</f>
        <v/>
      </c>
      <c r="M86" s="49" t="str">
        <f aca="false">IFERROR(IF(OR(NOT(ISNUMBER(M84)),N(M83)=0),"",M84/M83),"")</f>
        <v/>
      </c>
      <c r="N86" s="49" t="str">
        <f aca="false">IFERROR(IF(OR(NOT(ISNUMBER(N84)),N(N83)=0),"",N84/N83),"")</f>
        <v/>
      </c>
    </row>
    <row r="87" customFormat="false" ht="15" hidden="true" customHeight="false" outlineLevel="1" collapsed="false">
      <c r="A87" s="11" t="s">
        <v>1941</v>
      </c>
      <c r="B87" s="15" t="s">
        <v>1866</v>
      </c>
      <c r="C87" s="11" t="s">
        <v>367</v>
      </c>
      <c r="E87" s="49" t="str">
        <f aca="false">IFERROR(IF(OR(NOT(ISNUMBER(E85)),N(E84)=0),"",E85/E84),"")</f>
        <v/>
      </c>
      <c r="F87" s="49" t="str">
        <f aca="false">IFERROR(IF(OR(NOT(ISNUMBER(F85)),N(F84)=0),"",F85/F84),"")</f>
        <v/>
      </c>
      <c r="G87" s="49" t="str">
        <f aca="false">IFERROR(IF(OR(NOT(ISNUMBER(G85)),N(G84)=0),"",G85/G84),"")</f>
        <v/>
      </c>
      <c r="H87" s="49" t="str">
        <f aca="false">IFERROR(IF(OR(NOT(ISNUMBER(H85)),N(H84)=0),"",H85/H84),"")</f>
        <v/>
      </c>
      <c r="I87" s="49" t="str">
        <f aca="false">IFERROR(IF(OR(NOT(ISNUMBER(I85)),N(I84)=0),"",I85/I84),"")</f>
        <v/>
      </c>
      <c r="J87" s="49" t="str">
        <f aca="false">IFERROR(IF(OR(NOT(ISNUMBER(J85)),N(J84)=0),"",J85/J84),"")</f>
        <v/>
      </c>
      <c r="K87" s="49" t="str">
        <f aca="false">IFERROR(IF(OR(NOT(ISNUMBER(K85)),N(K84)=0),"",K85/K84),"")</f>
        <v/>
      </c>
      <c r="L87" s="49" t="str">
        <f aca="false">IFERROR(IF(OR(NOT(ISNUMBER(L85)),N(L84)=0),"",L85/L84),"")</f>
        <v/>
      </c>
      <c r="M87" s="49" t="str">
        <f aca="false">IFERROR(IF(OR(NOT(ISNUMBER(M85)),N(M84)=0),"",M85/M84),"")</f>
        <v/>
      </c>
      <c r="N87" s="49" t="str">
        <f aca="false">IFERROR(IF(OR(NOT(ISNUMBER(N85)),N(N84)=0),"",N85/N84),"")</f>
        <v/>
      </c>
      <c r="O87" s="99" t="str">
        <f aca="false">IFERROR(IF(OR(NOT(ISNUMBER(O85)),N(O84)=0),"",O85/O84),"")</f>
        <v/>
      </c>
    </row>
    <row r="88" customFormat="false" ht="15" hidden="true" customHeight="false" outlineLevel="1" collapsed="false">
      <c r="A88" s="11" t="s">
        <v>1942</v>
      </c>
      <c r="B88" s="53" t="str">
        <f aca="false">IF(INDEX(Prod_Nombre,17)="","Producto 17",INDEX(Prod_Nombre,17))&amp;" — capacidad instalada"</f>
        <v>Producto 17 — capacidad instalada</v>
      </c>
      <c r="C88" s="11" t="s">
        <v>544</v>
      </c>
      <c r="E88" s="48" t="n">
        <f aca="false">IF(cu_P=1,IF(INDEX(Prod_Nombre,17)="",0,IF(AND(N(INDEX(Cap_Anio,17))&gt;0,1&gt;=N(INDEX(Cap_Anio,17))),N(INDEX(Cap_Amp,17)),N(INDEX(Cap_Ini,17)))),IF(INDEX(Prod_Nombre,17)="",0,IF(AND(N(INDEX(Cap_Anio,17))&gt;0,1&gt;=N(INDEX(Cap_Anio,17))),N(INDEX(Cap_Amp,17)),N(INDEX(Cap_Ini,17)))))</f>
        <v>0</v>
      </c>
      <c r="F88" s="48" t="n">
        <f aca="false">IF(cu_P=1,IF(INDEX(Prod_Nombre,17)="",0,IF(AND(N(INDEX(Cap_Anio,17))&gt;0,2&gt;=N(INDEX(Cap_Anio,17))),N(INDEX(Cap_Amp,17)),N(INDEX(Cap_Ini,17)))),IF(INDEX(Prod_Nombre,17)="",0,IF(AND(N(INDEX(Cap_Anio,17))&gt;0,2&gt;=N(INDEX(Cap_Anio,17))),N(INDEX(Cap_Amp,17)),N(INDEX(Cap_Ini,17)))))</f>
        <v>0</v>
      </c>
      <c r="G88" s="48" t="n">
        <f aca="false">IF(cu_P=1,IF(INDEX(Prod_Nombre,17)="",0,IF(AND(N(INDEX(Cap_Anio,17))&gt;0,3&gt;=N(INDEX(Cap_Anio,17))),N(INDEX(Cap_Amp,17)),N(INDEX(Cap_Ini,17)))),IF(INDEX(Prod_Nombre,17)="",0,IF(AND(N(INDEX(Cap_Anio,17))&gt;0,3&gt;=N(INDEX(Cap_Anio,17))),N(INDEX(Cap_Amp,17)),N(INDEX(Cap_Ini,17)))))</f>
        <v>0</v>
      </c>
      <c r="H88" s="48" t="n">
        <f aca="false">IF(cu_P=1,IF(INDEX(Prod_Nombre,17)="",0,IF(AND(N(INDEX(Cap_Anio,17))&gt;0,4&gt;=N(INDEX(Cap_Anio,17))),N(INDEX(Cap_Amp,17)),N(INDEX(Cap_Ini,17)))),IF(INDEX(Prod_Nombre,17)="",0,IF(AND(N(INDEX(Cap_Anio,17))&gt;0,4&gt;=N(INDEX(Cap_Anio,17))),N(INDEX(Cap_Amp,17)),N(INDEX(Cap_Ini,17)))))</f>
        <v>0</v>
      </c>
      <c r="I88" s="48" t="n">
        <f aca="false">IF(cu_P=1,IF(INDEX(Prod_Nombre,17)="",0,IF(AND(N(INDEX(Cap_Anio,17))&gt;0,5&gt;=N(INDEX(Cap_Anio,17))),N(INDEX(Cap_Amp,17)),N(INDEX(Cap_Ini,17)))),IF(INDEX(Prod_Nombre,17)="",0,IF(AND(N(INDEX(Cap_Anio,17))&gt;0,5&gt;=N(INDEX(Cap_Anio,17))),N(INDEX(Cap_Amp,17)),N(INDEX(Cap_Ini,17)))))</f>
        <v>0</v>
      </c>
      <c r="J88" s="48" t="n">
        <f aca="false">IF(cu_P=1,IF(INDEX(Prod_Nombre,17)="",0,IF(AND(N(INDEX(Cap_Anio,17))&gt;0,6&gt;=N(INDEX(Cap_Anio,17))),N(INDEX(Cap_Amp,17)),N(INDEX(Cap_Ini,17)))),IF(INDEX(Prod_Nombre,17)="",0,IF(AND(N(INDEX(Cap_Anio,17))&gt;0,6&gt;=N(INDEX(Cap_Anio,17))),N(INDEX(Cap_Amp,17)),N(INDEX(Cap_Ini,17)))))</f>
        <v>0</v>
      </c>
      <c r="K88" s="48" t="n">
        <f aca="false">IF(cu_P=1,IF(INDEX(Prod_Nombre,17)="",0,IF(AND(N(INDEX(Cap_Anio,17))&gt;0,7&gt;=N(INDEX(Cap_Anio,17))),N(INDEX(Cap_Amp,17)),N(INDEX(Cap_Ini,17)))),IF(INDEX(Prod_Nombre,17)="",0,IF(AND(N(INDEX(Cap_Anio,17))&gt;0,7&gt;=N(INDEX(Cap_Anio,17))),N(INDEX(Cap_Amp,17)),N(INDEX(Cap_Ini,17)))))</f>
        <v>0</v>
      </c>
      <c r="L88" s="48" t="n">
        <f aca="false">IF(cu_P=1,IF(INDEX(Prod_Nombre,17)="",0,IF(AND(N(INDEX(Cap_Anio,17))&gt;0,8&gt;=N(INDEX(Cap_Anio,17))),N(INDEX(Cap_Amp,17)),N(INDEX(Cap_Ini,17)))),IF(INDEX(Prod_Nombre,17)="",0,IF(AND(N(INDEX(Cap_Anio,17))&gt;0,8&gt;=N(INDEX(Cap_Anio,17))),N(INDEX(Cap_Amp,17)),N(INDEX(Cap_Ini,17)))))</f>
        <v>0</v>
      </c>
      <c r="M88" s="48" t="n">
        <f aca="false">IF(cu_P=1,IF(INDEX(Prod_Nombre,17)="",0,IF(AND(N(INDEX(Cap_Anio,17))&gt;0,9&gt;=N(INDEX(Cap_Anio,17))),N(INDEX(Cap_Amp,17)),N(INDEX(Cap_Ini,17)))),IF(INDEX(Prod_Nombre,17)="",0,IF(AND(N(INDEX(Cap_Anio,17))&gt;0,9&gt;=N(INDEX(Cap_Anio,17))),N(INDEX(Cap_Amp,17)),N(INDEX(Cap_Ini,17)))))</f>
        <v>0</v>
      </c>
      <c r="N88" s="48" t="n">
        <f aca="false">IF(cu_P=1,IF(INDEX(Prod_Nombre,17)="",0,IF(AND(N(INDEX(Cap_Anio,17))&gt;0,10&gt;=N(INDEX(Cap_Anio,17))),N(INDEX(Cap_Amp,17)),N(INDEX(Cap_Ini,17)))),IF(INDEX(Prod_Nombre,17)="",0,IF(AND(N(INDEX(Cap_Anio,17))&gt;0,10&gt;=N(INDEX(Cap_Anio,17))),N(INDEX(Cap_Amp,17)),N(INDEX(Cap_Ini,17)))))</f>
        <v>0</v>
      </c>
    </row>
    <row r="89" customFormat="false" ht="15" hidden="true" customHeight="false" outlineLevel="1" collapsed="false">
      <c r="A89" s="11" t="s">
        <v>1943</v>
      </c>
      <c r="B89" s="15" t="s">
        <v>1860</v>
      </c>
      <c r="C89" s="11" t="s">
        <v>544</v>
      </c>
      <c r="D89" s="48" t="n">
        <f aca="false">IF(cu_P=1,SUMIFS(Calculo!$F$37:$ES$37,Calculo!$F$16:$ES$16,1)/(1-P_Merma),SUMIFS(Calculo!$F$193:$ES$193,Calculo!$F$172:$ES$172,1)/(1-V_Merma))</f>
        <v>0</v>
      </c>
      <c r="E89" s="48" t="n">
        <f aca="false">IF(cu_P=1,SUMIFS(Calculo!$F$37:$ES$37,Calculo!$F$14:$ES$14,1)/(1-P_Merma),SUMIFS(Calculo!$F$193:$ES$193,Calculo!$F$170:$ES$170,1)/(1-V_Merma))</f>
        <v>0</v>
      </c>
      <c r="F89" s="48" t="n">
        <f aca="false">IF(cu_P=1,SUMIFS(Calculo!$F$37:$ES$37,Calculo!$F$14:$ES$14,2)/(1-P_Merma),SUMIFS(Calculo!$F$193:$ES$193,Calculo!$F$170:$ES$170,2)/(1-V_Merma))</f>
        <v>0</v>
      </c>
      <c r="G89" s="48" t="n">
        <f aca="false">IF(cu_P=1,SUMIFS(Calculo!$F$37:$ES$37,Calculo!$F$14:$ES$14,3)/(1-P_Merma),SUMIFS(Calculo!$F$193:$ES$193,Calculo!$F$170:$ES$170,3)/(1-V_Merma))</f>
        <v>0</v>
      </c>
      <c r="H89" s="48" t="n">
        <f aca="false">IF(cu_P=1,SUMIFS(Calculo!$F$37:$ES$37,Calculo!$F$14:$ES$14,4)/(1-P_Merma),SUMIFS(Calculo!$F$193:$ES$193,Calculo!$F$170:$ES$170,4)/(1-V_Merma))</f>
        <v>0</v>
      </c>
      <c r="I89" s="48" t="n">
        <f aca="false">IF(cu_P=1,SUMIFS(Calculo!$F$37:$ES$37,Calculo!$F$14:$ES$14,5)/(1-P_Merma),SUMIFS(Calculo!$F$193:$ES$193,Calculo!$F$170:$ES$170,5)/(1-V_Merma))</f>
        <v>0</v>
      </c>
      <c r="J89" s="48" t="n">
        <f aca="false">IF(cu_P=1,SUMIFS(Calculo!$F$37:$ES$37,Calculo!$F$14:$ES$14,6)/(1-P_Merma),SUMIFS(Calculo!$F$193:$ES$193,Calculo!$F$170:$ES$170,6)/(1-V_Merma))</f>
        <v>0</v>
      </c>
      <c r="K89" s="48" t="n">
        <f aca="false">IF(cu_P=1,SUMIFS(Calculo!$F$37:$ES$37,Calculo!$F$14:$ES$14,7)/(1-P_Merma),SUMIFS(Calculo!$F$193:$ES$193,Calculo!$F$170:$ES$170,7)/(1-V_Merma))</f>
        <v>0</v>
      </c>
      <c r="L89" s="48" t="n">
        <f aca="false">IF(cu_P=1,SUMIFS(Calculo!$F$37:$ES$37,Calculo!$F$14:$ES$14,8)/(1-P_Merma),SUMIFS(Calculo!$F$193:$ES$193,Calculo!$F$170:$ES$170,8)/(1-V_Merma))</f>
        <v>0</v>
      </c>
      <c r="M89" s="48" t="n">
        <f aca="false">IF(cu_P=1,SUMIFS(Calculo!$F$37:$ES$37,Calculo!$F$14:$ES$14,9)/(1-P_Merma),SUMIFS(Calculo!$F$193:$ES$193,Calculo!$F$170:$ES$170,9)/(1-V_Merma))</f>
        <v>0</v>
      </c>
      <c r="N89" s="48" t="n">
        <f aca="false">IF(cu_P=1,SUMIFS(Calculo!$F$37:$ES$37,Calculo!$F$14:$ES$14,10)/(1-P_Merma),SUMIFS(Calculo!$F$193:$ES$193,Calculo!$F$170:$ES$170,10)/(1-V_Merma))</f>
        <v>0</v>
      </c>
      <c r="O89" s="54" t="n">
        <f aca="false">SUM(D89:N89)</f>
        <v>0</v>
      </c>
    </row>
    <row r="90" customFormat="false" ht="15" hidden="true" customHeight="false" outlineLevel="1" collapsed="false">
      <c r="A90" s="11" t="s">
        <v>1944</v>
      </c>
      <c r="B90" s="15" t="s">
        <v>1862</v>
      </c>
      <c r="C90" s="11" t="s">
        <v>544</v>
      </c>
      <c r="D90" s="48" t="n">
        <f aca="false">IF(cu_P=1,SUMIFS(Calculo!$F$37:$ES$37,Calculo!$F$16:$ES$16,1),SUMIFS(Calculo!$F$193:$ES$193,Calculo!$F$172:$ES$172,1))</f>
        <v>0</v>
      </c>
      <c r="E90" s="48" t="n">
        <f aca="false">IF(cu_P=1,SUMIFS(Calculo!$F$37:$ES$37,Calculo!$F$14:$ES$14,1),SUMIFS(Calculo!$F$193:$ES$193,Calculo!$F$170:$ES$170,1))</f>
        <v>0</v>
      </c>
      <c r="F90" s="48" t="n">
        <f aca="false">IF(cu_P=1,SUMIFS(Calculo!$F$37:$ES$37,Calculo!$F$14:$ES$14,2),SUMIFS(Calculo!$F$193:$ES$193,Calculo!$F$170:$ES$170,2))</f>
        <v>0</v>
      </c>
      <c r="G90" s="48" t="n">
        <f aca="false">IF(cu_P=1,SUMIFS(Calculo!$F$37:$ES$37,Calculo!$F$14:$ES$14,3),SUMIFS(Calculo!$F$193:$ES$193,Calculo!$F$170:$ES$170,3))</f>
        <v>0</v>
      </c>
      <c r="H90" s="48" t="n">
        <f aca="false">IF(cu_P=1,SUMIFS(Calculo!$F$37:$ES$37,Calculo!$F$14:$ES$14,4),SUMIFS(Calculo!$F$193:$ES$193,Calculo!$F$170:$ES$170,4))</f>
        <v>0</v>
      </c>
      <c r="I90" s="48" t="n">
        <f aca="false">IF(cu_P=1,SUMIFS(Calculo!$F$37:$ES$37,Calculo!$F$14:$ES$14,5),SUMIFS(Calculo!$F$193:$ES$193,Calculo!$F$170:$ES$170,5))</f>
        <v>0</v>
      </c>
      <c r="J90" s="48" t="n">
        <f aca="false">IF(cu_P=1,SUMIFS(Calculo!$F$37:$ES$37,Calculo!$F$14:$ES$14,6),SUMIFS(Calculo!$F$193:$ES$193,Calculo!$F$170:$ES$170,6))</f>
        <v>0</v>
      </c>
      <c r="K90" s="48" t="n">
        <f aca="false">IF(cu_P=1,SUMIFS(Calculo!$F$37:$ES$37,Calculo!$F$14:$ES$14,7),SUMIFS(Calculo!$F$193:$ES$193,Calculo!$F$170:$ES$170,7))</f>
        <v>0</v>
      </c>
      <c r="L90" s="48" t="n">
        <f aca="false">IF(cu_P=1,SUMIFS(Calculo!$F$37:$ES$37,Calculo!$F$14:$ES$14,8),SUMIFS(Calculo!$F$193:$ES$193,Calculo!$F$170:$ES$170,8))</f>
        <v>0</v>
      </c>
      <c r="M90" s="48" t="n">
        <f aca="false">IF(cu_P=1,SUMIFS(Calculo!$F$37:$ES$37,Calculo!$F$14:$ES$14,9),SUMIFS(Calculo!$F$193:$ES$193,Calculo!$F$170:$ES$170,9))</f>
        <v>0</v>
      </c>
      <c r="N90" s="48" t="n">
        <f aca="false">IF(cu_P=1,SUMIFS(Calculo!$F$37:$ES$37,Calculo!$F$14:$ES$14,10),SUMIFS(Calculo!$F$193:$ES$193,Calculo!$F$170:$ES$170,10))</f>
        <v>0</v>
      </c>
      <c r="O90" s="54" t="n">
        <f aca="false">SUM(D90:N90)</f>
        <v>0</v>
      </c>
    </row>
    <row r="91" customFormat="false" ht="15" hidden="true" customHeight="false" outlineLevel="1" collapsed="false">
      <c r="A91" s="11" t="s">
        <v>1945</v>
      </c>
      <c r="B91" s="15" t="s">
        <v>1864</v>
      </c>
      <c r="C91" s="11" t="s">
        <v>367</v>
      </c>
      <c r="E91" s="49" t="str">
        <f aca="false">IFERROR(IF(OR(NOT(ISNUMBER(E89)),N(E88)=0),"",E89/E88),"")</f>
        <v/>
      </c>
      <c r="F91" s="49" t="str">
        <f aca="false">IFERROR(IF(OR(NOT(ISNUMBER(F89)),N(F88)=0),"",F89/F88),"")</f>
        <v/>
      </c>
      <c r="G91" s="49" t="str">
        <f aca="false">IFERROR(IF(OR(NOT(ISNUMBER(G89)),N(G88)=0),"",G89/G88),"")</f>
        <v/>
      </c>
      <c r="H91" s="49" t="str">
        <f aca="false">IFERROR(IF(OR(NOT(ISNUMBER(H89)),N(H88)=0),"",H89/H88),"")</f>
        <v/>
      </c>
      <c r="I91" s="49" t="str">
        <f aca="false">IFERROR(IF(OR(NOT(ISNUMBER(I89)),N(I88)=0),"",I89/I88),"")</f>
        <v/>
      </c>
      <c r="J91" s="49" t="str">
        <f aca="false">IFERROR(IF(OR(NOT(ISNUMBER(J89)),N(J88)=0),"",J89/J88),"")</f>
        <v/>
      </c>
      <c r="K91" s="49" t="str">
        <f aca="false">IFERROR(IF(OR(NOT(ISNUMBER(K89)),N(K88)=0),"",K89/K88),"")</f>
        <v/>
      </c>
      <c r="L91" s="49" t="str">
        <f aca="false">IFERROR(IF(OR(NOT(ISNUMBER(L89)),N(L88)=0),"",L89/L88),"")</f>
        <v/>
      </c>
      <c r="M91" s="49" t="str">
        <f aca="false">IFERROR(IF(OR(NOT(ISNUMBER(M89)),N(M88)=0),"",M89/M88),"")</f>
        <v/>
      </c>
      <c r="N91" s="49" t="str">
        <f aca="false">IFERROR(IF(OR(NOT(ISNUMBER(N89)),N(N88)=0),"",N89/N88),"")</f>
        <v/>
      </c>
    </row>
    <row r="92" customFormat="false" ht="15" hidden="true" customHeight="false" outlineLevel="1" collapsed="false">
      <c r="A92" s="11" t="s">
        <v>1946</v>
      </c>
      <c r="B92" s="15" t="s">
        <v>1866</v>
      </c>
      <c r="C92" s="11" t="s">
        <v>367</v>
      </c>
      <c r="E92" s="49" t="str">
        <f aca="false">IFERROR(IF(OR(NOT(ISNUMBER(E90)),N(E89)=0),"",E90/E89),"")</f>
        <v/>
      </c>
      <c r="F92" s="49" t="str">
        <f aca="false">IFERROR(IF(OR(NOT(ISNUMBER(F90)),N(F89)=0),"",F90/F89),"")</f>
        <v/>
      </c>
      <c r="G92" s="49" t="str">
        <f aca="false">IFERROR(IF(OR(NOT(ISNUMBER(G90)),N(G89)=0),"",G90/G89),"")</f>
        <v/>
      </c>
      <c r="H92" s="49" t="str">
        <f aca="false">IFERROR(IF(OR(NOT(ISNUMBER(H90)),N(H89)=0),"",H90/H89),"")</f>
        <v/>
      </c>
      <c r="I92" s="49" t="str">
        <f aca="false">IFERROR(IF(OR(NOT(ISNUMBER(I90)),N(I89)=0),"",I90/I89),"")</f>
        <v/>
      </c>
      <c r="J92" s="49" t="str">
        <f aca="false">IFERROR(IF(OR(NOT(ISNUMBER(J90)),N(J89)=0),"",J90/J89),"")</f>
        <v/>
      </c>
      <c r="K92" s="49" t="str">
        <f aca="false">IFERROR(IF(OR(NOT(ISNUMBER(K90)),N(K89)=0),"",K90/K89),"")</f>
        <v/>
      </c>
      <c r="L92" s="49" t="str">
        <f aca="false">IFERROR(IF(OR(NOT(ISNUMBER(L90)),N(L89)=0),"",L90/L89),"")</f>
        <v/>
      </c>
      <c r="M92" s="49" t="str">
        <f aca="false">IFERROR(IF(OR(NOT(ISNUMBER(M90)),N(M89)=0),"",M90/M89),"")</f>
        <v/>
      </c>
      <c r="N92" s="49" t="str">
        <f aca="false">IFERROR(IF(OR(NOT(ISNUMBER(N90)),N(N89)=0),"",N90/N89),"")</f>
        <v/>
      </c>
      <c r="O92" s="99" t="str">
        <f aca="false">IFERROR(IF(OR(NOT(ISNUMBER(O90)),N(O89)=0),"",O90/O89),"")</f>
        <v/>
      </c>
    </row>
    <row r="93" customFormat="false" ht="15" hidden="true" customHeight="false" outlineLevel="1" collapsed="false">
      <c r="A93" s="11" t="s">
        <v>1947</v>
      </c>
      <c r="B93" s="53" t="str">
        <f aca="false">IF(INDEX(Prod_Nombre,18)="","Producto 18",INDEX(Prod_Nombre,18))&amp;" — capacidad instalada"</f>
        <v>Producto 18 — capacidad instalada</v>
      </c>
      <c r="C93" s="11" t="s">
        <v>544</v>
      </c>
      <c r="E93" s="48" t="n">
        <f aca="false">IF(cu_P=1,IF(INDEX(Prod_Nombre,18)="",0,IF(AND(N(INDEX(Cap_Anio,18))&gt;0,1&gt;=N(INDEX(Cap_Anio,18))),N(INDEX(Cap_Amp,18)),N(INDEX(Cap_Ini,18)))),IF(INDEX(Prod_Nombre,18)="",0,IF(AND(N(INDEX(Cap_Anio,18))&gt;0,1&gt;=N(INDEX(Cap_Anio,18))),N(INDEX(Cap_Amp,18)),N(INDEX(Cap_Ini,18)))))</f>
        <v>0</v>
      </c>
      <c r="F93" s="48" t="n">
        <f aca="false">IF(cu_P=1,IF(INDEX(Prod_Nombre,18)="",0,IF(AND(N(INDEX(Cap_Anio,18))&gt;0,2&gt;=N(INDEX(Cap_Anio,18))),N(INDEX(Cap_Amp,18)),N(INDEX(Cap_Ini,18)))),IF(INDEX(Prod_Nombre,18)="",0,IF(AND(N(INDEX(Cap_Anio,18))&gt;0,2&gt;=N(INDEX(Cap_Anio,18))),N(INDEX(Cap_Amp,18)),N(INDEX(Cap_Ini,18)))))</f>
        <v>0</v>
      </c>
      <c r="G93" s="48" t="n">
        <f aca="false">IF(cu_P=1,IF(INDEX(Prod_Nombre,18)="",0,IF(AND(N(INDEX(Cap_Anio,18))&gt;0,3&gt;=N(INDEX(Cap_Anio,18))),N(INDEX(Cap_Amp,18)),N(INDEX(Cap_Ini,18)))),IF(INDEX(Prod_Nombre,18)="",0,IF(AND(N(INDEX(Cap_Anio,18))&gt;0,3&gt;=N(INDEX(Cap_Anio,18))),N(INDEX(Cap_Amp,18)),N(INDEX(Cap_Ini,18)))))</f>
        <v>0</v>
      </c>
      <c r="H93" s="48" t="n">
        <f aca="false">IF(cu_P=1,IF(INDEX(Prod_Nombre,18)="",0,IF(AND(N(INDEX(Cap_Anio,18))&gt;0,4&gt;=N(INDEX(Cap_Anio,18))),N(INDEX(Cap_Amp,18)),N(INDEX(Cap_Ini,18)))),IF(INDEX(Prod_Nombre,18)="",0,IF(AND(N(INDEX(Cap_Anio,18))&gt;0,4&gt;=N(INDEX(Cap_Anio,18))),N(INDEX(Cap_Amp,18)),N(INDEX(Cap_Ini,18)))))</f>
        <v>0</v>
      </c>
      <c r="I93" s="48" t="n">
        <f aca="false">IF(cu_P=1,IF(INDEX(Prod_Nombre,18)="",0,IF(AND(N(INDEX(Cap_Anio,18))&gt;0,5&gt;=N(INDEX(Cap_Anio,18))),N(INDEX(Cap_Amp,18)),N(INDEX(Cap_Ini,18)))),IF(INDEX(Prod_Nombre,18)="",0,IF(AND(N(INDEX(Cap_Anio,18))&gt;0,5&gt;=N(INDEX(Cap_Anio,18))),N(INDEX(Cap_Amp,18)),N(INDEX(Cap_Ini,18)))))</f>
        <v>0</v>
      </c>
      <c r="J93" s="48" t="n">
        <f aca="false">IF(cu_P=1,IF(INDEX(Prod_Nombre,18)="",0,IF(AND(N(INDEX(Cap_Anio,18))&gt;0,6&gt;=N(INDEX(Cap_Anio,18))),N(INDEX(Cap_Amp,18)),N(INDEX(Cap_Ini,18)))),IF(INDEX(Prod_Nombre,18)="",0,IF(AND(N(INDEX(Cap_Anio,18))&gt;0,6&gt;=N(INDEX(Cap_Anio,18))),N(INDEX(Cap_Amp,18)),N(INDEX(Cap_Ini,18)))))</f>
        <v>0</v>
      </c>
      <c r="K93" s="48" t="n">
        <f aca="false">IF(cu_P=1,IF(INDEX(Prod_Nombre,18)="",0,IF(AND(N(INDEX(Cap_Anio,18))&gt;0,7&gt;=N(INDEX(Cap_Anio,18))),N(INDEX(Cap_Amp,18)),N(INDEX(Cap_Ini,18)))),IF(INDEX(Prod_Nombre,18)="",0,IF(AND(N(INDEX(Cap_Anio,18))&gt;0,7&gt;=N(INDEX(Cap_Anio,18))),N(INDEX(Cap_Amp,18)),N(INDEX(Cap_Ini,18)))))</f>
        <v>0</v>
      </c>
      <c r="L93" s="48" t="n">
        <f aca="false">IF(cu_P=1,IF(INDEX(Prod_Nombre,18)="",0,IF(AND(N(INDEX(Cap_Anio,18))&gt;0,8&gt;=N(INDEX(Cap_Anio,18))),N(INDEX(Cap_Amp,18)),N(INDEX(Cap_Ini,18)))),IF(INDEX(Prod_Nombre,18)="",0,IF(AND(N(INDEX(Cap_Anio,18))&gt;0,8&gt;=N(INDEX(Cap_Anio,18))),N(INDEX(Cap_Amp,18)),N(INDEX(Cap_Ini,18)))))</f>
        <v>0</v>
      </c>
      <c r="M93" s="48" t="n">
        <f aca="false">IF(cu_P=1,IF(INDEX(Prod_Nombre,18)="",0,IF(AND(N(INDEX(Cap_Anio,18))&gt;0,9&gt;=N(INDEX(Cap_Anio,18))),N(INDEX(Cap_Amp,18)),N(INDEX(Cap_Ini,18)))),IF(INDEX(Prod_Nombre,18)="",0,IF(AND(N(INDEX(Cap_Anio,18))&gt;0,9&gt;=N(INDEX(Cap_Anio,18))),N(INDEX(Cap_Amp,18)),N(INDEX(Cap_Ini,18)))))</f>
        <v>0</v>
      </c>
      <c r="N93" s="48" t="n">
        <f aca="false">IF(cu_P=1,IF(INDEX(Prod_Nombre,18)="",0,IF(AND(N(INDEX(Cap_Anio,18))&gt;0,10&gt;=N(INDEX(Cap_Anio,18))),N(INDEX(Cap_Amp,18)),N(INDEX(Cap_Ini,18)))),IF(INDEX(Prod_Nombre,18)="",0,IF(AND(N(INDEX(Cap_Anio,18))&gt;0,10&gt;=N(INDEX(Cap_Anio,18))),N(INDEX(Cap_Amp,18)),N(INDEX(Cap_Ini,18)))))</f>
        <v>0</v>
      </c>
    </row>
    <row r="94" customFormat="false" ht="15" hidden="true" customHeight="false" outlineLevel="1" collapsed="false">
      <c r="A94" s="11" t="s">
        <v>1948</v>
      </c>
      <c r="B94" s="15" t="s">
        <v>1860</v>
      </c>
      <c r="C94" s="11" t="s">
        <v>544</v>
      </c>
      <c r="D94" s="48" t="n">
        <f aca="false">IF(cu_P=1,SUMIFS(Calculo!$F$38:$ES$38,Calculo!$F$16:$ES$16,1)/(1-P_Merma),SUMIFS(Calculo!$F$194:$ES$194,Calculo!$F$172:$ES$172,1)/(1-V_Merma))</f>
        <v>0</v>
      </c>
      <c r="E94" s="48" t="n">
        <f aca="false">IF(cu_P=1,SUMIFS(Calculo!$F$38:$ES$38,Calculo!$F$14:$ES$14,1)/(1-P_Merma),SUMIFS(Calculo!$F$194:$ES$194,Calculo!$F$170:$ES$170,1)/(1-V_Merma))</f>
        <v>0</v>
      </c>
      <c r="F94" s="48" t="n">
        <f aca="false">IF(cu_P=1,SUMIFS(Calculo!$F$38:$ES$38,Calculo!$F$14:$ES$14,2)/(1-P_Merma),SUMIFS(Calculo!$F$194:$ES$194,Calculo!$F$170:$ES$170,2)/(1-V_Merma))</f>
        <v>0</v>
      </c>
      <c r="G94" s="48" t="n">
        <f aca="false">IF(cu_P=1,SUMIFS(Calculo!$F$38:$ES$38,Calculo!$F$14:$ES$14,3)/(1-P_Merma),SUMIFS(Calculo!$F$194:$ES$194,Calculo!$F$170:$ES$170,3)/(1-V_Merma))</f>
        <v>0</v>
      </c>
      <c r="H94" s="48" t="n">
        <f aca="false">IF(cu_P=1,SUMIFS(Calculo!$F$38:$ES$38,Calculo!$F$14:$ES$14,4)/(1-P_Merma),SUMIFS(Calculo!$F$194:$ES$194,Calculo!$F$170:$ES$170,4)/(1-V_Merma))</f>
        <v>0</v>
      </c>
      <c r="I94" s="48" t="n">
        <f aca="false">IF(cu_P=1,SUMIFS(Calculo!$F$38:$ES$38,Calculo!$F$14:$ES$14,5)/(1-P_Merma),SUMIFS(Calculo!$F$194:$ES$194,Calculo!$F$170:$ES$170,5)/(1-V_Merma))</f>
        <v>0</v>
      </c>
      <c r="J94" s="48" t="n">
        <f aca="false">IF(cu_P=1,SUMIFS(Calculo!$F$38:$ES$38,Calculo!$F$14:$ES$14,6)/(1-P_Merma),SUMIFS(Calculo!$F$194:$ES$194,Calculo!$F$170:$ES$170,6)/(1-V_Merma))</f>
        <v>0</v>
      </c>
      <c r="K94" s="48" t="n">
        <f aca="false">IF(cu_P=1,SUMIFS(Calculo!$F$38:$ES$38,Calculo!$F$14:$ES$14,7)/(1-P_Merma),SUMIFS(Calculo!$F$194:$ES$194,Calculo!$F$170:$ES$170,7)/(1-V_Merma))</f>
        <v>0</v>
      </c>
      <c r="L94" s="48" t="n">
        <f aca="false">IF(cu_P=1,SUMIFS(Calculo!$F$38:$ES$38,Calculo!$F$14:$ES$14,8)/(1-P_Merma),SUMIFS(Calculo!$F$194:$ES$194,Calculo!$F$170:$ES$170,8)/(1-V_Merma))</f>
        <v>0</v>
      </c>
      <c r="M94" s="48" t="n">
        <f aca="false">IF(cu_P=1,SUMIFS(Calculo!$F$38:$ES$38,Calculo!$F$14:$ES$14,9)/(1-P_Merma),SUMIFS(Calculo!$F$194:$ES$194,Calculo!$F$170:$ES$170,9)/(1-V_Merma))</f>
        <v>0</v>
      </c>
      <c r="N94" s="48" t="n">
        <f aca="false">IF(cu_P=1,SUMIFS(Calculo!$F$38:$ES$38,Calculo!$F$14:$ES$14,10)/(1-P_Merma),SUMIFS(Calculo!$F$194:$ES$194,Calculo!$F$170:$ES$170,10)/(1-V_Merma))</f>
        <v>0</v>
      </c>
      <c r="O94" s="54" t="n">
        <f aca="false">SUM(D94:N94)</f>
        <v>0</v>
      </c>
    </row>
    <row r="95" customFormat="false" ht="15" hidden="true" customHeight="false" outlineLevel="1" collapsed="false">
      <c r="A95" s="11" t="s">
        <v>1949</v>
      </c>
      <c r="B95" s="15" t="s">
        <v>1862</v>
      </c>
      <c r="C95" s="11" t="s">
        <v>544</v>
      </c>
      <c r="D95" s="48" t="n">
        <f aca="false">IF(cu_P=1,SUMIFS(Calculo!$F$38:$ES$38,Calculo!$F$16:$ES$16,1),SUMIFS(Calculo!$F$194:$ES$194,Calculo!$F$172:$ES$172,1))</f>
        <v>0</v>
      </c>
      <c r="E95" s="48" t="n">
        <f aca="false">IF(cu_P=1,SUMIFS(Calculo!$F$38:$ES$38,Calculo!$F$14:$ES$14,1),SUMIFS(Calculo!$F$194:$ES$194,Calculo!$F$170:$ES$170,1))</f>
        <v>0</v>
      </c>
      <c r="F95" s="48" t="n">
        <f aca="false">IF(cu_P=1,SUMIFS(Calculo!$F$38:$ES$38,Calculo!$F$14:$ES$14,2),SUMIFS(Calculo!$F$194:$ES$194,Calculo!$F$170:$ES$170,2))</f>
        <v>0</v>
      </c>
      <c r="G95" s="48" t="n">
        <f aca="false">IF(cu_P=1,SUMIFS(Calculo!$F$38:$ES$38,Calculo!$F$14:$ES$14,3),SUMIFS(Calculo!$F$194:$ES$194,Calculo!$F$170:$ES$170,3))</f>
        <v>0</v>
      </c>
      <c r="H95" s="48" t="n">
        <f aca="false">IF(cu_P=1,SUMIFS(Calculo!$F$38:$ES$38,Calculo!$F$14:$ES$14,4),SUMIFS(Calculo!$F$194:$ES$194,Calculo!$F$170:$ES$170,4))</f>
        <v>0</v>
      </c>
      <c r="I95" s="48" t="n">
        <f aca="false">IF(cu_P=1,SUMIFS(Calculo!$F$38:$ES$38,Calculo!$F$14:$ES$14,5),SUMIFS(Calculo!$F$194:$ES$194,Calculo!$F$170:$ES$170,5))</f>
        <v>0</v>
      </c>
      <c r="J95" s="48" t="n">
        <f aca="false">IF(cu_P=1,SUMIFS(Calculo!$F$38:$ES$38,Calculo!$F$14:$ES$14,6),SUMIFS(Calculo!$F$194:$ES$194,Calculo!$F$170:$ES$170,6))</f>
        <v>0</v>
      </c>
      <c r="K95" s="48" t="n">
        <f aca="false">IF(cu_P=1,SUMIFS(Calculo!$F$38:$ES$38,Calculo!$F$14:$ES$14,7),SUMIFS(Calculo!$F$194:$ES$194,Calculo!$F$170:$ES$170,7))</f>
        <v>0</v>
      </c>
      <c r="L95" s="48" t="n">
        <f aca="false">IF(cu_P=1,SUMIFS(Calculo!$F$38:$ES$38,Calculo!$F$14:$ES$14,8),SUMIFS(Calculo!$F$194:$ES$194,Calculo!$F$170:$ES$170,8))</f>
        <v>0</v>
      </c>
      <c r="M95" s="48" t="n">
        <f aca="false">IF(cu_P=1,SUMIFS(Calculo!$F$38:$ES$38,Calculo!$F$14:$ES$14,9),SUMIFS(Calculo!$F$194:$ES$194,Calculo!$F$170:$ES$170,9))</f>
        <v>0</v>
      </c>
      <c r="N95" s="48" t="n">
        <f aca="false">IF(cu_P=1,SUMIFS(Calculo!$F$38:$ES$38,Calculo!$F$14:$ES$14,10),SUMIFS(Calculo!$F$194:$ES$194,Calculo!$F$170:$ES$170,10))</f>
        <v>0</v>
      </c>
      <c r="O95" s="54" t="n">
        <f aca="false">SUM(D95:N95)</f>
        <v>0</v>
      </c>
    </row>
    <row r="96" customFormat="false" ht="15" hidden="true" customHeight="false" outlineLevel="1" collapsed="false">
      <c r="A96" s="11" t="s">
        <v>1950</v>
      </c>
      <c r="B96" s="15" t="s">
        <v>1864</v>
      </c>
      <c r="C96" s="11" t="s">
        <v>367</v>
      </c>
      <c r="E96" s="49" t="str">
        <f aca="false">IFERROR(IF(OR(NOT(ISNUMBER(E94)),N(E93)=0),"",E94/E93),"")</f>
        <v/>
      </c>
      <c r="F96" s="49" t="str">
        <f aca="false">IFERROR(IF(OR(NOT(ISNUMBER(F94)),N(F93)=0),"",F94/F93),"")</f>
        <v/>
      </c>
      <c r="G96" s="49" t="str">
        <f aca="false">IFERROR(IF(OR(NOT(ISNUMBER(G94)),N(G93)=0),"",G94/G93),"")</f>
        <v/>
      </c>
      <c r="H96" s="49" t="str">
        <f aca="false">IFERROR(IF(OR(NOT(ISNUMBER(H94)),N(H93)=0),"",H94/H93),"")</f>
        <v/>
      </c>
      <c r="I96" s="49" t="str">
        <f aca="false">IFERROR(IF(OR(NOT(ISNUMBER(I94)),N(I93)=0),"",I94/I93),"")</f>
        <v/>
      </c>
      <c r="J96" s="49" t="str">
        <f aca="false">IFERROR(IF(OR(NOT(ISNUMBER(J94)),N(J93)=0),"",J94/J93),"")</f>
        <v/>
      </c>
      <c r="K96" s="49" t="str">
        <f aca="false">IFERROR(IF(OR(NOT(ISNUMBER(K94)),N(K93)=0),"",K94/K93),"")</f>
        <v/>
      </c>
      <c r="L96" s="49" t="str">
        <f aca="false">IFERROR(IF(OR(NOT(ISNUMBER(L94)),N(L93)=0),"",L94/L93),"")</f>
        <v/>
      </c>
      <c r="M96" s="49" t="str">
        <f aca="false">IFERROR(IF(OR(NOT(ISNUMBER(M94)),N(M93)=0),"",M94/M93),"")</f>
        <v/>
      </c>
      <c r="N96" s="49" t="str">
        <f aca="false">IFERROR(IF(OR(NOT(ISNUMBER(N94)),N(N93)=0),"",N94/N93),"")</f>
        <v/>
      </c>
    </row>
    <row r="97" customFormat="false" ht="15" hidden="true" customHeight="false" outlineLevel="1" collapsed="false">
      <c r="A97" s="11" t="s">
        <v>1951</v>
      </c>
      <c r="B97" s="15" t="s">
        <v>1866</v>
      </c>
      <c r="C97" s="11" t="s">
        <v>367</v>
      </c>
      <c r="E97" s="49" t="str">
        <f aca="false">IFERROR(IF(OR(NOT(ISNUMBER(E95)),N(E94)=0),"",E95/E94),"")</f>
        <v/>
      </c>
      <c r="F97" s="49" t="str">
        <f aca="false">IFERROR(IF(OR(NOT(ISNUMBER(F95)),N(F94)=0),"",F95/F94),"")</f>
        <v/>
      </c>
      <c r="G97" s="49" t="str">
        <f aca="false">IFERROR(IF(OR(NOT(ISNUMBER(G95)),N(G94)=0),"",G95/G94),"")</f>
        <v/>
      </c>
      <c r="H97" s="49" t="str">
        <f aca="false">IFERROR(IF(OR(NOT(ISNUMBER(H95)),N(H94)=0),"",H95/H94),"")</f>
        <v/>
      </c>
      <c r="I97" s="49" t="str">
        <f aca="false">IFERROR(IF(OR(NOT(ISNUMBER(I95)),N(I94)=0),"",I95/I94),"")</f>
        <v/>
      </c>
      <c r="J97" s="49" t="str">
        <f aca="false">IFERROR(IF(OR(NOT(ISNUMBER(J95)),N(J94)=0),"",J95/J94),"")</f>
        <v/>
      </c>
      <c r="K97" s="49" t="str">
        <f aca="false">IFERROR(IF(OR(NOT(ISNUMBER(K95)),N(K94)=0),"",K95/K94),"")</f>
        <v/>
      </c>
      <c r="L97" s="49" t="str">
        <f aca="false">IFERROR(IF(OR(NOT(ISNUMBER(L95)),N(L94)=0),"",L95/L94),"")</f>
        <v/>
      </c>
      <c r="M97" s="49" t="str">
        <f aca="false">IFERROR(IF(OR(NOT(ISNUMBER(M95)),N(M94)=0),"",M95/M94),"")</f>
        <v/>
      </c>
      <c r="N97" s="49" t="str">
        <f aca="false">IFERROR(IF(OR(NOT(ISNUMBER(N95)),N(N94)=0),"",N95/N94),"")</f>
        <v/>
      </c>
      <c r="O97" s="99" t="str">
        <f aca="false">IFERROR(IF(OR(NOT(ISNUMBER(O95)),N(O94)=0),"",O95/O94),"")</f>
        <v/>
      </c>
    </row>
    <row r="98" customFormat="false" ht="15" hidden="true" customHeight="false" outlineLevel="1" collapsed="false">
      <c r="A98" s="11" t="s">
        <v>1952</v>
      </c>
      <c r="B98" s="53" t="str">
        <f aca="false">IF(INDEX(Prod_Nombre,19)="","Producto 19",INDEX(Prod_Nombre,19))&amp;" — capacidad instalada"</f>
        <v>Producto 19 — capacidad instalada</v>
      </c>
      <c r="C98" s="11" t="s">
        <v>544</v>
      </c>
      <c r="E98" s="48" t="n">
        <f aca="false">IF(cu_P=1,IF(INDEX(Prod_Nombre,19)="",0,IF(AND(N(INDEX(Cap_Anio,19))&gt;0,1&gt;=N(INDEX(Cap_Anio,19))),N(INDEX(Cap_Amp,19)),N(INDEX(Cap_Ini,19)))),IF(INDEX(Prod_Nombre,19)="",0,IF(AND(N(INDEX(Cap_Anio,19))&gt;0,1&gt;=N(INDEX(Cap_Anio,19))),N(INDEX(Cap_Amp,19)),N(INDEX(Cap_Ini,19)))))</f>
        <v>0</v>
      </c>
      <c r="F98" s="48" t="n">
        <f aca="false">IF(cu_P=1,IF(INDEX(Prod_Nombre,19)="",0,IF(AND(N(INDEX(Cap_Anio,19))&gt;0,2&gt;=N(INDEX(Cap_Anio,19))),N(INDEX(Cap_Amp,19)),N(INDEX(Cap_Ini,19)))),IF(INDEX(Prod_Nombre,19)="",0,IF(AND(N(INDEX(Cap_Anio,19))&gt;0,2&gt;=N(INDEX(Cap_Anio,19))),N(INDEX(Cap_Amp,19)),N(INDEX(Cap_Ini,19)))))</f>
        <v>0</v>
      </c>
      <c r="G98" s="48" t="n">
        <f aca="false">IF(cu_P=1,IF(INDEX(Prod_Nombre,19)="",0,IF(AND(N(INDEX(Cap_Anio,19))&gt;0,3&gt;=N(INDEX(Cap_Anio,19))),N(INDEX(Cap_Amp,19)),N(INDEX(Cap_Ini,19)))),IF(INDEX(Prod_Nombre,19)="",0,IF(AND(N(INDEX(Cap_Anio,19))&gt;0,3&gt;=N(INDEX(Cap_Anio,19))),N(INDEX(Cap_Amp,19)),N(INDEX(Cap_Ini,19)))))</f>
        <v>0</v>
      </c>
      <c r="H98" s="48" t="n">
        <f aca="false">IF(cu_P=1,IF(INDEX(Prod_Nombre,19)="",0,IF(AND(N(INDEX(Cap_Anio,19))&gt;0,4&gt;=N(INDEX(Cap_Anio,19))),N(INDEX(Cap_Amp,19)),N(INDEX(Cap_Ini,19)))),IF(INDEX(Prod_Nombre,19)="",0,IF(AND(N(INDEX(Cap_Anio,19))&gt;0,4&gt;=N(INDEX(Cap_Anio,19))),N(INDEX(Cap_Amp,19)),N(INDEX(Cap_Ini,19)))))</f>
        <v>0</v>
      </c>
      <c r="I98" s="48" t="n">
        <f aca="false">IF(cu_P=1,IF(INDEX(Prod_Nombre,19)="",0,IF(AND(N(INDEX(Cap_Anio,19))&gt;0,5&gt;=N(INDEX(Cap_Anio,19))),N(INDEX(Cap_Amp,19)),N(INDEX(Cap_Ini,19)))),IF(INDEX(Prod_Nombre,19)="",0,IF(AND(N(INDEX(Cap_Anio,19))&gt;0,5&gt;=N(INDEX(Cap_Anio,19))),N(INDEX(Cap_Amp,19)),N(INDEX(Cap_Ini,19)))))</f>
        <v>0</v>
      </c>
      <c r="J98" s="48" t="n">
        <f aca="false">IF(cu_P=1,IF(INDEX(Prod_Nombre,19)="",0,IF(AND(N(INDEX(Cap_Anio,19))&gt;0,6&gt;=N(INDEX(Cap_Anio,19))),N(INDEX(Cap_Amp,19)),N(INDEX(Cap_Ini,19)))),IF(INDEX(Prod_Nombre,19)="",0,IF(AND(N(INDEX(Cap_Anio,19))&gt;0,6&gt;=N(INDEX(Cap_Anio,19))),N(INDEX(Cap_Amp,19)),N(INDEX(Cap_Ini,19)))))</f>
        <v>0</v>
      </c>
      <c r="K98" s="48" t="n">
        <f aca="false">IF(cu_P=1,IF(INDEX(Prod_Nombre,19)="",0,IF(AND(N(INDEX(Cap_Anio,19))&gt;0,7&gt;=N(INDEX(Cap_Anio,19))),N(INDEX(Cap_Amp,19)),N(INDEX(Cap_Ini,19)))),IF(INDEX(Prod_Nombre,19)="",0,IF(AND(N(INDEX(Cap_Anio,19))&gt;0,7&gt;=N(INDEX(Cap_Anio,19))),N(INDEX(Cap_Amp,19)),N(INDEX(Cap_Ini,19)))))</f>
        <v>0</v>
      </c>
      <c r="L98" s="48" t="n">
        <f aca="false">IF(cu_P=1,IF(INDEX(Prod_Nombre,19)="",0,IF(AND(N(INDEX(Cap_Anio,19))&gt;0,8&gt;=N(INDEX(Cap_Anio,19))),N(INDEX(Cap_Amp,19)),N(INDEX(Cap_Ini,19)))),IF(INDEX(Prod_Nombre,19)="",0,IF(AND(N(INDEX(Cap_Anio,19))&gt;0,8&gt;=N(INDEX(Cap_Anio,19))),N(INDEX(Cap_Amp,19)),N(INDEX(Cap_Ini,19)))))</f>
        <v>0</v>
      </c>
      <c r="M98" s="48" t="n">
        <f aca="false">IF(cu_P=1,IF(INDEX(Prod_Nombre,19)="",0,IF(AND(N(INDEX(Cap_Anio,19))&gt;0,9&gt;=N(INDEX(Cap_Anio,19))),N(INDEX(Cap_Amp,19)),N(INDEX(Cap_Ini,19)))),IF(INDEX(Prod_Nombre,19)="",0,IF(AND(N(INDEX(Cap_Anio,19))&gt;0,9&gt;=N(INDEX(Cap_Anio,19))),N(INDEX(Cap_Amp,19)),N(INDEX(Cap_Ini,19)))))</f>
        <v>0</v>
      </c>
      <c r="N98" s="48" t="n">
        <f aca="false">IF(cu_P=1,IF(INDEX(Prod_Nombre,19)="",0,IF(AND(N(INDEX(Cap_Anio,19))&gt;0,10&gt;=N(INDEX(Cap_Anio,19))),N(INDEX(Cap_Amp,19)),N(INDEX(Cap_Ini,19)))),IF(INDEX(Prod_Nombre,19)="",0,IF(AND(N(INDEX(Cap_Anio,19))&gt;0,10&gt;=N(INDEX(Cap_Anio,19))),N(INDEX(Cap_Amp,19)),N(INDEX(Cap_Ini,19)))))</f>
        <v>0</v>
      </c>
    </row>
    <row r="99" customFormat="false" ht="15" hidden="true" customHeight="false" outlineLevel="1" collapsed="false">
      <c r="A99" s="11" t="s">
        <v>1953</v>
      </c>
      <c r="B99" s="15" t="s">
        <v>1860</v>
      </c>
      <c r="C99" s="11" t="s">
        <v>544</v>
      </c>
      <c r="D99" s="48" t="n">
        <f aca="false">IF(cu_P=1,SUMIFS(Calculo!$F$39:$ES$39,Calculo!$F$16:$ES$16,1)/(1-P_Merma),SUMIFS(Calculo!$F$195:$ES$195,Calculo!$F$172:$ES$172,1)/(1-V_Merma))</f>
        <v>0</v>
      </c>
      <c r="E99" s="48" t="n">
        <f aca="false">IF(cu_P=1,SUMIFS(Calculo!$F$39:$ES$39,Calculo!$F$14:$ES$14,1)/(1-P_Merma),SUMIFS(Calculo!$F$195:$ES$195,Calculo!$F$170:$ES$170,1)/(1-V_Merma))</f>
        <v>0</v>
      </c>
      <c r="F99" s="48" t="n">
        <f aca="false">IF(cu_P=1,SUMIFS(Calculo!$F$39:$ES$39,Calculo!$F$14:$ES$14,2)/(1-P_Merma),SUMIFS(Calculo!$F$195:$ES$195,Calculo!$F$170:$ES$170,2)/(1-V_Merma))</f>
        <v>0</v>
      </c>
      <c r="G99" s="48" t="n">
        <f aca="false">IF(cu_P=1,SUMIFS(Calculo!$F$39:$ES$39,Calculo!$F$14:$ES$14,3)/(1-P_Merma),SUMIFS(Calculo!$F$195:$ES$195,Calculo!$F$170:$ES$170,3)/(1-V_Merma))</f>
        <v>0</v>
      </c>
      <c r="H99" s="48" t="n">
        <f aca="false">IF(cu_P=1,SUMIFS(Calculo!$F$39:$ES$39,Calculo!$F$14:$ES$14,4)/(1-P_Merma),SUMIFS(Calculo!$F$195:$ES$195,Calculo!$F$170:$ES$170,4)/(1-V_Merma))</f>
        <v>0</v>
      </c>
      <c r="I99" s="48" t="n">
        <f aca="false">IF(cu_P=1,SUMIFS(Calculo!$F$39:$ES$39,Calculo!$F$14:$ES$14,5)/(1-P_Merma),SUMIFS(Calculo!$F$195:$ES$195,Calculo!$F$170:$ES$170,5)/(1-V_Merma))</f>
        <v>0</v>
      </c>
      <c r="J99" s="48" t="n">
        <f aca="false">IF(cu_P=1,SUMIFS(Calculo!$F$39:$ES$39,Calculo!$F$14:$ES$14,6)/(1-P_Merma),SUMIFS(Calculo!$F$195:$ES$195,Calculo!$F$170:$ES$170,6)/(1-V_Merma))</f>
        <v>0</v>
      </c>
      <c r="K99" s="48" t="n">
        <f aca="false">IF(cu_P=1,SUMIFS(Calculo!$F$39:$ES$39,Calculo!$F$14:$ES$14,7)/(1-P_Merma),SUMIFS(Calculo!$F$195:$ES$195,Calculo!$F$170:$ES$170,7)/(1-V_Merma))</f>
        <v>0</v>
      </c>
      <c r="L99" s="48" t="n">
        <f aca="false">IF(cu_P=1,SUMIFS(Calculo!$F$39:$ES$39,Calculo!$F$14:$ES$14,8)/(1-P_Merma),SUMIFS(Calculo!$F$195:$ES$195,Calculo!$F$170:$ES$170,8)/(1-V_Merma))</f>
        <v>0</v>
      </c>
      <c r="M99" s="48" t="n">
        <f aca="false">IF(cu_P=1,SUMIFS(Calculo!$F$39:$ES$39,Calculo!$F$14:$ES$14,9)/(1-P_Merma),SUMIFS(Calculo!$F$195:$ES$195,Calculo!$F$170:$ES$170,9)/(1-V_Merma))</f>
        <v>0</v>
      </c>
      <c r="N99" s="48" t="n">
        <f aca="false">IF(cu_P=1,SUMIFS(Calculo!$F$39:$ES$39,Calculo!$F$14:$ES$14,10)/(1-P_Merma),SUMIFS(Calculo!$F$195:$ES$195,Calculo!$F$170:$ES$170,10)/(1-V_Merma))</f>
        <v>0</v>
      </c>
      <c r="O99" s="54" t="n">
        <f aca="false">SUM(D99:N99)</f>
        <v>0</v>
      </c>
    </row>
    <row r="100" customFormat="false" ht="15" hidden="true" customHeight="false" outlineLevel="1" collapsed="false">
      <c r="A100" s="11" t="s">
        <v>1954</v>
      </c>
      <c r="B100" s="15" t="s">
        <v>1862</v>
      </c>
      <c r="C100" s="11" t="s">
        <v>544</v>
      </c>
      <c r="D100" s="48" t="n">
        <f aca="false">IF(cu_P=1,SUMIFS(Calculo!$F$39:$ES$39,Calculo!$F$16:$ES$16,1),SUMIFS(Calculo!$F$195:$ES$195,Calculo!$F$172:$ES$172,1))</f>
        <v>0</v>
      </c>
      <c r="E100" s="48" t="n">
        <f aca="false">IF(cu_P=1,SUMIFS(Calculo!$F$39:$ES$39,Calculo!$F$14:$ES$14,1),SUMIFS(Calculo!$F$195:$ES$195,Calculo!$F$170:$ES$170,1))</f>
        <v>0</v>
      </c>
      <c r="F100" s="48" t="n">
        <f aca="false">IF(cu_P=1,SUMIFS(Calculo!$F$39:$ES$39,Calculo!$F$14:$ES$14,2),SUMIFS(Calculo!$F$195:$ES$195,Calculo!$F$170:$ES$170,2))</f>
        <v>0</v>
      </c>
      <c r="G100" s="48" t="n">
        <f aca="false">IF(cu_P=1,SUMIFS(Calculo!$F$39:$ES$39,Calculo!$F$14:$ES$14,3),SUMIFS(Calculo!$F$195:$ES$195,Calculo!$F$170:$ES$170,3))</f>
        <v>0</v>
      </c>
      <c r="H100" s="48" t="n">
        <f aca="false">IF(cu_P=1,SUMIFS(Calculo!$F$39:$ES$39,Calculo!$F$14:$ES$14,4),SUMIFS(Calculo!$F$195:$ES$195,Calculo!$F$170:$ES$170,4))</f>
        <v>0</v>
      </c>
      <c r="I100" s="48" t="n">
        <f aca="false">IF(cu_P=1,SUMIFS(Calculo!$F$39:$ES$39,Calculo!$F$14:$ES$14,5),SUMIFS(Calculo!$F$195:$ES$195,Calculo!$F$170:$ES$170,5))</f>
        <v>0</v>
      </c>
      <c r="J100" s="48" t="n">
        <f aca="false">IF(cu_P=1,SUMIFS(Calculo!$F$39:$ES$39,Calculo!$F$14:$ES$14,6),SUMIFS(Calculo!$F$195:$ES$195,Calculo!$F$170:$ES$170,6))</f>
        <v>0</v>
      </c>
      <c r="K100" s="48" t="n">
        <f aca="false">IF(cu_P=1,SUMIFS(Calculo!$F$39:$ES$39,Calculo!$F$14:$ES$14,7),SUMIFS(Calculo!$F$195:$ES$195,Calculo!$F$170:$ES$170,7))</f>
        <v>0</v>
      </c>
      <c r="L100" s="48" t="n">
        <f aca="false">IF(cu_P=1,SUMIFS(Calculo!$F$39:$ES$39,Calculo!$F$14:$ES$14,8),SUMIFS(Calculo!$F$195:$ES$195,Calculo!$F$170:$ES$170,8))</f>
        <v>0</v>
      </c>
      <c r="M100" s="48" t="n">
        <f aca="false">IF(cu_P=1,SUMIFS(Calculo!$F$39:$ES$39,Calculo!$F$14:$ES$14,9),SUMIFS(Calculo!$F$195:$ES$195,Calculo!$F$170:$ES$170,9))</f>
        <v>0</v>
      </c>
      <c r="N100" s="48" t="n">
        <f aca="false">IF(cu_P=1,SUMIFS(Calculo!$F$39:$ES$39,Calculo!$F$14:$ES$14,10),SUMIFS(Calculo!$F$195:$ES$195,Calculo!$F$170:$ES$170,10))</f>
        <v>0</v>
      </c>
      <c r="O100" s="54" t="n">
        <f aca="false">SUM(D100:N100)</f>
        <v>0</v>
      </c>
    </row>
    <row r="101" customFormat="false" ht="15" hidden="true" customHeight="false" outlineLevel="1" collapsed="false">
      <c r="A101" s="11" t="s">
        <v>1955</v>
      </c>
      <c r="B101" s="15" t="s">
        <v>1864</v>
      </c>
      <c r="C101" s="11" t="s">
        <v>367</v>
      </c>
      <c r="E101" s="49" t="str">
        <f aca="false">IFERROR(IF(OR(NOT(ISNUMBER(E99)),N(E98)=0),"",E99/E98),"")</f>
        <v/>
      </c>
      <c r="F101" s="49" t="str">
        <f aca="false">IFERROR(IF(OR(NOT(ISNUMBER(F99)),N(F98)=0),"",F99/F98),"")</f>
        <v/>
      </c>
      <c r="G101" s="49" t="str">
        <f aca="false">IFERROR(IF(OR(NOT(ISNUMBER(G99)),N(G98)=0),"",G99/G98),"")</f>
        <v/>
      </c>
      <c r="H101" s="49" t="str">
        <f aca="false">IFERROR(IF(OR(NOT(ISNUMBER(H99)),N(H98)=0),"",H99/H98),"")</f>
        <v/>
      </c>
      <c r="I101" s="49" t="str">
        <f aca="false">IFERROR(IF(OR(NOT(ISNUMBER(I99)),N(I98)=0),"",I99/I98),"")</f>
        <v/>
      </c>
      <c r="J101" s="49" t="str">
        <f aca="false">IFERROR(IF(OR(NOT(ISNUMBER(J99)),N(J98)=0),"",J99/J98),"")</f>
        <v/>
      </c>
      <c r="K101" s="49" t="str">
        <f aca="false">IFERROR(IF(OR(NOT(ISNUMBER(K99)),N(K98)=0),"",K99/K98),"")</f>
        <v/>
      </c>
      <c r="L101" s="49" t="str">
        <f aca="false">IFERROR(IF(OR(NOT(ISNUMBER(L99)),N(L98)=0),"",L99/L98),"")</f>
        <v/>
      </c>
      <c r="M101" s="49" t="str">
        <f aca="false">IFERROR(IF(OR(NOT(ISNUMBER(M99)),N(M98)=0),"",M99/M98),"")</f>
        <v/>
      </c>
      <c r="N101" s="49" t="str">
        <f aca="false">IFERROR(IF(OR(NOT(ISNUMBER(N99)),N(N98)=0),"",N99/N98),"")</f>
        <v/>
      </c>
    </row>
    <row r="102" customFormat="false" ht="15" hidden="true" customHeight="false" outlineLevel="1" collapsed="false">
      <c r="A102" s="11" t="s">
        <v>1956</v>
      </c>
      <c r="B102" s="15" t="s">
        <v>1866</v>
      </c>
      <c r="C102" s="11" t="s">
        <v>367</v>
      </c>
      <c r="E102" s="49" t="str">
        <f aca="false">IFERROR(IF(OR(NOT(ISNUMBER(E100)),N(E99)=0),"",E100/E99),"")</f>
        <v/>
      </c>
      <c r="F102" s="49" t="str">
        <f aca="false">IFERROR(IF(OR(NOT(ISNUMBER(F100)),N(F99)=0),"",F100/F99),"")</f>
        <v/>
      </c>
      <c r="G102" s="49" t="str">
        <f aca="false">IFERROR(IF(OR(NOT(ISNUMBER(G100)),N(G99)=0),"",G100/G99),"")</f>
        <v/>
      </c>
      <c r="H102" s="49" t="str">
        <f aca="false">IFERROR(IF(OR(NOT(ISNUMBER(H100)),N(H99)=0),"",H100/H99),"")</f>
        <v/>
      </c>
      <c r="I102" s="49" t="str">
        <f aca="false">IFERROR(IF(OR(NOT(ISNUMBER(I100)),N(I99)=0),"",I100/I99),"")</f>
        <v/>
      </c>
      <c r="J102" s="49" t="str">
        <f aca="false">IFERROR(IF(OR(NOT(ISNUMBER(J100)),N(J99)=0),"",J100/J99),"")</f>
        <v/>
      </c>
      <c r="K102" s="49" t="str">
        <f aca="false">IFERROR(IF(OR(NOT(ISNUMBER(K100)),N(K99)=0),"",K100/K99),"")</f>
        <v/>
      </c>
      <c r="L102" s="49" t="str">
        <f aca="false">IFERROR(IF(OR(NOT(ISNUMBER(L100)),N(L99)=0),"",L100/L99),"")</f>
        <v/>
      </c>
      <c r="M102" s="49" t="str">
        <f aca="false">IFERROR(IF(OR(NOT(ISNUMBER(M100)),N(M99)=0),"",M100/M99),"")</f>
        <v/>
      </c>
      <c r="N102" s="49" t="str">
        <f aca="false">IFERROR(IF(OR(NOT(ISNUMBER(N100)),N(N99)=0),"",N100/N99),"")</f>
        <v/>
      </c>
      <c r="O102" s="99" t="str">
        <f aca="false">IFERROR(IF(OR(NOT(ISNUMBER(O100)),N(O99)=0),"",O100/O99),"")</f>
        <v/>
      </c>
    </row>
    <row r="103" customFormat="false" ht="15" hidden="true" customHeight="false" outlineLevel="1" collapsed="false">
      <c r="A103" s="11" t="s">
        <v>1957</v>
      </c>
      <c r="B103" s="53" t="str">
        <f aca="false">IF(INDEX(Prod_Nombre,20)="","Producto 20",INDEX(Prod_Nombre,20))&amp;" — capacidad instalada"</f>
        <v>Producto 20 — capacidad instalada</v>
      </c>
      <c r="C103" s="11" t="s">
        <v>544</v>
      </c>
      <c r="E103" s="48" t="n">
        <f aca="false">IF(cu_P=1,IF(INDEX(Prod_Nombre,20)="",0,IF(AND(N(INDEX(Cap_Anio,20))&gt;0,1&gt;=N(INDEX(Cap_Anio,20))),N(INDEX(Cap_Amp,20)),N(INDEX(Cap_Ini,20)))),IF(INDEX(Prod_Nombre,20)="",0,IF(AND(N(INDEX(Cap_Anio,20))&gt;0,1&gt;=N(INDEX(Cap_Anio,20))),N(INDEX(Cap_Amp,20)),N(INDEX(Cap_Ini,20)))))</f>
        <v>0</v>
      </c>
      <c r="F103" s="48" t="n">
        <f aca="false">IF(cu_P=1,IF(INDEX(Prod_Nombre,20)="",0,IF(AND(N(INDEX(Cap_Anio,20))&gt;0,2&gt;=N(INDEX(Cap_Anio,20))),N(INDEX(Cap_Amp,20)),N(INDEX(Cap_Ini,20)))),IF(INDEX(Prod_Nombre,20)="",0,IF(AND(N(INDEX(Cap_Anio,20))&gt;0,2&gt;=N(INDEX(Cap_Anio,20))),N(INDEX(Cap_Amp,20)),N(INDEX(Cap_Ini,20)))))</f>
        <v>0</v>
      </c>
      <c r="G103" s="48" t="n">
        <f aca="false">IF(cu_P=1,IF(INDEX(Prod_Nombre,20)="",0,IF(AND(N(INDEX(Cap_Anio,20))&gt;0,3&gt;=N(INDEX(Cap_Anio,20))),N(INDEX(Cap_Amp,20)),N(INDEX(Cap_Ini,20)))),IF(INDEX(Prod_Nombre,20)="",0,IF(AND(N(INDEX(Cap_Anio,20))&gt;0,3&gt;=N(INDEX(Cap_Anio,20))),N(INDEX(Cap_Amp,20)),N(INDEX(Cap_Ini,20)))))</f>
        <v>0</v>
      </c>
      <c r="H103" s="48" t="n">
        <f aca="false">IF(cu_P=1,IF(INDEX(Prod_Nombre,20)="",0,IF(AND(N(INDEX(Cap_Anio,20))&gt;0,4&gt;=N(INDEX(Cap_Anio,20))),N(INDEX(Cap_Amp,20)),N(INDEX(Cap_Ini,20)))),IF(INDEX(Prod_Nombre,20)="",0,IF(AND(N(INDEX(Cap_Anio,20))&gt;0,4&gt;=N(INDEX(Cap_Anio,20))),N(INDEX(Cap_Amp,20)),N(INDEX(Cap_Ini,20)))))</f>
        <v>0</v>
      </c>
      <c r="I103" s="48" t="n">
        <f aca="false">IF(cu_P=1,IF(INDEX(Prod_Nombre,20)="",0,IF(AND(N(INDEX(Cap_Anio,20))&gt;0,5&gt;=N(INDEX(Cap_Anio,20))),N(INDEX(Cap_Amp,20)),N(INDEX(Cap_Ini,20)))),IF(INDEX(Prod_Nombre,20)="",0,IF(AND(N(INDEX(Cap_Anio,20))&gt;0,5&gt;=N(INDEX(Cap_Anio,20))),N(INDEX(Cap_Amp,20)),N(INDEX(Cap_Ini,20)))))</f>
        <v>0</v>
      </c>
      <c r="J103" s="48" t="n">
        <f aca="false">IF(cu_P=1,IF(INDEX(Prod_Nombre,20)="",0,IF(AND(N(INDEX(Cap_Anio,20))&gt;0,6&gt;=N(INDEX(Cap_Anio,20))),N(INDEX(Cap_Amp,20)),N(INDEX(Cap_Ini,20)))),IF(INDEX(Prod_Nombre,20)="",0,IF(AND(N(INDEX(Cap_Anio,20))&gt;0,6&gt;=N(INDEX(Cap_Anio,20))),N(INDEX(Cap_Amp,20)),N(INDEX(Cap_Ini,20)))))</f>
        <v>0</v>
      </c>
      <c r="K103" s="48" t="n">
        <f aca="false">IF(cu_P=1,IF(INDEX(Prod_Nombre,20)="",0,IF(AND(N(INDEX(Cap_Anio,20))&gt;0,7&gt;=N(INDEX(Cap_Anio,20))),N(INDEX(Cap_Amp,20)),N(INDEX(Cap_Ini,20)))),IF(INDEX(Prod_Nombre,20)="",0,IF(AND(N(INDEX(Cap_Anio,20))&gt;0,7&gt;=N(INDEX(Cap_Anio,20))),N(INDEX(Cap_Amp,20)),N(INDEX(Cap_Ini,20)))))</f>
        <v>0</v>
      </c>
      <c r="L103" s="48" t="n">
        <f aca="false">IF(cu_P=1,IF(INDEX(Prod_Nombre,20)="",0,IF(AND(N(INDEX(Cap_Anio,20))&gt;0,8&gt;=N(INDEX(Cap_Anio,20))),N(INDEX(Cap_Amp,20)),N(INDEX(Cap_Ini,20)))),IF(INDEX(Prod_Nombre,20)="",0,IF(AND(N(INDEX(Cap_Anio,20))&gt;0,8&gt;=N(INDEX(Cap_Anio,20))),N(INDEX(Cap_Amp,20)),N(INDEX(Cap_Ini,20)))))</f>
        <v>0</v>
      </c>
      <c r="M103" s="48" t="n">
        <f aca="false">IF(cu_P=1,IF(INDEX(Prod_Nombre,20)="",0,IF(AND(N(INDEX(Cap_Anio,20))&gt;0,9&gt;=N(INDEX(Cap_Anio,20))),N(INDEX(Cap_Amp,20)),N(INDEX(Cap_Ini,20)))),IF(INDEX(Prod_Nombre,20)="",0,IF(AND(N(INDEX(Cap_Anio,20))&gt;0,9&gt;=N(INDEX(Cap_Anio,20))),N(INDEX(Cap_Amp,20)),N(INDEX(Cap_Ini,20)))))</f>
        <v>0</v>
      </c>
      <c r="N103" s="48" t="n">
        <f aca="false">IF(cu_P=1,IF(INDEX(Prod_Nombre,20)="",0,IF(AND(N(INDEX(Cap_Anio,20))&gt;0,10&gt;=N(INDEX(Cap_Anio,20))),N(INDEX(Cap_Amp,20)),N(INDEX(Cap_Ini,20)))),IF(INDEX(Prod_Nombre,20)="",0,IF(AND(N(INDEX(Cap_Anio,20))&gt;0,10&gt;=N(INDEX(Cap_Anio,20))),N(INDEX(Cap_Amp,20)),N(INDEX(Cap_Ini,20)))))</f>
        <v>0</v>
      </c>
    </row>
    <row r="104" customFormat="false" ht="15" hidden="true" customHeight="false" outlineLevel="1" collapsed="false">
      <c r="A104" s="11" t="s">
        <v>1958</v>
      </c>
      <c r="B104" s="15" t="s">
        <v>1860</v>
      </c>
      <c r="C104" s="11" t="s">
        <v>544</v>
      </c>
      <c r="D104" s="48" t="n">
        <f aca="false">IF(cu_P=1,SUMIFS(Calculo!$F$40:$ES$40,Calculo!$F$16:$ES$16,1)/(1-P_Merma),SUMIFS(Calculo!$F$196:$ES$196,Calculo!$F$172:$ES$172,1)/(1-V_Merma))</f>
        <v>0</v>
      </c>
      <c r="E104" s="48" t="n">
        <f aca="false">IF(cu_P=1,SUMIFS(Calculo!$F$40:$ES$40,Calculo!$F$14:$ES$14,1)/(1-P_Merma),SUMIFS(Calculo!$F$196:$ES$196,Calculo!$F$170:$ES$170,1)/(1-V_Merma))</f>
        <v>0</v>
      </c>
      <c r="F104" s="48" t="n">
        <f aca="false">IF(cu_P=1,SUMIFS(Calculo!$F$40:$ES$40,Calculo!$F$14:$ES$14,2)/(1-P_Merma),SUMIFS(Calculo!$F$196:$ES$196,Calculo!$F$170:$ES$170,2)/(1-V_Merma))</f>
        <v>0</v>
      </c>
      <c r="G104" s="48" t="n">
        <f aca="false">IF(cu_P=1,SUMIFS(Calculo!$F$40:$ES$40,Calculo!$F$14:$ES$14,3)/(1-P_Merma),SUMIFS(Calculo!$F$196:$ES$196,Calculo!$F$170:$ES$170,3)/(1-V_Merma))</f>
        <v>0</v>
      </c>
      <c r="H104" s="48" t="n">
        <f aca="false">IF(cu_P=1,SUMIFS(Calculo!$F$40:$ES$40,Calculo!$F$14:$ES$14,4)/(1-P_Merma),SUMIFS(Calculo!$F$196:$ES$196,Calculo!$F$170:$ES$170,4)/(1-V_Merma))</f>
        <v>0</v>
      </c>
      <c r="I104" s="48" t="n">
        <f aca="false">IF(cu_P=1,SUMIFS(Calculo!$F$40:$ES$40,Calculo!$F$14:$ES$14,5)/(1-P_Merma),SUMIFS(Calculo!$F$196:$ES$196,Calculo!$F$170:$ES$170,5)/(1-V_Merma))</f>
        <v>0</v>
      </c>
      <c r="J104" s="48" t="n">
        <f aca="false">IF(cu_P=1,SUMIFS(Calculo!$F$40:$ES$40,Calculo!$F$14:$ES$14,6)/(1-P_Merma),SUMIFS(Calculo!$F$196:$ES$196,Calculo!$F$170:$ES$170,6)/(1-V_Merma))</f>
        <v>0</v>
      </c>
      <c r="K104" s="48" t="n">
        <f aca="false">IF(cu_P=1,SUMIFS(Calculo!$F$40:$ES$40,Calculo!$F$14:$ES$14,7)/(1-P_Merma),SUMIFS(Calculo!$F$196:$ES$196,Calculo!$F$170:$ES$170,7)/(1-V_Merma))</f>
        <v>0</v>
      </c>
      <c r="L104" s="48" t="n">
        <f aca="false">IF(cu_P=1,SUMIFS(Calculo!$F$40:$ES$40,Calculo!$F$14:$ES$14,8)/(1-P_Merma),SUMIFS(Calculo!$F$196:$ES$196,Calculo!$F$170:$ES$170,8)/(1-V_Merma))</f>
        <v>0</v>
      </c>
      <c r="M104" s="48" t="n">
        <f aca="false">IF(cu_P=1,SUMIFS(Calculo!$F$40:$ES$40,Calculo!$F$14:$ES$14,9)/(1-P_Merma),SUMIFS(Calculo!$F$196:$ES$196,Calculo!$F$170:$ES$170,9)/(1-V_Merma))</f>
        <v>0</v>
      </c>
      <c r="N104" s="48" t="n">
        <f aca="false">IF(cu_P=1,SUMIFS(Calculo!$F$40:$ES$40,Calculo!$F$14:$ES$14,10)/(1-P_Merma),SUMIFS(Calculo!$F$196:$ES$196,Calculo!$F$170:$ES$170,10)/(1-V_Merma))</f>
        <v>0</v>
      </c>
      <c r="O104" s="54" t="n">
        <f aca="false">SUM(D104:N104)</f>
        <v>0</v>
      </c>
    </row>
    <row r="105" customFormat="false" ht="15" hidden="true" customHeight="false" outlineLevel="1" collapsed="false">
      <c r="A105" s="11" t="s">
        <v>1959</v>
      </c>
      <c r="B105" s="15" t="s">
        <v>1862</v>
      </c>
      <c r="C105" s="11" t="s">
        <v>544</v>
      </c>
      <c r="D105" s="48" t="n">
        <f aca="false">IF(cu_P=1,SUMIFS(Calculo!$F$40:$ES$40,Calculo!$F$16:$ES$16,1),SUMIFS(Calculo!$F$196:$ES$196,Calculo!$F$172:$ES$172,1))</f>
        <v>0</v>
      </c>
      <c r="E105" s="48" t="n">
        <f aca="false">IF(cu_P=1,SUMIFS(Calculo!$F$40:$ES$40,Calculo!$F$14:$ES$14,1),SUMIFS(Calculo!$F$196:$ES$196,Calculo!$F$170:$ES$170,1))</f>
        <v>0</v>
      </c>
      <c r="F105" s="48" t="n">
        <f aca="false">IF(cu_P=1,SUMIFS(Calculo!$F$40:$ES$40,Calculo!$F$14:$ES$14,2),SUMIFS(Calculo!$F$196:$ES$196,Calculo!$F$170:$ES$170,2))</f>
        <v>0</v>
      </c>
      <c r="G105" s="48" t="n">
        <f aca="false">IF(cu_P=1,SUMIFS(Calculo!$F$40:$ES$40,Calculo!$F$14:$ES$14,3),SUMIFS(Calculo!$F$196:$ES$196,Calculo!$F$170:$ES$170,3))</f>
        <v>0</v>
      </c>
      <c r="H105" s="48" t="n">
        <f aca="false">IF(cu_P=1,SUMIFS(Calculo!$F$40:$ES$40,Calculo!$F$14:$ES$14,4),SUMIFS(Calculo!$F$196:$ES$196,Calculo!$F$170:$ES$170,4))</f>
        <v>0</v>
      </c>
      <c r="I105" s="48" t="n">
        <f aca="false">IF(cu_P=1,SUMIFS(Calculo!$F$40:$ES$40,Calculo!$F$14:$ES$14,5),SUMIFS(Calculo!$F$196:$ES$196,Calculo!$F$170:$ES$170,5))</f>
        <v>0</v>
      </c>
      <c r="J105" s="48" t="n">
        <f aca="false">IF(cu_P=1,SUMIFS(Calculo!$F$40:$ES$40,Calculo!$F$14:$ES$14,6),SUMIFS(Calculo!$F$196:$ES$196,Calculo!$F$170:$ES$170,6))</f>
        <v>0</v>
      </c>
      <c r="K105" s="48" t="n">
        <f aca="false">IF(cu_P=1,SUMIFS(Calculo!$F$40:$ES$40,Calculo!$F$14:$ES$14,7),SUMIFS(Calculo!$F$196:$ES$196,Calculo!$F$170:$ES$170,7))</f>
        <v>0</v>
      </c>
      <c r="L105" s="48" t="n">
        <f aca="false">IF(cu_P=1,SUMIFS(Calculo!$F$40:$ES$40,Calculo!$F$14:$ES$14,8),SUMIFS(Calculo!$F$196:$ES$196,Calculo!$F$170:$ES$170,8))</f>
        <v>0</v>
      </c>
      <c r="M105" s="48" t="n">
        <f aca="false">IF(cu_P=1,SUMIFS(Calculo!$F$40:$ES$40,Calculo!$F$14:$ES$14,9),SUMIFS(Calculo!$F$196:$ES$196,Calculo!$F$170:$ES$170,9))</f>
        <v>0</v>
      </c>
      <c r="N105" s="48" t="n">
        <f aca="false">IF(cu_P=1,SUMIFS(Calculo!$F$40:$ES$40,Calculo!$F$14:$ES$14,10),SUMIFS(Calculo!$F$196:$ES$196,Calculo!$F$170:$ES$170,10))</f>
        <v>0</v>
      </c>
      <c r="O105" s="54" t="n">
        <f aca="false">SUM(D105:N105)</f>
        <v>0</v>
      </c>
    </row>
    <row r="106" customFormat="false" ht="15" hidden="true" customHeight="false" outlineLevel="1" collapsed="false">
      <c r="A106" s="11" t="s">
        <v>1960</v>
      </c>
      <c r="B106" s="15" t="s">
        <v>1864</v>
      </c>
      <c r="C106" s="11" t="s">
        <v>367</v>
      </c>
      <c r="E106" s="49" t="str">
        <f aca="false">IFERROR(IF(OR(NOT(ISNUMBER(E104)),N(E103)=0),"",E104/E103),"")</f>
        <v/>
      </c>
      <c r="F106" s="49" t="str">
        <f aca="false">IFERROR(IF(OR(NOT(ISNUMBER(F104)),N(F103)=0),"",F104/F103),"")</f>
        <v/>
      </c>
      <c r="G106" s="49" t="str">
        <f aca="false">IFERROR(IF(OR(NOT(ISNUMBER(G104)),N(G103)=0),"",G104/G103),"")</f>
        <v/>
      </c>
      <c r="H106" s="49" t="str">
        <f aca="false">IFERROR(IF(OR(NOT(ISNUMBER(H104)),N(H103)=0),"",H104/H103),"")</f>
        <v/>
      </c>
      <c r="I106" s="49" t="str">
        <f aca="false">IFERROR(IF(OR(NOT(ISNUMBER(I104)),N(I103)=0),"",I104/I103),"")</f>
        <v/>
      </c>
      <c r="J106" s="49" t="str">
        <f aca="false">IFERROR(IF(OR(NOT(ISNUMBER(J104)),N(J103)=0),"",J104/J103),"")</f>
        <v/>
      </c>
      <c r="K106" s="49" t="str">
        <f aca="false">IFERROR(IF(OR(NOT(ISNUMBER(K104)),N(K103)=0),"",K104/K103),"")</f>
        <v/>
      </c>
      <c r="L106" s="49" t="str">
        <f aca="false">IFERROR(IF(OR(NOT(ISNUMBER(L104)),N(L103)=0),"",L104/L103),"")</f>
        <v/>
      </c>
      <c r="M106" s="49" t="str">
        <f aca="false">IFERROR(IF(OR(NOT(ISNUMBER(M104)),N(M103)=0),"",M104/M103),"")</f>
        <v/>
      </c>
      <c r="N106" s="49" t="str">
        <f aca="false">IFERROR(IF(OR(NOT(ISNUMBER(N104)),N(N103)=0),"",N104/N103),"")</f>
        <v/>
      </c>
    </row>
    <row r="107" customFormat="false" ht="15" hidden="true" customHeight="false" outlineLevel="1" collapsed="false">
      <c r="A107" s="11" t="s">
        <v>1961</v>
      </c>
      <c r="B107" s="15" t="s">
        <v>1866</v>
      </c>
      <c r="C107" s="11" t="s">
        <v>367</v>
      </c>
      <c r="E107" s="49" t="str">
        <f aca="false">IFERROR(IF(OR(NOT(ISNUMBER(E105)),N(E104)=0),"",E105/E104),"")</f>
        <v/>
      </c>
      <c r="F107" s="49" t="str">
        <f aca="false">IFERROR(IF(OR(NOT(ISNUMBER(F105)),N(F104)=0),"",F105/F104),"")</f>
        <v/>
      </c>
      <c r="G107" s="49" t="str">
        <f aca="false">IFERROR(IF(OR(NOT(ISNUMBER(G105)),N(G104)=0),"",G105/G104),"")</f>
        <v/>
      </c>
      <c r="H107" s="49" t="str">
        <f aca="false">IFERROR(IF(OR(NOT(ISNUMBER(H105)),N(H104)=0),"",H105/H104),"")</f>
        <v/>
      </c>
      <c r="I107" s="49" t="str">
        <f aca="false">IFERROR(IF(OR(NOT(ISNUMBER(I105)),N(I104)=0),"",I105/I104),"")</f>
        <v/>
      </c>
      <c r="J107" s="49" t="str">
        <f aca="false">IFERROR(IF(OR(NOT(ISNUMBER(J105)),N(J104)=0),"",J105/J104),"")</f>
        <v/>
      </c>
      <c r="K107" s="49" t="str">
        <f aca="false">IFERROR(IF(OR(NOT(ISNUMBER(K105)),N(K104)=0),"",K105/K104),"")</f>
        <v/>
      </c>
      <c r="L107" s="49" t="str">
        <f aca="false">IFERROR(IF(OR(NOT(ISNUMBER(L105)),N(L104)=0),"",L105/L104),"")</f>
        <v/>
      </c>
      <c r="M107" s="49" t="str">
        <f aca="false">IFERROR(IF(OR(NOT(ISNUMBER(M105)),N(M104)=0),"",M105/M104),"")</f>
        <v/>
      </c>
      <c r="N107" s="49" t="str">
        <f aca="false">IFERROR(IF(OR(NOT(ISNUMBER(N105)),N(N104)=0),"",N105/N104),"")</f>
        <v/>
      </c>
      <c r="O107" s="99" t="str">
        <f aca="false">IFERROR(IF(OR(NOT(ISNUMBER(O105)),N(O104)=0),"",O105/O104),"")</f>
        <v/>
      </c>
    </row>
    <row r="108" customFormat="false" ht="15" hidden="true" customHeight="false" outlineLevel="1" collapsed="false">
      <c r="A108" s="11" t="s">
        <v>1962</v>
      </c>
      <c r="B108" s="53" t="str">
        <f aca="false">IF(INDEX(Prod_Nombre,21)="","Producto 21",INDEX(Prod_Nombre,21))&amp;" — capacidad instalada"</f>
        <v>Producto 21 — capacidad instalada</v>
      </c>
      <c r="C108" s="11" t="s">
        <v>544</v>
      </c>
      <c r="E108" s="48" t="n">
        <f aca="false">IF(cu_P=1,IF(INDEX(Prod_Nombre,21)="",0,IF(AND(N(INDEX(Cap_Anio,21))&gt;0,1&gt;=N(INDEX(Cap_Anio,21))),N(INDEX(Cap_Amp,21)),N(INDEX(Cap_Ini,21)))),IF(INDEX(Prod_Nombre,21)="",0,IF(AND(N(INDEX(Cap_Anio,21))&gt;0,1&gt;=N(INDEX(Cap_Anio,21))),N(INDEX(Cap_Amp,21)),N(INDEX(Cap_Ini,21)))))</f>
        <v>0</v>
      </c>
      <c r="F108" s="48" t="n">
        <f aca="false">IF(cu_P=1,IF(INDEX(Prod_Nombre,21)="",0,IF(AND(N(INDEX(Cap_Anio,21))&gt;0,2&gt;=N(INDEX(Cap_Anio,21))),N(INDEX(Cap_Amp,21)),N(INDEX(Cap_Ini,21)))),IF(INDEX(Prod_Nombre,21)="",0,IF(AND(N(INDEX(Cap_Anio,21))&gt;0,2&gt;=N(INDEX(Cap_Anio,21))),N(INDEX(Cap_Amp,21)),N(INDEX(Cap_Ini,21)))))</f>
        <v>0</v>
      </c>
      <c r="G108" s="48" t="n">
        <f aca="false">IF(cu_P=1,IF(INDEX(Prod_Nombre,21)="",0,IF(AND(N(INDEX(Cap_Anio,21))&gt;0,3&gt;=N(INDEX(Cap_Anio,21))),N(INDEX(Cap_Amp,21)),N(INDEX(Cap_Ini,21)))),IF(INDEX(Prod_Nombre,21)="",0,IF(AND(N(INDEX(Cap_Anio,21))&gt;0,3&gt;=N(INDEX(Cap_Anio,21))),N(INDEX(Cap_Amp,21)),N(INDEX(Cap_Ini,21)))))</f>
        <v>0</v>
      </c>
      <c r="H108" s="48" t="n">
        <f aca="false">IF(cu_P=1,IF(INDEX(Prod_Nombre,21)="",0,IF(AND(N(INDEX(Cap_Anio,21))&gt;0,4&gt;=N(INDEX(Cap_Anio,21))),N(INDEX(Cap_Amp,21)),N(INDEX(Cap_Ini,21)))),IF(INDEX(Prod_Nombre,21)="",0,IF(AND(N(INDEX(Cap_Anio,21))&gt;0,4&gt;=N(INDEX(Cap_Anio,21))),N(INDEX(Cap_Amp,21)),N(INDEX(Cap_Ini,21)))))</f>
        <v>0</v>
      </c>
      <c r="I108" s="48" t="n">
        <f aca="false">IF(cu_P=1,IF(INDEX(Prod_Nombre,21)="",0,IF(AND(N(INDEX(Cap_Anio,21))&gt;0,5&gt;=N(INDEX(Cap_Anio,21))),N(INDEX(Cap_Amp,21)),N(INDEX(Cap_Ini,21)))),IF(INDEX(Prod_Nombre,21)="",0,IF(AND(N(INDEX(Cap_Anio,21))&gt;0,5&gt;=N(INDEX(Cap_Anio,21))),N(INDEX(Cap_Amp,21)),N(INDEX(Cap_Ini,21)))))</f>
        <v>0</v>
      </c>
      <c r="J108" s="48" t="n">
        <f aca="false">IF(cu_P=1,IF(INDEX(Prod_Nombre,21)="",0,IF(AND(N(INDEX(Cap_Anio,21))&gt;0,6&gt;=N(INDEX(Cap_Anio,21))),N(INDEX(Cap_Amp,21)),N(INDEX(Cap_Ini,21)))),IF(INDEX(Prod_Nombre,21)="",0,IF(AND(N(INDEX(Cap_Anio,21))&gt;0,6&gt;=N(INDEX(Cap_Anio,21))),N(INDEX(Cap_Amp,21)),N(INDEX(Cap_Ini,21)))))</f>
        <v>0</v>
      </c>
      <c r="K108" s="48" t="n">
        <f aca="false">IF(cu_P=1,IF(INDEX(Prod_Nombre,21)="",0,IF(AND(N(INDEX(Cap_Anio,21))&gt;0,7&gt;=N(INDEX(Cap_Anio,21))),N(INDEX(Cap_Amp,21)),N(INDEX(Cap_Ini,21)))),IF(INDEX(Prod_Nombre,21)="",0,IF(AND(N(INDEX(Cap_Anio,21))&gt;0,7&gt;=N(INDEX(Cap_Anio,21))),N(INDEX(Cap_Amp,21)),N(INDEX(Cap_Ini,21)))))</f>
        <v>0</v>
      </c>
      <c r="L108" s="48" t="n">
        <f aca="false">IF(cu_P=1,IF(INDEX(Prod_Nombre,21)="",0,IF(AND(N(INDEX(Cap_Anio,21))&gt;0,8&gt;=N(INDEX(Cap_Anio,21))),N(INDEX(Cap_Amp,21)),N(INDEX(Cap_Ini,21)))),IF(INDEX(Prod_Nombre,21)="",0,IF(AND(N(INDEX(Cap_Anio,21))&gt;0,8&gt;=N(INDEX(Cap_Anio,21))),N(INDEX(Cap_Amp,21)),N(INDEX(Cap_Ini,21)))))</f>
        <v>0</v>
      </c>
      <c r="M108" s="48" t="n">
        <f aca="false">IF(cu_P=1,IF(INDEX(Prod_Nombre,21)="",0,IF(AND(N(INDEX(Cap_Anio,21))&gt;0,9&gt;=N(INDEX(Cap_Anio,21))),N(INDEX(Cap_Amp,21)),N(INDEX(Cap_Ini,21)))),IF(INDEX(Prod_Nombre,21)="",0,IF(AND(N(INDEX(Cap_Anio,21))&gt;0,9&gt;=N(INDEX(Cap_Anio,21))),N(INDEX(Cap_Amp,21)),N(INDEX(Cap_Ini,21)))))</f>
        <v>0</v>
      </c>
      <c r="N108" s="48" t="n">
        <f aca="false">IF(cu_P=1,IF(INDEX(Prod_Nombre,21)="",0,IF(AND(N(INDEX(Cap_Anio,21))&gt;0,10&gt;=N(INDEX(Cap_Anio,21))),N(INDEX(Cap_Amp,21)),N(INDEX(Cap_Ini,21)))),IF(INDEX(Prod_Nombre,21)="",0,IF(AND(N(INDEX(Cap_Anio,21))&gt;0,10&gt;=N(INDEX(Cap_Anio,21))),N(INDEX(Cap_Amp,21)),N(INDEX(Cap_Ini,21)))))</f>
        <v>0</v>
      </c>
    </row>
    <row r="109" customFormat="false" ht="15" hidden="true" customHeight="false" outlineLevel="1" collapsed="false">
      <c r="A109" s="11" t="s">
        <v>1963</v>
      </c>
      <c r="B109" s="15" t="s">
        <v>1860</v>
      </c>
      <c r="C109" s="11" t="s">
        <v>544</v>
      </c>
      <c r="D109" s="48" t="n">
        <f aca="false">IF(cu_P=1,SUMIFS(Calculo!$F$41:$ES$41,Calculo!$F$16:$ES$16,1)/(1-P_Merma),SUMIFS(Calculo!$F$197:$ES$197,Calculo!$F$172:$ES$172,1)/(1-V_Merma))</f>
        <v>0</v>
      </c>
      <c r="E109" s="48" t="n">
        <f aca="false">IF(cu_P=1,SUMIFS(Calculo!$F$41:$ES$41,Calculo!$F$14:$ES$14,1)/(1-P_Merma),SUMIFS(Calculo!$F$197:$ES$197,Calculo!$F$170:$ES$170,1)/(1-V_Merma))</f>
        <v>0</v>
      </c>
      <c r="F109" s="48" t="n">
        <f aca="false">IF(cu_P=1,SUMIFS(Calculo!$F$41:$ES$41,Calculo!$F$14:$ES$14,2)/(1-P_Merma),SUMIFS(Calculo!$F$197:$ES$197,Calculo!$F$170:$ES$170,2)/(1-V_Merma))</f>
        <v>0</v>
      </c>
      <c r="G109" s="48" t="n">
        <f aca="false">IF(cu_P=1,SUMIFS(Calculo!$F$41:$ES$41,Calculo!$F$14:$ES$14,3)/(1-P_Merma),SUMIFS(Calculo!$F$197:$ES$197,Calculo!$F$170:$ES$170,3)/(1-V_Merma))</f>
        <v>0</v>
      </c>
      <c r="H109" s="48" t="n">
        <f aca="false">IF(cu_P=1,SUMIFS(Calculo!$F$41:$ES$41,Calculo!$F$14:$ES$14,4)/(1-P_Merma),SUMIFS(Calculo!$F$197:$ES$197,Calculo!$F$170:$ES$170,4)/(1-V_Merma))</f>
        <v>0</v>
      </c>
      <c r="I109" s="48" t="n">
        <f aca="false">IF(cu_P=1,SUMIFS(Calculo!$F$41:$ES$41,Calculo!$F$14:$ES$14,5)/(1-P_Merma),SUMIFS(Calculo!$F$197:$ES$197,Calculo!$F$170:$ES$170,5)/(1-V_Merma))</f>
        <v>0</v>
      </c>
      <c r="J109" s="48" t="n">
        <f aca="false">IF(cu_P=1,SUMIFS(Calculo!$F$41:$ES$41,Calculo!$F$14:$ES$14,6)/(1-P_Merma),SUMIFS(Calculo!$F$197:$ES$197,Calculo!$F$170:$ES$170,6)/(1-V_Merma))</f>
        <v>0</v>
      </c>
      <c r="K109" s="48" t="n">
        <f aca="false">IF(cu_P=1,SUMIFS(Calculo!$F$41:$ES$41,Calculo!$F$14:$ES$14,7)/(1-P_Merma),SUMIFS(Calculo!$F$197:$ES$197,Calculo!$F$170:$ES$170,7)/(1-V_Merma))</f>
        <v>0</v>
      </c>
      <c r="L109" s="48" t="n">
        <f aca="false">IF(cu_P=1,SUMIFS(Calculo!$F$41:$ES$41,Calculo!$F$14:$ES$14,8)/(1-P_Merma),SUMIFS(Calculo!$F$197:$ES$197,Calculo!$F$170:$ES$170,8)/(1-V_Merma))</f>
        <v>0</v>
      </c>
      <c r="M109" s="48" t="n">
        <f aca="false">IF(cu_P=1,SUMIFS(Calculo!$F$41:$ES$41,Calculo!$F$14:$ES$14,9)/(1-P_Merma),SUMIFS(Calculo!$F$197:$ES$197,Calculo!$F$170:$ES$170,9)/(1-V_Merma))</f>
        <v>0</v>
      </c>
      <c r="N109" s="48" t="n">
        <f aca="false">IF(cu_P=1,SUMIFS(Calculo!$F$41:$ES$41,Calculo!$F$14:$ES$14,10)/(1-P_Merma),SUMIFS(Calculo!$F$197:$ES$197,Calculo!$F$170:$ES$170,10)/(1-V_Merma))</f>
        <v>0</v>
      </c>
      <c r="O109" s="54" t="n">
        <f aca="false">SUM(D109:N109)</f>
        <v>0</v>
      </c>
    </row>
    <row r="110" customFormat="false" ht="15" hidden="true" customHeight="false" outlineLevel="1" collapsed="false">
      <c r="A110" s="11" t="s">
        <v>1964</v>
      </c>
      <c r="B110" s="15" t="s">
        <v>1862</v>
      </c>
      <c r="C110" s="11" t="s">
        <v>544</v>
      </c>
      <c r="D110" s="48" t="n">
        <f aca="false">IF(cu_P=1,SUMIFS(Calculo!$F$41:$ES$41,Calculo!$F$16:$ES$16,1),SUMIFS(Calculo!$F$197:$ES$197,Calculo!$F$172:$ES$172,1))</f>
        <v>0</v>
      </c>
      <c r="E110" s="48" t="n">
        <f aca="false">IF(cu_P=1,SUMIFS(Calculo!$F$41:$ES$41,Calculo!$F$14:$ES$14,1),SUMIFS(Calculo!$F$197:$ES$197,Calculo!$F$170:$ES$170,1))</f>
        <v>0</v>
      </c>
      <c r="F110" s="48" t="n">
        <f aca="false">IF(cu_P=1,SUMIFS(Calculo!$F$41:$ES$41,Calculo!$F$14:$ES$14,2),SUMIFS(Calculo!$F$197:$ES$197,Calculo!$F$170:$ES$170,2))</f>
        <v>0</v>
      </c>
      <c r="G110" s="48" t="n">
        <f aca="false">IF(cu_P=1,SUMIFS(Calculo!$F$41:$ES$41,Calculo!$F$14:$ES$14,3),SUMIFS(Calculo!$F$197:$ES$197,Calculo!$F$170:$ES$170,3))</f>
        <v>0</v>
      </c>
      <c r="H110" s="48" t="n">
        <f aca="false">IF(cu_P=1,SUMIFS(Calculo!$F$41:$ES$41,Calculo!$F$14:$ES$14,4),SUMIFS(Calculo!$F$197:$ES$197,Calculo!$F$170:$ES$170,4))</f>
        <v>0</v>
      </c>
      <c r="I110" s="48" t="n">
        <f aca="false">IF(cu_P=1,SUMIFS(Calculo!$F$41:$ES$41,Calculo!$F$14:$ES$14,5),SUMIFS(Calculo!$F$197:$ES$197,Calculo!$F$170:$ES$170,5))</f>
        <v>0</v>
      </c>
      <c r="J110" s="48" t="n">
        <f aca="false">IF(cu_P=1,SUMIFS(Calculo!$F$41:$ES$41,Calculo!$F$14:$ES$14,6),SUMIFS(Calculo!$F$197:$ES$197,Calculo!$F$170:$ES$170,6))</f>
        <v>0</v>
      </c>
      <c r="K110" s="48" t="n">
        <f aca="false">IF(cu_P=1,SUMIFS(Calculo!$F$41:$ES$41,Calculo!$F$14:$ES$14,7),SUMIFS(Calculo!$F$197:$ES$197,Calculo!$F$170:$ES$170,7))</f>
        <v>0</v>
      </c>
      <c r="L110" s="48" t="n">
        <f aca="false">IF(cu_P=1,SUMIFS(Calculo!$F$41:$ES$41,Calculo!$F$14:$ES$14,8),SUMIFS(Calculo!$F$197:$ES$197,Calculo!$F$170:$ES$170,8))</f>
        <v>0</v>
      </c>
      <c r="M110" s="48" t="n">
        <f aca="false">IF(cu_P=1,SUMIFS(Calculo!$F$41:$ES$41,Calculo!$F$14:$ES$14,9),SUMIFS(Calculo!$F$197:$ES$197,Calculo!$F$170:$ES$170,9))</f>
        <v>0</v>
      </c>
      <c r="N110" s="48" t="n">
        <f aca="false">IF(cu_P=1,SUMIFS(Calculo!$F$41:$ES$41,Calculo!$F$14:$ES$14,10),SUMIFS(Calculo!$F$197:$ES$197,Calculo!$F$170:$ES$170,10))</f>
        <v>0</v>
      </c>
      <c r="O110" s="54" t="n">
        <f aca="false">SUM(D110:N110)</f>
        <v>0</v>
      </c>
    </row>
    <row r="111" customFormat="false" ht="15" hidden="true" customHeight="false" outlineLevel="1" collapsed="false">
      <c r="A111" s="11" t="s">
        <v>1965</v>
      </c>
      <c r="B111" s="15" t="s">
        <v>1864</v>
      </c>
      <c r="C111" s="11" t="s">
        <v>367</v>
      </c>
      <c r="E111" s="49" t="str">
        <f aca="false">IFERROR(IF(OR(NOT(ISNUMBER(E109)),N(E108)=0),"",E109/E108),"")</f>
        <v/>
      </c>
      <c r="F111" s="49" t="str">
        <f aca="false">IFERROR(IF(OR(NOT(ISNUMBER(F109)),N(F108)=0),"",F109/F108),"")</f>
        <v/>
      </c>
      <c r="G111" s="49" t="str">
        <f aca="false">IFERROR(IF(OR(NOT(ISNUMBER(G109)),N(G108)=0),"",G109/G108),"")</f>
        <v/>
      </c>
      <c r="H111" s="49" t="str">
        <f aca="false">IFERROR(IF(OR(NOT(ISNUMBER(H109)),N(H108)=0),"",H109/H108),"")</f>
        <v/>
      </c>
      <c r="I111" s="49" t="str">
        <f aca="false">IFERROR(IF(OR(NOT(ISNUMBER(I109)),N(I108)=0),"",I109/I108),"")</f>
        <v/>
      </c>
      <c r="J111" s="49" t="str">
        <f aca="false">IFERROR(IF(OR(NOT(ISNUMBER(J109)),N(J108)=0),"",J109/J108),"")</f>
        <v/>
      </c>
      <c r="K111" s="49" t="str">
        <f aca="false">IFERROR(IF(OR(NOT(ISNUMBER(K109)),N(K108)=0),"",K109/K108),"")</f>
        <v/>
      </c>
      <c r="L111" s="49" t="str">
        <f aca="false">IFERROR(IF(OR(NOT(ISNUMBER(L109)),N(L108)=0),"",L109/L108),"")</f>
        <v/>
      </c>
      <c r="M111" s="49" t="str">
        <f aca="false">IFERROR(IF(OR(NOT(ISNUMBER(M109)),N(M108)=0),"",M109/M108),"")</f>
        <v/>
      </c>
      <c r="N111" s="49" t="str">
        <f aca="false">IFERROR(IF(OR(NOT(ISNUMBER(N109)),N(N108)=0),"",N109/N108),"")</f>
        <v/>
      </c>
    </row>
    <row r="112" customFormat="false" ht="15" hidden="true" customHeight="false" outlineLevel="1" collapsed="false">
      <c r="A112" s="11" t="s">
        <v>1966</v>
      </c>
      <c r="B112" s="15" t="s">
        <v>1866</v>
      </c>
      <c r="C112" s="11" t="s">
        <v>367</v>
      </c>
      <c r="E112" s="49" t="str">
        <f aca="false">IFERROR(IF(OR(NOT(ISNUMBER(E110)),N(E109)=0),"",E110/E109),"")</f>
        <v/>
      </c>
      <c r="F112" s="49" t="str">
        <f aca="false">IFERROR(IF(OR(NOT(ISNUMBER(F110)),N(F109)=0),"",F110/F109),"")</f>
        <v/>
      </c>
      <c r="G112" s="49" t="str">
        <f aca="false">IFERROR(IF(OR(NOT(ISNUMBER(G110)),N(G109)=0),"",G110/G109),"")</f>
        <v/>
      </c>
      <c r="H112" s="49" t="str">
        <f aca="false">IFERROR(IF(OR(NOT(ISNUMBER(H110)),N(H109)=0),"",H110/H109),"")</f>
        <v/>
      </c>
      <c r="I112" s="49" t="str">
        <f aca="false">IFERROR(IF(OR(NOT(ISNUMBER(I110)),N(I109)=0),"",I110/I109),"")</f>
        <v/>
      </c>
      <c r="J112" s="49" t="str">
        <f aca="false">IFERROR(IF(OR(NOT(ISNUMBER(J110)),N(J109)=0),"",J110/J109),"")</f>
        <v/>
      </c>
      <c r="K112" s="49" t="str">
        <f aca="false">IFERROR(IF(OR(NOT(ISNUMBER(K110)),N(K109)=0),"",K110/K109),"")</f>
        <v/>
      </c>
      <c r="L112" s="49" t="str">
        <f aca="false">IFERROR(IF(OR(NOT(ISNUMBER(L110)),N(L109)=0),"",L110/L109),"")</f>
        <v/>
      </c>
      <c r="M112" s="49" t="str">
        <f aca="false">IFERROR(IF(OR(NOT(ISNUMBER(M110)),N(M109)=0),"",M110/M109),"")</f>
        <v/>
      </c>
      <c r="N112" s="49" t="str">
        <f aca="false">IFERROR(IF(OR(NOT(ISNUMBER(N110)),N(N109)=0),"",N110/N109),"")</f>
        <v/>
      </c>
      <c r="O112" s="99" t="str">
        <f aca="false">IFERROR(IF(OR(NOT(ISNUMBER(O110)),N(O109)=0),"",O110/O109),"")</f>
        <v/>
      </c>
    </row>
    <row r="113" customFormat="false" ht="15" hidden="true" customHeight="false" outlineLevel="1" collapsed="false">
      <c r="A113" s="11" t="s">
        <v>1967</v>
      </c>
      <c r="B113" s="53" t="str">
        <f aca="false">IF(INDEX(Prod_Nombre,22)="","Producto 22",INDEX(Prod_Nombre,22))&amp;" — capacidad instalada"</f>
        <v>Producto 22 — capacidad instalada</v>
      </c>
      <c r="C113" s="11" t="s">
        <v>544</v>
      </c>
      <c r="E113" s="48" t="n">
        <f aca="false">IF(cu_P=1,IF(INDEX(Prod_Nombre,22)="",0,IF(AND(N(INDEX(Cap_Anio,22))&gt;0,1&gt;=N(INDEX(Cap_Anio,22))),N(INDEX(Cap_Amp,22)),N(INDEX(Cap_Ini,22)))),IF(INDEX(Prod_Nombre,22)="",0,IF(AND(N(INDEX(Cap_Anio,22))&gt;0,1&gt;=N(INDEX(Cap_Anio,22))),N(INDEX(Cap_Amp,22)),N(INDEX(Cap_Ini,22)))))</f>
        <v>0</v>
      </c>
      <c r="F113" s="48" t="n">
        <f aca="false">IF(cu_P=1,IF(INDEX(Prod_Nombre,22)="",0,IF(AND(N(INDEX(Cap_Anio,22))&gt;0,2&gt;=N(INDEX(Cap_Anio,22))),N(INDEX(Cap_Amp,22)),N(INDEX(Cap_Ini,22)))),IF(INDEX(Prod_Nombre,22)="",0,IF(AND(N(INDEX(Cap_Anio,22))&gt;0,2&gt;=N(INDEX(Cap_Anio,22))),N(INDEX(Cap_Amp,22)),N(INDEX(Cap_Ini,22)))))</f>
        <v>0</v>
      </c>
      <c r="G113" s="48" t="n">
        <f aca="false">IF(cu_P=1,IF(INDEX(Prod_Nombre,22)="",0,IF(AND(N(INDEX(Cap_Anio,22))&gt;0,3&gt;=N(INDEX(Cap_Anio,22))),N(INDEX(Cap_Amp,22)),N(INDEX(Cap_Ini,22)))),IF(INDEX(Prod_Nombre,22)="",0,IF(AND(N(INDEX(Cap_Anio,22))&gt;0,3&gt;=N(INDEX(Cap_Anio,22))),N(INDEX(Cap_Amp,22)),N(INDEX(Cap_Ini,22)))))</f>
        <v>0</v>
      </c>
      <c r="H113" s="48" t="n">
        <f aca="false">IF(cu_P=1,IF(INDEX(Prod_Nombre,22)="",0,IF(AND(N(INDEX(Cap_Anio,22))&gt;0,4&gt;=N(INDEX(Cap_Anio,22))),N(INDEX(Cap_Amp,22)),N(INDEX(Cap_Ini,22)))),IF(INDEX(Prod_Nombre,22)="",0,IF(AND(N(INDEX(Cap_Anio,22))&gt;0,4&gt;=N(INDEX(Cap_Anio,22))),N(INDEX(Cap_Amp,22)),N(INDEX(Cap_Ini,22)))))</f>
        <v>0</v>
      </c>
      <c r="I113" s="48" t="n">
        <f aca="false">IF(cu_P=1,IF(INDEX(Prod_Nombre,22)="",0,IF(AND(N(INDEX(Cap_Anio,22))&gt;0,5&gt;=N(INDEX(Cap_Anio,22))),N(INDEX(Cap_Amp,22)),N(INDEX(Cap_Ini,22)))),IF(INDEX(Prod_Nombre,22)="",0,IF(AND(N(INDEX(Cap_Anio,22))&gt;0,5&gt;=N(INDEX(Cap_Anio,22))),N(INDEX(Cap_Amp,22)),N(INDEX(Cap_Ini,22)))))</f>
        <v>0</v>
      </c>
      <c r="J113" s="48" t="n">
        <f aca="false">IF(cu_P=1,IF(INDEX(Prod_Nombre,22)="",0,IF(AND(N(INDEX(Cap_Anio,22))&gt;0,6&gt;=N(INDEX(Cap_Anio,22))),N(INDEX(Cap_Amp,22)),N(INDEX(Cap_Ini,22)))),IF(INDEX(Prod_Nombre,22)="",0,IF(AND(N(INDEX(Cap_Anio,22))&gt;0,6&gt;=N(INDEX(Cap_Anio,22))),N(INDEX(Cap_Amp,22)),N(INDEX(Cap_Ini,22)))))</f>
        <v>0</v>
      </c>
      <c r="K113" s="48" t="n">
        <f aca="false">IF(cu_P=1,IF(INDEX(Prod_Nombre,22)="",0,IF(AND(N(INDEX(Cap_Anio,22))&gt;0,7&gt;=N(INDEX(Cap_Anio,22))),N(INDEX(Cap_Amp,22)),N(INDEX(Cap_Ini,22)))),IF(INDEX(Prod_Nombre,22)="",0,IF(AND(N(INDEX(Cap_Anio,22))&gt;0,7&gt;=N(INDEX(Cap_Anio,22))),N(INDEX(Cap_Amp,22)),N(INDEX(Cap_Ini,22)))))</f>
        <v>0</v>
      </c>
      <c r="L113" s="48" t="n">
        <f aca="false">IF(cu_P=1,IF(INDEX(Prod_Nombre,22)="",0,IF(AND(N(INDEX(Cap_Anio,22))&gt;0,8&gt;=N(INDEX(Cap_Anio,22))),N(INDEX(Cap_Amp,22)),N(INDEX(Cap_Ini,22)))),IF(INDEX(Prod_Nombre,22)="",0,IF(AND(N(INDEX(Cap_Anio,22))&gt;0,8&gt;=N(INDEX(Cap_Anio,22))),N(INDEX(Cap_Amp,22)),N(INDEX(Cap_Ini,22)))))</f>
        <v>0</v>
      </c>
      <c r="M113" s="48" t="n">
        <f aca="false">IF(cu_P=1,IF(INDEX(Prod_Nombre,22)="",0,IF(AND(N(INDEX(Cap_Anio,22))&gt;0,9&gt;=N(INDEX(Cap_Anio,22))),N(INDEX(Cap_Amp,22)),N(INDEX(Cap_Ini,22)))),IF(INDEX(Prod_Nombre,22)="",0,IF(AND(N(INDEX(Cap_Anio,22))&gt;0,9&gt;=N(INDEX(Cap_Anio,22))),N(INDEX(Cap_Amp,22)),N(INDEX(Cap_Ini,22)))))</f>
        <v>0</v>
      </c>
      <c r="N113" s="48" t="n">
        <f aca="false">IF(cu_P=1,IF(INDEX(Prod_Nombre,22)="",0,IF(AND(N(INDEX(Cap_Anio,22))&gt;0,10&gt;=N(INDEX(Cap_Anio,22))),N(INDEX(Cap_Amp,22)),N(INDEX(Cap_Ini,22)))),IF(INDEX(Prod_Nombre,22)="",0,IF(AND(N(INDEX(Cap_Anio,22))&gt;0,10&gt;=N(INDEX(Cap_Anio,22))),N(INDEX(Cap_Amp,22)),N(INDEX(Cap_Ini,22)))))</f>
        <v>0</v>
      </c>
    </row>
    <row r="114" customFormat="false" ht="15" hidden="true" customHeight="false" outlineLevel="1" collapsed="false">
      <c r="A114" s="11" t="s">
        <v>1968</v>
      </c>
      <c r="B114" s="15" t="s">
        <v>1860</v>
      </c>
      <c r="C114" s="11" t="s">
        <v>544</v>
      </c>
      <c r="D114" s="48" t="n">
        <f aca="false">IF(cu_P=1,SUMIFS(Calculo!$F$42:$ES$42,Calculo!$F$16:$ES$16,1)/(1-P_Merma),SUMIFS(Calculo!$F$198:$ES$198,Calculo!$F$172:$ES$172,1)/(1-V_Merma))</f>
        <v>0</v>
      </c>
      <c r="E114" s="48" t="n">
        <f aca="false">IF(cu_P=1,SUMIFS(Calculo!$F$42:$ES$42,Calculo!$F$14:$ES$14,1)/(1-P_Merma),SUMIFS(Calculo!$F$198:$ES$198,Calculo!$F$170:$ES$170,1)/(1-V_Merma))</f>
        <v>0</v>
      </c>
      <c r="F114" s="48" t="n">
        <f aca="false">IF(cu_P=1,SUMIFS(Calculo!$F$42:$ES$42,Calculo!$F$14:$ES$14,2)/(1-P_Merma),SUMIFS(Calculo!$F$198:$ES$198,Calculo!$F$170:$ES$170,2)/(1-V_Merma))</f>
        <v>0</v>
      </c>
      <c r="G114" s="48" t="n">
        <f aca="false">IF(cu_P=1,SUMIFS(Calculo!$F$42:$ES$42,Calculo!$F$14:$ES$14,3)/(1-P_Merma),SUMIFS(Calculo!$F$198:$ES$198,Calculo!$F$170:$ES$170,3)/(1-V_Merma))</f>
        <v>0</v>
      </c>
      <c r="H114" s="48" t="n">
        <f aca="false">IF(cu_P=1,SUMIFS(Calculo!$F$42:$ES$42,Calculo!$F$14:$ES$14,4)/(1-P_Merma),SUMIFS(Calculo!$F$198:$ES$198,Calculo!$F$170:$ES$170,4)/(1-V_Merma))</f>
        <v>0</v>
      </c>
      <c r="I114" s="48" t="n">
        <f aca="false">IF(cu_P=1,SUMIFS(Calculo!$F$42:$ES$42,Calculo!$F$14:$ES$14,5)/(1-P_Merma),SUMIFS(Calculo!$F$198:$ES$198,Calculo!$F$170:$ES$170,5)/(1-V_Merma))</f>
        <v>0</v>
      </c>
      <c r="J114" s="48" t="n">
        <f aca="false">IF(cu_P=1,SUMIFS(Calculo!$F$42:$ES$42,Calculo!$F$14:$ES$14,6)/(1-P_Merma),SUMIFS(Calculo!$F$198:$ES$198,Calculo!$F$170:$ES$170,6)/(1-V_Merma))</f>
        <v>0</v>
      </c>
      <c r="K114" s="48" t="n">
        <f aca="false">IF(cu_P=1,SUMIFS(Calculo!$F$42:$ES$42,Calculo!$F$14:$ES$14,7)/(1-P_Merma),SUMIFS(Calculo!$F$198:$ES$198,Calculo!$F$170:$ES$170,7)/(1-V_Merma))</f>
        <v>0</v>
      </c>
      <c r="L114" s="48" t="n">
        <f aca="false">IF(cu_P=1,SUMIFS(Calculo!$F$42:$ES$42,Calculo!$F$14:$ES$14,8)/(1-P_Merma),SUMIFS(Calculo!$F$198:$ES$198,Calculo!$F$170:$ES$170,8)/(1-V_Merma))</f>
        <v>0</v>
      </c>
      <c r="M114" s="48" t="n">
        <f aca="false">IF(cu_P=1,SUMIFS(Calculo!$F$42:$ES$42,Calculo!$F$14:$ES$14,9)/(1-P_Merma),SUMIFS(Calculo!$F$198:$ES$198,Calculo!$F$170:$ES$170,9)/(1-V_Merma))</f>
        <v>0</v>
      </c>
      <c r="N114" s="48" t="n">
        <f aca="false">IF(cu_P=1,SUMIFS(Calculo!$F$42:$ES$42,Calculo!$F$14:$ES$14,10)/(1-P_Merma),SUMIFS(Calculo!$F$198:$ES$198,Calculo!$F$170:$ES$170,10)/(1-V_Merma))</f>
        <v>0</v>
      </c>
      <c r="O114" s="54" t="n">
        <f aca="false">SUM(D114:N114)</f>
        <v>0</v>
      </c>
    </row>
    <row r="115" customFormat="false" ht="15" hidden="true" customHeight="false" outlineLevel="1" collapsed="false">
      <c r="A115" s="11" t="s">
        <v>1969</v>
      </c>
      <c r="B115" s="15" t="s">
        <v>1862</v>
      </c>
      <c r="C115" s="11" t="s">
        <v>544</v>
      </c>
      <c r="D115" s="48" t="n">
        <f aca="false">IF(cu_P=1,SUMIFS(Calculo!$F$42:$ES$42,Calculo!$F$16:$ES$16,1),SUMIFS(Calculo!$F$198:$ES$198,Calculo!$F$172:$ES$172,1))</f>
        <v>0</v>
      </c>
      <c r="E115" s="48" t="n">
        <f aca="false">IF(cu_P=1,SUMIFS(Calculo!$F$42:$ES$42,Calculo!$F$14:$ES$14,1),SUMIFS(Calculo!$F$198:$ES$198,Calculo!$F$170:$ES$170,1))</f>
        <v>0</v>
      </c>
      <c r="F115" s="48" t="n">
        <f aca="false">IF(cu_P=1,SUMIFS(Calculo!$F$42:$ES$42,Calculo!$F$14:$ES$14,2),SUMIFS(Calculo!$F$198:$ES$198,Calculo!$F$170:$ES$170,2))</f>
        <v>0</v>
      </c>
      <c r="G115" s="48" t="n">
        <f aca="false">IF(cu_P=1,SUMIFS(Calculo!$F$42:$ES$42,Calculo!$F$14:$ES$14,3),SUMIFS(Calculo!$F$198:$ES$198,Calculo!$F$170:$ES$170,3))</f>
        <v>0</v>
      </c>
      <c r="H115" s="48" t="n">
        <f aca="false">IF(cu_P=1,SUMIFS(Calculo!$F$42:$ES$42,Calculo!$F$14:$ES$14,4),SUMIFS(Calculo!$F$198:$ES$198,Calculo!$F$170:$ES$170,4))</f>
        <v>0</v>
      </c>
      <c r="I115" s="48" t="n">
        <f aca="false">IF(cu_P=1,SUMIFS(Calculo!$F$42:$ES$42,Calculo!$F$14:$ES$14,5),SUMIFS(Calculo!$F$198:$ES$198,Calculo!$F$170:$ES$170,5))</f>
        <v>0</v>
      </c>
      <c r="J115" s="48" t="n">
        <f aca="false">IF(cu_P=1,SUMIFS(Calculo!$F$42:$ES$42,Calculo!$F$14:$ES$14,6),SUMIFS(Calculo!$F$198:$ES$198,Calculo!$F$170:$ES$170,6))</f>
        <v>0</v>
      </c>
      <c r="K115" s="48" t="n">
        <f aca="false">IF(cu_P=1,SUMIFS(Calculo!$F$42:$ES$42,Calculo!$F$14:$ES$14,7),SUMIFS(Calculo!$F$198:$ES$198,Calculo!$F$170:$ES$170,7))</f>
        <v>0</v>
      </c>
      <c r="L115" s="48" t="n">
        <f aca="false">IF(cu_P=1,SUMIFS(Calculo!$F$42:$ES$42,Calculo!$F$14:$ES$14,8),SUMIFS(Calculo!$F$198:$ES$198,Calculo!$F$170:$ES$170,8))</f>
        <v>0</v>
      </c>
      <c r="M115" s="48" t="n">
        <f aca="false">IF(cu_P=1,SUMIFS(Calculo!$F$42:$ES$42,Calculo!$F$14:$ES$14,9),SUMIFS(Calculo!$F$198:$ES$198,Calculo!$F$170:$ES$170,9))</f>
        <v>0</v>
      </c>
      <c r="N115" s="48" t="n">
        <f aca="false">IF(cu_P=1,SUMIFS(Calculo!$F$42:$ES$42,Calculo!$F$14:$ES$14,10),SUMIFS(Calculo!$F$198:$ES$198,Calculo!$F$170:$ES$170,10))</f>
        <v>0</v>
      </c>
      <c r="O115" s="54" t="n">
        <f aca="false">SUM(D115:N115)</f>
        <v>0</v>
      </c>
    </row>
    <row r="116" customFormat="false" ht="15" hidden="true" customHeight="false" outlineLevel="1" collapsed="false">
      <c r="A116" s="11" t="s">
        <v>1970</v>
      </c>
      <c r="B116" s="15" t="s">
        <v>1864</v>
      </c>
      <c r="C116" s="11" t="s">
        <v>367</v>
      </c>
      <c r="E116" s="49" t="str">
        <f aca="false">IFERROR(IF(OR(NOT(ISNUMBER(E114)),N(E113)=0),"",E114/E113),"")</f>
        <v/>
      </c>
      <c r="F116" s="49" t="str">
        <f aca="false">IFERROR(IF(OR(NOT(ISNUMBER(F114)),N(F113)=0),"",F114/F113),"")</f>
        <v/>
      </c>
      <c r="G116" s="49" t="str">
        <f aca="false">IFERROR(IF(OR(NOT(ISNUMBER(G114)),N(G113)=0),"",G114/G113),"")</f>
        <v/>
      </c>
      <c r="H116" s="49" t="str">
        <f aca="false">IFERROR(IF(OR(NOT(ISNUMBER(H114)),N(H113)=0),"",H114/H113),"")</f>
        <v/>
      </c>
      <c r="I116" s="49" t="str">
        <f aca="false">IFERROR(IF(OR(NOT(ISNUMBER(I114)),N(I113)=0),"",I114/I113),"")</f>
        <v/>
      </c>
      <c r="J116" s="49" t="str">
        <f aca="false">IFERROR(IF(OR(NOT(ISNUMBER(J114)),N(J113)=0),"",J114/J113),"")</f>
        <v/>
      </c>
      <c r="K116" s="49" t="str">
        <f aca="false">IFERROR(IF(OR(NOT(ISNUMBER(K114)),N(K113)=0),"",K114/K113),"")</f>
        <v/>
      </c>
      <c r="L116" s="49" t="str">
        <f aca="false">IFERROR(IF(OR(NOT(ISNUMBER(L114)),N(L113)=0),"",L114/L113),"")</f>
        <v/>
      </c>
      <c r="M116" s="49" t="str">
        <f aca="false">IFERROR(IF(OR(NOT(ISNUMBER(M114)),N(M113)=0),"",M114/M113),"")</f>
        <v/>
      </c>
      <c r="N116" s="49" t="str">
        <f aca="false">IFERROR(IF(OR(NOT(ISNUMBER(N114)),N(N113)=0),"",N114/N113),"")</f>
        <v/>
      </c>
    </row>
    <row r="117" customFormat="false" ht="15" hidden="true" customHeight="false" outlineLevel="1" collapsed="false">
      <c r="A117" s="11" t="s">
        <v>1971</v>
      </c>
      <c r="B117" s="15" t="s">
        <v>1866</v>
      </c>
      <c r="C117" s="11" t="s">
        <v>367</v>
      </c>
      <c r="E117" s="49" t="str">
        <f aca="false">IFERROR(IF(OR(NOT(ISNUMBER(E115)),N(E114)=0),"",E115/E114),"")</f>
        <v/>
      </c>
      <c r="F117" s="49" t="str">
        <f aca="false">IFERROR(IF(OR(NOT(ISNUMBER(F115)),N(F114)=0),"",F115/F114),"")</f>
        <v/>
      </c>
      <c r="G117" s="49" t="str">
        <f aca="false">IFERROR(IF(OR(NOT(ISNUMBER(G115)),N(G114)=0),"",G115/G114),"")</f>
        <v/>
      </c>
      <c r="H117" s="49" t="str">
        <f aca="false">IFERROR(IF(OR(NOT(ISNUMBER(H115)),N(H114)=0),"",H115/H114),"")</f>
        <v/>
      </c>
      <c r="I117" s="49" t="str">
        <f aca="false">IFERROR(IF(OR(NOT(ISNUMBER(I115)),N(I114)=0),"",I115/I114),"")</f>
        <v/>
      </c>
      <c r="J117" s="49" t="str">
        <f aca="false">IFERROR(IF(OR(NOT(ISNUMBER(J115)),N(J114)=0),"",J115/J114),"")</f>
        <v/>
      </c>
      <c r="K117" s="49" t="str">
        <f aca="false">IFERROR(IF(OR(NOT(ISNUMBER(K115)),N(K114)=0),"",K115/K114),"")</f>
        <v/>
      </c>
      <c r="L117" s="49" t="str">
        <f aca="false">IFERROR(IF(OR(NOT(ISNUMBER(L115)),N(L114)=0),"",L115/L114),"")</f>
        <v/>
      </c>
      <c r="M117" s="49" t="str">
        <f aca="false">IFERROR(IF(OR(NOT(ISNUMBER(M115)),N(M114)=0),"",M115/M114),"")</f>
        <v/>
      </c>
      <c r="N117" s="49" t="str">
        <f aca="false">IFERROR(IF(OR(NOT(ISNUMBER(N115)),N(N114)=0),"",N115/N114),"")</f>
        <v/>
      </c>
      <c r="O117" s="99" t="str">
        <f aca="false">IFERROR(IF(OR(NOT(ISNUMBER(O115)),N(O114)=0),"",O115/O114),"")</f>
        <v/>
      </c>
    </row>
    <row r="118" customFormat="false" ht="15" hidden="true" customHeight="false" outlineLevel="1" collapsed="false">
      <c r="A118" s="11" t="s">
        <v>1972</v>
      </c>
      <c r="B118" s="53" t="str">
        <f aca="false">IF(INDEX(Prod_Nombre,23)="","Producto 23",INDEX(Prod_Nombre,23))&amp;" — capacidad instalada"</f>
        <v>Producto 23 — capacidad instalada</v>
      </c>
      <c r="C118" s="11" t="s">
        <v>544</v>
      </c>
      <c r="E118" s="48" t="n">
        <f aca="false">IF(cu_P=1,IF(INDEX(Prod_Nombre,23)="",0,IF(AND(N(INDEX(Cap_Anio,23))&gt;0,1&gt;=N(INDEX(Cap_Anio,23))),N(INDEX(Cap_Amp,23)),N(INDEX(Cap_Ini,23)))),IF(INDEX(Prod_Nombre,23)="",0,IF(AND(N(INDEX(Cap_Anio,23))&gt;0,1&gt;=N(INDEX(Cap_Anio,23))),N(INDEX(Cap_Amp,23)),N(INDEX(Cap_Ini,23)))))</f>
        <v>0</v>
      </c>
      <c r="F118" s="48" t="n">
        <f aca="false">IF(cu_P=1,IF(INDEX(Prod_Nombre,23)="",0,IF(AND(N(INDEX(Cap_Anio,23))&gt;0,2&gt;=N(INDEX(Cap_Anio,23))),N(INDEX(Cap_Amp,23)),N(INDEX(Cap_Ini,23)))),IF(INDEX(Prod_Nombre,23)="",0,IF(AND(N(INDEX(Cap_Anio,23))&gt;0,2&gt;=N(INDEX(Cap_Anio,23))),N(INDEX(Cap_Amp,23)),N(INDEX(Cap_Ini,23)))))</f>
        <v>0</v>
      </c>
      <c r="G118" s="48" t="n">
        <f aca="false">IF(cu_P=1,IF(INDEX(Prod_Nombre,23)="",0,IF(AND(N(INDEX(Cap_Anio,23))&gt;0,3&gt;=N(INDEX(Cap_Anio,23))),N(INDEX(Cap_Amp,23)),N(INDEX(Cap_Ini,23)))),IF(INDEX(Prod_Nombre,23)="",0,IF(AND(N(INDEX(Cap_Anio,23))&gt;0,3&gt;=N(INDEX(Cap_Anio,23))),N(INDEX(Cap_Amp,23)),N(INDEX(Cap_Ini,23)))))</f>
        <v>0</v>
      </c>
      <c r="H118" s="48" t="n">
        <f aca="false">IF(cu_P=1,IF(INDEX(Prod_Nombre,23)="",0,IF(AND(N(INDEX(Cap_Anio,23))&gt;0,4&gt;=N(INDEX(Cap_Anio,23))),N(INDEX(Cap_Amp,23)),N(INDEX(Cap_Ini,23)))),IF(INDEX(Prod_Nombre,23)="",0,IF(AND(N(INDEX(Cap_Anio,23))&gt;0,4&gt;=N(INDEX(Cap_Anio,23))),N(INDEX(Cap_Amp,23)),N(INDEX(Cap_Ini,23)))))</f>
        <v>0</v>
      </c>
      <c r="I118" s="48" t="n">
        <f aca="false">IF(cu_P=1,IF(INDEX(Prod_Nombre,23)="",0,IF(AND(N(INDEX(Cap_Anio,23))&gt;0,5&gt;=N(INDEX(Cap_Anio,23))),N(INDEX(Cap_Amp,23)),N(INDEX(Cap_Ini,23)))),IF(INDEX(Prod_Nombre,23)="",0,IF(AND(N(INDEX(Cap_Anio,23))&gt;0,5&gt;=N(INDEX(Cap_Anio,23))),N(INDEX(Cap_Amp,23)),N(INDEX(Cap_Ini,23)))))</f>
        <v>0</v>
      </c>
      <c r="J118" s="48" t="n">
        <f aca="false">IF(cu_P=1,IF(INDEX(Prod_Nombre,23)="",0,IF(AND(N(INDEX(Cap_Anio,23))&gt;0,6&gt;=N(INDEX(Cap_Anio,23))),N(INDEX(Cap_Amp,23)),N(INDEX(Cap_Ini,23)))),IF(INDEX(Prod_Nombre,23)="",0,IF(AND(N(INDEX(Cap_Anio,23))&gt;0,6&gt;=N(INDEX(Cap_Anio,23))),N(INDEX(Cap_Amp,23)),N(INDEX(Cap_Ini,23)))))</f>
        <v>0</v>
      </c>
      <c r="K118" s="48" t="n">
        <f aca="false">IF(cu_P=1,IF(INDEX(Prod_Nombre,23)="",0,IF(AND(N(INDEX(Cap_Anio,23))&gt;0,7&gt;=N(INDEX(Cap_Anio,23))),N(INDEX(Cap_Amp,23)),N(INDEX(Cap_Ini,23)))),IF(INDEX(Prod_Nombre,23)="",0,IF(AND(N(INDEX(Cap_Anio,23))&gt;0,7&gt;=N(INDEX(Cap_Anio,23))),N(INDEX(Cap_Amp,23)),N(INDEX(Cap_Ini,23)))))</f>
        <v>0</v>
      </c>
      <c r="L118" s="48" t="n">
        <f aca="false">IF(cu_P=1,IF(INDEX(Prod_Nombre,23)="",0,IF(AND(N(INDEX(Cap_Anio,23))&gt;0,8&gt;=N(INDEX(Cap_Anio,23))),N(INDEX(Cap_Amp,23)),N(INDEX(Cap_Ini,23)))),IF(INDEX(Prod_Nombre,23)="",0,IF(AND(N(INDEX(Cap_Anio,23))&gt;0,8&gt;=N(INDEX(Cap_Anio,23))),N(INDEX(Cap_Amp,23)),N(INDEX(Cap_Ini,23)))))</f>
        <v>0</v>
      </c>
      <c r="M118" s="48" t="n">
        <f aca="false">IF(cu_P=1,IF(INDEX(Prod_Nombre,23)="",0,IF(AND(N(INDEX(Cap_Anio,23))&gt;0,9&gt;=N(INDEX(Cap_Anio,23))),N(INDEX(Cap_Amp,23)),N(INDEX(Cap_Ini,23)))),IF(INDEX(Prod_Nombre,23)="",0,IF(AND(N(INDEX(Cap_Anio,23))&gt;0,9&gt;=N(INDEX(Cap_Anio,23))),N(INDEX(Cap_Amp,23)),N(INDEX(Cap_Ini,23)))))</f>
        <v>0</v>
      </c>
      <c r="N118" s="48" t="n">
        <f aca="false">IF(cu_P=1,IF(INDEX(Prod_Nombre,23)="",0,IF(AND(N(INDEX(Cap_Anio,23))&gt;0,10&gt;=N(INDEX(Cap_Anio,23))),N(INDEX(Cap_Amp,23)),N(INDEX(Cap_Ini,23)))),IF(INDEX(Prod_Nombre,23)="",0,IF(AND(N(INDEX(Cap_Anio,23))&gt;0,10&gt;=N(INDEX(Cap_Anio,23))),N(INDEX(Cap_Amp,23)),N(INDEX(Cap_Ini,23)))))</f>
        <v>0</v>
      </c>
    </row>
    <row r="119" customFormat="false" ht="15" hidden="true" customHeight="false" outlineLevel="1" collapsed="false">
      <c r="A119" s="11" t="s">
        <v>1973</v>
      </c>
      <c r="B119" s="15" t="s">
        <v>1860</v>
      </c>
      <c r="C119" s="11" t="s">
        <v>544</v>
      </c>
      <c r="D119" s="48" t="n">
        <f aca="false">IF(cu_P=1,SUMIFS(Calculo!$F$43:$ES$43,Calculo!$F$16:$ES$16,1)/(1-P_Merma),SUMIFS(Calculo!$F$199:$ES$199,Calculo!$F$172:$ES$172,1)/(1-V_Merma))</f>
        <v>0</v>
      </c>
      <c r="E119" s="48" t="n">
        <f aca="false">IF(cu_P=1,SUMIFS(Calculo!$F$43:$ES$43,Calculo!$F$14:$ES$14,1)/(1-P_Merma),SUMIFS(Calculo!$F$199:$ES$199,Calculo!$F$170:$ES$170,1)/(1-V_Merma))</f>
        <v>0</v>
      </c>
      <c r="F119" s="48" t="n">
        <f aca="false">IF(cu_P=1,SUMIFS(Calculo!$F$43:$ES$43,Calculo!$F$14:$ES$14,2)/(1-P_Merma),SUMIFS(Calculo!$F$199:$ES$199,Calculo!$F$170:$ES$170,2)/(1-V_Merma))</f>
        <v>0</v>
      </c>
      <c r="G119" s="48" t="n">
        <f aca="false">IF(cu_P=1,SUMIFS(Calculo!$F$43:$ES$43,Calculo!$F$14:$ES$14,3)/(1-P_Merma),SUMIFS(Calculo!$F$199:$ES$199,Calculo!$F$170:$ES$170,3)/(1-V_Merma))</f>
        <v>0</v>
      </c>
      <c r="H119" s="48" t="n">
        <f aca="false">IF(cu_P=1,SUMIFS(Calculo!$F$43:$ES$43,Calculo!$F$14:$ES$14,4)/(1-P_Merma),SUMIFS(Calculo!$F$199:$ES$199,Calculo!$F$170:$ES$170,4)/(1-V_Merma))</f>
        <v>0</v>
      </c>
      <c r="I119" s="48" t="n">
        <f aca="false">IF(cu_P=1,SUMIFS(Calculo!$F$43:$ES$43,Calculo!$F$14:$ES$14,5)/(1-P_Merma),SUMIFS(Calculo!$F$199:$ES$199,Calculo!$F$170:$ES$170,5)/(1-V_Merma))</f>
        <v>0</v>
      </c>
      <c r="J119" s="48" t="n">
        <f aca="false">IF(cu_P=1,SUMIFS(Calculo!$F$43:$ES$43,Calculo!$F$14:$ES$14,6)/(1-P_Merma),SUMIFS(Calculo!$F$199:$ES$199,Calculo!$F$170:$ES$170,6)/(1-V_Merma))</f>
        <v>0</v>
      </c>
      <c r="K119" s="48" t="n">
        <f aca="false">IF(cu_P=1,SUMIFS(Calculo!$F$43:$ES$43,Calculo!$F$14:$ES$14,7)/(1-P_Merma),SUMIFS(Calculo!$F$199:$ES$199,Calculo!$F$170:$ES$170,7)/(1-V_Merma))</f>
        <v>0</v>
      </c>
      <c r="L119" s="48" t="n">
        <f aca="false">IF(cu_P=1,SUMIFS(Calculo!$F$43:$ES$43,Calculo!$F$14:$ES$14,8)/(1-P_Merma),SUMIFS(Calculo!$F$199:$ES$199,Calculo!$F$170:$ES$170,8)/(1-V_Merma))</f>
        <v>0</v>
      </c>
      <c r="M119" s="48" t="n">
        <f aca="false">IF(cu_P=1,SUMIFS(Calculo!$F$43:$ES$43,Calculo!$F$14:$ES$14,9)/(1-P_Merma),SUMIFS(Calculo!$F$199:$ES$199,Calculo!$F$170:$ES$170,9)/(1-V_Merma))</f>
        <v>0</v>
      </c>
      <c r="N119" s="48" t="n">
        <f aca="false">IF(cu_P=1,SUMIFS(Calculo!$F$43:$ES$43,Calculo!$F$14:$ES$14,10)/(1-P_Merma),SUMIFS(Calculo!$F$199:$ES$199,Calculo!$F$170:$ES$170,10)/(1-V_Merma))</f>
        <v>0</v>
      </c>
      <c r="O119" s="54" t="n">
        <f aca="false">SUM(D119:N119)</f>
        <v>0</v>
      </c>
    </row>
    <row r="120" customFormat="false" ht="15" hidden="true" customHeight="false" outlineLevel="1" collapsed="false">
      <c r="A120" s="11" t="s">
        <v>1974</v>
      </c>
      <c r="B120" s="15" t="s">
        <v>1862</v>
      </c>
      <c r="C120" s="11" t="s">
        <v>544</v>
      </c>
      <c r="D120" s="48" t="n">
        <f aca="false">IF(cu_P=1,SUMIFS(Calculo!$F$43:$ES$43,Calculo!$F$16:$ES$16,1),SUMIFS(Calculo!$F$199:$ES$199,Calculo!$F$172:$ES$172,1))</f>
        <v>0</v>
      </c>
      <c r="E120" s="48" t="n">
        <f aca="false">IF(cu_P=1,SUMIFS(Calculo!$F$43:$ES$43,Calculo!$F$14:$ES$14,1),SUMIFS(Calculo!$F$199:$ES$199,Calculo!$F$170:$ES$170,1))</f>
        <v>0</v>
      </c>
      <c r="F120" s="48" t="n">
        <f aca="false">IF(cu_P=1,SUMIFS(Calculo!$F$43:$ES$43,Calculo!$F$14:$ES$14,2),SUMIFS(Calculo!$F$199:$ES$199,Calculo!$F$170:$ES$170,2))</f>
        <v>0</v>
      </c>
      <c r="G120" s="48" t="n">
        <f aca="false">IF(cu_P=1,SUMIFS(Calculo!$F$43:$ES$43,Calculo!$F$14:$ES$14,3),SUMIFS(Calculo!$F$199:$ES$199,Calculo!$F$170:$ES$170,3))</f>
        <v>0</v>
      </c>
      <c r="H120" s="48" t="n">
        <f aca="false">IF(cu_P=1,SUMIFS(Calculo!$F$43:$ES$43,Calculo!$F$14:$ES$14,4),SUMIFS(Calculo!$F$199:$ES$199,Calculo!$F$170:$ES$170,4))</f>
        <v>0</v>
      </c>
      <c r="I120" s="48" t="n">
        <f aca="false">IF(cu_P=1,SUMIFS(Calculo!$F$43:$ES$43,Calculo!$F$14:$ES$14,5),SUMIFS(Calculo!$F$199:$ES$199,Calculo!$F$170:$ES$170,5))</f>
        <v>0</v>
      </c>
      <c r="J120" s="48" t="n">
        <f aca="false">IF(cu_P=1,SUMIFS(Calculo!$F$43:$ES$43,Calculo!$F$14:$ES$14,6),SUMIFS(Calculo!$F$199:$ES$199,Calculo!$F$170:$ES$170,6))</f>
        <v>0</v>
      </c>
      <c r="K120" s="48" t="n">
        <f aca="false">IF(cu_P=1,SUMIFS(Calculo!$F$43:$ES$43,Calculo!$F$14:$ES$14,7),SUMIFS(Calculo!$F$199:$ES$199,Calculo!$F$170:$ES$170,7))</f>
        <v>0</v>
      </c>
      <c r="L120" s="48" t="n">
        <f aca="false">IF(cu_P=1,SUMIFS(Calculo!$F$43:$ES$43,Calculo!$F$14:$ES$14,8),SUMIFS(Calculo!$F$199:$ES$199,Calculo!$F$170:$ES$170,8))</f>
        <v>0</v>
      </c>
      <c r="M120" s="48" t="n">
        <f aca="false">IF(cu_P=1,SUMIFS(Calculo!$F$43:$ES$43,Calculo!$F$14:$ES$14,9),SUMIFS(Calculo!$F$199:$ES$199,Calculo!$F$170:$ES$170,9))</f>
        <v>0</v>
      </c>
      <c r="N120" s="48" t="n">
        <f aca="false">IF(cu_P=1,SUMIFS(Calculo!$F$43:$ES$43,Calculo!$F$14:$ES$14,10),SUMIFS(Calculo!$F$199:$ES$199,Calculo!$F$170:$ES$170,10))</f>
        <v>0</v>
      </c>
      <c r="O120" s="54" t="n">
        <f aca="false">SUM(D120:N120)</f>
        <v>0</v>
      </c>
    </row>
    <row r="121" customFormat="false" ht="15" hidden="true" customHeight="false" outlineLevel="1" collapsed="false">
      <c r="A121" s="11" t="s">
        <v>1975</v>
      </c>
      <c r="B121" s="15" t="s">
        <v>1864</v>
      </c>
      <c r="C121" s="11" t="s">
        <v>367</v>
      </c>
      <c r="E121" s="49" t="str">
        <f aca="false">IFERROR(IF(OR(NOT(ISNUMBER(E119)),N(E118)=0),"",E119/E118),"")</f>
        <v/>
      </c>
      <c r="F121" s="49" t="str">
        <f aca="false">IFERROR(IF(OR(NOT(ISNUMBER(F119)),N(F118)=0),"",F119/F118),"")</f>
        <v/>
      </c>
      <c r="G121" s="49" t="str">
        <f aca="false">IFERROR(IF(OR(NOT(ISNUMBER(G119)),N(G118)=0),"",G119/G118),"")</f>
        <v/>
      </c>
      <c r="H121" s="49" t="str">
        <f aca="false">IFERROR(IF(OR(NOT(ISNUMBER(H119)),N(H118)=0),"",H119/H118),"")</f>
        <v/>
      </c>
      <c r="I121" s="49" t="str">
        <f aca="false">IFERROR(IF(OR(NOT(ISNUMBER(I119)),N(I118)=0),"",I119/I118),"")</f>
        <v/>
      </c>
      <c r="J121" s="49" t="str">
        <f aca="false">IFERROR(IF(OR(NOT(ISNUMBER(J119)),N(J118)=0),"",J119/J118),"")</f>
        <v/>
      </c>
      <c r="K121" s="49" t="str">
        <f aca="false">IFERROR(IF(OR(NOT(ISNUMBER(K119)),N(K118)=0),"",K119/K118),"")</f>
        <v/>
      </c>
      <c r="L121" s="49" t="str">
        <f aca="false">IFERROR(IF(OR(NOT(ISNUMBER(L119)),N(L118)=0),"",L119/L118),"")</f>
        <v/>
      </c>
      <c r="M121" s="49" t="str">
        <f aca="false">IFERROR(IF(OR(NOT(ISNUMBER(M119)),N(M118)=0),"",M119/M118),"")</f>
        <v/>
      </c>
      <c r="N121" s="49" t="str">
        <f aca="false">IFERROR(IF(OR(NOT(ISNUMBER(N119)),N(N118)=0),"",N119/N118),"")</f>
        <v/>
      </c>
    </row>
    <row r="122" customFormat="false" ht="15" hidden="true" customHeight="false" outlineLevel="1" collapsed="false">
      <c r="A122" s="11" t="s">
        <v>1976</v>
      </c>
      <c r="B122" s="15" t="s">
        <v>1866</v>
      </c>
      <c r="C122" s="11" t="s">
        <v>367</v>
      </c>
      <c r="E122" s="49" t="str">
        <f aca="false">IFERROR(IF(OR(NOT(ISNUMBER(E120)),N(E119)=0),"",E120/E119),"")</f>
        <v/>
      </c>
      <c r="F122" s="49" t="str">
        <f aca="false">IFERROR(IF(OR(NOT(ISNUMBER(F120)),N(F119)=0),"",F120/F119),"")</f>
        <v/>
      </c>
      <c r="G122" s="49" t="str">
        <f aca="false">IFERROR(IF(OR(NOT(ISNUMBER(G120)),N(G119)=0),"",G120/G119),"")</f>
        <v/>
      </c>
      <c r="H122" s="49" t="str">
        <f aca="false">IFERROR(IF(OR(NOT(ISNUMBER(H120)),N(H119)=0),"",H120/H119),"")</f>
        <v/>
      </c>
      <c r="I122" s="49" t="str">
        <f aca="false">IFERROR(IF(OR(NOT(ISNUMBER(I120)),N(I119)=0),"",I120/I119),"")</f>
        <v/>
      </c>
      <c r="J122" s="49" t="str">
        <f aca="false">IFERROR(IF(OR(NOT(ISNUMBER(J120)),N(J119)=0),"",J120/J119),"")</f>
        <v/>
      </c>
      <c r="K122" s="49" t="str">
        <f aca="false">IFERROR(IF(OR(NOT(ISNUMBER(K120)),N(K119)=0),"",K120/K119),"")</f>
        <v/>
      </c>
      <c r="L122" s="49" t="str">
        <f aca="false">IFERROR(IF(OR(NOT(ISNUMBER(L120)),N(L119)=0),"",L120/L119),"")</f>
        <v/>
      </c>
      <c r="M122" s="49" t="str">
        <f aca="false">IFERROR(IF(OR(NOT(ISNUMBER(M120)),N(M119)=0),"",M120/M119),"")</f>
        <v/>
      </c>
      <c r="N122" s="49" t="str">
        <f aca="false">IFERROR(IF(OR(NOT(ISNUMBER(N120)),N(N119)=0),"",N120/N119),"")</f>
        <v/>
      </c>
      <c r="O122" s="99" t="str">
        <f aca="false">IFERROR(IF(OR(NOT(ISNUMBER(O120)),N(O119)=0),"",O120/O119),"")</f>
        <v/>
      </c>
    </row>
    <row r="123" customFormat="false" ht="15" hidden="true" customHeight="false" outlineLevel="1" collapsed="false">
      <c r="A123" s="11" t="s">
        <v>1977</v>
      </c>
      <c r="B123" s="53" t="str">
        <f aca="false">IF(INDEX(Prod_Nombre,24)="","Producto 24",INDEX(Prod_Nombre,24))&amp;" — capacidad instalada"</f>
        <v>Producto 24 — capacidad instalada</v>
      </c>
      <c r="C123" s="11" t="s">
        <v>544</v>
      </c>
      <c r="E123" s="48" t="n">
        <f aca="false">IF(cu_P=1,IF(INDEX(Prod_Nombre,24)="",0,IF(AND(N(INDEX(Cap_Anio,24))&gt;0,1&gt;=N(INDEX(Cap_Anio,24))),N(INDEX(Cap_Amp,24)),N(INDEX(Cap_Ini,24)))),IF(INDEX(Prod_Nombre,24)="",0,IF(AND(N(INDEX(Cap_Anio,24))&gt;0,1&gt;=N(INDEX(Cap_Anio,24))),N(INDEX(Cap_Amp,24)),N(INDEX(Cap_Ini,24)))))</f>
        <v>0</v>
      </c>
      <c r="F123" s="48" t="n">
        <f aca="false">IF(cu_P=1,IF(INDEX(Prod_Nombre,24)="",0,IF(AND(N(INDEX(Cap_Anio,24))&gt;0,2&gt;=N(INDEX(Cap_Anio,24))),N(INDEX(Cap_Amp,24)),N(INDEX(Cap_Ini,24)))),IF(INDEX(Prod_Nombre,24)="",0,IF(AND(N(INDEX(Cap_Anio,24))&gt;0,2&gt;=N(INDEX(Cap_Anio,24))),N(INDEX(Cap_Amp,24)),N(INDEX(Cap_Ini,24)))))</f>
        <v>0</v>
      </c>
      <c r="G123" s="48" t="n">
        <f aca="false">IF(cu_P=1,IF(INDEX(Prod_Nombre,24)="",0,IF(AND(N(INDEX(Cap_Anio,24))&gt;0,3&gt;=N(INDEX(Cap_Anio,24))),N(INDEX(Cap_Amp,24)),N(INDEX(Cap_Ini,24)))),IF(INDEX(Prod_Nombre,24)="",0,IF(AND(N(INDEX(Cap_Anio,24))&gt;0,3&gt;=N(INDEX(Cap_Anio,24))),N(INDEX(Cap_Amp,24)),N(INDEX(Cap_Ini,24)))))</f>
        <v>0</v>
      </c>
      <c r="H123" s="48" t="n">
        <f aca="false">IF(cu_P=1,IF(INDEX(Prod_Nombre,24)="",0,IF(AND(N(INDEX(Cap_Anio,24))&gt;0,4&gt;=N(INDEX(Cap_Anio,24))),N(INDEX(Cap_Amp,24)),N(INDEX(Cap_Ini,24)))),IF(INDEX(Prod_Nombre,24)="",0,IF(AND(N(INDEX(Cap_Anio,24))&gt;0,4&gt;=N(INDEX(Cap_Anio,24))),N(INDEX(Cap_Amp,24)),N(INDEX(Cap_Ini,24)))))</f>
        <v>0</v>
      </c>
      <c r="I123" s="48" t="n">
        <f aca="false">IF(cu_P=1,IF(INDEX(Prod_Nombre,24)="",0,IF(AND(N(INDEX(Cap_Anio,24))&gt;0,5&gt;=N(INDEX(Cap_Anio,24))),N(INDEX(Cap_Amp,24)),N(INDEX(Cap_Ini,24)))),IF(INDEX(Prod_Nombre,24)="",0,IF(AND(N(INDEX(Cap_Anio,24))&gt;0,5&gt;=N(INDEX(Cap_Anio,24))),N(INDEX(Cap_Amp,24)),N(INDEX(Cap_Ini,24)))))</f>
        <v>0</v>
      </c>
      <c r="J123" s="48" t="n">
        <f aca="false">IF(cu_P=1,IF(INDEX(Prod_Nombre,24)="",0,IF(AND(N(INDEX(Cap_Anio,24))&gt;0,6&gt;=N(INDEX(Cap_Anio,24))),N(INDEX(Cap_Amp,24)),N(INDEX(Cap_Ini,24)))),IF(INDEX(Prod_Nombre,24)="",0,IF(AND(N(INDEX(Cap_Anio,24))&gt;0,6&gt;=N(INDEX(Cap_Anio,24))),N(INDEX(Cap_Amp,24)),N(INDEX(Cap_Ini,24)))))</f>
        <v>0</v>
      </c>
      <c r="K123" s="48" t="n">
        <f aca="false">IF(cu_P=1,IF(INDEX(Prod_Nombre,24)="",0,IF(AND(N(INDEX(Cap_Anio,24))&gt;0,7&gt;=N(INDEX(Cap_Anio,24))),N(INDEX(Cap_Amp,24)),N(INDEX(Cap_Ini,24)))),IF(INDEX(Prod_Nombre,24)="",0,IF(AND(N(INDEX(Cap_Anio,24))&gt;0,7&gt;=N(INDEX(Cap_Anio,24))),N(INDEX(Cap_Amp,24)),N(INDEX(Cap_Ini,24)))))</f>
        <v>0</v>
      </c>
      <c r="L123" s="48" t="n">
        <f aca="false">IF(cu_P=1,IF(INDEX(Prod_Nombre,24)="",0,IF(AND(N(INDEX(Cap_Anio,24))&gt;0,8&gt;=N(INDEX(Cap_Anio,24))),N(INDEX(Cap_Amp,24)),N(INDEX(Cap_Ini,24)))),IF(INDEX(Prod_Nombre,24)="",0,IF(AND(N(INDEX(Cap_Anio,24))&gt;0,8&gt;=N(INDEX(Cap_Anio,24))),N(INDEX(Cap_Amp,24)),N(INDEX(Cap_Ini,24)))))</f>
        <v>0</v>
      </c>
      <c r="M123" s="48" t="n">
        <f aca="false">IF(cu_P=1,IF(INDEX(Prod_Nombre,24)="",0,IF(AND(N(INDEX(Cap_Anio,24))&gt;0,9&gt;=N(INDEX(Cap_Anio,24))),N(INDEX(Cap_Amp,24)),N(INDEX(Cap_Ini,24)))),IF(INDEX(Prod_Nombre,24)="",0,IF(AND(N(INDEX(Cap_Anio,24))&gt;0,9&gt;=N(INDEX(Cap_Anio,24))),N(INDEX(Cap_Amp,24)),N(INDEX(Cap_Ini,24)))))</f>
        <v>0</v>
      </c>
      <c r="N123" s="48" t="n">
        <f aca="false">IF(cu_P=1,IF(INDEX(Prod_Nombre,24)="",0,IF(AND(N(INDEX(Cap_Anio,24))&gt;0,10&gt;=N(INDEX(Cap_Anio,24))),N(INDEX(Cap_Amp,24)),N(INDEX(Cap_Ini,24)))),IF(INDEX(Prod_Nombre,24)="",0,IF(AND(N(INDEX(Cap_Anio,24))&gt;0,10&gt;=N(INDEX(Cap_Anio,24))),N(INDEX(Cap_Amp,24)),N(INDEX(Cap_Ini,24)))))</f>
        <v>0</v>
      </c>
    </row>
    <row r="124" customFormat="false" ht="15" hidden="true" customHeight="false" outlineLevel="1" collapsed="false">
      <c r="A124" s="11" t="s">
        <v>1978</v>
      </c>
      <c r="B124" s="15" t="s">
        <v>1860</v>
      </c>
      <c r="C124" s="11" t="s">
        <v>544</v>
      </c>
      <c r="D124" s="48" t="n">
        <f aca="false">IF(cu_P=1,SUMIFS(Calculo!$F$44:$ES$44,Calculo!$F$16:$ES$16,1)/(1-P_Merma),SUMIFS(Calculo!$F$200:$ES$200,Calculo!$F$172:$ES$172,1)/(1-V_Merma))</f>
        <v>0</v>
      </c>
      <c r="E124" s="48" t="n">
        <f aca="false">IF(cu_P=1,SUMIFS(Calculo!$F$44:$ES$44,Calculo!$F$14:$ES$14,1)/(1-P_Merma),SUMIFS(Calculo!$F$200:$ES$200,Calculo!$F$170:$ES$170,1)/(1-V_Merma))</f>
        <v>0</v>
      </c>
      <c r="F124" s="48" t="n">
        <f aca="false">IF(cu_P=1,SUMIFS(Calculo!$F$44:$ES$44,Calculo!$F$14:$ES$14,2)/(1-P_Merma),SUMIFS(Calculo!$F$200:$ES$200,Calculo!$F$170:$ES$170,2)/(1-V_Merma))</f>
        <v>0</v>
      </c>
      <c r="G124" s="48" t="n">
        <f aca="false">IF(cu_P=1,SUMIFS(Calculo!$F$44:$ES$44,Calculo!$F$14:$ES$14,3)/(1-P_Merma),SUMIFS(Calculo!$F$200:$ES$200,Calculo!$F$170:$ES$170,3)/(1-V_Merma))</f>
        <v>0</v>
      </c>
      <c r="H124" s="48" t="n">
        <f aca="false">IF(cu_P=1,SUMIFS(Calculo!$F$44:$ES$44,Calculo!$F$14:$ES$14,4)/(1-P_Merma),SUMIFS(Calculo!$F$200:$ES$200,Calculo!$F$170:$ES$170,4)/(1-V_Merma))</f>
        <v>0</v>
      </c>
      <c r="I124" s="48" t="n">
        <f aca="false">IF(cu_P=1,SUMIFS(Calculo!$F$44:$ES$44,Calculo!$F$14:$ES$14,5)/(1-P_Merma),SUMIFS(Calculo!$F$200:$ES$200,Calculo!$F$170:$ES$170,5)/(1-V_Merma))</f>
        <v>0</v>
      </c>
      <c r="J124" s="48" t="n">
        <f aca="false">IF(cu_P=1,SUMIFS(Calculo!$F$44:$ES$44,Calculo!$F$14:$ES$14,6)/(1-P_Merma),SUMIFS(Calculo!$F$200:$ES$200,Calculo!$F$170:$ES$170,6)/(1-V_Merma))</f>
        <v>0</v>
      </c>
      <c r="K124" s="48" t="n">
        <f aca="false">IF(cu_P=1,SUMIFS(Calculo!$F$44:$ES$44,Calculo!$F$14:$ES$14,7)/(1-P_Merma),SUMIFS(Calculo!$F$200:$ES$200,Calculo!$F$170:$ES$170,7)/(1-V_Merma))</f>
        <v>0</v>
      </c>
      <c r="L124" s="48" t="n">
        <f aca="false">IF(cu_P=1,SUMIFS(Calculo!$F$44:$ES$44,Calculo!$F$14:$ES$14,8)/(1-P_Merma),SUMIFS(Calculo!$F$200:$ES$200,Calculo!$F$170:$ES$170,8)/(1-V_Merma))</f>
        <v>0</v>
      </c>
      <c r="M124" s="48" t="n">
        <f aca="false">IF(cu_P=1,SUMIFS(Calculo!$F$44:$ES$44,Calculo!$F$14:$ES$14,9)/(1-P_Merma),SUMIFS(Calculo!$F$200:$ES$200,Calculo!$F$170:$ES$170,9)/(1-V_Merma))</f>
        <v>0</v>
      </c>
      <c r="N124" s="48" t="n">
        <f aca="false">IF(cu_P=1,SUMIFS(Calculo!$F$44:$ES$44,Calculo!$F$14:$ES$14,10)/(1-P_Merma),SUMIFS(Calculo!$F$200:$ES$200,Calculo!$F$170:$ES$170,10)/(1-V_Merma))</f>
        <v>0</v>
      </c>
      <c r="O124" s="54" t="n">
        <f aca="false">SUM(D124:N124)</f>
        <v>0</v>
      </c>
    </row>
    <row r="125" customFormat="false" ht="15" hidden="true" customHeight="false" outlineLevel="1" collapsed="false">
      <c r="A125" s="11" t="s">
        <v>1979</v>
      </c>
      <c r="B125" s="15" t="s">
        <v>1862</v>
      </c>
      <c r="C125" s="11" t="s">
        <v>544</v>
      </c>
      <c r="D125" s="48" t="n">
        <f aca="false">IF(cu_P=1,SUMIFS(Calculo!$F$44:$ES$44,Calculo!$F$16:$ES$16,1),SUMIFS(Calculo!$F$200:$ES$200,Calculo!$F$172:$ES$172,1))</f>
        <v>0</v>
      </c>
      <c r="E125" s="48" t="n">
        <f aca="false">IF(cu_P=1,SUMIFS(Calculo!$F$44:$ES$44,Calculo!$F$14:$ES$14,1),SUMIFS(Calculo!$F$200:$ES$200,Calculo!$F$170:$ES$170,1))</f>
        <v>0</v>
      </c>
      <c r="F125" s="48" t="n">
        <f aca="false">IF(cu_P=1,SUMIFS(Calculo!$F$44:$ES$44,Calculo!$F$14:$ES$14,2),SUMIFS(Calculo!$F$200:$ES$200,Calculo!$F$170:$ES$170,2))</f>
        <v>0</v>
      </c>
      <c r="G125" s="48" t="n">
        <f aca="false">IF(cu_P=1,SUMIFS(Calculo!$F$44:$ES$44,Calculo!$F$14:$ES$14,3),SUMIFS(Calculo!$F$200:$ES$200,Calculo!$F$170:$ES$170,3))</f>
        <v>0</v>
      </c>
      <c r="H125" s="48" t="n">
        <f aca="false">IF(cu_P=1,SUMIFS(Calculo!$F$44:$ES$44,Calculo!$F$14:$ES$14,4),SUMIFS(Calculo!$F$200:$ES$200,Calculo!$F$170:$ES$170,4))</f>
        <v>0</v>
      </c>
      <c r="I125" s="48" t="n">
        <f aca="false">IF(cu_P=1,SUMIFS(Calculo!$F$44:$ES$44,Calculo!$F$14:$ES$14,5),SUMIFS(Calculo!$F$200:$ES$200,Calculo!$F$170:$ES$170,5))</f>
        <v>0</v>
      </c>
      <c r="J125" s="48" t="n">
        <f aca="false">IF(cu_P=1,SUMIFS(Calculo!$F$44:$ES$44,Calculo!$F$14:$ES$14,6),SUMIFS(Calculo!$F$200:$ES$200,Calculo!$F$170:$ES$170,6))</f>
        <v>0</v>
      </c>
      <c r="K125" s="48" t="n">
        <f aca="false">IF(cu_P=1,SUMIFS(Calculo!$F$44:$ES$44,Calculo!$F$14:$ES$14,7),SUMIFS(Calculo!$F$200:$ES$200,Calculo!$F$170:$ES$170,7))</f>
        <v>0</v>
      </c>
      <c r="L125" s="48" t="n">
        <f aca="false">IF(cu_P=1,SUMIFS(Calculo!$F$44:$ES$44,Calculo!$F$14:$ES$14,8),SUMIFS(Calculo!$F$200:$ES$200,Calculo!$F$170:$ES$170,8))</f>
        <v>0</v>
      </c>
      <c r="M125" s="48" t="n">
        <f aca="false">IF(cu_P=1,SUMIFS(Calculo!$F$44:$ES$44,Calculo!$F$14:$ES$14,9),SUMIFS(Calculo!$F$200:$ES$200,Calculo!$F$170:$ES$170,9))</f>
        <v>0</v>
      </c>
      <c r="N125" s="48" t="n">
        <f aca="false">IF(cu_P=1,SUMIFS(Calculo!$F$44:$ES$44,Calculo!$F$14:$ES$14,10),SUMIFS(Calculo!$F$200:$ES$200,Calculo!$F$170:$ES$170,10))</f>
        <v>0</v>
      </c>
      <c r="O125" s="54" t="n">
        <f aca="false">SUM(D125:N125)</f>
        <v>0</v>
      </c>
    </row>
    <row r="126" customFormat="false" ht="15" hidden="true" customHeight="false" outlineLevel="1" collapsed="false">
      <c r="A126" s="11" t="s">
        <v>1980</v>
      </c>
      <c r="B126" s="15" t="s">
        <v>1864</v>
      </c>
      <c r="C126" s="11" t="s">
        <v>367</v>
      </c>
      <c r="E126" s="49" t="str">
        <f aca="false">IFERROR(IF(OR(NOT(ISNUMBER(E124)),N(E123)=0),"",E124/E123),"")</f>
        <v/>
      </c>
      <c r="F126" s="49" t="str">
        <f aca="false">IFERROR(IF(OR(NOT(ISNUMBER(F124)),N(F123)=0),"",F124/F123),"")</f>
        <v/>
      </c>
      <c r="G126" s="49" t="str">
        <f aca="false">IFERROR(IF(OR(NOT(ISNUMBER(G124)),N(G123)=0),"",G124/G123),"")</f>
        <v/>
      </c>
      <c r="H126" s="49" t="str">
        <f aca="false">IFERROR(IF(OR(NOT(ISNUMBER(H124)),N(H123)=0),"",H124/H123),"")</f>
        <v/>
      </c>
      <c r="I126" s="49" t="str">
        <f aca="false">IFERROR(IF(OR(NOT(ISNUMBER(I124)),N(I123)=0),"",I124/I123),"")</f>
        <v/>
      </c>
      <c r="J126" s="49" t="str">
        <f aca="false">IFERROR(IF(OR(NOT(ISNUMBER(J124)),N(J123)=0),"",J124/J123),"")</f>
        <v/>
      </c>
      <c r="K126" s="49" t="str">
        <f aca="false">IFERROR(IF(OR(NOT(ISNUMBER(K124)),N(K123)=0),"",K124/K123),"")</f>
        <v/>
      </c>
      <c r="L126" s="49" t="str">
        <f aca="false">IFERROR(IF(OR(NOT(ISNUMBER(L124)),N(L123)=0),"",L124/L123),"")</f>
        <v/>
      </c>
      <c r="M126" s="49" t="str">
        <f aca="false">IFERROR(IF(OR(NOT(ISNUMBER(M124)),N(M123)=0),"",M124/M123),"")</f>
        <v/>
      </c>
      <c r="N126" s="49" t="str">
        <f aca="false">IFERROR(IF(OR(NOT(ISNUMBER(N124)),N(N123)=0),"",N124/N123),"")</f>
        <v/>
      </c>
    </row>
    <row r="127" customFormat="false" ht="15" hidden="true" customHeight="false" outlineLevel="1" collapsed="false">
      <c r="A127" s="11" t="s">
        <v>1981</v>
      </c>
      <c r="B127" s="15" t="s">
        <v>1866</v>
      </c>
      <c r="C127" s="11" t="s">
        <v>367</v>
      </c>
      <c r="E127" s="49" t="str">
        <f aca="false">IFERROR(IF(OR(NOT(ISNUMBER(E125)),N(E124)=0),"",E125/E124),"")</f>
        <v/>
      </c>
      <c r="F127" s="49" t="str">
        <f aca="false">IFERROR(IF(OR(NOT(ISNUMBER(F125)),N(F124)=0),"",F125/F124),"")</f>
        <v/>
      </c>
      <c r="G127" s="49" t="str">
        <f aca="false">IFERROR(IF(OR(NOT(ISNUMBER(G125)),N(G124)=0),"",G125/G124),"")</f>
        <v/>
      </c>
      <c r="H127" s="49" t="str">
        <f aca="false">IFERROR(IF(OR(NOT(ISNUMBER(H125)),N(H124)=0),"",H125/H124),"")</f>
        <v/>
      </c>
      <c r="I127" s="49" t="str">
        <f aca="false">IFERROR(IF(OR(NOT(ISNUMBER(I125)),N(I124)=0),"",I125/I124),"")</f>
        <v/>
      </c>
      <c r="J127" s="49" t="str">
        <f aca="false">IFERROR(IF(OR(NOT(ISNUMBER(J125)),N(J124)=0),"",J125/J124),"")</f>
        <v/>
      </c>
      <c r="K127" s="49" t="str">
        <f aca="false">IFERROR(IF(OR(NOT(ISNUMBER(K125)),N(K124)=0),"",K125/K124),"")</f>
        <v/>
      </c>
      <c r="L127" s="49" t="str">
        <f aca="false">IFERROR(IF(OR(NOT(ISNUMBER(L125)),N(L124)=0),"",L125/L124),"")</f>
        <v/>
      </c>
      <c r="M127" s="49" t="str">
        <f aca="false">IFERROR(IF(OR(NOT(ISNUMBER(M125)),N(M124)=0),"",M125/M124),"")</f>
        <v/>
      </c>
      <c r="N127" s="49" t="str">
        <f aca="false">IFERROR(IF(OR(NOT(ISNUMBER(N125)),N(N124)=0),"",N125/N124),"")</f>
        <v/>
      </c>
      <c r="O127" s="99" t="str">
        <f aca="false">IFERROR(IF(OR(NOT(ISNUMBER(O125)),N(O124)=0),"",O125/O124),"")</f>
        <v/>
      </c>
    </row>
    <row r="128" customFormat="false" ht="15" hidden="true" customHeight="false" outlineLevel="1" collapsed="false">
      <c r="A128" s="11" t="s">
        <v>1982</v>
      </c>
      <c r="B128" s="53" t="str">
        <f aca="false">IF(INDEX(Prod_Nombre,25)="","Producto 25",INDEX(Prod_Nombre,25))&amp;" — capacidad instalada"</f>
        <v>Producto 25 — capacidad instalada</v>
      </c>
      <c r="C128" s="11" t="s">
        <v>544</v>
      </c>
      <c r="E128" s="48" t="n">
        <f aca="false">IF(cu_P=1,IF(INDEX(Prod_Nombre,25)="",0,IF(AND(N(INDEX(Cap_Anio,25))&gt;0,1&gt;=N(INDEX(Cap_Anio,25))),N(INDEX(Cap_Amp,25)),N(INDEX(Cap_Ini,25)))),IF(INDEX(Prod_Nombre,25)="",0,IF(AND(N(INDEX(Cap_Anio,25))&gt;0,1&gt;=N(INDEX(Cap_Anio,25))),N(INDEX(Cap_Amp,25)),N(INDEX(Cap_Ini,25)))))</f>
        <v>0</v>
      </c>
      <c r="F128" s="48" t="n">
        <f aca="false">IF(cu_P=1,IF(INDEX(Prod_Nombre,25)="",0,IF(AND(N(INDEX(Cap_Anio,25))&gt;0,2&gt;=N(INDEX(Cap_Anio,25))),N(INDEX(Cap_Amp,25)),N(INDEX(Cap_Ini,25)))),IF(INDEX(Prod_Nombre,25)="",0,IF(AND(N(INDEX(Cap_Anio,25))&gt;0,2&gt;=N(INDEX(Cap_Anio,25))),N(INDEX(Cap_Amp,25)),N(INDEX(Cap_Ini,25)))))</f>
        <v>0</v>
      </c>
      <c r="G128" s="48" t="n">
        <f aca="false">IF(cu_P=1,IF(INDEX(Prod_Nombre,25)="",0,IF(AND(N(INDEX(Cap_Anio,25))&gt;0,3&gt;=N(INDEX(Cap_Anio,25))),N(INDEX(Cap_Amp,25)),N(INDEX(Cap_Ini,25)))),IF(INDEX(Prod_Nombre,25)="",0,IF(AND(N(INDEX(Cap_Anio,25))&gt;0,3&gt;=N(INDEX(Cap_Anio,25))),N(INDEX(Cap_Amp,25)),N(INDEX(Cap_Ini,25)))))</f>
        <v>0</v>
      </c>
      <c r="H128" s="48" t="n">
        <f aca="false">IF(cu_P=1,IF(INDEX(Prod_Nombre,25)="",0,IF(AND(N(INDEX(Cap_Anio,25))&gt;0,4&gt;=N(INDEX(Cap_Anio,25))),N(INDEX(Cap_Amp,25)),N(INDEX(Cap_Ini,25)))),IF(INDEX(Prod_Nombre,25)="",0,IF(AND(N(INDEX(Cap_Anio,25))&gt;0,4&gt;=N(INDEX(Cap_Anio,25))),N(INDEX(Cap_Amp,25)),N(INDEX(Cap_Ini,25)))))</f>
        <v>0</v>
      </c>
      <c r="I128" s="48" t="n">
        <f aca="false">IF(cu_P=1,IF(INDEX(Prod_Nombre,25)="",0,IF(AND(N(INDEX(Cap_Anio,25))&gt;0,5&gt;=N(INDEX(Cap_Anio,25))),N(INDEX(Cap_Amp,25)),N(INDEX(Cap_Ini,25)))),IF(INDEX(Prod_Nombre,25)="",0,IF(AND(N(INDEX(Cap_Anio,25))&gt;0,5&gt;=N(INDEX(Cap_Anio,25))),N(INDEX(Cap_Amp,25)),N(INDEX(Cap_Ini,25)))))</f>
        <v>0</v>
      </c>
      <c r="J128" s="48" t="n">
        <f aca="false">IF(cu_P=1,IF(INDEX(Prod_Nombre,25)="",0,IF(AND(N(INDEX(Cap_Anio,25))&gt;0,6&gt;=N(INDEX(Cap_Anio,25))),N(INDEX(Cap_Amp,25)),N(INDEX(Cap_Ini,25)))),IF(INDEX(Prod_Nombre,25)="",0,IF(AND(N(INDEX(Cap_Anio,25))&gt;0,6&gt;=N(INDEX(Cap_Anio,25))),N(INDEX(Cap_Amp,25)),N(INDEX(Cap_Ini,25)))))</f>
        <v>0</v>
      </c>
      <c r="K128" s="48" t="n">
        <f aca="false">IF(cu_P=1,IF(INDEX(Prod_Nombre,25)="",0,IF(AND(N(INDEX(Cap_Anio,25))&gt;0,7&gt;=N(INDEX(Cap_Anio,25))),N(INDEX(Cap_Amp,25)),N(INDEX(Cap_Ini,25)))),IF(INDEX(Prod_Nombre,25)="",0,IF(AND(N(INDEX(Cap_Anio,25))&gt;0,7&gt;=N(INDEX(Cap_Anio,25))),N(INDEX(Cap_Amp,25)),N(INDEX(Cap_Ini,25)))))</f>
        <v>0</v>
      </c>
      <c r="L128" s="48" t="n">
        <f aca="false">IF(cu_P=1,IF(INDEX(Prod_Nombre,25)="",0,IF(AND(N(INDEX(Cap_Anio,25))&gt;0,8&gt;=N(INDEX(Cap_Anio,25))),N(INDEX(Cap_Amp,25)),N(INDEX(Cap_Ini,25)))),IF(INDEX(Prod_Nombre,25)="",0,IF(AND(N(INDEX(Cap_Anio,25))&gt;0,8&gt;=N(INDEX(Cap_Anio,25))),N(INDEX(Cap_Amp,25)),N(INDEX(Cap_Ini,25)))))</f>
        <v>0</v>
      </c>
      <c r="M128" s="48" t="n">
        <f aca="false">IF(cu_P=1,IF(INDEX(Prod_Nombre,25)="",0,IF(AND(N(INDEX(Cap_Anio,25))&gt;0,9&gt;=N(INDEX(Cap_Anio,25))),N(INDEX(Cap_Amp,25)),N(INDEX(Cap_Ini,25)))),IF(INDEX(Prod_Nombre,25)="",0,IF(AND(N(INDEX(Cap_Anio,25))&gt;0,9&gt;=N(INDEX(Cap_Anio,25))),N(INDEX(Cap_Amp,25)),N(INDEX(Cap_Ini,25)))))</f>
        <v>0</v>
      </c>
      <c r="N128" s="48" t="n">
        <f aca="false">IF(cu_P=1,IF(INDEX(Prod_Nombre,25)="",0,IF(AND(N(INDEX(Cap_Anio,25))&gt;0,10&gt;=N(INDEX(Cap_Anio,25))),N(INDEX(Cap_Amp,25)),N(INDEX(Cap_Ini,25)))),IF(INDEX(Prod_Nombre,25)="",0,IF(AND(N(INDEX(Cap_Anio,25))&gt;0,10&gt;=N(INDEX(Cap_Anio,25))),N(INDEX(Cap_Amp,25)),N(INDEX(Cap_Ini,25)))))</f>
        <v>0</v>
      </c>
    </row>
    <row r="129" customFormat="false" ht="15" hidden="true" customHeight="false" outlineLevel="1" collapsed="false">
      <c r="A129" s="11" t="s">
        <v>1983</v>
      </c>
      <c r="B129" s="15" t="s">
        <v>1860</v>
      </c>
      <c r="C129" s="11" t="s">
        <v>544</v>
      </c>
      <c r="D129" s="48" t="n">
        <f aca="false">IF(cu_P=1,SUMIFS(Calculo!$F$45:$ES$45,Calculo!$F$16:$ES$16,1)/(1-P_Merma),SUMIFS(Calculo!$F$201:$ES$201,Calculo!$F$172:$ES$172,1)/(1-V_Merma))</f>
        <v>0</v>
      </c>
      <c r="E129" s="48" t="n">
        <f aca="false">IF(cu_P=1,SUMIFS(Calculo!$F$45:$ES$45,Calculo!$F$14:$ES$14,1)/(1-P_Merma),SUMIFS(Calculo!$F$201:$ES$201,Calculo!$F$170:$ES$170,1)/(1-V_Merma))</f>
        <v>0</v>
      </c>
      <c r="F129" s="48" t="n">
        <f aca="false">IF(cu_P=1,SUMIFS(Calculo!$F$45:$ES$45,Calculo!$F$14:$ES$14,2)/(1-P_Merma),SUMIFS(Calculo!$F$201:$ES$201,Calculo!$F$170:$ES$170,2)/(1-V_Merma))</f>
        <v>0</v>
      </c>
      <c r="G129" s="48" t="n">
        <f aca="false">IF(cu_P=1,SUMIFS(Calculo!$F$45:$ES$45,Calculo!$F$14:$ES$14,3)/(1-P_Merma),SUMIFS(Calculo!$F$201:$ES$201,Calculo!$F$170:$ES$170,3)/(1-V_Merma))</f>
        <v>0</v>
      </c>
      <c r="H129" s="48" t="n">
        <f aca="false">IF(cu_P=1,SUMIFS(Calculo!$F$45:$ES$45,Calculo!$F$14:$ES$14,4)/(1-P_Merma),SUMIFS(Calculo!$F$201:$ES$201,Calculo!$F$170:$ES$170,4)/(1-V_Merma))</f>
        <v>0</v>
      </c>
      <c r="I129" s="48" t="n">
        <f aca="false">IF(cu_P=1,SUMIFS(Calculo!$F$45:$ES$45,Calculo!$F$14:$ES$14,5)/(1-P_Merma),SUMIFS(Calculo!$F$201:$ES$201,Calculo!$F$170:$ES$170,5)/(1-V_Merma))</f>
        <v>0</v>
      </c>
      <c r="J129" s="48" t="n">
        <f aca="false">IF(cu_P=1,SUMIFS(Calculo!$F$45:$ES$45,Calculo!$F$14:$ES$14,6)/(1-P_Merma),SUMIFS(Calculo!$F$201:$ES$201,Calculo!$F$170:$ES$170,6)/(1-V_Merma))</f>
        <v>0</v>
      </c>
      <c r="K129" s="48" t="n">
        <f aca="false">IF(cu_P=1,SUMIFS(Calculo!$F$45:$ES$45,Calculo!$F$14:$ES$14,7)/(1-P_Merma),SUMIFS(Calculo!$F$201:$ES$201,Calculo!$F$170:$ES$170,7)/(1-V_Merma))</f>
        <v>0</v>
      </c>
      <c r="L129" s="48" t="n">
        <f aca="false">IF(cu_P=1,SUMIFS(Calculo!$F$45:$ES$45,Calculo!$F$14:$ES$14,8)/(1-P_Merma),SUMIFS(Calculo!$F$201:$ES$201,Calculo!$F$170:$ES$170,8)/(1-V_Merma))</f>
        <v>0</v>
      </c>
      <c r="M129" s="48" t="n">
        <f aca="false">IF(cu_P=1,SUMIFS(Calculo!$F$45:$ES$45,Calculo!$F$14:$ES$14,9)/(1-P_Merma),SUMIFS(Calculo!$F$201:$ES$201,Calculo!$F$170:$ES$170,9)/(1-V_Merma))</f>
        <v>0</v>
      </c>
      <c r="N129" s="48" t="n">
        <f aca="false">IF(cu_P=1,SUMIFS(Calculo!$F$45:$ES$45,Calculo!$F$14:$ES$14,10)/(1-P_Merma),SUMIFS(Calculo!$F$201:$ES$201,Calculo!$F$170:$ES$170,10)/(1-V_Merma))</f>
        <v>0</v>
      </c>
      <c r="O129" s="54" t="n">
        <f aca="false">SUM(D129:N129)</f>
        <v>0</v>
      </c>
    </row>
    <row r="130" customFormat="false" ht="15" hidden="true" customHeight="false" outlineLevel="1" collapsed="false">
      <c r="A130" s="11" t="s">
        <v>1984</v>
      </c>
      <c r="B130" s="15" t="s">
        <v>1862</v>
      </c>
      <c r="C130" s="11" t="s">
        <v>544</v>
      </c>
      <c r="D130" s="48" t="n">
        <f aca="false">IF(cu_P=1,SUMIFS(Calculo!$F$45:$ES$45,Calculo!$F$16:$ES$16,1),SUMIFS(Calculo!$F$201:$ES$201,Calculo!$F$172:$ES$172,1))</f>
        <v>0</v>
      </c>
      <c r="E130" s="48" t="n">
        <f aca="false">IF(cu_P=1,SUMIFS(Calculo!$F$45:$ES$45,Calculo!$F$14:$ES$14,1),SUMIFS(Calculo!$F$201:$ES$201,Calculo!$F$170:$ES$170,1))</f>
        <v>0</v>
      </c>
      <c r="F130" s="48" t="n">
        <f aca="false">IF(cu_P=1,SUMIFS(Calculo!$F$45:$ES$45,Calculo!$F$14:$ES$14,2),SUMIFS(Calculo!$F$201:$ES$201,Calculo!$F$170:$ES$170,2))</f>
        <v>0</v>
      </c>
      <c r="G130" s="48" t="n">
        <f aca="false">IF(cu_P=1,SUMIFS(Calculo!$F$45:$ES$45,Calculo!$F$14:$ES$14,3),SUMIFS(Calculo!$F$201:$ES$201,Calculo!$F$170:$ES$170,3))</f>
        <v>0</v>
      </c>
      <c r="H130" s="48" t="n">
        <f aca="false">IF(cu_P=1,SUMIFS(Calculo!$F$45:$ES$45,Calculo!$F$14:$ES$14,4),SUMIFS(Calculo!$F$201:$ES$201,Calculo!$F$170:$ES$170,4))</f>
        <v>0</v>
      </c>
      <c r="I130" s="48" t="n">
        <f aca="false">IF(cu_P=1,SUMIFS(Calculo!$F$45:$ES$45,Calculo!$F$14:$ES$14,5),SUMIFS(Calculo!$F$201:$ES$201,Calculo!$F$170:$ES$170,5))</f>
        <v>0</v>
      </c>
      <c r="J130" s="48" t="n">
        <f aca="false">IF(cu_P=1,SUMIFS(Calculo!$F$45:$ES$45,Calculo!$F$14:$ES$14,6),SUMIFS(Calculo!$F$201:$ES$201,Calculo!$F$170:$ES$170,6))</f>
        <v>0</v>
      </c>
      <c r="K130" s="48" t="n">
        <f aca="false">IF(cu_P=1,SUMIFS(Calculo!$F$45:$ES$45,Calculo!$F$14:$ES$14,7),SUMIFS(Calculo!$F$201:$ES$201,Calculo!$F$170:$ES$170,7))</f>
        <v>0</v>
      </c>
      <c r="L130" s="48" t="n">
        <f aca="false">IF(cu_P=1,SUMIFS(Calculo!$F$45:$ES$45,Calculo!$F$14:$ES$14,8),SUMIFS(Calculo!$F$201:$ES$201,Calculo!$F$170:$ES$170,8))</f>
        <v>0</v>
      </c>
      <c r="M130" s="48" t="n">
        <f aca="false">IF(cu_P=1,SUMIFS(Calculo!$F$45:$ES$45,Calculo!$F$14:$ES$14,9),SUMIFS(Calculo!$F$201:$ES$201,Calculo!$F$170:$ES$170,9))</f>
        <v>0</v>
      </c>
      <c r="N130" s="48" t="n">
        <f aca="false">IF(cu_P=1,SUMIFS(Calculo!$F$45:$ES$45,Calculo!$F$14:$ES$14,10),SUMIFS(Calculo!$F$201:$ES$201,Calculo!$F$170:$ES$170,10))</f>
        <v>0</v>
      </c>
      <c r="O130" s="54" t="n">
        <f aca="false">SUM(D130:N130)</f>
        <v>0</v>
      </c>
    </row>
    <row r="131" customFormat="false" ht="15" hidden="true" customHeight="false" outlineLevel="1" collapsed="false">
      <c r="A131" s="11" t="s">
        <v>1985</v>
      </c>
      <c r="B131" s="15" t="s">
        <v>1864</v>
      </c>
      <c r="C131" s="11" t="s">
        <v>367</v>
      </c>
      <c r="E131" s="49" t="str">
        <f aca="false">IFERROR(IF(OR(NOT(ISNUMBER(E129)),N(E128)=0),"",E129/E128),"")</f>
        <v/>
      </c>
      <c r="F131" s="49" t="str">
        <f aca="false">IFERROR(IF(OR(NOT(ISNUMBER(F129)),N(F128)=0),"",F129/F128),"")</f>
        <v/>
      </c>
      <c r="G131" s="49" t="str">
        <f aca="false">IFERROR(IF(OR(NOT(ISNUMBER(G129)),N(G128)=0),"",G129/G128),"")</f>
        <v/>
      </c>
      <c r="H131" s="49" t="str">
        <f aca="false">IFERROR(IF(OR(NOT(ISNUMBER(H129)),N(H128)=0),"",H129/H128),"")</f>
        <v/>
      </c>
      <c r="I131" s="49" t="str">
        <f aca="false">IFERROR(IF(OR(NOT(ISNUMBER(I129)),N(I128)=0),"",I129/I128),"")</f>
        <v/>
      </c>
      <c r="J131" s="49" t="str">
        <f aca="false">IFERROR(IF(OR(NOT(ISNUMBER(J129)),N(J128)=0),"",J129/J128),"")</f>
        <v/>
      </c>
      <c r="K131" s="49" t="str">
        <f aca="false">IFERROR(IF(OR(NOT(ISNUMBER(K129)),N(K128)=0),"",K129/K128),"")</f>
        <v/>
      </c>
      <c r="L131" s="49" t="str">
        <f aca="false">IFERROR(IF(OR(NOT(ISNUMBER(L129)),N(L128)=0),"",L129/L128),"")</f>
        <v/>
      </c>
      <c r="M131" s="49" t="str">
        <f aca="false">IFERROR(IF(OR(NOT(ISNUMBER(M129)),N(M128)=0),"",M129/M128),"")</f>
        <v/>
      </c>
      <c r="N131" s="49" t="str">
        <f aca="false">IFERROR(IF(OR(NOT(ISNUMBER(N129)),N(N128)=0),"",N129/N128),"")</f>
        <v/>
      </c>
    </row>
    <row r="132" customFormat="false" ht="15" hidden="true" customHeight="false" outlineLevel="1" collapsed="false">
      <c r="A132" s="11" t="s">
        <v>1986</v>
      </c>
      <c r="B132" s="15" t="s">
        <v>1866</v>
      </c>
      <c r="C132" s="11" t="s">
        <v>367</v>
      </c>
      <c r="E132" s="49" t="str">
        <f aca="false">IFERROR(IF(OR(NOT(ISNUMBER(E130)),N(E129)=0),"",E130/E129),"")</f>
        <v/>
      </c>
      <c r="F132" s="49" t="str">
        <f aca="false">IFERROR(IF(OR(NOT(ISNUMBER(F130)),N(F129)=0),"",F130/F129),"")</f>
        <v/>
      </c>
      <c r="G132" s="49" t="str">
        <f aca="false">IFERROR(IF(OR(NOT(ISNUMBER(G130)),N(G129)=0),"",G130/G129),"")</f>
        <v/>
      </c>
      <c r="H132" s="49" t="str">
        <f aca="false">IFERROR(IF(OR(NOT(ISNUMBER(H130)),N(H129)=0),"",H130/H129),"")</f>
        <v/>
      </c>
      <c r="I132" s="49" t="str">
        <f aca="false">IFERROR(IF(OR(NOT(ISNUMBER(I130)),N(I129)=0),"",I130/I129),"")</f>
        <v/>
      </c>
      <c r="J132" s="49" t="str">
        <f aca="false">IFERROR(IF(OR(NOT(ISNUMBER(J130)),N(J129)=0),"",J130/J129),"")</f>
        <v/>
      </c>
      <c r="K132" s="49" t="str">
        <f aca="false">IFERROR(IF(OR(NOT(ISNUMBER(K130)),N(K129)=0),"",K130/K129),"")</f>
        <v/>
      </c>
      <c r="L132" s="49" t="str">
        <f aca="false">IFERROR(IF(OR(NOT(ISNUMBER(L130)),N(L129)=0),"",L130/L129),"")</f>
        <v/>
      </c>
      <c r="M132" s="49" t="str">
        <f aca="false">IFERROR(IF(OR(NOT(ISNUMBER(M130)),N(M129)=0),"",M130/M129),"")</f>
        <v/>
      </c>
      <c r="N132" s="49" t="str">
        <f aca="false">IFERROR(IF(OR(NOT(ISNUMBER(N130)),N(N129)=0),"",N130/N129),"")</f>
        <v/>
      </c>
      <c r="O132" s="99" t="str">
        <f aca="false">IFERROR(IF(OR(NOT(ISNUMBER(O130)),N(O129)=0),"",O130/O129),"")</f>
        <v/>
      </c>
    </row>
    <row r="133" customFormat="false" ht="15" hidden="false" customHeight="false" outlineLevel="0" collapsed="false">
      <c r="A133" s="13"/>
      <c r="B133" s="100" t="s">
        <v>1987</v>
      </c>
      <c r="C133" s="13"/>
      <c r="D133" s="13"/>
      <c r="E133" s="13"/>
      <c r="F133" s="13"/>
      <c r="G133" s="13"/>
      <c r="H133" s="13"/>
      <c r="I133" s="13"/>
      <c r="J133" s="13"/>
      <c r="K133" s="13"/>
      <c r="L133" s="13"/>
      <c r="M133" s="13"/>
      <c r="N133" s="13"/>
      <c r="O133" s="13"/>
    </row>
    <row r="134" customFormat="false" ht="15" hidden="false" customHeight="false" outlineLevel="0" collapsed="false">
      <c r="A134" s="11" t="s">
        <v>1988</v>
      </c>
      <c r="B134" s="67" t="s">
        <v>1989</v>
      </c>
      <c r="C134" s="11" t="s">
        <v>544</v>
      </c>
      <c r="D134" s="54" t="n">
        <f aca="false">IFERROR(IF(COUNT(D9,D14,D19,D24,D29,D34,D39,D44,D49,D54,D59,D64,D69,D74,D79,D84,D89,D94,D99,D104,D109,D114,D119,D124,D129)=0,"",N(D9)+N(D14)+N(D19)+N(D24)+N(D29)+N(D34)+N(D39)+N(D44)+N(D49)+N(D54)+N(D59)+N(D64)+N(D69)+N(D74)+N(D79)+N(D84)+N(D89)+N(D94)+N(D99)+N(D104)+N(D109)+N(D114)+N(D119)+N(D124)+N(D129)),"")</f>
        <v>0</v>
      </c>
      <c r="E134" s="54" t="n">
        <f aca="false">IFERROR(IF(COUNT(E9,E14,E19,E24,E29,E34,E39,E44,E49,E54,E59,E64,E69,E74,E79,E84,E89,E94,E99,E104,E109,E114,E119,E124,E129)=0,"",N(E9)+N(E14)+N(E19)+N(E24)+N(E29)+N(E34)+N(E39)+N(E44)+N(E49)+N(E54)+N(E59)+N(E64)+N(E69)+N(E74)+N(E79)+N(E84)+N(E89)+N(E94)+N(E99)+N(E104)+N(E109)+N(E114)+N(E119)+N(E124)+N(E129)),"")</f>
        <v>82000</v>
      </c>
      <c r="F134" s="54" t="n">
        <f aca="false">IFERROR(IF(COUNT(F9,F14,F19,F24,F29,F34,F39,F44,F49,F54,F59,F64,F69,F74,F79,F84,F89,F94,F99,F104,F109,F114,F119,F124,F129)=0,"",N(F9)+N(F14)+N(F19)+N(F24)+N(F29)+N(F34)+N(F39)+N(F44)+N(F49)+N(F54)+N(F59)+N(F64)+N(F69)+N(F74)+N(F79)+N(F84)+N(F89)+N(F94)+N(F99)+N(F104)+N(F109)+N(F114)+N(F119)+N(F124)+N(F129)),"")</f>
        <v>105000</v>
      </c>
      <c r="G134" s="54" t="n">
        <f aca="false">IFERROR(IF(COUNT(G9,G14,G19,G24,G29,G34,G39,G44,G49,G54,G59,G64,G69,G74,G79,G84,G89,G94,G99,G104,G109,G114,G119,G124,G129)=0,"",N(G9)+N(G14)+N(G19)+N(G24)+N(G29)+N(G34)+N(G39)+N(G44)+N(G49)+N(G54)+N(G59)+N(G64)+N(G69)+N(G74)+N(G79)+N(G84)+N(G89)+N(G94)+N(G99)+N(G104)+N(G109)+N(G114)+N(G119)+N(G124)+N(G129)),"")</f>
        <v>128000</v>
      </c>
      <c r="H134" s="54" t="n">
        <f aca="false">IFERROR(IF(COUNT(H9,H14,H19,H24,H29,H34,H39,H44,H49,H54,H59,H64,H69,H74,H79,H84,H89,H94,H99,H104,H109,H114,H119,H124,H129)=0,"",N(H9)+N(H14)+N(H19)+N(H24)+N(H29)+N(H34)+N(H39)+N(H44)+N(H49)+N(H54)+N(H59)+N(H64)+N(H69)+N(H74)+N(H79)+N(H84)+N(H89)+N(H94)+N(H99)+N(H104)+N(H109)+N(H114)+N(H119)+N(H124)+N(H129)),"")</f>
        <v>141000</v>
      </c>
      <c r="I134" s="54" t="n">
        <f aca="false">IFERROR(IF(COUNT(I9,I14,I19,I24,I29,I34,I39,I44,I49,I54,I59,I64,I69,I74,I79,I84,I89,I94,I99,I104,I109,I114,I119,I124,I129)=0,"",N(I9)+N(I14)+N(I19)+N(I24)+N(I29)+N(I34)+N(I39)+N(I44)+N(I49)+N(I54)+N(I59)+N(I64)+N(I69)+N(I74)+N(I79)+N(I84)+N(I89)+N(I94)+N(I99)+N(I104)+N(I109)+N(I114)+N(I119)+N(I124)+N(I129)),"")</f>
        <v>141000</v>
      </c>
      <c r="J134" s="54" t="n">
        <f aca="false">IFERROR(IF(COUNT(J9,J14,J19,J24,J29,J34,J39,J44,J49,J54,J59,J64,J69,J74,J79,J84,J89,J94,J99,J104,J109,J114,J119,J124,J129)=0,"",N(J9)+N(J14)+N(J19)+N(J24)+N(J29)+N(J34)+N(J39)+N(J44)+N(J49)+N(J54)+N(J59)+N(J64)+N(J69)+N(J74)+N(J79)+N(J84)+N(J89)+N(J94)+N(J99)+N(J104)+N(J109)+N(J114)+N(J119)+N(J124)+N(J129)),"")</f>
        <v>141000</v>
      </c>
      <c r="K134" s="54" t="n">
        <f aca="false">IFERROR(IF(COUNT(K9,K14,K19,K24,K29,K34,K39,K44,K49,K54,K59,K64,K69,K74,K79,K84,K89,K94,K99,K104,K109,K114,K119,K124,K129)=0,"",N(K9)+N(K14)+N(K19)+N(K24)+N(K29)+N(K34)+N(K39)+N(K44)+N(K49)+N(K54)+N(K59)+N(K64)+N(K69)+N(K74)+N(K79)+N(K84)+N(K89)+N(K94)+N(K99)+N(K104)+N(K109)+N(K114)+N(K119)+N(K124)+N(K129)),"")</f>
        <v>141000</v>
      </c>
      <c r="L134" s="54" t="n">
        <f aca="false">IFERROR(IF(COUNT(L9,L14,L19,L24,L29,L34,L39,L44,L49,L54,L59,L64,L69,L74,L79,L84,L89,L94,L99,L104,L109,L114,L119,L124,L129)=0,"",N(L9)+N(L14)+N(L19)+N(L24)+N(L29)+N(L34)+N(L39)+N(L44)+N(L49)+N(L54)+N(L59)+N(L64)+N(L69)+N(L74)+N(L79)+N(L84)+N(L89)+N(L94)+N(L99)+N(L104)+N(L109)+N(L114)+N(L119)+N(L124)+N(L129)),"")</f>
        <v>141000</v>
      </c>
      <c r="M134" s="54" t="n">
        <f aca="false">IFERROR(IF(COUNT(M9,M14,M19,M24,M29,M34,M39,M44,M49,M54,M59,M64,M69,M74,M79,M84,M89,M94,M99,M104,M109,M114,M119,M124,M129)=0,"",N(M9)+N(M14)+N(M19)+N(M24)+N(M29)+N(M34)+N(M39)+N(M44)+N(M49)+N(M54)+N(M59)+N(M64)+N(M69)+N(M74)+N(M79)+N(M84)+N(M89)+N(M94)+N(M99)+N(M104)+N(M109)+N(M114)+N(M119)+N(M124)+N(M129)),"")</f>
        <v>141000</v>
      </c>
      <c r="N134" s="54" t="n">
        <f aca="false">IFERROR(IF(COUNT(N9,N14,N19,N24,N29,N34,N39,N44,N49,N54,N59,N64,N69,N74,N79,N84,N89,N94,N99,N104,N109,N114,N119,N124,N129)=0,"",N(N9)+N(N14)+N(N19)+N(N24)+N(N29)+N(N34)+N(N39)+N(N44)+N(N49)+N(N54)+N(N59)+N(N64)+N(N69)+N(N74)+N(N79)+N(N84)+N(N89)+N(N94)+N(N99)+N(N104)+N(N109)+N(N114)+N(N119)+N(N124)+N(N129)),"")</f>
        <v>141000</v>
      </c>
      <c r="O134" s="54" t="n">
        <f aca="false">SUM(D134:N134)</f>
        <v>1302000</v>
      </c>
    </row>
    <row r="135" customFormat="false" ht="15" hidden="false" customHeight="false" outlineLevel="0" collapsed="false">
      <c r="A135" s="11" t="s">
        <v>1990</v>
      </c>
      <c r="B135" s="67" t="s">
        <v>1991</v>
      </c>
      <c r="C135" s="11" t="s">
        <v>544</v>
      </c>
      <c r="D135" s="54" t="n">
        <f aca="false">IFERROR(IF(COUNT(D10,D15,D20,D25,D30,D35,D40,D45,D50,D55,D60,D65,D70,D75,D80,D85,D90,D95,D100,D105,D110,D115,D120,D125,D130)=0,"",N(D10)+N(D15)+N(D20)+N(D25)+N(D30)+N(D35)+N(D40)+N(D45)+N(D50)+N(D55)+N(D60)+N(D65)+N(D70)+N(D75)+N(D80)+N(D85)+N(D90)+N(D95)+N(D100)+N(D105)+N(D110)+N(D115)+N(D120)+N(D125)+N(D130)),"")</f>
        <v>0</v>
      </c>
      <c r="E135" s="54" t="n">
        <f aca="false">IFERROR(IF(COUNT(E10,E15,E20,E25,E30,E35,E40,E45,E50,E55,E60,E65,E70,E75,E80,E85,E90,E95,E100,E105,E110,E115,E120,E125,E130)=0,"",N(E10)+N(E15)+N(E20)+N(E25)+N(E30)+N(E35)+N(E40)+N(E45)+N(E50)+N(E55)+N(E60)+N(E65)+N(E70)+N(E75)+N(E80)+N(E85)+N(E90)+N(E95)+N(E100)+N(E105)+N(E110)+N(E115)+N(E120)+N(E125)+N(E130)),"")</f>
        <v>82000</v>
      </c>
      <c r="F135" s="54" t="n">
        <f aca="false">IFERROR(IF(COUNT(F10,F15,F20,F25,F30,F35,F40,F45,F50,F55,F60,F65,F70,F75,F80,F85,F90,F95,F100,F105,F110,F115,F120,F125,F130)=0,"",N(F10)+N(F15)+N(F20)+N(F25)+N(F30)+N(F35)+N(F40)+N(F45)+N(F50)+N(F55)+N(F60)+N(F65)+N(F70)+N(F75)+N(F80)+N(F85)+N(F90)+N(F95)+N(F100)+N(F105)+N(F110)+N(F115)+N(F120)+N(F125)+N(F130)),"")</f>
        <v>105000</v>
      </c>
      <c r="G135" s="54" t="n">
        <f aca="false">IFERROR(IF(COUNT(G10,G15,G20,G25,G30,G35,G40,G45,G50,G55,G60,G65,G70,G75,G80,G85,G90,G95,G100,G105,G110,G115,G120,G125,G130)=0,"",N(G10)+N(G15)+N(G20)+N(G25)+N(G30)+N(G35)+N(G40)+N(G45)+N(G50)+N(G55)+N(G60)+N(G65)+N(G70)+N(G75)+N(G80)+N(G85)+N(G90)+N(G95)+N(G100)+N(G105)+N(G110)+N(G115)+N(G120)+N(G125)+N(G130)),"")</f>
        <v>128000</v>
      </c>
      <c r="H135" s="54" t="n">
        <f aca="false">IFERROR(IF(COUNT(H10,H15,H20,H25,H30,H35,H40,H45,H50,H55,H60,H65,H70,H75,H80,H85,H90,H95,H100,H105,H110,H115,H120,H125,H130)=0,"",N(H10)+N(H15)+N(H20)+N(H25)+N(H30)+N(H35)+N(H40)+N(H45)+N(H50)+N(H55)+N(H60)+N(H65)+N(H70)+N(H75)+N(H80)+N(H85)+N(H90)+N(H95)+N(H100)+N(H105)+N(H110)+N(H115)+N(H120)+N(H125)+N(H130)),"")</f>
        <v>141000</v>
      </c>
      <c r="I135" s="54" t="n">
        <f aca="false">IFERROR(IF(COUNT(I10,I15,I20,I25,I30,I35,I40,I45,I50,I55,I60,I65,I70,I75,I80,I85,I90,I95,I100,I105,I110,I115,I120,I125,I130)=0,"",N(I10)+N(I15)+N(I20)+N(I25)+N(I30)+N(I35)+N(I40)+N(I45)+N(I50)+N(I55)+N(I60)+N(I65)+N(I70)+N(I75)+N(I80)+N(I85)+N(I90)+N(I95)+N(I100)+N(I105)+N(I110)+N(I115)+N(I120)+N(I125)+N(I130)),"")</f>
        <v>141000</v>
      </c>
      <c r="J135" s="54" t="n">
        <f aca="false">IFERROR(IF(COUNT(J10,J15,J20,J25,J30,J35,J40,J45,J50,J55,J60,J65,J70,J75,J80,J85,J90,J95,J100,J105,J110,J115,J120,J125,J130)=0,"",N(J10)+N(J15)+N(J20)+N(J25)+N(J30)+N(J35)+N(J40)+N(J45)+N(J50)+N(J55)+N(J60)+N(J65)+N(J70)+N(J75)+N(J80)+N(J85)+N(J90)+N(J95)+N(J100)+N(J105)+N(J110)+N(J115)+N(J120)+N(J125)+N(J130)),"")</f>
        <v>141000</v>
      </c>
      <c r="K135" s="54" t="n">
        <f aca="false">IFERROR(IF(COUNT(K10,K15,K20,K25,K30,K35,K40,K45,K50,K55,K60,K65,K70,K75,K80,K85,K90,K95,K100,K105,K110,K115,K120,K125,K130)=0,"",N(K10)+N(K15)+N(K20)+N(K25)+N(K30)+N(K35)+N(K40)+N(K45)+N(K50)+N(K55)+N(K60)+N(K65)+N(K70)+N(K75)+N(K80)+N(K85)+N(K90)+N(K95)+N(K100)+N(K105)+N(K110)+N(K115)+N(K120)+N(K125)+N(K130)),"")</f>
        <v>141000</v>
      </c>
      <c r="L135" s="54" t="n">
        <f aca="false">IFERROR(IF(COUNT(L10,L15,L20,L25,L30,L35,L40,L45,L50,L55,L60,L65,L70,L75,L80,L85,L90,L95,L100,L105,L110,L115,L120,L125,L130)=0,"",N(L10)+N(L15)+N(L20)+N(L25)+N(L30)+N(L35)+N(L40)+N(L45)+N(L50)+N(L55)+N(L60)+N(L65)+N(L70)+N(L75)+N(L80)+N(L85)+N(L90)+N(L95)+N(L100)+N(L105)+N(L110)+N(L115)+N(L120)+N(L125)+N(L130)),"")</f>
        <v>141000</v>
      </c>
      <c r="M135" s="54" t="n">
        <f aca="false">IFERROR(IF(COUNT(M10,M15,M20,M25,M30,M35,M40,M45,M50,M55,M60,M65,M70,M75,M80,M85,M90,M95,M100,M105,M110,M115,M120,M125,M130)=0,"",N(M10)+N(M15)+N(M20)+N(M25)+N(M30)+N(M35)+N(M40)+N(M45)+N(M50)+N(M55)+N(M60)+N(M65)+N(M70)+N(M75)+N(M80)+N(M85)+N(M90)+N(M95)+N(M100)+N(M105)+N(M110)+N(M115)+N(M120)+N(M125)+N(M130)),"")</f>
        <v>141000</v>
      </c>
      <c r="N135" s="54" t="n">
        <f aca="false">IFERROR(IF(COUNT(N10,N15,N20,N25,N30,N35,N40,N45,N50,N55,N60,N65,N70,N75,N80,N85,N90,N95,N100,N105,N110,N115,N120,N125,N130)=0,"",N(N10)+N(N15)+N(N20)+N(N25)+N(N30)+N(N35)+N(N40)+N(N45)+N(N50)+N(N55)+N(N60)+N(N65)+N(N70)+N(N75)+N(N80)+N(N85)+N(N90)+N(N95)+N(N100)+N(N105)+N(N110)+N(N115)+N(N120)+N(N125)+N(N130)),"")</f>
        <v>141000</v>
      </c>
      <c r="O135" s="54" t="n">
        <f aca="false">SUM(D135:N135)</f>
        <v>1302000</v>
      </c>
    </row>
    <row r="137" customFormat="false" ht="15" hidden="false" customHeight="false" outlineLevel="0" collapsed="false">
      <c r="A137" s="65" t="s">
        <v>1992</v>
      </c>
      <c r="B137" s="64"/>
      <c r="C137" s="64"/>
      <c r="D137" s="64"/>
      <c r="E137" s="64"/>
      <c r="F137" s="64"/>
      <c r="G137" s="64"/>
      <c r="H137" s="64"/>
      <c r="I137" s="64"/>
      <c r="J137" s="64"/>
      <c r="K137" s="64"/>
      <c r="L137" s="64"/>
      <c r="M137" s="64"/>
      <c r="N137" s="64"/>
      <c r="O137" s="64"/>
    </row>
    <row r="138" customFormat="false" ht="24" hidden="false" customHeight="true" outlineLevel="0" collapsed="false">
      <c r="A138" s="14"/>
      <c r="B138" s="14" t="s">
        <v>1530</v>
      </c>
      <c r="C138" s="14" t="s">
        <v>355</v>
      </c>
      <c r="D138" s="14" t="s">
        <v>1857</v>
      </c>
      <c r="E138" s="14" t="s">
        <v>452</v>
      </c>
      <c r="F138" s="14" t="s">
        <v>453</v>
      </c>
      <c r="G138" s="14" t="s">
        <v>454</v>
      </c>
      <c r="H138" s="14" t="s">
        <v>455</v>
      </c>
      <c r="I138" s="14" t="s">
        <v>456</v>
      </c>
      <c r="J138" s="14" t="s">
        <v>457</v>
      </c>
      <c r="K138" s="14" t="s">
        <v>458</v>
      </c>
      <c r="L138" s="14" t="s">
        <v>459</v>
      </c>
      <c r="M138" s="14" t="s">
        <v>460</v>
      </c>
      <c r="N138" s="14" t="s">
        <v>461</v>
      </c>
      <c r="O138" s="14" t="s">
        <v>549</v>
      </c>
    </row>
    <row r="139" customFormat="false" ht="15" hidden="false" customHeight="false" outlineLevel="0" collapsed="false">
      <c r="B139" s="11" t="s">
        <v>1993</v>
      </c>
      <c r="D139" s="86" t="str">
        <f aca="false">IF(OR(n_Fecha1="",IF(cu_P=1,P_Inicio,V_Inicio)=1),"",YEAR(n_Fecha1))</f>
        <v/>
      </c>
      <c r="E139" s="86" t="str">
        <f aca="false">IF(n_Fecha1="","",YEAR(EOMONTH(n_Fecha1,IF(cu_P=1,P_Inicio,V_Inicio)-1+0)))</f>
        <v/>
      </c>
      <c r="F139" s="86" t="str">
        <f aca="false">IF(n_Fecha1="","",YEAR(EOMONTH(n_Fecha1,IF(cu_P=1,P_Inicio,V_Inicio)-1+12)))</f>
        <v/>
      </c>
      <c r="G139" s="86" t="str">
        <f aca="false">IF(n_Fecha1="","",YEAR(EOMONTH(n_Fecha1,IF(cu_P=1,P_Inicio,V_Inicio)-1+24)))</f>
        <v/>
      </c>
      <c r="H139" s="86" t="str">
        <f aca="false">IF(n_Fecha1="","",YEAR(EOMONTH(n_Fecha1,IF(cu_P=1,P_Inicio,V_Inicio)-1+36)))</f>
        <v/>
      </c>
      <c r="I139" s="86" t="str">
        <f aca="false">IF(n_Fecha1="","",YEAR(EOMONTH(n_Fecha1,IF(cu_P=1,P_Inicio,V_Inicio)-1+48)))</f>
        <v/>
      </c>
      <c r="J139" s="86" t="str">
        <f aca="false">IF(n_Fecha1="","",YEAR(EOMONTH(n_Fecha1,IF(cu_P=1,P_Inicio,V_Inicio)-1+60)))</f>
        <v/>
      </c>
      <c r="K139" s="86" t="str">
        <f aca="false">IF(n_Fecha1="","",YEAR(EOMONTH(n_Fecha1,IF(cu_P=1,P_Inicio,V_Inicio)-1+72)))</f>
        <v/>
      </c>
      <c r="L139" s="86" t="str">
        <f aca="false">IF(n_Fecha1="","",YEAR(EOMONTH(n_Fecha1,IF(cu_P=1,P_Inicio,V_Inicio)-1+84)))</f>
        <v/>
      </c>
      <c r="M139" s="86" t="str">
        <f aca="false">IF(n_Fecha1="","",YEAR(EOMONTH(n_Fecha1,IF(cu_P=1,P_Inicio,V_Inicio)-1+96)))</f>
        <v/>
      </c>
      <c r="N139" s="86" t="str">
        <f aca="false">IF(n_Fecha1="","",YEAR(EOMONTH(n_Fecha1,IF(cu_P=1,P_Inicio,V_Inicio)-1+108)))</f>
        <v/>
      </c>
    </row>
    <row r="140" customFormat="false" ht="15" hidden="false" customHeight="false" outlineLevel="0" collapsed="false">
      <c r="A140" s="11" t="s">
        <v>1858</v>
      </c>
      <c r="B140" s="53" t="str">
        <f aca="false">IF(INDEX(Prod_Nombre,1)="","Producto 1",INDEX(Prod_Nombre,1))&amp;" — capacidad instalada"</f>
        <v>Gabinetes metálicos 153 kg — capacidad instalada</v>
      </c>
      <c r="C140" s="11" t="s">
        <v>544</v>
      </c>
      <c r="E140" s="37" t="n">
        <v>15000</v>
      </c>
      <c r="F140" s="37" t="n">
        <v>15000</v>
      </c>
      <c r="G140" s="37" t="n">
        <v>22000</v>
      </c>
      <c r="H140" s="37" t="n">
        <v>22000</v>
      </c>
      <c r="I140" s="37" t="n">
        <v>22000</v>
      </c>
      <c r="J140" s="37" t="n">
        <v>22000</v>
      </c>
      <c r="K140" s="37" t="n">
        <v>22000</v>
      </c>
      <c r="L140" s="37" t="n">
        <v>22000</v>
      </c>
      <c r="M140" s="37" t="n">
        <v>22000</v>
      </c>
      <c r="N140" s="37" t="n">
        <v>22000</v>
      </c>
    </row>
    <row r="141" customFormat="false" ht="15" hidden="false" customHeight="false" outlineLevel="0" collapsed="false">
      <c r="A141" s="11" t="s">
        <v>1859</v>
      </c>
      <c r="B141" s="15" t="s">
        <v>1860</v>
      </c>
      <c r="C141" s="11" t="s">
        <v>544</v>
      </c>
      <c r="D141" s="37"/>
      <c r="E141" s="37" t="n">
        <v>12000</v>
      </c>
      <c r="F141" s="37" t="n">
        <v>15000</v>
      </c>
      <c r="G141" s="37" t="n">
        <v>18000</v>
      </c>
      <c r="H141" s="37" t="n">
        <v>21000</v>
      </c>
      <c r="I141" s="37" t="n">
        <v>21000</v>
      </c>
      <c r="J141" s="37" t="n">
        <v>21000</v>
      </c>
      <c r="K141" s="37" t="n">
        <v>21000</v>
      </c>
      <c r="L141" s="37" t="n">
        <v>21000</v>
      </c>
      <c r="M141" s="37" t="n">
        <v>21000</v>
      </c>
      <c r="N141" s="37" t="n">
        <v>21000</v>
      </c>
      <c r="O141" s="54" t="n">
        <f aca="false">IF(COUNT(D141:N141)=0,"",SUM(D141:N141))</f>
        <v>192000</v>
      </c>
    </row>
    <row r="142" customFormat="false" ht="15" hidden="false" customHeight="false" outlineLevel="0" collapsed="false">
      <c r="A142" s="11" t="s">
        <v>1861</v>
      </c>
      <c r="B142" s="15" t="s">
        <v>1862</v>
      </c>
      <c r="C142" s="11" t="s">
        <v>544</v>
      </c>
      <c r="D142" s="37"/>
      <c r="E142" s="37" t="n">
        <v>12000</v>
      </c>
      <c r="F142" s="37" t="n">
        <v>15000</v>
      </c>
      <c r="G142" s="37" t="n">
        <v>18000</v>
      </c>
      <c r="H142" s="37" t="n">
        <v>21000</v>
      </c>
      <c r="I142" s="37" t="n">
        <v>21000</v>
      </c>
      <c r="J142" s="37" t="n">
        <v>21000</v>
      </c>
      <c r="K142" s="37" t="n">
        <v>21000</v>
      </c>
      <c r="L142" s="37" t="n">
        <v>21000</v>
      </c>
      <c r="M142" s="37" t="n">
        <v>21000</v>
      </c>
      <c r="N142" s="37" t="n">
        <v>21000</v>
      </c>
      <c r="O142" s="54" t="n">
        <f aca="false">IF(COUNT(D142:N142)=0,"",SUM(D142:N142))</f>
        <v>192000</v>
      </c>
    </row>
    <row r="143" customFormat="false" ht="15" hidden="false" customHeight="false" outlineLevel="0" collapsed="false">
      <c r="A143" s="11" t="s">
        <v>1863</v>
      </c>
      <c r="B143" s="15" t="s">
        <v>1864</v>
      </c>
      <c r="C143" s="11" t="s">
        <v>367</v>
      </c>
      <c r="E143" s="49" t="n">
        <f aca="false">IFERROR(IF(OR(NOT(ISNUMBER(E141)),N(E140)=0),"",E141/E140),"")</f>
        <v>0.8</v>
      </c>
      <c r="F143" s="49" t="n">
        <f aca="false">IFERROR(IF(OR(NOT(ISNUMBER(F141)),N(F140)=0),"",F141/F140),"")</f>
        <v>1</v>
      </c>
      <c r="G143" s="49" t="n">
        <f aca="false">IFERROR(IF(OR(NOT(ISNUMBER(G141)),N(G140)=0),"",G141/G140),"")</f>
        <v>0.818181818181818</v>
      </c>
      <c r="H143" s="49" t="n">
        <f aca="false">IFERROR(IF(OR(NOT(ISNUMBER(H141)),N(H140)=0),"",H141/H140),"")</f>
        <v>0.954545454545455</v>
      </c>
      <c r="I143" s="49" t="n">
        <f aca="false">IFERROR(IF(OR(NOT(ISNUMBER(I141)),N(I140)=0),"",I141/I140),"")</f>
        <v>0.954545454545455</v>
      </c>
      <c r="J143" s="49" t="n">
        <f aca="false">IFERROR(IF(OR(NOT(ISNUMBER(J141)),N(J140)=0),"",J141/J140),"")</f>
        <v>0.954545454545455</v>
      </c>
      <c r="K143" s="49" t="n">
        <f aca="false">IFERROR(IF(OR(NOT(ISNUMBER(K141)),N(K140)=0),"",K141/K140),"")</f>
        <v>0.954545454545455</v>
      </c>
      <c r="L143" s="49" t="n">
        <f aca="false">IFERROR(IF(OR(NOT(ISNUMBER(L141)),N(L140)=0),"",L141/L140),"")</f>
        <v>0.954545454545455</v>
      </c>
      <c r="M143" s="49" t="n">
        <f aca="false">IFERROR(IF(OR(NOT(ISNUMBER(M141)),N(M140)=0),"",M141/M140),"")</f>
        <v>0.954545454545455</v>
      </c>
      <c r="N143" s="49" t="n">
        <f aca="false">IFERROR(IF(OR(NOT(ISNUMBER(N141)),N(N140)=0),"",N141/N140),"")</f>
        <v>0.954545454545455</v>
      </c>
    </row>
    <row r="144" customFormat="false" ht="15" hidden="false" customHeight="false" outlineLevel="0" collapsed="false">
      <c r="A144" s="11" t="s">
        <v>1865</v>
      </c>
      <c r="B144" s="15" t="s">
        <v>1866</v>
      </c>
      <c r="C144" s="11" t="s">
        <v>367</v>
      </c>
      <c r="E144" s="49" t="n">
        <f aca="false">IFERROR(IF(OR(NOT(ISNUMBER(E142)),N(E141)=0),"",E142/E141),"")</f>
        <v>1</v>
      </c>
      <c r="F144" s="49" t="n">
        <f aca="false">IFERROR(IF(OR(NOT(ISNUMBER(F142)),N(F141)=0),"",F142/F141),"")</f>
        <v>1</v>
      </c>
      <c r="G144" s="49" t="n">
        <f aca="false">IFERROR(IF(OR(NOT(ISNUMBER(G142)),N(G141)=0),"",G142/G141),"")</f>
        <v>1</v>
      </c>
      <c r="H144" s="49" t="n">
        <f aca="false">IFERROR(IF(OR(NOT(ISNUMBER(H142)),N(H141)=0),"",H142/H141),"")</f>
        <v>1</v>
      </c>
      <c r="I144" s="49" t="n">
        <f aca="false">IFERROR(IF(OR(NOT(ISNUMBER(I142)),N(I141)=0),"",I142/I141),"")</f>
        <v>1</v>
      </c>
      <c r="J144" s="49" t="n">
        <f aca="false">IFERROR(IF(OR(NOT(ISNUMBER(J142)),N(J141)=0),"",J142/J141),"")</f>
        <v>1</v>
      </c>
      <c r="K144" s="49" t="n">
        <f aca="false">IFERROR(IF(OR(NOT(ISNUMBER(K142)),N(K141)=0),"",K142/K141),"")</f>
        <v>1</v>
      </c>
      <c r="L144" s="49" t="n">
        <f aca="false">IFERROR(IF(OR(NOT(ISNUMBER(L142)),N(L141)=0),"",L142/L141),"")</f>
        <v>1</v>
      </c>
      <c r="M144" s="49" t="n">
        <f aca="false">IFERROR(IF(OR(NOT(ISNUMBER(M142)),N(M141)=0),"",M142/M141),"")</f>
        <v>1</v>
      </c>
      <c r="N144" s="49" t="n">
        <f aca="false">IFERROR(IF(OR(NOT(ISNUMBER(N142)),N(N141)=0),"",N142/N141),"")</f>
        <v>1</v>
      </c>
      <c r="O144" s="99" t="n">
        <f aca="false">IFERROR(IF(OR(NOT(ISNUMBER(O142)),N(O141)=0),"",O142/O141),"")</f>
        <v>1</v>
      </c>
    </row>
    <row r="145" customFormat="false" ht="15" hidden="false" customHeight="false" outlineLevel="0" collapsed="false">
      <c r="A145" s="11" t="s">
        <v>1867</v>
      </c>
      <c r="B145" s="53" t="str">
        <f aca="false">IF(INDEX(Prod_Nombre,2)="","Producto 2",INDEX(Prod_Nombre,2))&amp;" — capacidad instalada"</f>
        <v>Cajas metálicas 13 kg — capacidad instalada</v>
      </c>
      <c r="C145" s="11" t="s">
        <v>544</v>
      </c>
      <c r="E145" s="37" t="n">
        <v>90000</v>
      </c>
      <c r="F145" s="37" t="n">
        <v>90000</v>
      </c>
      <c r="G145" s="37" t="n">
        <v>121000</v>
      </c>
      <c r="H145" s="37" t="n">
        <v>121000</v>
      </c>
      <c r="I145" s="37" t="n">
        <v>121000</v>
      </c>
      <c r="J145" s="37" t="n">
        <v>121000</v>
      </c>
      <c r="K145" s="37" t="n">
        <v>121000</v>
      </c>
      <c r="L145" s="37" t="n">
        <v>121000</v>
      </c>
      <c r="M145" s="37" t="n">
        <v>121000</v>
      </c>
      <c r="N145" s="37" t="n">
        <v>121000</v>
      </c>
    </row>
    <row r="146" customFormat="false" ht="15" hidden="false" customHeight="false" outlineLevel="0" collapsed="false">
      <c r="A146" s="11" t="s">
        <v>1868</v>
      </c>
      <c r="B146" s="15" t="s">
        <v>1860</v>
      </c>
      <c r="C146" s="11" t="s">
        <v>544</v>
      </c>
      <c r="D146" s="37"/>
      <c r="E146" s="37" t="n">
        <v>70000</v>
      </c>
      <c r="F146" s="37" t="n">
        <v>90000</v>
      </c>
      <c r="G146" s="37" t="n">
        <v>110000</v>
      </c>
      <c r="H146" s="37" t="n">
        <v>120000</v>
      </c>
      <c r="I146" s="37" t="n">
        <v>120000</v>
      </c>
      <c r="J146" s="37" t="n">
        <v>120000</v>
      </c>
      <c r="K146" s="37" t="n">
        <v>120000</v>
      </c>
      <c r="L146" s="37" t="n">
        <v>120000</v>
      </c>
      <c r="M146" s="37" t="n">
        <v>120000</v>
      </c>
      <c r="N146" s="37" t="n">
        <v>120000</v>
      </c>
      <c r="O146" s="54" t="n">
        <f aca="false">IF(COUNT(D146:N146)=0,"",SUM(D146:N146))</f>
        <v>1110000</v>
      </c>
    </row>
    <row r="147" customFormat="false" ht="15" hidden="false" customHeight="false" outlineLevel="0" collapsed="false">
      <c r="A147" s="11" t="s">
        <v>1869</v>
      </c>
      <c r="B147" s="15" t="s">
        <v>1862</v>
      </c>
      <c r="C147" s="11" t="s">
        <v>544</v>
      </c>
      <c r="D147" s="37"/>
      <c r="E147" s="37" t="n">
        <v>70000</v>
      </c>
      <c r="F147" s="37" t="n">
        <v>90000</v>
      </c>
      <c r="G147" s="37" t="n">
        <v>110000</v>
      </c>
      <c r="H147" s="37" t="n">
        <v>120000</v>
      </c>
      <c r="I147" s="37" t="n">
        <v>120000</v>
      </c>
      <c r="J147" s="37" t="n">
        <v>120000</v>
      </c>
      <c r="K147" s="37" t="n">
        <v>120000</v>
      </c>
      <c r="L147" s="37" t="n">
        <v>120000</v>
      </c>
      <c r="M147" s="37" t="n">
        <v>120000</v>
      </c>
      <c r="N147" s="37" t="n">
        <v>120000</v>
      </c>
      <c r="O147" s="54" t="n">
        <f aca="false">IF(COUNT(D147:N147)=0,"",SUM(D147:N147))</f>
        <v>1110000</v>
      </c>
    </row>
    <row r="148" customFormat="false" ht="15" hidden="false" customHeight="false" outlineLevel="0" collapsed="false">
      <c r="A148" s="11" t="s">
        <v>1870</v>
      </c>
      <c r="B148" s="15" t="s">
        <v>1864</v>
      </c>
      <c r="C148" s="11" t="s">
        <v>367</v>
      </c>
      <c r="E148" s="49" t="n">
        <f aca="false">IFERROR(IF(OR(NOT(ISNUMBER(E146)),N(E145)=0),"",E146/E145),"")</f>
        <v>0.777777777777778</v>
      </c>
      <c r="F148" s="49" t="n">
        <f aca="false">IFERROR(IF(OR(NOT(ISNUMBER(F146)),N(F145)=0),"",F146/F145),"")</f>
        <v>1</v>
      </c>
      <c r="G148" s="49" t="n">
        <f aca="false">IFERROR(IF(OR(NOT(ISNUMBER(G146)),N(G145)=0),"",G146/G145),"")</f>
        <v>0.909090909090909</v>
      </c>
      <c r="H148" s="49" t="n">
        <f aca="false">IFERROR(IF(OR(NOT(ISNUMBER(H146)),N(H145)=0),"",H146/H145),"")</f>
        <v>0.991735537190083</v>
      </c>
      <c r="I148" s="49" t="n">
        <f aca="false">IFERROR(IF(OR(NOT(ISNUMBER(I146)),N(I145)=0),"",I146/I145),"")</f>
        <v>0.991735537190083</v>
      </c>
      <c r="J148" s="49" t="n">
        <f aca="false">IFERROR(IF(OR(NOT(ISNUMBER(J146)),N(J145)=0),"",J146/J145),"")</f>
        <v>0.991735537190083</v>
      </c>
      <c r="K148" s="49" t="n">
        <f aca="false">IFERROR(IF(OR(NOT(ISNUMBER(K146)),N(K145)=0),"",K146/K145),"")</f>
        <v>0.991735537190083</v>
      </c>
      <c r="L148" s="49" t="n">
        <f aca="false">IFERROR(IF(OR(NOT(ISNUMBER(L146)),N(L145)=0),"",L146/L145),"")</f>
        <v>0.991735537190083</v>
      </c>
      <c r="M148" s="49" t="n">
        <f aca="false">IFERROR(IF(OR(NOT(ISNUMBER(M146)),N(M145)=0),"",M146/M145),"")</f>
        <v>0.991735537190083</v>
      </c>
      <c r="N148" s="49" t="n">
        <f aca="false">IFERROR(IF(OR(NOT(ISNUMBER(N146)),N(N145)=0),"",N146/N145),"")</f>
        <v>0.991735537190083</v>
      </c>
    </row>
    <row r="149" customFormat="false" ht="15" hidden="false" customHeight="false" outlineLevel="0" collapsed="false">
      <c r="A149" s="11" t="s">
        <v>1871</v>
      </c>
      <c r="B149" s="15" t="s">
        <v>1866</v>
      </c>
      <c r="C149" s="11" t="s">
        <v>367</v>
      </c>
      <c r="E149" s="49" t="n">
        <f aca="false">IFERROR(IF(OR(NOT(ISNUMBER(E147)),N(E146)=0),"",E147/E146),"")</f>
        <v>1</v>
      </c>
      <c r="F149" s="49" t="n">
        <f aca="false">IFERROR(IF(OR(NOT(ISNUMBER(F147)),N(F146)=0),"",F147/F146),"")</f>
        <v>1</v>
      </c>
      <c r="G149" s="49" t="n">
        <f aca="false">IFERROR(IF(OR(NOT(ISNUMBER(G147)),N(G146)=0),"",G147/G146),"")</f>
        <v>1</v>
      </c>
      <c r="H149" s="49" t="n">
        <f aca="false">IFERROR(IF(OR(NOT(ISNUMBER(H147)),N(H146)=0),"",H147/H146),"")</f>
        <v>1</v>
      </c>
      <c r="I149" s="49" t="n">
        <f aca="false">IFERROR(IF(OR(NOT(ISNUMBER(I147)),N(I146)=0),"",I147/I146),"")</f>
        <v>1</v>
      </c>
      <c r="J149" s="49" t="n">
        <f aca="false">IFERROR(IF(OR(NOT(ISNUMBER(J147)),N(J146)=0),"",J147/J146),"")</f>
        <v>1</v>
      </c>
      <c r="K149" s="49" t="n">
        <f aca="false">IFERROR(IF(OR(NOT(ISNUMBER(K147)),N(K146)=0),"",K147/K146),"")</f>
        <v>1</v>
      </c>
      <c r="L149" s="49" t="n">
        <f aca="false">IFERROR(IF(OR(NOT(ISNUMBER(L147)),N(L146)=0),"",L147/L146),"")</f>
        <v>1</v>
      </c>
      <c r="M149" s="49" t="n">
        <f aca="false">IFERROR(IF(OR(NOT(ISNUMBER(M147)),N(M146)=0),"",M147/M146),"")</f>
        <v>1</v>
      </c>
      <c r="N149" s="49" t="n">
        <f aca="false">IFERROR(IF(OR(NOT(ISNUMBER(N147)),N(N146)=0),"",N147/N146),"")</f>
        <v>1</v>
      </c>
      <c r="O149" s="99" t="n">
        <f aca="false">IFERROR(IF(OR(NOT(ISNUMBER(O147)),N(O146)=0),"",O147/O146),"")</f>
        <v>1</v>
      </c>
    </row>
    <row r="150" customFormat="false" ht="15" hidden="true" customHeight="false" outlineLevel="1" collapsed="false">
      <c r="A150" s="11" t="s">
        <v>1872</v>
      </c>
      <c r="B150" s="53" t="str">
        <f aca="false">IF(INDEX(Prod_Nombre,3)="","Producto 3",INDEX(Prod_Nombre,3))&amp;" — capacidad instalada"</f>
        <v>Producto 3 — capacidad instalada</v>
      </c>
      <c r="C150" s="11" t="s">
        <v>544</v>
      </c>
      <c r="E150" s="37"/>
      <c r="F150" s="37"/>
      <c r="G150" s="37"/>
      <c r="H150" s="37"/>
      <c r="I150" s="37"/>
      <c r="J150" s="37"/>
      <c r="K150" s="37"/>
      <c r="L150" s="37"/>
      <c r="M150" s="37"/>
      <c r="N150" s="37"/>
    </row>
    <row r="151" customFormat="false" ht="15" hidden="true" customHeight="false" outlineLevel="1" collapsed="false">
      <c r="A151" s="11" t="s">
        <v>1873</v>
      </c>
      <c r="B151" s="15" t="s">
        <v>1860</v>
      </c>
      <c r="C151" s="11" t="s">
        <v>544</v>
      </c>
      <c r="D151" s="37"/>
      <c r="E151" s="37"/>
      <c r="F151" s="37"/>
      <c r="G151" s="37"/>
      <c r="H151" s="37"/>
      <c r="I151" s="37"/>
      <c r="J151" s="37"/>
      <c r="K151" s="37"/>
      <c r="L151" s="37"/>
      <c r="M151" s="37"/>
      <c r="N151" s="37"/>
      <c r="O151" s="54" t="str">
        <f aca="false">IF(COUNT(D151:N151)=0,"",SUM(D151:N151))</f>
        <v/>
      </c>
    </row>
    <row r="152" customFormat="false" ht="15" hidden="true" customHeight="false" outlineLevel="1" collapsed="false">
      <c r="A152" s="11" t="s">
        <v>1874</v>
      </c>
      <c r="B152" s="15" t="s">
        <v>1862</v>
      </c>
      <c r="C152" s="11" t="s">
        <v>544</v>
      </c>
      <c r="D152" s="37"/>
      <c r="E152" s="37"/>
      <c r="F152" s="37"/>
      <c r="G152" s="37"/>
      <c r="H152" s="37"/>
      <c r="I152" s="37"/>
      <c r="J152" s="37"/>
      <c r="K152" s="37"/>
      <c r="L152" s="37"/>
      <c r="M152" s="37"/>
      <c r="N152" s="37"/>
      <c r="O152" s="54" t="str">
        <f aca="false">IF(COUNT(D152:N152)=0,"",SUM(D152:N152))</f>
        <v/>
      </c>
    </row>
    <row r="153" customFormat="false" ht="15" hidden="true" customHeight="false" outlineLevel="1" collapsed="false">
      <c r="A153" s="11" t="s">
        <v>1875</v>
      </c>
      <c r="B153" s="15" t="s">
        <v>1864</v>
      </c>
      <c r="C153" s="11" t="s">
        <v>367</v>
      </c>
      <c r="E153" s="49" t="str">
        <f aca="false">IFERROR(IF(OR(NOT(ISNUMBER(E151)),N(E150)=0),"",E151/E150),"")</f>
        <v/>
      </c>
      <c r="F153" s="49" t="str">
        <f aca="false">IFERROR(IF(OR(NOT(ISNUMBER(F151)),N(F150)=0),"",F151/F150),"")</f>
        <v/>
      </c>
      <c r="G153" s="49" t="str">
        <f aca="false">IFERROR(IF(OR(NOT(ISNUMBER(G151)),N(G150)=0),"",G151/G150),"")</f>
        <v/>
      </c>
      <c r="H153" s="49" t="str">
        <f aca="false">IFERROR(IF(OR(NOT(ISNUMBER(H151)),N(H150)=0),"",H151/H150),"")</f>
        <v/>
      </c>
      <c r="I153" s="49" t="str">
        <f aca="false">IFERROR(IF(OR(NOT(ISNUMBER(I151)),N(I150)=0),"",I151/I150),"")</f>
        <v/>
      </c>
      <c r="J153" s="49" t="str">
        <f aca="false">IFERROR(IF(OR(NOT(ISNUMBER(J151)),N(J150)=0),"",J151/J150),"")</f>
        <v/>
      </c>
      <c r="K153" s="49" t="str">
        <f aca="false">IFERROR(IF(OR(NOT(ISNUMBER(K151)),N(K150)=0),"",K151/K150),"")</f>
        <v/>
      </c>
      <c r="L153" s="49" t="str">
        <f aca="false">IFERROR(IF(OR(NOT(ISNUMBER(L151)),N(L150)=0),"",L151/L150),"")</f>
        <v/>
      </c>
      <c r="M153" s="49" t="str">
        <f aca="false">IFERROR(IF(OR(NOT(ISNUMBER(M151)),N(M150)=0),"",M151/M150),"")</f>
        <v/>
      </c>
      <c r="N153" s="49" t="str">
        <f aca="false">IFERROR(IF(OR(NOT(ISNUMBER(N151)),N(N150)=0),"",N151/N150),"")</f>
        <v/>
      </c>
    </row>
    <row r="154" customFormat="false" ht="15" hidden="true" customHeight="false" outlineLevel="1" collapsed="false">
      <c r="A154" s="11" t="s">
        <v>1876</v>
      </c>
      <c r="B154" s="15" t="s">
        <v>1866</v>
      </c>
      <c r="C154" s="11" t="s">
        <v>367</v>
      </c>
      <c r="E154" s="49" t="str">
        <f aca="false">IFERROR(IF(OR(NOT(ISNUMBER(E152)),N(E151)=0),"",E152/E151),"")</f>
        <v/>
      </c>
      <c r="F154" s="49" t="str">
        <f aca="false">IFERROR(IF(OR(NOT(ISNUMBER(F152)),N(F151)=0),"",F152/F151),"")</f>
        <v/>
      </c>
      <c r="G154" s="49" t="str">
        <f aca="false">IFERROR(IF(OR(NOT(ISNUMBER(G152)),N(G151)=0),"",G152/G151),"")</f>
        <v/>
      </c>
      <c r="H154" s="49" t="str">
        <f aca="false">IFERROR(IF(OR(NOT(ISNUMBER(H152)),N(H151)=0),"",H152/H151),"")</f>
        <v/>
      </c>
      <c r="I154" s="49" t="str">
        <f aca="false">IFERROR(IF(OR(NOT(ISNUMBER(I152)),N(I151)=0),"",I152/I151),"")</f>
        <v/>
      </c>
      <c r="J154" s="49" t="str">
        <f aca="false">IFERROR(IF(OR(NOT(ISNUMBER(J152)),N(J151)=0),"",J152/J151),"")</f>
        <v/>
      </c>
      <c r="K154" s="49" t="str">
        <f aca="false">IFERROR(IF(OR(NOT(ISNUMBER(K152)),N(K151)=0),"",K152/K151),"")</f>
        <v/>
      </c>
      <c r="L154" s="49" t="str">
        <f aca="false">IFERROR(IF(OR(NOT(ISNUMBER(L152)),N(L151)=0),"",L152/L151),"")</f>
        <v/>
      </c>
      <c r="M154" s="49" t="str">
        <f aca="false">IFERROR(IF(OR(NOT(ISNUMBER(M152)),N(M151)=0),"",M152/M151),"")</f>
        <v/>
      </c>
      <c r="N154" s="49" t="str">
        <f aca="false">IFERROR(IF(OR(NOT(ISNUMBER(N152)),N(N151)=0),"",N152/N151),"")</f>
        <v/>
      </c>
      <c r="O154" s="99" t="str">
        <f aca="false">IFERROR(IF(OR(NOT(ISNUMBER(O152)),N(O151)=0),"",O152/O151),"")</f>
        <v/>
      </c>
    </row>
    <row r="155" customFormat="false" ht="15" hidden="true" customHeight="false" outlineLevel="1" collapsed="false">
      <c r="A155" s="11" t="s">
        <v>1877</v>
      </c>
      <c r="B155" s="53" t="str">
        <f aca="false">IF(INDEX(Prod_Nombre,4)="","Producto 4",INDEX(Prod_Nombre,4))&amp;" — capacidad instalada"</f>
        <v>Producto 4 — capacidad instalada</v>
      </c>
      <c r="C155" s="11" t="s">
        <v>544</v>
      </c>
      <c r="E155" s="37"/>
      <c r="F155" s="37"/>
      <c r="G155" s="37"/>
      <c r="H155" s="37"/>
      <c r="I155" s="37"/>
      <c r="J155" s="37"/>
      <c r="K155" s="37"/>
      <c r="L155" s="37"/>
      <c r="M155" s="37"/>
      <c r="N155" s="37"/>
    </row>
    <row r="156" customFormat="false" ht="15" hidden="true" customHeight="false" outlineLevel="1" collapsed="false">
      <c r="A156" s="11" t="s">
        <v>1878</v>
      </c>
      <c r="B156" s="15" t="s">
        <v>1860</v>
      </c>
      <c r="C156" s="11" t="s">
        <v>544</v>
      </c>
      <c r="D156" s="37"/>
      <c r="E156" s="37"/>
      <c r="F156" s="37"/>
      <c r="G156" s="37"/>
      <c r="H156" s="37"/>
      <c r="I156" s="37"/>
      <c r="J156" s="37"/>
      <c r="K156" s="37"/>
      <c r="L156" s="37"/>
      <c r="M156" s="37"/>
      <c r="N156" s="37"/>
      <c r="O156" s="54" t="str">
        <f aca="false">IF(COUNT(D156:N156)=0,"",SUM(D156:N156))</f>
        <v/>
      </c>
    </row>
    <row r="157" customFormat="false" ht="15" hidden="true" customHeight="false" outlineLevel="1" collapsed="false">
      <c r="A157" s="11" t="s">
        <v>1879</v>
      </c>
      <c r="B157" s="15" t="s">
        <v>1862</v>
      </c>
      <c r="C157" s="11" t="s">
        <v>544</v>
      </c>
      <c r="D157" s="37"/>
      <c r="E157" s="37"/>
      <c r="F157" s="37"/>
      <c r="G157" s="37"/>
      <c r="H157" s="37"/>
      <c r="I157" s="37"/>
      <c r="J157" s="37"/>
      <c r="K157" s="37"/>
      <c r="L157" s="37"/>
      <c r="M157" s="37"/>
      <c r="N157" s="37"/>
      <c r="O157" s="54" t="str">
        <f aca="false">IF(COUNT(D157:N157)=0,"",SUM(D157:N157))</f>
        <v/>
      </c>
    </row>
    <row r="158" customFormat="false" ht="15" hidden="true" customHeight="false" outlineLevel="1" collapsed="false">
      <c r="A158" s="11" t="s">
        <v>1880</v>
      </c>
      <c r="B158" s="15" t="s">
        <v>1864</v>
      </c>
      <c r="C158" s="11" t="s">
        <v>367</v>
      </c>
      <c r="E158" s="49" t="str">
        <f aca="false">IFERROR(IF(OR(NOT(ISNUMBER(E156)),N(E155)=0),"",E156/E155),"")</f>
        <v/>
      </c>
      <c r="F158" s="49" t="str">
        <f aca="false">IFERROR(IF(OR(NOT(ISNUMBER(F156)),N(F155)=0),"",F156/F155),"")</f>
        <v/>
      </c>
      <c r="G158" s="49" t="str">
        <f aca="false">IFERROR(IF(OR(NOT(ISNUMBER(G156)),N(G155)=0),"",G156/G155),"")</f>
        <v/>
      </c>
      <c r="H158" s="49" t="str">
        <f aca="false">IFERROR(IF(OR(NOT(ISNUMBER(H156)),N(H155)=0),"",H156/H155),"")</f>
        <v/>
      </c>
      <c r="I158" s="49" t="str">
        <f aca="false">IFERROR(IF(OR(NOT(ISNUMBER(I156)),N(I155)=0),"",I156/I155),"")</f>
        <v/>
      </c>
      <c r="J158" s="49" t="str">
        <f aca="false">IFERROR(IF(OR(NOT(ISNUMBER(J156)),N(J155)=0),"",J156/J155),"")</f>
        <v/>
      </c>
      <c r="K158" s="49" t="str">
        <f aca="false">IFERROR(IF(OR(NOT(ISNUMBER(K156)),N(K155)=0),"",K156/K155),"")</f>
        <v/>
      </c>
      <c r="L158" s="49" t="str">
        <f aca="false">IFERROR(IF(OR(NOT(ISNUMBER(L156)),N(L155)=0),"",L156/L155),"")</f>
        <v/>
      </c>
      <c r="M158" s="49" t="str">
        <f aca="false">IFERROR(IF(OR(NOT(ISNUMBER(M156)),N(M155)=0),"",M156/M155),"")</f>
        <v/>
      </c>
      <c r="N158" s="49" t="str">
        <f aca="false">IFERROR(IF(OR(NOT(ISNUMBER(N156)),N(N155)=0),"",N156/N155),"")</f>
        <v/>
      </c>
    </row>
    <row r="159" customFormat="false" ht="15" hidden="true" customHeight="false" outlineLevel="1" collapsed="false">
      <c r="A159" s="11" t="s">
        <v>1881</v>
      </c>
      <c r="B159" s="15" t="s">
        <v>1866</v>
      </c>
      <c r="C159" s="11" t="s">
        <v>367</v>
      </c>
      <c r="E159" s="49" t="str">
        <f aca="false">IFERROR(IF(OR(NOT(ISNUMBER(E157)),N(E156)=0),"",E157/E156),"")</f>
        <v/>
      </c>
      <c r="F159" s="49" t="str">
        <f aca="false">IFERROR(IF(OR(NOT(ISNUMBER(F157)),N(F156)=0),"",F157/F156),"")</f>
        <v/>
      </c>
      <c r="G159" s="49" t="str">
        <f aca="false">IFERROR(IF(OR(NOT(ISNUMBER(G157)),N(G156)=0),"",G157/G156),"")</f>
        <v/>
      </c>
      <c r="H159" s="49" t="str">
        <f aca="false">IFERROR(IF(OR(NOT(ISNUMBER(H157)),N(H156)=0),"",H157/H156),"")</f>
        <v/>
      </c>
      <c r="I159" s="49" t="str">
        <f aca="false">IFERROR(IF(OR(NOT(ISNUMBER(I157)),N(I156)=0),"",I157/I156),"")</f>
        <v/>
      </c>
      <c r="J159" s="49" t="str">
        <f aca="false">IFERROR(IF(OR(NOT(ISNUMBER(J157)),N(J156)=0),"",J157/J156),"")</f>
        <v/>
      </c>
      <c r="K159" s="49" t="str">
        <f aca="false">IFERROR(IF(OR(NOT(ISNUMBER(K157)),N(K156)=0),"",K157/K156),"")</f>
        <v/>
      </c>
      <c r="L159" s="49" t="str">
        <f aca="false">IFERROR(IF(OR(NOT(ISNUMBER(L157)),N(L156)=0),"",L157/L156),"")</f>
        <v/>
      </c>
      <c r="M159" s="49" t="str">
        <f aca="false">IFERROR(IF(OR(NOT(ISNUMBER(M157)),N(M156)=0),"",M157/M156),"")</f>
        <v/>
      </c>
      <c r="N159" s="49" t="str">
        <f aca="false">IFERROR(IF(OR(NOT(ISNUMBER(N157)),N(N156)=0),"",N157/N156),"")</f>
        <v/>
      </c>
      <c r="O159" s="99" t="str">
        <f aca="false">IFERROR(IF(OR(NOT(ISNUMBER(O157)),N(O156)=0),"",O157/O156),"")</f>
        <v/>
      </c>
    </row>
    <row r="160" customFormat="false" ht="15" hidden="true" customHeight="false" outlineLevel="1" collapsed="false">
      <c r="A160" s="11" t="s">
        <v>1882</v>
      </c>
      <c r="B160" s="53" t="str">
        <f aca="false">IF(INDEX(Prod_Nombre,5)="","Producto 5",INDEX(Prod_Nombre,5))&amp;" — capacidad instalada"</f>
        <v>Producto 5 — capacidad instalada</v>
      </c>
      <c r="C160" s="11" t="s">
        <v>544</v>
      </c>
      <c r="E160" s="37"/>
      <c r="F160" s="37"/>
      <c r="G160" s="37"/>
      <c r="H160" s="37"/>
      <c r="I160" s="37"/>
      <c r="J160" s="37"/>
      <c r="K160" s="37"/>
      <c r="L160" s="37"/>
      <c r="M160" s="37"/>
      <c r="N160" s="37"/>
    </row>
    <row r="161" customFormat="false" ht="15" hidden="true" customHeight="false" outlineLevel="1" collapsed="false">
      <c r="A161" s="11" t="s">
        <v>1883</v>
      </c>
      <c r="B161" s="15" t="s">
        <v>1860</v>
      </c>
      <c r="C161" s="11" t="s">
        <v>544</v>
      </c>
      <c r="D161" s="37"/>
      <c r="E161" s="37"/>
      <c r="F161" s="37"/>
      <c r="G161" s="37"/>
      <c r="H161" s="37"/>
      <c r="I161" s="37"/>
      <c r="J161" s="37"/>
      <c r="K161" s="37"/>
      <c r="L161" s="37"/>
      <c r="M161" s="37"/>
      <c r="N161" s="37"/>
      <c r="O161" s="54" t="str">
        <f aca="false">IF(COUNT(D161:N161)=0,"",SUM(D161:N161))</f>
        <v/>
      </c>
    </row>
    <row r="162" customFormat="false" ht="15" hidden="true" customHeight="false" outlineLevel="1" collapsed="false">
      <c r="A162" s="11" t="s">
        <v>1884</v>
      </c>
      <c r="B162" s="15" t="s">
        <v>1862</v>
      </c>
      <c r="C162" s="11" t="s">
        <v>544</v>
      </c>
      <c r="D162" s="37"/>
      <c r="E162" s="37"/>
      <c r="F162" s="37"/>
      <c r="G162" s="37"/>
      <c r="H162" s="37"/>
      <c r="I162" s="37"/>
      <c r="J162" s="37"/>
      <c r="K162" s="37"/>
      <c r="L162" s="37"/>
      <c r="M162" s="37"/>
      <c r="N162" s="37"/>
      <c r="O162" s="54" t="str">
        <f aca="false">IF(COUNT(D162:N162)=0,"",SUM(D162:N162))</f>
        <v/>
      </c>
    </row>
    <row r="163" customFormat="false" ht="15" hidden="true" customHeight="false" outlineLevel="1" collapsed="false">
      <c r="A163" s="11" t="s">
        <v>1885</v>
      </c>
      <c r="B163" s="15" t="s">
        <v>1864</v>
      </c>
      <c r="C163" s="11" t="s">
        <v>367</v>
      </c>
      <c r="E163" s="49" t="str">
        <f aca="false">IFERROR(IF(OR(NOT(ISNUMBER(E161)),N(E160)=0),"",E161/E160),"")</f>
        <v/>
      </c>
      <c r="F163" s="49" t="str">
        <f aca="false">IFERROR(IF(OR(NOT(ISNUMBER(F161)),N(F160)=0),"",F161/F160),"")</f>
        <v/>
      </c>
      <c r="G163" s="49" t="str">
        <f aca="false">IFERROR(IF(OR(NOT(ISNUMBER(G161)),N(G160)=0),"",G161/G160),"")</f>
        <v/>
      </c>
      <c r="H163" s="49" t="str">
        <f aca="false">IFERROR(IF(OR(NOT(ISNUMBER(H161)),N(H160)=0),"",H161/H160),"")</f>
        <v/>
      </c>
      <c r="I163" s="49" t="str">
        <f aca="false">IFERROR(IF(OR(NOT(ISNUMBER(I161)),N(I160)=0),"",I161/I160),"")</f>
        <v/>
      </c>
      <c r="J163" s="49" t="str">
        <f aca="false">IFERROR(IF(OR(NOT(ISNUMBER(J161)),N(J160)=0),"",J161/J160),"")</f>
        <v/>
      </c>
      <c r="K163" s="49" t="str">
        <f aca="false">IFERROR(IF(OR(NOT(ISNUMBER(K161)),N(K160)=0),"",K161/K160),"")</f>
        <v/>
      </c>
      <c r="L163" s="49" t="str">
        <f aca="false">IFERROR(IF(OR(NOT(ISNUMBER(L161)),N(L160)=0),"",L161/L160),"")</f>
        <v/>
      </c>
      <c r="M163" s="49" t="str">
        <f aca="false">IFERROR(IF(OR(NOT(ISNUMBER(M161)),N(M160)=0),"",M161/M160),"")</f>
        <v/>
      </c>
      <c r="N163" s="49" t="str">
        <f aca="false">IFERROR(IF(OR(NOT(ISNUMBER(N161)),N(N160)=0),"",N161/N160),"")</f>
        <v/>
      </c>
    </row>
    <row r="164" customFormat="false" ht="15" hidden="true" customHeight="false" outlineLevel="1" collapsed="false">
      <c r="A164" s="11" t="s">
        <v>1886</v>
      </c>
      <c r="B164" s="15" t="s">
        <v>1866</v>
      </c>
      <c r="C164" s="11" t="s">
        <v>367</v>
      </c>
      <c r="E164" s="49" t="str">
        <f aca="false">IFERROR(IF(OR(NOT(ISNUMBER(E162)),N(E161)=0),"",E162/E161),"")</f>
        <v/>
      </c>
      <c r="F164" s="49" t="str">
        <f aca="false">IFERROR(IF(OR(NOT(ISNUMBER(F162)),N(F161)=0),"",F162/F161),"")</f>
        <v/>
      </c>
      <c r="G164" s="49" t="str">
        <f aca="false">IFERROR(IF(OR(NOT(ISNUMBER(G162)),N(G161)=0),"",G162/G161),"")</f>
        <v/>
      </c>
      <c r="H164" s="49" t="str">
        <f aca="false">IFERROR(IF(OR(NOT(ISNUMBER(H162)),N(H161)=0),"",H162/H161),"")</f>
        <v/>
      </c>
      <c r="I164" s="49" t="str">
        <f aca="false">IFERROR(IF(OR(NOT(ISNUMBER(I162)),N(I161)=0),"",I162/I161),"")</f>
        <v/>
      </c>
      <c r="J164" s="49" t="str">
        <f aca="false">IFERROR(IF(OR(NOT(ISNUMBER(J162)),N(J161)=0),"",J162/J161),"")</f>
        <v/>
      </c>
      <c r="K164" s="49" t="str">
        <f aca="false">IFERROR(IF(OR(NOT(ISNUMBER(K162)),N(K161)=0),"",K162/K161),"")</f>
        <v/>
      </c>
      <c r="L164" s="49" t="str">
        <f aca="false">IFERROR(IF(OR(NOT(ISNUMBER(L162)),N(L161)=0),"",L162/L161),"")</f>
        <v/>
      </c>
      <c r="M164" s="49" t="str">
        <f aca="false">IFERROR(IF(OR(NOT(ISNUMBER(M162)),N(M161)=0),"",M162/M161),"")</f>
        <v/>
      </c>
      <c r="N164" s="49" t="str">
        <f aca="false">IFERROR(IF(OR(NOT(ISNUMBER(N162)),N(N161)=0),"",N162/N161),"")</f>
        <v/>
      </c>
      <c r="O164" s="99" t="str">
        <f aca="false">IFERROR(IF(OR(NOT(ISNUMBER(O162)),N(O161)=0),"",O162/O161),"")</f>
        <v/>
      </c>
    </row>
    <row r="165" customFormat="false" ht="15" hidden="true" customHeight="false" outlineLevel="1" collapsed="false">
      <c r="A165" s="11" t="s">
        <v>1887</v>
      </c>
      <c r="B165" s="53" t="str">
        <f aca="false">IF(INDEX(Prod_Nombre,6)="","Producto 6",INDEX(Prod_Nombre,6))&amp;" — capacidad instalada"</f>
        <v>Producto 6 — capacidad instalada</v>
      </c>
      <c r="C165" s="11" t="s">
        <v>544</v>
      </c>
      <c r="E165" s="37"/>
      <c r="F165" s="37"/>
      <c r="G165" s="37"/>
      <c r="H165" s="37"/>
      <c r="I165" s="37"/>
      <c r="J165" s="37"/>
      <c r="K165" s="37"/>
      <c r="L165" s="37"/>
      <c r="M165" s="37"/>
      <c r="N165" s="37"/>
    </row>
    <row r="166" customFormat="false" ht="15" hidden="true" customHeight="false" outlineLevel="1" collapsed="false">
      <c r="A166" s="11" t="s">
        <v>1888</v>
      </c>
      <c r="B166" s="15" t="s">
        <v>1860</v>
      </c>
      <c r="C166" s="11" t="s">
        <v>544</v>
      </c>
      <c r="D166" s="37"/>
      <c r="E166" s="37"/>
      <c r="F166" s="37"/>
      <c r="G166" s="37"/>
      <c r="H166" s="37"/>
      <c r="I166" s="37"/>
      <c r="J166" s="37"/>
      <c r="K166" s="37"/>
      <c r="L166" s="37"/>
      <c r="M166" s="37"/>
      <c r="N166" s="37"/>
      <c r="O166" s="54" t="str">
        <f aca="false">IF(COUNT(D166:N166)=0,"",SUM(D166:N166))</f>
        <v/>
      </c>
    </row>
    <row r="167" customFormat="false" ht="15" hidden="true" customHeight="false" outlineLevel="1" collapsed="false">
      <c r="A167" s="11" t="s">
        <v>1889</v>
      </c>
      <c r="B167" s="15" t="s">
        <v>1862</v>
      </c>
      <c r="C167" s="11" t="s">
        <v>544</v>
      </c>
      <c r="D167" s="37"/>
      <c r="E167" s="37"/>
      <c r="F167" s="37"/>
      <c r="G167" s="37"/>
      <c r="H167" s="37"/>
      <c r="I167" s="37"/>
      <c r="J167" s="37"/>
      <c r="K167" s="37"/>
      <c r="L167" s="37"/>
      <c r="M167" s="37"/>
      <c r="N167" s="37"/>
      <c r="O167" s="54" t="str">
        <f aca="false">IF(COUNT(D167:N167)=0,"",SUM(D167:N167))</f>
        <v/>
      </c>
    </row>
    <row r="168" customFormat="false" ht="15" hidden="true" customHeight="false" outlineLevel="1" collapsed="false">
      <c r="A168" s="11" t="s">
        <v>1890</v>
      </c>
      <c r="B168" s="15" t="s">
        <v>1864</v>
      </c>
      <c r="C168" s="11" t="s">
        <v>367</v>
      </c>
      <c r="E168" s="49" t="str">
        <f aca="false">IFERROR(IF(OR(NOT(ISNUMBER(E166)),N(E165)=0),"",E166/E165),"")</f>
        <v/>
      </c>
      <c r="F168" s="49" t="str">
        <f aca="false">IFERROR(IF(OR(NOT(ISNUMBER(F166)),N(F165)=0),"",F166/F165),"")</f>
        <v/>
      </c>
      <c r="G168" s="49" t="str">
        <f aca="false">IFERROR(IF(OR(NOT(ISNUMBER(G166)),N(G165)=0),"",G166/G165),"")</f>
        <v/>
      </c>
      <c r="H168" s="49" t="str">
        <f aca="false">IFERROR(IF(OR(NOT(ISNUMBER(H166)),N(H165)=0),"",H166/H165),"")</f>
        <v/>
      </c>
      <c r="I168" s="49" t="str">
        <f aca="false">IFERROR(IF(OR(NOT(ISNUMBER(I166)),N(I165)=0),"",I166/I165),"")</f>
        <v/>
      </c>
      <c r="J168" s="49" t="str">
        <f aca="false">IFERROR(IF(OR(NOT(ISNUMBER(J166)),N(J165)=0),"",J166/J165),"")</f>
        <v/>
      </c>
      <c r="K168" s="49" t="str">
        <f aca="false">IFERROR(IF(OR(NOT(ISNUMBER(K166)),N(K165)=0),"",K166/K165),"")</f>
        <v/>
      </c>
      <c r="L168" s="49" t="str">
        <f aca="false">IFERROR(IF(OR(NOT(ISNUMBER(L166)),N(L165)=0),"",L166/L165),"")</f>
        <v/>
      </c>
      <c r="M168" s="49" t="str">
        <f aca="false">IFERROR(IF(OR(NOT(ISNUMBER(M166)),N(M165)=0),"",M166/M165),"")</f>
        <v/>
      </c>
      <c r="N168" s="49" t="str">
        <f aca="false">IFERROR(IF(OR(NOT(ISNUMBER(N166)),N(N165)=0),"",N166/N165),"")</f>
        <v/>
      </c>
    </row>
    <row r="169" customFormat="false" ht="15" hidden="true" customHeight="false" outlineLevel="1" collapsed="false">
      <c r="A169" s="11" t="s">
        <v>1891</v>
      </c>
      <c r="B169" s="15" t="s">
        <v>1866</v>
      </c>
      <c r="C169" s="11" t="s">
        <v>367</v>
      </c>
      <c r="E169" s="49" t="str">
        <f aca="false">IFERROR(IF(OR(NOT(ISNUMBER(E167)),N(E166)=0),"",E167/E166),"")</f>
        <v/>
      </c>
      <c r="F169" s="49" t="str">
        <f aca="false">IFERROR(IF(OR(NOT(ISNUMBER(F167)),N(F166)=0),"",F167/F166),"")</f>
        <v/>
      </c>
      <c r="G169" s="49" t="str">
        <f aca="false">IFERROR(IF(OR(NOT(ISNUMBER(G167)),N(G166)=0),"",G167/G166),"")</f>
        <v/>
      </c>
      <c r="H169" s="49" t="str">
        <f aca="false">IFERROR(IF(OR(NOT(ISNUMBER(H167)),N(H166)=0),"",H167/H166),"")</f>
        <v/>
      </c>
      <c r="I169" s="49" t="str">
        <f aca="false">IFERROR(IF(OR(NOT(ISNUMBER(I167)),N(I166)=0),"",I167/I166),"")</f>
        <v/>
      </c>
      <c r="J169" s="49" t="str">
        <f aca="false">IFERROR(IF(OR(NOT(ISNUMBER(J167)),N(J166)=0),"",J167/J166),"")</f>
        <v/>
      </c>
      <c r="K169" s="49" t="str">
        <f aca="false">IFERROR(IF(OR(NOT(ISNUMBER(K167)),N(K166)=0),"",K167/K166),"")</f>
        <v/>
      </c>
      <c r="L169" s="49" t="str">
        <f aca="false">IFERROR(IF(OR(NOT(ISNUMBER(L167)),N(L166)=0),"",L167/L166),"")</f>
        <v/>
      </c>
      <c r="M169" s="49" t="str">
        <f aca="false">IFERROR(IF(OR(NOT(ISNUMBER(M167)),N(M166)=0),"",M167/M166),"")</f>
        <v/>
      </c>
      <c r="N169" s="49" t="str">
        <f aca="false">IFERROR(IF(OR(NOT(ISNUMBER(N167)),N(N166)=0),"",N167/N166),"")</f>
        <v/>
      </c>
      <c r="O169" s="99" t="str">
        <f aca="false">IFERROR(IF(OR(NOT(ISNUMBER(O167)),N(O166)=0),"",O167/O166),"")</f>
        <v/>
      </c>
    </row>
    <row r="170" customFormat="false" ht="15" hidden="true" customHeight="false" outlineLevel="1" collapsed="false">
      <c r="A170" s="11" t="s">
        <v>1892</v>
      </c>
      <c r="B170" s="53" t="str">
        <f aca="false">IF(INDEX(Prod_Nombre,7)="","Producto 7",INDEX(Prod_Nombre,7))&amp;" — capacidad instalada"</f>
        <v>Producto 7 — capacidad instalada</v>
      </c>
      <c r="C170" s="11" t="s">
        <v>544</v>
      </c>
      <c r="E170" s="37"/>
      <c r="F170" s="37"/>
      <c r="G170" s="37"/>
      <c r="H170" s="37"/>
      <c r="I170" s="37"/>
      <c r="J170" s="37"/>
      <c r="K170" s="37"/>
      <c r="L170" s="37"/>
      <c r="M170" s="37"/>
      <c r="N170" s="37"/>
    </row>
    <row r="171" customFormat="false" ht="15" hidden="true" customHeight="false" outlineLevel="1" collapsed="false">
      <c r="A171" s="11" t="s">
        <v>1893</v>
      </c>
      <c r="B171" s="15" t="s">
        <v>1860</v>
      </c>
      <c r="C171" s="11" t="s">
        <v>544</v>
      </c>
      <c r="D171" s="37"/>
      <c r="E171" s="37"/>
      <c r="F171" s="37"/>
      <c r="G171" s="37"/>
      <c r="H171" s="37"/>
      <c r="I171" s="37"/>
      <c r="J171" s="37"/>
      <c r="K171" s="37"/>
      <c r="L171" s="37"/>
      <c r="M171" s="37"/>
      <c r="N171" s="37"/>
      <c r="O171" s="54" t="str">
        <f aca="false">IF(COUNT(D171:N171)=0,"",SUM(D171:N171))</f>
        <v/>
      </c>
    </row>
    <row r="172" customFormat="false" ht="15" hidden="true" customHeight="false" outlineLevel="1" collapsed="false">
      <c r="A172" s="11" t="s">
        <v>1894</v>
      </c>
      <c r="B172" s="15" t="s">
        <v>1862</v>
      </c>
      <c r="C172" s="11" t="s">
        <v>544</v>
      </c>
      <c r="D172" s="37"/>
      <c r="E172" s="37"/>
      <c r="F172" s="37"/>
      <c r="G172" s="37"/>
      <c r="H172" s="37"/>
      <c r="I172" s="37"/>
      <c r="J172" s="37"/>
      <c r="K172" s="37"/>
      <c r="L172" s="37"/>
      <c r="M172" s="37"/>
      <c r="N172" s="37"/>
      <c r="O172" s="54" t="str">
        <f aca="false">IF(COUNT(D172:N172)=0,"",SUM(D172:N172))</f>
        <v/>
      </c>
    </row>
    <row r="173" customFormat="false" ht="15" hidden="true" customHeight="false" outlineLevel="1" collapsed="false">
      <c r="A173" s="11" t="s">
        <v>1895</v>
      </c>
      <c r="B173" s="15" t="s">
        <v>1864</v>
      </c>
      <c r="C173" s="11" t="s">
        <v>367</v>
      </c>
      <c r="E173" s="49" t="str">
        <f aca="false">IFERROR(IF(OR(NOT(ISNUMBER(E171)),N(E170)=0),"",E171/E170),"")</f>
        <v/>
      </c>
      <c r="F173" s="49" t="str">
        <f aca="false">IFERROR(IF(OR(NOT(ISNUMBER(F171)),N(F170)=0),"",F171/F170),"")</f>
        <v/>
      </c>
      <c r="G173" s="49" t="str">
        <f aca="false">IFERROR(IF(OR(NOT(ISNUMBER(G171)),N(G170)=0),"",G171/G170),"")</f>
        <v/>
      </c>
      <c r="H173" s="49" t="str">
        <f aca="false">IFERROR(IF(OR(NOT(ISNUMBER(H171)),N(H170)=0),"",H171/H170),"")</f>
        <v/>
      </c>
      <c r="I173" s="49" t="str">
        <f aca="false">IFERROR(IF(OR(NOT(ISNUMBER(I171)),N(I170)=0),"",I171/I170),"")</f>
        <v/>
      </c>
      <c r="J173" s="49" t="str">
        <f aca="false">IFERROR(IF(OR(NOT(ISNUMBER(J171)),N(J170)=0),"",J171/J170),"")</f>
        <v/>
      </c>
      <c r="K173" s="49" t="str">
        <f aca="false">IFERROR(IF(OR(NOT(ISNUMBER(K171)),N(K170)=0),"",K171/K170),"")</f>
        <v/>
      </c>
      <c r="L173" s="49" t="str">
        <f aca="false">IFERROR(IF(OR(NOT(ISNUMBER(L171)),N(L170)=0),"",L171/L170),"")</f>
        <v/>
      </c>
      <c r="M173" s="49" t="str">
        <f aca="false">IFERROR(IF(OR(NOT(ISNUMBER(M171)),N(M170)=0),"",M171/M170),"")</f>
        <v/>
      </c>
      <c r="N173" s="49" t="str">
        <f aca="false">IFERROR(IF(OR(NOT(ISNUMBER(N171)),N(N170)=0),"",N171/N170),"")</f>
        <v/>
      </c>
    </row>
    <row r="174" customFormat="false" ht="15" hidden="true" customHeight="false" outlineLevel="1" collapsed="false">
      <c r="A174" s="11" t="s">
        <v>1896</v>
      </c>
      <c r="B174" s="15" t="s">
        <v>1866</v>
      </c>
      <c r="C174" s="11" t="s">
        <v>367</v>
      </c>
      <c r="E174" s="49" t="str">
        <f aca="false">IFERROR(IF(OR(NOT(ISNUMBER(E172)),N(E171)=0),"",E172/E171),"")</f>
        <v/>
      </c>
      <c r="F174" s="49" t="str">
        <f aca="false">IFERROR(IF(OR(NOT(ISNUMBER(F172)),N(F171)=0),"",F172/F171),"")</f>
        <v/>
      </c>
      <c r="G174" s="49" t="str">
        <f aca="false">IFERROR(IF(OR(NOT(ISNUMBER(G172)),N(G171)=0),"",G172/G171),"")</f>
        <v/>
      </c>
      <c r="H174" s="49" t="str">
        <f aca="false">IFERROR(IF(OR(NOT(ISNUMBER(H172)),N(H171)=0),"",H172/H171),"")</f>
        <v/>
      </c>
      <c r="I174" s="49" t="str">
        <f aca="false">IFERROR(IF(OR(NOT(ISNUMBER(I172)),N(I171)=0),"",I172/I171),"")</f>
        <v/>
      </c>
      <c r="J174" s="49" t="str">
        <f aca="false">IFERROR(IF(OR(NOT(ISNUMBER(J172)),N(J171)=0),"",J172/J171),"")</f>
        <v/>
      </c>
      <c r="K174" s="49" t="str">
        <f aca="false">IFERROR(IF(OR(NOT(ISNUMBER(K172)),N(K171)=0),"",K172/K171),"")</f>
        <v/>
      </c>
      <c r="L174" s="49" t="str">
        <f aca="false">IFERROR(IF(OR(NOT(ISNUMBER(L172)),N(L171)=0),"",L172/L171),"")</f>
        <v/>
      </c>
      <c r="M174" s="49" t="str">
        <f aca="false">IFERROR(IF(OR(NOT(ISNUMBER(M172)),N(M171)=0),"",M172/M171),"")</f>
        <v/>
      </c>
      <c r="N174" s="49" t="str">
        <f aca="false">IFERROR(IF(OR(NOT(ISNUMBER(N172)),N(N171)=0),"",N172/N171),"")</f>
        <v/>
      </c>
      <c r="O174" s="99" t="str">
        <f aca="false">IFERROR(IF(OR(NOT(ISNUMBER(O172)),N(O171)=0),"",O172/O171),"")</f>
        <v/>
      </c>
    </row>
    <row r="175" customFormat="false" ht="15" hidden="true" customHeight="false" outlineLevel="1" collapsed="false">
      <c r="A175" s="11" t="s">
        <v>1897</v>
      </c>
      <c r="B175" s="53" t="str">
        <f aca="false">IF(INDEX(Prod_Nombre,8)="","Producto 8",INDEX(Prod_Nombre,8))&amp;" — capacidad instalada"</f>
        <v>Producto 8 — capacidad instalada</v>
      </c>
      <c r="C175" s="11" t="s">
        <v>544</v>
      </c>
      <c r="E175" s="37"/>
      <c r="F175" s="37"/>
      <c r="G175" s="37"/>
      <c r="H175" s="37"/>
      <c r="I175" s="37"/>
      <c r="J175" s="37"/>
      <c r="K175" s="37"/>
      <c r="L175" s="37"/>
      <c r="M175" s="37"/>
      <c r="N175" s="37"/>
    </row>
    <row r="176" customFormat="false" ht="15" hidden="true" customHeight="false" outlineLevel="1" collapsed="false">
      <c r="A176" s="11" t="s">
        <v>1898</v>
      </c>
      <c r="B176" s="15" t="s">
        <v>1860</v>
      </c>
      <c r="C176" s="11" t="s">
        <v>544</v>
      </c>
      <c r="D176" s="37"/>
      <c r="E176" s="37"/>
      <c r="F176" s="37"/>
      <c r="G176" s="37"/>
      <c r="H176" s="37"/>
      <c r="I176" s="37"/>
      <c r="J176" s="37"/>
      <c r="K176" s="37"/>
      <c r="L176" s="37"/>
      <c r="M176" s="37"/>
      <c r="N176" s="37"/>
      <c r="O176" s="54" t="str">
        <f aca="false">IF(COUNT(D176:N176)=0,"",SUM(D176:N176))</f>
        <v/>
      </c>
    </row>
    <row r="177" customFormat="false" ht="15" hidden="true" customHeight="false" outlineLevel="1" collapsed="false">
      <c r="A177" s="11" t="s">
        <v>1899</v>
      </c>
      <c r="B177" s="15" t="s">
        <v>1862</v>
      </c>
      <c r="C177" s="11" t="s">
        <v>544</v>
      </c>
      <c r="D177" s="37"/>
      <c r="E177" s="37"/>
      <c r="F177" s="37"/>
      <c r="G177" s="37"/>
      <c r="H177" s="37"/>
      <c r="I177" s="37"/>
      <c r="J177" s="37"/>
      <c r="K177" s="37"/>
      <c r="L177" s="37"/>
      <c r="M177" s="37"/>
      <c r="N177" s="37"/>
      <c r="O177" s="54" t="str">
        <f aca="false">IF(COUNT(D177:N177)=0,"",SUM(D177:N177))</f>
        <v/>
      </c>
    </row>
    <row r="178" customFormat="false" ht="15" hidden="true" customHeight="false" outlineLevel="1" collapsed="false">
      <c r="A178" s="11" t="s">
        <v>1900</v>
      </c>
      <c r="B178" s="15" t="s">
        <v>1864</v>
      </c>
      <c r="C178" s="11" t="s">
        <v>367</v>
      </c>
      <c r="E178" s="49" t="str">
        <f aca="false">IFERROR(IF(OR(NOT(ISNUMBER(E176)),N(E175)=0),"",E176/E175),"")</f>
        <v/>
      </c>
      <c r="F178" s="49" t="str">
        <f aca="false">IFERROR(IF(OR(NOT(ISNUMBER(F176)),N(F175)=0),"",F176/F175),"")</f>
        <v/>
      </c>
      <c r="G178" s="49" t="str">
        <f aca="false">IFERROR(IF(OR(NOT(ISNUMBER(G176)),N(G175)=0),"",G176/G175),"")</f>
        <v/>
      </c>
      <c r="H178" s="49" t="str">
        <f aca="false">IFERROR(IF(OR(NOT(ISNUMBER(H176)),N(H175)=0),"",H176/H175),"")</f>
        <v/>
      </c>
      <c r="I178" s="49" t="str">
        <f aca="false">IFERROR(IF(OR(NOT(ISNUMBER(I176)),N(I175)=0),"",I176/I175),"")</f>
        <v/>
      </c>
      <c r="J178" s="49" t="str">
        <f aca="false">IFERROR(IF(OR(NOT(ISNUMBER(J176)),N(J175)=0),"",J176/J175),"")</f>
        <v/>
      </c>
      <c r="K178" s="49" t="str">
        <f aca="false">IFERROR(IF(OR(NOT(ISNUMBER(K176)),N(K175)=0),"",K176/K175),"")</f>
        <v/>
      </c>
      <c r="L178" s="49" t="str">
        <f aca="false">IFERROR(IF(OR(NOT(ISNUMBER(L176)),N(L175)=0),"",L176/L175),"")</f>
        <v/>
      </c>
      <c r="M178" s="49" t="str">
        <f aca="false">IFERROR(IF(OR(NOT(ISNUMBER(M176)),N(M175)=0),"",M176/M175),"")</f>
        <v/>
      </c>
      <c r="N178" s="49" t="str">
        <f aca="false">IFERROR(IF(OR(NOT(ISNUMBER(N176)),N(N175)=0),"",N176/N175),"")</f>
        <v/>
      </c>
    </row>
    <row r="179" customFormat="false" ht="15" hidden="true" customHeight="false" outlineLevel="1" collapsed="false">
      <c r="A179" s="11" t="s">
        <v>1901</v>
      </c>
      <c r="B179" s="15" t="s">
        <v>1866</v>
      </c>
      <c r="C179" s="11" t="s">
        <v>367</v>
      </c>
      <c r="E179" s="49" t="str">
        <f aca="false">IFERROR(IF(OR(NOT(ISNUMBER(E177)),N(E176)=0),"",E177/E176),"")</f>
        <v/>
      </c>
      <c r="F179" s="49" t="str">
        <f aca="false">IFERROR(IF(OR(NOT(ISNUMBER(F177)),N(F176)=0),"",F177/F176),"")</f>
        <v/>
      </c>
      <c r="G179" s="49" t="str">
        <f aca="false">IFERROR(IF(OR(NOT(ISNUMBER(G177)),N(G176)=0),"",G177/G176),"")</f>
        <v/>
      </c>
      <c r="H179" s="49" t="str">
        <f aca="false">IFERROR(IF(OR(NOT(ISNUMBER(H177)),N(H176)=0),"",H177/H176),"")</f>
        <v/>
      </c>
      <c r="I179" s="49" t="str">
        <f aca="false">IFERROR(IF(OR(NOT(ISNUMBER(I177)),N(I176)=0),"",I177/I176),"")</f>
        <v/>
      </c>
      <c r="J179" s="49" t="str">
        <f aca="false">IFERROR(IF(OR(NOT(ISNUMBER(J177)),N(J176)=0),"",J177/J176),"")</f>
        <v/>
      </c>
      <c r="K179" s="49" t="str">
        <f aca="false">IFERROR(IF(OR(NOT(ISNUMBER(K177)),N(K176)=0),"",K177/K176),"")</f>
        <v/>
      </c>
      <c r="L179" s="49" t="str">
        <f aca="false">IFERROR(IF(OR(NOT(ISNUMBER(L177)),N(L176)=0),"",L177/L176),"")</f>
        <v/>
      </c>
      <c r="M179" s="49" t="str">
        <f aca="false">IFERROR(IF(OR(NOT(ISNUMBER(M177)),N(M176)=0),"",M177/M176),"")</f>
        <v/>
      </c>
      <c r="N179" s="49" t="str">
        <f aca="false">IFERROR(IF(OR(NOT(ISNUMBER(N177)),N(N176)=0),"",N177/N176),"")</f>
        <v/>
      </c>
      <c r="O179" s="99" t="str">
        <f aca="false">IFERROR(IF(OR(NOT(ISNUMBER(O177)),N(O176)=0),"",O177/O176),"")</f>
        <v/>
      </c>
    </row>
    <row r="180" customFormat="false" ht="15" hidden="true" customHeight="false" outlineLevel="1" collapsed="false">
      <c r="A180" s="11" t="s">
        <v>1902</v>
      </c>
      <c r="B180" s="53" t="str">
        <f aca="false">IF(INDEX(Prod_Nombre,9)="","Producto 9",INDEX(Prod_Nombre,9))&amp;" — capacidad instalada"</f>
        <v>Producto 9 — capacidad instalada</v>
      </c>
      <c r="C180" s="11" t="s">
        <v>544</v>
      </c>
      <c r="E180" s="37"/>
      <c r="F180" s="37"/>
      <c r="G180" s="37"/>
      <c r="H180" s="37"/>
      <c r="I180" s="37"/>
      <c r="J180" s="37"/>
      <c r="K180" s="37"/>
      <c r="L180" s="37"/>
      <c r="M180" s="37"/>
      <c r="N180" s="37"/>
    </row>
    <row r="181" customFormat="false" ht="15" hidden="true" customHeight="false" outlineLevel="1" collapsed="false">
      <c r="A181" s="11" t="s">
        <v>1903</v>
      </c>
      <c r="B181" s="15" t="s">
        <v>1860</v>
      </c>
      <c r="C181" s="11" t="s">
        <v>544</v>
      </c>
      <c r="D181" s="37"/>
      <c r="E181" s="37"/>
      <c r="F181" s="37"/>
      <c r="G181" s="37"/>
      <c r="H181" s="37"/>
      <c r="I181" s="37"/>
      <c r="J181" s="37"/>
      <c r="K181" s="37"/>
      <c r="L181" s="37"/>
      <c r="M181" s="37"/>
      <c r="N181" s="37"/>
      <c r="O181" s="54" t="str">
        <f aca="false">IF(COUNT(D181:N181)=0,"",SUM(D181:N181))</f>
        <v/>
      </c>
    </row>
    <row r="182" customFormat="false" ht="15" hidden="true" customHeight="false" outlineLevel="1" collapsed="false">
      <c r="A182" s="11" t="s">
        <v>1904</v>
      </c>
      <c r="B182" s="15" t="s">
        <v>1862</v>
      </c>
      <c r="C182" s="11" t="s">
        <v>544</v>
      </c>
      <c r="D182" s="37"/>
      <c r="E182" s="37"/>
      <c r="F182" s="37"/>
      <c r="G182" s="37"/>
      <c r="H182" s="37"/>
      <c r="I182" s="37"/>
      <c r="J182" s="37"/>
      <c r="K182" s="37"/>
      <c r="L182" s="37"/>
      <c r="M182" s="37"/>
      <c r="N182" s="37"/>
      <c r="O182" s="54" t="str">
        <f aca="false">IF(COUNT(D182:N182)=0,"",SUM(D182:N182))</f>
        <v/>
      </c>
    </row>
    <row r="183" customFormat="false" ht="15" hidden="true" customHeight="false" outlineLevel="1" collapsed="false">
      <c r="A183" s="11" t="s">
        <v>1905</v>
      </c>
      <c r="B183" s="15" t="s">
        <v>1864</v>
      </c>
      <c r="C183" s="11" t="s">
        <v>367</v>
      </c>
      <c r="E183" s="49" t="str">
        <f aca="false">IFERROR(IF(OR(NOT(ISNUMBER(E181)),N(E180)=0),"",E181/E180),"")</f>
        <v/>
      </c>
      <c r="F183" s="49" t="str">
        <f aca="false">IFERROR(IF(OR(NOT(ISNUMBER(F181)),N(F180)=0),"",F181/F180),"")</f>
        <v/>
      </c>
      <c r="G183" s="49" t="str">
        <f aca="false">IFERROR(IF(OR(NOT(ISNUMBER(G181)),N(G180)=0),"",G181/G180),"")</f>
        <v/>
      </c>
      <c r="H183" s="49" t="str">
        <f aca="false">IFERROR(IF(OR(NOT(ISNUMBER(H181)),N(H180)=0),"",H181/H180),"")</f>
        <v/>
      </c>
      <c r="I183" s="49" t="str">
        <f aca="false">IFERROR(IF(OR(NOT(ISNUMBER(I181)),N(I180)=0),"",I181/I180),"")</f>
        <v/>
      </c>
      <c r="J183" s="49" t="str">
        <f aca="false">IFERROR(IF(OR(NOT(ISNUMBER(J181)),N(J180)=0),"",J181/J180),"")</f>
        <v/>
      </c>
      <c r="K183" s="49" t="str">
        <f aca="false">IFERROR(IF(OR(NOT(ISNUMBER(K181)),N(K180)=0),"",K181/K180),"")</f>
        <v/>
      </c>
      <c r="L183" s="49" t="str">
        <f aca="false">IFERROR(IF(OR(NOT(ISNUMBER(L181)),N(L180)=0),"",L181/L180),"")</f>
        <v/>
      </c>
      <c r="M183" s="49" t="str">
        <f aca="false">IFERROR(IF(OR(NOT(ISNUMBER(M181)),N(M180)=0),"",M181/M180),"")</f>
        <v/>
      </c>
      <c r="N183" s="49" t="str">
        <f aca="false">IFERROR(IF(OR(NOT(ISNUMBER(N181)),N(N180)=0),"",N181/N180),"")</f>
        <v/>
      </c>
    </row>
    <row r="184" customFormat="false" ht="15" hidden="true" customHeight="false" outlineLevel="1" collapsed="false">
      <c r="A184" s="11" t="s">
        <v>1906</v>
      </c>
      <c r="B184" s="15" t="s">
        <v>1866</v>
      </c>
      <c r="C184" s="11" t="s">
        <v>367</v>
      </c>
      <c r="E184" s="49" t="str">
        <f aca="false">IFERROR(IF(OR(NOT(ISNUMBER(E182)),N(E181)=0),"",E182/E181),"")</f>
        <v/>
      </c>
      <c r="F184" s="49" t="str">
        <f aca="false">IFERROR(IF(OR(NOT(ISNUMBER(F182)),N(F181)=0),"",F182/F181),"")</f>
        <v/>
      </c>
      <c r="G184" s="49" t="str">
        <f aca="false">IFERROR(IF(OR(NOT(ISNUMBER(G182)),N(G181)=0),"",G182/G181),"")</f>
        <v/>
      </c>
      <c r="H184" s="49" t="str">
        <f aca="false">IFERROR(IF(OR(NOT(ISNUMBER(H182)),N(H181)=0),"",H182/H181),"")</f>
        <v/>
      </c>
      <c r="I184" s="49" t="str">
        <f aca="false">IFERROR(IF(OR(NOT(ISNUMBER(I182)),N(I181)=0),"",I182/I181),"")</f>
        <v/>
      </c>
      <c r="J184" s="49" t="str">
        <f aca="false">IFERROR(IF(OR(NOT(ISNUMBER(J182)),N(J181)=0),"",J182/J181),"")</f>
        <v/>
      </c>
      <c r="K184" s="49" t="str">
        <f aca="false">IFERROR(IF(OR(NOT(ISNUMBER(K182)),N(K181)=0),"",K182/K181),"")</f>
        <v/>
      </c>
      <c r="L184" s="49" t="str">
        <f aca="false">IFERROR(IF(OR(NOT(ISNUMBER(L182)),N(L181)=0),"",L182/L181),"")</f>
        <v/>
      </c>
      <c r="M184" s="49" t="str">
        <f aca="false">IFERROR(IF(OR(NOT(ISNUMBER(M182)),N(M181)=0),"",M182/M181),"")</f>
        <v/>
      </c>
      <c r="N184" s="49" t="str">
        <f aca="false">IFERROR(IF(OR(NOT(ISNUMBER(N182)),N(N181)=0),"",N182/N181),"")</f>
        <v/>
      </c>
      <c r="O184" s="99" t="str">
        <f aca="false">IFERROR(IF(OR(NOT(ISNUMBER(O182)),N(O181)=0),"",O182/O181),"")</f>
        <v/>
      </c>
    </row>
    <row r="185" customFormat="false" ht="15" hidden="true" customHeight="false" outlineLevel="1" collapsed="false">
      <c r="A185" s="11" t="s">
        <v>1907</v>
      </c>
      <c r="B185" s="53" t="str">
        <f aca="false">IF(INDEX(Prod_Nombre,10)="","Producto 10",INDEX(Prod_Nombre,10))&amp;" — capacidad instalada"</f>
        <v>Producto 10 — capacidad instalada</v>
      </c>
      <c r="C185" s="11" t="s">
        <v>544</v>
      </c>
      <c r="E185" s="37"/>
      <c r="F185" s="37"/>
      <c r="G185" s="37"/>
      <c r="H185" s="37"/>
      <c r="I185" s="37"/>
      <c r="J185" s="37"/>
      <c r="K185" s="37"/>
      <c r="L185" s="37"/>
      <c r="M185" s="37"/>
      <c r="N185" s="37"/>
    </row>
    <row r="186" customFormat="false" ht="15" hidden="true" customHeight="false" outlineLevel="1" collapsed="false">
      <c r="A186" s="11" t="s">
        <v>1908</v>
      </c>
      <c r="B186" s="15" t="s">
        <v>1860</v>
      </c>
      <c r="C186" s="11" t="s">
        <v>544</v>
      </c>
      <c r="D186" s="37"/>
      <c r="E186" s="37"/>
      <c r="F186" s="37"/>
      <c r="G186" s="37"/>
      <c r="H186" s="37"/>
      <c r="I186" s="37"/>
      <c r="J186" s="37"/>
      <c r="K186" s="37"/>
      <c r="L186" s="37"/>
      <c r="M186" s="37"/>
      <c r="N186" s="37"/>
      <c r="O186" s="54" t="str">
        <f aca="false">IF(COUNT(D186:N186)=0,"",SUM(D186:N186))</f>
        <v/>
      </c>
    </row>
    <row r="187" customFormat="false" ht="15" hidden="true" customHeight="false" outlineLevel="1" collapsed="false">
      <c r="A187" s="11" t="s">
        <v>1909</v>
      </c>
      <c r="B187" s="15" t="s">
        <v>1862</v>
      </c>
      <c r="C187" s="11" t="s">
        <v>544</v>
      </c>
      <c r="D187" s="37"/>
      <c r="E187" s="37"/>
      <c r="F187" s="37"/>
      <c r="G187" s="37"/>
      <c r="H187" s="37"/>
      <c r="I187" s="37"/>
      <c r="J187" s="37"/>
      <c r="K187" s="37"/>
      <c r="L187" s="37"/>
      <c r="M187" s="37"/>
      <c r="N187" s="37"/>
      <c r="O187" s="54" t="str">
        <f aca="false">IF(COUNT(D187:N187)=0,"",SUM(D187:N187))</f>
        <v/>
      </c>
    </row>
    <row r="188" customFormat="false" ht="15" hidden="true" customHeight="false" outlineLevel="1" collapsed="false">
      <c r="A188" s="11" t="s">
        <v>1910</v>
      </c>
      <c r="B188" s="15" t="s">
        <v>1864</v>
      </c>
      <c r="C188" s="11" t="s">
        <v>367</v>
      </c>
      <c r="E188" s="49" t="str">
        <f aca="false">IFERROR(IF(OR(NOT(ISNUMBER(E186)),N(E185)=0),"",E186/E185),"")</f>
        <v/>
      </c>
      <c r="F188" s="49" t="str">
        <f aca="false">IFERROR(IF(OR(NOT(ISNUMBER(F186)),N(F185)=0),"",F186/F185),"")</f>
        <v/>
      </c>
      <c r="G188" s="49" t="str">
        <f aca="false">IFERROR(IF(OR(NOT(ISNUMBER(G186)),N(G185)=0),"",G186/G185),"")</f>
        <v/>
      </c>
      <c r="H188" s="49" t="str">
        <f aca="false">IFERROR(IF(OR(NOT(ISNUMBER(H186)),N(H185)=0),"",H186/H185),"")</f>
        <v/>
      </c>
      <c r="I188" s="49" t="str">
        <f aca="false">IFERROR(IF(OR(NOT(ISNUMBER(I186)),N(I185)=0),"",I186/I185),"")</f>
        <v/>
      </c>
      <c r="J188" s="49" t="str">
        <f aca="false">IFERROR(IF(OR(NOT(ISNUMBER(J186)),N(J185)=0),"",J186/J185),"")</f>
        <v/>
      </c>
      <c r="K188" s="49" t="str">
        <f aca="false">IFERROR(IF(OR(NOT(ISNUMBER(K186)),N(K185)=0),"",K186/K185),"")</f>
        <v/>
      </c>
      <c r="L188" s="49" t="str">
        <f aca="false">IFERROR(IF(OR(NOT(ISNUMBER(L186)),N(L185)=0),"",L186/L185),"")</f>
        <v/>
      </c>
      <c r="M188" s="49" t="str">
        <f aca="false">IFERROR(IF(OR(NOT(ISNUMBER(M186)),N(M185)=0),"",M186/M185),"")</f>
        <v/>
      </c>
      <c r="N188" s="49" t="str">
        <f aca="false">IFERROR(IF(OR(NOT(ISNUMBER(N186)),N(N185)=0),"",N186/N185),"")</f>
        <v/>
      </c>
    </row>
    <row r="189" customFormat="false" ht="15" hidden="true" customHeight="false" outlineLevel="1" collapsed="false">
      <c r="A189" s="11" t="s">
        <v>1911</v>
      </c>
      <c r="B189" s="15" t="s">
        <v>1866</v>
      </c>
      <c r="C189" s="11" t="s">
        <v>367</v>
      </c>
      <c r="E189" s="49" t="str">
        <f aca="false">IFERROR(IF(OR(NOT(ISNUMBER(E187)),N(E186)=0),"",E187/E186),"")</f>
        <v/>
      </c>
      <c r="F189" s="49" t="str">
        <f aca="false">IFERROR(IF(OR(NOT(ISNUMBER(F187)),N(F186)=0),"",F187/F186),"")</f>
        <v/>
      </c>
      <c r="G189" s="49" t="str">
        <f aca="false">IFERROR(IF(OR(NOT(ISNUMBER(G187)),N(G186)=0),"",G187/G186),"")</f>
        <v/>
      </c>
      <c r="H189" s="49" t="str">
        <f aca="false">IFERROR(IF(OR(NOT(ISNUMBER(H187)),N(H186)=0),"",H187/H186),"")</f>
        <v/>
      </c>
      <c r="I189" s="49" t="str">
        <f aca="false">IFERROR(IF(OR(NOT(ISNUMBER(I187)),N(I186)=0),"",I187/I186),"")</f>
        <v/>
      </c>
      <c r="J189" s="49" t="str">
        <f aca="false">IFERROR(IF(OR(NOT(ISNUMBER(J187)),N(J186)=0),"",J187/J186),"")</f>
        <v/>
      </c>
      <c r="K189" s="49" t="str">
        <f aca="false">IFERROR(IF(OR(NOT(ISNUMBER(K187)),N(K186)=0),"",K187/K186),"")</f>
        <v/>
      </c>
      <c r="L189" s="49" t="str">
        <f aca="false">IFERROR(IF(OR(NOT(ISNUMBER(L187)),N(L186)=0),"",L187/L186),"")</f>
        <v/>
      </c>
      <c r="M189" s="49" t="str">
        <f aca="false">IFERROR(IF(OR(NOT(ISNUMBER(M187)),N(M186)=0),"",M187/M186),"")</f>
        <v/>
      </c>
      <c r="N189" s="49" t="str">
        <f aca="false">IFERROR(IF(OR(NOT(ISNUMBER(N187)),N(N186)=0),"",N187/N186),"")</f>
        <v/>
      </c>
      <c r="O189" s="99" t="str">
        <f aca="false">IFERROR(IF(OR(NOT(ISNUMBER(O187)),N(O186)=0),"",O187/O186),"")</f>
        <v/>
      </c>
    </row>
    <row r="190" customFormat="false" ht="15" hidden="true" customHeight="false" outlineLevel="1" collapsed="false">
      <c r="A190" s="11" t="s">
        <v>1912</v>
      </c>
      <c r="B190" s="53" t="str">
        <f aca="false">IF(INDEX(Prod_Nombre,11)="","Producto 11",INDEX(Prod_Nombre,11))&amp;" — capacidad instalada"</f>
        <v>Producto 11 — capacidad instalada</v>
      </c>
      <c r="C190" s="11" t="s">
        <v>544</v>
      </c>
      <c r="E190" s="37"/>
      <c r="F190" s="37"/>
      <c r="G190" s="37"/>
      <c r="H190" s="37"/>
      <c r="I190" s="37"/>
      <c r="J190" s="37"/>
      <c r="K190" s="37"/>
      <c r="L190" s="37"/>
      <c r="M190" s="37"/>
      <c r="N190" s="37"/>
    </row>
    <row r="191" customFormat="false" ht="15" hidden="true" customHeight="false" outlineLevel="1" collapsed="false">
      <c r="A191" s="11" t="s">
        <v>1913</v>
      </c>
      <c r="B191" s="15" t="s">
        <v>1860</v>
      </c>
      <c r="C191" s="11" t="s">
        <v>544</v>
      </c>
      <c r="D191" s="37"/>
      <c r="E191" s="37"/>
      <c r="F191" s="37"/>
      <c r="G191" s="37"/>
      <c r="H191" s="37"/>
      <c r="I191" s="37"/>
      <c r="J191" s="37"/>
      <c r="K191" s="37"/>
      <c r="L191" s="37"/>
      <c r="M191" s="37"/>
      <c r="N191" s="37"/>
      <c r="O191" s="54" t="str">
        <f aca="false">IF(COUNT(D191:N191)=0,"",SUM(D191:N191))</f>
        <v/>
      </c>
    </row>
    <row r="192" customFormat="false" ht="15" hidden="true" customHeight="false" outlineLevel="1" collapsed="false">
      <c r="A192" s="11" t="s">
        <v>1914</v>
      </c>
      <c r="B192" s="15" t="s">
        <v>1862</v>
      </c>
      <c r="C192" s="11" t="s">
        <v>544</v>
      </c>
      <c r="D192" s="37"/>
      <c r="E192" s="37"/>
      <c r="F192" s="37"/>
      <c r="G192" s="37"/>
      <c r="H192" s="37"/>
      <c r="I192" s="37"/>
      <c r="J192" s="37"/>
      <c r="K192" s="37"/>
      <c r="L192" s="37"/>
      <c r="M192" s="37"/>
      <c r="N192" s="37"/>
      <c r="O192" s="54" t="str">
        <f aca="false">IF(COUNT(D192:N192)=0,"",SUM(D192:N192))</f>
        <v/>
      </c>
    </row>
    <row r="193" customFormat="false" ht="15" hidden="true" customHeight="false" outlineLevel="1" collapsed="false">
      <c r="A193" s="11" t="s">
        <v>1915</v>
      </c>
      <c r="B193" s="15" t="s">
        <v>1864</v>
      </c>
      <c r="C193" s="11" t="s">
        <v>367</v>
      </c>
      <c r="E193" s="49" t="str">
        <f aca="false">IFERROR(IF(OR(NOT(ISNUMBER(E191)),N(E190)=0),"",E191/E190),"")</f>
        <v/>
      </c>
      <c r="F193" s="49" t="str">
        <f aca="false">IFERROR(IF(OR(NOT(ISNUMBER(F191)),N(F190)=0),"",F191/F190),"")</f>
        <v/>
      </c>
      <c r="G193" s="49" t="str">
        <f aca="false">IFERROR(IF(OR(NOT(ISNUMBER(G191)),N(G190)=0),"",G191/G190),"")</f>
        <v/>
      </c>
      <c r="H193" s="49" t="str">
        <f aca="false">IFERROR(IF(OR(NOT(ISNUMBER(H191)),N(H190)=0),"",H191/H190),"")</f>
        <v/>
      </c>
      <c r="I193" s="49" t="str">
        <f aca="false">IFERROR(IF(OR(NOT(ISNUMBER(I191)),N(I190)=0),"",I191/I190),"")</f>
        <v/>
      </c>
      <c r="J193" s="49" t="str">
        <f aca="false">IFERROR(IF(OR(NOT(ISNUMBER(J191)),N(J190)=0),"",J191/J190),"")</f>
        <v/>
      </c>
      <c r="K193" s="49" t="str">
        <f aca="false">IFERROR(IF(OR(NOT(ISNUMBER(K191)),N(K190)=0),"",K191/K190),"")</f>
        <v/>
      </c>
      <c r="L193" s="49" t="str">
        <f aca="false">IFERROR(IF(OR(NOT(ISNUMBER(L191)),N(L190)=0),"",L191/L190),"")</f>
        <v/>
      </c>
      <c r="M193" s="49" t="str">
        <f aca="false">IFERROR(IF(OR(NOT(ISNUMBER(M191)),N(M190)=0),"",M191/M190),"")</f>
        <v/>
      </c>
      <c r="N193" s="49" t="str">
        <f aca="false">IFERROR(IF(OR(NOT(ISNUMBER(N191)),N(N190)=0),"",N191/N190),"")</f>
        <v/>
      </c>
    </row>
    <row r="194" customFormat="false" ht="15" hidden="true" customHeight="false" outlineLevel="1" collapsed="false">
      <c r="A194" s="11" t="s">
        <v>1916</v>
      </c>
      <c r="B194" s="15" t="s">
        <v>1866</v>
      </c>
      <c r="C194" s="11" t="s">
        <v>367</v>
      </c>
      <c r="E194" s="49" t="str">
        <f aca="false">IFERROR(IF(OR(NOT(ISNUMBER(E192)),N(E191)=0),"",E192/E191),"")</f>
        <v/>
      </c>
      <c r="F194" s="49" t="str">
        <f aca="false">IFERROR(IF(OR(NOT(ISNUMBER(F192)),N(F191)=0),"",F192/F191),"")</f>
        <v/>
      </c>
      <c r="G194" s="49" t="str">
        <f aca="false">IFERROR(IF(OR(NOT(ISNUMBER(G192)),N(G191)=0),"",G192/G191),"")</f>
        <v/>
      </c>
      <c r="H194" s="49" t="str">
        <f aca="false">IFERROR(IF(OR(NOT(ISNUMBER(H192)),N(H191)=0),"",H192/H191),"")</f>
        <v/>
      </c>
      <c r="I194" s="49" t="str">
        <f aca="false">IFERROR(IF(OR(NOT(ISNUMBER(I192)),N(I191)=0),"",I192/I191),"")</f>
        <v/>
      </c>
      <c r="J194" s="49" t="str">
        <f aca="false">IFERROR(IF(OR(NOT(ISNUMBER(J192)),N(J191)=0),"",J192/J191),"")</f>
        <v/>
      </c>
      <c r="K194" s="49" t="str">
        <f aca="false">IFERROR(IF(OR(NOT(ISNUMBER(K192)),N(K191)=0),"",K192/K191),"")</f>
        <v/>
      </c>
      <c r="L194" s="49" t="str">
        <f aca="false">IFERROR(IF(OR(NOT(ISNUMBER(L192)),N(L191)=0),"",L192/L191),"")</f>
        <v/>
      </c>
      <c r="M194" s="49" t="str">
        <f aca="false">IFERROR(IF(OR(NOT(ISNUMBER(M192)),N(M191)=0),"",M192/M191),"")</f>
        <v/>
      </c>
      <c r="N194" s="49" t="str">
        <f aca="false">IFERROR(IF(OR(NOT(ISNUMBER(N192)),N(N191)=0),"",N192/N191),"")</f>
        <v/>
      </c>
      <c r="O194" s="99" t="str">
        <f aca="false">IFERROR(IF(OR(NOT(ISNUMBER(O192)),N(O191)=0),"",O192/O191),"")</f>
        <v/>
      </c>
    </row>
    <row r="195" customFormat="false" ht="15" hidden="true" customHeight="false" outlineLevel="1" collapsed="false">
      <c r="A195" s="11" t="s">
        <v>1917</v>
      </c>
      <c r="B195" s="53" t="str">
        <f aca="false">IF(INDEX(Prod_Nombre,12)="","Producto 12",INDEX(Prod_Nombre,12))&amp;" — capacidad instalada"</f>
        <v>Producto 12 — capacidad instalada</v>
      </c>
      <c r="C195" s="11" t="s">
        <v>544</v>
      </c>
      <c r="E195" s="37"/>
      <c r="F195" s="37"/>
      <c r="G195" s="37"/>
      <c r="H195" s="37"/>
      <c r="I195" s="37"/>
      <c r="J195" s="37"/>
      <c r="K195" s="37"/>
      <c r="L195" s="37"/>
      <c r="M195" s="37"/>
      <c r="N195" s="37"/>
    </row>
    <row r="196" customFormat="false" ht="15" hidden="true" customHeight="false" outlineLevel="1" collapsed="false">
      <c r="A196" s="11" t="s">
        <v>1918</v>
      </c>
      <c r="B196" s="15" t="s">
        <v>1860</v>
      </c>
      <c r="C196" s="11" t="s">
        <v>544</v>
      </c>
      <c r="D196" s="37"/>
      <c r="E196" s="37"/>
      <c r="F196" s="37"/>
      <c r="G196" s="37"/>
      <c r="H196" s="37"/>
      <c r="I196" s="37"/>
      <c r="J196" s="37"/>
      <c r="K196" s="37"/>
      <c r="L196" s="37"/>
      <c r="M196" s="37"/>
      <c r="N196" s="37"/>
      <c r="O196" s="54" t="str">
        <f aca="false">IF(COUNT(D196:N196)=0,"",SUM(D196:N196))</f>
        <v/>
      </c>
    </row>
    <row r="197" customFormat="false" ht="15" hidden="true" customHeight="false" outlineLevel="1" collapsed="false">
      <c r="A197" s="11" t="s">
        <v>1919</v>
      </c>
      <c r="B197" s="15" t="s">
        <v>1862</v>
      </c>
      <c r="C197" s="11" t="s">
        <v>544</v>
      </c>
      <c r="D197" s="37"/>
      <c r="E197" s="37"/>
      <c r="F197" s="37"/>
      <c r="G197" s="37"/>
      <c r="H197" s="37"/>
      <c r="I197" s="37"/>
      <c r="J197" s="37"/>
      <c r="K197" s="37"/>
      <c r="L197" s="37"/>
      <c r="M197" s="37"/>
      <c r="N197" s="37"/>
      <c r="O197" s="54" t="str">
        <f aca="false">IF(COUNT(D197:N197)=0,"",SUM(D197:N197))</f>
        <v/>
      </c>
    </row>
    <row r="198" customFormat="false" ht="15" hidden="true" customHeight="false" outlineLevel="1" collapsed="false">
      <c r="A198" s="11" t="s">
        <v>1920</v>
      </c>
      <c r="B198" s="15" t="s">
        <v>1864</v>
      </c>
      <c r="C198" s="11" t="s">
        <v>367</v>
      </c>
      <c r="E198" s="49" t="str">
        <f aca="false">IFERROR(IF(OR(NOT(ISNUMBER(E196)),N(E195)=0),"",E196/E195),"")</f>
        <v/>
      </c>
      <c r="F198" s="49" t="str">
        <f aca="false">IFERROR(IF(OR(NOT(ISNUMBER(F196)),N(F195)=0),"",F196/F195),"")</f>
        <v/>
      </c>
      <c r="G198" s="49" t="str">
        <f aca="false">IFERROR(IF(OR(NOT(ISNUMBER(G196)),N(G195)=0),"",G196/G195),"")</f>
        <v/>
      </c>
      <c r="H198" s="49" t="str">
        <f aca="false">IFERROR(IF(OR(NOT(ISNUMBER(H196)),N(H195)=0),"",H196/H195),"")</f>
        <v/>
      </c>
      <c r="I198" s="49" t="str">
        <f aca="false">IFERROR(IF(OR(NOT(ISNUMBER(I196)),N(I195)=0),"",I196/I195),"")</f>
        <v/>
      </c>
      <c r="J198" s="49" t="str">
        <f aca="false">IFERROR(IF(OR(NOT(ISNUMBER(J196)),N(J195)=0),"",J196/J195),"")</f>
        <v/>
      </c>
      <c r="K198" s="49" t="str">
        <f aca="false">IFERROR(IF(OR(NOT(ISNUMBER(K196)),N(K195)=0),"",K196/K195),"")</f>
        <v/>
      </c>
      <c r="L198" s="49" t="str">
        <f aca="false">IFERROR(IF(OR(NOT(ISNUMBER(L196)),N(L195)=0),"",L196/L195),"")</f>
        <v/>
      </c>
      <c r="M198" s="49" t="str">
        <f aca="false">IFERROR(IF(OR(NOT(ISNUMBER(M196)),N(M195)=0),"",M196/M195),"")</f>
        <v/>
      </c>
      <c r="N198" s="49" t="str">
        <f aca="false">IFERROR(IF(OR(NOT(ISNUMBER(N196)),N(N195)=0),"",N196/N195),"")</f>
        <v/>
      </c>
    </row>
    <row r="199" customFormat="false" ht="15" hidden="true" customHeight="false" outlineLevel="1" collapsed="false">
      <c r="A199" s="11" t="s">
        <v>1921</v>
      </c>
      <c r="B199" s="15" t="s">
        <v>1866</v>
      </c>
      <c r="C199" s="11" t="s">
        <v>367</v>
      </c>
      <c r="E199" s="49" t="str">
        <f aca="false">IFERROR(IF(OR(NOT(ISNUMBER(E197)),N(E196)=0),"",E197/E196),"")</f>
        <v/>
      </c>
      <c r="F199" s="49" t="str">
        <f aca="false">IFERROR(IF(OR(NOT(ISNUMBER(F197)),N(F196)=0),"",F197/F196),"")</f>
        <v/>
      </c>
      <c r="G199" s="49" t="str">
        <f aca="false">IFERROR(IF(OR(NOT(ISNUMBER(G197)),N(G196)=0),"",G197/G196),"")</f>
        <v/>
      </c>
      <c r="H199" s="49" t="str">
        <f aca="false">IFERROR(IF(OR(NOT(ISNUMBER(H197)),N(H196)=0),"",H197/H196),"")</f>
        <v/>
      </c>
      <c r="I199" s="49" t="str">
        <f aca="false">IFERROR(IF(OR(NOT(ISNUMBER(I197)),N(I196)=0),"",I197/I196),"")</f>
        <v/>
      </c>
      <c r="J199" s="49" t="str">
        <f aca="false">IFERROR(IF(OR(NOT(ISNUMBER(J197)),N(J196)=0),"",J197/J196),"")</f>
        <v/>
      </c>
      <c r="K199" s="49" t="str">
        <f aca="false">IFERROR(IF(OR(NOT(ISNUMBER(K197)),N(K196)=0),"",K197/K196),"")</f>
        <v/>
      </c>
      <c r="L199" s="49" t="str">
        <f aca="false">IFERROR(IF(OR(NOT(ISNUMBER(L197)),N(L196)=0),"",L197/L196),"")</f>
        <v/>
      </c>
      <c r="M199" s="49" t="str">
        <f aca="false">IFERROR(IF(OR(NOT(ISNUMBER(M197)),N(M196)=0),"",M197/M196),"")</f>
        <v/>
      </c>
      <c r="N199" s="49" t="str">
        <f aca="false">IFERROR(IF(OR(NOT(ISNUMBER(N197)),N(N196)=0),"",N197/N196),"")</f>
        <v/>
      </c>
      <c r="O199" s="99" t="str">
        <f aca="false">IFERROR(IF(OR(NOT(ISNUMBER(O197)),N(O196)=0),"",O197/O196),"")</f>
        <v/>
      </c>
    </row>
    <row r="200" customFormat="false" ht="15" hidden="true" customHeight="false" outlineLevel="1" collapsed="false">
      <c r="A200" s="11" t="s">
        <v>1922</v>
      </c>
      <c r="B200" s="53" t="str">
        <f aca="false">IF(INDEX(Prod_Nombre,13)="","Producto 13",INDEX(Prod_Nombre,13))&amp;" — capacidad instalada"</f>
        <v>Producto 13 — capacidad instalada</v>
      </c>
      <c r="C200" s="11" t="s">
        <v>544</v>
      </c>
      <c r="E200" s="37"/>
      <c r="F200" s="37"/>
      <c r="G200" s="37"/>
      <c r="H200" s="37"/>
      <c r="I200" s="37"/>
      <c r="J200" s="37"/>
      <c r="K200" s="37"/>
      <c r="L200" s="37"/>
      <c r="M200" s="37"/>
      <c r="N200" s="37"/>
    </row>
    <row r="201" customFormat="false" ht="15" hidden="true" customHeight="false" outlineLevel="1" collapsed="false">
      <c r="A201" s="11" t="s">
        <v>1923</v>
      </c>
      <c r="B201" s="15" t="s">
        <v>1860</v>
      </c>
      <c r="C201" s="11" t="s">
        <v>544</v>
      </c>
      <c r="D201" s="37"/>
      <c r="E201" s="37"/>
      <c r="F201" s="37"/>
      <c r="G201" s="37"/>
      <c r="H201" s="37"/>
      <c r="I201" s="37"/>
      <c r="J201" s="37"/>
      <c r="K201" s="37"/>
      <c r="L201" s="37"/>
      <c r="M201" s="37"/>
      <c r="N201" s="37"/>
      <c r="O201" s="54" t="str">
        <f aca="false">IF(COUNT(D201:N201)=0,"",SUM(D201:N201))</f>
        <v/>
      </c>
    </row>
    <row r="202" customFormat="false" ht="15" hidden="true" customHeight="false" outlineLevel="1" collapsed="false">
      <c r="A202" s="11" t="s">
        <v>1924</v>
      </c>
      <c r="B202" s="15" t="s">
        <v>1862</v>
      </c>
      <c r="C202" s="11" t="s">
        <v>544</v>
      </c>
      <c r="D202" s="37"/>
      <c r="E202" s="37"/>
      <c r="F202" s="37"/>
      <c r="G202" s="37"/>
      <c r="H202" s="37"/>
      <c r="I202" s="37"/>
      <c r="J202" s="37"/>
      <c r="K202" s="37"/>
      <c r="L202" s="37"/>
      <c r="M202" s="37"/>
      <c r="N202" s="37"/>
      <c r="O202" s="54" t="str">
        <f aca="false">IF(COUNT(D202:N202)=0,"",SUM(D202:N202))</f>
        <v/>
      </c>
    </row>
    <row r="203" customFormat="false" ht="15" hidden="true" customHeight="false" outlineLevel="1" collapsed="false">
      <c r="A203" s="11" t="s">
        <v>1925</v>
      </c>
      <c r="B203" s="15" t="s">
        <v>1864</v>
      </c>
      <c r="C203" s="11" t="s">
        <v>367</v>
      </c>
      <c r="E203" s="49" t="str">
        <f aca="false">IFERROR(IF(OR(NOT(ISNUMBER(E201)),N(E200)=0),"",E201/E200),"")</f>
        <v/>
      </c>
      <c r="F203" s="49" t="str">
        <f aca="false">IFERROR(IF(OR(NOT(ISNUMBER(F201)),N(F200)=0),"",F201/F200),"")</f>
        <v/>
      </c>
      <c r="G203" s="49" t="str">
        <f aca="false">IFERROR(IF(OR(NOT(ISNUMBER(G201)),N(G200)=0),"",G201/G200),"")</f>
        <v/>
      </c>
      <c r="H203" s="49" t="str">
        <f aca="false">IFERROR(IF(OR(NOT(ISNUMBER(H201)),N(H200)=0),"",H201/H200),"")</f>
        <v/>
      </c>
      <c r="I203" s="49" t="str">
        <f aca="false">IFERROR(IF(OR(NOT(ISNUMBER(I201)),N(I200)=0),"",I201/I200),"")</f>
        <v/>
      </c>
      <c r="J203" s="49" t="str">
        <f aca="false">IFERROR(IF(OR(NOT(ISNUMBER(J201)),N(J200)=0),"",J201/J200),"")</f>
        <v/>
      </c>
      <c r="K203" s="49" t="str">
        <f aca="false">IFERROR(IF(OR(NOT(ISNUMBER(K201)),N(K200)=0),"",K201/K200),"")</f>
        <v/>
      </c>
      <c r="L203" s="49" t="str">
        <f aca="false">IFERROR(IF(OR(NOT(ISNUMBER(L201)),N(L200)=0),"",L201/L200),"")</f>
        <v/>
      </c>
      <c r="M203" s="49" t="str">
        <f aca="false">IFERROR(IF(OR(NOT(ISNUMBER(M201)),N(M200)=0),"",M201/M200),"")</f>
        <v/>
      </c>
      <c r="N203" s="49" t="str">
        <f aca="false">IFERROR(IF(OR(NOT(ISNUMBER(N201)),N(N200)=0),"",N201/N200),"")</f>
        <v/>
      </c>
    </row>
    <row r="204" customFormat="false" ht="15" hidden="true" customHeight="false" outlineLevel="1" collapsed="false">
      <c r="A204" s="11" t="s">
        <v>1926</v>
      </c>
      <c r="B204" s="15" t="s">
        <v>1866</v>
      </c>
      <c r="C204" s="11" t="s">
        <v>367</v>
      </c>
      <c r="E204" s="49" t="str">
        <f aca="false">IFERROR(IF(OR(NOT(ISNUMBER(E202)),N(E201)=0),"",E202/E201),"")</f>
        <v/>
      </c>
      <c r="F204" s="49" t="str">
        <f aca="false">IFERROR(IF(OR(NOT(ISNUMBER(F202)),N(F201)=0),"",F202/F201),"")</f>
        <v/>
      </c>
      <c r="G204" s="49" t="str">
        <f aca="false">IFERROR(IF(OR(NOT(ISNUMBER(G202)),N(G201)=0),"",G202/G201),"")</f>
        <v/>
      </c>
      <c r="H204" s="49" t="str">
        <f aca="false">IFERROR(IF(OR(NOT(ISNUMBER(H202)),N(H201)=0),"",H202/H201),"")</f>
        <v/>
      </c>
      <c r="I204" s="49" t="str">
        <f aca="false">IFERROR(IF(OR(NOT(ISNUMBER(I202)),N(I201)=0),"",I202/I201),"")</f>
        <v/>
      </c>
      <c r="J204" s="49" t="str">
        <f aca="false">IFERROR(IF(OR(NOT(ISNUMBER(J202)),N(J201)=0),"",J202/J201),"")</f>
        <v/>
      </c>
      <c r="K204" s="49" t="str">
        <f aca="false">IFERROR(IF(OR(NOT(ISNUMBER(K202)),N(K201)=0),"",K202/K201),"")</f>
        <v/>
      </c>
      <c r="L204" s="49" t="str">
        <f aca="false">IFERROR(IF(OR(NOT(ISNUMBER(L202)),N(L201)=0),"",L202/L201),"")</f>
        <v/>
      </c>
      <c r="M204" s="49" t="str">
        <f aca="false">IFERROR(IF(OR(NOT(ISNUMBER(M202)),N(M201)=0),"",M202/M201),"")</f>
        <v/>
      </c>
      <c r="N204" s="49" t="str">
        <f aca="false">IFERROR(IF(OR(NOT(ISNUMBER(N202)),N(N201)=0),"",N202/N201),"")</f>
        <v/>
      </c>
      <c r="O204" s="99" t="str">
        <f aca="false">IFERROR(IF(OR(NOT(ISNUMBER(O202)),N(O201)=0),"",O202/O201),"")</f>
        <v/>
      </c>
    </row>
    <row r="205" customFormat="false" ht="15" hidden="true" customHeight="false" outlineLevel="1" collapsed="false">
      <c r="A205" s="11" t="s">
        <v>1927</v>
      </c>
      <c r="B205" s="53" t="str">
        <f aca="false">IF(INDEX(Prod_Nombre,14)="","Producto 14",INDEX(Prod_Nombre,14))&amp;" — capacidad instalada"</f>
        <v>Producto 14 — capacidad instalada</v>
      </c>
      <c r="C205" s="11" t="s">
        <v>544</v>
      </c>
      <c r="E205" s="37"/>
      <c r="F205" s="37"/>
      <c r="G205" s="37"/>
      <c r="H205" s="37"/>
      <c r="I205" s="37"/>
      <c r="J205" s="37"/>
      <c r="K205" s="37"/>
      <c r="L205" s="37"/>
      <c r="M205" s="37"/>
      <c r="N205" s="37"/>
    </row>
    <row r="206" customFormat="false" ht="15" hidden="true" customHeight="false" outlineLevel="1" collapsed="false">
      <c r="A206" s="11" t="s">
        <v>1928</v>
      </c>
      <c r="B206" s="15" t="s">
        <v>1860</v>
      </c>
      <c r="C206" s="11" t="s">
        <v>544</v>
      </c>
      <c r="D206" s="37"/>
      <c r="E206" s="37"/>
      <c r="F206" s="37"/>
      <c r="G206" s="37"/>
      <c r="H206" s="37"/>
      <c r="I206" s="37"/>
      <c r="J206" s="37"/>
      <c r="K206" s="37"/>
      <c r="L206" s="37"/>
      <c r="M206" s="37"/>
      <c r="N206" s="37"/>
      <c r="O206" s="54" t="str">
        <f aca="false">IF(COUNT(D206:N206)=0,"",SUM(D206:N206))</f>
        <v/>
      </c>
    </row>
    <row r="207" customFormat="false" ht="15" hidden="true" customHeight="false" outlineLevel="1" collapsed="false">
      <c r="A207" s="11" t="s">
        <v>1929</v>
      </c>
      <c r="B207" s="15" t="s">
        <v>1862</v>
      </c>
      <c r="C207" s="11" t="s">
        <v>544</v>
      </c>
      <c r="D207" s="37"/>
      <c r="E207" s="37"/>
      <c r="F207" s="37"/>
      <c r="G207" s="37"/>
      <c r="H207" s="37"/>
      <c r="I207" s="37"/>
      <c r="J207" s="37"/>
      <c r="K207" s="37"/>
      <c r="L207" s="37"/>
      <c r="M207" s="37"/>
      <c r="N207" s="37"/>
      <c r="O207" s="54" t="str">
        <f aca="false">IF(COUNT(D207:N207)=0,"",SUM(D207:N207))</f>
        <v/>
      </c>
    </row>
    <row r="208" customFormat="false" ht="15" hidden="true" customHeight="false" outlineLevel="1" collapsed="false">
      <c r="A208" s="11" t="s">
        <v>1930</v>
      </c>
      <c r="B208" s="15" t="s">
        <v>1864</v>
      </c>
      <c r="C208" s="11" t="s">
        <v>367</v>
      </c>
      <c r="E208" s="49" t="str">
        <f aca="false">IFERROR(IF(OR(NOT(ISNUMBER(E206)),N(E205)=0),"",E206/E205),"")</f>
        <v/>
      </c>
      <c r="F208" s="49" t="str">
        <f aca="false">IFERROR(IF(OR(NOT(ISNUMBER(F206)),N(F205)=0),"",F206/F205),"")</f>
        <v/>
      </c>
      <c r="G208" s="49" t="str">
        <f aca="false">IFERROR(IF(OR(NOT(ISNUMBER(G206)),N(G205)=0),"",G206/G205),"")</f>
        <v/>
      </c>
      <c r="H208" s="49" t="str">
        <f aca="false">IFERROR(IF(OR(NOT(ISNUMBER(H206)),N(H205)=0),"",H206/H205),"")</f>
        <v/>
      </c>
      <c r="I208" s="49" t="str">
        <f aca="false">IFERROR(IF(OR(NOT(ISNUMBER(I206)),N(I205)=0),"",I206/I205),"")</f>
        <v/>
      </c>
      <c r="J208" s="49" t="str">
        <f aca="false">IFERROR(IF(OR(NOT(ISNUMBER(J206)),N(J205)=0),"",J206/J205),"")</f>
        <v/>
      </c>
      <c r="K208" s="49" t="str">
        <f aca="false">IFERROR(IF(OR(NOT(ISNUMBER(K206)),N(K205)=0),"",K206/K205),"")</f>
        <v/>
      </c>
      <c r="L208" s="49" t="str">
        <f aca="false">IFERROR(IF(OR(NOT(ISNUMBER(L206)),N(L205)=0),"",L206/L205),"")</f>
        <v/>
      </c>
      <c r="M208" s="49" t="str">
        <f aca="false">IFERROR(IF(OR(NOT(ISNUMBER(M206)),N(M205)=0),"",M206/M205),"")</f>
        <v/>
      </c>
      <c r="N208" s="49" t="str">
        <f aca="false">IFERROR(IF(OR(NOT(ISNUMBER(N206)),N(N205)=0),"",N206/N205),"")</f>
        <v/>
      </c>
    </row>
    <row r="209" customFormat="false" ht="15" hidden="true" customHeight="false" outlineLevel="1" collapsed="false">
      <c r="A209" s="11" t="s">
        <v>1931</v>
      </c>
      <c r="B209" s="15" t="s">
        <v>1866</v>
      </c>
      <c r="C209" s="11" t="s">
        <v>367</v>
      </c>
      <c r="E209" s="49" t="str">
        <f aca="false">IFERROR(IF(OR(NOT(ISNUMBER(E207)),N(E206)=0),"",E207/E206),"")</f>
        <v/>
      </c>
      <c r="F209" s="49" t="str">
        <f aca="false">IFERROR(IF(OR(NOT(ISNUMBER(F207)),N(F206)=0),"",F207/F206),"")</f>
        <v/>
      </c>
      <c r="G209" s="49" t="str">
        <f aca="false">IFERROR(IF(OR(NOT(ISNUMBER(G207)),N(G206)=0),"",G207/G206),"")</f>
        <v/>
      </c>
      <c r="H209" s="49" t="str">
        <f aca="false">IFERROR(IF(OR(NOT(ISNUMBER(H207)),N(H206)=0),"",H207/H206),"")</f>
        <v/>
      </c>
      <c r="I209" s="49" t="str">
        <f aca="false">IFERROR(IF(OR(NOT(ISNUMBER(I207)),N(I206)=0),"",I207/I206),"")</f>
        <v/>
      </c>
      <c r="J209" s="49" t="str">
        <f aca="false">IFERROR(IF(OR(NOT(ISNUMBER(J207)),N(J206)=0),"",J207/J206),"")</f>
        <v/>
      </c>
      <c r="K209" s="49" t="str">
        <f aca="false">IFERROR(IF(OR(NOT(ISNUMBER(K207)),N(K206)=0),"",K207/K206),"")</f>
        <v/>
      </c>
      <c r="L209" s="49" t="str">
        <f aca="false">IFERROR(IF(OR(NOT(ISNUMBER(L207)),N(L206)=0),"",L207/L206),"")</f>
        <v/>
      </c>
      <c r="M209" s="49" t="str">
        <f aca="false">IFERROR(IF(OR(NOT(ISNUMBER(M207)),N(M206)=0),"",M207/M206),"")</f>
        <v/>
      </c>
      <c r="N209" s="49" t="str">
        <f aca="false">IFERROR(IF(OR(NOT(ISNUMBER(N207)),N(N206)=0),"",N207/N206),"")</f>
        <v/>
      </c>
      <c r="O209" s="99" t="str">
        <f aca="false">IFERROR(IF(OR(NOT(ISNUMBER(O207)),N(O206)=0),"",O207/O206),"")</f>
        <v/>
      </c>
    </row>
    <row r="210" customFormat="false" ht="15" hidden="true" customHeight="false" outlineLevel="1" collapsed="false">
      <c r="A210" s="11" t="s">
        <v>1932</v>
      </c>
      <c r="B210" s="53" t="str">
        <f aca="false">IF(INDEX(Prod_Nombre,15)="","Producto 15",INDEX(Prod_Nombre,15))&amp;" — capacidad instalada"</f>
        <v>Producto 15 — capacidad instalada</v>
      </c>
      <c r="C210" s="11" t="s">
        <v>544</v>
      </c>
      <c r="E210" s="37"/>
      <c r="F210" s="37"/>
      <c r="G210" s="37"/>
      <c r="H210" s="37"/>
      <c r="I210" s="37"/>
      <c r="J210" s="37"/>
      <c r="K210" s="37"/>
      <c r="L210" s="37"/>
      <c r="M210" s="37"/>
      <c r="N210" s="37"/>
    </row>
    <row r="211" customFormat="false" ht="15" hidden="true" customHeight="false" outlineLevel="1" collapsed="false">
      <c r="A211" s="11" t="s">
        <v>1933</v>
      </c>
      <c r="B211" s="15" t="s">
        <v>1860</v>
      </c>
      <c r="C211" s="11" t="s">
        <v>544</v>
      </c>
      <c r="D211" s="37"/>
      <c r="E211" s="37"/>
      <c r="F211" s="37"/>
      <c r="G211" s="37"/>
      <c r="H211" s="37"/>
      <c r="I211" s="37"/>
      <c r="J211" s="37"/>
      <c r="K211" s="37"/>
      <c r="L211" s="37"/>
      <c r="M211" s="37"/>
      <c r="N211" s="37"/>
      <c r="O211" s="54" t="str">
        <f aca="false">IF(COUNT(D211:N211)=0,"",SUM(D211:N211))</f>
        <v/>
      </c>
    </row>
    <row r="212" customFormat="false" ht="15" hidden="true" customHeight="false" outlineLevel="1" collapsed="false">
      <c r="A212" s="11" t="s">
        <v>1934</v>
      </c>
      <c r="B212" s="15" t="s">
        <v>1862</v>
      </c>
      <c r="C212" s="11" t="s">
        <v>544</v>
      </c>
      <c r="D212" s="37"/>
      <c r="E212" s="37"/>
      <c r="F212" s="37"/>
      <c r="G212" s="37"/>
      <c r="H212" s="37"/>
      <c r="I212" s="37"/>
      <c r="J212" s="37"/>
      <c r="K212" s="37"/>
      <c r="L212" s="37"/>
      <c r="M212" s="37"/>
      <c r="N212" s="37"/>
      <c r="O212" s="54" t="str">
        <f aca="false">IF(COUNT(D212:N212)=0,"",SUM(D212:N212))</f>
        <v/>
      </c>
    </row>
    <row r="213" customFormat="false" ht="15" hidden="true" customHeight="false" outlineLevel="1" collapsed="false">
      <c r="A213" s="11" t="s">
        <v>1935</v>
      </c>
      <c r="B213" s="15" t="s">
        <v>1864</v>
      </c>
      <c r="C213" s="11" t="s">
        <v>367</v>
      </c>
      <c r="E213" s="49" t="str">
        <f aca="false">IFERROR(IF(OR(NOT(ISNUMBER(E211)),N(E210)=0),"",E211/E210),"")</f>
        <v/>
      </c>
      <c r="F213" s="49" t="str">
        <f aca="false">IFERROR(IF(OR(NOT(ISNUMBER(F211)),N(F210)=0),"",F211/F210),"")</f>
        <v/>
      </c>
      <c r="G213" s="49" t="str">
        <f aca="false">IFERROR(IF(OR(NOT(ISNUMBER(G211)),N(G210)=0),"",G211/G210),"")</f>
        <v/>
      </c>
      <c r="H213" s="49" t="str">
        <f aca="false">IFERROR(IF(OR(NOT(ISNUMBER(H211)),N(H210)=0),"",H211/H210),"")</f>
        <v/>
      </c>
      <c r="I213" s="49" t="str">
        <f aca="false">IFERROR(IF(OR(NOT(ISNUMBER(I211)),N(I210)=0),"",I211/I210),"")</f>
        <v/>
      </c>
      <c r="J213" s="49" t="str">
        <f aca="false">IFERROR(IF(OR(NOT(ISNUMBER(J211)),N(J210)=0),"",J211/J210),"")</f>
        <v/>
      </c>
      <c r="K213" s="49" t="str">
        <f aca="false">IFERROR(IF(OR(NOT(ISNUMBER(K211)),N(K210)=0),"",K211/K210),"")</f>
        <v/>
      </c>
      <c r="L213" s="49" t="str">
        <f aca="false">IFERROR(IF(OR(NOT(ISNUMBER(L211)),N(L210)=0),"",L211/L210),"")</f>
        <v/>
      </c>
      <c r="M213" s="49" t="str">
        <f aca="false">IFERROR(IF(OR(NOT(ISNUMBER(M211)),N(M210)=0),"",M211/M210),"")</f>
        <v/>
      </c>
      <c r="N213" s="49" t="str">
        <f aca="false">IFERROR(IF(OR(NOT(ISNUMBER(N211)),N(N210)=0),"",N211/N210),"")</f>
        <v/>
      </c>
    </row>
    <row r="214" customFormat="false" ht="15" hidden="true" customHeight="false" outlineLevel="1" collapsed="false">
      <c r="A214" s="11" t="s">
        <v>1936</v>
      </c>
      <c r="B214" s="15" t="s">
        <v>1866</v>
      </c>
      <c r="C214" s="11" t="s">
        <v>367</v>
      </c>
      <c r="E214" s="49" t="str">
        <f aca="false">IFERROR(IF(OR(NOT(ISNUMBER(E212)),N(E211)=0),"",E212/E211),"")</f>
        <v/>
      </c>
      <c r="F214" s="49" t="str">
        <f aca="false">IFERROR(IF(OR(NOT(ISNUMBER(F212)),N(F211)=0),"",F212/F211),"")</f>
        <v/>
      </c>
      <c r="G214" s="49" t="str">
        <f aca="false">IFERROR(IF(OR(NOT(ISNUMBER(G212)),N(G211)=0),"",G212/G211),"")</f>
        <v/>
      </c>
      <c r="H214" s="49" t="str">
        <f aca="false">IFERROR(IF(OR(NOT(ISNUMBER(H212)),N(H211)=0),"",H212/H211),"")</f>
        <v/>
      </c>
      <c r="I214" s="49" t="str">
        <f aca="false">IFERROR(IF(OR(NOT(ISNUMBER(I212)),N(I211)=0),"",I212/I211),"")</f>
        <v/>
      </c>
      <c r="J214" s="49" t="str">
        <f aca="false">IFERROR(IF(OR(NOT(ISNUMBER(J212)),N(J211)=0),"",J212/J211),"")</f>
        <v/>
      </c>
      <c r="K214" s="49" t="str">
        <f aca="false">IFERROR(IF(OR(NOT(ISNUMBER(K212)),N(K211)=0),"",K212/K211),"")</f>
        <v/>
      </c>
      <c r="L214" s="49" t="str">
        <f aca="false">IFERROR(IF(OR(NOT(ISNUMBER(L212)),N(L211)=0),"",L212/L211),"")</f>
        <v/>
      </c>
      <c r="M214" s="49" t="str">
        <f aca="false">IFERROR(IF(OR(NOT(ISNUMBER(M212)),N(M211)=0),"",M212/M211),"")</f>
        <v/>
      </c>
      <c r="N214" s="49" t="str">
        <f aca="false">IFERROR(IF(OR(NOT(ISNUMBER(N212)),N(N211)=0),"",N212/N211),"")</f>
        <v/>
      </c>
      <c r="O214" s="99" t="str">
        <f aca="false">IFERROR(IF(OR(NOT(ISNUMBER(O212)),N(O211)=0),"",O212/O211),"")</f>
        <v/>
      </c>
    </row>
    <row r="215" customFormat="false" ht="15" hidden="true" customHeight="false" outlineLevel="1" collapsed="false">
      <c r="A215" s="11" t="s">
        <v>1937</v>
      </c>
      <c r="B215" s="53" t="str">
        <f aca="false">IF(INDEX(Prod_Nombre,16)="","Producto 16",INDEX(Prod_Nombre,16))&amp;" — capacidad instalada"</f>
        <v>Producto 16 — capacidad instalada</v>
      </c>
      <c r="C215" s="11" t="s">
        <v>544</v>
      </c>
      <c r="E215" s="37"/>
      <c r="F215" s="37"/>
      <c r="G215" s="37"/>
      <c r="H215" s="37"/>
      <c r="I215" s="37"/>
      <c r="J215" s="37"/>
      <c r="K215" s="37"/>
      <c r="L215" s="37"/>
      <c r="M215" s="37"/>
      <c r="N215" s="37"/>
    </row>
    <row r="216" customFormat="false" ht="15" hidden="true" customHeight="false" outlineLevel="1" collapsed="false">
      <c r="A216" s="11" t="s">
        <v>1938</v>
      </c>
      <c r="B216" s="15" t="s">
        <v>1860</v>
      </c>
      <c r="C216" s="11" t="s">
        <v>544</v>
      </c>
      <c r="D216" s="37"/>
      <c r="E216" s="37"/>
      <c r="F216" s="37"/>
      <c r="G216" s="37"/>
      <c r="H216" s="37"/>
      <c r="I216" s="37"/>
      <c r="J216" s="37"/>
      <c r="K216" s="37"/>
      <c r="L216" s="37"/>
      <c r="M216" s="37"/>
      <c r="N216" s="37"/>
      <c r="O216" s="54" t="str">
        <f aca="false">IF(COUNT(D216:N216)=0,"",SUM(D216:N216))</f>
        <v/>
      </c>
    </row>
    <row r="217" customFormat="false" ht="15" hidden="true" customHeight="false" outlineLevel="1" collapsed="false">
      <c r="A217" s="11" t="s">
        <v>1939</v>
      </c>
      <c r="B217" s="15" t="s">
        <v>1862</v>
      </c>
      <c r="C217" s="11" t="s">
        <v>544</v>
      </c>
      <c r="D217" s="37"/>
      <c r="E217" s="37"/>
      <c r="F217" s="37"/>
      <c r="G217" s="37"/>
      <c r="H217" s="37"/>
      <c r="I217" s="37"/>
      <c r="J217" s="37"/>
      <c r="K217" s="37"/>
      <c r="L217" s="37"/>
      <c r="M217" s="37"/>
      <c r="N217" s="37"/>
      <c r="O217" s="54" t="str">
        <f aca="false">IF(COUNT(D217:N217)=0,"",SUM(D217:N217))</f>
        <v/>
      </c>
    </row>
    <row r="218" customFormat="false" ht="15" hidden="true" customHeight="false" outlineLevel="1" collapsed="false">
      <c r="A218" s="11" t="s">
        <v>1940</v>
      </c>
      <c r="B218" s="15" t="s">
        <v>1864</v>
      </c>
      <c r="C218" s="11" t="s">
        <v>367</v>
      </c>
      <c r="E218" s="49" t="str">
        <f aca="false">IFERROR(IF(OR(NOT(ISNUMBER(E216)),N(E215)=0),"",E216/E215),"")</f>
        <v/>
      </c>
      <c r="F218" s="49" t="str">
        <f aca="false">IFERROR(IF(OR(NOT(ISNUMBER(F216)),N(F215)=0),"",F216/F215),"")</f>
        <v/>
      </c>
      <c r="G218" s="49" t="str">
        <f aca="false">IFERROR(IF(OR(NOT(ISNUMBER(G216)),N(G215)=0),"",G216/G215),"")</f>
        <v/>
      </c>
      <c r="H218" s="49" t="str">
        <f aca="false">IFERROR(IF(OR(NOT(ISNUMBER(H216)),N(H215)=0),"",H216/H215),"")</f>
        <v/>
      </c>
      <c r="I218" s="49" t="str">
        <f aca="false">IFERROR(IF(OR(NOT(ISNUMBER(I216)),N(I215)=0),"",I216/I215),"")</f>
        <v/>
      </c>
      <c r="J218" s="49" t="str">
        <f aca="false">IFERROR(IF(OR(NOT(ISNUMBER(J216)),N(J215)=0),"",J216/J215),"")</f>
        <v/>
      </c>
      <c r="K218" s="49" t="str">
        <f aca="false">IFERROR(IF(OR(NOT(ISNUMBER(K216)),N(K215)=0),"",K216/K215),"")</f>
        <v/>
      </c>
      <c r="L218" s="49" t="str">
        <f aca="false">IFERROR(IF(OR(NOT(ISNUMBER(L216)),N(L215)=0),"",L216/L215),"")</f>
        <v/>
      </c>
      <c r="M218" s="49" t="str">
        <f aca="false">IFERROR(IF(OR(NOT(ISNUMBER(M216)),N(M215)=0),"",M216/M215),"")</f>
        <v/>
      </c>
      <c r="N218" s="49" t="str">
        <f aca="false">IFERROR(IF(OR(NOT(ISNUMBER(N216)),N(N215)=0),"",N216/N215),"")</f>
        <v/>
      </c>
    </row>
    <row r="219" customFormat="false" ht="15" hidden="true" customHeight="false" outlineLevel="1" collapsed="false">
      <c r="A219" s="11" t="s">
        <v>1941</v>
      </c>
      <c r="B219" s="15" t="s">
        <v>1866</v>
      </c>
      <c r="C219" s="11" t="s">
        <v>367</v>
      </c>
      <c r="E219" s="49" t="str">
        <f aca="false">IFERROR(IF(OR(NOT(ISNUMBER(E217)),N(E216)=0),"",E217/E216),"")</f>
        <v/>
      </c>
      <c r="F219" s="49" t="str">
        <f aca="false">IFERROR(IF(OR(NOT(ISNUMBER(F217)),N(F216)=0),"",F217/F216),"")</f>
        <v/>
      </c>
      <c r="G219" s="49" t="str">
        <f aca="false">IFERROR(IF(OR(NOT(ISNUMBER(G217)),N(G216)=0),"",G217/G216),"")</f>
        <v/>
      </c>
      <c r="H219" s="49" t="str">
        <f aca="false">IFERROR(IF(OR(NOT(ISNUMBER(H217)),N(H216)=0),"",H217/H216),"")</f>
        <v/>
      </c>
      <c r="I219" s="49" t="str">
        <f aca="false">IFERROR(IF(OR(NOT(ISNUMBER(I217)),N(I216)=0),"",I217/I216),"")</f>
        <v/>
      </c>
      <c r="J219" s="49" t="str">
        <f aca="false">IFERROR(IF(OR(NOT(ISNUMBER(J217)),N(J216)=0),"",J217/J216),"")</f>
        <v/>
      </c>
      <c r="K219" s="49" t="str">
        <f aca="false">IFERROR(IF(OR(NOT(ISNUMBER(K217)),N(K216)=0),"",K217/K216),"")</f>
        <v/>
      </c>
      <c r="L219" s="49" t="str">
        <f aca="false">IFERROR(IF(OR(NOT(ISNUMBER(L217)),N(L216)=0),"",L217/L216),"")</f>
        <v/>
      </c>
      <c r="M219" s="49" t="str">
        <f aca="false">IFERROR(IF(OR(NOT(ISNUMBER(M217)),N(M216)=0),"",M217/M216),"")</f>
        <v/>
      </c>
      <c r="N219" s="49" t="str">
        <f aca="false">IFERROR(IF(OR(NOT(ISNUMBER(N217)),N(N216)=0),"",N217/N216),"")</f>
        <v/>
      </c>
      <c r="O219" s="99" t="str">
        <f aca="false">IFERROR(IF(OR(NOT(ISNUMBER(O217)),N(O216)=0),"",O217/O216),"")</f>
        <v/>
      </c>
    </row>
    <row r="220" customFormat="false" ht="15" hidden="true" customHeight="false" outlineLevel="1" collapsed="false">
      <c r="A220" s="11" t="s">
        <v>1942</v>
      </c>
      <c r="B220" s="53" t="str">
        <f aca="false">IF(INDEX(Prod_Nombre,17)="","Producto 17",INDEX(Prod_Nombre,17))&amp;" — capacidad instalada"</f>
        <v>Producto 17 — capacidad instalada</v>
      </c>
      <c r="C220" s="11" t="s">
        <v>544</v>
      </c>
      <c r="E220" s="37"/>
      <c r="F220" s="37"/>
      <c r="G220" s="37"/>
      <c r="H220" s="37"/>
      <c r="I220" s="37"/>
      <c r="J220" s="37"/>
      <c r="K220" s="37"/>
      <c r="L220" s="37"/>
      <c r="M220" s="37"/>
      <c r="N220" s="37"/>
    </row>
    <row r="221" customFormat="false" ht="15" hidden="true" customHeight="false" outlineLevel="1" collapsed="false">
      <c r="A221" s="11" t="s">
        <v>1943</v>
      </c>
      <c r="B221" s="15" t="s">
        <v>1860</v>
      </c>
      <c r="C221" s="11" t="s">
        <v>544</v>
      </c>
      <c r="D221" s="37"/>
      <c r="E221" s="37"/>
      <c r="F221" s="37"/>
      <c r="G221" s="37"/>
      <c r="H221" s="37"/>
      <c r="I221" s="37"/>
      <c r="J221" s="37"/>
      <c r="K221" s="37"/>
      <c r="L221" s="37"/>
      <c r="M221" s="37"/>
      <c r="N221" s="37"/>
      <c r="O221" s="54" t="str">
        <f aca="false">IF(COUNT(D221:N221)=0,"",SUM(D221:N221))</f>
        <v/>
      </c>
    </row>
    <row r="222" customFormat="false" ht="15" hidden="true" customHeight="false" outlineLevel="1" collapsed="false">
      <c r="A222" s="11" t="s">
        <v>1944</v>
      </c>
      <c r="B222" s="15" t="s">
        <v>1862</v>
      </c>
      <c r="C222" s="11" t="s">
        <v>544</v>
      </c>
      <c r="D222" s="37"/>
      <c r="E222" s="37"/>
      <c r="F222" s="37"/>
      <c r="G222" s="37"/>
      <c r="H222" s="37"/>
      <c r="I222" s="37"/>
      <c r="J222" s="37"/>
      <c r="K222" s="37"/>
      <c r="L222" s="37"/>
      <c r="M222" s="37"/>
      <c r="N222" s="37"/>
      <c r="O222" s="54" t="str">
        <f aca="false">IF(COUNT(D222:N222)=0,"",SUM(D222:N222))</f>
        <v/>
      </c>
    </row>
    <row r="223" customFormat="false" ht="15" hidden="true" customHeight="false" outlineLevel="1" collapsed="false">
      <c r="A223" s="11" t="s">
        <v>1945</v>
      </c>
      <c r="B223" s="15" t="s">
        <v>1864</v>
      </c>
      <c r="C223" s="11" t="s">
        <v>367</v>
      </c>
      <c r="E223" s="49" t="str">
        <f aca="false">IFERROR(IF(OR(NOT(ISNUMBER(E221)),N(E220)=0),"",E221/E220),"")</f>
        <v/>
      </c>
      <c r="F223" s="49" t="str">
        <f aca="false">IFERROR(IF(OR(NOT(ISNUMBER(F221)),N(F220)=0),"",F221/F220),"")</f>
        <v/>
      </c>
      <c r="G223" s="49" t="str">
        <f aca="false">IFERROR(IF(OR(NOT(ISNUMBER(G221)),N(G220)=0),"",G221/G220),"")</f>
        <v/>
      </c>
      <c r="H223" s="49" t="str">
        <f aca="false">IFERROR(IF(OR(NOT(ISNUMBER(H221)),N(H220)=0),"",H221/H220),"")</f>
        <v/>
      </c>
      <c r="I223" s="49" t="str">
        <f aca="false">IFERROR(IF(OR(NOT(ISNUMBER(I221)),N(I220)=0),"",I221/I220),"")</f>
        <v/>
      </c>
      <c r="J223" s="49" t="str">
        <f aca="false">IFERROR(IF(OR(NOT(ISNUMBER(J221)),N(J220)=0),"",J221/J220),"")</f>
        <v/>
      </c>
      <c r="K223" s="49" t="str">
        <f aca="false">IFERROR(IF(OR(NOT(ISNUMBER(K221)),N(K220)=0),"",K221/K220),"")</f>
        <v/>
      </c>
      <c r="L223" s="49" t="str">
        <f aca="false">IFERROR(IF(OR(NOT(ISNUMBER(L221)),N(L220)=0),"",L221/L220),"")</f>
        <v/>
      </c>
      <c r="M223" s="49" t="str">
        <f aca="false">IFERROR(IF(OR(NOT(ISNUMBER(M221)),N(M220)=0),"",M221/M220),"")</f>
        <v/>
      </c>
      <c r="N223" s="49" t="str">
        <f aca="false">IFERROR(IF(OR(NOT(ISNUMBER(N221)),N(N220)=0),"",N221/N220),"")</f>
        <v/>
      </c>
    </row>
    <row r="224" customFormat="false" ht="15" hidden="true" customHeight="false" outlineLevel="1" collapsed="false">
      <c r="A224" s="11" t="s">
        <v>1946</v>
      </c>
      <c r="B224" s="15" t="s">
        <v>1866</v>
      </c>
      <c r="C224" s="11" t="s">
        <v>367</v>
      </c>
      <c r="E224" s="49" t="str">
        <f aca="false">IFERROR(IF(OR(NOT(ISNUMBER(E222)),N(E221)=0),"",E222/E221),"")</f>
        <v/>
      </c>
      <c r="F224" s="49" t="str">
        <f aca="false">IFERROR(IF(OR(NOT(ISNUMBER(F222)),N(F221)=0),"",F222/F221),"")</f>
        <v/>
      </c>
      <c r="G224" s="49" t="str">
        <f aca="false">IFERROR(IF(OR(NOT(ISNUMBER(G222)),N(G221)=0),"",G222/G221),"")</f>
        <v/>
      </c>
      <c r="H224" s="49" t="str">
        <f aca="false">IFERROR(IF(OR(NOT(ISNUMBER(H222)),N(H221)=0),"",H222/H221),"")</f>
        <v/>
      </c>
      <c r="I224" s="49" t="str">
        <f aca="false">IFERROR(IF(OR(NOT(ISNUMBER(I222)),N(I221)=0),"",I222/I221),"")</f>
        <v/>
      </c>
      <c r="J224" s="49" t="str">
        <f aca="false">IFERROR(IF(OR(NOT(ISNUMBER(J222)),N(J221)=0),"",J222/J221),"")</f>
        <v/>
      </c>
      <c r="K224" s="49" t="str">
        <f aca="false">IFERROR(IF(OR(NOT(ISNUMBER(K222)),N(K221)=0),"",K222/K221),"")</f>
        <v/>
      </c>
      <c r="L224" s="49" t="str">
        <f aca="false">IFERROR(IF(OR(NOT(ISNUMBER(L222)),N(L221)=0),"",L222/L221),"")</f>
        <v/>
      </c>
      <c r="M224" s="49" t="str">
        <f aca="false">IFERROR(IF(OR(NOT(ISNUMBER(M222)),N(M221)=0),"",M222/M221),"")</f>
        <v/>
      </c>
      <c r="N224" s="49" t="str">
        <f aca="false">IFERROR(IF(OR(NOT(ISNUMBER(N222)),N(N221)=0),"",N222/N221),"")</f>
        <v/>
      </c>
      <c r="O224" s="99" t="str">
        <f aca="false">IFERROR(IF(OR(NOT(ISNUMBER(O222)),N(O221)=0),"",O222/O221),"")</f>
        <v/>
      </c>
    </row>
    <row r="225" customFormat="false" ht="15" hidden="true" customHeight="false" outlineLevel="1" collapsed="false">
      <c r="A225" s="11" t="s">
        <v>1947</v>
      </c>
      <c r="B225" s="53" t="str">
        <f aca="false">IF(INDEX(Prod_Nombre,18)="","Producto 18",INDEX(Prod_Nombre,18))&amp;" — capacidad instalada"</f>
        <v>Producto 18 — capacidad instalada</v>
      </c>
      <c r="C225" s="11" t="s">
        <v>544</v>
      </c>
      <c r="E225" s="37"/>
      <c r="F225" s="37"/>
      <c r="G225" s="37"/>
      <c r="H225" s="37"/>
      <c r="I225" s="37"/>
      <c r="J225" s="37"/>
      <c r="K225" s="37"/>
      <c r="L225" s="37"/>
      <c r="M225" s="37"/>
      <c r="N225" s="37"/>
    </row>
    <row r="226" customFormat="false" ht="15" hidden="true" customHeight="false" outlineLevel="1" collapsed="false">
      <c r="A226" s="11" t="s">
        <v>1948</v>
      </c>
      <c r="B226" s="15" t="s">
        <v>1860</v>
      </c>
      <c r="C226" s="11" t="s">
        <v>544</v>
      </c>
      <c r="D226" s="37"/>
      <c r="E226" s="37"/>
      <c r="F226" s="37"/>
      <c r="G226" s="37"/>
      <c r="H226" s="37"/>
      <c r="I226" s="37"/>
      <c r="J226" s="37"/>
      <c r="K226" s="37"/>
      <c r="L226" s="37"/>
      <c r="M226" s="37"/>
      <c r="N226" s="37"/>
      <c r="O226" s="54" t="str">
        <f aca="false">IF(COUNT(D226:N226)=0,"",SUM(D226:N226))</f>
        <v/>
      </c>
    </row>
    <row r="227" customFormat="false" ht="15" hidden="true" customHeight="false" outlineLevel="1" collapsed="false">
      <c r="A227" s="11" t="s">
        <v>1949</v>
      </c>
      <c r="B227" s="15" t="s">
        <v>1862</v>
      </c>
      <c r="C227" s="11" t="s">
        <v>544</v>
      </c>
      <c r="D227" s="37"/>
      <c r="E227" s="37"/>
      <c r="F227" s="37"/>
      <c r="G227" s="37"/>
      <c r="H227" s="37"/>
      <c r="I227" s="37"/>
      <c r="J227" s="37"/>
      <c r="K227" s="37"/>
      <c r="L227" s="37"/>
      <c r="M227" s="37"/>
      <c r="N227" s="37"/>
      <c r="O227" s="54" t="str">
        <f aca="false">IF(COUNT(D227:N227)=0,"",SUM(D227:N227))</f>
        <v/>
      </c>
    </row>
    <row r="228" customFormat="false" ht="15" hidden="true" customHeight="false" outlineLevel="1" collapsed="false">
      <c r="A228" s="11" t="s">
        <v>1950</v>
      </c>
      <c r="B228" s="15" t="s">
        <v>1864</v>
      </c>
      <c r="C228" s="11" t="s">
        <v>367</v>
      </c>
      <c r="E228" s="49" t="str">
        <f aca="false">IFERROR(IF(OR(NOT(ISNUMBER(E226)),N(E225)=0),"",E226/E225),"")</f>
        <v/>
      </c>
      <c r="F228" s="49" t="str">
        <f aca="false">IFERROR(IF(OR(NOT(ISNUMBER(F226)),N(F225)=0),"",F226/F225),"")</f>
        <v/>
      </c>
      <c r="G228" s="49" t="str">
        <f aca="false">IFERROR(IF(OR(NOT(ISNUMBER(G226)),N(G225)=0),"",G226/G225),"")</f>
        <v/>
      </c>
      <c r="H228" s="49" t="str">
        <f aca="false">IFERROR(IF(OR(NOT(ISNUMBER(H226)),N(H225)=0),"",H226/H225),"")</f>
        <v/>
      </c>
      <c r="I228" s="49" t="str">
        <f aca="false">IFERROR(IF(OR(NOT(ISNUMBER(I226)),N(I225)=0),"",I226/I225),"")</f>
        <v/>
      </c>
      <c r="J228" s="49" t="str">
        <f aca="false">IFERROR(IF(OR(NOT(ISNUMBER(J226)),N(J225)=0),"",J226/J225),"")</f>
        <v/>
      </c>
      <c r="K228" s="49" t="str">
        <f aca="false">IFERROR(IF(OR(NOT(ISNUMBER(K226)),N(K225)=0),"",K226/K225),"")</f>
        <v/>
      </c>
      <c r="L228" s="49" t="str">
        <f aca="false">IFERROR(IF(OR(NOT(ISNUMBER(L226)),N(L225)=0),"",L226/L225),"")</f>
        <v/>
      </c>
      <c r="M228" s="49" t="str">
        <f aca="false">IFERROR(IF(OR(NOT(ISNUMBER(M226)),N(M225)=0),"",M226/M225),"")</f>
        <v/>
      </c>
      <c r="N228" s="49" t="str">
        <f aca="false">IFERROR(IF(OR(NOT(ISNUMBER(N226)),N(N225)=0),"",N226/N225),"")</f>
        <v/>
      </c>
    </row>
    <row r="229" customFormat="false" ht="15" hidden="true" customHeight="false" outlineLevel="1" collapsed="false">
      <c r="A229" s="11" t="s">
        <v>1951</v>
      </c>
      <c r="B229" s="15" t="s">
        <v>1866</v>
      </c>
      <c r="C229" s="11" t="s">
        <v>367</v>
      </c>
      <c r="E229" s="49" t="str">
        <f aca="false">IFERROR(IF(OR(NOT(ISNUMBER(E227)),N(E226)=0),"",E227/E226),"")</f>
        <v/>
      </c>
      <c r="F229" s="49" t="str">
        <f aca="false">IFERROR(IF(OR(NOT(ISNUMBER(F227)),N(F226)=0),"",F227/F226),"")</f>
        <v/>
      </c>
      <c r="G229" s="49" t="str">
        <f aca="false">IFERROR(IF(OR(NOT(ISNUMBER(G227)),N(G226)=0),"",G227/G226),"")</f>
        <v/>
      </c>
      <c r="H229" s="49" t="str">
        <f aca="false">IFERROR(IF(OR(NOT(ISNUMBER(H227)),N(H226)=0),"",H227/H226),"")</f>
        <v/>
      </c>
      <c r="I229" s="49" t="str">
        <f aca="false">IFERROR(IF(OR(NOT(ISNUMBER(I227)),N(I226)=0),"",I227/I226),"")</f>
        <v/>
      </c>
      <c r="J229" s="49" t="str">
        <f aca="false">IFERROR(IF(OR(NOT(ISNUMBER(J227)),N(J226)=0),"",J227/J226),"")</f>
        <v/>
      </c>
      <c r="K229" s="49" t="str">
        <f aca="false">IFERROR(IF(OR(NOT(ISNUMBER(K227)),N(K226)=0),"",K227/K226),"")</f>
        <v/>
      </c>
      <c r="L229" s="49" t="str">
        <f aca="false">IFERROR(IF(OR(NOT(ISNUMBER(L227)),N(L226)=0),"",L227/L226),"")</f>
        <v/>
      </c>
      <c r="M229" s="49" t="str">
        <f aca="false">IFERROR(IF(OR(NOT(ISNUMBER(M227)),N(M226)=0),"",M227/M226),"")</f>
        <v/>
      </c>
      <c r="N229" s="49" t="str">
        <f aca="false">IFERROR(IF(OR(NOT(ISNUMBER(N227)),N(N226)=0),"",N227/N226),"")</f>
        <v/>
      </c>
      <c r="O229" s="99" t="str">
        <f aca="false">IFERROR(IF(OR(NOT(ISNUMBER(O227)),N(O226)=0),"",O227/O226),"")</f>
        <v/>
      </c>
    </row>
    <row r="230" customFormat="false" ht="15" hidden="true" customHeight="false" outlineLevel="1" collapsed="false">
      <c r="A230" s="11" t="s">
        <v>1952</v>
      </c>
      <c r="B230" s="53" t="str">
        <f aca="false">IF(INDEX(Prod_Nombre,19)="","Producto 19",INDEX(Prod_Nombre,19))&amp;" — capacidad instalada"</f>
        <v>Producto 19 — capacidad instalada</v>
      </c>
      <c r="C230" s="11" t="s">
        <v>544</v>
      </c>
      <c r="E230" s="37"/>
      <c r="F230" s="37"/>
      <c r="G230" s="37"/>
      <c r="H230" s="37"/>
      <c r="I230" s="37"/>
      <c r="J230" s="37"/>
      <c r="K230" s="37"/>
      <c r="L230" s="37"/>
      <c r="M230" s="37"/>
      <c r="N230" s="37"/>
    </row>
    <row r="231" customFormat="false" ht="15" hidden="true" customHeight="false" outlineLevel="1" collapsed="false">
      <c r="A231" s="11" t="s">
        <v>1953</v>
      </c>
      <c r="B231" s="15" t="s">
        <v>1860</v>
      </c>
      <c r="C231" s="11" t="s">
        <v>544</v>
      </c>
      <c r="D231" s="37"/>
      <c r="E231" s="37"/>
      <c r="F231" s="37"/>
      <c r="G231" s="37"/>
      <c r="H231" s="37"/>
      <c r="I231" s="37"/>
      <c r="J231" s="37"/>
      <c r="K231" s="37"/>
      <c r="L231" s="37"/>
      <c r="M231" s="37"/>
      <c r="N231" s="37"/>
      <c r="O231" s="54" t="str">
        <f aca="false">IF(COUNT(D231:N231)=0,"",SUM(D231:N231))</f>
        <v/>
      </c>
    </row>
    <row r="232" customFormat="false" ht="15" hidden="true" customHeight="false" outlineLevel="1" collapsed="false">
      <c r="A232" s="11" t="s">
        <v>1954</v>
      </c>
      <c r="B232" s="15" t="s">
        <v>1862</v>
      </c>
      <c r="C232" s="11" t="s">
        <v>544</v>
      </c>
      <c r="D232" s="37"/>
      <c r="E232" s="37"/>
      <c r="F232" s="37"/>
      <c r="G232" s="37"/>
      <c r="H232" s="37"/>
      <c r="I232" s="37"/>
      <c r="J232" s="37"/>
      <c r="K232" s="37"/>
      <c r="L232" s="37"/>
      <c r="M232" s="37"/>
      <c r="N232" s="37"/>
      <c r="O232" s="54" t="str">
        <f aca="false">IF(COUNT(D232:N232)=0,"",SUM(D232:N232))</f>
        <v/>
      </c>
    </row>
    <row r="233" customFormat="false" ht="15" hidden="true" customHeight="false" outlineLevel="1" collapsed="false">
      <c r="A233" s="11" t="s">
        <v>1955</v>
      </c>
      <c r="B233" s="15" t="s">
        <v>1864</v>
      </c>
      <c r="C233" s="11" t="s">
        <v>367</v>
      </c>
      <c r="E233" s="49" t="str">
        <f aca="false">IFERROR(IF(OR(NOT(ISNUMBER(E231)),N(E230)=0),"",E231/E230),"")</f>
        <v/>
      </c>
      <c r="F233" s="49" t="str">
        <f aca="false">IFERROR(IF(OR(NOT(ISNUMBER(F231)),N(F230)=0),"",F231/F230),"")</f>
        <v/>
      </c>
      <c r="G233" s="49" t="str">
        <f aca="false">IFERROR(IF(OR(NOT(ISNUMBER(G231)),N(G230)=0),"",G231/G230),"")</f>
        <v/>
      </c>
      <c r="H233" s="49" t="str">
        <f aca="false">IFERROR(IF(OR(NOT(ISNUMBER(H231)),N(H230)=0),"",H231/H230),"")</f>
        <v/>
      </c>
      <c r="I233" s="49" t="str">
        <f aca="false">IFERROR(IF(OR(NOT(ISNUMBER(I231)),N(I230)=0),"",I231/I230),"")</f>
        <v/>
      </c>
      <c r="J233" s="49" t="str">
        <f aca="false">IFERROR(IF(OR(NOT(ISNUMBER(J231)),N(J230)=0),"",J231/J230),"")</f>
        <v/>
      </c>
      <c r="K233" s="49" t="str">
        <f aca="false">IFERROR(IF(OR(NOT(ISNUMBER(K231)),N(K230)=0),"",K231/K230),"")</f>
        <v/>
      </c>
      <c r="L233" s="49" t="str">
        <f aca="false">IFERROR(IF(OR(NOT(ISNUMBER(L231)),N(L230)=0),"",L231/L230),"")</f>
        <v/>
      </c>
      <c r="M233" s="49" t="str">
        <f aca="false">IFERROR(IF(OR(NOT(ISNUMBER(M231)),N(M230)=0),"",M231/M230),"")</f>
        <v/>
      </c>
      <c r="N233" s="49" t="str">
        <f aca="false">IFERROR(IF(OR(NOT(ISNUMBER(N231)),N(N230)=0),"",N231/N230),"")</f>
        <v/>
      </c>
    </row>
    <row r="234" customFormat="false" ht="15" hidden="true" customHeight="false" outlineLevel="1" collapsed="false">
      <c r="A234" s="11" t="s">
        <v>1956</v>
      </c>
      <c r="B234" s="15" t="s">
        <v>1866</v>
      </c>
      <c r="C234" s="11" t="s">
        <v>367</v>
      </c>
      <c r="E234" s="49" t="str">
        <f aca="false">IFERROR(IF(OR(NOT(ISNUMBER(E232)),N(E231)=0),"",E232/E231),"")</f>
        <v/>
      </c>
      <c r="F234" s="49" t="str">
        <f aca="false">IFERROR(IF(OR(NOT(ISNUMBER(F232)),N(F231)=0),"",F232/F231),"")</f>
        <v/>
      </c>
      <c r="G234" s="49" t="str">
        <f aca="false">IFERROR(IF(OR(NOT(ISNUMBER(G232)),N(G231)=0),"",G232/G231),"")</f>
        <v/>
      </c>
      <c r="H234" s="49" t="str">
        <f aca="false">IFERROR(IF(OR(NOT(ISNUMBER(H232)),N(H231)=0),"",H232/H231),"")</f>
        <v/>
      </c>
      <c r="I234" s="49" t="str">
        <f aca="false">IFERROR(IF(OR(NOT(ISNUMBER(I232)),N(I231)=0),"",I232/I231),"")</f>
        <v/>
      </c>
      <c r="J234" s="49" t="str">
        <f aca="false">IFERROR(IF(OR(NOT(ISNUMBER(J232)),N(J231)=0),"",J232/J231),"")</f>
        <v/>
      </c>
      <c r="K234" s="49" t="str">
        <f aca="false">IFERROR(IF(OR(NOT(ISNUMBER(K232)),N(K231)=0),"",K232/K231),"")</f>
        <v/>
      </c>
      <c r="L234" s="49" t="str">
        <f aca="false">IFERROR(IF(OR(NOT(ISNUMBER(L232)),N(L231)=0),"",L232/L231),"")</f>
        <v/>
      </c>
      <c r="M234" s="49" t="str">
        <f aca="false">IFERROR(IF(OR(NOT(ISNUMBER(M232)),N(M231)=0),"",M232/M231),"")</f>
        <v/>
      </c>
      <c r="N234" s="49" t="str">
        <f aca="false">IFERROR(IF(OR(NOT(ISNUMBER(N232)),N(N231)=0),"",N232/N231),"")</f>
        <v/>
      </c>
      <c r="O234" s="99" t="str">
        <f aca="false">IFERROR(IF(OR(NOT(ISNUMBER(O232)),N(O231)=0),"",O232/O231),"")</f>
        <v/>
      </c>
    </row>
    <row r="235" customFormat="false" ht="15" hidden="true" customHeight="false" outlineLevel="1" collapsed="false">
      <c r="A235" s="11" t="s">
        <v>1957</v>
      </c>
      <c r="B235" s="53" t="str">
        <f aca="false">IF(INDEX(Prod_Nombre,20)="","Producto 20",INDEX(Prod_Nombre,20))&amp;" — capacidad instalada"</f>
        <v>Producto 20 — capacidad instalada</v>
      </c>
      <c r="C235" s="11" t="s">
        <v>544</v>
      </c>
      <c r="E235" s="37"/>
      <c r="F235" s="37"/>
      <c r="G235" s="37"/>
      <c r="H235" s="37"/>
      <c r="I235" s="37"/>
      <c r="J235" s="37"/>
      <c r="K235" s="37"/>
      <c r="L235" s="37"/>
      <c r="M235" s="37"/>
      <c r="N235" s="37"/>
    </row>
    <row r="236" customFormat="false" ht="15" hidden="true" customHeight="false" outlineLevel="1" collapsed="false">
      <c r="A236" s="11" t="s">
        <v>1958</v>
      </c>
      <c r="B236" s="15" t="s">
        <v>1860</v>
      </c>
      <c r="C236" s="11" t="s">
        <v>544</v>
      </c>
      <c r="D236" s="37"/>
      <c r="E236" s="37"/>
      <c r="F236" s="37"/>
      <c r="G236" s="37"/>
      <c r="H236" s="37"/>
      <c r="I236" s="37"/>
      <c r="J236" s="37"/>
      <c r="K236" s="37"/>
      <c r="L236" s="37"/>
      <c r="M236" s="37"/>
      <c r="N236" s="37"/>
      <c r="O236" s="54" t="str">
        <f aca="false">IF(COUNT(D236:N236)=0,"",SUM(D236:N236))</f>
        <v/>
      </c>
    </row>
    <row r="237" customFormat="false" ht="15" hidden="true" customHeight="false" outlineLevel="1" collapsed="false">
      <c r="A237" s="11" t="s">
        <v>1959</v>
      </c>
      <c r="B237" s="15" t="s">
        <v>1862</v>
      </c>
      <c r="C237" s="11" t="s">
        <v>544</v>
      </c>
      <c r="D237" s="37"/>
      <c r="E237" s="37"/>
      <c r="F237" s="37"/>
      <c r="G237" s="37"/>
      <c r="H237" s="37"/>
      <c r="I237" s="37"/>
      <c r="J237" s="37"/>
      <c r="K237" s="37"/>
      <c r="L237" s="37"/>
      <c r="M237" s="37"/>
      <c r="N237" s="37"/>
      <c r="O237" s="54" t="str">
        <f aca="false">IF(COUNT(D237:N237)=0,"",SUM(D237:N237))</f>
        <v/>
      </c>
    </row>
    <row r="238" customFormat="false" ht="15" hidden="true" customHeight="false" outlineLevel="1" collapsed="false">
      <c r="A238" s="11" t="s">
        <v>1960</v>
      </c>
      <c r="B238" s="15" t="s">
        <v>1864</v>
      </c>
      <c r="C238" s="11" t="s">
        <v>367</v>
      </c>
      <c r="E238" s="49" t="str">
        <f aca="false">IFERROR(IF(OR(NOT(ISNUMBER(E236)),N(E235)=0),"",E236/E235),"")</f>
        <v/>
      </c>
      <c r="F238" s="49" t="str">
        <f aca="false">IFERROR(IF(OR(NOT(ISNUMBER(F236)),N(F235)=0),"",F236/F235),"")</f>
        <v/>
      </c>
      <c r="G238" s="49" t="str">
        <f aca="false">IFERROR(IF(OR(NOT(ISNUMBER(G236)),N(G235)=0),"",G236/G235),"")</f>
        <v/>
      </c>
      <c r="H238" s="49" t="str">
        <f aca="false">IFERROR(IF(OR(NOT(ISNUMBER(H236)),N(H235)=0),"",H236/H235),"")</f>
        <v/>
      </c>
      <c r="I238" s="49" t="str">
        <f aca="false">IFERROR(IF(OR(NOT(ISNUMBER(I236)),N(I235)=0),"",I236/I235),"")</f>
        <v/>
      </c>
      <c r="J238" s="49" t="str">
        <f aca="false">IFERROR(IF(OR(NOT(ISNUMBER(J236)),N(J235)=0),"",J236/J235),"")</f>
        <v/>
      </c>
      <c r="K238" s="49" t="str">
        <f aca="false">IFERROR(IF(OR(NOT(ISNUMBER(K236)),N(K235)=0),"",K236/K235),"")</f>
        <v/>
      </c>
      <c r="L238" s="49" t="str">
        <f aca="false">IFERROR(IF(OR(NOT(ISNUMBER(L236)),N(L235)=0),"",L236/L235),"")</f>
        <v/>
      </c>
      <c r="M238" s="49" t="str">
        <f aca="false">IFERROR(IF(OR(NOT(ISNUMBER(M236)),N(M235)=0),"",M236/M235),"")</f>
        <v/>
      </c>
      <c r="N238" s="49" t="str">
        <f aca="false">IFERROR(IF(OR(NOT(ISNUMBER(N236)),N(N235)=0),"",N236/N235),"")</f>
        <v/>
      </c>
    </row>
    <row r="239" customFormat="false" ht="15" hidden="true" customHeight="false" outlineLevel="1" collapsed="false">
      <c r="A239" s="11" t="s">
        <v>1961</v>
      </c>
      <c r="B239" s="15" t="s">
        <v>1866</v>
      </c>
      <c r="C239" s="11" t="s">
        <v>367</v>
      </c>
      <c r="E239" s="49" t="str">
        <f aca="false">IFERROR(IF(OR(NOT(ISNUMBER(E237)),N(E236)=0),"",E237/E236),"")</f>
        <v/>
      </c>
      <c r="F239" s="49" t="str">
        <f aca="false">IFERROR(IF(OR(NOT(ISNUMBER(F237)),N(F236)=0),"",F237/F236),"")</f>
        <v/>
      </c>
      <c r="G239" s="49" t="str">
        <f aca="false">IFERROR(IF(OR(NOT(ISNUMBER(G237)),N(G236)=0),"",G237/G236),"")</f>
        <v/>
      </c>
      <c r="H239" s="49" t="str">
        <f aca="false">IFERROR(IF(OR(NOT(ISNUMBER(H237)),N(H236)=0),"",H237/H236),"")</f>
        <v/>
      </c>
      <c r="I239" s="49" t="str">
        <f aca="false">IFERROR(IF(OR(NOT(ISNUMBER(I237)),N(I236)=0),"",I237/I236),"")</f>
        <v/>
      </c>
      <c r="J239" s="49" t="str">
        <f aca="false">IFERROR(IF(OR(NOT(ISNUMBER(J237)),N(J236)=0),"",J237/J236),"")</f>
        <v/>
      </c>
      <c r="K239" s="49" t="str">
        <f aca="false">IFERROR(IF(OR(NOT(ISNUMBER(K237)),N(K236)=0),"",K237/K236),"")</f>
        <v/>
      </c>
      <c r="L239" s="49" t="str">
        <f aca="false">IFERROR(IF(OR(NOT(ISNUMBER(L237)),N(L236)=0),"",L237/L236),"")</f>
        <v/>
      </c>
      <c r="M239" s="49" t="str">
        <f aca="false">IFERROR(IF(OR(NOT(ISNUMBER(M237)),N(M236)=0),"",M237/M236),"")</f>
        <v/>
      </c>
      <c r="N239" s="49" t="str">
        <f aca="false">IFERROR(IF(OR(NOT(ISNUMBER(N237)),N(N236)=0),"",N237/N236),"")</f>
        <v/>
      </c>
      <c r="O239" s="99" t="str">
        <f aca="false">IFERROR(IF(OR(NOT(ISNUMBER(O237)),N(O236)=0),"",O237/O236),"")</f>
        <v/>
      </c>
    </row>
    <row r="240" customFormat="false" ht="15" hidden="true" customHeight="false" outlineLevel="1" collapsed="false">
      <c r="A240" s="11" t="s">
        <v>1962</v>
      </c>
      <c r="B240" s="53" t="str">
        <f aca="false">IF(INDEX(Prod_Nombre,21)="","Producto 21",INDEX(Prod_Nombre,21))&amp;" — capacidad instalada"</f>
        <v>Producto 21 — capacidad instalada</v>
      </c>
      <c r="C240" s="11" t="s">
        <v>544</v>
      </c>
      <c r="E240" s="37"/>
      <c r="F240" s="37"/>
      <c r="G240" s="37"/>
      <c r="H240" s="37"/>
      <c r="I240" s="37"/>
      <c r="J240" s="37"/>
      <c r="K240" s="37"/>
      <c r="L240" s="37"/>
      <c r="M240" s="37"/>
      <c r="N240" s="37"/>
    </row>
    <row r="241" customFormat="false" ht="15" hidden="true" customHeight="false" outlineLevel="1" collapsed="false">
      <c r="A241" s="11" t="s">
        <v>1963</v>
      </c>
      <c r="B241" s="15" t="s">
        <v>1860</v>
      </c>
      <c r="C241" s="11" t="s">
        <v>544</v>
      </c>
      <c r="D241" s="37"/>
      <c r="E241" s="37"/>
      <c r="F241" s="37"/>
      <c r="G241" s="37"/>
      <c r="H241" s="37"/>
      <c r="I241" s="37"/>
      <c r="J241" s="37"/>
      <c r="K241" s="37"/>
      <c r="L241" s="37"/>
      <c r="M241" s="37"/>
      <c r="N241" s="37"/>
      <c r="O241" s="54" t="str">
        <f aca="false">IF(COUNT(D241:N241)=0,"",SUM(D241:N241))</f>
        <v/>
      </c>
    </row>
    <row r="242" customFormat="false" ht="15" hidden="true" customHeight="false" outlineLevel="1" collapsed="false">
      <c r="A242" s="11" t="s">
        <v>1964</v>
      </c>
      <c r="B242" s="15" t="s">
        <v>1862</v>
      </c>
      <c r="C242" s="11" t="s">
        <v>544</v>
      </c>
      <c r="D242" s="37"/>
      <c r="E242" s="37"/>
      <c r="F242" s="37"/>
      <c r="G242" s="37"/>
      <c r="H242" s="37"/>
      <c r="I242" s="37"/>
      <c r="J242" s="37"/>
      <c r="K242" s="37"/>
      <c r="L242" s="37"/>
      <c r="M242" s="37"/>
      <c r="N242" s="37"/>
      <c r="O242" s="54" t="str">
        <f aca="false">IF(COUNT(D242:N242)=0,"",SUM(D242:N242))</f>
        <v/>
      </c>
    </row>
    <row r="243" customFormat="false" ht="15" hidden="true" customHeight="false" outlineLevel="1" collapsed="false">
      <c r="A243" s="11" t="s">
        <v>1965</v>
      </c>
      <c r="B243" s="15" t="s">
        <v>1864</v>
      </c>
      <c r="C243" s="11" t="s">
        <v>367</v>
      </c>
      <c r="E243" s="49" t="str">
        <f aca="false">IFERROR(IF(OR(NOT(ISNUMBER(E241)),N(E240)=0),"",E241/E240),"")</f>
        <v/>
      </c>
      <c r="F243" s="49" t="str">
        <f aca="false">IFERROR(IF(OR(NOT(ISNUMBER(F241)),N(F240)=0),"",F241/F240),"")</f>
        <v/>
      </c>
      <c r="G243" s="49" t="str">
        <f aca="false">IFERROR(IF(OR(NOT(ISNUMBER(G241)),N(G240)=0),"",G241/G240),"")</f>
        <v/>
      </c>
      <c r="H243" s="49" t="str">
        <f aca="false">IFERROR(IF(OR(NOT(ISNUMBER(H241)),N(H240)=0),"",H241/H240),"")</f>
        <v/>
      </c>
      <c r="I243" s="49" t="str">
        <f aca="false">IFERROR(IF(OR(NOT(ISNUMBER(I241)),N(I240)=0),"",I241/I240),"")</f>
        <v/>
      </c>
      <c r="J243" s="49" t="str">
        <f aca="false">IFERROR(IF(OR(NOT(ISNUMBER(J241)),N(J240)=0),"",J241/J240),"")</f>
        <v/>
      </c>
      <c r="K243" s="49" t="str">
        <f aca="false">IFERROR(IF(OR(NOT(ISNUMBER(K241)),N(K240)=0),"",K241/K240),"")</f>
        <v/>
      </c>
      <c r="L243" s="49" t="str">
        <f aca="false">IFERROR(IF(OR(NOT(ISNUMBER(L241)),N(L240)=0),"",L241/L240),"")</f>
        <v/>
      </c>
      <c r="M243" s="49" t="str">
        <f aca="false">IFERROR(IF(OR(NOT(ISNUMBER(M241)),N(M240)=0),"",M241/M240),"")</f>
        <v/>
      </c>
      <c r="N243" s="49" t="str">
        <f aca="false">IFERROR(IF(OR(NOT(ISNUMBER(N241)),N(N240)=0),"",N241/N240),"")</f>
        <v/>
      </c>
    </row>
    <row r="244" customFormat="false" ht="15" hidden="true" customHeight="false" outlineLevel="1" collapsed="false">
      <c r="A244" s="11" t="s">
        <v>1966</v>
      </c>
      <c r="B244" s="15" t="s">
        <v>1866</v>
      </c>
      <c r="C244" s="11" t="s">
        <v>367</v>
      </c>
      <c r="E244" s="49" t="str">
        <f aca="false">IFERROR(IF(OR(NOT(ISNUMBER(E242)),N(E241)=0),"",E242/E241),"")</f>
        <v/>
      </c>
      <c r="F244" s="49" t="str">
        <f aca="false">IFERROR(IF(OR(NOT(ISNUMBER(F242)),N(F241)=0),"",F242/F241),"")</f>
        <v/>
      </c>
      <c r="G244" s="49" t="str">
        <f aca="false">IFERROR(IF(OR(NOT(ISNUMBER(G242)),N(G241)=0),"",G242/G241),"")</f>
        <v/>
      </c>
      <c r="H244" s="49" t="str">
        <f aca="false">IFERROR(IF(OR(NOT(ISNUMBER(H242)),N(H241)=0),"",H242/H241),"")</f>
        <v/>
      </c>
      <c r="I244" s="49" t="str">
        <f aca="false">IFERROR(IF(OR(NOT(ISNUMBER(I242)),N(I241)=0),"",I242/I241),"")</f>
        <v/>
      </c>
      <c r="J244" s="49" t="str">
        <f aca="false">IFERROR(IF(OR(NOT(ISNUMBER(J242)),N(J241)=0),"",J242/J241),"")</f>
        <v/>
      </c>
      <c r="K244" s="49" t="str">
        <f aca="false">IFERROR(IF(OR(NOT(ISNUMBER(K242)),N(K241)=0),"",K242/K241),"")</f>
        <v/>
      </c>
      <c r="L244" s="49" t="str">
        <f aca="false">IFERROR(IF(OR(NOT(ISNUMBER(L242)),N(L241)=0),"",L242/L241),"")</f>
        <v/>
      </c>
      <c r="M244" s="49" t="str">
        <f aca="false">IFERROR(IF(OR(NOT(ISNUMBER(M242)),N(M241)=0),"",M242/M241),"")</f>
        <v/>
      </c>
      <c r="N244" s="49" t="str">
        <f aca="false">IFERROR(IF(OR(NOT(ISNUMBER(N242)),N(N241)=0),"",N242/N241),"")</f>
        <v/>
      </c>
      <c r="O244" s="99" t="str">
        <f aca="false">IFERROR(IF(OR(NOT(ISNUMBER(O242)),N(O241)=0),"",O242/O241),"")</f>
        <v/>
      </c>
    </row>
    <row r="245" customFormat="false" ht="15" hidden="true" customHeight="false" outlineLevel="1" collapsed="false">
      <c r="A245" s="11" t="s">
        <v>1967</v>
      </c>
      <c r="B245" s="53" t="str">
        <f aca="false">IF(INDEX(Prod_Nombre,22)="","Producto 22",INDEX(Prod_Nombre,22))&amp;" — capacidad instalada"</f>
        <v>Producto 22 — capacidad instalada</v>
      </c>
      <c r="C245" s="11" t="s">
        <v>544</v>
      </c>
      <c r="E245" s="37"/>
      <c r="F245" s="37"/>
      <c r="G245" s="37"/>
      <c r="H245" s="37"/>
      <c r="I245" s="37"/>
      <c r="J245" s="37"/>
      <c r="K245" s="37"/>
      <c r="L245" s="37"/>
      <c r="M245" s="37"/>
      <c r="N245" s="37"/>
    </row>
    <row r="246" customFormat="false" ht="15" hidden="true" customHeight="false" outlineLevel="1" collapsed="false">
      <c r="A246" s="11" t="s">
        <v>1968</v>
      </c>
      <c r="B246" s="15" t="s">
        <v>1860</v>
      </c>
      <c r="C246" s="11" t="s">
        <v>544</v>
      </c>
      <c r="D246" s="37"/>
      <c r="E246" s="37"/>
      <c r="F246" s="37"/>
      <c r="G246" s="37"/>
      <c r="H246" s="37"/>
      <c r="I246" s="37"/>
      <c r="J246" s="37"/>
      <c r="K246" s="37"/>
      <c r="L246" s="37"/>
      <c r="M246" s="37"/>
      <c r="N246" s="37"/>
      <c r="O246" s="54" t="str">
        <f aca="false">IF(COUNT(D246:N246)=0,"",SUM(D246:N246))</f>
        <v/>
      </c>
    </row>
    <row r="247" customFormat="false" ht="15" hidden="true" customHeight="false" outlineLevel="1" collapsed="false">
      <c r="A247" s="11" t="s">
        <v>1969</v>
      </c>
      <c r="B247" s="15" t="s">
        <v>1862</v>
      </c>
      <c r="C247" s="11" t="s">
        <v>544</v>
      </c>
      <c r="D247" s="37"/>
      <c r="E247" s="37"/>
      <c r="F247" s="37"/>
      <c r="G247" s="37"/>
      <c r="H247" s="37"/>
      <c r="I247" s="37"/>
      <c r="J247" s="37"/>
      <c r="K247" s="37"/>
      <c r="L247" s="37"/>
      <c r="M247" s="37"/>
      <c r="N247" s="37"/>
      <c r="O247" s="54" t="str">
        <f aca="false">IF(COUNT(D247:N247)=0,"",SUM(D247:N247))</f>
        <v/>
      </c>
    </row>
    <row r="248" customFormat="false" ht="15" hidden="true" customHeight="false" outlineLevel="1" collapsed="false">
      <c r="A248" s="11" t="s">
        <v>1970</v>
      </c>
      <c r="B248" s="15" t="s">
        <v>1864</v>
      </c>
      <c r="C248" s="11" t="s">
        <v>367</v>
      </c>
      <c r="E248" s="49" t="str">
        <f aca="false">IFERROR(IF(OR(NOT(ISNUMBER(E246)),N(E245)=0),"",E246/E245),"")</f>
        <v/>
      </c>
      <c r="F248" s="49" t="str">
        <f aca="false">IFERROR(IF(OR(NOT(ISNUMBER(F246)),N(F245)=0),"",F246/F245),"")</f>
        <v/>
      </c>
      <c r="G248" s="49" t="str">
        <f aca="false">IFERROR(IF(OR(NOT(ISNUMBER(G246)),N(G245)=0),"",G246/G245),"")</f>
        <v/>
      </c>
      <c r="H248" s="49" t="str">
        <f aca="false">IFERROR(IF(OR(NOT(ISNUMBER(H246)),N(H245)=0),"",H246/H245),"")</f>
        <v/>
      </c>
      <c r="I248" s="49" t="str">
        <f aca="false">IFERROR(IF(OR(NOT(ISNUMBER(I246)),N(I245)=0),"",I246/I245),"")</f>
        <v/>
      </c>
      <c r="J248" s="49" t="str">
        <f aca="false">IFERROR(IF(OR(NOT(ISNUMBER(J246)),N(J245)=0),"",J246/J245),"")</f>
        <v/>
      </c>
      <c r="K248" s="49" t="str">
        <f aca="false">IFERROR(IF(OR(NOT(ISNUMBER(K246)),N(K245)=0),"",K246/K245),"")</f>
        <v/>
      </c>
      <c r="L248" s="49" t="str">
        <f aca="false">IFERROR(IF(OR(NOT(ISNUMBER(L246)),N(L245)=0),"",L246/L245),"")</f>
        <v/>
      </c>
      <c r="M248" s="49" t="str">
        <f aca="false">IFERROR(IF(OR(NOT(ISNUMBER(M246)),N(M245)=0),"",M246/M245),"")</f>
        <v/>
      </c>
      <c r="N248" s="49" t="str">
        <f aca="false">IFERROR(IF(OR(NOT(ISNUMBER(N246)),N(N245)=0),"",N246/N245),"")</f>
        <v/>
      </c>
    </row>
    <row r="249" customFormat="false" ht="15" hidden="true" customHeight="false" outlineLevel="1" collapsed="false">
      <c r="A249" s="11" t="s">
        <v>1971</v>
      </c>
      <c r="B249" s="15" t="s">
        <v>1866</v>
      </c>
      <c r="C249" s="11" t="s">
        <v>367</v>
      </c>
      <c r="E249" s="49" t="str">
        <f aca="false">IFERROR(IF(OR(NOT(ISNUMBER(E247)),N(E246)=0),"",E247/E246),"")</f>
        <v/>
      </c>
      <c r="F249" s="49" t="str">
        <f aca="false">IFERROR(IF(OR(NOT(ISNUMBER(F247)),N(F246)=0),"",F247/F246),"")</f>
        <v/>
      </c>
      <c r="G249" s="49" t="str">
        <f aca="false">IFERROR(IF(OR(NOT(ISNUMBER(G247)),N(G246)=0),"",G247/G246),"")</f>
        <v/>
      </c>
      <c r="H249" s="49" t="str">
        <f aca="false">IFERROR(IF(OR(NOT(ISNUMBER(H247)),N(H246)=0),"",H247/H246),"")</f>
        <v/>
      </c>
      <c r="I249" s="49" t="str">
        <f aca="false">IFERROR(IF(OR(NOT(ISNUMBER(I247)),N(I246)=0),"",I247/I246),"")</f>
        <v/>
      </c>
      <c r="J249" s="49" t="str">
        <f aca="false">IFERROR(IF(OR(NOT(ISNUMBER(J247)),N(J246)=0),"",J247/J246),"")</f>
        <v/>
      </c>
      <c r="K249" s="49" t="str">
        <f aca="false">IFERROR(IF(OR(NOT(ISNUMBER(K247)),N(K246)=0),"",K247/K246),"")</f>
        <v/>
      </c>
      <c r="L249" s="49" t="str">
        <f aca="false">IFERROR(IF(OR(NOT(ISNUMBER(L247)),N(L246)=0),"",L247/L246),"")</f>
        <v/>
      </c>
      <c r="M249" s="49" t="str">
        <f aca="false">IFERROR(IF(OR(NOT(ISNUMBER(M247)),N(M246)=0),"",M247/M246),"")</f>
        <v/>
      </c>
      <c r="N249" s="49" t="str">
        <f aca="false">IFERROR(IF(OR(NOT(ISNUMBER(N247)),N(N246)=0),"",N247/N246),"")</f>
        <v/>
      </c>
      <c r="O249" s="99" t="str">
        <f aca="false">IFERROR(IF(OR(NOT(ISNUMBER(O247)),N(O246)=0),"",O247/O246),"")</f>
        <v/>
      </c>
    </row>
    <row r="250" customFormat="false" ht="15" hidden="true" customHeight="false" outlineLevel="1" collapsed="false">
      <c r="A250" s="11" t="s">
        <v>1972</v>
      </c>
      <c r="B250" s="53" t="str">
        <f aca="false">IF(INDEX(Prod_Nombre,23)="","Producto 23",INDEX(Prod_Nombre,23))&amp;" — capacidad instalada"</f>
        <v>Producto 23 — capacidad instalada</v>
      </c>
      <c r="C250" s="11" t="s">
        <v>544</v>
      </c>
      <c r="E250" s="37"/>
      <c r="F250" s="37"/>
      <c r="G250" s="37"/>
      <c r="H250" s="37"/>
      <c r="I250" s="37"/>
      <c r="J250" s="37"/>
      <c r="K250" s="37"/>
      <c r="L250" s="37"/>
      <c r="M250" s="37"/>
      <c r="N250" s="37"/>
    </row>
    <row r="251" customFormat="false" ht="15" hidden="true" customHeight="false" outlineLevel="1" collapsed="false">
      <c r="A251" s="11" t="s">
        <v>1973</v>
      </c>
      <c r="B251" s="15" t="s">
        <v>1860</v>
      </c>
      <c r="C251" s="11" t="s">
        <v>544</v>
      </c>
      <c r="D251" s="37"/>
      <c r="E251" s="37"/>
      <c r="F251" s="37"/>
      <c r="G251" s="37"/>
      <c r="H251" s="37"/>
      <c r="I251" s="37"/>
      <c r="J251" s="37"/>
      <c r="K251" s="37"/>
      <c r="L251" s="37"/>
      <c r="M251" s="37"/>
      <c r="N251" s="37"/>
      <c r="O251" s="54" t="str">
        <f aca="false">IF(COUNT(D251:N251)=0,"",SUM(D251:N251))</f>
        <v/>
      </c>
    </row>
    <row r="252" customFormat="false" ht="15" hidden="true" customHeight="false" outlineLevel="1" collapsed="false">
      <c r="A252" s="11" t="s">
        <v>1974</v>
      </c>
      <c r="B252" s="15" t="s">
        <v>1862</v>
      </c>
      <c r="C252" s="11" t="s">
        <v>544</v>
      </c>
      <c r="D252" s="37"/>
      <c r="E252" s="37"/>
      <c r="F252" s="37"/>
      <c r="G252" s="37"/>
      <c r="H252" s="37"/>
      <c r="I252" s="37"/>
      <c r="J252" s="37"/>
      <c r="K252" s="37"/>
      <c r="L252" s="37"/>
      <c r="M252" s="37"/>
      <c r="N252" s="37"/>
      <c r="O252" s="54" t="str">
        <f aca="false">IF(COUNT(D252:N252)=0,"",SUM(D252:N252))</f>
        <v/>
      </c>
    </row>
    <row r="253" customFormat="false" ht="15" hidden="true" customHeight="false" outlineLevel="1" collapsed="false">
      <c r="A253" s="11" t="s">
        <v>1975</v>
      </c>
      <c r="B253" s="15" t="s">
        <v>1864</v>
      </c>
      <c r="C253" s="11" t="s">
        <v>367</v>
      </c>
      <c r="E253" s="49" t="str">
        <f aca="false">IFERROR(IF(OR(NOT(ISNUMBER(E251)),N(E250)=0),"",E251/E250),"")</f>
        <v/>
      </c>
      <c r="F253" s="49" t="str">
        <f aca="false">IFERROR(IF(OR(NOT(ISNUMBER(F251)),N(F250)=0),"",F251/F250),"")</f>
        <v/>
      </c>
      <c r="G253" s="49" t="str">
        <f aca="false">IFERROR(IF(OR(NOT(ISNUMBER(G251)),N(G250)=0),"",G251/G250),"")</f>
        <v/>
      </c>
      <c r="H253" s="49" t="str">
        <f aca="false">IFERROR(IF(OR(NOT(ISNUMBER(H251)),N(H250)=0),"",H251/H250),"")</f>
        <v/>
      </c>
      <c r="I253" s="49" t="str">
        <f aca="false">IFERROR(IF(OR(NOT(ISNUMBER(I251)),N(I250)=0),"",I251/I250),"")</f>
        <v/>
      </c>
      <c r="J253" s="49" t="str">
        <f aca="false">IFERROR(IF(OR(NOT(ISNUMBER(J251)),N(J250)=0),"",J251/J250),"")</f>
        <v/>
      </c>
      <c r="K253" s="49" t="str">
        <f aca="false">IFERROR(IF(OR(NOT(ISNUMBER(K251)),N(K250)=0),"",K251/K250),"")</f>
        <v/>
      </c>
      <c r="L253" s="49" t="str">
        <f aca="false">IFERROR(IF(OR(NOT(ISNUMBER(L251)),N(L250)=0),"",L251/L250),"")</f>
        <v/>
      </c>
      <c r="M253" s="49" t="str">
        <f aca="false">IFERROR(IF(OR(NOT(ISNUMBER(M251)),N(M250)=0),"",M251/M250),"")</f>
        <v/>
      </c>
      <c r="N253" s="49" t="str">
        <f aca="false">IFERROR(IF(OR(NOT(ISNUMBER(N251)),N(N250)=0),"",N251/N250),"")</f>
        <v/>
      </c>
    </row>
    <row r="254" customFormat="false" ht="15" hidden="true" customHeight="false" outlineLevel="1" collapsed="false">
      <c r="A254" s="11" t="s">
        <v>1976</v>
      </c>
      <c r="B254" s="15" t="s">
        <v>1866</v>
      </c>
      <c r="C254" s="11" t="s">
        <v>367</v>
      </c>
      <c r="E254" s="49" t="str">
        <f aca="false">IFERROR(IF(OR(NOT(ISNUMBER(E252)),N(E251)=0),"",E252/E251),"")</f>
        <v/>
      </c>
      <c r="F254" s="49" t="str">
        <f aca="false">IFERROR(IF(OR(NOT(ISNUMBER(F252)),N(F251)=0),"",F252/F251),"")</f>
        <v/>
      </c>
      <c r="G254" s="49" t="str">
        <f aca="false">IFERROR(IF(OR(NOT(ISNUMBER(G252)),N(G251)=0),"",G252/G251),"")</f>
        <v/>
      </c>
      <c r="H254" s="49" t="str">
        <f aca="false">IFERROR(IF(OR(NOT(ISNUMBER(H252)),N(H251)=0),"",H252/H251),"")</f>
        <v/>
      </c>
      <c r="I254" s="49" t="str">
        <f aca="false">IFERROR(IF(OR(NOT(ISNUMBER(I252)),N(I251)=0),"",I252/I251),"")</f>
        <v/>
      </c>
      <c r="J254" s="49" t="str">
        <f aca="false">IFERROR(IF(OR(NOT(ISNUMBER(J252)),N(J251)=0),"",J252/J251),"")</f>
        <v/>
      </c>
      <c r="K254" s="49" t="str">
        <f aca="false">IFERROR(IF(OR(NOT(ISNUMBER(K252)),N(K251)=0),"",K252/K251),"")</f>
        <v/>
      </c>
      <c r="L254" s="49" t="str">
        <f aca="false">IFERROR(IF(OR(NOT(ISNUMBER(L252)),N(L251)=0),"",L252/L251),"")</f>
        <v/>
      </c>
      <c r="M254" s="49" t="str">
        <f aca="false">IFERROR(IF(OR(NOT(ISNUMBER(M252)),N(M251)=0),"",M252/M251),"")</f>
        <v/>
      </c>
      <c r="N254" s="49" t="str">
        <f aca="false">IFERROR(IF(OR(NOT(ISNUMBER(N252)),N(N251)=0),"",N252/N251),"")</f>
        <v/>
      </c>
      <c r="O254" s="99" t="str">
        <f aca="false">IFERROR(IF(OR(NOT(ISNUMBER(O252)),N(O251)=0),"",O252/O251),"")</f>
        <v/>
      </c>
    </row>
    <row r="255" customFormat="false" ht="15" hidden="true" customHeight="false" outlineLevel="1" collapsed="false">
      <c r="A255" s="11" t="s">
        <v>1977</v>
      </c>
      <c r="B255" s="53" t="str">
        <f aca="false">IF(INDEX(Prod_Nombre,24)="","Producto 24",INDEX(Prod_Nombre,24))&amp;" — capacidad instalada"</f>
        <v>Producto 24 — capacidad instalada</v>
      </c>
      <c r="C255" s="11" t="s">
        <v>544</v>
      </c>
      <c r="E255" s="37"/>
      <c r="F255" s="37"/>
      <c r="G255" s="37"/>
      <c r="H255" s="37"/>
      <c r="I255" s="37"/>
      <c r="J255" s="37"/>
      <c r="K255" s="37"/>
      <c r="L255" s="37"/>
      <c r="M255" s="37"/>
      <c r="N255" s="37"/>
    </row>
    <row r="256" customFormat="false" ht="15" hidden="true" customHeight="false" outlineLevel="1" collapsed="false">
      <c r="A256" s="11" t="s">
        <v>1978</v>
      </c>
      <c r="B256" s="15" t="s">
        <v>1860</v>
      </c>
      <c r="C256" s="11" t="s">
        <v>544</v>
      </c>
      <c r="D256" s="37"/>
      <c r="E256" s="37"/>
      <c r="F256" s="37"/>
      <c r="G256" s="37"/>
      <c r="H256" s="37"/>
      <c r="I256" s="37"/>
      <c r="J256" s="37"/>
      <c r="K256" s="37"/>
      <c r="L256" s="37"/>
      <c r="M256" s="37"/>
      <c r="N256" s="37"/>
      <c r="O256" s="54" t="str">
        <f aca="false">IF(COUNT(D256:N256)=0,"",SUM(D256:N256))</f>
        <v/>
      </c>
    </row>
    <row r="257" customFormat="false" ht="15" hidden="true" customHeight="false" outlineLevel="1" collapsed="false">
      <c r="A257" s="11" t="s">
        <v>1979</v>
      </c>
      <c r="B257" s="15" t="s">
        <v>1862</v>
      </c>
      <c r="C257" s="11" t="s">
        <v>544</v>
      </c>
      <c r="D257" s="37"/>
      <c r="E257" s="37"/>
      <c r="F257" s="37"/>
      <c r="G257" s="37"/>
      <c r="H257" s="37"/>
      <c r="I257" s="37"/>
      <c r="J257" s="37"/>
      <c r="K257" s="37"/>
      <c r="L257" s="37"/>
      <c r="M257" s="37"/>
      <c r="N257" s="37"/>
      <c r="O257" s="54" t="str">
        <f aca="false">IF(COUNT(D257:N257)=0,"",SUM(D257:N257))</f>
        <v/>
      </c>
    </row>
    <row r="258" customFormat="false" ht="15" hidden="true" customHeight="false" outlineLevel="1" collapsed="false">
      <c r="A258" s="11" t="s">
        <v>1980</v>
      </c>
      <c r="B258" s="15" t="s">
        <v>1864</v>
      </c>
      <c r="C258" s="11" t="s">
        <v>367</v>
      </c>
      <c r="E258" s="49" t="str">
        <f aca="false">IFERROR(IF(OR(NOT(ISNUMBER(E256)),N(E255)=0),"",E256/E255),"")</f>
        <v/>
      </c>
      <c r="F258" s="49" t="str">
        <f aca="false">IFERROR(IF(OR(NOT(ISNUMBER(F256)),N(F255)=0),"",F256/F255),"")</f>
        <v/>
      </c>
      <c r="G258" s="49" t="str">
        <f aca="false">IFERROR(IF(OR(NOT(ISNUMBER(G256)),N(G255)=0),"",G256/G255),"")</f>
        <v/>
      </c>
      <c r="H258" s="49" t="str">
        <f aca="false">IFERROR(IF(OR(NOT(ISNUMBER(H256)),N(H255)=0),"",H256/H255),"")</f>
        <v/>
      </c>
      <c r="I258" s="49" t="str">
        <f aca="false">IFERROR(IF(OR(NOT(ISNUMBER(I256)),N(I255)=0),"",I256/I255),"")</f>
        <v/>
      </c>
      <c r="J258" s="49" t="str">
        <f aca="false">IFERROR(IF(OR(NOT(ISNUMBER(J256)),N(J255)=0),"",J256/J255),"")</f>
        <v/>
      </c>
      <c r="K258" s="49" t="str">
        <f aca="false">IFERROR(IF(OR(NOT(ISNUMBER(K256)),N(K255)=0),"",K256/K255),"")</f>
        <v/>
      </c>
      <c r="L258" s="49" t="str">
        <f aca="false">IFERROR(IF(OR(NOT(ISNUMBER(L256)),N(L255)=0),"",L256/L255),"")</f>
        <v/>
      </c>
      <c r="M258" s="49" t="str">
        <f aca="false">IFERROR(IF(OR(NOT(ISNUMBER(M256)),N(M255)=0),"",M256/M255),"")</f>
        <v/>
      </c>
      <c r="N258" s="49" t="str">
        <f aca="false">IFERROR(IF(OR(NOT(ISNUMBER(N256)),N(N255)=0),"",N256/N255),"")</f>
        <v/>
      </c>
    </row>
    <row r="259" customFormat="false" ht="15" hidden="true" customHeight="false" outlineLevel="1" collapsed="false">
      <c r="A259" s="11" t="s">
        <v>1981</v>
      </c>
      <c r="B259" s="15" t="s">
        <v>1866</v>
      </c>
      <c r="C259" s="11" t="s">
        <v>367</v>
      </c>
      <c r="E259" s="49" t="str">
        <f aca="false">IFERROR(IF(OR(NOT(ISNUMBER(E257)),N(E256)=0),"",E257/E256),"")</f>
        <v/>
      </c>
      <c r="F259" s="49" t="str">
        <f aca="false">IFERROR(IF(OR(NOT(ISNUMBER(F257)),N(F256)=0),"",F257/F256),"")</f>
        <v/>
      </c>
      <c r="G259" s="49" t="str">
        <f aca="false">IFERROR(IF(OR(NOT(ISNUMBER(G257)),N(G256)=0),"",G257/G256),"")</f>
        <v/>
      </c>
      <c r="H259" s="49" t="str">
        <f aca="false">IFERROR(IF(OR(NOT(ISNUMBER(H257)),N(H256)=0),"",H257/H256),"")</f>
        <v/>
      </c>
      <c r="I259" s="49" t="str">
        <f aca="false">IFERROR(IF(OR(NOT(ISNUMBER(I257)),N(I256)=0),"",I257/I256),"")</f>
        <v/>
      </c>
      <c r="J259" s="49" t="str">
        <f aca="false">IFERROR(IF(OR(NOT(ISNUMBER(J257)),N(J256)=0),"",J257/J256),"")</f>
        <v/>
      </c>
      <c r="K259" s="49" t="str">
        <f aca="false">IFERROR(IF(OR(NOT(ISNUMBER(K257)),N(K256)=0),"",K257/K256),"")</f>
        <v/>
      </c>
      <c r="L259" s="49" t="str">
        <f aca="false">IFERROR(IF(OR(NOT(ISNUMBER(L257)),N(L256)=0),"",L257/L256),"")</f>
        <v/>
      </c>
      <c r="M259" s="49" t="str">
        <f aca="false">IFERROR(IF(OR(NOT(ISNUMBER(M257)),N(M256)=0),"",M257/M256),"")</f>
        <v/>
      </c>
      <c r="N259" s="49" t="str">
        <f aca="false">IFERROR(IF(OR(NOT(ISNUMBER(N257)),N(N256)=0),"",N257/N256),"")</f>
        <v/>
      </c>
      <c r="O259" s="99" t="str">
        <f aca="false">IFERROR(IF(OR(NOT(ISNUMBER(O257)),N(O256)=0),"",O257/O256),"")</f>
        <v/>
      </c>
    </row>
    <row r="260" customFormat="false" ht="15" hidden="true" customHeight="false" outlineLevel="1" collapsed="false">
      <c r="A260" s="11" t="s">
        <v>1982</v>
      </c>
      <c r="B260" s="53" t="str">
        <f aca="false">IF(INDEX(Prod_Nombre,25)="","Producto 25",INDEX(Prod_Nombre,25))&amp;" — capacidad instalada"</f>
        <v>Producto 25 — capacidad instalada</v>
      </c>
      <c r="C260" s="11" t="s">
        <v>544</v>
      </c>
      <c r="E260" s="37"/>
      <c r="F260" s="37"/>
      <c r="G260" s="37"/>
      <c r="H260" s="37"/>
      <c r="I260" s="37"/>
      <c r="J260" s="37"/>
      <c r="K260" s="37"/>
      <c r="L260" s="37"/>
      <c r="M260" s="37"/>
      <c r="N260" s="37"/>
    </row>
    <row r="261" customFormat="false" ht="15" hidden="true" customHeight="false" outlineLevel="1" collapsed="false">
      <c r="A261" s="11" t="s">
        <v>1983</v>
      </c>
      <c r="B261" s="15" t="s">
        <v>1860</v>
      </c>
      <c r="C261" s="11" t="s">
        <v>544</v>
      </c>
      <c r="D261" s="37"/>
      <c r="E261" s="37"/>
      <c r="F261" s="37"/>
      <c r="G261" s="37"/>
      <c r="H261" s="37"/>
      <c r="I261" s="37"/>
      <c r="J261" s="37"/>
      <c r="K261" s="37"/>
      <c r="L261" s="37"/>
      <c r="M261" s="37"/>
      <c r="N261" s="37"/>
      <c r="O261" s="54" t="str">
        <f aca="false">IF(COUNT(D261:N261)=0,"",SUM(D261:N261))</f>
        <v/>
      </c>
    </row>
    <row r="262" customFormat="false" ht="15" hidden="true" customHeight="false" outlineLevel="1" collapsed="false">
      <c r="A262" s="11" t="s">
        <v>1984</v>
      </c>
      <c r="B262" s="15" t="s">
        <v>1862</v>
      </c>
      <c r="C262" s="11" t="s">
        <v>544</v>
      </c>
      <c r="D262" s="37"/>
      <c r="E262" s="37"/>
      <c r="F262" s="37"/>
      <c r="G262" s="37"/>
      <c r="H262" s="37"/>
      <c r="I262" s="37"/>
      <c r="J262" s="37"/>
      <c r="K262" s="37"/>
      <c r="L262" s="37"/>
      <c r="M262" s="37"/>
      <c r="N262" s="37"/>
      <c r="O262" s="54" t="str">
        <f aca="false">IF(COUNT(D262:N262)=0,"",SUM(D262:N262))</f>
        <v/>
      </c>
    </row>
    <row r="263" customFormat="false" ht="15" hidden="true" customHeight="false" outlineLevel="1" collapsed="false">
      <c r="A263" s="11" t="s">
        <v>1985</v>
      </c>
      <c r="B263" s="15" t="s">
        <v>1864</v>
      </c>
      <c r="C263" s="11" t="s">
        <v>367</v>
      </c>
      <c r="E263" s="49" t="str">
        <f aca="false">IFERROR(IF(OR(NOT(ISNUMBER(E261)),N(E260)=0),"",E261/E260),"")</f>
        <v/>
      </c>
      <c r="F263" s="49" t="str">
        <f aca="false">IFERROR(IF(OR(NOT(ISNUMBER(F261)),N(F260)=0),"",F261/F260),"")</f>
        <v/>
      </c>
      <c r="G263" s="49" t="str">
        <f aca="false">IFERROR(IF(OR(NOT(ISNUMBER(G261)),N(G260)=0),"",G261/G260),"")</f>
        <v/>
      </c>
      <c r="H263" s="49" t="str">
        <f aca="false">IFERROR(IF(OR(NOT(ISNUMBER(H261)),N(H260)=0),"",H261/H260),"")</f>
        <v/>
      </c>
      <c r="I263" s="49" t="str">
        <f aca="false">IFERROR(IF(OR(NOT(ISNUMBER(I261)),N(I260)=0),"",I261/I260),"")</f>
        <v/>
      </c>
      <c r="J263" s="49" t="str">
        <f aca="false">IFERROR(IF(OR(NOT(ISNUMBER(J261)),N(J260)=0),"",J261/J260),"")</f>
        <v/>
      </c>
      <c r="K263" s="49" t="str">
        <f aca="false">IFERROR(IF(OR(NOT(ISNUMBER(K261)),N(K260)=0),"",K261/K260),"")</f>
        <v/>
      </c>
      <c r="L263" s="49" t="str">
        <f aca="false">IFERROR(IF(OR(NOT(ISNUMBER(L261)),N(L260)=0),"",L261/L260),"")</f>
        <v/>
      </c>
      <c r="M263" s="49" t="str">
        <f aca="false">IFERROR(IF(OR(NOT(ISNUMBER(M261)),N(M260)=0),"",M261/M260),"")</f>
        <v/>
      </c>
      <c r="N263" s="49" t="str">
        <f aca="false">IFERROR(IF(OR(NOT(ISNUMBER(N261)),N(N260)=0),"",N261/N260),"")</f>
        <v/>
      </c>
    </row>
    <row r="264" customFormat="false" ht="15" hidden="true" customHeight="false" outlineLevel="1" collapsed="false">
      <c r="A264" s="11" t="s">
        <v>1986</v>
      </c>
      <c r="B264" s="15" t="s">
        <v>1866</v>
      </c>
      <c r="C264" s="11" t="s">
        <v>367</v>
      </c>
      <c r="E264" s="49" t="str">
        <f aca="false">IFERROR(IF(OR(NOT(ISNUMBER(E262)),N(E261)=0),"",E262/E261),"")</f>
        <v/>
      </c>
      <c r="F264" s="49" t="str">
        <f aca="false">IFERROR(IF(OR(NOT(ISNUMBER(F262)),N(F261)=0),"",F262/F261),"")</f>
        <v/>
      </c>
      <c r="G264" s="49" t="str">
        <f aca="false">IFERROR(IF(OR(NOT(ISNUMBER(G262)),N(G261)=0),"",G262/G261),"")</f>
        <v/>
      </c>
      <c r="H264" s="49" t="str">
        <f aca="false">IFERROR(IF(OR(NOT(ISNUMBER(H262)),N(H261)=0),"",H262/H261),"")</f>
        <v/>
      </c>
      <c r="I264" s="49" t="str">
        <f aca="false">IFERROR(IF(OR(NOT(ISNUMBER(I262)),N(I261)=0),"",I262/I261),"")</f>
        <v/>
      </c>
      <c r="J264" s="49" t="str">
        <f aca="false">IFERROR(IF(OR(NOT(ISNUMBER(J262)),N(J261)=0),"",J262/J261),"")</f>
        <v/>
      </c>
      <c r="K264" s="49" t="str">
        <f aca="false">IFERROR(IF(OR(NOT(ISNUMBER(K262)),N(K261)=0),"",K262/K261),"")</f>
        <v/>
      </c>
      <c r="L264" s="49" t="str">
        <f aca="false">IFERROR(IF(OR(NOT(ISNUMBER(L262)),N(L261)=0),"",L262/L261),"")</f>
        <v/>
      </c>
      <c r="M264" s="49" t="str">
        <f aca="false">IFERROR(IF(OR(NOT(ISNUMBER(M262)),N(M261)=0),"",M262/M261),"")</f>
        <v/>
      </c>
      <c r="N264" s="49" t="str">
        <f aca="false">IFERROR(IF(OR(NOT(ISNUMBER(N262)),N(N261)=0),"",N262/N261),"")</f>
        <v/>
      </c>
      <c r="O264" s="99" t="str">
        <f aca="false">IFERROR(IF(OR(NOT(ISNUMBER(O262)),N(O261)=0),"",O262/O261),"")</f>
        <v/>
      </c>
    </row>
    <row r="265" customFormat="false" ht="15" hidden="false" customHeight="false" outlineLevel="0" collapsed="false">
      <c r="A265" s="13"/>
      <c r="B265" s="100" t="s">
        <v>1987</v>
      </c>
      <c r="C265" s="13"/>
      <c r="D265" s="13"/>
      <c r="E265" s="13"/>
      <c r="F265" s="13"/>
      <c r="G265" s="13"/>
      <c r="H265" s="13"/>
      <c r="I265" s="13"/>
      <c r="J265" s="13"/>
      <c r="K265" s="13"/>
      <c r="L265" s="13"/>
      <c r="M265" s="13"/>
      <c r="N265" s="13"/>
      <c r="O265" s="13"/>
    </row>
    <row r="266" customFormat="false" ht="15" hidden="false" customHeight="false" outlineLevel="0" collapsed="false">
      <c r="A266" s="11" t="s">
        <v>1988</v>
      </c>
      <c r="B266" s="67" t="s">
        <v>1989</v>
      </c>
      <c r="C266" s="11" t="s">
        <v>544</v>
      </c>
      <c r="D266" s="54" t="str">
        <f aca="false">IFERROR(IF(COUNT(D141,D146,D151,D156,D161,D166,D171,D176,D181,D186,D191,D196,D201,D206,D211,D216,D221,D226,D231,D236,D241,D246,D251,D256,D261)=0,"",N(D141)+N(D146)+N(D151)+N(D156)+N(D161)+N(D166)+N(D171)+N(D176)+N(D181)+N(D186)+N(D191)+N(D196)+N(D201)+N(D206)+N(D211)+N(D216)+N(D221)+N(D226)+N(D231)+N(D236)+N(D241)+N(D246)+N(D251)+N(D256)+N(D261)),"")</f>
        <v/>
      </c>
      <c r="E266" s="54" t="n">
        <f aca="false">IFERROR(IF(COUNT(E141,E146,E151,E156,E161,E166,E171,E176,E181,E186,E191,E196,E201,E206,E211,E216,E221,E226,E231,E236,E241,E246,E251,E256,E261)=0,"",N(E141)+N(E146)+N(E151)+N(E156)+N(E161)+N(E166)+N(E171)+N(E176)+N(E181)+N(E186)+N(E191)+N(E196)+N(E201)+N(E206)+N(E211)+N(E216)+N(E221)+N(E226)+N(E231)+N(E236)+N(E241)+N(E246)+N(E251)+N(E256)+N(E261)),"")</f>
        <v>82000</v>
      </c>
      <c r="F266" s="54" t="n">
        <f aca="false">IFERROR(IF(COUNT(F141,F146,F151,F156,F161,F166,F171,F176,F181,F186,F191,F196,F201,F206,F211,F216,F221,F226,F231,F236,F241,F246,F251,F256,F261)=0,"",N(F141)+N(F146)+N(F151)+N(F156)+N(F161)+N(F166)+N(F171)+N(F176)+N(F181)+N(F186)+N(F191)+N(F196)+N(F201)+N(F206)+N(F211)+N(F216)+N(F221)+N(F226)+N(F231)+N(F236)+N(F241)+N(F246)+N(F251)+N(F256)+N(F261)),"")</f>
        <v>105000</v>
      </c>
      <c r="G266" s="54" t="n">
        <f aca="false">IFERROR(IF(COUNT(G141,G146,G151,G156,G161,G166,G171,G176,G181,G186,G191,G196,G201,G206,G211,G216,G221,G226,G231,G236,G241,G246,G251,G256,G261)=0,"",N(G141)+N(G146)+N(G151)+N(G156)+N(G161)+N(G166)+N(G171)+N(G176)+N(G181)+N(G186)+N(G191)+N(G196)+N(G201)+N(G206)+N(G211)+N(G216)+N(G221)+N(G226)+N(G231)+N(G236)+N(G241)+N(G246)+N(G251)+N(G256)+N(G261)),"")</f>
        <v>128000</v>
      </c>
      <c r="H266" s="54" t="n">
        <f aca="false">IFERROR(IF(COUNT(H141,H146,H151,H156,H161,H166,H171,H176,H181,H186,H191,H196,H201,H206,H211,H216,H221,H226,H231,H236,H241,H246,H251,H256,H261)=0,"",N(H141)+N(H146)+N(H151)+N(H156)+N(H161)+N(H166)+N(H171)+N(H176)+N(H181)+N(H186)+N(H191)+N(H196)+N(H201)+N(H206)+N(H211)+N(H216)+N(H221)+N(H226)+N(H231)+N(H236)+N(H241)+N(H246)+N(H251)+N(H256)+N(H261)),"")</f>
        <v>141000</v>
      </c>
      <c r="I266" s="54" t="n">
        <f aca="false">IFERROR(IF(COUNT(I141,I146,I151,I156,I161,I166,I171,I176,I181,I186,I191,I196,I201,I206,I211,I216,I221,I226,I231,I236,I241,I246,I251,I256,I261)=0,"",N(I141)+N(I146)+N(I151)+N(I156)+N(I161)+N(I166)+N(I171)+N(I176)+N(I181)+N(I186)+N(I191)+N(I196)+N(I201)+N(I206)+N(I211)+N(I216)+N(I221)+N(I226)+N(I231)+N(I236)+N(I241)+N(I246)+N(I251)+N(I256)+N(I261)),"")</f>
        <v>141000</v>
      </c>
      <c r="J266" s="54" t="n">
        <f aca="false">IFERROR(IF(COUNT(J141,J146,J151,J156,J161,J166,J171,J176,J181,J186,J191,J196,J201,J206,J211,J216,J221,J226,J231,J236,J241,J246,J251,J256,J261)=0,"",N(J141)+N(J146)+N(J151)+N(J156)+N(J161)+N(J166)+N(J171)+N(J176)+N(J181)+N(J186)+N(J191)+N(J196)+N(J201)+N(J206)+N(J211)+N(J216)+N(J221)+N(J226)+N(J231)+N(J236)+N(J241)+N(J246)+N(J251)+N(J256)+N(J261)),"")</f>
        <v>141000</v>
      </c>
      <c r="K266" s="54" t="n">
        <f aca="false">IFERROR(IF(COUNT(K141,K146,K151,K156,K161,K166,K171,K176,K181,K186,K191,K196,K201,K206,K211,K216,K221,K226,K231,K236,K241,K246,K251,K256,K261)=0,"",N(K141)+N(K146)+N(K151)+N(K156)+N(K161)+N(K166)+N(K171)+N(K176)+N(K181)+N(K186)+N(K191)+N(K196)+N(K201)+N(K206)+N(K211)+N(K216)+N(K221)+N(K226)+N(K231)+N(K236)+N(K241)+N(K246)+N(K251)+N(K256)+N(K261)),"")</f>
        <v>141000</v>
      </c>
      <c r="L266" s="54" t="n">
        <f aca="false">IFERROR(IF(COUNT(L141,L146,L151,L156,L161,L166,L171,L176,L181,L186,L191,L196,L201,L206,L211,L216,L221,L226,L231,L236,L241,L246,L251,L256,L261)=0,"",N(L141)+N(L146)+N(L151)+N(L156)+N(L161)+N(L166)+N(L171)+N(L176)+N(L181)+N(L186)+N(L191)+N(L196)+N(L201)+N(L206)+N(L211)+N(L216)+N(L221)+N(L226)+N(L231)+N(L236)+N(L241)+N(L246)+N(L251)+N(L256)+N(L261)),"")</f>
        <v>141000</v>
      </c>
      <c r="M266" s="54" t="n">
        <f aca="false">IFERROR(IF(COUNT(M141,M146,M151,M156,M161,M166,M171,M176,M181,M186,M191,M196,M201,M206,M211,M216,M221,M226,M231,M236,M241,M246,M251,M256,M261)=0,"",N(M141)+N(M146)+N(M151)+N(M156)+N(M161)+N(M166)+N(M171)+N(M176)+N(M181)+N(M186)+N(M191)+N(M196)+N(M201)+N(M206)+N(M211)+N(M216)+N(M221)+N(M226)+N(M231)+N(M236)+N(M241)+N(M246)+N(M251)+N(M256)+N(M261)),"")</f>
        <v>141000</v>
      </c>
      <c r="N266" s="54" t="n">
        <f aca="false">IFERROR(IF(COUNT(N141,N146,N151,N156,N161,N166,N171,N176,N181,N186,N191,N196,N201,N206,N211,N216,N221,N226,N231,N236,N241,N246,N251,N256,N261)=0,"",N(N141)+N(N146)+N(N151)+N(N156)+N(N161)+N(N166)+N(N171)+N(N176)+N(N181)+N(N186)+N(N191)+N(N196)+N(N201)+N(N206)+N(N211)+N(N216)+N(N221)+N(N226)+N(N231)+N(N236)+N(N241)+N(N246)+N(N251)+N(N256)+N(N261)),"")</f>
        <v>141000</v>
      </c>
      <c r="O266" s="54" t="n">
        <f aca="false">IF(COUNT(D266:N266)=0,"",SUM(D266:N266))</f>
        <v>1302000</v>
      </c>
    </row>
    <row r="267" customFormat="false" ht="15" hidden="false" customHeight="false" outlineLevel="0" collapsed="false">
      <c r="A267" s="11" t="s">
        <v>1990</v>
      </c>
      <c r="B267" s="67" t="s">
        <v>1991</v>
      </c>
      <c r="C267" s="11" t="s">
        <v>544</v>
      </c>
      <c r="D267" s="54" t="str">
        <f aca="false">IFERROR(IF(COUNT(D142,D147,D152,D157,D162,D167,D172,D177,D182,D187,D192,D197,D202,D207,D212,D217,D222,D227,D232,D237,D242,D247,D252,D257,D262)=0,"",N(D142)+N(D147)+N(D152)+N(D157)+N(D162)+N(D167)+N(D172)+N(D177)+N(D182)+N(D187)+N(D192)+N(D197)+N(D202)+N(D207)+N(D212)+N(D217)+N(D222)+N(D227)+N(D232)+N(D237)+N(D242)+N(D247)+N(D252)+N(D257)+N(D262)),"")</f>
        <v/>
      </c>
      <c r="E267" s="54" t="n">
        <f aca="false">IFERROR(IF(COUNT(E142,E147,E152,E157,E162,E167,E172,E177,E182,E187,E192,E197,E202,E207,E212,E217,E222,E227,E232,E237,E242,E247,E252,E257,E262)=0,"",N(E142)+N(E147)+N(E152)+N(E157)+N(E162)+N(E167)+N(E172)+N(E177)+N(E182)+N(E187)+N(E192)+N(E197)+N(E202)+N(E207)+N(E212)+N(E217)+N(E222)+N(E227)+N(E232)+N(E237)+N(E242)+N(E247)+N(E252)+N(E257)+N(E262)),"")</f>
        <v>82000</v>
      </c>
      <c r="F267" s="54" t="n">
        <f aca="false">IFERROR(IF(COUNT(F142,F147,F152,F157,F162,F167,F172,F177,F182,F187,F192,F197,F202,F207,F212,F217,F222,F227,F232,F237,F242,F247,F252,F257,F262)=0,"",N(F142)+N(F147)+N(F152)+N(F157)+N(F162)+N(F167)+N(F172)+N(F177)+N(F182)+N(F187)+N(F192)+N(F197)+N(F202)+N(F207)+N(F212)+N(F217)+N(F222)+N(F227)+N(F232)+N(F237)+N(F242)+N(F247)+N(F252)+N(F257)+N(F262)),"")</f>
        <v>105000</v>
      </c>
      <c r="G267" s="54" t="n">
        <f aca="false">IFERROR(IF(COUNT(G142,G147,G152,G157,G162,G167,G172,G177,G182,G187,G192,G197,G202,G207,G212,G217,G222,G227,G232,G237,G242,G247,G252,G257,G262)=0,"",N(G142)+N(G147)+N(G152)+N(G157)+N(G162)+N(G167)+N(G172)+N(G177)+N(G182)+N(G187)+N(G192)+N(G197)+N(G202)+N(G207)+N(G212)+N(G217)+N(G222)+N(G227)+N(G232)+N(G237)+N(G242)+N(G247)+N(G252)+N(G257)+N(G262)),"")</f>
        <v>128000</v>
      </c>
      <c r="H267" s="54" t="n">
        <f aca="false">IFERROR(IF(COUNT(H142,H147,H152,H157,H162,H167,H172,H177,H182,H187,H192,H197,H202,H207,H212,H217,H222,H227,H232,H237,H242,H247,H252,H257,H262)=0,"",N(H142)+N(H147)+N(H152)+N(H157)+N(H162)+N(H167)+N(H172)+N(H177)+N(H182)+N(H187)+N(H192)+N(H197)+N(H202)+N(H207)+N(H212)+N(H217)+N(H222)+N(H227)+N(H232)+N(H237)+N(H242)+N(H247)+N(H252)+N(H257)+N(H262)),"")</f>
        <v>141000</v>
      </c>
      <c r="I267" s="54" t="n">
        <f aca="false">IFERROR(IF(COUNT(I142,I147,I152,I157,I162,I167,I172,I177,I182,I187,I192,I197,I202,I207,I212,I217,I222,I227,I232,I237,I242,I247,I252,I257,I262)=0,"",N(I142)+N(I147)+N(I152)+N(I157)+N(I162)+N(I167)+N(I172)+N(I177)+N(I182)+N(I187)+N(I192)+N(I197)+N(I202)+N(I207)+N(I212)+N(I217)+N(I222)+N(I227)+N(I232)+N(I237)+N(I242)+N(I247)+N(I252)+N(I257)+N(I262)),"")</f>
        <v>141000</v>
      </c>
      <c r="J267" s="54" t="n">
        <f aca="false">IFERROR(IF(COUNT(J142,J147,J152,J157,J162,J167,J172,J177,J182,J187,J192,J197,J202,J207,J212,J217,J222,J227,J232,J237,J242,J247,J252,J257,J262)=0,"",N(J142)+N(J147)+N(J152)+N(J157)+N(J162)+N(J167)+N(J172)+N(J177)+N(J182)+N(J187)+N(J192)+N(J197)+N(J202)+N(J207)+N(J212)+N(J217)+N(J222)+N(J227)+N(J232)+N(J237)+N(J242)+N(J247)+N(J252)+N(J257)+N(J262)),"")</f>
        <v>141000</v>
      </c>
      <c r="K267" s="54" t="n">
        <f aca="false">IFERROR(IF(COUNT(K142,K147,K152,K157,K162,K167,K172,K177,K182,K187,K192,K197,K202,K207,K212,K217,K222,K227,K232,K237,K242,K247,K252,K257,K262)=0,"",N(K142)+N(K147)+N(K152)+N(K157)+N(K162)+N(K167)+N(K172)+N(K177)+N(K182)+N(K187)+N(K192)+N(K197)+N(K202)+N(K207)+N(K212)+N(K217)+N(K222)+N(K227)+N(K232)+N(K237)+N(K242)+N(K247)+N(K252)+N(K257)+N(K262)),"")</f>
        <v>141000</v>
      </c>
      <c r="L267" s="54" t="n">
        <f aca="false">IFERROR(IF(COUNT(L142,L147,L152,L157,L162,L167,L172,L177,L182,L187,L192,L197,L202,L207,L212,L217,L222,L227,L232,L237,L242,L247,L252,L257,L262)=0,"",N(L142)+N(L147)+N(L152)+N(L157)+N(L162)+N(L167)+N(L172)+N(L177)+N(L182)+N(L187)+N(L192)+N(L197)+N(L202)+N(L207)+N(L212)+N(L217)+N(L222)+N(L227)+N(L232)+N(L237)+N(L242)+N(L247)+N(L252)+N(L257)+N(L262)),"")</f>
        <v>141000</v>
      </c>
      <c r="M267" s="54" t="n">
        <f aca="false">IFERROR(IF(COUNT(M142,M147,M152,M157,M162,M167,M172,M177,M182,M187,M192,M197,M202,M207,M212,M217,M222,M227,M232,M237,M242,M247,M252,M257,M262)=0,"",N(M142)+N(M147)+N(M152)+N(M157)+N(M162)+N(M167)+N(M172)+N(M177)+N(M182)+N(M187)+N(M192)+N(M197)+N(M202)+N(M207)+N(M212)+N(M217)+N(M222)+N(M227)+N(M232)+N(M237)+N(M242)+N(M247)+N(M252)+N(M257)+N(M262)),"")</f>
        <v>141000</v>
      </c>
      <c r="N267" s="54" t="n">
        <f aca="false">IFERROR(IF(COUNT(N142,N147,N152,N157,N162,N167,N172,N177,N182,N187,N192,N197,N202,N207,N212,N217,N222,N227,N232,N237,N242,N247,N252,N257,N262)=0,"",N(N142)+N(N147)+N(N152)+N(N157)+N(N162)+N(N167)+N(N172)+N(N177)+N(N182)+N(N187)+N(N192)+N(N197)+N(N202)+N(N207)+N(N212)+N(N217)+N(N222)+N(N227)+N(N232)+N(N237)+N(N242)+N(N247)+N(N252)+N(N257)+N(N262)),"")</f>
        <v>141000</v>
      </c>
      <c r="O267" s="54" t="n">
        <f aca="false">IF(COUNT(D267:N267)=0,"",SUM(D267:N267))</f>
        <v>1302000</v>
      </c>
    </row>
    <row r="269" customFormat="false" ht="15" hidden="false" customHeight="false" outlineLevel="0" collapsed="false">
      <c r="A269" s="101" t="s">
        <v>1994</v>
      </c>
      <c r="B269" s="102"/>
      <c r="C269" s="102"/>
      <c r="D269" s="102"/>
      <c r="E269" s="102"/>
      <c r="F269" s="102"/>
      <c r="G269" s="102"/>
      <c r="H269" s="102"/>
      <c r="I269" s="102"/>
      <c r="J269" s="102"/>
      <c r="K269" s="102"/>
      <c r="L269" s="102"/>
      <c r="M269" s="102"/>
      <c r="N269" s="102"/>
      <c r="O269" s="102"/>
      <c r="P269" s="102"/>
    </row>
    <row r="270" customFormat="false" ht="24" hidden="false" customHeight="true" outlineLevel="0" collapsed="false">
      <c r="A270" s="14"/>
      <c r="B270" s="14" t="s">
        <v>1530</v>
      </c>
      <c r="C270" s="14" t="s">
        <v>355</v>
      </c>
      <c r="D270" s="14" t="s">
        <v>1857</v>
      </c>
      <c r="E270" s="14" t="s">
        <v>452</v>
      </c>
      <c r="F270" s="14" t="s">
        <v>453</v>
      </c>
      <c r="G270" s="14" t="s">
        <v>454</v>
      </c>
      <c r="H270" s="14" t="s">
        <v>455</v>
      </c>
      <c r="I270" s="14" t="s">
        <v>456</v>
      </c>
      <c r="J270" s="14" t="s">
        <v>457</v>
      </c>
      <c r="K270" s="14" t="s">
        <v>458</v>
      </c>
      <c r="L270" s="14" t="s">
        <v>459</v>
      </c>
      <c r="M270" s="14" t="s">
        <v>460</v>
      </c>
      <c r="N270" s="14" t="s">
        <v>461</v>
      </c>
      <c r="O270" s="14" t="s">
        <v>549</v>
      </c>
      <c r="P270" s="14" t="s">
        <v>1822</v>
      </c>
    </row>
    <row r="271" customFormat="false" ht="15" hidden="false" customHeight="false" outlineLevel="0" collapsed="false">
      <c r="B271" s="11" t="s">
        <v>1993</v>
      </c>
      <c r="D271" s="86" t="str">
        <f aca="false">IF(OR(n_Fecha1="",IF(cu_P=1,P_Inicio,V_Inicio)=1),"",YEAR(n_Fecha1))</f>
        <v/>
      </c>
      <c r="E271" s="86" t="str">
        <f aca="false">IF(n_Fecha1="","",YEAR(EOMONTH(n_Fecha1,IF(cu_P=1,P_Inicio,V_Inicio)-1+0)))</f>
        <v/>
      </c>
      <c r="F271" s="86" t="str">
        <f aca="false">IF(n_Fecha1="","",YEAR(EOMONTH(n_Fecha1,IF(cu_P=1,P_Inicio,V_Inicio)-1+12)))</f>
        <v/>
      </c>
      <c r="G271" s="86" t="str">
        <f aca="false">IF(n_Fecha1="","",YEAR(EOMONTH(n_Fecha1,IF(cu_P=1,P_Inicio,V_Inicio)-1+24)))</f>
        <v/>
      </c>
      <c r="H271" s="86" t="str">
        <f aca="false">IF(n_Fecha1="","",YEAR(EOMONTH(n_Fecha1,IF(cu_P=1,P_Inicio,V_Inicio)-1+36)))</f>
        <v/>
      </c>
      <c r="I271" s="86" t="str">
        <f aca="false">IF(n_Fecha1="","",YEAR(EOMONTH(n_Fecha1,IF(cu_P=1,P_Inicio,V_Inicio)-1+48)))</f>
        <v/>
      </c>
      <c r="J271" s="86" t="str">
        <f aca="false">IF(n_Fecha1="","",YEAR(EOMONTH(n_Fecha1,IF(cu_P=1,P_Inicio,V_Inicio)-1+60)))</f>
        <v/>
      </c>
      <c r="K271" s="86" t="str">
        <f aca="false">IF(n_Fecha1="","",YEAR(EOMONTH(n_Fecha1,IF(cu_P=1,P_Inicio,V_Inicio)-1+72)))</f>
        <v/>
      </c>
      <c r="L271" s="86" t="str">
        <f aca="false">IF(n_Fecha1="","",YEAR(EOMONTH(n_Fecha1,IF(cu_P=1,P_Inicio,V_Inicio)-1+84)))</f>
        <v/>
      </c>
      <c r="M271" s="86" t="str">
        <f aca="false">IF(n_Fecha1="","",YEAR(EOMONTH(n_Fecha1,IF(cu_P=1,P_Inicio,V_Inicio)-1+96)))</f>
        <v/>
      </c>
      <c r="N271" s="86" t="str">
        <f aca="false">IF(n_Fecha1="","",YEAR(EOMONTH(n_Fecha1,IF(cu_P=1,P_Inicio,V_Inicio)-1+108)))</f>
        <v/>
      </c>
    </row>
    <row r="272" customFormat="false" ht="15" hidden="false" customHeight="false" outlineLevel="0" collapsed="false">
      <c r="A272" s="11" t="s">
        <v>1858</v>
      </c>
      <c r="B272" s="53" t="str">
        <f aca="false">IF(INDEX(Prod_Nombre,1)="","Producto 1",INDEX(Prod_Nombre,1))&amp;" — capacidad instalada"</f>
        <v>Gabinetes metálicos 153 kg — capacidad instalada</v>
      </c>
      <c r="C272" s="11" t="s">
        <v>544</v>
      </c>
      <c r="E272" s="48" t="n">
        <f aca="false">IF(OR(NOT(ISNUMBER(E8)),NOT(ISNUMBER(E140))),"",E8-E140)</f>
        <v>0</v>
      </c>
      <c r="F272" s="48" t="n">
        <f aca="false">IF(OR(NOT(ISNUMBER(F8)),NOT(ISNUMBER(F140))),"",F8-F140)</f>
        <v>0</v>
      </c>
      <c r="G272" s="48" t="n">
        <f aca="false">IF(OR(NOT(ISNUMBER(G8)),NOT(ISNUMBER(G140))),"",G8-G140)</f>
        <v>0</v>
      </c>
      <c r="H272" s="48" t="n">
        <f aca="false">IF(OR(NOT(ISNUMBER(H8)),NOT(ISNUMBER(H140))),"",H8-H140)</f>
        <v>0</v>
      </c>
      <c r="I272" s="48" t="n">
        <f aca="false">IF(OR(NOT(ISNUMBER(I8)),NOT(ISNUMBER(I140))),"",I8-I140)</f>
        <v>0</v>
      </c>
      <c r="J272" s="48" t="n">
        <f aca="false">IF(OR(NOT(ISNUMBER(J8)),NOT(ISNUMBER(J140))),"",J8-J140)</f>
        <v>0</v>
      </c>
      <c r="K272" s="48" t="n">
        <f aca="false">IF(OR(NOT(ISNUMBER(K8)),NOT(ISNUMBER(K140))),"",K8-K140)</f>
        <v>0</v>
      </c>
      <c r="L272" s="48" t="n">
        <f aca="false">IF(OR(NOT(ISNUMBER(L8)),NOT(ISNUMBER(L140))),"",L8-L140)</f>
        <v>0</v>
      </c>
      <c r="M272" s="48" t="n">
        <f aca="false">IF(OR(NOT(ISNUMBER(M8)),NOT(ISNUMBER(M140))),"",M8-M140)</f>
        <v>0</v>
      </c>
      <c r="N272" s="48" t="n">
        <f aca="false">IF(OR(NOT(ISNUMBER(N8)),NOT(ISNUMBER(N140))),"",N8-N140)</f>
        <v>0</v>
      </c>
      <c r="P272" s="11" t="str">
        <f aca="false">IF(COUNT(D272:N272)=0,"",IF(AND(MAX(D272:N272)&lt;2,MIN(D272:N272)&gt;-2),"Sin diferencia","Diferencia a explicar"))</f>
        <v>Sin diferencia</v>
      </c>
    </row>
    <row r="273" customFormat="false" ht="15" hidden="false" customHeight="false" outlineLevel="0" collapsed="false">
      <c r="A273" s="11" t="s">
        <v>1859</v>
      </c>
      <c r="B273" s="15" t="s">
        <v>1860</v>
      </c>
      <c r="C273" s="11" t="s">
        <v>544</v>
      </c>
      <c r="D273" s="48" t="str">
        <f aca="false">IF(OR(NOT(ISNUMBER(D9)),NOT(ISNUMBER(D141))),"",D9-D141)</f>
        <v/>
      </c>
      <c r="E273" s="48" t="n">
        <f aca="false">IF(OR(NOT(ISNUMBER(E9)),NOT(ISNUMBER(E141))),"",E9-E141)</f>
        <v>0</v>
      </c>
      <c r="F273" s="48" t="n">
        <f aca="false">IF(OR(NOT(ISNUMBER(F9)),NOT(ISNUMBER(F141))),"",F9-F141)</f>
        <v>0</v>
      </c>
      <c r="G273" s="48" t="n">
        <f aca="false">IF(OR(NOT(ISNUMBER(G9)),NOT(ISNUMBER(G141))),"",G9-G141)</f>
        <v>0</v>
      </c>
      <c r="H273" s="48" t="n">
        <f aca="false">IF(OR(NOT(ISNUMBER(H9)),NOT(ISNUMBER(H141))),"",H9-H141)</f>
        <v>0</v>
      </c>
      <c r="I273" s="48" t="n">
        <f aca="false">IF(OR(NOT(ISNUMBER(I9)),NOT(ISNUMBER(I141))),"",I9-I141)</f>
        <v>0</v>
      </c>
      <c r="J273" s="48" t="n">
        <f aca="false">IF(OR(NOT(ISNUMBER(J9)),NOT(ISNUMBER(J141))),"",J9-J141)</f>
        <v>0</v>
      </c>
      <c r="K273" s="48" t="n">
        <f aca="false">IF(OR(NOT(ISNUMBER(K9)),NOT(ISNUMBER(K141))),"",K9-K141)</f>
        <v>0</v>
      </c>
      <c r="L273" s="48" t="n">
        <f aca="false">IF(OR(NOT(ISNUMBER(L9)),NOT(ISNUMBER(L141))),"",L9-L141)</f>
        <v>0</v>
      </c>
      <c r="M273" s="48" t="n">
        <f aca="false">IF(OR(NOT(ISNUMBER(M9)),NOT(ISNUMBER(M141))),"",M9-M141)</f>
        <v>0</v>
      </c>
      <c r="N273" s="48" t="n">
        <f aca="false">IF(OR(NOT(ISNUMBER(N9)),NOT(ISNUMBER(N141))),"",N9-N141)</f>
        <v>0</v>
      </c>
      <c r="O273" s="54" t="n">
        <f aca="false">IF(OR(NOT(ISNUMBER(O9)),NOT(ISNUMBER(O141))),"",O9-O141)</f>
        <v>0</v>
      </c>
      <c r="P273" s="11" t="str">
        <f aca="false">IF(COUNT(D273:N273)=0,"",IF(AND(MAX(D273:N273)&lt;2,MIN(D273:N273)&gt;-2),"Sin diferencia","Diferencia a explicar"))</f>
        <v>Sin diferencia</v>
      </c>
    </row>
    <row r="274" customFormat="false" ht="15" hidden="false" customHeight="false" outlineLevel="0" collapsed="false">
      <c r="A274" s="11" t="s">
        <v>1861</v>
      </c>
      <c r="B274" s="15" t="s">
        <v>1862</v>
      </c>
      <c r="C274" s="11" t="s">
        <v>544</v>
      </c>
      <c r="D274" s="48" t="str">
        <f aca="false">IF(OR(NOT(ISNUMBER(D10)),NOT(ISNUMBER(D142))),"",D10-D142)</f>
        <v/>
      </c>
      <c r="E274" s="48" t="n">
        <f aca="false">IF(OR(NOT(ISNUMBER(E10)),NOT(ISNUMBER(E142))),"",E10-E142)</f>
        <v>0</v>
      </c>
      <c r="F274" s="48" t="n">
        <f aca="false">IF(OR(NOT(ISNUMBER(F10)),NOT(ISNUMBER(F142))),"",F10-F142)</f>
        <v>0</v>
      </c>
      <c r="G274" s="48" t="n">
        <f aca="false">IF(OR(NOT(ISNUMBER(G10)),NOT(ISNUMBER(G142))),"",G10-G142)</f>
        <v>0</v>
      </c>
      <c r="H274" s="48" t="n">
        <f aca="false">IF(OR(NOT(ISNUMBER(H10)),NOT(ISNUMBER(H142))),"",H10-H142)</f>
        <v>0</v>
      </c>
      <c r="I274" s="48" t="n">
        <f aca="false">IF(OR(NOT(ISNUMBER(I10)),NOT(ISNUMBER(I142))),"",I10-I142)</f>
        <v>0</v>
      </c>
      <c r="J274" s="48" t="n">
        <f aca="false">IF(OR(NOT(ISNUMBER(J10)),NOT(ISNUMBER(J142))),"",J10-J142)</f>
        <v>0</v>
      </c>
      <c r="K274" s="48" t="n">
        <f aca="false">IF(OR(NOT(ISNUMBER(K10)),NOT(ISNUMBER(K142))),"",K10-K142)</f>
        <v>0</v>
      </c>
      <c r="L274" s="48" t="n">
        <f aca="false">IF(OR(NOT(ISNUMBER(L10)),NOT(ISNUMBER(L142))),"",L10-L142)</f>
        <v>0</v>
      </c>
      <c r="M274" s="48" t="n">
        <f aca="false">IF(OR(NOT(ISNUMBER(M10)),NOT(ISNUMBER(M142))),"",M10-M142)</f>
        <v>0</v>
      </c>
      <c r="N274" s="48" t="n">
        <f aca="false">IF(OR(NOT(ISNUMBER(N10)),NOT(ISNUMBER(N142))),"",N10-N142)</f>
        <v>0</v>
      </c>
      <c r="O274" s="54" t="n">
        <f aca="false">IF(OR(NOT(ISNUMBER(O10)),NOT(ISNUMBER(O142))),"",O10-O142)</f>
        <v>0</v>
      </c>
      <c r="P274" s="11" t="str">
        <f aca="false">IF(COUNT(D274:N274)=0,"",IF(AND(MAX(D274:N274)&lt;2,MIN(D274:N274)&gt;-2),"Sin diferencia","Diferencia a explicar"))</f>
        <v>Sin diferencia</v>
      </c>
    </row>
    <row r="275" customFormat="false" ht="15" hidden="false" customHeight="false" outlineLevel="0" collapsed="false">
      <c r="A275" s="11" t="s">
        <v>1863</v>
      </c>
      <c r="B275" s="15" t="s">
        <v>1864</v>
      </c>
      <c r="C275" s="11" t="s">
        <v>367</v>
      </c>
      <c r="E275" s="49" t="n">
        <f aca="false">IF(OR(NOT(ISNUMBER(E11)),NOT(ISNUMBER(E143))),"",E11-E143)</f>
        <v>0</v>
      </c>
      <c r="F275" s="49" t="n">
        <f aca="false">IF(OR(NOT(ISNUMBER(F11)),NOT(ISNUMBER(F143))),"",F11-F143)</f>
        <v>0</v>
      </c>
      <c r="G275" s="49" t="n">
        <f aca="false">IF(OR(NOT(ISNUMBER(G11)),NOT(ISNUMBER(G143))),"",G11-G143)</f>
        <v>0</v>
      </c>
      <c r="H275" s="49" t="n">
        <f aca="false">IF(OR(NOT(ISNUMBER(H11)),NOT(ISNUMBER(H143))),"",H11-H143)</f>
        <v>0</v>
      </c>
      <c r="I275" s="49" t="n">
        <f aca="false">IF(OR(NOT(ISNUMBER(I11)),NOT(ISNUMBER(I143))),"",I11-I143)</f>
        <v>0</v>
      </c>
      <c r="J275" s="49" t="n">
        <f aca="false">IF(OR(NOT(ISNUMBER(J11)),NOT(ISNUMBER(J143))),"",J11-J143)</f>
        <v>0</v>
      </c>
      <c r="K275" s="49" t="n">
        <f aca="false">IF(OR(NOT(ISNUMBER(K11)),NOT(ISNUMBER(K143))),"",K11-K143)</f>
        <v>0</v>
      </c>
      <c r="L275" s="49" t="n">
        <f aca="false">IF(OR(NOT(ISNUMBER(L11)),NOT(ISNUMBER(L143))),"",L11-L143)</f>
        <v>0</v>
      </c>
      <c r="M275" s="49" t="n">
        <f aca="false">IF(OR(NOT(ISNUMBER(M11)),NOT(ISNUMBER(M143))),"",M11-M143)</f>
        <v>0</v>
      </c>
      <c r="N275" s="49" t="n">
        <f aca="false">IF(OR(NOT(ISNUMBER(N11)),NOT(ISNUMBER(N143))),"",N11-N143)</f>
        <v>0</v>
      </c>
      <c r="P275" s="11" t="str">
        <f aca="false">IF(COUNT(D275:N275)=0,"",IF(AND(MAX(D275:N275)&lt;0.0005,MIN(D275:N275)&gt;-0.0005),"Sin diferencia","Diferencia a explicar"))</f>
        <v>Sin diferencia</v>
      </c>
    </row>
    <row r="276" customFormat="false" ht="15" hidden="false" customHeight="false" outlineLevel="0" collapsed="false">
      <c r="A276" s="11" t="s">
        <v>1865</v>
      </c>
      <c r="B276" s="15" t="s">
        <v>1866</v>
      </c>
      <c r="C276" s="11" t="s">
        <v>367</v>
      </c>
      <c r="E276" s="49" t="n">
        <f aca="false">IF(OR(NOT(ISNUMBER(E12)),NOT(ISNUMBER(E144))),"",E12-E144)</f>
        <v>0</v>
      </c>
      <c r="F276" s="49" t="n">
        <f aca="false">IF(OR(NOT(ISNUMBER(F12)),NOT(ISNUMBER(F144))),"",F12-F144)</f>
        <v>0</v>
      </c>
      <c r="G276" s="49" t="n">
        <f aca="false">IF(OR(NOT(ISNUMBER(G12)),NOT(ISNUMBER(G144))),"",G12-G144)</f>
        <v>0</v>
      </c>
      <c r="H276" s="49" t="n">
        <f aca="false">IF(OR(NOT(ISNUMBER(H12)),NOT(ISNUMBER(H144))),"",H12-H144)</f>
        <v>0</v>
      </c>
      <c r="I276" s="49" t="n">
        <f aca="false">IF(OR(NOT(ISNUMBER(I12)),NOT(ISNUMBER(I144))),"",I12-I144)</f>
        <v>0</v>
      </c>
      <c r="J276" s="49" t="n">
        <f aca="false">IF(OR(NOT(ISNUMBER(J12)),NOT(ISNUMBER(J144))),"",J12-J144)</f>
        <v>0</v>
      </c>
      <c r="K276" s="49" t="n">
        <f aca="false">IF(OR(NOT(ISNUMBER(K12)),NOT(ISNUMBER(K144))),"",K12-K144)</f>
        <v>0</v>
      </c>
      <c r="L276" s="49" t="n">
        <f aca="false">IF(OR(NOT(ISNUMBER(L12)),NOT(ISNUMBER(L144))),"",L12-L144)</f>
        <v>0</v>
      </c>
      <c r="M276" s="49" t="n">
        <f aca="false">IF(OR(NOT(ISNUMBER(M12)),NOT(ISNUMBER(M144))),"",M12-M144)</f>
        <v>0</v>
      </c>
      <c r="N276" s="49" t="n">
        <f aca="false">IF(OR(NOT(ISNUMBER(N12)),NOT(ISNUMBER(N144))),"",N12-N144)</f>
        <v>0</v>
      </c>
      <c r="O276" s="99" t="n">
        <f aca="false">IF(OR(NOT(ISNUMBER(O12)),NOT(ISNUMBER(O144))),"",O12-O144)</f>
        <v>0</v>
      </c>
      <c r="P276" s="11" t="str">
        <f aca="false">IF(COUNT(D276:N276)=0,"",IF(AND(MAX(D276:N276)&lt;0.0005,MIN(D276:N276)&gt;-0.0005),"Sin diferencia","Diferencia a explicar"))</f>
        <v>Sin diferencia</v>
      </c>
    </row>
    <row r="277" customFormat="false" ht="15" hidden="false" customHeight="false" outlineLevel="0" collapsed="false">
      <c r="A277" s="11" t="s">
        <v>1867</v>
      </c>
      <c r="B277" s="53" t="str">
        <f aca="false">IF(INDEX(Prod_Nombre,2)="","Producto 2",INDEX(Prod_Nombre,2))&amp;" — capacidad instalada"</f>
        <v>Cajas metálicas 13 kg — capacidad instalada</v>
      </c>
      <c r="C277" s="11" t="s">
        <v>544</v>
      </c>
      <c r="E277" s="48" t="n">
        <f aca="false">IF(OR(NOT(ISNUMBER(E13)),NOT(ISNUMBER(E145))),"",E13-E145)</f>
        <v>0</v>
      </c>
      <c r="F277" s="48" t="n">
        <f aca="false">IF(OR(NOT(ISNUMBER(F13)),NOT(ISNUMBER(F145))),"",F13-F145)</f>
        <v>0</v>
      </c>
      <c r="G277" s="48" t="n">
        <f aca="false">IF(OR(NOT(ISNUMBER(G13)),NOT(ISNUMBER(G145))),"",G13-G145)</f>
        <v>0</v>
      </c>
      <c r="H277" s="48" t="n">
        <f aca="false">IF(OR(NOT(ISNUMBER(H13)),NOT(ISNUMBER(H145))),"",H13-H145)</f>
        <v>0</v>
      </c>
      <c r="I277" s="48" t="n">
        <f aca="false">IF(OR(NOT(ISNUMBER(I13)),NOT(ISNUMBER(I145))),"",I13-I145)</f>
        <v>0</v>
      </c>
      <c r="J277" s="48" t="n">
        <f aca="false">IF(OR(NOT(ISNUMBER(J13)),NOT(ISNUMBER(J145))),"",J13-J145)</f>
        <v>0</v>
      </c>
      <c r="K277" s="48" t="n">
        <f aca="false">IF(OR(NOT(ISNUMBER(K13)),NOT(ISNUMBER(K145))),"",K13-K145)</f>
        <v>0</v>
      </c>
      <c r="L277" s="48" t="n">
        <f aca="false">IF(OR(NOT(ISNUMBER(L13)),NOT(ISNUMBER(L145))),"",L13-L145)</f>
        <v>0</v>
      </c>
      <c r="M277" s="48" t="n">
        <f aca="false">IF(OR(NOT(ISNUMBER(M13)),NOT(ISNUMBER(M145))),"",M13-M145)</f>
        <v>0</v>
      </c>
      <c r="N277" s="48" t="n">
        <f aca="false">IF(OR(NOT(ISNUMBER(N13)),NOT(ISNUMBER(N145))),"",N13-N145)</f>
        <v>0</v>
      </c>
      <c r="P277" s="11" t="str">
        <f aca="false">IF(COUNT(D277:N277)=0,"",IF(AND(MAX(D277:N277)&lt;2,MIN(D277:N277)&gt;-2),"Sin diferencia","Diferencia a explicar"))</f>
        <v>Sin diferencia</v>
      </c>
    </row>
    <row r="278" customFormat="false" ht="15" hidden="false" customHeight="false" outlineLevel="0" collapsed="false">
      <c r="A278" s="11" t="s">
        <v>1868</v>
      </c>
      <c r="B278" s="15" t="s">
        <v>1860</v>
      </c>
      <c r="C278" s="11" t="s">
        <v>544</v>
      </c>
      <c r="D278" s="48" t="str">
        <f aca="false">IF(OR(NOT(ISNUMBER(D14)),NOT(ISNUMBER(D146))),"",D14-D146)</f>
        <v/>
      </c>
      <c r="E278" s="48" t="n">
        <f aca="false">IF(OR(NOT(ISNUMBER(E14)),NOT(ISNUMBER(E146))),"",E14-E146)</f>
        <v>0</v>
      </c>
      <c r="F278" s="48" t="n">
        <f aca="false">IF(OR(NOT(ISNUMBER(F14)),NOT(ISNUMBER(F146))),"",F14-F146)</f>
        <v>0</v>
      </c>
      <c r="G278" s="48" t="n">
        <f aca="false">IF(OR(NOT(ISNUMBER(G14)),NOT(ISNUMBER(G146))),"",G14-G146)</f>
        <v>0</v>
      </c>
      <c r="H278" s="48" t="n">
        <f aca="false">IF(OR(NOT(ISNUMBER(H14)),NOT(ISNUMBER(H146))),"",H14-H146)</f>
        <v>0</v>
      </c>
      <c r="I278" s="48" t="n">
        <f aca="false">IF(OR(NOT(ISNUMBER(I14)),NOT(ISNUMBER(I146))),"",I14-I146)</f>
        <v>0</v>
      </c>
      <c r="J278" s="48" t="n">
        <f aca="false">IF(OR(NOT(ISNUMBER(J14)),NOT(ISNUMBER(J146))),"",J14-J146)</f>
        <v>0</v>
      </c>
      <c r="K278" s="48" t="n">
        <f aca="false">IF(OR(NOT(ISNUMBER(K14)),NOT(ISNUMBER(K146))),"",K14-K146)</f>
        <v>0</v>
      </c>
      <c r="L278" s="48" t="n">
        <f aca="false">IF(OR(NOT(ISNUMBER(L14)),NOT(ISNUMBER(L146))),"",L14-L146)</f>
        <v>0</v>
      </c>
      <c r="M278" s="48" t="n">
        <f aca="false">IF(OR(NOT(ISNUMBER(M14)),NOT(ISNUMBER(M146))),"",M14-M146)</f>
        <v>0</v>
      </c>
      <c r="N278" s="48" t="n">
        <f aca="false">IF(OR(NOT(ISNUMBER(N14)),NOT(ISNUMBER(N146))),"",N14-N146)</f>
        <v>0</v>
      </c>
      <c r="O278" s="54" t="n">
        <f aca="false">IF(OR(NOT(ISNUMBER(O14)),NOT(ISNUMBER(O146))),"",O14-O146)</f>
        <v>0</v>
      </c>
      <c r="P278" s="11" t="str">
        <f aca="false">IF(COUNT(D278:N278)=0,"",IF(AND(MAX(D278:N278)&lt;2,MIN(D278:N278)&gt;-2),"Sin diferencia","Diferencia a explicar"))</f>
        <v>Sin diferencia</v>
      </c>
    </row>
    <row r="279" customFormat="false" ht="15" hidden="false" customHeight="false" outlineLevel="0" collapsed="false">
      <c r="A279" s="11" t="s">
        <v>1869</v>
      </c>
      <c r="B279" s="15" t="s">
        <v>1862</v>
      </c>
      <c r="C279" s="11" t="s">
        <v>544</v>
      </c>
      <c r="D279" s="48" t="str">
        <f aca="false">IF(OR(NOT(ISNUMBER(D15)),NOT(ISNUMBER(D147))),"",D15-D147)</f>
        <v/>
      </c>
      <c r="E279" s="48" t="n">
        <f aca="false">IF(OR(NOT(ISNUMBER(E15)),NOT(ISNUMBER(E147))),"",E15-E147)</f>
        <v>0</v>
      </c>
      <c r="F279" s="48" t="n">
        <f aca="false">IF(OR(NOT(ISNUMBER(F15)),NOT(ISNUMBER(F147))),"",F15-F147)</f>
        <v>0</v>
      </c>
      <c r="G279" s="48" t="n">
        <f aca="false">IF(OR(NOT(ISNUMBER(G15)),NOT(ISNUMBER(G147))),"",G15-G147)</f>
        <v>0</v>
      </c>
      <c r="H279" s="48" t="n">
        <f aca="false">IF(OR(NOT(ISNUMBER(H15)),NOT(ISNUMBER(H147))),"",H15-H147)</f>
        <v>0</v>
      </c>
      <c r="I279" s="48" t="n">
        <f aca="false">IF(OR(NOT(ISNUMBER(I15)),NOT(ISNUMBER(I147))),"",I15-I147)</f>
        <v>0</v>
      </c>
      <c r="J279" s="48" t="n">
        <f aca="false">IF(OR(NOT(ISNUMBER(J15)),NOT(ISNUMBER(J147))),"",J15-J147)</f>
        <v>0</v>
      </c>
      <c r="K279" s="48" t="n">
        <f aca="false">IF(OR(NOT(ISNUMBER(K15)),NOT(ISNUMBER(K147))),"",K15-K147)</f>
        <v>0</v>
      </c>
      <c r="L279" s="48" t="n">
        <f aca="false">IF(OR(NOT(ISNUMBER(L15)),NOT(ISNUMBER(L147))),"",L15-L147)</f>
        <v>0</v>
      </c>
      <c r="M279" s="48" t="n">
        <f aca="false">IF(OR(NOT(ISNUMBER(M15)),NOT(ISNUMBER(M147))),"",M15-M147)</f>
        <v>0</v>
      </c>
      <c r="N279" s="48" t="n">
        <f aca="false">IF(OR(NOT(ISNUMBER(N15)),NOT(ISNUMBER(N147))),"",N15-N147)</f>
        <v>0</v>
      </c>
      <c r="O279" s="54" t="n">
        <f aca="false">IF(OR(NOT(ISNUMBER(O15)),NOT(ISNUMBER(O147))),"",O15-O147)</f>
        <v>0</v>
      </c>
      <c r="P279" s="11" t="str">
        <f aca="false">IF(COUNT(D279:N279)=0,"",IF(AND(MAX(D279:N279)&lt;2,MIN(D279:N279)&gt;-2),"Sin diferencia","Diferencia a explicar"))</f>
        <v>Sin diferencia</v>
      </c>
    </row>
    <row r="280" customFormat="false" ht="15" hidden="false" customHeight="false" outlineLevel="0" collapsed="false">
      <c r="A280" s="11" t="s">
        <v>1870</v>
      </c>
      <c r="B280" s="15" t="s">
        <v>1864</v>
      </c>
      <c r="C280" s="11" t="s">
        <v>367</v>
      </c>
      <c r="E280" s="49" t="n">
        <f aca="false">IF(OR(NOT(ISNUMBER(E16)),NOT(ISNUMBER(E148))),"",E16-E148)</f>
        <v>0</v>
      </c>
      <c r="F280" s="49" t="n">
        <f aca="false">IF(OR(NOT(ISNUMBER(F16)),NOT(ISNUMBER(F148))),"",F16-F148)</f>
        <v>0</v>
      </c>
      <c r="G280" s="49" t="n">
        <f aca="false">IF(OR(NOT(ISNUMBER(G16)),NOT(ISNUMBER(G148))),"",G16-G148)</f>
        <v>0</v>
      </c>
      <c r="H280" s="49" t="n">
        <f aca="false">IF(OR(NOT(ISNUMBER(H16)),NOT(ISNUMBER(H148))),"",H16-H148)</f>
        <v>0</v>
      </c>
      <c r="I280" s="49" t="n">
        <f aca="false">IF(OR(NOT(ISNUMBER(I16)),NOT(ISNUMBER(I148))),"",I16-I148)</f>
        <v>0</v>
      </c>
      <c r="J280" s="49" t="n">
        <f aca="false">IF(OR(NOT(ISNUMBER(J16)),NOT(ISNUMBER(J148))),"",J16-J148)</f>
        <v>0</v>
      </c>
      <c r="K280" s="49" t="n">
        <f aca="false">IF(OR(NOT(ISNUMBER(K16)),NOT(ISNUMBER(K148))),"",K16-K148)</f>
        <v>0</v>
      </c>
      <c r="L280" s="49" t="n">
        <f aca="false">IF(OR(NOT(ISNUMBER(L16)),NOT(ISNUMBER(L148))),"",L16-L148)</f>
        <v>0</v>
      </c>
      <c r="M280" s="49" t="n">
        <f aca="false">IF(OR(NOT(ISNUMBER(M16)),NOT(ISNUMBER(M148))),"",M16-M148)</f>
        <v>0</v>
      </c>
      <c r="N280" s="49" t="n">
        <f aca="false">IF(OR(NOT(ISNUMBER(N16)),NOT(ISNUMBER(N148))),"",N16-N148)</f>
        <v>0</v>
      </c>
      <c r="P280" s="11" t="str">
        <f aca="false">IF(COUNT(D280:N280)=0,"",IF(AND(MAX(D280:N280)&lt;0.0005,MIN(D280:N280)&gt;-0.0005),"Sin diferencia","Diferencia a explicar"))</f>
        <v>Sin diferencia</v>
      </c>
    </row>
    <row r="281" customFormat="false" ht="15" hidden="false" customHeight="false" outlineLevel="0" collapsed="false">
      <c r="A281" s="11" t="s">
        <v>1871</v>
      </c>
      <c r="B281" s="15" t="s">
        <v>1866</v>
      </c>
      <c r="C281" s="11" t="s">
        <v>367</v>
      </c>
      <c r="E281" s="49" t="n">
        <f aca="false">IF(OR(NOT(ISNUMBER(E17)),NOT(ISNUMBER(E149))),"",E17-E149)</f>
        <v>0</v>
      </c>
      <c r="F281" s="49" t="n">
        <f aca="false">IF(OR(NOT(ISNUMBER(F17)),NOT(ISNUMBER(F149))),"",F17-F149)</f>
        <v>0</v>
      </c>
      <c r="G281" s="49" t="n">
        <f aca="false">IF(OR(NOT(ISNUMBER(G17)),NOT(ISNUMBER(G149))),"",G17-G149)</f>
        <v>0</v>
      </c>
      <c r="H281" s="49" t="n">
        <f aca="false">IF(OR(NOT(ISNUMBER(H17)),NOT(ISNUMBER(H149))),"",H17-H149)</f>
        <v>0</v>
      </c>
      <c r="I281" s="49" t="n">
        <f aca="false">IF(OR(NOT(ISNUMBER(I17)),NOT(ISNUMBER(I149))),"",I17-I149)</f>
        <v>0</v>
      </c>
      <c r="J281" s="49" t="n">
        <f aca="false">IF(OR(NOT(ISNUMBER(J17)),NOT(ISNUMBER(J149))),"",J17-J149)</f>
        <v>0</v>
      </c>
      <c r="K281" s="49" t="n">
        <f aca="false">IF(OR(NOT(ISNUMBER(K17)),NOT(ISNUMBER(K149))),"",K17-K149)</f>
        <v>0</v>
      </c>
      <c r="L281" s="49" t="n">
        <f aca="false">IF(OR(NOT(ISNUMBER(L17)),NOT(ISNUMBER(L149))),"",L17-L149)</f>
        <v>0</v>
      </c>
      <c r="M281" s="49" t="n">
        <f aca="false">IF(OR(NOT(ISNUMBER(M17)),NOT(ISNUMBER(M149))),"",M17-M149)</f>
        <v>0</v>
      </c>
      <c r="N281" s="49" t="n">
        <f aca="false">IF(OR(NOT(ISNUMBER(N17)),NOT(ISNUMBER(N149))),"",N17-N149)</f>
        <v>0</v>
      </c>
      <c r="O281" s="99" t="n">
        <f aca="false">IF(OR(NOT(ISNUMBER(O17)),NOT(ISNUMBER(O149))),"",O17-O149)</f>
        <v>0</v>
      </c>
      <c r="P281" s="11" t="str">
        <f aca="false">IF(COUNT(D281:N281)=0,"",IF(AND(MAX(D281:N281)&lt;0.0005,MIN(D281:N281)&gt;-0.0005),"Sin diferencia","Diferencia a explicar"))</f>
        <v>Sin diferencia</v>
      </c>
    </row>
    <row r="282" customFormat="false" ht="15" hidden="true" customHeight="false" outlineLevel="1" collapsed="false">
      <c r="A282" s="11" t="s">
        <v>1872</v>
      </c>
      <c r="B282" s="53" t="str">
        <f aca="false">IF(INDEX(Prod_Nombre,3)="","Producto 3",INDEX(Prod_Nombre,3))&amp;" — capacidad instalada"</f>
        <v>Producto 3 — capacidad instalada</v>
      </c>
      <c r="C282" s="11" t="s">
        <v>544</v>
      </c>
      <c r="E282" s="48" t="str">
        <f aca="false">IF(OR(NOT(ISNUMBER(E18)),NOT(ISNUMBER(E150))),"",E18-E150)</f>
        <v/>
      </c>
      <c r="F282" s="48" t="str">
        <f aca="false">IF(OR(NOT(ISNUMBER(F18)),NOT(ISNUMBER(F150))),"",F18-F150)</f>
        <v/>
      </c>
      <c r="G282" s="48" t="str">
        <f aca="false">IF(OR(NOT(ISNUMBER(G18)),NOT(ISNUMBER(G150))),"",G18-G150)</f>
        <v/>
      </c>
      <c r="H282" s="48" t="str">
        <f aca="false">IF(OR(NOT(ISNUMBER(H18)),NOT(ISNUMBER(H150))),"",H18-H150)</f>
        <v/>
      </c>
      <c r="I282" s="48" t="str">
        <f aca="false">IF(OR(NOT(ISNUMBER(I18)),NOT(ISNUMBER(I150))),"",I18-I150)</f>
        <v/>
      </c>
      <c r="J282" s="48" t="str">
        <f aca="false">IF(OR(NOT(ISNUMBER(J18)),NOT(ISNUMBER(J150))),"",J18-J150)</f>
        <v/>
      </c>
      <c r="K282" s="48" t="str">
        <f aca="false">IF(OR(NOT(ISNUMBER(K18)),NOT(ISNUMBER(K150))),"",K18-K150)</f>
        <v/>
      </c>
      <c r="L282" s="48" t="str">
        <f aca="false">IF(OR(NOT(ISNUMBER(L18)),NOT(ISNUMBER(L150))),"",L18-L150)</f>
        <v/>
      </c>
      <c r="M282" s="48" t="str">
        <f aca="false">IF(OR(NOT(ISNUMBER(M18)),NOT(ISNUMBER(M150))),"",M18-M150)</f>
        <v/>
      </c>
      <c r="N282" s="48" t="str">
        <f aca="false">IF(OR(NOT(ISNUMBER(N18)),NOT(ISNUMBER(N150))),"",N18-N150)</f>
        <v/>
      </c>
      <c r="P282" s="11" t="str">
        <f aca="false">IF(COUNT(D282:N282)=0,"",IF(AND(MAX(D282:N282)&lt;2,MIN(D282:N282)&gt;-2),"Sin diferencia","Diferencia a explicar"))</f>
        <v/>
      </c>
    </row>
    <row r="283" customFormat="false" ht="15" hidden="true" customHeight="false" outlineLevel="1" collapsed="false">
      <c r="A283" s="11" t="s">
        <v>1873</v>
      </c>
      <c r="B283" s="15" t="s">
        <v>1860</v>
      </c>
      <c r="C283" s="11" t="s">
        <v>544</v>
      </c>
      <c r="D283" s="48" t="str">
        <f aca="false">IF(OR(NOT(ISNUMBER(D19)),NOT(ISNUMBER(D151))),"",D19-D151)</f>
        <v/>
      </c>
      <c r="E283" s="48" t="str">
        <f aca="false">IF(OR(NOT(ISNUMBER(E19)),NOT(ISNUMBER(E151))),"",E19-E151)</f>
        <v/>
      </c>
      <c r="F283" s="48" t="str">
        <f aca="false">IF(OR(NOT(ISNUMBER(F19)),NOT(ISNUMBER(F151))),"",F19-F151)</f>
        <v/>
      </c>
      <c r="G283" s="48" t="str">
        <f aca="false">IF(OR(NOT(ISNUMBER(G19)),NOT(ISNUMBER(G151))),"",G19-G151)</f>
        <v/>
      </c>
      <c r="H283" s="48" t="str">
        <f aca="false">IF(OR(NOT(ISNUMBER(H19)),NOT(ISNUMBER(H151))),"",H19-H151)</f>
        <v/>
      </c>
      <c r="I283" s="48" t="str">
        <f aca="false">IF(OR(NOT(ISNUMBER(I19)),NOT(ISNUMBER(I151))),"",I19-I151)</f>
        <v/>
      </c>
      <c r="J283" s="48" t="str">
        <f aca="false">IF(OR(NOT(ISNUMBER(J19)),NOT(ISNUMBER(J151))),"",J19-J151)</f>
        <v/>
      </c>
      <c r="K283" s="48" t="str">
        <f aca="false">IF(OR(NOT(ISNUMBER(K19)),NOT(ISNUMBER(K151))),"",K19-K151)</f>
        <v/>
      </c>
      <c r="L283" s="48" t="str">
        <f aca="false">IF(OR(NOT(ISNUMBER(L19)),NOT(ISNUMBER(L151))),"",L19-L151)</f>
        <v/>
      </c>
      <c r="M283" s="48" t="str">
        <f aca="false">IF(OR(NOT(ISNUMBER(M19)),NOT(ISNUMBER(M151))),"",M19-M151)</f>
        <v/>
      </c>
      <c r="N283" s="48" t="str">
        <f aca="false">IF(OR(NOT(ISNUMBER(N19)),NOT(ISNUMBER(N151))),"",N19-N151)</f>
        <v/>
      </c>
      <c r="O283" s="54" t="str">
        <f aca="false">IF(OR(NOT(ISNUMBER(O19)),NOT(ISNUMBER(O151))),"",O19-O151)</f>
        <v/>
      </c>
      <c r="P283" s="11" t="str">
        <f aca="false">IF(COUNT(D283:N283)=0,"",IF(AND(MAX(D283:N283)&lt;2,MIN(D283:N283)&gt;-2),"Sin diferencia","Diferencia a explicar"))</f>
        <v/>
      </c>
    </row>
    <row r="284" customFormat="false" ht="15" hidden="true" customHeight="false" outlineLevel="1" collapsed="false">
      <c r="A284" s="11" t="s">
        <v>1874</v>
      </c>
      <c r="B284" s="15" t="s">
        <v>1862</v>
      </c>
      <c r="C284" s="11" t="s">
        <v>544</v>
      </c>
      <c r="D284" s="48" t="str">
        <f aca="false">IF(OR(NOT(ISNUMBER(D20)),NOT(ISNUMBER(D152))),"",D20-D152)</f>
        <v/>
      </c>
      <c r="E284" s="48" t="str">
        <f aca="false">IF(OR(NOT(ISNUMBER(E20)),NOT(ISNUMBER(E152))),"",E20-E152)</f>
        <v/>
      </c>
      <c r="F284" s="48" t="str">
        <f aca="false">IF(OR(NOT(ISNUMBER(F20)),NOT(ISNUMBER(F152))),"",F20-F152)</f>
        <v/>
      </c>
      <c r="G284" s="48" t="str">
        <f aca="false">IF(OR(NOT(ISNUMBER(G20)),NOT(ISNUMBER(G152))),"",G20-G152)</f>
        <v/>
      </c>
      <c r="H284" s="48" t="str">
        <f aca="false">IF(OR(NOT(ISNUMBER(H20)),NOT(ISNUMBER(H152))),"",H20-H152)</f>
        <v/>
      </c>
      <c r="I284" s="48" t="str">
        <f aca="false">IF(OR(NOT(ISNUMBER(I20)),NOT(ISNUMBER(I152))),"",I20-I152)</f>
        <v/>
      </c>
      <c r="J284" s="48" t="str">
        <f aca="false">IF(OR(NOT(ISNUMBER(J20)),NOT(ISNUMBER(J152))),"",J20-J152)</f>
        <v/>
      </c>
      <c r="K284" s="48" t="str">
        <f aca="false">IF(OR(NOT(ISNUMBER(K20)),NOT(ISNUMBER(K152))),"",K20-K152)</f>
        <v/>
      </c>
      <c r="L284" s="48" t="str">
        <f aca="false">IF(OR(NOT(ISNUMBER(L20)),NOT(ISNUMBER(L152))),"",L20-L152)</f>
        <v/>
      </c>
      <c r="M284" s="48" t="str">
        <f aca="false">IF(OR(NOT(ISNUMBER(M20)),NOT(ISNUMBER(M152))),"",M20-M152)</f>
        <v/>
      </c>
      <c r="N284" s="48" t="str">
        <f aca="false">IF(OR(NOT(ISNUMBER(N20)),NOT(ISNUMBER(N152))),"",N20-N152)</f>
        <v/>
      </c>
      <c r="O284" s="54" t="str">
        <f aca="false">IF(OR(NOT(ISNUMBER(O20)),NOT(ISNUMBER(O152))),"",O20-O152)</f>
        <v/>
      </c>
      <c r="P284" s="11" t="str">
        <f aca="false">IF(COUNT(D284:N284)=0,"",IF(AND(MAX(D284:N284)&lt;2,MIN(D284:N284)&gt;-2),"Sin diferencia","Diferencia a explicar"))</f>
        <v/>
      </c>
    </row>
    <row r="285" customFormat="false" ht="15" hidden="true" customHeight="false" outlineLevel="1" collapsed="false">
      <c r="A285" s="11" t="s">
        <v>1875</v>
      </c>
      <c r="B285" s="15" t="s">
        <v>1864</v>
      </c>
      <c r="C285" s="11" t="s">
        <v>367</v>
      </c>
      <c r="E285" s="49" t="str">
        <f aca="false">IF(OR(NOT(ISNUMBER(E21)),NOT(ISNUMBER(E153))),"",E21-E153)</f>
        <v/>
      </c>
      <c r="F285" s="49" t="str">
        <f aca="false">IF(OR(NOT(ISNUMBER(F21)),NOT(ISNUMBER(F153))),"",F21-F153)</f>
        <v/>
      </c>
      <c r="G285" s="49" t="str">
        <f aca="false">IF(OR(NOT(ISNUMBER(G21)),NOT(ISNUMBER(G153))),"",G21-G153)</f>
        <v/>
      </c>
      <c r="H285" s="49" t="str">
        <f aca="false">IF(OR(NOT(ISNUMBER(H21)),NOT(ISNUMBER(H153))),"",H21-H153)</f>
        <v/>
      </c>
      <c r="I285" s="49" t="str">
        <f aca="false">IF(OR(NOT(ISNUMBER(I21)),NOT(ISNUMBER(I153))),"",I21-I153)</f>
        <v/>
      </c>
      <c r="J285" s="49" t="str">
        <f aca="false">IF(OR(NOT(ISNUMBER(J21)),NOT(ISNUMBER(J153))),"",J21-J153)</f>
        <v/>
      </c>
      <c r="K285" s="49" t="str">
        <f aca="false">IF(OR(NOT(ISNUMBER(K21)),NOT(ISNUMBER(K153))),"",K21-K153)</f>
        <v/>
      </c>
      <c r="L285" s="49" t="str">
        <f aca="false">IF(OR(NOT(ISNUMBER(L21)),NOT(ISNUMBER(L153))),"",L21-L153)</f>
        <v/>
      </c>
      <c r="M285" s="49" t="str">
        <f aca="false">IF(OR(NOT(ISNUMBER(M21)),NOT(ISNUMBER(M153))),"",M21-M153)</f>
        <v/>
      </c>
      <c r="N285" s="49" t="str">
        <f aca="false">IF(OR(NOT(ISNUMBER(N21)),NOT(ISNUMBER(N153))),"",N21-N153)</f>
        <v/>
      </c>
      <c r="P285" s="11" t="str">
        <f aca="false">IF(COUNT(D285:N285)=0,"",IF(AND(MAX(D285:N285)&lt;0.0005,MIN(D285:N285)&gt;-0.0005),"Sin diferencia","Diferencia a explicar"))</f>
        <v/>
      </c>
    </row>
    <row r="286" customFormat="false" ht="15" hidden="true" customHeight="false" outlineLevel="1" collapsed="false">
      <c r="A286" s="11" t="s">
        <v>1876</v>
      </c>
      <c r="B286" s="15" t="s">
        <v>1866</v>
      </c>
      <c r="C286" s="11" t="s">
        <v>367</v>
      </c>
      <c r="E286" s="49" t="str">
        <f aca="false">IF(OR(NOT(ISNUMBER(E22)),NOT(ISNUMBER(E154))),"",E22-E154)</f>
        <v/>
      </c>
      <c r="F286" s="49" t="str">
        <f aca="false">IF(OR(NOT(ISNUMBER(F22)),NOT(ISNUMBER(F154))),"",F22-F154)</f>
        <v/>
      </c>
      <c r="G286" s="49" t="str">
        <f aca="false">IF(OR(NOT(ISNUMBER(G22)),NOT(ISNUMBER(G154))),"",G22-G154)</f>
        <v/>
      </c>
      <c r="H286" s="49" t="str">
        <f aca="false">IF(OR(NOT(ISNUMBER(H22)),NOT(ISNUMBER(H154))),"",H22-H154)</f>
        <v/>
      </c>
      <c r="I286" s="49" t="str">
        <f aca="false">IF(OR(NOT(ISNUMBER(I22)),NOT(ISNUMBER(I154))),"",I22-I154)</f>
        <v/>
      </c>
      <c r="J286" s="49" t="str">
        <f aca="false">IF(OR(NOT(ISNUMBER(J22)),NOT(ISNUMBER(J154))),"",J22-J154)</f>
        <v/>
      </c>
      <c r="K286" s="49" t="str">
        <f aca="false">IF(OR(NOT(ISNUMBER(K22)),NOT(ISNUMBER(K154))),"",K22-K154)</f>
        <v/>
      </c>
      <c r="L286" s="49" t="str">
        <f aca="false">IF(OR(NOT(ISNUMBER(L22)),NOT(ISNUMBER(L154))),"",L22-L154)</f>
        <v/>
      </c>
      <c r="M286" s="49" t="str">
        <f aca="false">IF(OR(NOT(ISNUMBER(M22)),NOT(ISNUMBER(M154))),"",M22-M154)</f>
        <v/>
      </c>
      <c r="N286" s="49" t="str">
        <f aca="false">IF(OR(NOT(ISNUMBER(N22)),NOT(ISNUMBER(N154))),"",N22-N154)</f>
        <v/>
      </c>
      <c r="O286" s="99" t="str">
        <f aca="false">IF(OR(NOT(ISNUMBER(O22)),NOT(ISNUMBER(O154))),"",O22-O154)</f>
        <v/>
      </c>
      <c r="P286" s="11" t="str">
        <f aca="false">IF(COUNT(D286:N286)=0,"",IF(AND(MAX(D286:N286)&lt;0.0005,MIN(D286:N286)&gt;-0.0005),"Sin diferencia","Diferencia a explicar"))</f>
        <v/>
      </c>
    </row>
    <row r="287" customFormat="false" ht="15" hidden="true" customHeight="false" outlineLevel="1" collapsed="false">
      <c r="A287" s="11" t="s">
        <v>1877</v>
      </c>
      <c r="B287" s="53" t="str">
        <f aca="false">IF(INDEX(Prod_Nombre,4)="","Producto 4",INDEX(Prod_Nombre,4))&amp;" — capacidad instalada"</f>
        <v>Producto 4 — capacidad instalada</v>
      </c>
      <c r="C287" s="11" t="s">
        <v>544</v>
      </c>
      <c r="E287" s="48" t="str">
        <f aca="false">IF(OR(NOT(ISNUMBER(E23)),NOT(ISNUMBER(E155))),"",E23-E155)</f>
        <v/>
      </c>
      <c r="F287" s="48" t="str">
        <f aca="false">IF(OR(NOT(ISNUMBER(F23)),NOT(ISNUMBER(F155))),"",F23-F155)</f>
        <v/>
      </c>
      <c r="G287" s="48" t="str">
        <f aca="false">IF(OR(NOT(ISNUMBER(G23)),NOT(ISNUMBER(G155))),"",G23-G155)</f>
        <v/>
      </c>
      <c r="H287" s="48" t="str">
        <f aca="false">IF(OR(NOT(ISNUMBER(H23)),NOT(ISNUMBER(H155))),"",H23-H155)</f>
        <v/>
      </c>
      <c r="I287" s="48" t="str">
        <f aca="false">IF(OR(NOT(ISNUMBER(I23)),NOT(ISNUMBER(I155))),"",I23-I155)</f>
        <v/>
      </c>
      <c r="J287" s="48" t="str">
        <f aca="false">IF(OR(NOT(ISNUMBER(J23)),NOT(ISNUMBER(J155))),"",J23-J155)</f>
        <v/>
      </c>
      <c r="K287" s="48" t="str">
        <f aca="false">IF(OR(NOT(ISNUMBER(K23)),NOT(ISNUMBER(K155))),"",K23-K155)</f>
        <v/>
      </c>
      <c r="L287" s="48" t="str">
        <f aca="false">IF(OR(NOT(ISNUMBER(L23)),NOT(ISNUMBER(L155))),"",L23-L155)</f>
        <v/>
      </c>
      <c r="M287" s="48" t="str">
        <f aca="false">IF(OR(NOT(ISNUMBER(M23)),NOT(ISNUMBER(M155))),"",M23-M155)</f>
        <v/>
      </c>
      <c r="N287" s="48" t="str">
        <f aca="false">IF(OR(NOT(ISNUMBER(N23)),NOT(ISNUMBER(N155))),"",N23-N155)</f>
        <v/>
      </c>
      <c r="P287" s="11" t="str">
        <f aca="false">IF(COUNT(D287:N287)=0,"",IF(AND(MAX(D287:N287)&lt;2,MIN(D287:N287)&gt;-2),"Sin diferencia","Diferencia a explicar"))</f>
        <v/>
      </c>
    </row>
    <row r="288" customFormat="false" ht="15" hidden="true" customHeight="false" outlineLevel="1" collapsed="false">
      <c r="A288" s="11" t="s">
        <v>1878</v>
      </c>
      <c r="B288" s="15" t="s">
        <v>1860</v>
      </c>
      <c r="C288" s="11" t="s">
        <v>544</v>
      </c>
      <c r="D288" s="48" t="str">
        <f aca="false">IF(OR(NOT(ISNUMBER(D24)),NOT(ISNUMBER(D156))),"",D24-D156)</f>
        <v/>
      </c>
      <c r="E288" s="48" t="str">
        <f aca="false">IF(OR(NOT(ISNUMBER(E24)),NOT(ISNUMBER(E156))),"",E24-E156)</f>
        <v/>
      </c>
      <c r="F288" s="48" t="str">
        <f aca="false">IF(OR(NOT(ISNUMBER(F24)),NOT(ISNUMBER(F156))),"",F24-F156)</f>
        <v/>
      </c>
      <c r="G288" s="48" t="str">
        <f aca="false">IF(OR(NOT(ISNUMBER(G24)),NOT(ISNUMBER(G156))),"",G24-G156)</f>
        <v/>
      </c>
      <c r="H288" s="48" t="str">
        <f aca="false">IF(OR(NOT(ISNUMBER(H24)),NOT(ISNUMBER(H156))),"",H24-H156)</f>
        <v/>
      </c>
      <c r="I288" s="48" t="str">
        <f aca="false">IF(OR(NOT(ISNUMBER(I24)),NOT(ISNUMBER(I156))),"",I24-I156)</f>
        <v/>
      </c>
      <c r="J288" s="48" t="str">
        <f aca="false">IF(OR(NOT(ISNUMBER(J24)),NOT(ISNUMBER(J156))),"",J24-J156)</f>
        <v/>
      </c>
      <c r="K288" s="48" t="str">
        <f aca="false">IF(OR(NOT(ISNUMBER(K24)),NOT(ISNUMBER(K156))),"",K24-K156)</f>
        <v/>
      </c>
      <c r="L288" s="48" t="str">
        <f aca="false">IF(OR(NOT(ISNUMBER(L24)),NOT(ISNUMBER(L156))),"",L24-L156)</f>
        <v/>
      </c>
      <c r="M288" s="48" t="str">
        <f aca="false">IF(OR(NOT(ISNUMBER(M24)),NOT(ISNUMBER(M156))),"",M24-M156)</f>
        <v/>
      </c>
      <c r="N288" s="48" t="str">
        <f aca="false">IF(OR(NOT(ISNUMBER(N24)),NOT(ISNUMBER(N156))),"",N24-N156)</f>
        <v/>
      </c>
      <c r="O288" s="54" t="str">
        <f aca="false">IF(OR(NOT(ISNUMBER(O24)),NOT(ISNUMBER(O156))),"",O24-O156)</f>
        <v/>
      </c>
      <c r="P288" s="11" t="str">
        <f aca="false">IF(COUNT(D288:N288)=0,"",IF(AND(MAX(D288:N288)&lt;2,MIN(D288:N288)&gt;-2),"Sin diferencia","Diferencia a explicar"))</f>
        <v/>
      </c>
    </row>
    <row r="289" customFormat="false" ht="15" hidden="true" customHeight="false" outlineLevel="1" collapsed="false">
      <c r="A289" s="11" t="s">
        <v>1879</v>
      </c>
      <c r="B289" s="15" t="s">
        <v>1862</v>
      </c>
      <c r="C289" s="11" t="s">
        <v>544</v>
      </c>
      <c r="D289" s="48" t="str">
        <f aca="false">IF(OR(NOT(ISNUMBER(D25)),NOT(ISNUMBER(D157))),"",D25-D157)</f>
        <v/>
      </c>
      <c r="E289" s="48" t="str">
        <f aca="false">IF(OR(NOT(ISNUMBER(E25)),NOT(ISNUMBER(E157))),"",E25-E157)</f>
        <v/>
      </c>
      <c r="F289" s="48" t="str">
        <f aca="false">IF(OR(NOT(ISNUMBER(F25)),NOT(ISNUMBER(F157))),"",F25-F157)</f>
        <v/>
      </c>
      <c r="G289" s="48" t="str">
        <f aca="false">IF(OR(NOT(ISNUMBER(G25)),NOT(ISNUMBER(G157))),"",G25-G157)</f>
        <v/>
      </c>
      <c r="H289" s="48" t="str">
        <f aca="false">IF(OR(NOT(ISNUMBER(H25)),NOT(ISNUMBER(H157))),"",H25-H157)</f>
        <v/>
      </c>
      <c r="I289" s="48" t="str">
        <f aca="false">IF(OR(NOT(ISNUMBER(I25)),NOT(ISNUMBER(I157))),"",I25-I157)</f>
        <v/>
      </c>
      <c r="J289" s="48" t="str">
        <f aca="false">IF(OR(NOT(ISNUMBER(J25)),NOT(ISNUMBER(J157))),"",J25-J157)</f>
        <v/>
      </c>
      <c r="K289" s="48" t="str">
        <f aca="false">IF(OR(NOT(ISNUMBER(K25)),NOT(ISNUMBER(K157))),"",K25-K157)</f>
        <v/>
      </c>
      <c r="L289" s="48" t="str">
        <f aca="false">IF(OR(NOT(ISNUMBER(L25)),NOT(ISNUMBER(L157))),"",L25-L157)</f>
        <v/>
      </c>
      <c r="M289" s="48" t="str">
        <f aca="false">IF(OR(NOT(ISNUMBER(M25)),NOT(ISNUMBER(M157))),"",M25-M157)</f>
        <v/>
      </c>
      <c r="N289" s="48" t="str">
        <f aca="false">IF(OR(NOT(ISNUMBER(N25)),NOT(ISNUMBER(N157))),"",N25-N157)</f>
        <v/>
      </c>
      <c r="O289" s="54" t="str">
        <f aca="false">IF(OR(NOT(ISNUMBER(O25)),NOT(ISNUMBER(O157))),"",O25-O157)</f>
        <v/>
      </c>
      <c r="P289" s="11" t="str">
        <f aca="false">IF(COUNT(D289:N289)=0,"",IF(AND(MAX(D289:N289)&lt;2,MIN(D289:N289)&gt;-2),"Sin diferencia","Diferencia a explicar"))</f>
        <v/>
      </c>
    </row>
    <row r="290" customFormat="false" ht="15" hidden="true" customHeight="false" outlineLevel="1" collapsed="false">
      <c r="A290" s="11" t="s">
        <v>1880</v>
      </c>
      <c r="B290" s="15" t="s">
        <v>1864</v>
      </c>
      <c r="C290" s="11" t="s">
        <v>367</v>
      </c>
      <c r="E290" s="49" t="str">
        <f aca="false">IF(OR(NOT(ISNUMBER(E26)),NOT(ISNUMBER(E158))),"",E26-E158)</f>
        <v/>
      </c>
      <c r="F290" s="49" t="str">
        <f aca="false">IF(OR(NOT(ISNUMBER(F26)),NOT(ISNUMBER(F158))),"",F26-F158)</f>
        <v/>
      </c>
      <c r="G290" s="49" t="str">
        <f aca="false">IF(OR(NOT(ISNUMBER(G26)),NOT(ISNUMBER(G158))),"",G26-G158)</f>
        <v/>
      </c>
      <c r="H290" s="49" t="str">
        <f aca="false">IF(OR(NOT(ISNUMBER(H26)),NOT(ISNUMBER(H158))),"",H26-H158)</f>
        <v/>
      </c>
      <c r="I290" s="49" t="str">
        <f aca="false">IF(OR(NOT(ISNUMBER(I26)),NOT(ISNUMBER(I158))),"",I26-I158)</f>
        <v/>
      </c>
      <c r="J290" s="49" t="str">
        <f aca="false">IF(OR(NOT(ISNUMBER(J26)),NOT(ISNUMBER(J158))),"",J26-J158)</f>
        <v/>
      </c>
      <c r="K290" s="49" t="str">
        <f aca="false">IF(OR(NOT(ISNUMBER(K26)),NOT(ISNUMBER(K158))),"",K26-K158)</f>
        <v/>
      </c>
      <c r="L290" s="49" t="str">
        <f aca="false">IF(OR(NOT(ISNUMBER(L26)),NOT(ISNUMBER(L158))),"",L26-L158)</f>
        <v/>
      </c>
      <c r="M290" s="49" t="str">
        <f aca="false">IF(OR(NOT(ISNUMBER(M26)),NOT(ISNUMBER(M158))),"",M26-M158)</f>
        <v/>
      </c>
      <c r="N290" s="49" t="str">
        <f aca="false">IF(OR(NOT(ISNUMBER(N26)),NOT(ISNUMBER(N158))),"",N26-N158)</f>
        <v/>
      </c>
      <c r="P290" s="11" t="str">
        <f aca="false">IF(COUNT(D290:N290)=0,"",IF(AND(MAX(D290:N290)&lt;0.0005,MIN(D290:N290)&gt;-0.0005),"Sin diferencia","Diferencia a explicar"))</f>
        <v/>
      </c>
    </row>
    <row r="291" customFormat="false" ht="15" hidden="true" customHeight="false" outlineLevel="1" collapsed="false">
      <c r="A291" s="11" t="s">
        <v>1881</v>
      </c>
      <c r="B291" s="15" t="s">
        <v>1866</v>
      </c>
      <c r="C291" s="11" t="s">
        <v>367</v>
      </c>
      <c r="E291" s="49" t="str">
        <f aca="false">IF(OR(NOT(ISNUMBER(E27)),NOT(ISNUMBER(E159))),"",E27-E159)</f>
        <v/>
      </c>
      <c r="F291" s="49" t="str">
        <f aca="false">IF(OR(NOT(ISNUMBER(F27)),NOT(ISNUMBER(F159))),"",F27-F159)</f>
        <v/>
      </c>
      <c r="G291" s="49" t="str">
        <f aca="false">IF(OR(NOT(ISNUMBER(G27)),NOT(ISNUMBER(G159))),"",G27-G159)</f>
        <v/>
      </c>
      <c r="H291" s="49" t="str">
        <f aca="false">IF(OR(NOT(ISNUMBER(H27)),NOT(ISNUMBER(H159))),"",H27-H159)</f>
        <v/>
      </c>
      <c r="I291" s="49" t="str">
        <f aca="false">IF(OR(NOT(ISNUMBER(I27)),NOT(ISNUMBER(I159))),"",I27-I159)</f>
        <v/>
      </c>
      <c r="J291" s="49" t="str">
        <f aca="false">IF(OR(NOT(ISNUMBER(J27)),NOT(ISNUMBER(J159))),"",J27-J159)</f>
        <v/>
      </c>
      <c r="K291" s="49" t="str">
        <f aca="false">IF(OR(NOT(ISNUMBER(K27)),NOT(ISNUMBER(K159))),"",K27-K159)</f>
        <v/>
      </c>
      <c r="L291" s="49" t="str">
        <f aca="false">IF(OR(NOT(ISNUMBER(L27)),NOT(ISNUMBER(L159))),"",L27-L159)</f>
        <v/>
      </c>
      <c r="M291" s="49" t="str">
        <f aca="false">IF(OR(NOT(ISNUMBER(M27)),NOT(ISNUMBER(M159))),"",M27-M159)</f>
        <v/>
      </c>
      <c r="N291" s="49" t="str">
        <f aca="false">IF(OR(NOT(ISNUMBER(N27)),NOT(ISNUMBER(N159))),"",N27-N159)</f>
        <v/>
      </c>
      <c r="O291" s="99" t="str">
        <f aca="false">IF(OR(NOT(ISNUMBER(O27)),NOT(ISNUMBER(O159))),"",O27-O159)</f>
        <v/>
      </c>
      <c r="P291" s="11" t="str">
        <f aca="false">IF(COUNT(D291:N291)=0,"",IF(AND(MAX(D291:N291)&lt;0.0005,MIN(D291:N291)&gt;-0.0005),"Sin diferencia","Diferencia a explicar"))</f>
        <v/>
      </c>
    </row>
    <row r="292" customFormat="false" ht="15" hidden="true" customHeight="false" outlineLevel="1" collapsed="false">
      <c r="A292" s="11" t="s">
        <v>1882</v>
      </c>
      <c r="B292" s="53" t="str">
        <f aca="false">IF(INDEX(Prod_Nombre,5)="","Producto 5",INDEX(Prod_Nombre,5))&amp;" — capacidad instalada"</f>
        <v>Producto 5 — capacidad instalada</v>
      </c>
      <c r="C292" s="11" t="s">
        <v>544</v>
      </c>
      <c r="E292" s="48" t="str">
        <f aca="false">IF(OR(NOT(ISNUMBER(E28)),NOT(ISNUMBER(E160))),"",E28-E160)</f>
        <v/>
      </c>
      <c r="F292" s="48" t="str">
        <f aca="false">IF(OR(NOT(ISNUMBER(F28)),NOT(ISNUMBER(F160))),"",F28-F160)</f>
        <v/>
      </c>
      <c r="G292" s="48" t="str">
        <f aca="false">IF(OR(NOT(ISNUMBER(G28)),NOT(ISNUMBER(G160))),"",G28-G160)</f>
        <v/>
      </c>
      <c r="H292" s="48" t="str">
        <f aca="false">IF(OR(NOT(ISNUMBER(H28)),NOT(ISNUMBER(H160))),"",H28-H160)</f>
        <v/>
      </c>
      <c r="I292" s="48" t="str">
        <f aca="false">IF(OR(NOT(ISNUMBER(I28)),NOT(ISNUMBER(I160))),"",I28-I160)</f>
        <v/>
      </c>
      <c r="J292" s="48" t="str">
        <f aca="false">IF(OR(NOT(ISNUMBER(J28)),NOT(ISNUMBER(J160))),"",J28-J160)</f>
        <v/>
      </c>
      <c r="K292" s="48" t="str">
        <f aca="false">IF(OR(NOT(ISNUMBER(K28)),NOT(ISNUMBER(K160))),"",K28-K160)</f>
        <v/>
      </c>
      <c r="L292" s="48" t="str">
        <f aca="false">IF(OR(NOT(ISNUMBER(L28)),NOT(ISNUMBER(L160))),"",L28-L160)</f>
        <v/>
      </c>
      <c r="M292" s="48" t="str">
        <f aca="false">IF(OR(NOT(ISNUMBER(M28)),NOT(ISNUMBER(M160))),"",M28-M160)</f>
        <v/>
      </c>
      <c r="N292" s="48" t="str">
        <f aca="false">IF(OR(NOT(ISNUMBER(N28)),NOT(ISNUMBER(N160))),"",N28-N160)</f>
        <v/>
      </c>
      <c r="P292" s="11" t="str">
        <f aca="false">IF(COUNT(D292:N292)=0,"",IF(AND(MAX(D292:N292)&lt;2,MIN(D292:N292)&gt;-2),"Sin diferencia","Diferencia a explicar"))</f>
        <v/>
      </c>
    </row>
    <row r="293" customFormat="false" ht="15" hidden="true" customHeight="false" outlineLevel="1" collapsed="false">
      <c r="A293" s="11" t="s">
        <v>1883</v>
      </c>
      <c r="B293" s="15" t="s">
        <v>1860</v>
      </c>
      <c r="C293" s="11" t="s">
        <v>544</v>
      </c>
      <c r="D293" s="48" t="str">
        <f aca="false">IF(OR(NOT(ISNUMBER(D29)),NOT(ISNUMBER(D161))),"",D29-D161)</f>
        <v/>
      </c>
      <c r="E293" s="48" t="str">
        <f aca="false">IF(OR(NOT(ISNUMBER(E29)),NOT(ISNUMBER(E161))),"",E29-E161)</f>
        <v/>
      </c>
      <c r="F293" s="48" t="str">
        <f aca="false">IF(OR(NOT(ISNUMBER(F29)),NOT(ISNUMBER(F161))),"",F29-F161)</f>
        <v/>
      </c>
      <c r="G293" s="48" t="str">
        <f aca="false">IF(OR(NOT(ISNUMBER(G29)),NOT(ISNUMBER(G161))),"",G29-G161)</f>
        <v/>
      </c>
      <c r="H293" s="48" t="str">
        <f aca="false">IF(OR(NOT(ISNUMBER(H29)),NOT(ISNUMBER(H161))),"",H29-H161)</f>
        <v/>
      </c>
      <c r="I293" s="48" t="str">
        <f aca="false">IF(OR(NOT(ISNUMBER(I29)),NOT(ISNUMBER(I161))),"",I29-I161)</f>
        <v/>
      </c>
      <c r="J293" s="48" t="str">
        <f aca="false">IF(OR(NOT(ISNUMBER(J29)),NOT(ISNUMBER(J161))),"",J29-J161)</f>
        <v/>
      </c>
      <c r="K293" s="48" t="str">
        <f aca="false">IF(OR(NOT(ISNUMBER(K29)),NOT(ISNUMBER(K161))),"",K29-K161)</f>
        <v/>
      </c>
      <c r="L293" s="48" t="str">
        <f aca="false">IF(OR(NOT(ISNUMBER(L29)),NOT(ISNUMBER(L161))),"",L29-L161)</f>
        <v/>
      </c>
      <c r="M293" s="48" t="str">
        <f aca="false">IF(OR(NOT(ISNUMBER(M29)),NOT(ISNUMBER(M161))),"",M29-M161)</f>
        <v/>
      </c>
      <c r="N293" s="48" t="str">
        <f aca="false">IF(OR(NOT(ISNUMBER(N29)),NOT(ISNUMBER(N161))),"",N29-N161)</f>
        <v/>
      </c>
      <c r="O293" s="54" t="str">
        <f aca="false">IF(OR(NOT(ISNUMBER(O29)),NOT(ISNUMBER(O161))),"",O29-O161)</f>
        <v/>
      </c>
      <c r="P293" s="11" t="str">
        <f aca="false">IF(COUNT(D293:N293)=0,"",IF(AND(MAX(D293:N293)&lt;2,MIN(D293:N293)&gt;-2),"Sin diferencia","Diferencia a explicar"))</f>
        <v/>
      </c>
    </row>
    <row r="294" customFormat="false" ht="15" hidden="true" customHeight="false" outlineLevel="1" collapsed="false">
      <c r="A294" s="11" t="s">
        <v>1884</v>
      </c>
      <c r="B294" s="15" t="s">
        <v>1862</v>
      </c>
      <c r="C294" s="11" t="s">
        <v>544</v>
      </c>
      <c r="D294" s="48" t="str">
        <f aca="false">IF(OR(NOT(ISNUMBER(D30)),NOT(ISNUMBER(D162))),"",D30-D162)</f>
        <v/>
      </c>
      <c r="E294" s="48" t="str">
        <f aca="false">IF(OR(NOT(ISNUMBER(E30)),NOT(ISNUMBER(E162))),"",E30-E162)</f>
        <v/>
      </c>
      <c r="F294" s="48" t="str">
        <f aca="false">IF(OR(NOT(ISNUMBER(F30)),NOT(ISNUMBER(F162))),"",F30-F162)</f>
        <v/>
      </c>
      <c r="G294" s="48" t="str">
        <f aca="false">IF(OR(NOT(ISNUMBER(G30)),NOT(ISNUMBER(G162))),"",G30-G162)</f>
        <v/>
      </c>
      <c r="H294" s="48" t="str">
        <f aca="false">IF(OR(NOT(ISNUMBER(H30)),NOT(ISNUMBER(H162))),"",H30-H162)</f>
        <v/>
      </c>
      <c r="I294" s="48" t="str">
        <f aca="false">IF(OR(NOT(ISNUMBER(I30)),NOT(ISNUMBER(I162))),"",I30-I162)</f>
        <v/>
      </c>
      <c r="J294" s="48" t="str">
        <f aca="false">IF(OR(NOT(ISNUMBER(J30)),NOT(ISNUMBER(J162))),"",J30-J162)</f>
        <v/>
      </c>
      <c r="K294" s="48" t="str">
        <f aca="false">IF(OR(NOT(ISNUMBER(K30)),NOT(ISNUMBER(K162))),"",K30-K162)</f>
        <v/>
      </c>
      <c r="L294" s="48" t="str">
        <f aca="false">IF(OR(NOT(ISNUMBER(L30)),NOT(ISNUMBER(L162))),"",L30-L162)</f>
        <v/>
      </c>
      <c r="M294" s="48" t="str">
        <f aca="false">IF(OR(NOT(ISNUMBER(M30)),NOT(ISNUMBER(M162))),"",M30-M162)</f>
        <v/>
      </c>
      <c r="N294" s="48" t="str">
        <f aca="false">IF(OR(NOT(ISNUMBER(N30)),NOT(ISNUMBER(N162))),"",N30-N162)</f>
        <v/>
      </c>
      <c r="O294" s="54" t="str">
        <f aca="false">IF(OR(NOT(ISNUMBER(O30)),NOT(ISNUMBER(O162))),"",O30-O162)</f>
        <v/>
      </c>
      <c r="P294" s="11" t="str">
        <f aca="false">IF(COUNT(D294:N294)=0,"",IF(AND(MAX(D294:N294)&lt;2,MIN(D294:N294)&gt;-2),"Sin diferencia","Diferencia a explicar"))</f>
        <v/>
      </c>
    </row>
    <row r="295" customFormat="false" ht="15" hidden="true" customHeight="false" outlineLevel="1" collapsed="false">
      <c r="A295" s="11" t="s">
        <v>1885</v>
      </c>
      <c r="B295" s="15" t="s">
        <v>1864</v>
      </c>
      <c r="C295" s="11" t="s">
        <v>367</v>
      </c>
      <c r="E295" s="49" t="str">
        <f aca="false">IF(OR(NOT(ISNUMBER(E31)),NOT(ISNUMBER(E163))),"",E31-E163)</f>
        <v/>
      </c>
      <c r="F295" s="49" t="str">
        <f aca="false">IF(OR(NOT(ISNUMBER(F31)),NOT(ISNUMBER(F163))),"",F31-F163)</f>
        <v/>
      </c>
      <c r="G295" s="49" t="str">
        <f aca="false">IF(OR(NOT(ISNUMBER(G31)),NOT(ISNUMBER(G163))),"",G31-G163)</f>
        <v/>
      </c>
      <c r="H295" s="49" t="str">
        <f aca="false">IF(OR(NOT(ISNUMBER(H31)),NOT(ISNUMBER(H163))),"",H31-H163)</f>
        <v/>
      </c>
      <c r="I295" s="49" t="str">
        <f aca="false">IF(OR(NOT(ISNUMBER(I31)),NOT(ISNUMBER(I163))),"",I31-I163)</f>
        <v/>
      </c>
      <c r="J295" s="49" t="str">
        <f aca="false">IF(OR(NOT(ISNUMBER(J31)),NOT(ISNUMBER(J163))),"",J31-J163)</f>
        <v/>
      </c>
      <c r="K295" s="49" t="str">
        <f aca="false">IF(OR(NOT(ISNUMBER(K31)),NOT(ISNUMBER(K163))),"",K31-K163)</f>
        <v/>
      </c>
      <c r="L295" s="49" t="str">
        <f aca="false">IF(OR(NOT(ISNUMBER(L31)),NOT(ISNUMBER(L163))),"",L31-L163)</f>
        <v/>
      </c>
      <c r="M295" s="49" t="str">
        <f aca="false">IF(OR(NOT(ISNUMBER(M31)),NOT(ISNUMBER(M163))),"",M31-M163)</f>
        <v/>
      </c>
      <c r="N295" s="49" t="str">
        <f aca="false">IF(OR(NOT(ISNUMBER(N31)),NOT(ISNUMBER(N163))),"",N31-N163)</f>
        <v/>
      </c>
      <c r="P295" s="11" t="str">
        <f aca="false">IF(COUNT(D295:N295)=0,"",IF(AND(MAX(D295:N295)&lt;0.0005,MIN(D295:N295)&gt;-0.0005),"Sin diferencia","Diferencia a explicar"))</f>
        <v/>
      </c>
    </row>
    <row r="296" customFormat="false" ht="15" hidden="true" customHeight="false" outlineLevel="1" collapsed="false">
      <c r="A296" s="11" t="s">
        <v>1886</v>
      </c>
      <c r="B296" s="15" t="s">
        <v>1866</v>
      </c>
      <c r="C296" s="11" t="s">
        <v>367</v>
      </c>
      <c r="E296" s="49" t="str">
        <f aca="false">IF(OR(NOT(ISNUMBER(E32)),NOT(ISNUMBER(E164))),"",E32-E164)</f>
        <v/>
      </c>
      <c r="F296" s="49" t="str">
        <f aca="false">IF(OR(NOT(ISNUMBER(F32)),NOT(ISNUMBER(F164))),"",F32-F164)</f>
        <v/>
      </c>
      <c r="G296" s="49" t="str">
        <f aca="false">IF(OR(NOT(ISNUMBER(G32)),NOT(ISNUMBER(G164))),"",G32-G164)</f>
        <v/>
      </c>
      <c r="H296" s="49" t="str">
        <f aca="false">IF(OR(NOT(ISNUMBER(H32)),NOT(ISNUMBER(H164))),"",H32-H164)</f>
        <v/>
      </c>
      <c r="I296" s="49" t="str">
        <f aca="false">IF(OR(NOT(ISNUMBER(I32)),NOT(ISNUMBER(I164))),"",I32-I164)</f>
        <v/>
      </c>
      <c r="J296" s="49" t="str">
        <f aca="false">IF(OR(NOT(ISNUMBER(J32)),NOT(ISNUMBER(J164))),"",J32-J164)</f>
        <v/>
      </c>
      <c r="K296" s="49" t="str">
        <f aca="false">IF(OR(NOT(ISNUMBER(K32)),NOT(ISNUMBER(K164))),"",K32-K164)</f>
        <v/>
      </c>
      <c r="L296" s="49" t="str">
        <f aca="false">IF(OR(NOT(ISNUMBER(L32)),NOT(ISNUMBER(L164))),"",L32-L164)</f>
        <v/>
      </c>
      <c r="M296" s="49" t="str">
        <f aca="false">IF(OR(NOT(ISNUMBER(M32)),NOT(ISNUMBER(M164))),"",M32-M164)</f>
        <v/>
      </c>
      <c r="N296" s="49" t="str">
        <f aca="false">IF(OR(NOT(ISNUMBER(N32)),NOT(ISNUMBER(N164))),"",N32-N164)</f>
        <v/>
      </c>
      <c r="O296" s="99" t="str">
        <f aca="false">IF(OR(NOT(ISNUMBER(O32)),NOT(ISNUMBER(O164))),"",O32-O164)</f>
        <v/>
      </c>
      <c r="P296" s="11" t="str">
        <f aca="false">IF(COUNT(D296:N296)=0,"",IF(AND(MAX(D296:N296)&lt;0.0005,MIN(D296:N296)&gt;-0.0005),"Sin diferencia","Diferencia a explicar"))</f>
        <v/>
      </c>
    </row>
    <row r="297" customFormat="false" ht="15" hidden="true" customHeight="false" outlineLevel="1" collapsed="false">
      <c r="A297" s="11" t="s">
        <v>1887</v>
      </c>
      <c r="B297" s="53" t="str">
        <f aca="false">IF(INDEX(Prod_Nombre,6)="","Producto 6",INDEX(Prod_Nombre,6))&amp;" — capacidad instalada"</f>
        <v>Producto 6 — capacidad instalada</v>
      </c>
      <c r="C297" s="11" t="s">
        <v>544</v>
      </c>
      <c r="E297" s="48" t="str">
        <f aca="false">IF(OR(NOT(ISNUMBER(E33)),NOT(ISNUMBER(E165))),"",E33-E165)</f>
        <v/>
      </c>
      <c r="F297" s="48" t="str">
        <f aca="false">IF(OR(NOT(ISNUMBER(F33)),NOT(ISNUMBER(F165))),"",F33-F165)</f>
        <v/>
      </c>
      <c r="G297" s="48" t="str">
        <f aca="false">IF(OR(NOT(ISNUMBER(G33)),NOT(ISNUMBER(G165))),"",G33-G165)</f>
        <v/>
      </c>
      <c r="H297" s="48" t="str">
        <f aca="false">IF(OR(NOT(ISNUMBER(H33)),NOT(ISNUMBER(H165))),"",H33-H165)</f>
        <v/>
      </c>
      <c r="I297" s="48" t="str">
        <f aca="false">IF(OR(NOT(ISNUMBER(I33)),NOT(ISNUMBER(I165))),"",I33-I165)</f>
        <v/>
      </c>
      <c r="J297" s="48" t="str">
        <f aca="false">IF(OR(NOT(ISNUMBER(J33)),NOT(ISNUMBER(J165))),"",J33-J165)</f>
        <v/>
      </c>
      <c r="K297" s="48" t="str">
        <f aca="false">IF(OR(NOT(ISNUMBER(K33)),NOT(ISNUMBER(K165))),"",K33-K165)</f>
        <v/>
      </c>
      <c r="L297" s="48" t="str">
        <f aca="false">IF(OR(NOT(ISNUMBER(L33)),NOT(ISNUMBER(L165))),"",L33-L165)</f>
        <v/>
      </c>
      <c r="M297" s="48" t="str">
        <f aca="false">IF(OR(NOT(ISNUMBER(M33)),NOT(ISNUMBER(M165))),"",M33-M165)</f>
        <v/>
      </c>
      <c r="N297" s="48" t="str">
        <f aca="false">IF(OR(NOT(ISNUMBER(N33)),NOT(ISNUMBER(N165))),"",N33-N165)</f>
        <v/>
      </c>
      <c r="P297" s="11" t="str">
        <f aca="false">IF(COUNT(D297:N297)=0,"",IF(AND(MAX(D297:N297)&lt;2,MIN(D297:N297)&gt;-2),"Sin diferencia","Diferencia a explicar"))</f>
        <v/>
      </c>
    </row>
    <row r="298" customFormat="false" ht="15" hidden="true" customHeight="false" outlineLevel="1" collapsed="false">
      <c r="A298" s="11" t="s">
        <v>1888</v>
      </c>
      <c r="B298" s="15" t="s">
        <v>1860</v>
      </c>
      <c r="C298" s="11" t="s">
        <v>544</v>
      </c>
      <c r="D298" s="48" t="str">
        <f aca="false">IF(OR(NOT(ISNUMBER(D34)),NOT(ISNUMBER(D166))),"",D34-D166)</f>
        <v/>
      </c>
      <c r="E298" s="48" t="str">
        <f aca="false">IF(OR(NOT(ISNUMBER(E34)),NOT(ISNUMBER(E166))),"",E34-E166)</f>
        <v/>
      </c>
      <c r="F298" s="48" t="str">
        <f aca="false">IF(OR(NOT(ISNUMBER(F34)),NOT(ISNUMBER(F166))),"",F34-F166)</f>
        <v/>
      </c>
      <c r="G298" s="48" t="str">
        <f aca="false">IF(OR(NOT(ISNUMBER(G34)),NOT(ISNUMBER(G166))),"",G34-G166)</f>
        <v/>
      </c>
      <c r="H298" s="48" t="str">
        <f aca="false">IF(OR(NOT(ISNUMBER(H34)),NOT(ISNUMBER(H166))),"",H34-H166)</f>
        <v/>
      </c>
      <c r="I298" s="48" t="str">
        <f aca="false">IF(OR(NOT(ISNUMBER(I34)),NOT(ISNUMBER(I166))),"",I34-I166)</f>
        <v/>
      </c>
      <c r="J298" s="48" t="str">
        <f aca="false">IF(OR(NOT(ISNUMBER(J34)),NOT(ISNUMBER(J166))),"",J34-J166)</f>
        <v/>
      </c>
      <c r="K298" s="48" t="str">
        <f aca="false">IF(OR(NOT(ISNUMBER(K34)),NOT(ISNUMBER(K166))),"",K34-K166)</f>
        <v/>
      </c>
      <c r="L298" s="48" t="str">
        <f aca="false">IF(OR(NOT(ISNUMBER(L34)),NOT(ISNUMBER(L166))),"",L34-L166)</f>
        <v/>
      </c>
      <c r="M298" s="48" t="str">
        <f aca="false">IF(OR(NOT(ISNUMBER(M34)),NOT(ISNUMBER(M166))),"",M34-M166)</f>
        <v/>
      </c>
      <c r="N298" s="48" t="str">
        <f aca="false">IF(OR(NOT(ISNUMBER(N34)),NOT(ISNUMBER(N166))),"",N34-N166)</f>
        <v/>
      </c>
      <c r="O298" s="54" t="str">
        <f aca="false">IF(OR(NOT(ISNUMBER(O34)),NOT(ISNUMBER(O166))),"",O34-O166)</f>
        <v/>
      </c>
      <c r="P298" s="11" t="str">
        <f aca="false">IF(COUNT(D298:N298)=0,"",IF(AND(MAX(D298:N298)&lt;2,MIN(D298:N298)&gt;-2),"Sin diferencia","Diferencia a explicar"))</f>
        <v/>
      </c>
    </row>
    <row r="299" customFormat="false" ht="15" hidden="true" customHeight="false" outlineLevel="1" collapsed="false">
      <c r="A299" s="11" t="s">
        <v>1889</v>
      </c>
      <c r="B299" s="15" t="s">
        <v>1862</v>
      </c>
      <c r="C299" s="11" t="s">
        <v>544</v>
      </c>
      <c r="D299" s="48" t="str">
        <f aca="false">IF(OR(NOT(ISNUMBER(D35)),NOT(ISNUMBER(D167))),"",D35-D167)</f>
        <v/>
      </c>
      <c r="E299" s="48" t="str">
        <f aca="false">IF(OR(NOT(ISNUMBER(E35)),NOT(ISNUMBER(E167))),"",E35-E167)</f>
        <v/>
      </c>
      <c r="F299" s="48" t="str">
        <f aca="false">IF(OR(NOT(ISNUMBER(F35)),NOT(ISNUMBER(F167))),"",F35-F167)</f>
        <v/>
      </c>
      <c r="G299" s="48" t="str">
        <f aca="false">IF(OR(NOT(ISNUMBER(G35)),NOT(ISNUMBER(G167))),"",G35-G167)</f>
        <v/>
      </c>
      <c r="H299" s="48" t="str">
        <f aca="false">IF(OR(NOT(ISNUMBER(H35)),NOT(ISNUMBER(H167))),"",H35-H167)</f>
        <v/>
      </c>
      <c r="I299" s="48" t="str">
        <f aca="false">IF(OR(NOT(ISNUMBER(I35)),NOT(ISNUMBER(I167))),"",I35-I167)</f>
        <v/>
      </c>
      <c r="J299" s="48" t="str">
        <f aca="false">IF(OR(NOT(ISNUMBER(J35)),NOT(ISNUMBER(J167))),"",J35-J167)</f>
        <v/>
      </c>
      <c r="K299" s="48" t="str">
        <f aca="false">IF(OR(NOT(ISNUMBER(K35)),NOT(ISNUMBER(K167))),"",K35-K167)</f>
        <v/>
      </c>
      <c r="L299" s="48" t="str">
        <f aca="false">IF(OR(NOT(ISNUMBER(L35)),NOT(ISNUMBER(L167))),"",L35-L167)</f>
        <v/>
      </c>
      <c r="M299" s="48" t="str">
        <f aca="false">IF(OR(NOT(ISNUMBER(M35)),NOT(ISNUMBER(M167))),"",M35-M167)</f>
        <v/>
      </c>
      <c r="N299" s="48" t="str">
        <f aca="false">IF(OR(NOT(ISNUMBER(N35)),NOT(ISNUMBER(N167))),"",N35-N167)</f>
        <v/>
      </c>
      <c r="O299" s="54" t="str">
        <f aca="false">IF(OR(NOT(ISNUMBER(O35)),NOT(ISNUMBER(O167))),"",O35-O167)</f>
        <v/>
      </c>
      <c r="P299" s="11" t="str">
        <f aca="false">IF(COUNT(D299:N299)=0,"",IF(AND(MAX(D299:N299)&lt;2,MIN(D299:N299)&gt;-2),"Sin diferencia","Diferencia a explicar"))</f>
        <v/>
      </c>
    </row>
    <row r="300" customFormat="false" ht="15" hidden="true" customHeight="false" outlineLevel="1" collapsed="false">
      <c r="A300" s="11" t="s">
        <v>1890</v>
      </c>
      <c r="B300" s="15" t="s">
        <v>1864</v>
      </c>
      <c r="C300" s="11" t="s">
        <v>367</v>
      </c>
      <c r="E300" s="49" t="str">
        <f aca="false">IF(OR(NOT(ISNUMBER(E36)),NOT(ISNUMBER(E168))),"",E36-E168)</f>
        <v/>
      </c>
      <c r="F300" s="49" t="str">
        <f aca="false">IF(OR(NOT(ISNUMBER(F36)),NOT(ISNUMBER(F168))),"",F36-F168)</f>
        <v/>
      </c>
      <c r="G300" s="49" t="str">
        <f aca="false">IF(OR(NOT(ISNUMBER(G36)),NOT(ISNUMBER(G168))),"",G36-G168)</f>
        <v/>
      </c>
      <c r="H300" s="49" t="str">
        <f aca="false">IF(OR(NOT(ISNUMBER(H36)),NOT(ISNUMBER(H168))),"",H36-H168)</f>
        <v/>
      </c>
      <c r="I300" s="49" t="str">
        <f aca="false">IF(OR(NOT(ISNUMBER(I36)),NOT(ISNUMBER(I168))),"",I36-I168)</f>
        <v/>
      </c>
      <c r="J300" s="49" t="str">
        <f aca="false">IF(OR(NOT(ISNUMBER(J36)),NOT(ISNUMBER(J168))),"",J36-J168)</f>
        <v/>
      </c>
      <c r="K300" s="49" t="str">
        <f aca="false">IF(OR(NOT(ISNUMBER(K36)),NOT(ISNUMBER(K168))),"",K36-K168)</f>
        <v/>
      </c>
      <c r="L300" s="49" t="str">
        <f aca="false">IF(OR(NOT(ISNUMBER(L36)),NOT(ISNUMBER(L168))),"",L36-L168)</f>
        <v/>
      </c>
      <c r="M300" s="49" t="str">
        <f aca="false">IF(OR(NOT(ISNUMBER(M36)),NOT(ISNUMBER(M168))),"",M36-M168)</f>
        <v/>
      </c>
      <c r="N300" s="49" t="str">
        <f aca="false">IF(OR(NOT(ISNUMBER(N36)),NOT(ISNUMBER(N168))),"",N36-N168)</f>
        <v/>
      </c>
      <c r="P300" s="11" t="str">
        <f aca="false">IF(COUNT(D300:N300)=0,"",IF(AND(MAX(D300:N300)&lt;0.0005,MIN(D300:N300)&gt;-0.0005),"Sin diferencia","Diferencia a explicar"))</f>
        <v/>
      </c>
    </row>
    <row r="301" customFormat="false" ht="15" hidden="true" customHeight="false" outlineLevel="1" collapsed="false">
      <c r="A301" s="11" t="s">
        <v>1891</v>
      </c>
      <c r="B301" s="15" t="s">
        <v>1866</v>
      </c>
      <c r="C301" s="11" t="s">
        <v>367</v>
      </c>
      <c r="E301" s="49" t="str">
        <f aca="false">IF(OR(NOT(ISNUMBER(E37)),NOT(ISNUMBER(E169))),"",E37-E169)</f>
        <v/>
      </c>
      <c r="F301" s="49" t="str">
        <f aca="false">IF(OR(NOT(ISNUMBER(F37)),NOT(ISNUMBER(F169))),"",F37-F169)</f>
        <v/>
      </c>
      <c r="G301" s="49" t="str">
        <f aca="false">IF(OR(NOT(ISNUMBER(G37)),NOT(ISNUMBER(G169))),"",G37-G169)</f>
        <v/>
      </c>
      <c r="H301" s="49" t="str">
        <f aca="false">IF(OR(NOT(ISNUMBER(H37)),NOT(ISNUMBER(H169))),"",H37-H169)</f>
        <v/>
      </c>
      <c r="I301" s="49" t="str">
        <f aca="false">IF(OR(NOT(ISNUMBER(I37)),NOT(ISNUMBER(I169))),"",I37-I169)</f>
        <v/>
      </c>
      <c r="J301" s="49" t="str">
        <f aca="false">IF(OR(NOT(ISNUMBER(J37)),NOT(ISNUMBER(J169))),"",J37-J169)</f>
        <v/>
      </c>
      <c r="K301" s="49" t="str">
        <f aca="false">IF(OR(NOT(ISNUMBER(K37)),NOT(ISNUMBER(K169))),"",K37-K169)</f>
        <v/>
      </c>
      <c r="L301" s="49" t="str">
        <f aca="false">IF(OR(NOT(ISNUMBER(L37)),NOT(ISNUMBER(L169))),"",L37-L169)</f>
        <v/>
      </c>
      <c r="M301" s="49" t="str">
        <f aca="false">IF(OR(NOT(ISNUMBER(M37)),NOT(ISNUMBER(M169))),"",M37-M169)</f>
        <v/>
      </c>
      <c r="N301" s="49" t="str">
        <f aca="false">IF(OR(NOT(ISNUMBER(N37)),NOT(ISNUMBER(N169))),"",N37-N169)</f>
        <v/>
      </c>
      <c r="O301" s="99" t="str">
        <f aca="false">IF(OR(NOT(ISNUMBER(O37)),NOT(ISNUMBER(O169))),"",O37-O169)</f>
        <v/>
      </c>
      <c r="P301" s="11" t="str">
        <f aca="false">IF(COUNT(D301:N301)=0,"",IF(AND(MAX(D301:N301)&lt;0.0005,MIN(D301:N301)&gt;-0.0005),"Sin diferencia","Diferencia a explicar"))</f>
        <v/>
      </c>
    </row>
    <row r="302" customFormat="false" ht="15" hidden="true" customHeight="false" outlineLevel="1" collapsed="false">
      <c r="A302" s="11" t="s">
        <v>1892</v>
      </c>
      <c r="B302" s="53" t="str">
        <f aca="false">IF(INDEX(Prod_Nombre,7)="","Producto 7",INDEX(Prod_Nombre,7))&amp;" — capacidad instalada"</f>
        <v>Producto 7 — capacidad instalada</v>
      </c>
      <c r="C302" s="11" t="s">
        <v>544</v>
      </c>
      <c r="E302" s="48" t="str">
        <f aca="false">IF(OR(NOT(ISNUMBER(E38)),NOT(ISNUMBER(E170))),"",E38-E170)</f>
        <v/>
      </c>
      <c r="F302" s="48" t="str">
        <f aca="false">IF(OR(NOT(ISNUMBER(F38)),NOT(ISNUMBER(F170))),"",F38-F170)</f>
        <v/>
      </c>
      <c r="G302" s="48" t="str">
        <f aca="false">IF(OR(NOT(ISNUMBER(G38)),NOT(ISNUMBER(G170))),"",G38-G170)</f>
        <v/>
      </c>
      <c r="H302" s="48" t="str">
        <f aca="false">IF(OR(NOT(ISNUMBER(H38)),NOT(ISNUMBER(H170))),"",H38-H170)</f>
        <v/>
      </c>
      <c r="I302" s="48" t="str">
        <f aca="false">IF(OR(NOT(ISNUMBER(I38)),NOT(ISNUMBER(I170))),"",I38-I170)</f>
        <v/>
      </c>
      <c r="J302" s="48" t="str">
        <f aca="false">IF(OR(NOT(ISNUMBER(J38)),NOT(ISNUMBER(J170))),"",J38-J170)</f>
        <v/>
      </c>
      <c r="K302" s="48" t="str">
        <f aca="false">IF(OR(NOT(ISNUMBER(K38)),NOT(ISNUMBER(K170))),"",K38-K170)</f>
        <v/>
      </c>
      <c r="L302" s="48" t="str">
        <f aca="false">IF(OR(NOT(ISNUMBER(L38)),NOT(ISNUMBER(L170))),"",L38-L170)</f>
        <v/>
      </c>
      <c r="M302" s="48" t="str">
        <f aca="false">IF(OR(NOT(ISNUMBER(M38)),NOT(ISNUMBER(M170))),"",M38-M170)</f>
        <v/>
      </c>
      <c r="N302" s="48" t="str">
        <f aca="false">IF(OR(NOT(ISNUMBER(N38)),NOT(ISNUMBER(N170))),"",N38-N170)</f>
        <v/>
      </c>
      <c r="P302" s="11" t="str">
        <f aca="false">IF(COUNT(D302:N302)=0,"",IF(AND(MAX(D302:N302)&lt;2,MIN(D302:N302)&gt;-2),"Sin diferencia","Diferencia a explicar"))</f>
        <v/>
      </c>
    </row>
    <row r="303" customFormat="false" ht="15" hidden="true" customHeight="false" outlineLevel="1" collapsed="false">
      <c r="A303" s="11" t="s">
        <v>1893</v>
      </c>
      <c r="B303" s="15" t="s">
        <v>1860</v>
      </c>
      <c r="C303" s="11" t="s">
        <v>544</v>
      </c>
      <c r="D303" s="48" t="str">
        <f aca="false">IF(OR(NOT(ISNUMBER(D39)),NOT(ISNUMBER(D171))),"",D39-D171)</f>
        <v/>
      </c>
      <c r="E303" s="48" t="str">
        <f aca="false">IF(OR(NOT(ISNUMBER(E39)),NOT(ISNUMBER(E171))),"",E39-E171)</f>
        <v/>
      </c>
      <c r="F303" s="48" t="str">
        <f aca="false">IF(OR(NOT(ISNUMBER(F39)),NOT(ISNUMBER(F171))),"",F39-F171)</f>
        <v/>
      </c>
      <c r="G303" s="48" t="str">
        <f aca="false">IF(OR(NOT(ISNUMBER(G39)),NOT(ISNUMBER(G171))),"",G39-G171)</f>
        <v/>
      </c>
      <c r="H303" s="48" t="str">
        <f aca="false">IF(OR(NOT(ISNUMBER(H39)),NOT(ISNUMBER(H171))),"",H39-H171)</f>
        <v/>
      </c>
      <c r="I303" s="48" t="str">
        <f aca="false">IF(OR(NOT(ISNUMBER(I39)),NOT(ISNUMBER(I171))),"",I39-I171)</f>
        <v/>
      </c>
      <c r="J303" s="48" t="str">
        <f aca="false">IF(OR(NOT(ISNUMBER(J39)),NOT(ISNUMBER(J171))),"",J39-J171)</f>
        <v/>
      </c>
      <c r="K303" s="48" t="str">
        <f aca="false">IF(OR(NOT(ISNUMBER(K39)),NOT(ISNUMBER(K171))),"",K39-K171)</f>
        <v/>
      </c>
      <c r="L303" s="48" t="str">
        <f aca="false">IF(OR(NOT(ISNUMBER(L39)),NOT(ISNUMBER(L171))),"",L39-L171)</f>
        <v/>
      </c>
      <c r="M303" s="48" t="str">
        <f aca="false">IF(OR(NOT(ISNUMBER(M39)),NOT(ISNUMBER(M171))),"",M39-M171)</f>
        <v/>
      </c>
      <c r="N303" s="48" t="str">
        <f aca="false">IF(OR(NOT(ISNUMBER(N39)),NOT(ISNUMBER(N171))),"",N39-N171)</f>
        <v/>
      </c>
      <c r="O303" s="54" t="str">
        <f aca="false">IF(OR(NOT(ISNUMBER(O39)),NOT(ISNUMBER(O171))),"",O39-O171)</f>
        <v/>
      </c>
      <c r="P303" s="11" t="str">
        <f aca="false">IF(COUNT(D303:N303)=0,"",IF(AND(MAX(D303:N303)&lt;2,MIN(D303:N303)&gt;-2),"Sin diferencia","Diferencia a explicar"))</f>
        <v/>
      </c>
    </row>
    <row r="304" customFormat="false" ht="15" hidden="true" customHeight="false" outlineLevel="1" collapsed="false">
      <c r="A304" s="11" t="s">
        <v>1894</v>
      </c>
      <c r="B304" s="15" t="s">
        <v>1862</v>
      </c>
      <c r="C304" s="11" t="s">
        <v>544</v>
      </c>
      <c r="D304" s="48" t="str">
        <f aca="false">IF(OR(NOT(ISNUMBER(D40)),NOT(ISNUMBER(D172))),"",D40-D172)</f>
        <v/>
      </c>
      <c r="E304" s="48" t="str">
        <f aca="false">IF(OR(NOT(ISNUMBER(E40)),NOT(ISNUMBER(E172))),"",E40-E172)</f>
        <v/>
      </c>
      <c r="F304" s="48" t="str">
        <f aca="false">IF(OR(NOT(ISNUMBER(F40)),NOT(ISNUMBER(F172))),"",F40-F172)</f>
        <v/>
      </c>
      <c r="G304" s="48" t="str">
        <f aca="false">IF(OR(NOT(ISNUMBER(G40)),NOT(ISNUMBER(G172))),"",G40-G172)</f>
        <v/>
      </c>
      <c r="H304" s="48" t="str">
        <f aca="false">IF(OR(NOT(ISNUMBER(H40)),NOT(ISNUMBER(H172))),"",H40-H172)</f>
        <v/>
      </c>
      <c r="I304" s="48" t="str">
        <f aca="false">IF(OR(NOT(ISNUMBER(I40)),NOT(ISNUMBER(I172))),"",I40-I172)</f>
        <v/>
      </c>
      <c r="J304" s="48" t="str">
        <f aca="false">IF(OR(NOT(ISNUMBER(J40)),NOT(ISNUMBER(J172))),"",J40-J172)</f>
        <v/>
      </c>
      <c r="K304" s="48" t="str">
        <f aca="false">IF(OR(NOT(ISNUMBER(K40)),NOT(ISNUMBER(K172))),"",K40-K172)</f>
        <v/>
      </c>
      <c r="L304" s="48" t="str">
        <f aca="false">IF(OR(NOT(ISNUMBER(L40)),NOT(ISNUMBER(L172))),"",L40-L172)</f>
        <v/>
      </c>
      <c r="M304" s="48" t="str">
        <f aca="false">IF(OR(NOT(ISNUMBER(M40)),NOT(ISNUMBER(M172))),"",M40-M172)</f>
        <v/>
      </c>
      <c r="N304" s="48" t="str">
        <f aca="false">IF(OR(NOT(ISNUMBER(N40)),NOT(ISNUMBER(N172))),"",N40-N172)</f>
        <v/>
      </c>
      <c r="O304" s="54" t="str">
        <f aca="false">IF(OR(NOT(ISNUMBER(O40)),NOT(ISNUMBER(O172))),"",O40-O172)</f>
        <v/>
      </c>
      <c r="P304" s="11" t="str">
        <f aca="false">IF(COUNT(D304:N304)=0,"",IF(AND(MAX(D304:N304)&lt;2,MIN(D304:N304)&gt;-2),"Sin diferencia","Diferencia a explicar"))</f>
        <v/>
      </c>
    </row>
    <row r="305" customFormat="false" ht="15" hidden="true" customHeight="false" outlineLevel="1" collapsed="false">
      <c r="A305" s="11" t="s">
        <v>1895</v>
      </c>
      <c r="B305" s="15" t="s">
        <v>1864</v>
      </c>
      <c r="C305" s="11" t="s">
        <v>367</v>
      </c>
      <c r="E305" s="49" t="str">
        <f aca="false">IF(OR(NOT(ISNUMBER(E41)),NOT(ISNUMBER(E173))),"",E41-E173)</f>
        <v/>
      </c>
      <c r="F305" s="49" t="str">
        <f aca="false">IF(OR(NOT(ISNUMBER(F41)),NOT(ISNUMBER(F173))),"",F41-F173)</f>
        <v/>
      </c>
      <c r="G305" s="49" t="str">
        <f aca="false">IF(OR(NOT(ISNUMBER(G41)),NOT(ISNUMBER(G173))),"",G41-G173)</f>
        <v/>
      </c>
      <c r="H305" s="49" t="str">
        <f aca="false">IF(OR(NOT(ISNUMBER(H41)),NOT(ISNUMBER(H173))),"",H41-H173)</f>
        <v/>
      </c>
      <c r="I305" s="49" t="str">
        <f aca="false">IF(OR(NOT(ISNUMBER(I41)),NOT(ISNUMBER(I173))),"",I41-I173)</f>
        <v/>
      </c>
      <c r="J305" s="49" t="str">
        <f aca="false">IF(OR(NOT(ISNUMBER(J41)),NOT(ISNUMBER(J173))),"",J41-J173)</f>
        <v/>
      </c>
      <c r="K305" s="49" t="str">
        <f aca="false">IF(OR(NOT(ISNUMBER(K41)),NOT(ISNUMBER(K173))),"",K41-K173)</f>
        <v/>
      </c>
      <c r="L305" s="49" t="str">
        <f aca="false">IF(OR(NOT(ISNUMBER(L41)),NOT(ISNUMBER(L173))),"",L41-L173)</f>
        <v/>
      </c>
      <c r="M305" s="49" t="str">
        <f aca="false">IF(OR(NOT(ISNUMBER(M41)),NOT(ISNUMBER(M173))),"",M41-M173)</f>
        <v/>
      </c>
      <c r="N305" s="49" t="str">
        <f aca="false">IF(OR(NOT(ISNUMBER(N41)),NOT(ISNUMBER(N173))),"",N41-N173)</f>
        <v/>
      </c>
      <c r="P305" s="11" t="str">
        <f aca="false">IF(COUNT(D305:N305)=0,"",IF(AND(MAX(D305:N305)&lt;0.0005,MIN(D305:N305)&gt;-0.0005),"Sin diferencia","Diferencia a explicar"))</f>
        <v/>
      </c>
    </row>
    <row r="306" customFormat="false" ht="15" hidden="true" customHeight="false" outlineLevel="1" collapsed="false">
      <c r="A306" s="11" t="s">
        <v>1896</v>
      </c>
      <c r="B306" s="15" t="s">
        <v>1866</v>
      </c>
      <c r="C306" s="11" t="s">
        <v>367</v>
      </c>
      <c r="E306" s="49" t="str">
        <f aca="false">IF(OR(NOT(ISNUMBER(E42)),NOT(ISNUMBER(E174))),"",E42-E174)</f>
        <v/>
      </c>
      <c r="F306" s="49" t="str">
        <f aca="false">IF(OR(NOT(ISNUMBER(F42)),NOT(ISNUMBER(F174))),"",F42-F174)</f>
        <v/>
      </c>
      <c r="G306" s="49" t="str">
        <f aca="false">IF(OR(NOT(ISNUMBER(G42)),NOT(ISNUMBER(G174))),"",G42-G174)</f>
        <v/>
      </c>
      <c r="H306" s="49" t="str">
        <f aca="false">IF(OR(NOT(ISNUMBER(H42)),NOT(ISNUMBER(H174))),"",H42-H174)</f>
        <v/>
      </c>
      <c r="I306" s="49" t="str">
        <f aca="false">IF(OR(NOT(ISNUMBER(I42)),NOT(ISNUMBER(I174))),"",I42-I174)</f>
        <v/>
      </c>
      <c r="J306" s="49" t="str">
        <f aca="false">IF(OR(NOT(ISNUMBER(J42)),NOT(ISNUMBER(J174))),"",J42-J174)</f>
        <v/>
      </c>
      <c r="K306" s="49" t="str">
        <f aca="false">IF(OR(NOT(ISNUMBER(K42)),NOT(ISNUMBER(K174))),"",K42-K174)</f>
        <v/>
      </c>
      <c r="L306" s="49" t="str">
        <f aca="false">IF(OR(NOT(ISNUMBER(L42)),NOT(ISNUMBER(L174))),"",L42-L174)</f>
        <v/>
      </c>
      <c r="M306" s="49" t="str">
        <f aca="false">IF(OR(NOT(ISNUMBER(M42)),NOT(ISNUMBER(M174))),"",M42-M174)</f>
        <v/>
      </c>
      <c r="N306" s="49" t="str">
        <f aca="false">IF(OR(NOT(ISNUMBER(N42)),NOT(ISNUMBER(N174))),"",N42-N174)</f>
        <v/>
      </c>
      <c r="O306" s="99" t="str">
        <f aca="false">IF(OR(NOT(ISNUMBER(O42)),NOT(ISNUMBER(O174))),"",O42-O174)</f>
        <v/>
      </c>
      <c r="P306" s="11" t="str">
        <f aca="false">IF(COUNT(D306:N306)=0,"",IF(AND(MAX(D306:N306)&lt;0.0005,MIN(D306:N306)&gt;-0.0005),"Sin diferencia","Diferencia a explicar"))</f>
        <v/>
      </c>
    </row>
    <row r="307" customFormat="false" ht="15" hidden="true" customHeight="false" outlineLevel="1" collapsed="false">
      <c r="A307" s="11" t="s">
        <v>1897</v>
      </c>
      <c r="B307" s="53" t="str">
        <f aca="false">IF(INDEX(Prod_Nombre,8)="","Producto 8",INDEX(Prod_Nombre,8))&amp;" — capacidad instalada"</f>
        <v>Producto 8 — capacidad instalada</v>
      </c>
      <c r="C307" s="11" t="s">
        <v>544</v>
      </c>
      <c r="E307" s="48" t="str">
        <f aca="false">IF(OR(NOT(ISNUMBER(E43)),NOT(ISNUMBER(E175))),"",E43-E175)</f>
        <v/>
      </c>
      <c r="F307" s="48" t="str">
        <f aca="false">IF(OR(NOT(ISNUMBER(F43)),NOT(ISNUMBER(F175))),"",F43-F175)</f>
        <v/>
      </c>
      <c r="G307" s="48" t="str">
        <f aca="false">IF(OR(NOT(ISNUMBER(G43)),NOT(ISNUMBER(G175))),"",G43-G175)</f>
        <v/>
      </c>
      <c r="H307" s="48" t="str">
        <f aca="false">IF(OR(NOT(ISNUMBER(H43)),NOT(ISNUMBER(H175))),"",H43-H175)</f>
        <v/>
      </c>
      <c r="I307" s="48" t="str">
        <f aca="false">IF(OR(NOT(ISNUMBER(I43)),NOT(ISNUMBER(I175))),"",I43-I175)</f>
        <v/>
      </c>
      <c r="J307" s="48" t="str">
        <f aca="false">IF(OR(NOT(ISNUMBER(J43)),NOT(ISNUMBER(J175))),"",J43-J175)</f>
        <v/>
      </c>
      <c r="K307" s="48" t="str">
        <f aca="false">IF(OR(NOT(ISNUMBER(K43)),NOT(ISNUMBER(K175))),"",K43-K175)</f>
        <v/>
      </c>
      <c r="L307" s="48" t="str">
        <f aca="false">IF(OR(NOT(ISNUMBER(L43)),NOT(ISNUMBER(L175))),"",L43-L175)</f>
        <v/>
      </c>
      <c r="M307" s="48" t="str">
        <f aca="false">IF(OR(NOT(ISNUMBER(M43)),NOT(ISNUMBER(M175))),"",M43-M175)</f>
        <v/>
      </c>
      <c r="N307" s="48" t="str">
        <f aca="false">IF(OR(NOT(ISNUMBER(N43)),NOT(ISNUMBER(N175))),"",N43-N175)</f>
        <v/>
      </c>
      <c r="P307" s="11" t="str">
        <f aca="false">IF(COUNT(D307:N307)=0,"",IF(AND(MAX(D307:N307)&lt;2,MIN(D307:N307)&gt;-2),"Sin diferencia","Diferencia a explicar"))</f>
        <v/>
      </c>
    </row>
    <row r="308" customFormat="false" ht="15" hidden="true" customHeight="false" outlineLevel="1" collapsed="false">
      <c r="A308" s="11" t="s">
        <v>1898</v>
      </c>
      <c r="B308" s="15" t="s">
        <v>1860</v>
      </c>
      <c r="C308" s="11" t="s">
        <v>544</v>
      </c>
      <c r="D308" s="48" t="str">
        <f aca="false">IF(OR(NOT(ISNUMBER(D44)),NOT(ISNUMBER(D176))),"",D44-D176)</f>
        <v/>
      </c>
      <c r="E308" s="48" t="str">
        <f aca="false">IF(OR(NOT(ISNUMBER(E44)),NOT(ISNUMBER(E176))),"",E44-E176)</f>
        <v/>
      </c>
      <c r="F308" s="48" t="str">
        <f aca="false">IF(OR(NOT(ISNUMBER(F44)),NOT(ISNUMBER(F176))),"",F44-F176)</f>
        <v/>
      </c>
      <c r="G308" s="48" t="str">
        <f aca="false">IF(OR(NOT(ISNUMBER(G44)),NOT(ISNUMBER(G176))),"",G44-G176)</f>
        <v/>
      </c>
      <c r="H308" s="48" t="str">
        <f aca="false">IF(OR(NOT(ISNUMBER(H44)),NOT(ISNUMBER(H176))),"",H44-H176)</f>
        <v/>
      </c>
      <c r="I308" s="48" t="str">
        <f aca="false">IF(OR(NOT(ISNUMBER(I44)),NOT(ISNUMBER(I176))),"",I44-I176)</f>
        <v/>
      </c>
      <c r="J308" s="48" t="str">
        <f aca="false">IF(OR(NOT(ISNUMBER(J44)),NOT(ISNUMBER(J176))),"",J44-J176)</f>
        <v/>
      </c>
      <c r="K308" s="48" t="str">
        <f aca="false">IF(OR(NOT(ISNUMBER(K44)),NOT(ISNUMBER(K176))),"",K44-K176)</f>
        <v/>
      </c>
      <c r="L308" s="48" t="str">
        <f aca="false">IF(OR(NOT(ISNUMBER(L44)),NOT(ISNUMBER(L176))),"",L44-L176)</f>
        <v/>
      </c>
      <c r="M308" s="48" t="str">
        <f aca="false">IF(OR(NOT(ISNUMBER(M44)),NOT(ISNUMBER(M176))),"",M44-M176)</f>
        <v/>
      </c>
      <c r="N308" s="48" t="str">
        <f aca="false">IF(OR(NOT(ISNUMBER(N44)),NOT(ISNUMBER(N176))),"",N44-N176)</f>
        <v/>
      </c>
      <c r="O308" s="54" t="str">
        <f aca="false">IF(OR(NOT(ISNUMBER(O44)),NOT(ISNUMBER(O176))),"",O44-O176)</f>
        <v/>
      </c>
      <c r="P308" s="11" t="str">
        <f aca="false">IF(COUNT(D308:N308)=0,"",IF(AND(MAX(D308:N308)&lt;2,MIN(D308:N308)&gt;-2),"Sin diferencia","Diferencia a explicar"))</f>
        <v/>
      </c>
    </row>
    <row r="309" customFormat="false" ht="15" hidden="true" customHeight="false" outlineLevel="1" collapsed="false">
      <c r="A309" s="11" t="s">
        <v>1899</v>
      </c>
      <c r="B309" s="15" t="s">
        <v>1862</v>
      </c>
      <c r="C309" s="11" t="s">
        <v>544</v>
      </c>
      <c r="D309" s="48" t="str">
        <f aca="false">IF(OR(NOT(ISNUMBER(D45)),NOT(ISNUMBER(D177))),"",D45-D177)</f>
        <v/>
      </c>
      <c r="E309" s="48" t="str">
        <f aca="false">IF(OR(NOT(ISNUMBER(E45)),NOT(ISNUMBER(E177))),"",E45-E177)</f>
        <v/>
      </c>
      <c r="F309" s="48" t="str">
        <f aca="false">IF(OR(NOT(ISNUMBER(F45)),NOT(ISNUMBER(F177))),"",F45-F177)</f>
        <v/>
      </c>
      <c r="G309" s="48" t="str">
        <f aca="false">IF(OR(NOT(ISNUMBER(G45)),NOT(ISNUMBER(G177))),"",G45-G177)</f>
        <v/>
      </c>
      <c r="H309" s="48" t="str">
        <f aca="false">IF(OR(NOT(ISNUMBER(H45)),NOT(ISNUMBER(H177))),"",H45-H177)</f>
        <v/>
      </c>
      <c r="I309" s="48" t="str">
        <f aca="false">IF(OR(NOT(ISNUMBER(I45)),NOT(ISNUMBER(I177))),"",I45-I177)</f>
        <v/>
      </c>
      <c r="J309" s="48" t="str">
        <f aca="false">IF(OR(NOT(ISNUMBER(J45)),NOT(ISNUMBER(J177))),"",J45-J177)</f>
        <v/>
      </c>
      <c r="K309" s="48" t="str">
        <f aca="false">IF(OR(NOT(ISNUMBER(K45)),NOT(ISNUMBER(K177))),"",K45-K177)</f>
        <v/>
      </c>
      <c r="L309" s="48" t="str">
        <f aca="false">IF(OR(NOT(ISNUMBER(L45)),NOT(ISNUMBER(L177))),"",L45-L177)</f>
        <v/>
      </c>
      <c r="M309" s="48" t="str">
        <f aca="false">IF(OR(NOT(ISNUMBER(M45)),NOT(ISNUMBER(M177))),"",M45-M177)</f>
        <v/>
      </c>
      <c r="N309" s="48" t="str">
        <f aca="false">IF(OR(NOT(ISNUMBER(N45)),NOT(ISNUMBER(N177))),"",N45-N177)</f>
        <v/>
      </c>
      <c r="O309" s="54" t="str">
        <f aca="false">IF(OR(NOT(ISNUMBER(O45)),NOT(ISNUMBER(O177))),"",O45-O177)</f>
        <v/>
      </c>
      <c r="P309" s="11" t="str">
        <f aca="false">IF(COUNT(D309:N309)=0,"",IF(AND(MAX(D309:N309)&lt;2,MIN(D309:N309)&gt;-2),"Sin diferencia","Diferencia a explicar"))</f>
        <v/>
      </c>
    </row>
    <row r="310" customFormat="false" ht="15" hidden="true" customHeight="false" outlineLevel="1" collapsed="false">
      <c r="A310" s="11" t="s">
        <v>1900</v>
      </c>
      <c r="B310" s="15" t="s">
        <v>1864</v>
      </c>
      <c r="C310" s="11" t="s">
        <v>367</v>
      </c>
      <c r="E310" s="49" t="str">
        <f aca="false">IF(OR(NOT(ISNUMBER(E46)),NOT(ISNUMBER(E178))),"",E46-E178)</f>
        <v/>
      </c>
      <c r="F310" s="49" t="str">
        <f aca="false">IF(OR(NOT(ISNUMBER(F46)),NOT(ISNUMBER(F178))),"",F46-F178)</f>
        <v/>
      </c>
      <c r="G310" s="49" t="str">
        <f aca="false">IF(OR(NOT(ISNUMBER(G46)),NOT(ISNUMBER(G178))),"",G46-G178)</f>
        <v/>
      </c>
      <c r="H310" s="49" t="str">
        <f aca="false">IF(OR(NOT(ISNUMBER(H46)),NOT(ISNUMBER(H178))),"",H46-H178)</f>
        <v/>
      </c>
      <c r="I310" s="49" t="str">
        <f aca="false">IF(OR(NOT(ISNUMBER(I46)),NOT(ISNUMBER(I178))),"",I46-I178)</f>
        <v/>
      </c>
      <c r="J310" s="49" t="str">
        <f aca="false">IF(OR(NOT(ISNUMBER(J46)),NOT(ISNUMBER(J178))),"",J46-J178)</f>
        <v/>
      </c>
      <c r="K310" s="49" t="str">
        <f aca="false">IF(OR(NOT(ISNUMBER(K46)),NOT(ISNUMBER(K178))),"",K46-K178)</f>
        <v/>
      </c>
      <c r="L310" s="49" t="str">
        <f aca="false">IF(OR(NOT(ISNUMBER(L46)),NOT(ISNUMBER(L178))),"",L46-L178)</f>
        <v/>
      </c>
      <c r="M310" s="49" t="str">
        <f aca="false">IF(OR(NOT(ISNUMBER(M46)),NOT(ISNUMBER(M178))),"",M46-M178)</f>
        <v/>
      </c>
      <c r="N310" s="49" t="str">
        <f aca="false">IF(OR(NOT(ISNUMBER(N46)),NOT(ISNUMBER(N178))),"",N46-N178)</f>
        <v/>
      </c>
      <c r="P310" s="11" t="str">
        <f aca="false">IF(COUNT(D310:N310)=0,"",IF(AND(MAX(D310:N310)&lt;0.0005,MIN(D310:N310)&gt;-0.0005),"Sin diferencia","Diferencia a explicar"))</f>
        <v/>
      </c>
    </row>
    <row r="311" customFormat="false" ht="15" hidden="true" customHeight="false" outlineLevel="1" collapsed="false">
      <c r="A311" s="11" t="s">
        <v>1901</v>
      </c>
      <c r="B311" s="15" t="s">
        <v>1866</v>
      </c>
      <c r="C311" s="11" t="s">
        <v>367</v>
      </c>
      <c r="E311" s="49" t="str">
        <f aca="false">IF(OR(NOT(ISNUMBER(E47)),NOT(ISNUMBER(E179))),"",E47-E179)</f>
        <v/>
      </c>
      <c r="F311" s="49" t="str">
        <f aca="false">IF(OR(NOT(ISNUMBER(F47)),NOT(ISNUMBER(F179))),"",F47-F179)</f>
        <v/>
      </c>
      <c r="G311" s="49" t="str">
        <f aca="false">IF(OR(NOT(ISNUMBER(G47)),NOT(ISNUMBER(G179))),"",G47-G179)</f>
        <v/>
      </c>
      <c r="H311" s="49" t="str">
        <f aca="false">IF(OR(NOT(ISNUMBER(H47)),NOT(ISNUMBER(H179))),"",H47-H179)</f>
        <v/>
      </c>
      <c r="I311" s="49" t="str">
        <f aca="false">IF(OR(NOT(ISNUMBER(I47)),NOT(ISNUMBER(I179))),"",I47-I179)</f>
        <v/>
      </c>
      <c r="J311" s="49" t="str">
        <f aca="false">IF(OR(NOT(ISNUMBER(J47)),NOT(ISNUMBER(J179))),"",J47-J179)</f>
        <v/>
      </c>
      <c r="K311" s="49" t="str">
        <f aca="false">IF(OR(NOT(ISNUMBER(K47)),NOT(ISNUMBER(K179))),"",K47-K179)</f>
        <v/>
      </c>
      <c r="L311" s="49" t="str">
        <f aca="false">IF(OR(NOT(ISNUMBER(L47)),NOT(ISNUMBER(L179))),"",L47-L179)</f>
        <v/>
      </c>
      <c r="M311" s="49" t="str">
        <f aca="false">IF(OR(NOT(ISNUMBER(M47)),NOT(ISNUMBER(M179))),"",M47-M179)</f>
        <v/>
      </c>
      <c r="N311" s="49" t="str">
        <f aca="false">IF(OR(NOT(ISNUMBER(N47)),NOT(ISNUMBER(N179))),"",N47-N179)</f>
        <v/>
      </c>
      <c r="O311" s="99" t="str">
        <f aca="false">IF(OR(NOT(ISNUMBER(O47)),NOT(ISNUMBER(O179))),"",O47-O179)</f>
        <v/>
      </c>
      <c r="P311" s="11" t="str">
        <f aca="false">IF(COUNT(D311:N311)=0,"",IF(AND(MAX(D311:N311)&lt;0.0005,MIN(D311:N311)&gt;-0.0005),"Sin diferencia","Diferencia a explicar"))</f>
        <v/>
      </c>
    </row>
    <row r="312" customFormat="false" ht="15" hidden="true" customHeight="false" outlineLevel="1" collapsed="false">
      <c r="A312" s="11" t="s">
        <v>1902</v>
      </c>
      <c r="B312" s="53" t="str">
        <f aca="false">IF(INDEX(Prod_Nombre,9)="","Producto 9",INDEX(Prod_Nombre,9))&amp;" — capacidad instalada"</f>
        <v>Producto 9 — capacidad instalada</v>
      </c>
      <c r="C312" s="11" t="s">
        <v>544</v>
      </c>
      <c r="E312" s="48" t="str">
        <f aca="false">IF(OR(NOT(ISNUMBER(E48)),NOT(ISNUMBER(E180))),"",E48-E180)</f>
        <v/>
      </c>
      <c r="F312" s="48" t="str">
        <f aca="false">IF(OR(NOT(ISNUMBER(F48)),NOT(ISNUMBER(F180))),"",F48-F180)</f>
        <v/>
      </c>
      <c r="G312" s="48" t="str">
        <f aca="false">IF(OR(NOT(ISNUMBER(G48)),NOT(ISNUMBER(G180))),"",G48-G180)</f>
        <v/>
      </c>
      <c r="H312" s="48" t="str">
        <f aca="false">IF(OR(NOT(ISNUMBER(H48)),NOT(ISNUMBER(H180))),"",H48-H180)</f>
        <v/>
      </c>
      <c r="I312" s="48" t="str">
        <f aca="false">IF(OR(NOT(ISNUMBER(I48)),NOT(ISNUMBER(I180))),"",I48-I180)</f>
        <v/>
      </c>
      <c r="J312" s="48" t="str">
        <f aca="false">IF(OR(NOT(ISNUMBER(J48)),NOT(ISNUMBER(J180))),"",J48-J180)</f>
        <v/>
      </c>
      <c r="K312" s="48" t="str">
        <f aca="false">IF(OR(NOT(ISNUMBER(K48)),NOT(ISNUMBER(K180))),"",K48-K180)</f>
        <v/>
      </c>
      <c r="L312" s="48" t="str">
        <f aca="false">IF(OR(NOT(ISNUMBER(L48)),NOT(ISNUMBER(L180))),"",L48-L180)</f>
        <v/>
      </c>
      <c r="M312" s="48" t="str">
        <f aca="false">IF(OR(NOT(ISNUMBER(M48)),NOT(ISNUMBER(M180))),"",M48-M180)</f>
        <v/>
      </c>
      <c r="N312" s="48" t="str">
        <f aca="false">IF(OR(NOT(ISNUMBER(N48)),NOT(ISNUMBER(N180))),"",N48-N180)</f>
        <v/>
      </c>
      <c r="P312" s="11" t="str">
        <f aca="false">IF(COUNT(D312:N312)=0,"",IF(AND(MAX(D312:N312)&lt;2,MIN(D312:N312)&gt;-2),"Sin diferencia","Diferencia a explicar"))</f>
        <v/>
      </c>
    </row>
    <row r="313" customFormat="false" ht="15" hidden="true" customHeight="false" outlineLevel="1" collapsed="false">
      <c r="A313" s="11" t="s">
        <v>1903</v>
      </c>
      <c r="B313" s="15" t="s">
        <v>1860</v>
      </c>
      <c r="C313" s="11" t="s">
        <v>544</v>
      </c>
      <c r="D313" s="48" t="str">
        <f aca="false">IF(OR(NOT(ISNUMBER(D49)),NOT(ISNUMBER(D181))),"",D49-D181)</f>
        <v/>
      </c>
      <c r="E313" s="48" t="str">
        <f aca="false">IF(OR(NOT(ISNUMBER(E49)),NOT(ISNUMBER(E181))),"",E49-E181)</f>
        <v/>
      </c>
      <c r="F313" s="48" t="str">
        <f aca="false">IF(OR(NOT(ISNUMBER(F49)),NOT(ISNUMBER(F181))),"",F49-F181)</f>
        <v/>
      </c>
      <c r="G313" s="48" t="str">
        <f aca="false">IF(OR(NOT(ISNUMBER(G49)),NOT(ISNUMBER(G181))),"",G49-G181)</f>
        <v/>
      </c>
      <c r="H313" s="48" t="str">
        <f aca="false">IF(OR(NOT(ISNUMBER(H49)),NOT(ISNUMBER(H181))),"",H49-H181)</f>
        <v/>
      </c>
      <c r="I313" s="48" t="str">
        <f aca="false">IF(OR(NOT(ISNUMBER(I49)),NOT(ISNUMBER(I181))),"",I49-I181)</f>
        <v/>
      </c>
      <c r="J313" s="48" t="str">
        <f aca="false">IF(OR(NOT(ISNUMBER(J49)),NOT(ISNUMBER(J181))),"",J49-J181)</f>
        <v/>
      </c>
      <c r="K313" s="48" t="str">
        <f aca="false">IF(OR(NOT(ISNUMBER(K49)),NOT(ISNUMBER(K181))),"",K49-K181)</f>
        <v/>
      </c>
      <c r="L313" s="48" t="str">
        <f aca="false">IF(OR(NOT(ISNUMBER(L49)),NOT(ISNUMBER(L181))),"",L49-L181)</f>
        <v/>
      </c>
      <c r="M313" s="48" t="str">
        <f aca="false">IF(OR(NOT(ISNUMBER(M49)),NOT(ISNUMBER(M181))),"",M49-M181)</f>
        <v/>
      </c>
      <c r="N313" s="48" t="str">
        <f aca="false">IF(OR(NOT(ISNUMBER(N49)),NOT(ISNUMBER(N181))),"",N49-N181)</f>
        <v/>
      </c>
      <c r="O313" s="54" t="str">
        <f aca="false">IF(OR(NOT(ISNUMBER(O49)),NOT(ISNUMBER(O181))),"",O49-O181)</f>
        <v/>
      </c>
      <c r="P313" s="11" t="str">
        <f aca="false">IF(COUNT(D313:N313)=0,"",IF(AND(MAX(D313:N313)&lt;2,MIN(D313:N313)&gt;-2),"Sin diferencia","Diferencia a explicar"))</f>
        <v/>
      </c>
    </row>
    <row r="314" customFormat="false" ht="15" hidden="true" customHeight="false" outlineLevel="1" collapsed="false">
      <c r="A314" s="11" t="s">
        <v>1904</v>
      </c>
      <c r="B314" s="15" t="s">
        <v>1862</v>
      </c>
      <c r="C314" s="11" t="s">
        <v>544</v>
      </c>
      <c r="D314" s="48" t="str">
        <f aca="false">IF(OR(NOT(ISNUMBER(D50)),NOT(ISNUMBER(D182))),"",D50-D182)</f>
        <v/>
      </c>
      <c r="E314" s="48" t="str">
        <f aca="false">IF(OR(NOT(ISNUMBER(E50)),NOT(ISNUMBER(E182))),"",E50-E182)</f>
        <v/>
      </c>
      <c r="F314" s="48" t="str">
        <f aca="false">IF(OR(NOT(ISNUMBER(F50)),NOT(ISNUMBER(F182))),"",F50-F182)</f>
        <v/>
      </c>
      <c r="G314" s="48" t="str">
        <f aca="false">IF(OR(NOT(ISNUMBER(G50)),NOT(ISNUMBER(G182))),"",G50-G182)</f>
        <v/>
      </c>
      <c r="H314" s="48" t="str">
        <f aca="false">IF(OR(NOT(ISNUMBER(H50)),NOT(ISNUMBER(H182))),"",H50-H182)</f>
        <v/>
      </c>
      <c r="I314" s="48" t="str">
        <f aca="false">IF(OR(NOT(ISNUMBER(I50)),NOT(ISNUMBER(I182))),"",I50-I182)</f>
        <v/>
      </c>
      <c r="J314" s="48" t="str">
        <f aca="false">IF(OR(NOT(ISNUMBER(J50)),NOT(ISNUMBER(J182))),"",J50-J182)</f>
        <v/>
      </c>
      <c r="K314" s="48" t="str">
        <f aca="false">IF(OR(NOT(ISNUMBER(K50)),NOT(ISNUMBER(K182))),"",K50-K182)</f>
        <v/>
      </c>
      <c r="L314" s="48" t="str">
        <f aca="false">IF(OR(NOT(ISNUMBER(L50)),NOT(ISNUMBER(L182))),"",L50-L182)</f>
        <v/>
      </c>
      <c r="M314" s="48" t="str">
        <f aca="false">IF(OR(NOT(ISNUMBER(M50)),NOT(ISNUMBER(M182))),"",M50-M182)</f>
        <v/>
      </c>
      <c r="N314" s="48" t="str">
        <f aca="false">IF(OR(NOT(ISNUMBER(N50)),NOT(ISNUMBER(N182))),"",N50-N182)</f>
        <v/>
      </c>
      <c r="O314" s="54" t="str">
        <f aca="false">IF(OR(NOT(ISNUMBER(O50)),NOT(ISNUMBER(O182))),"",O50-O182)</f>
        <v/>
      </c>
      <c r="P314" s="11" t="str">
        <f aca="false">IF(COUNT(D314:N314)=0,"",IF(AND(MAX(D314:N314)&lt;2,MIN(D314:N314)&gt;-2),"Sin diferencia","Diferencia a explicar"))</f>
        <v/>
      </c>
    </row>
    <row r="315" customFormat="false" ht="15" hidden="true" customHeight="false" outlineLevel="1" collapsed="false">
      <c r="A315" s="11" t="s">
        <v>1905</v>
      </c>
      <c r="B315" s="15" t="s">
        <v>1864</v>
      </c>
      <c r="C315" s="11" t="s">
        <v>367</v>
      </c>
      <c r="E315" s="49" t="str">
        <f aca="false">IF(OR(NOT(ISNUMBER(E51)),NOT(ISNUMBER(E183))),"",E51-E183)</f>
        <v/>
      </c>
      <c r="F315" s="49" t="str">
        <f aca="false">IF(OR(NOT(ISNUMBER(F51)),NOT(ISNUMBER(F183))),"",F51-F183)</f>
        <v/>
      </c>
      <c r="G315" s="49" t="str">
        <f aca="false">IF(OR(NOT(ISNUMBER(G51)),NOT(ISNUMBER(G183))),"",G51-G183)</f>
        <v/>
      </c>
      <c r="H315" s="49" t="str">
        <f aca="false">IF(OR(NOT(ISNUMBER(H51)),NOT(ISNUMBER(H183))),"",H51-H183)</f>
        <v/>
      </c>
      <c r="I315" s="49" t="str">
        <f aca="false">IF(OR(NOT(ISNUMBER(I51)),NOT(ISNUMBER(I183))),"",I51-I183)</f>
        <v/>
      </c>
      <c r="J315" s="49" t="str">
        <f aca="false">IF(OR(NOT(ISNUMBER(J51)),NOT(ISNUMBER(J183))),"",J51-J183)</f>
        <v/>
      </c>
      <c r="K315" s="49" t="str">
        <f aca="false">IF(OR(NOT(ISNUMBER(K51)),NOT(ISNUMBER(K183))),"",K51-K183)</f>
        <v/>
      </c>
      <c r="L315" s="49" t="str">
        <f aca="false">IF(OR(NOT(ISNUMBER(L51)),NOT(ISNUMBER(L183))),"",L51-L183)</f>
        <v/>
      </c>
      <c r="M315" s="49" t="str">
        <f aca="false">IF(OR(NOT(ISNUMBER(M51)),NOT(ISNUMBER(M183))),"",M51-M183)</f>
        <v/>
      </c>
      <c r="N315" s="49" t="str">
        <f aca="false">IF(OR(NOT(ISNUMBER(N51)),NOT(ISNUMBER(N183))),"",N51-N183)</f>
        <v/>
      </c>
      <c r="P315" s="11" t="str">
        <f aca="false">IF(COUNT(D315:N315)=0,"",IF(AND(MAX(D315:N315)&lt;0.0005,MIN(D315:N315)&gt;-0.0005),"Sin diferencia","Diferencia a explicar"))</f>
        <v/>
      </c>
    </row>
    <row r="316" customFormat="false" ht="15" hidden="true" customHeight="false" outlineLevel="1" collapsed="false">
      <c r="A316" s="11" t="s">
        <v>1906</v>
      </c>
      <c r="B316" s="15" t="s">
        <v>1866</v>
      </c>
      <c r="C316" s="11" t="s">
        <v>367</v>
      </c>
      <c r="E316" s="49" t="str">
        <f aca="false">IF(OR(NOT(ISNUMBER(E52)),NOT(ISNUMBER(E184))),"",E52-E184)</f>
        <v/>
      </c>
      <c r="F316" s="49" t="str">
        <f aca="false">IF(OR(NOT(ISNUMBER(F52)),NOT(ISNUMBER(F184))),"",F52-F184)</f>
        <v/>
      </c>
      <c r="G316" s="49" t="str">
        <f aca="false">IF(OR(NOT(ISNUMBER(G52)),NOT(ISNUMBER(G184))),"",G52-G184)</f>
        <v/>
      </c>
      <c r="H316" s="49" t="str">
        <f aca="false">IF(OR(NOT(ISNUMBER(H52)),NOT(ISNUMBER(H184))),"",H52-H184)</f>
        <v/>
      </c>
      <c r="I316" s="49" t="str">
        <f aca="false">IF(OR(NOT(ISNUMBER(I52)),NOT(ISNUMBER(I184))),"",I52-I184)</f>
        <v/>
      </c>
      <c r="J316" s="49" t="str">
        <f aca="false">IF(OR(NOT(ISNUMBER(J52)),NOT(ISNUMBER(J184))),"",J52-J184)</f>
        <v/>
      </c>
      <c r="K316" s="49" t="str">
        <f aca="false">IF(OR(NOT(ISNUMBER(K52)),NOT(ISNUMBER(K184))),"",K52-K184)</f>
        <v/>
      </c>
      <c r="L316" s="49" t="str">
        <f aca="false">IF(OR(NOT(ISNUMBER(L52)),NOT(ISNUMBER(L184))),"",L52-L184)</f>
        <v/>
      </c>
      <c r="M316" s="49" t="str">
        <f aca="false">IF(OR(NOT(ISNUMBER(M52)),NOT(ISNUMBER(M184))),"",M52-M184)</f>
        <v/>
      </c>
      <c r="N316" s="49" t="str">
        <f aca="false">IF(OR(NOT(ISNUMBER(N52)),NOT(ISNUMBER(N184))),"",N52-N184)</f>
        <v/>
      </c>
      <c r="O316" s="99" t="str">
        <f aca="false">IF(OR(NOT(ISNUMBER(O52)),NOT(ISNUMBER(O184))),"",O52-O184)</f>
        <v/>
      </c>
      <c r="P316" s="11" t="str">
        <f aca="false">IF(COUNT(D316:N316)=0,"",IF(AND(MAX(D316:N316)&lt;0.0005,MIN(D316:N316)&gt;-0.0005),"Sin diferencia","Diferencia a explicar"))</f>
        <v/>
      </c>
    </row>
    <row r="317" customFormat="false" ht="15" hidden="true" customHeight="false" outlineLevel="1" collapsed="false">
      <c r="A317" s="11" t="s">
        <v>1907</v>
      </c>
      <c r="B317" s="53" t="str">
        <f aca="false">IF(INDEX(Prod_Nombre,10)="","Producto 10",INDEX(Prod_Nombre,10))&amp;" — capacidad instalada"</f>
        <v>Producto 10 — capacidad instalada</v>
      </c>
      <c r="C317" s="11" t="s">
        <v>544</v>
      </c>
      <c r="E317" s="48" t="str">
        <f aca="false">IF(OR(NOT(ISNUMBER(E53)),NOT(ISNUMBER(E185))),"",E53-E185)</f>
        <v/>
      </c>
      <c r="F317" s="48" t="str">
        <f aca="false">IF(OR(NOT(ISNUMBER(F53)),NOT(ISNUMBER(F185))),"",F53-F185)</f>
        <v/>
      </c>
      <c r="G317" s="48" t="str">
        <f aca="false">IF(OR(NOT(ISNUMBER(G53)),NOT(ISNUMBER(G185))),"",G53-G185)</f>
        <v/>
      </c>
      <c r="H317" s="48" t="str">
        <f aca="false">IF(OR(NOT(ISNUMBER(H53)),NOT(ISNUMBER(H185))),"",H53-H185)</f>
        <v/>
      </c>
      <c r="I317" s="48" t="str">
        <f aca="false">IF(OR(NOT(ISNUMBER(I53)),NOT(ISNUMBER(I185))),"",I53-I185)</f>
        <v/>
      </c>
      <c r="J317" s="48" t="str">
        <f aca="false">IF(OR(NOT(ISNUMBER(J53)),NOT(ISNUMBER(J185))),"",J53-J185)</f>
        <v/>
      </c>
      <c r="K317" s="48" t="str">
        <f aca="false">IF(OR(NOT(ISNUMBER(K53)),NOT(ISNUMBER(K185))),"",K53-K185)</f>
        <v/>
      </c>
      <c r="L317" s="48" t="str">
        <f aca="false">IF(OR(NOT(ISNUMBER(L53)),NOT(ISNUMBER(L185))),"",L53-L185)</f>
        <v/>
      </c>
      <c r="M317" s="48" t="str">
        <f aca="false">IF(OR(NOT(ISNUMBER(M53)),NOT(ISNUMBER(M185))),"",M53-M185)</f>
        <v/>
      </c>
      <c r="N317" s="48" t="str">
        <f aca="false">IF(OR(NOT(ISNUMBER(N53)),NOT(ISNUMBER(N185))),"",N53-N185)</f>
        <v/>
      </c>
      <c r="P317" s="11" t="str">
        <f aca="false">IF(COUNT(D317:N317)=0,"",IF(AND(MAX(D317:N317)&lt;2,MIN(D317:N317)&gt;-2),"Sin diferencia","Diferencia a explicar"))</f>
        <v/>
      </c>
    </row>
    <row r="318" customFormat="false" ht="15" hidden="true" customHeight="false" outlineLevel="1" collapsed="false">
      <c r="A318" s="11" t="s">
        <v>1908</v>
      </c>
      <c r="B318" s="15" t="s">
        <v>1860</v>
      </c>
      <c r="C318" s="11" t="s">
        <v>544</v>
      </c>
      <c r="D318" s="48" t="str">
        <f aca="false">IF(OR(NOT(ISNUMBER(D54)),NOT(ISNUMBER(D186))),"",D54-D186)</f>
        <v/>
      </c>
      <c r="E318" s="48" t="str">
        <f aca="false">IF(OR(NOT(ISNUMBER(E54)),NOT(ISNUMBER(E186))),"",E54-E186)</f>
        <v/>
      </c>
      <c r="F318" s="48" t="str">
        <f aca="false">IF(OR(NOT(ISNUMBER(F54)),NOT(ISNUMBER(F186))),"",F54-F186)</f>
        <v/>
      </c>
      <c r="G318" s="48" t="str">
        <f aca="false">IF(OR(NOT(ISNUMBER(G54)),NOT(ISNUMBER(G186))),"",G54-G186)</f>
        <v/>
      </c>
      <c r="H318" s="48" t="str">
        <f aca="false">IF(OR(NOT(ISNUMBER(H54)),NOT(ISNUMBER(H186))),"",H54-H186)</f>
        <v/>
      </c>
      <c r="I318" s="48" t="str">
        <f aca="false">IF(OR(NOT(ISNUMBER(I54)),NOT(ISNUMBER(I186))),"",I54-I186)</f>
        <v/>
      </c>
      <c r="J318" s="48" t="str">
        <f aca="false">IF(OR(NOT(ISNUMBER(J54)),NOT(ISNUMBER(J186))),"",J54-J186)</f>
        <v/>
      </c>
      <c r="K318" s="48" t="str">
        <f aca="false">IF(OR(NOT(ISNUMBER(K54)),NOT(ISNUMBER(K186))),"",K54-K186)</f>
        <v/>
      </c>
      <c r="L318" s="48" t="str">
        <f aca="false">IF(OR(NOT(ISNUMBER(L54)),NOT(ISNUMBER(L186))),"",L54-L186)</f>
        <v/>
      </c>
      <c r="M318" s="48" t="str">
        <f aca="false">IF(OR(NOT(ISNUMBER(M54)),NOT(ISNUMBER(M186))),"",M54-M186)</f>
        <v/>
      </c>
      <c r="N318" s="48" t="str">
        <f aca="false">IF(OR(NOT(ISNUMBER(N54)),NOT(ISNUMBER(N186))),"",N54-N186)</f>
        <v/>
      </c>
      <c r="O318" s="54" t="str">
        <f aca="false">IF(OR(NOT(ISNUMBER(O54)),NOT(ISNUMBER(O186))),"",O54-O186)</f>
        <v/>
      </c>
      <c r="P318" s="11" t="str">
        <f aca="false">IF(COUNT(D318:N318)=0,"",IF(AND(MAX(D318:N318)&lt;2,MIN(D318:N318)&gt;-2),"Sin diferencia","Diferencia a explicar"))</f>
        <v/>
      </c>
    </row>
    <row r="319" customFormat="false" ht="15" hidden="true" customHeight="false" outlineLevel="1" collapsed="false">
      <c r="A319" s="11" t="s">
        <v>1909</v>
      </c>
      <c r="B319" s="15" t="s">
        <v>1862</v>
      </c>
      <c r="C319" s="11" t="s">
        <v>544</v>
      </c>
      <c r="D319" s="48" t="str">
        <f aca="false">IF(OR(NOT(ISNUMBER(D55)),NOT(ISNUMBER(D187))),"",D55-D187)</f>
        <v/>
      </c>
      <c r="E319" s="48" t="str">
        <f aca="false">IF(OR(NOT(ISNUMBER(E55)),NOT(ISNUMBER(E187))),"",E55-E187)</f>
        <v/>
      </c>
      <c r="F319" s="48" t="str">
        <f aca="false">IF(OR(NOT(ISNUMBER(F55)),NOT(ISNUMBER(F187))),"",F55-F187)</f>
        <v/>
      </c>
      <c r="G319" s="48" t="str">
        <f aca="false">IF(OR(NOT(ISNUMBER(G55)),NOT(ISNUMBER(G187))),"",G55-G187)</f>
        <v/>
      </c>
      <c r="H319" s="48" t="str">
        <f aca="false">IF(OR(NOT(ISNUMBER(H55)),NOT(ISNUMBER(H187))),"",H55-H187)</f>
        <v/>
      </c>
      <c r="I319" s="48" t="str">
        <f aca="false">IF(OR(NOT(ISNUMBER(I55)),NOT(ISNUMBER(I187))),"",I55-I187)</f>
        <v/>
      </c>
      <c r="J319" s="48" t="str">
        <f aca="false">IF(OR(NOT(ISNUMBER(J55)),NOT(ISNUMBER(J187))),"",J55-J187)</f>
        <v/>
      </c>
      <c r="K319" s="48" t="str">
        <f aca="false">IF(OR(NOT(ISNUMBER(K55)),NOT(ISNUMBER(K187))),"",K55-K187)</f>
        <v/>
      </c>
      <c r="L319" s="48" t="str">
        <f aca="false">IF(OR(NOT(ISNUMBER(L55)),NOT(ISNUMBER(L187))),"",L55-L187)</f>
        <v/>
      </c>
      <c r="M319" s="48" t="str">
        <f aca="false">IF(OR(NOT(ISNUMBER(M55)),NOT(ISNUMBER(M187))),"",M55-M187)</f>
        <v/>
      </c>
      <c r="N319" s="48" t="str">
        <f aca="false">IF(OR(NOT(ISNUMBER(N55)),NOT(ISNUMBER(N187))),"",N55-N187)</f>
        <v/>
      </c>
      <c r="O319" s="54" t="str">
        <f aca="false">IF(OR(NOT(ISNUMBER(O55)),NOT(ISNUMBER(O187))),"",O55-O187)</f>
        <v/>
      </c>
      <c r="P319" s="11" t="str">
        <f aca="false">IF(COUNT(D319:N319)=0,"",IF(AND(MAX(D319:N319)&lt;2,MIN(D319:N319)&gt;-2),"Sin diferencia","Diferencia a explicar"))</f>
        <v/>
      </c>
    </row>
    <row r="320" customFormat="false" ht="15" hidden="true" customHeight="false" outlineLevel="1" collapsed="false">
      <c r="A320" s="11" t="s">
        <v>1910</v>
      </c>
      <c r="B320" s="15" t="s">
        <v>1864</v>
      </c>
      <c r="C320" s="11" t="s">
        <v>367</v>
      </c>
      <c r="E320" s="49" t="str">
        <f aca="false">IF(OR(NOT(ISNUMBER(E56)),NOT(ISNUMBER(E188))),"",E56-E188)</f>
        <v/>
      </c>
      <c r="F320" s="49" t="str">
        <f aca="false">IF(OR(NOT(ISNUMBER(F56)),NOT(ISNUMBER(F188))),"",F56-F188)</f>
        <v/>
      </c>
      <c r="G320" s="49" t="str">
        <f aca="false">IF(OR(NOT(ISNUMBER(G56)),NOT(ISNUMBER(G188))),"",G56-G188)</f>
        <v/>
      </c>
      <c r="H320" s="49" t="str">
        <f aca="false">IF(OR(NOT(ISNUMBER(H56)),NOT(ISNUMBER(H188))),"",H56-H188)</f>
        <v/>
      </c>
      <c r="I320" s="49" t="str">
        <f aca="false">IF(OR(NOT(ISNUMBER(I56)),NOT(ISNUMBER(I188))),"",I56-I188)</f>
        <v/>
      </c>
      <c r="J320" s="49" t="str">
        <f aca="false">IF(OR(NOT(ISNUMBER(J56)),NOT(ISNUMBER(J188))),"",J56-J188)</f>
        <v/>
      </c>
      <c r="K320" s="49" t="str">
        <f aca="false">IF(OR(NOT(ISNUMBER(K56)),NOT(ISNUMBER(K188))),"",K56-K188)</f>
        <v/>
      </c>
      <c r="L320" s="49" t="str">
        <f aca="false">IF(OR(NOT(ISNUMBER(L56)),NOT(ISNUMBER(L188))),"",L56-L188)</f>
        <v/>
      </c>
      <c r="M320" s="49" t="str">
        <f aca="false">IF(OR(NOT(ISNUMBER(M56)),NOT(ISNUMBER(M188))),"",M56-M188)</f>
        <v/>
      </c>
      <c r="N320" s="49" t="str">
        <f aca="false">IF(OR(NOT(ISNUMBER(N56)),NOT(ISNUMBER(N188))),"",N56-N188)</f>
        <v/>
      </c>
      <c r="P320" s="11" t="str">
        <f aca="false">IF(COUNT(D320:N320)=0,"",IF(AND(MAX(D320:N320)&lt;0.0005,MIN(D320:N320)&gt;-0.0005),"Sin diferencia","Diferencia a explicar"))</f>
        <v/>
      </c>
    </row>
    <row r="321" customFormat="false" ht="15" hidden="true" customHeight="false" outlineLevel="1" collapsed="false">
      <c r="A321" s="11" t="s">
        <v>1911</v>
      </c>
      <c r="B321" s="15" t="s">
        <v>1866</v>
      </c>
      <c r="C321" s="11" t="s">
        <v>367</v>
      </c>
      <c r="E321" s="49" t="str">
        <f aca="false">IF(OR(NOT(ISNUMBER(E57)),NOT(ISNUMBER(E189))),"",E57-E189)</f>
        <v/>
      </c>
      <c r="F321" s="49" t="str">
        <f aca="false">IF(OR(NOT(ISNUMBER(F57)),NOT(ISNUMBER(F189))),"",F57-F189)</f>
        <v/>
      </c>
      <c r="G321" s="49" t="str">
        <f aca="false">IF(OR(NOT(ISNUMBER(G57)),NOT(ISNUMBER(G189))),"",G57-G189)</f>
        <v/>
      </c>
      <c r="H321" s="49" t="str">
        <f aca="false">IF(OR(NOT(ISNUMBER(H57)),NOT(ISNUMBER(H189))),"",H57-H189)</f>
        <v/>
      </c>
      <c r="I321" s="49" t="str">
        <f aca="false">IF(OR(NOT(ISNUMBER(I57)),NOT(ISNUMBER(I189))),"",I57-I189)</f>
        <v/>
      </c>
      <c r="J321" s="49" t="str">
        <f aca="false">IF(OR(NOT(ISNUMBER(J57)),NOT(ISNUMBER(J189))),"",J57-J189)</f>
        <v/>
      </c>
      <c r="K321" s="49" t="str">
        <f aca="false">IF(OR(NOT(ISNUMBER(K57)),NOT(ISNUMBER(K189))),"",K57-K189)</f>
        <v/>
      </c>
      <c r="L321" s="49" t="str">
        <f aca="false">IF(OR(NOT(ISNUMBER(L57)),NOT(ISNUMBER(L189))),"",L57-L189)</f>
        <v/>
      </c>
      <c r="M321" s="49" t="str">
        <f aca="false">IF(OR(NOT(ISNUMBER(M57)),NOT(ISNUMBER(M189))),"",M57-M189)</f>
        <v/>
      </c>
      <c r="N321" s="49" t="str">
        <f aca="false">IF(OR(NOT(ISNUMBER(N57)),NOT(ISNUMBER(N189))),"",N57-N189)</f>
        <v/>
      </c>
      <c r="O321" s="99" t="str">
        <f aca="false">IF(OR(NOT(ISNUMBER(O57)),NOT(ISNUMBER(O189))),"",O57-O189)</f>
        <v/>
      </c>
      <c r="P321" s="11" t="str">
        <f aca="false">IF(COUNT(D321:N321)=0,"",IF(AND(MAX(D321:N321)&lt;0.0005,MIN(D321:N321)&gt;-0.0005),"Sin diferencia","Diferencia a explicar"))</f>
        <v/>
      </c>
    </row>
    <row r="322" customFormat="false" ht="15" hidden="true" customHeight="false" outlineLevel="1" collapsed="false">
      <c r="A322" s="11" t="s">
        <v>1912</v>
      </c>
      <c r="B322" s="53" t="str">
        <f aca="false">IF(INDEX(Prod_Nombre,11)="","Producto 11",INDEX(Prod_Nombre,11))&amp;" — capacidad instalada"</f>
        <v>Producto 11 — capacidad instalada</v>
      </c>
      <c r="C322" s="11" t="s">
        <v>544</v>
      </c>
      <c r="E322" s="48" t="str">
        <f aca="false">IF(OR(NOT(ISNUMBER(E58)),NOT(ISNUMBER(E190))),"",E58-E190)</f>
        <v/>
      </c>
      <c r="F322" s="48" t="str">
        <f aca="false">IF(OR(NOT(ISNUMBER(F58)),NOT(ISNUMBER(F190))),"",F58-F190)</f>
        <v/>
      </c>
      <c r="G322" s="48" t="str">
        <f aca="false">IF(OR(NOT(ISNUMBER(G58)),NOT(ISNUMBER(G190))),"",G58-G190)</f>
        <v/>
      </c>
      <c r="H322" s="48" t="str">
        <f aca="false">IF(OR(NOT(ISNUMBER(H58)),NOT(ISNUMBER(H190))),"",H58-H190)</f>
        <v/>
      </c>
      <c r="I322" s="48" t="str">
        <f aca="false">IF(OR(NOT(ISNUMBER(I58)),NOT(ISNUMBER(I190))),"",I58-I190)</f>
        <v/>
      </c>
      <c r="J322" s="48" t="str">
        <f aca="false">IF(OR(NOT(ISNUMBER(J58)),NOT(ISNUMBER(J190))),"",J58-J190)</f>
        <v/>
      </c>
      <c r="K322" s="48" t="str">
        <f aca="false">IF(OR(NOT(ISNUMBER(K58)),NOT(ISNUMBER(K190))),"",K58-K190)</f>
        <v/>
      </c>
      <c r="L322" s="48" t="str">
        <f aca="false">IF(OR(NOT(ISNUMBER(L58)),NOT(ISNUMBER(L190))),"",L58-L190)</f>
        <v/>
      </c>
      <c r="M322" s="48" t="str">
        <f aca="false">IF(OR(NOT(ISNUMBER(M58)),NOT(ISNUMBER(M190))),"",M58-M190)</f>
        <v/>
      </c>
      <c r="N322" s="48" t="str">
        <f aca="false">IF(OR(NOT(ISNUMBER(N58)),NOT(ISNUMBER(N190))),"",N58-N190)</f>
        <v/>
      </c>
      <c r="P322" s="11" t="str">
        <f aca="false">IF(COUNT(D322:N322)=0,"",IF(AND(MAX(D322:N322)&lt;2,MIN(D322:N322)&gt;-2),"Sin diferencia","Diferencia a explicar"))</f>
        <v/>
      </c>
    </row>
    <row r="323" customFormat="false" ht="15" hidden="true" customHeight="false" outlineLevel="1" collapsed="false">
      <c r="A323" s="11" t="s">
        <v>1913</v>
      </c>
      <c r="B323" s="15" t="s">
        <v>1860</v>
      </c>
      <c r="C323" s="11" t="s">
        <v>544</v>
      </c>
      <c r="D323" s="48" t="str">
        <f aca="false">IF(OR(NOT(ISNUMBER(D59)),NOT(ISNUMBER(D191))),"",D59-D191)</f>
        <v/>
      </c>
      <c r="E323" s="48" t="str">
        <f aca="false">IF(OR(NOT(ISNUMBER(E59)),NOT(ISNUMBER(E191))),"",E59-E191)</f>
        <v/>
      </c>
      <c r="F323" s="48" t="str">
        <f aca="false">IF(OR(NOT(ISNUMBER(F59)),NOT(ISNUMBER(F191))),"",F59-F191)</f>
        <v/>
      </c>
      <c r="G323" s="48" t="str">
        <f aca="false">IF(OR(NOT(ISNUMBER(G59)),NOT(ISNUMBER(G191))),"",G59-G191)</f>
        <v/>
      </c>
      <c r="H323" s="48" t="str">
        <f aca="false">IF(OR(NOT(ISNUMBER(H59)),NOT(ISNUMBER(H191))),"",H59-H191)</f>
        <v/>
      </c>
      <c r="I323" s="48" t="str">
        <f aca="false">IF(OR(NOT(ISNUMBER(I59)),NOT(ISNUMBER(I191))),"",I59-I191)</f>
        <v/>
      </c>
      <c r="J323" s="48" t="str">
        <f aca="false">IF(OR(NOT(ISNUMBER(J59)),NOT(ISNUMBER(J191))),"",J59-J191)</f>
        <v/>
      </c>
      <c r="K323" s="48" t="str">
        <f aca="false">IF(OR(NOT(ISNUMBER(K59)),NOT(ISNUMBER(K191))),"",K59-K191)</f>
        <v/>
      </c>
      <c r="L323" s="48" t="str">
        <f aca="false">IF(OR(NOT(ISNUMBER(L59)),NOT(ISNUMBER(L191))),"",L59-L191)</f>
        <v/>
      </c>
      <c r="M323" s="48" t="str">
        <f aca="false">IF(OR(NOT(ISNUMBER(M59)),NOT(ISNUMBER(M191))),"",M59-M191)</f>
        <v/>
      </c>
      <c r="N323" s="48" t="str">
        <f aca="false">IF(OR(NOT(ISNUMBER(N59)),NOT(ISNUMBER(N191))),"",N59-N191)</f>
        <v/>
      </c>
      <c r="O323" s="54" t="str">
        <f aca="false">IF(OR(NOT(ISNUMBER(O59)),NOT(ISNUMBER(O191))),"",O59-O191)</f>
        <v/>
      </c>
      <c r="P323" s="11" t="str">
        <f aca="false">IF(COUNT(D323:N323)=0,"",IF(AND(MAX(D323:N323)&lt;2,MIN(D323:N323)&gt;-2),"Sin diferencia","Diferencia a explicar"))</f>
        <v/>
      </c>
    </row>
    <row r="324" customFormat="false" ht="15" hidden="true" customHeight="false" outlineLevel="1" collapsed="false">
      <c r="A324" s="11" t="s">
        <v>1914</v>
      </c>
      <c r="B324" s="15" t="s">
        <v>1862</v>
      </c>
      <c r="C324" s="11" t="s">
        <v>544</v>
      </c>
      <c r="D324" s="48" t="str">
        <f aca="false">IF(OR(NOT(ISNUMBER(D60)),NOT(ISNUMBER(D192))),"",D60-D192)</f>
        <v/>
      </c>
      <c r="E324" s="48" t="str">
        <f aca="false">IF(OR(NOT(ISNUMBER(E60)),NOT(ISNUMBER(E192))),"",E60-E192)</f>
        <v/>
      </c>
      <c r="F324" s="48" t="str">
        <f aca="false">IF(OR(NOT(ISNUMBER(F60)),NOT(ISNUMBER(F192))),"",F60-F192)</f>
        <v/>
      </c>
      <c r="G324" s="48" t="str">
        <f aca="false">IF(OR(NOT(ISNUMBER(G60)),NOT(ISNUMBER(G192))),"",G60-G192)</f>
        <v/>
      </c>
      <c r="H324" s="48" t="str">
        <f aca="false">IF(OR(NOT(ISNUMBER(H60)),NOT(ISNUMBER(H192))),"",H60-H192)</f>
        <v/>
      </c>
      <c r="I324" s="48" t="str">
        <f aca="false">IF(OR(NOT(ISNUMBER(I60)),NOT(ISNUMBER(I192))),"",I60-I192)</f>
        <v/>
      </c>
      <c r="J324" s="48" t="str">
        <f aca="false">IF(OR(NOT(ISNUMBER(J60)),NOT(ISNUMBER(J192))),"",J60-J192)</f>
        <v/>
      </c>
      <c r="K324" s="48" t="str">
        <f aca="false">IF(OR(NOT(ISNUMBER(K60)),NOT(ISNUMBER(K192))),"",K60-K192)</f>
        <v/>
      </c>
      <c r="L324" s="48" t="str">
        <f aca="false">IF(OR(NOT(ISNUMBER(L60)),NOT(ISNUMBER(L192))),"",L60-L192)</f>
        <v/>
      </c>
      <c r="M324" s="48" t="str">
        <f aca="false">IF(OR(NOT(ISNUMBER(M60)),NOT(ISNUMBER(M192))),"",M60-M192)</f>
        <v/>
      </c>
      <c r="N324" s="48" t="str">
        <f aca="false">IF(OR(NOT(ISNUMBER(N60)),NOT(ISNUMBER(N192))),"",N60-N192)</f>
        <v/>
      </c>
      <c r="O324" s="54" t="str">
        <f aca="false">IF(OR(NOT(ISNUMBER(O60)),NOT(ISNUMBER(O192))),"",O60-O192)</f>
        <v/>
      </c>
      <c r="P324" s="11" t="str">
        <f aca="false">IF(COUNT(D324:N324)=0,"",IF(AND(MAX(D324:N324)&lt;2,MIN(D324:N324)&gt;-2),"Sin diferencia","Diferencia a explicar"))</f>
        <v/>
      </c>
    </row>
    <row r="325" customFormat="false" ht="15" hidden="true" customHeight="false" outlineLevel="1" collapsed="false">
      <c r="A325" s="11" t="s">
        <v>1915</v>
      </c>
      <c r="B325" s="15" t="s">
        <v>1864</v>
      </c>
      <c r="C325" s="11" t="s">
        <v>367</v>
      </c>
      <c r="E325" s="49" t="str">
        <f aca="false">IF(OR(NOT(ISNUMBER(E61)),NOT(ISNUMBER(E193))),"",E61-E193)</f>
        <v/>
      </c>
      <c r="F325" s="49" t="str">
        <f aca="false">IF(OR(NOT(ISNUMBER(F61)),NOT(ISNUMBER(F193))),"",F61-F193)</f>
        <v/>
      </c>
      <c r="G325" s="49" t="str">
        <f aca="false">IF(OR(NOT(ISNUMBER(G61)),NOT(ISNUMBER(G193))),"",G61-G193)</f>
        <v/>
      </c>
      <c r="H325" s="49" t="str">
        <f aca="false">IF(OR(NOT(ISNUMBER(H61)),NOT(ISNUMBER(H193))),"",H61-H193)</f>
        <v/>
      </c>
      <c r="I325" s="49" t="str">
        <f aca="false">IF(OR(NOT(ISNUMBER(I61)),NOT(ISNUMBER(I193))),"",I61-I193)</f>
        <v/>
      </c>
      <c r="J325" s="49" t="str">
        <f aca="false">IF(OR(NOT(ISNUMBER(J61)),NOT(ISNUMBER(J193))),"",J61-J193)</f>
        <v/>
      </c>
      <c r="K325" s="49" t="str">
        <f aca="false">IF(OR(NOT(ISNUMBER(K61)),NOT(ISNUMBER(K193))),"",K61-K193)</f>
        <v/>
      </c>
      <c r="L325" s="49" t="str">
        <f aca="false">IF(OR(NOT(ISNUMBER(L61)),NOT(ISNUMBER(L193))),"",L61-L193)</f>
        <v/>
      </c>
      <c r="M325" s="49" t="str">
        <f aca="false">IF(OR(NOT(ISNUMBER(M61)),NOT(ISNUMBER(M193))),"",M61-M193)</f>
        <v/>
      </c>
      <c r="N325" s="49" t="str">
        <f aca="false">IF(OR(NOT(ISNUMBER(N61)),NOT(ISNUMBER(N193))),"",N61-N193)</f>
        <v/>
      </c>
      <c r="P325" s="11" t="str">
        <f aca="false">IF(COUNT(D325:N325)=0,"",IF(AND(MAX(D325:N325)&lt;0.0005,MIN(D325:N325)&gt;-0.0005),"Sin diferencia","Diferencia a explicar"))</f>
        <v/>
      </c>
    </row>
    <row r="326" customFormat="false" ht="15" hidden="true" customHeight="false" outlineLevel="1" collapsed="false">
      <c r="A326" s="11" t="s">
        <v>1916</v>
      </c>
      <c r="B326" s="15" t="s">
        <v>1866</v>
      </c>
      <c r="C326" s="11" t="s">
        <v>367</v>
      </c>
      <c r="E326" s="49" t="str">
        <f aca="false">IF(OR(NOT(ISNUMBER(E62)),NOT(ISNUMBER(E194))),"",E62-E194)</f>
        <v/>
      </c>
      <c r="F326" s="49" t="str">
        <f aca="false">IF(OR(NOT(ISNUMBER(F62)),NOT(ISNUMBER(F194))),"",F62-F194)</f>
        <v/>
      </c>
      <c r="G326" s="49" t="str">
        <f aca="false">IF(OR(NOT(ISNUMBER(G62)),NOT(ISNUMBER(G194))),"",G62-G194)</f>
        <v/>
      </c>
      <c r="H326" s="49" t="str">
        <f aca="false">IF(OR(NOT(ISNUMBER(H62)),NOT(ISNUMBER(H194))),"",H62-H194)</f>
        <v/>
      </c>
      <c r="I326" s="49" t="str">
        <f aca="false">IF(OR(NOT(ISNUMBER(I62)),NOT(ISNUMBER(I194))),"",I62-I194)</f>
        <v/>
      </c>
      <c r="J326" s="49" t="str">
        <f aca="false">IF(OR(NOT(ISNUMBER(J62)),NOT(ISNUMBER(J194))),"",J62-J194)</f>
        <v/>
      </c>
      <c r="K326" s="49" t="str">
        <f aca="false">IF(OR(NOT(ISNUMBER(K62)),NOT(ISNUMBER(K194))),"",K62-K194)</f>
        <v/>
      </c>
      <c r="L326" s="49" t="str">
        <f aca="false">IF(OR(NOT(ISNUMBER(L62)),NOT(ISNUMBER(L194))),"",L62-L194)</f>
        <v/>
      </c>
      <c r="M326" s="49" t="str">
        <f aca="false">IF(OR(NOT(ISNUMBER(M62)),NOT(ISNUMBER(M194))),"",M62-M194)</f>
        <v/>
      </c>
      <c r="N326" s="49" t="str">
        <f aca="false">IF(OR(NOT(ISNUMBER(N62)),NOT(ISNUMBER(N194))),"",N62-N194)</f>
        <v/>
      </c>
      <c r="O326" s="99" t="str">
        <f aca="false">IF(OR(NOT(ISNUMBER(O62)),NOT(ISNUMBER(O194))),"",O62-O194)</f>
        <v/>
      </c>
      <c r="P326" s="11" t="str">
        <f aca="false">IF(COUNT(D326:N326)=0,"",IF(AND(MAX(D326:N326)&lt;0.0005,MIN(D326:N326)&gt;-0.0005),"Sin diferencia","Diferencia a explicar"))</f>
        <v/>
      </c>
    </row>
    <row r="327" customFormat="false" ht="15" hidden="true" customHeight="false" outlineLevel="1" collapsed="false">
      <c r="A327" s="11" t="s">
        <v>1917</v>
      </c>
      <c r="B327" s="53" t="str">
        <f aca="false">IF(INDEX(Prod_Nombre,12)="","Producto 12",INDEX(Prod_Nombre,12))&amp;" — capacidad instalada"</f>
        <v>Producto 12 — capacidad instalada</v>
      </c>
      <c r="C327" s="11" t="s">
        <v>544</v>
      </c>
      <c r="E327" s="48" t="str">
        <f aca="false">IF(OR(NOT(ISNUMBER(E63)),NOT(ISNUMBER(E195))),"",E63-E195)</f>
        <v/>
      </c>
      <c r="F327" s="48" t="str">
        <f aca="false">IF(OR(NOT(ISNUMBER(F63)),NOT(ISNUMBER(F195))),"",F63-F195)</f>
        <v/>
      </c>
      <c r="G327" s="48" t="str">
        <f aca="false">IF(OR(NOT(ISNUMBER(G63)),NOT(ISNUMBER(G195))),"",G63-G195)</f>
        <v/>
      </c>
      <c r="H327" s="48" t="str">
        <f aca="false">IF(OR(NOT(ISNUMBER(H63)),NOT(ISNUMBER(H195))),"",H63-H195)</f>
        <v/>
      </c>
      <c r="I327" s="48" t="str">
        <f aca="false">IF(OR(NOT(ISNUMBER(I63)),NOT(ISNUMBER(I195))),"",I63-I195)</f>
        <v/>
      </c>
      <c r="J327" s="48" t="str">
        <f aca="false">IF(OR(NOT(ISNUMBER(J63)),NOT(ISNUMBER(J195))),"",J63-J195)</f>
        <v/>
      </c>
      <c r="K327" s="48" t="str">
        <f aca="false">IF(OR(NOT(ISNUMBER(K63)),NOT(ISNUMBER(K195))),"",K63-K195)</f>
        <v/>
      </c>
      <c r="L327" s="48" t="str">
        <f aca="false">IF(OR(NOT(ISNUMBER(L63)),NOT(ISNUMBER(L195))),"",L63-L195)</f>
        <v/>
      </c>
      <c r="M327" s="48" t="str">
        <f aca="false">IF(OR(NOT(ISNUMBER(M63)),NOT(ISNUMBER(M195))),"",M63-M195)</f>
        <v/>
      </c>
      <c r="N327" s="48" t="str">
        <f aca="false">IF(OR(NOT(ISNUMBER(N63)),NOT(ISNUMBER(N195))),"",N63-N195)</f>
        <v/>
      </c>
      <c r="P327" s="11" t="str">
        <f aca="false">IF(COUNT(D327:N327)=0,"",IF(AND(MAX(D327:N327)&lt;2,MIN(D327:N327)&gt;-2),"Sin diferencia","Diferencia a explicar"))</f>
        <v/>
      </c>
    </row>
    <row r="328" customFormat="false" ht="15" hidden="true" customHeight="false" outlineLevel="1" collapsed="false">
      <c r="A328" s="11" t="s">
        <v>1918</v>
      </c>
      <c r="B328" s="15" t="s">
        <v>1860</v>
      </c>
      <c r="C328" s="11" t="s">
        <v>544</v>
      </c>
      <c r="D328" s="48" t="str">
        <f aca="false">IF(OR(NOT(ISNUMBER(D64)),NOT(ISNUMBER(D196))),"",D64-D196)</f>
        <v/>
      </c>
      <c r="E328" s="48" t="str">
        <f aca="false">IF(OR(NOT(ISNUMBER(E64)),NOT(ISNUMBER(E196))),"",E64-E196)</f>
        <v/>
      </c>
      <c r="F328" s="48" t="str">
        <f aca="false">IF(OR(NOT(ISNUMBER(F64)),NOT(ISNUMBER(F196))),"",F64-F196)</f>
        <v/>
      </c>
      <c r="G328" s="48" t="str">
        <f aca="false">IF(OR(NOT(ISNUMBER(G64)),NOT(ISNUMBER(G196))),"",G64-G196)</f>
        <v/>
      </c>
      <c r="H328" s="48" t="str">
        <f aca="false">IF(OR(NOT(ISNUMBER(H64)),NOT(ISNUMBER(H196))),"",H64-H196)</f>
        <v/>
      </c>
      <c r="I328" s="48" t="str">
        <f aca="false">IF(OR(NOT(ISNUMBER(I64)),NOT(ISNUMBER(I196))),"",I64-I196)</f>
        <v/>
      </c>
      <c r="J328" s="48" t="str">
        <f aca="false">IF(OR(NOT(ISNUMBER(J64)),NOT(ISNUMBER(J196))),"",J64-J196)</f>
        <v/>
      </c>
      <c r="K328" s="48" t="str">
        <f aca="false">IF(OR(NOT(ISNUMBER(K64)),NOT(ISNUMBER(K196))),"",K64-K196)</f>
        <v/>
      </c>
      <c r="L328" s="48" t="str">
        <f aca="false">IF(OR(NOT(ISNUMBER(L64)),NOT(ISNUMBER(L196))),"",L64-L196)</f>
        <v/>
      </c>
      <c r="M328" s="48" t="str">
        <f aca="false">IF(OR(NOT(ISNUMBER(M64)),NOT(ISNUMBER(M196))),"",M64-M196)</f>
        <v/>
      </c>
      <c r="N328" s="48" t="str">
        <f aca="false">IF(OR(NOT(ISNUMBER(N64)),NOT(ISNUMBER(N196))),"",N64-N196)</f>
        <v/>
      </c>
      <c r="O328" s="54" t="str">
        <f aca="false">IF(OR(NOT(ISNUMBER(O64)),NOT(ISNUMBER(O196))),"",O64-O196)</f>
        <v/>
      </c>
      <c r="P328" s="11" t="str">
        <f aca="false">IF(COUNT(D328:N328)=0,"",IF(AND(MAX(D328:N328)&lt;2,MIN(D328:N328)&gt;-2),"Sin diferencia","Diferencia a explicar"))</f>
        <v/>
      </c>
    </row>
    <row r="329" customFormat="false" ht="15" hidden="true" customHeight="false" outlineLevel="1" collapsed="false">
      <c r="A329" s="11" t="s">
        <v>1919</v>
      </c>
      <c r="B329" s="15" t="s">
        <v>1862</v>
      </c>
      <c r="C329" s="11" t="s">
        <v>544</v>
      </c>
      <c r="D329" s="48" t="str">
        <f aca="false">IF(OR(NOT(ISNUMBER(D65)),NOT(ISNUMBER(D197))),"",D65-D197)</f>
        <v/>
      </c>
      <c r="E329" s="48" t="str">
        <f aca="false">IF(OR(NOT(ISNUMBER(E65)),NOT(ISNUMBER(E197))),"",E65-E197)</f>
        <v/>
      </c>
      <c r="F329" s="48" t="str">
        <f aca="false">IF(OR(NOT(ISNUMBER(F65)),NOT(ISNUMBER(F197))),"",F65-F197)</f>
        <v/>
      </c>
      <c r="G329" s="48" t="str">
        <f aca="false">IF(OR(NOT(ISNUMBER(G65)),NOT(ISNUMBER(G197))),"",G65-G197)</f>
        <v/>
      </c>
      <c r="H329" s="48" t="str">
        <f aca="false">IF(OR(NOT(ISNUMBER(H65)),NOT(ISNUMBER(H197))),"",H65-H197)</f>
        <v/>
      </c>
      <c r="I329" s="48" t="str">
        <f aca="false">IF(OR(NOT(ISNUMBER(I65)),NOT(ISNUMBER(I197))),"",I65-I197)</f>
        <v/>
      </c>
      <c r="J329" s="48" t="str">
        <f aca="false">IF(OR(NOT(ISNUMBER(J65)),NOT(ISNUMBER(J197))),"",J65-J197)</f>
        <v/>
      </c>
      <c r="K329" s="48" t="str">
        <f aca="false">IF(OR(NOT(ISNUMBER(K65)),NOT(ISNUMBER(K197))),"",K65-K197)</f>
        <v/>
      </c>
      <c r="L329" s="48" t="str">
        <f aca="false">IF(OR(NOT(ISNUMBER(L65)),NOT(ISNUMBER(L197))),"",L65-L197)</f>
        <v/>
      </c>
      <c r="M329" s="48" t="str">
        <f aca="false">IF(OR(NOT(ISNUMBER(M65)),NOT(ISNUMBER(M197))),"",M65-M197)</f>
        <v/>
      </c>
      <c r="N329" s="48" t="str">
        <f aca="false">IF(OR(NOT(ISNUMBER(N65)),NOT(ISNUMBER(N197))),"",N65-N197)</f>
        <v/>
      </c>
      <c r="O329" s="54" t="str">
        <f aca="false">IF(OR(NOT(ISNUMBER(O65)),NOT(ISNUMBER(O197))),"",O65-O197)</f>
        <v/>
      </c>
      <c r="P329" s="11" t="str">
        <f aca="false">IF(COUNT(D329:N329)=0,"",IF(AND(MAX(D329:N329)&lt;2,MIN(D329:N329)&gt;-2),"Sin diferencia","Diferencia a explicar"))</f>
        <v/>
      </c>
    </row>
    <row r="330" customFormat="false" ht="15" hidden="true" customHeight="false" outlineLevel="1" collapsed="false">
      <c r="A330" s="11" t="s">
        <v>1920</v>
      </c>
      <c r="B330" s="15" t="s">
        <v>1864</v>
      </c>
      <c r="C330" s="11" t="s">
        <v>367</v>
      </c>
      <c r="E330" s="49" t="str">
        <f aca="false">IF(OR(NOT(ISNUMBER(E66)),NOT(ISNUMBER(E198))),"",E66-E198)</f>
        <v/>
      </c>
      <c r="F330" s="49" t="str">
        <f aca="false">IF(OR(NOT(ISNUMBER(F66)),NOT(ISNUMBER(F198))),"",F66-F198)</f>
        <v/>
      </c>
      <c r="G330" s="49" t="str">
        <f aca="false">IF(OR(NOT(ISNUMBER(G66)),NOT(ISNUMBER(G198))),"",G66-G198)</f>
        <v/>
      </c>
      <c r="H330" s="49" t="str">
        <f aca="false">IF(OR(NOT(ISNUMBER(H66)),NOT(ISNUMBER(H198))),"",H66-H198)</f>
        <v/>
      </c>
      <c r="I330" s="49" t="str">
        <f aca="false">IF(OR(NOT(ISNUMBER(I66)),NOT(ISNUMBER(I198))),"",I66-I198)</f>
        <v/>
      </c>
      <c r="J330" s="49" t="str">
        <f aca="false">IF(OR(NOT(ISNUMBER(J66)),NOT(ISNUMBER(J198))),"",J66-J198)</f>
        <v/>
      </c>
      <c r="K330" s="49" t="str">
        <f aca="false">IF(OR(NOT(ISNUMBER(K66)),NOT(ISNUMBER(K198))),"",K66-K198)</f>
        <v/>
      </c>
      <c r="L330" s="49" t="str">
        <f aca="false">IF(OR(NOT(ISNUMBER(L66)),NOT(ISNUMBER(L198))),"",L66-L198)</f>
        <v/>
      </c>
      <c r="M330" s="49" t="str">
        <f aca="false">IF(OR(NOT(ISNUMBER(M66)),NOT(ISNUMBER(M198))),"",M66-M198)</f>
        <v/>
      </c>
      <c r="N330" s="49" t="str">
        <f aca="false">IF(OR(NOT(ISNUMBER(N66)),NOT(ISNUMBER(N198))),"",N66-N198)</f>
        <v/>
      </c>
      <c r="P330" s="11" t="str">
        <f aca="false">IF(COUNT(D330:N330)=0,"",IF(AND(MAX(D330:N330)&lt;0.0005,MIN(D330:N330)&gt;-0.0005),"Sin diferencia","Diferencia a explicar"))</f>
        <v/>
      </c>
    </row>
    <row r="331" customFormat="false" ht="15" hidden="true" customHeight="false" outlineLevel="1" collapsed="false">
      <c r="A331" s="11" t="s">
        <v>1921</v>
      </c>
      <c r="B331" s="15" t="s">
        <v>1866</v>
      </c>
      <c r="C331" s="11" t="s">
        <v>367</v>
      </c>
      <c r="E331" s="49" t="str">
        <f aca="false">IF(OR(NOT(ISNUMBER(E67)),NOT(ISNUMBER(E199))),"",E67-E199)</f>
        <v/>
      </c>
      <c r="F331" s="49" t="str">
        <f aca="false">IF(OR(NOT(ISNUMBER(F67)),NOT(ISNUMBER(F199))),"",F67-F199)</f>
        <v/>
      </c>
      <c r="G331" s="49" t="str">
        <f aca="false">IF(OR(NOT(ISNUMBER(G67)),NOT(ISNUMBER(G199))),"",G67-G199)</f>
        <v/>
      </c>
      <c r="H331" s="49" t="str">
        <f aca="false">IF(OR(NOT(ISNUMBER(H67)),NOT(ISNUMBER(H199))),"",H67-H199)</f>
        <v/>
      </c>
      <c r="I331" s="49" t="str">
        <f aca="false">IF(OR(NOT(ISNUMBER(I67)),NOT(ISNUMBER(I199))),"",I67-I199)</f>
        <v/>
      </c>
      <c r="J331" s="49" t="str">
        <f aca="false">IF(OR(NOT(ISNUMBER(J67)),NOT(ISNUMBER(J199))),"",J67-J199)</f>
        <v/>
      </c>
      <c r="K331" s="49" t="str">
        <f aca="false">IF(OR(NOT(ISNUMBER(K67)),NOT(ISNUMBER(K199))),"",K67-K199)</f>
        <v/>
      </c>
      <c r="L331" s="49" t="str">
        <f aca="false">IF(OR(NOT(ISNUMBER(L67)),NOT(ISNUMBER(L199))),"",L67-L199)</f>
        <v/>
      </c>
      <c r="M331" s="49" t="str">
        <f aca="false">IF(OR(NOT(ISNUMBER(M67)),NOT(ISNUMBER(M199))),"",M67-M199)</f>
        <v/>
      </c>
      <c r="N331" s="49" t="str">
        <f aca="false">IF(OR(NOT(ISNUMBER(N67)),NOT(ISNUMBER(N199))),"",N67-N199)</f>
        <v/>
      </c>
      <c r="O331" s="99" t="str">
        <f aca="false">IF(OR(NOT(ISNUMBER(O67)),NOT(ISNUMBER(O199))),"",O67-O199)</f>
        <v/>
      </c>
      <c r="P331" s="11" t="str">
        <f aca="false">IF(COUNT(D331:N331)=0,"",IF(AND(MAX(D331:N331)&lt;0.0005,MIN(D331:N331)&gt;-0.0005),"Sin diferencia","Diferencia a explicar"))</f>
        <v/>
      </c>
    </row>
    <row r="332" customFormat="false" ht="15" hidden="true" customHeight="false" outlineLevel="1" collapsed="false">
      <c r="A332" s="11" t="s">
        <v>1922</v>
      </c>
      <c r="B332" s="53" t="str">
        <f aca="false">IF(INDEX(Prod_Nombre,13)="","Producto 13",INDEX(Prod_Nombre,13))&amp;" — capacidad instalada"</f>
        <v>Producto 13 — capacidad instalada</v>
      </c>
      <c r="C332" s="11" t="s">
        <v>544</v>
      </c>
      <c r="E332" s="48" t="str">
        <f aca="false">IF(OR(NOT(ISNUMBER(E68)),NOT(ISNUMBER(E200))),"",E68-E200)</f>
        <v/>
      </c>
      <c r="F332" s="48" t="str">
        <f aca="false">IF(OR(NOT(ISNUMBER(F68)),NOT(ISNUMBER(F200))),"",F68-F200)</f>
        <v/>
      </c>
      <c r="G332" s="48" t="str">
        <f aca="false">IF(OR(NOT(ISNUMBER(G68)),NOT(ISNUMBER(G200))),"",G68-G200)</f>
        <v/>
      </c>
      <c r="H332" s="48" t="str">
        <f aca="false">IF(OR(NOT(ISNUMBER(H68)),NOT(ISNUMBER(H200))),"",H68-H200)</f>
        <v/>
      </c>
      <c r="I332" s="48" t="str">
        <f aca="false">IF(OR(NOT(ISNUMBER(I68)),NOT(ISNUMBER(I200))),"",I68-I200)</f>
        <v/>
      </c>
      <c r="J332" s="48" t="str">
        <f aca="false">IF(OR(NOT(ISNUMBER(J68)),NOT(ISNUMBER(J200))),"",J68-J200)</f>
        <v/>
      </c>
      <c r="K332" s="48" t="str">
        <f aca="false">IF(OR(NOT(ISNUMBER(K68)),NOT(ISNUMBER(K200))),"",K68-K200)</f>
        <v/>
      </c>
      <c r="L332" s="48" t="str">
        <f aca="false">IF(OR(NOT(ISNUMBER(L68)),NOT(ISNUMBER(L200))),"",L68-L200)</f>
        <v/>
      </c>
      <c r="M332" s="48" t="str">
        <f aca="false">IF(OR(NOT(ISNUMBER(M68)),NOT(ISNUMBER(M200))),"",M68-M200)</f>
        <v/>
      </c>
      <c r="N332" s="48" t="str">
        <f aca="false">IF(OR(NOT(ISNUMBER(N68)),NOT(ISNUMBER(N200))),"",N68-N200)</f>
        <v/>
      </c>
      <c r="P332" s="11" t="str">
        <f aca="false">IF(COUNT(D332:N332)=0,"",IF(AND(MAX(D332:N332)&lt;2,MIN(D332:N332)&gt;-2),"Sin diferencia","Diferencia a explicar"))</f>
        <v/>
      </c>
    </row>
    <row r="333" customFormat="false" ht="15" hidden="true" customHeight="false" outlineLevel="1" collapsed="false">
      <c r="A333" s="11" t="s">
        <v>1923</v>
      </c>
      <c r="B333" s="15" t="s">
        <v>1860</v>
      </c>
      <c r="C333" s="11" t="s">
        <v>544</v>
      </c>
      <c r="D333" s="48" t="str">
        <f aca="false">IF(OR(NOT(ISNUMBER(D69)),NOT(ISNUMBER(D201))),"",D69-D201)</f>
        <v/>
      </c>
      <c r="E333" s="48" t="str">
        <f aca="false">IF(OR(NOT(ISNUMBER(E69)),NOT(ISNUMBER(E201))),"",E69-E201)</f>
        <v/>
      </c>
      <c r="F333" s="48" t="str">
        <f aca="false">IF(OR(NOT(ISNUMBER(F69)),NOT(ISNUMBER(F201))),"",F69-F201)</f>
        <v/>
      </c>
      <c r="G333" s="48" t="str">
        <f aca="false">IF(OR(NOT(ISNUMBER(G69)),NOT(ISNUMBER(G201))),"",G69-G201)</f>
        <v/>
      </c>
      <c r="H333" s="48" t="str">
        <f aca="false">IF(OR(NOT(ISNUMBER(H69)),NOT(ISNUMBER(H201))),"",H69-H201)</f>
        <v/>
      </c>
      <c r="I333" s="48" t="str">
        <f aca="false">IF(OR(NOT(ISNUMBER(I69)),NOT(ISNUMBER(I201))),"",I69-I201)</f>
        <v/>
      </c>
      <c r="J333" s="48" t="str">
        <f aca="false">IF(OR(NOT(ISNUMBER(J69)),NOT(ISNUMBER(J201))),"",J69-J201)</f>
        <v/>
      </c>
      <c r="K333" s="48" t="str">
        <f aca="false">IF(OR(NOT(ISNUMBER(K69)),NOT(ISNUMBER(K201))),"",K69-K201)</f>
        <v/>
      </c>
      <c r="L333" s="48" t="str">
        <f aca="false">IF(OR(NOT(ISNUMBER(L69)),NOT(ISNUMBER(L201))),"",L69-L201)</f>
        <v/>
      </c>
      <c r="M333" s="48" t="str">
        <f aca="false">IF(OR(NOT(ISNUMBER(M69)),NOT(ISNUMBER(M201))),"",M69-M201)</f>
        <v/>
      </c>
      <c r="N333" s="48" t="str">
        <f aca="false">IF(OR(NOT(ISNUMBER(N69)),NOT(ISNUMBER(N201))),"",N69-N201)</f>
        <v/>
      </c>
      <c r="O333" s="54" t="str">
        <f aca="false">IF(OR(NOT(ISNUMBER(O69)),NOT(ISNUMBER(O201))),"",O69-O201)</f>
        <v/>
      </c>
      <c r="P333" s="11" t="str">
        <f aca="false">IF(COUNT(D333:N333)=0,"",IF(AND(MAX(D333:N333)&lt;2,MIN(D333:N333)&gt;-2),"Sin diferencia","Diferencia a explicar"))</f>
        <v/>
      </c>
    </row>
    <row r="334" customFormat="false" ht="15" hidden="true" customHeight="false" outlineLevel="1" collapsed="false">
      <c r="A334" s="11" t="s">
        <v>1924</v>
      </c>
      <c r="B334" s="15" t="s">
        <v>1862</v>
      </c>
      <c r="C334" s="11" t="s">
        <v>544</v>
      </c>
      <c r="D334" s="48" t="str">
        <f aca="false">IF(OR(NOT(ISNUMBER(D70)),NOT(ISNUMBER(D202))),"",D70-D202)</f>
        <v/>
      </c>
      <c r="E334" s="48" t="str">
        <f aca="false">IF(OR(NOT(ISNUMBER(E70)),NOT(ISNUMBER(E202))),"",E70-E202)</f>
        <v/>
      </c>
      <c r="F334" s="48" t="str">
        <f aca="false">IF(OR(NOT(ISNUMBER(F70)),NOT(ISNUMBER(F202))),"",F70-F202)</f>
        <v/>
      </c>
      <c r="G334" s="48" t="str">
        <f aca="false">IF(OR(NOT(ISNUMBER(G70)),NOT(ISNUMBER(G202))),"",G70-G202)</f>
        <v/>
      </c>
      <c r="H334" s="48" t="str">
        <f aca="false">IF(OR(NOT(ISNUMBER(H70)),NOT(ISNUMBER(H202))),"",H70-H202)</f>
        <v/>
      </c>
      <c r="I334" s="48" t="str">
        <f aca="false">IF(OR(NOT(ISNUMBER(I70)),NOT(ISNUMBER(I202))),"",I70-I202)</f>
        <v/>
      </c>
      <c r="J334" s="48" t="str">
        <f aca="false">IF(OR(NOT(ISNUMBER(J70)),NOT(ISNUMBER(J202))),"",J70-J202)</f>
        <v/>
      </c>
      <c r="K334" s="48" t="str">
        <f aca="false">IF(OR(NOT(ISNUMBER(K70)),NOT(ISNUMBER(K202))),"",K70-K202)</f>
        <v/>
      </c>
      <c r="L334" s="48" t="str">
        <f aca="false">IF(OR(NOT(ISNUMBER(L70)),NOT(ISNUMBER(L202))),"",L70-L202)</f>
        <v/>
      </c>
      <c r="M334" s="48" t="str">
        <f aca="false">IF(OR(NOT(ISNUMBER(M70)),NOT(ISNUMBER(M202))),"",M70-M202)</f>
        <v/>
      </c>
      <c r="N334" s="48" t="str">
        <f aca="false">IF(OR(NOT(ISNUMBER(N70)),NOT(ISNUMBER(N202))),"",N70-N202)</f>
        <v/>
      </c>
      <c r="O334" s="54" t="str">
        <f aca="false">IF(OR(NOT(ISNUMBER(O70)),NOT(ISNUMBER(O202))),"",O70-O202)</f>
        <v/>
      </c>
      <c r="P334" s="11" t="str">
        <f aca="false">IF(COUNT(D334:N334)=0,"",IF(AND(MAX(D334:N334)&lt;2,MIN(D334:N334)&gt;-2),"Sin diferencia","Diferencia a explicar"))</f>
        <v/>
      </c>
    </row>
    <row r="335" customFormat="false" ht="15" hidden="true" customHeight="false" outlineLevel="1" collapsed="false">
      <c r="A335" s="11" t="s">
        <v>1925</v>
      </c>
      <c r="B335" s="15" t="s">
        <v>1864</v>
      </c>
      <c r="C335" s="11" t="s">
        <v>367</v>
      </c>
      <c r="E335" s="49" t="str">
        <f aca="false">IF(OR(NOT(ISNUMBER(E71)),NOT(ISNUMBER(E203))),"",E71-E203)</f>
        <v/>
      </c>
      <c r="F335" s="49" t="str">
        <f aca="false">IF(OR(NOT(ISNUMBER(F71)),NOT(ISNUMBER(F203))),"",F71-F203)</f>
        <v/>
      </c>
      <c r="G335" s="49" t="str">
        <f aca="false">IF(OR(NOT(ISNUMBER(G71)),NOT(ISNUMBER(G203))),"",G71-G203)</f>
        <v/>
      </c>
      <c r="H335" s="49" t="str">
        <f aca="false">IF(OR(NOT(ISNUMBER(H71)),NOT(ISNUMBER(H203))),"",H71-H203)</f>
        <v/>
      </c>
      <c r="I335" s="49" t="str">
        <f aca="false">IF(OR(NOT(ISNUMBER(I71)),NOT(ISNUMBER(I203))),"",I71-I203)</f>
        <v/>
      </c>
      <c r="J335" s="49" t="str">
        <f aca="false">IF(OR(NOT(ISNUMBER(J71)),NOT(ISNUMBER(J203))),"",J71-J203)</f>
        <v/>
      </c>
      <c r="K335" s="49" t="str">
        <f aca="false">IF(OR(NOT(ISNUMBER(K71)),NOT(ISNUMBER(K203))),"",K71-K203)</f>
        <v/>
      </c>
      <c r="L335" s="49" t="str">
        <f aca="false">IF(OR(NOT(ISNUMBER(L71)),NOT(ISNUMBER(L203))),"",L71-L203)</f>
        <v/>
      </c>
      <c r="M335" s="49" t="str">
        <f aca="false">IF(OR(NOT(ISNUMBER(M71)),NOT(ISNUMBER(M203))),"",M71-M203)</f>
        <v/>
      </c>
      <c r="N335" s="49" t="str">
        <f aca="false">IF(OR(NOT(ISNUMBER(N71)),NOT(ISNUMBER(N203))),"",N71-N203)</f>
        <v/>
      </c>
      <c r="P335" s="11" t="str">
        <f aca="false">IF(COUNT(D335:N335)=0,"",IF(AND(MAX(D335:N335)&lt;0.0005,MIN(D335:N335)&gt;-0.0005),"Sin diferencia","Diferencia a explicar"))</f>
        <v/>
      </c>
    </row>
    <row r="336" customFormat="false" ht="15" hidden="true" customHeight="false" outlineLevel="1" collapsed="false">
      <c r="A336" s="11" t="s">
        <v>1926</v>
      </c>
      <c r="B336" s="15" t="s">
        <v>1866</v>
      </c>
      <c r="C336" s="11" t="s">
        <v>367</v>
      </c>
      <c r="E336" s="49" t="str">
        <f aca="false">IF(OR(NOT(ISNUMBER(E72)),NOT(ISNUMBER(E204))),"",E72-E204)</f>
        <v/>
      </c>
      <c r="F336" s="49" t="str">
        <f aca="false">IF(OR(NOT(ISNUMBER(F72)),NOT(ISNUMBER(F204))),"",F72-F204)</f>
        <v/>
      </c>
      <c r="G336" s="49" t="str">
        <f aca="false">IF(OR(NOT(ISNUMBER(G72)),NOT(ISNUMBER(G204))),"",G72-G204)</f>
        <v/>
      </c>
      <c r="H336" s="49" t="str">
        <f aca="false">IF(OR(NOT(ISNUMBER(H72)),NOT(ISNUMBER(H204))),"",H72-H204)</f>
        <v/>
      </c>
      <c r="I336" s="49" t="str">
        <f aca="false">IF(OR(NOT(ISNUMBER(I72)),NOT(ISNUMBER(I204))),"",I72-I204)</f>
        <v/>
      </c>
      <c r="J336" s="49" t="str">
        <f aca="false">IF(OR(NOT(ISNUMBER(J72)),NOT(ISNUMBER(J204))),"",J72-J204)</f>
        <v/>
      </c>
      <c r="K336" s="49" t="str">
        <f aca="false">IF(OR(NOT(ISNUMBER(K72)),NOT(ISNUMBER(K204))),"",K72-K204)</f>
        <v/>
      </c>
      <c r="L336" s="49" t="str">
        <f aca="false">IF(OR(NOT(ISNUMBER(L72)),NOT(ISNUMBER(L204))),"",L72-L204)</f>
        <v/>
      </c>
      <c r="M336" s="49" t="str">
        <f aca="false">IF(OR(NOT(ISNUMBER(M72)),NOT(ISNUMBER(M204))),"",M72-M204)</f>
        <v/>
      </c>
      <c r="N336" s="49" t="str">
        <f aca="false">IF(OR(NOT(ISNUMBER(N72)),NOT(ISNUMBER(N204))),"",N72-N204)</f>
        <v/>
      </c>
      <c r="O336" s="99" t="str">
        <f aca="false">IF(OR(NOT(ISNUMBER(O72)),NOT(ISNUMBER(O204))),"",O72-O204)</f>
        <v/>
      </c>
      <c r="P336" s="11" t="str">
        <f aca="false">IF(COUNT(D336:N336)=0,"",IF(AND(MAX(D336:N336)&lt;0.0005,MIN(D336:N336)&gt;-0.0005),"Sin diferencia","Diferencia a explicar"))</f>
        <v/>
      </c>
    </row>
    <row r="337" customFormat="false" ht="15" hidden="true" customHeight="false" outlineLevel="1" collapsed="false">
      <c r="A337" s="11" t="s">
        <v>1927</v>
      </c>
      <c r="B337" s="53" t="str">
        <f aca="false">IF(INDEX(Prod_Nombre,14)="","Producto 14",INDEX(Prod_Nombre,14))&amp;" — capacidad instalada"</f>
        <v>Producto 14 — capacidad instalada</v>
      </c>
      <c r="C337" s="11" t="s">
        <v>544</v>
      </c>
      <c r="E337" s="48" t="str">
        <f aca="false">IF(OR(NOT(ISNUMBER(E73)),NOT(ISNUMBER(E205))),"",E73-E205)</f>
        <v/>
      </c>
      <c r="F337" s="48" t="str">
        <f aca="false">IF(OR(NOT(ISNUMBER(F73)),NOT(ISNUMBER(F205))),"",F73-F205)</f>
        <v/>
      </c>
      <c r="G337" s="48" t="str">
        <f aca="false">IF(OR(NOT(ISNUMBER(G73)),NOT(ISNUMBER(G205))),"",G73-G205)</f>
        <v/>
      </c>
      <c r="H337" s="48" t="str">
        <f aca="false">IF(OR(NOT(ISNUMBER(H73)),NOT(ISNUMBER(H205))),"",H73-H205)</f>
        <v/>
      </c>
      <c r="I337" s="48" t="str">
        <f aca="false">IF(OR(NOT(ISNUMBER(I73)),NOT(ISNUMBER(I205))),"",I73-I205)</f>
        <v/>
      </c>
      <c r="J337" s="48" t="str">
        <f aca="false">IF(OR(NOT(ISNUMBER(J73)),NOT(ISNUMBER(J205))),"",J73-J205)</f>
        <v/>
      </c>
      <c r="K337" s="48" t="str">
        <f aca="false">IF(OR(NOT(ISNUMBER(K73)),NOT(ISNUMBER(K205))),"",K73-K205)</f>
        <v/>
      </c>
      <c r="L337" s="48" t="str">
        <f aca="false">IF(OR(NOT(ISNUMBER(L73)),NOT(ISNUMBER(L205))),"",L73-L205)</f>
        <v/>
      </c>
      <c r="M337" s="48" t="str">
        <f aca="false">IF(OR(NOT(ISNUMBER(M73)),NOT(ISNUMBER(M205))),"",M73-M205)</f>
        <v/>
      </c>
      <c r="N337" s="48" t="str">
        <f aca="false">IF(OR(NOT(ISNUMBER(N73)),NOT(ISNUMBER(N205))),"",N73-N205)</f>
        <v/>
      </c>
      <c r="P337" s="11" t="str">
        <f aca="false">IF(COUNT(D337:N337)=0,"",IF(AND(MAX(D337:N337)&lt;2,MIN(D337:N337)&gt;-2),"Sin diferencia","Diferencia a explicar"))</f>
        <v/>
      </c>
    </row>
    <row r="338" customFormat="false" ht="15" hidden="true" customHeight="false" outlineLevel="1" collapsed="false">
      <c r="A338" s="11" t="s">
        <v>1928</v>
      </c>
      <c r="B338" s="15" t="s">
        <v>1860</v>
      </c>
      <c r="C338" s="11" t="s">
        <v>544</v>
      </c>
      <c r="D338" s="48" t="str">
        <f aca="false">IF(OR(NOT(ISNUMBER(D74)),NOT(ISNUMBER(D206))),"",D74-D206)</f>
        <v/>
      </c>
      <c r="E338" s="48" t="str">
        <f aca="false">IF(OR(NOT(ISNUMBER(E74)),NOT(ISNUMBER(E206))),"",E74-E206)</f>
        <v/>
      </c>
      <c r="F338" s="48" t="str">
        <f aca="false">IF(OR(NOT(ISNUMBER(F74)),NOT(ISNUMBER(F206))),"",F74-F206)</f>
        <v/>
      </c>
      <c r="G338" s="48" t="str">
        <f aca="false">IF(OR(NOT(ISNUMBER(G74)),NOT(ISNUMBER(G206))),"",G74-G206)</f>
        <v/>
      </c>
      <c r="H338" s="48" t="str">
        <f aca="false">IF(OR(NOT(ISNUMBER(H74)),NOT(ISNUMBER(H206))),"",H74-H206)</f>
        <v/>
      </c>
      <c r="I338" s="48" t="str">
        <f aca="false">IF(OR(NOT(ISNUMBER(I74)),NOT(ISNUMBER(I206))),"",I74-I206)</f>
        <v/>
      </c>
      <c r="J338" s="48" t="str">
        <f aca="false">IF(OR(NOT(ISNUMBER(J74)),NOT(ISNUMBER(J206))),"",J74-J206)</f>
        <v/>
      </c>
      <c r="K338" s="48" t="str">
        <f aca="false">IF(OR(NOT(ISNUMBER(K74)),NOT(ISNUMBER(K206))),"",K74-K206)</f>
        <v/>
      </c>
      <c r="L338" s="48" t="str">
        <f aca="false">IF(OR(NOT(ISNUMBER(L74)),NOT(ISNUMBER(L206))),"",L74-L206)</f>
        <v/>
      </c>
      <c r="M338" s="48" t="str">
        <f aca="false">IF(OR(NOT(ISNUMBER(M74)),NOT(ISNUMBER(M206))),"",M74-M206)</f>
        <v/>
      </c>
      <c r="N338" s="48" t="str">
        <f aca="false">IF(OR(NOT(ISNUMBER(N74)),NOT(ISNUMBER(N206))),"",N74-N206)</f>
        <v/>
      </c>
      <c r="O338" s="54" t="str">
        <f aca="false">IF(OR(NOT(ISNUMBER(O74)),NOT(ISNUMBER(O206))),"",O74-O206)</f>
        <v/>
      </c>
      <c r="P338" s="11" t="str">
        <f aca="false">IF(COUNT(D338:N338)=0,"",IF(AND(MAX(D338:N338)&lt;2,MIN(D338:N338)&gt;-2),"Sin diferencia","Diferencia a explicar"))</f>
        <v/>
      </c>
    </row>
    <row r="339" customFormat="false" ht="15" hidden="true" customHeight="false" outlineLevel="1" collapsed="false">
      <c r="A339" s="11" t="s">
        <v>1929</v>
      </c>
      <c r="B339" s="15" t="s">
        <v>1862</v>
      </c>
      <c r="C339" s="11" t="s">
        <v>544</v>
      </c>
      <c r="D339" s="48" t="str">
        <f aca="false">IF(OR(NOT(ISNUMBER(D75)),NOT(ISNUMBER(D207))),"",D75-D207)</f>
        <v/>
      </c>
      <c r="E339" s="48" t="str">
        <f aca="false">IF(OR(NOT(ISNUMBER(E75)),NOT(ISNUMBER(E207))),"",E75-E207)</f>
        <v/>
      </c>
      <c r="F339" s="48" t="str">
        <f aca="false">IF(OR(NOT(ISNUMBER(F75)),NOT(ISNUMBER(F207))),"",F75-F207)</f>
        <v/>
      </c>
      <c r="G339" s="48" t="str">
        <f aca="false">IF(OR(NOT(ISNUMBER(G75)),NOT(ISNUMBER(G207))),"",G75-G207)</f>
        <v/>
      </c>
      <c r="H339" s="48" t="str">
        <f aca="false">IF(OR(NOT(ISNUMBER(H75)),NOT(ISNUMBER(H207))),"",H75-H207)</f>
        <v/>
      </c>
      <c r="I339" s="48" t="str">
        <f aca="false">IF(OR(NOT(ISNUMBER(I75)),NOT(ISNUMBER(I207))),"",I75-I207)</f>
        <v/>
      </c>
      <c r="J339" s="48" t="str">
        <f aca="false">IF(OR(NOT(ISNUMBER(J75)),NOT(ISNUMBER(J207))),"",J75-J207)</f>
        <v/>
      </c>
      <c r="K339" s="48" t="str">
        <f aca="false">IF(OR(NOT(ISNUMBER(K75)),NOT(ISNUMBER(K207))),"",K75-K207)</f>
        <v/>
      </c>
      <c r="L339" s="48" t="str">
        <f aca="false">IF(OR(NOT(ISNUMBER(L75)),NOT(ISNUMBER(L207))),"",L75-L207)</f>
        <v/>
      </c>
      <c r="M339" s="48" t="str">
        <f aca="false">IF(OR(NOT(ISNUMBER(M75)),NOT(ISNUMBER(M207))),"",M75-M207)</f>
        <v/>
      </c>
      <c r="N339" s="48" t="str">
        <f aca="false">IF(OR(NOT(ISNUMBER(N75)),NOT(ISNUMBER(N207))),"",N75-N207)</f>
        <v/>
      </c>
      <c r="O339" s="54" t="str">
        <f aca="false">IF(OR(NOT(ISNUMBER(O75)),NOT(ISNUMBER(O207))),"",O75-O207)</f>
        <v/>
      </c>
      <c r="P339" s="11" t="str">
        <f aca="false">IF(COUNT(D339:N339)=0,"",IF(AND(MAX(D339:N339)&lt;2,MIN(D339:N339)&gt;-2),"Sin diferencia","Diferencia a explicar"))</f>
        <v/>
      </c>
    </row>
    <row r="340" customFormat="false" ht="15" hidden="true" customHeight="false" outlineLevel="1" collapsed="false">
      <c r="A340" s="11" t="s">
        <v>1930</v>
      </c>
      <c r="B340" s="15" t="s">
        <v>1864</v>
      </c>
      <c r="C340" s="11" t="s">
        <v>367</v>
      </c>
      <c r="E340" s="49" t="str">
        <f aca="false">IF(OR(NOT(ISNUMBER(E76)),NOT(ISNUMBER(E208))),"",E76-E208)</f>
        <v/>
      </c>
      <c r="F340" s="49" t="str">
        <f aca="false">IF(OR(NOT(ISNUMBER(F76)),NOT(ISNUMBER(F208))),"",F76-F208)</f>
        <v/>
      </c>
      <c r="G340" s="49" t="str">
        <f aca="false">IF(OR(NOT(ISNUMBER(G76)),NOT(ISNUMBER(G208))),"",G76-G208)</f>
        <v/>
      </c>
      <c r="H340" s="49" t="str">
        <f aca="false">IF(OR(NOT(ISNUMBER(H76)),NOT(ISNUMBER(H208))),"",H76-H208)</f>
        <v/>
      </c>
      <c r="I340" s="49" t="str">
        <f aca="false">IF(OR(NOT(ISNUMBER(I76)),NOT(ISNUMBER(I208))),"",I76-I208)</f>
        <v/>
      </c>
      <c r="J340" s="49" t="str">
        <f aca="false">IF(OR(NOT(ISNUMBER(J76)),NOT(ISNUMBER(J208))),"",J76-J208)</f>
        <v/>
      </c>
      <c r="K340" s="49" t="str">
        <f aca="false">IF(OR(NOT(ISNUMBER(K76)),NOT(ISNUMBER(K208))),"",K76-K208)</f>
        <v/>
      </c>
      <c r="L340" s="49" t="str">
        <f aca="false">IF(OR(NOT(ISNUMBER(L76)),NOT(ISNUMBER(L208))),"",L76-L208)</f>
        <v/>
      </c>
      <c r="M340" s="49" t="str">
        <f aca="false">IF(OR(NOT(ISNUMBER(M76)),NOT(ISNUMBER(M208))),"",M76-M208)</f>
        <v/>
      </c>
      <c r="N340" s="49" t="str">
        <f aca="false">IF(OR(NOT(ISNUMBER(N76)),NOT(ISNUMBER(N208))),"",N76-N208)</f>
        <v/>
      </c>
      <c r="P340" s="11" t="str">
        <f aca="false">IF(COUNT(D340:N340)=0,"",IF(AND(MAX(D340:N340)&lt;0.0005,MIN(D340:N340)&gt;-0.0005),"Sin diferencia","Diferencia a explicar"))</f>
        <v/>
      </c>
    </row>
    <row r="341" customFormat="false" ht="15" hidden="true" customHeight="false" outlineLevel="1" collapsed="false">
      <c r="A341" s="11" t="s">
        <v>1931</v>
      </c>
      <c r="B341" s="15" t="s">
        <v>1866</v>
      </c>
      <c r="C341" s="11" t="s">
        <v>367</v>
      </c>
      <c r="E341" s="49" t="str">
        <f aca="false">IF(OR(NOT(ISNUMBER(E77)),NOT(ISNUMBER(E209))),"",E77-E209)</f>
        <v/>
      </c>
      <c r="F341" s="49" t="str">
        <f aca="false">IF(OR(NOT(ISNUMBER(F77)),NOT(ISNUMBER(F209))),"",F77-F209)</f>
        <v/>
      </c>
      <c r="G341" s="49" t="str">
        <f aca="false">IF(OR(NOT(ISNUMBER(G77)),NOT(ISNUMBER(G209))),"",G77-G209)</f>
        <v/>
      </c>
      <c r="H341" s="49" t="str">
        <f aca="false">IF(OR(NOT(ISNUMBER(H77)),NOT(ISNUMBER(H209))),"",H77-H209)</f>
        <v/>
      </c>
      <c r="I341" s="49" t="str">
        <f aca="false">IF(OR(NOT(ISNUMBER(I77)),NOT(ISNUMBER(I209))),"",I77-I209)</f>
        <v/>
      </c>
      <c r="J341" s="49" t="str">
        <f aca="false">IF(OR(NOT(ISNUMBER(J77)),NOT(ISNUMBER(J209))),"",J77-J209)</f>
        <v/>
      </c>
      <c r="K341" s="49" t="str">
        <f aca="false">IF(OR(NOT(ISNUMBER(K77)),NOT(ISNUMBER(K209))),"",K77-K209)</f>
        <v/>
      </c>
      <c r="L341" s="49" t="str">
        <f aca="false">IF(OR(NOT(ISNUMBER(L77)),NOT(ISNUMBER(L209))),"",L77-L209)</f>
        <v/>
      </c>
      <c r="M341" s="49" t="str">
        <f aca="false">IF(OR(NOT(ISNUMBER(M77)),NOT(ISNUMBER(M209))),"",M77-M209)</f>
        <v/>
      </c>
      <c r="N341" s="49" t="str">
        <f aca="false">IF(OR(NOT(ISNUMBER(N77)),NOT(ISNUMBER(N209))),"",N77-N209)</f>
        <v/>
      </c>
      <c r="O341" s="99" t="str">
        <f aca="false">IF(OR(NOT(ISNUMBER(O77)),NOT(ISNUMBER(O209))),"",O77-O209)</f>
        <v/>
      </c>
      <c r="P341" s="11" t="str">
        <f aca="false">IF(COUNT(D341:N341)=0,"",IF(AND(MAX(D341:N341)&lt;0.0005,MIN(D341:N341)&gt;-0.0005),"Sin diferencia","Diferencia a explicar"))</f>
        <v/>
      </c>
    </row>
    <row r="342" customFormat="false" ht="15" hidden="true" customHeight="false" outlineLevel="1" collapsed="false">
      <c r="A342" s="11" t="s">
        <v>1932</v>
      </c>
      <c r="B342" s="53" t="str">
        <f aca="false">IF(INDEX(Prod_Nombre,15)="","Producto 15",INDEX(Prod_Nombre,15))&amp;" — capacidad instalada"</f>
        <v>Producto 15 — capacidad instalada</v>
      </c>
      <c r="C342" s="11" t="s">
        <v>544</v>
      </c>
      <c r="E342" s="48" t="str">
        <f aca="false">IF(OR(NOT(ISNUMBER(E78)),NOT(ISNUMBER(E210))),"",E78-E210)</f>
        <v/>
      </c>
      <c r="F342" s="48" t="str">
        <f aca="false">IF(OR(NOT(ISNUMBER(F78)),NOT(ISNUMBER(F210))),"",F78-F210)</f>
        <v/>
      </c>
      <c r="G342" s="48" t="str">
        <f aca="false">IF(OR(NOT(ISNUMBER(G78)),NOT(ISNUMBER(G210))),"",G78-G210)</f>
        <v/>
      </c>
      <c r="H342" s="48" t="str">
        <f aca="false">IF(OR(NOT(ISNUMBER(H78)),NOT(ISNUMBER(H210))),"",H78-H210)</f>
        <v/>
      </c>
      <c r="I342" s="48" t="str">
        <f aca="false">IF(OR(NOT(ISNUMBER(I78)),NOT(ISNUMBER(I210))),"",I78-I210)</f>
        <v/>
      </c>
      <c r="J342" s="48" t="str">
        <f aca="false">IF(OR(NOT(ISNUMBER(J78)),NOT(ISNUMBER(J210))),"",J78-J210)</f>
        <v/>
      </c>
      <c r="K342" s="48" t="str">
        <f aca="false">IF(OR(NOT(ISNUMBER(K78)),NOT(ISNUMBER(K210))),"",K78-K210)</f>
        <v/>
      </c>
      <c r="L342" s="48" t="str">
        <f aca="false">IF(OR(NOT(ISNUMBER(L78)),NOT(ISNUMBER(L210))),"",L78-L210)</f>
        <v/>
      </c>
      <c r="M342" s="48" t="str">
        <f aca="false">IF(OR(NOT(ISNUMBER(M78)),NOT(ISNUMBER(M210))),"",M78-M210)</f>
        <v/>
      </c>
      <c r="N342" s="48" t="str">
        <f aca="false">IF(OR(NOT(ISNUMBER(N78)),NOT(ISNUMBER(N210))),"",N78-N210)</f>
        <v/>
      </c>
      <c r="P342" s="11" t="str">
        <f aca="false">IF(COUNT(D342:N342)=0,"",IF(AND(MAX(D342:N342)&lt;2,MIN(D342:N342)&gt;-2),"Sin diferencia","Diferencia a explicar"))</f>
        <v/>
      </c>
    </row>
    <row r="343" customFormat="false" ht="15" hidden="true" customHeight="false" outlineLevel="1" collapsed="false">
      <c r="A343" s="11" t="s">
        <v>1933</v>
      </c>
      <c r="B343" s="15" t="s">
        <v>1860</v>
      </c>
      <c r="C343" s="11" t="s">
        <v>544</v>
      </c>
      <c r="D343" s="48" t="str">
        <f aca="false">IF(OR(NOT(ISNUMBER(D79)),NOT(ISNUMBER(D211))),"",D79-D211)</f>
        <v/>
      </c>
      <c r="E343" s="48" t="str">
        <f aca="false">IF(OR(NOT(ISNUMBER(E79)),NOT(ISNUMBER(E211))),"",E79-E211)</f>
        <v/>
      </c>
      <c r="F343" s="48" t="str">
        <f aca="false">IF(OR(NOT(ISNUMBER(F79)),NOT(ISNUMBER(F211))),"",F79-F211)</f>
        <v/>
      </c>
      <c r="G343" s="48" t="str">
        <f aca="false">IF(OR(NOT(ISNUMBER(G79)),NOT(ISNUMBER(G211))),"",G79-G211)</f>
        <v/>
      </c>
      <c r="H343" s="48" t="str">
        <f aca="false">IF(OR(NOT(ISNUMBER(H79)),NOT(ISNUMBER(H211))),"",H79-H211)</f>
        <v/>
      </c>
      <c r="I343" s="48" t="str">
        <f aca="false">IF(OR(NOT(ISNUMBER(I79)),NOT(ISNUMBER(I211))),"",I79-I211)</f>
        <v/>
      </c>
      <c r="J343" s="48" t="str">
        <f aca="false">IF(OR(NOT(ISNUMBER(J79)),NOT(ISNUMBER(J211))),"",J79-J211)</f>
        <v/>
      </c>
      <c r="K343" s="48" t="str">
        <f aca="false">IF(OR(NOT(ISNUMBER(K79)),NOT(ISNUMBER(K211))),"",K79-K211)</f>
        <v/>
      </c>
      <c r="L343" s="48" t="str">
        <f aca="false">IF(OR(NOT(ISNUMBER(L79)),NOT(ISNUMBER(L211))),"",L79-L211)</f>
        <v/>
      </c>
      <c r="M343" s="48" t="str">
        <f aca="false">IF(OR(NOT(ISNUMBER(M79)),NOT(ISNUMBER(M211))),"",M79-M211)</f>
        <v/>
      </c>
      <c r="N343" s="48" t="str">
        <f aca="false">IF(OR(NOT(ISNUMBER(N79)),NOT(ISNUMBER(N211))),"",N79-N211)</f>
        <v/>
      </c>
      <c r="O343" s="54" t="str">
        <f aca="false">IF(OR(NOT(ISNUMBER(O79)),NOT(ISNUMBER(O211))),"",O79-O211)</f>
        <v/>
      </c>
      <c r="P343" s="11" t="str">
        <f aca="false">IF(COUNT(D343:N343)=0,"",IF(AND(MAX(D343:N343)&lt;2,MIN(D343:N343)&gt;-2),"Sin diferencia","Diferencia a explicar"))</f>
        <v/>
      </c>
    </row>
    <row r="344" customFormat="false" ht="15" hidden="true" customHeight="false" outlineLevel="1" collapsed="false">
      <c r="A344" s="11" t="s">
        <v>1934</v>
      </c>
      <c r="B344" s="15" t="s">
        <v>1862</v>
      </c>
      <c r="C344" s="11" t="s">
        <v>544</v>
      </c>
      <c r="D344" s="48" t="str">
        <f aca="false">IF(OR(NOT(ISNUMBER(D80)),NOT(ISNUMBER(D212))),"",D80-D212)</f>
        <v/>
      </c>
      <c r="E344" s="48" t="str">
        <f aca="false">IF(OR(NOT(ISNUMBER(E80)),NOT(ISNUMBER(E212))),"",E80-E212)</f>
        <v/>
      </c>
      <c r="F344" s="48" t="str">
        <f aca="false">IF(OR(NOT(ISNUMBER(F80)),NOT(ISNUMBER(F212))),"",F80-F212)</f>
        <v/>
      </c>
      <c r="G344" s="48" t="str">
        <f aca="false">IF(OR(NOT(ISNUMBER(G80)),NOT(ISNUMBER(G212))),"",G80-G212)</f>
        <v/>
      </c>
      <c r="H344" s="48" t="str">
        <f aca="false">IF(OR(NOT(ISNUMBER(H80)),NOT(ISNUMBER(H212))),"",H80-H212)</f>
        <v/>
      </c>
      <c r="I344" s="48" t="str">
        <f aca="false">IF(OR(NOT(ISNUMBER(I80)),NOT(ISNUMBER(I212))),"",I80-I212)</f>
        <v/>
      </c>
      <c r="J344" s="48" t="str">
        <f aca="false">IF(OR(NOT(ISNUMBER(J80)),NOT(ISNUMBER(J212))),"",J80-J212)</f>
        <v/>
      </c>
      <c r="K344" s="48" t="str">
        <f aca="false">IF(OR(NOT(ISNUMBER(K80)),NOT(ISNUMBER(K212))),"",K80-K212)</f>
        <v/>
      </c>
      <c r="L344" s="48" t="str">
        <f aca="false">IF(OR(NOT(ISNUMBER(L80)),NOT(ISNUMBER(L212))),"",L80-L212)</f>
        <v/>
      </c>
      <c r="M344" s="48" t="str">
        <f aca="false">IF(OR(NOT(ISNUMBER(M80)),NOT(ISNUMBER(M212))),"",M80-M212)</f>
        <v/>
      </c>
      <c r="N344" s="48" t="str">
        <f aca="false">IF(OR(NOT(ISNUMBER(N80)),NOT(ISNUMBER(N212))),"",N80-N212)</f>
        <v/>
      </c>
      <c r="O344" s="54" t="str">
        <f aca="false">IF(OR(NOT(ISNUMBER(O80)),NOT(ISNUMBER(O212))),"",O80-O212)</f>
        <v/>
      </c>
      <c r="P344" s="11" t="str">
        <f aca="false">IF(COUNT(D344:N344)=0,"",IF(AND(MAX(D344:N344)&lt;2,MIN(D344:N344)&gt;-2),"Sin diferencia","Diferencia a explicar"))</f>
        <v/>
      </c>
    </row>
    <row r="345" customFormat="false" ht="15" hidden="true" customHeight="false" outlineLevel="1" collapsed="false">
      <c r="A345" s="11" t="s">
        <v>1935</v>
      </c>
      <c r="B345" s="15" t="s">
        <v>1864</v>
      </c>
      <c r="C345" s="11" t="s">
        <v>367</v>
      </c>
      <c r="E345" s="49" t="str">
        <f aca="false">IF(OR(NOT(ISNUMBER(E81)),NOT(ISNUMBER(E213))),"",E81-E213)</f>
        <v/>
      </c>
      <c r="F345" s="49" t="str">
        <f aca="false">IF(OR(NOT(ISNUMBER(F81)),NOT(ISNUMBER(F213))),"",F81-F213)</f>
        <v/>
      </c>
      <c r="G345" s="49" t="str">
        <f aca="false">IF(OR(NOT(ISNUMBER(G81)),NOT(ISNUMBER(G213))),"",G81-G213)</f>
        <v/>
      </c>
      <c r="H345" s="49" t="str">
        <f aca="false">IF(OR(NOT(ISNUMBER(H81)),NOT(ISNUMBER(H213))),"",H81-H213)</f>
        <v/>
      </c>
      <c r="I345" s="49" t="str">
        <f aca="false">IF(OR(NOT(ISNUMBER(I81)),NOT(ISNUMBER(I213))),"",I81-I213)</f>
        <v/>
      </c>
      <c r="J345" s="49" t="str">
        <f aca="false">IF(OR(NOT(ISNUMBER(J81)),NOT(ISNUMBER(J213))),"",J81-J213)</f>
        <v/>
      </c>
      <c r="K345" s="49" t="str">
        <f aca="false">IF(OR(NOT(ISNUMBER(K81)),NOT(ISNUMBER(K213))),"",K81-K213)</f>
        <v/>
      </c>
      <c r="L345" s="49" t="str">
        <f aca="false">IF(OR(NOT(ISNUMBER(L81)),NOT(ISNUMBER(L213))),"",L81-L213)</f>
        <v/>
      </c>
      <c r="M345" s="49" t="str">
        <f aca="false">IF(OR(NOT(ISNUMBER(M81)),NOT(ISNUMBER(M213))),"",M81-M213)</f>
        <v/>
      </c>
      <c r="N345" s="49" t="str">
        <f aca="false">IF(OR(NOT(ISNUMBER(N81)),NOT(ISNUMBER(N213))),"",N81-N213)</f>
        <v/>
      </c>
      <c r="P345" s="11" t="str">
        <f aca="false">IF(COUNT(D345:N345)=0,"",IF(AND(MAX(D345:N345)&lt;0.0005,MIN(D345:N345)&gt;-0.0005),"Sin diferencia","Diferencia a explicar"))</f>
        <v/>
      </c>
    </row>
    <row r="346" customFormat="false" ht="15" hidden="true" customHeight="false" outlineLevel="1" collapsed="false">
      <c r="A346" s="11" t="s">
        <v>1936</v>
      </c>
      <c r="B346" s="15" t="s">
        <v>1866</v>
      </c>
      <c r="C346" s="11" t="s">
        <v>367</v>
      </c>
      <c r="E346" s="49" t="str">
        <f aca="false">IF(OR(NOT(ISNUMBER(E82)),NOT(ISNUMBER(E214))),"",E82-E214)</f>
        <v/>
      </c>
      <c r="F346" s="49" t="str">
        <f aca="false">IF(OR(NOT(ISNUMBER(F82)),NOT(ISNUMBER(F214))),"",F82-F214)</f>
        <v/>
      </c>
      <c r="G346" s="49" t="str">
        <f aca="false">IF(OR(NOT(ISNUMBER(G82)),NOT(ISNUMBER(G214))),"",G82-G214)</f>
        <v/>
      </c>
      <c r="H346" s="49" t="str">
        <f aca="false">IF(OR(NOT(ISNUMBER(H82)),NOT(ISNUMBER(H214))),"",H82-H214)</f>
        <v/>
      </c>
      <c r="I346" s="49" t="str">
        <f aca="false">IF(OR(NOT(ISNUMBER(I82)),NOT(ISNUMBER(I214))),"",I82-I214)</f>
        <v/>
      </c>
      <c r="J346" s="49" t="str">
        <f aca="false">IF(OR(NOT(ISNUMBER(J82)),NOT(ISNUMBER(J214))),"",J82-J214)</f>
        <v/>
      </c>
      <c r="K346" s="49" t="str">
        <f aca="false">IF(OR(NOT(ISNUMBER(K82)),NOT(ISNUMBER(K214))),"",K82-K214)</f>
        <v/>
      </c>
      <c r="L346" s="49" t="str">
        <f aca="false">IF(OR(NOT(ISNUMBER(L82)),NOT(ISNUMBER(L214))),"",L82-L214)</f>
        <v/>
      </c>
      <c r="M346" s="49" t="str">
        <f aca="false">IF(OR(NOT(ISNUMBER(M82)),NOT(ISNUMBER(M214))),"",M82-M214)</f>
        <v/>
      </c>
      <c r="N346" s="49" t="str">
        <f aca="false">IF(OR(NOT(ISNUMBER(N82)),NOT(ISNUMBER(N214))),"",N82-N214)</f>
        <v/>
      </c>
      <c r="O346" s="99" t="str">
        <f aca="false">IF(OR(NOT(ISNUMBER(O82)),NOT(ISNUMBER(O214))),"",O82-O214)</f>
        <v/>
      </c>
      <c r="P346" s="11" t="str">
        <f aca="false">IF(COUNT(D346:N346)=0,"",IF(AND(MAX(D346:N346)&lt;0.0005,MIN(D346:N346)&gt;-0.0005),"Sin diferencia","Diferencia a explicar"))</f>
        <v/>
      </c>
    </row>
    <row r="347" customFormat="false" ht="15" hidden="true" customHeight="false" outlineLevel="1" collapsed="false">
      <c r="A347" s="11" t="s">
        <v>1937</v>
      </c>
      <c r="B347" s="53" t="str">
        <f aca="false">IF(INDEX(Prod_Nombre,16)="","Producto 16",INDEX(Prod_Nombre,16))&amp;" — capacidad instalada"</f>
        <v>Producto 16 — capacidad instalada</v>
      </c>
      <c r="C347" s="11" t="s">
        <v>544</v>
      </c>
      <c r="E347" s="48" t="str">
        <f aca="false">IF(OR(NOT(ISNUMBER(E83)),NOT(ISNUMBER(E215))),"",E83-E215)</f>
        <v/>
      </c>
      <c r="F347" s="48" t="str">
        <f aca="false">IF(OR(NOT(ISNUMBER(F83)),NOT(ISNUMBER(F215))),"",F83-F215)</f>
        <v/>
      </c>
      <c r="G347" s="48" t="str">
        <f aca="false">IF(OR(NOT(ISNUMBER(G83)),NOT(ISNUMBER(G215))),"",G83-G215)</f>
        <v/>
      </c>
      <c r="H347" s="48" t="str">
        <f aca="false">IF(OR(NOT(ISNUMBER(H83)),NOT(ISNUMBER(H215))),"",H83-H215)</f>
        <v/>
      </c>
      <c r="I347" s="48" t="str">
        <f aca="false">IF(OR(NOT(ISNUMBER(I83)),NOT(ISNUMBER(I215))),"",I83-I215)</f>
        <v/>
      </c>
      <c r="J347" s="48" t="str">
        <f aca="false">IF(OR(NOT(ISNUMBER(J83)),NOT(ISNUMBER(J215))),"",J83-J215)</f>
        <v/>
      </c>
      <c r="K347" s="48" t="str">
        <f aca="false">IF(OR(NOT(ISNUMBER(K83)),NOT(ISNUMBER(K215))),"",K83-K215)</f>
        <v/>
      </c>
      <c r="L347" s="48" t="str">
        <f aca="false">IF(OR(NOT(ISNUMBER(L83)),NOT(ISNUMBER(L215))),"",L83-L215)</f>
        <v/>
      </c>
      <c r="M347" s="48" t="str">
        <f aca="false">IF(OR(NOT(ISNUMBER(M83)),NOT(ISNUMBER(M215))),"",M83-M215)</f>
        <v/>
      </c>
      <c r="N347" s="48" t="str">
        <f aca="false">IF(OR(NOT(ISNUMBER(N83)),NOT(ISNUMBER(N215))),"",N83-N215)</f>
        <v/>
      </c>
      <c r="P347" s="11" t="str">
        <f aca="false">IF(COUNT(D347:N347)=0,"",IF(AND(MAX(D347:N347)&lt;2,MIN(D347:N347)&gt;-2),"Sin diferencia","Diferencia a explicar"))</f>
        <v/>
      </c>
    </row>
    <row r="348" customFormat="false" ht="15" hidden="true" customHeight="false" outlineLevel="1" collapsed="false">
      <c r="A348" s="11" t="s">
        <v>1938</v>
      </c>
      <c r="B348" s="15" t="s">
        <v>1860</v>
      </c>
      <c r="C348" s="11" t="s">
        <v>544</v>
      </c>
      <c r="D348" s="48" t="str">
        <f aca="false">IF(OR(NOT(ISNUMBER(D84)),NOT(ISNUMBER(D216))),"",D84-D216)</f>
        <v/>
      </c>
      <c r="E348" s="48" t="str">
        <f aca="false">IF(OR(NOT(ISNUMBER(E84)),NOT(ISNUMBER(E216))),"",E84-E216)</f>
        <v/>
      </c>
      <c r="F348" s="48" t="str">
        <f aca="false">IF(OR(NOT(ISNUMBER(F84)),NOT(ISNUMBER(F216))),"",F84-F216)</f>
        <v/>
      </c>
      <c r="G348" s="48" t="str">
        <f aca="false">IF(OR(NOT(ISNUMBER(G84)),NOT(ISNUMBER(G216))),"",G84-G216)</f>
        <v/>
      </c>
      <c r="H348" s="48" t="str">
        <f aca="false">IF(OR(NOT(ISNUMBER(H84)),NOT(ISNUMBER(H216))),"",H84-H216)</f>
        <v/>
      </c>
      <c r="I348" s="48" t="str">
        <f aca="false">IF(OR(NOT(ISNUMBER(I84)),NOT(ISNUMBER(I216))),"",I84-I216)</f>
        <v/>
      </c>
      <c r="J348" s="48" t="str">
        <f aca="false">IF(OR(NOT(ISNUMBER(J84)),NOT(ISNUMBER(J216))),"",J84-J216)</f>
        <v/>
      </c>
      <c r="K348" s="48" t="str">
        <f aca="false">IF(OR(NOT(ISNUMBER(K84)),NOT(ISNUMBER(K216))),"",K84-K216)</f>
        <v/>
      </c>
      <c r="L348" s="48" t="str">
        <f aca="false">IF(OR(NOT(ISNUMBER(L84)),NOT(ISNUMBER(L216))),"",L84-L216)</f>
        <v/>
      </c>
      <c r="M348" s="48" t="str">
        <f aca="false">IF(OR(NOT(ISNUMBER(M84)),NOT(ISNUMBER(M216))),"",M84-M216)</f>
        <v/>
      </c>
      <c r="N348" s="48" t="str">
        <f aca="false">IF(OR(NOT(ISNUMBER(N84)),NOT(ISNUMBER(N216))),"",N84-N216)</f>
        <v/>
      </c>
      <c r="O348" s="54" t="str">
        <f aca="false">IF(OR(NOT(ISNUMBER(O84)),NOT(ISNUMBER(O216))),"",O84-O216)</f>
        <v/>
      </c>
      <c r="P348" s="11" t="str">
        <f aca="false">IF(COUNT(D348:N348)=0,"",IF(AND(MAX(D348:N348)&lt;2,MIN(D348:N348)&gt;-2),"Sin diferencia","Diferencia a explicar"))</f>
        <v/>
      </c>
    </row>
    <row r="349" customFormat="false" ht="15" hidden="true" customHeight="false" outlineLevel="1" collapsed="false">
      <c r="A349" s="11" t="s">
        <v>1939</v>
      </c>
      <c r="B349" s="15" t="s">
        <v>1862</v>
      </c>
      <c r="C349" s="11" t="s">
        <v>544</v>
      </c>
      <c r="D349" s="48" t="str">
        <f aca="false">IF(OR(NOT(ISNUMBER(D85)),NOT(ISNUMBER(D217))),"",D85-D217)</f>
        <v/>
      </c>
      <c r="E349" s="48" t="str">
        <f aca="false">IF(OR(NOT(ISNUMBER(E85)),NOT(ISNUMBER(E217))),"",E85-E217)</f>
        <v/>
      </c>
      <c r="F349" s="48" t="str">
        <f aca="false">IF(OR(NOT(ISNUMBER(F85)),NOT(ISNUMBER(F217))),"",F85-F217)</f>
        <v/>
      </c>
      <c r="G349" s="48" t="str">
        <f aca="false">IF(OR(NOT(ISNUMBER(G85)),NOT(ISNUMBER(G217))),"",G85-G217)</f>
        <v/>
      </c>
      <c r="H349" s="48" t="str">
        <f aca="false">IF(OR(NOT(ISNUMBER(H85)),NOT(ISNUMBER(H217))),"",H85-H217)</f>
        <v/>
      </c>
      <c r="I349" s="48" t="str">
        <f aca="false">IF(OR(NOT(ISNUMBER(I85)),NOT(ISNUMBER(I217))),"",I85-I217)</f>
        <v/>
      </c>
      <c r="J349" s="48" t="str">
        <f aca="false">IF(OR(NOT(ISNUMBER(J85)),NOT(ISNUMBER(J217))),"",J85-J217)</f>
        <v/>
      </c>
      <c r="K349" s="48" t="str">
        <f aca="false">IF(OR(NOT(ISNUMBER(K85)),NOT(ISNUMBER(K217))),"",K85-K217)</f>
        <v/>
      </c>
      <c r="L349" s="48" t="str">
        <f aca="false">IF(OR(NOT(ISNUMBER(L85)),NOT(ISNUMBER(L217))),"",L85-L217)</f>
        <v/>
      </c>
      <c r="M349" s="48" t="str">
        <f aca="false">IF(OR(NOT(ISNUMBER(M85)),NOT(ISNUMBER(M217))),"",M85-M217)</f>
        <v/>
      </c>
      <c r="N349" s="48" t="str">
        <f aca="false">IF(OR(NOT(ISNUMBER(N85)),NOT(ISNUMBER(N217))),"",N85-N217)</f>
        <v/>
      </c>
      <c r="O349" s="54" t="str">
        <f aca="false">IF(OR(NOT(ISNUMBER(O85)),NOT(ISNUMBER(O217))),"",O85-O217)</f>
        <v/>
      </c>
      <c r="P349" s="11" t="str">
        <f aca="false">IF(COUNT(D349:N349)=0,"",IF(AND(MAX(D349:N349)&lt;2,MIN(D349:N349)&gt;-2),"Sin diferencia","Diferencia a explicar"))</f>
        <v/>
      </c>
    </row>
    <row r="350" customFormat="false" ht="15" hidden="true" customHeight="false" outlineLevel="1" collapsed="false">
      <c r="A350" s="11" t="s">
        <v>1940</v>
      </c>
      <c r="B350" s="15" t="s">
        <v>1864</v>
      </c>
      <c r="C350" s="11" t="s">
        <v>367</v>
      </c>
      <c r="E350" s="49" t="str">
        <f aca="false">IF(OR(NOT(ISNUMBER(E86)),NOT(ISNUMBER(E218))),"",E86-E218)</f>
        <v/>
      </c>
      <c r="F350" s="49" t="str">
        <f aca="false">IF(OR(NOT(ISNUMBER(F86)),NOT(ISNUMBER(F218))),"",F86-F218)</f>
        <v/>
      </c>
      <c r="G350" s="49" t="str">
        <f aca="false">IF(OR(NOT(ISNUMBER(G86)),NOT(ISNUMBER(G218))),"",G86-G218)</f>
        <v/>
      </c>
      <c r="H350" s="49" t="str">
        <f aca="false">IF(OR(NOT(ISNUMBER(H86)),NOT(ISNUMBER(H218))),"",H86-H218)</f>
        <v/>
      </c>
      <c r="I350" s="49" t="str">
        <f aca="false">IF(OR(NOT(ISNUMBER(I86)),NOT(ISNUMBER(I218))),"",I86-I218)</f>
        <v/>
      </c>
      <c r="J350" s="49" t="str">
        <f aca="false">IF(OR(NOT(ISNUMBER(J86)),NOT(ISNUMBER(J218))),"",J86-J218)</f>
        <v/>
      </c>
      <c r="K350" s="49" t="str">
        <f aca="false">IF(OR(NOT(ISNUMBER(K86)),NOT(ISNUMBER(K218))),"",K86-K218)</f>
        <v/>
      </c>
      <c r="L350" s="49" t="str">
        <f aca="false">IF(OR(NOT(ISNUMBER(L86)),NOT(ISNUMBER(L218))),"",L86-L218)</f>
        <v/>
      </c>
      <c r="M350" s="49" t="str">
        <f aca="false">IF(OR(NOT(ISNUMBER(M86)),NOT(ISNUMBER(M218))),"",M86-M218)</f>
        <v/>
      </c>
      <c r="N350" s="49" t="str">
        <f aca="false">IF(OR(NOT(ISNUMBER(N86)),NOT(ISNUMBER(N218))),"",N86-N218)</f>
        <v/>
      </c>
      <c r="P350" s="11" t="str">
        <f aca="false">IF(COUNT(D350:N350)=0,"",IF(AND(MAX(D350:N350)&lt;0.0005,MIN(D350:N350)&gt;-0.0005),"Sin diferencia","Diferencia a explicar"))</f>
        <v/>
      </c>
    </row>
    <row r="351" customFormat="false" ht="15" hidden="true" customHeight="false" outlineLevel="1" collapsed="false">
      <c r="A351" s="11" t="s">
        <v>1941</v>
      </c>
      <c r="B351" s="15" t="s">
        <v>1866</v>
      </c>
      <c r="C351" s="11" t="s">
        <v>367</v>
      </c>
      <c r="E351" s="49" t="str">
        <f aca="false">IF(OR(NOT(ISNUMBER(E87)),NOT(ISNUMBER(E219))),"",E87-E219)</f>
        <v/>
      </c>
      <c r="F351" s="49" t="str">
        <f aca="false">IF(OR(NOT(ISNUMBER(F87)),NOT(ISNUMBER(F219))),"",F87-F219)</f>
        <v/>
      </c>
      <c r="G351" s="49" t="str">
        <f aca="false">IF(OR(NOT(ISNUMBER(G87)),NOT(ISNUMBER(G219))),"",G87-G219)</f>
        <v/>
      </c>
      <c r="H351" s="49" t="str">
        <f aca="false">IF(OR(NOT(ISNUMBER(H87)),NOT(ISNUMBER(H219))),"",H87-H219)</f>
        <v/>
      </c>
      <c r="I351" s="49" t="str">
        <f aca="false">IF(OR(NOT(ISNUMBER(I87)),NOT(ISNUMBER(I219))),"",I87-I219)</f>
        <v/>
      </c>
      <c r="J351" s="49" t="str">
        <f aca="false">IF(OR(NOT(ISNUMBER(J87)),NOT(ISNUMBER(J219))),"",J87-J219)</f>
        <v/>
      </c>
      <c r="K351" s="49" t="str">
        <f aca="false">IF(OR(NOT(ISNUMBER(K87)),NOT(ISNUMBER(K219))),"",K87-K219)</f>
        <v/>
      </c>
      <c r="L351" s="49" t="str">
        <f aca="false">IF(OR(NOT(ISNUMBER(L87)),NOT(ISNUMBER(L219))),"",L87-L219)</f>
        <v/>
      </c>
      <c r="M351" s="49" t="str">
        <f aca="false">IF(OR(NOT(ISNUMBER(M87)),NOT(ISNUMBER(M219))),"",M87-M219)</f>
        <v/>
      </c>
      <c r="N351" s="49" t="str">
        <f aca="false">IF(OR(NOT(ISNUMBER(N87)),NOT(ISNUMBER(N219))),"",N87-N219)</f>
        <v/>
      </c>
      <c r="O351" s="99" t="str">
        <f aca="false">IF(OR(NOT(ISNUMBER(O87)),NOT(ISNUMBER(O219))),"",O87-O219)</f>
        <v/>
      </c>
      <c r="P351" s="11" t="str">
        <f aca="false">IF(COUNT(D351:N351)=0,"",IF(AND(MAX(D351:N351)&lt;0.0005,MIN(D351:N351)&gt;-0.0005),"Sin diferencia","Diferencia a explicar"))</f>
        <v/>
      </c>
    </row>
    <row r="352" customFormat="false" ht="15" hidden="true" customHeight="false" outlineLevel="1" collapsed="false">
      <c r="A352" s="11" t="s">
        <v>1942</v>
      </c>
      <c r="B352" s="53" t="str">
        <f aca="false">IF(INDEX(Prod_Nombre,17)="","Producto 17",INDEX(Prod_Nombre,17))&amp;" — capacidad instalada"</f>
        <v>Producto 17 — capacidad instalada</v>
      </c>
      <c r="C352" s="11" t="s">
        <v>544</v>
      </c>
      <c r="E352" s="48" t="str">
        <f aca="false">IF(OR(NOT(ISNUMBER(E88)),NOT(ISNUMBER(E220))),"",E88-E220)</f>
        <v/>
      </c>
      <c r="F352" s="48" t="str">
        <f aca="false">IF(OR(NOT(ISNUMBER(F88)),NOT(ISNUMBER(F220))),"",F88-F220)</f>
        <v/>
      </c>
      <c r="G352" s="48" t="str">
        <f aca="false">IF(OR(NOT(ISNUMBER(G88)),NOT(ISNUMBER(G220))),"",G88-G220)</f>
        <v/>
      </c>
      <c r="H352" s="48" t="str">
        <f aca="false">IF(OR(NOT(ISNUMBER(H88)),NOT(ISNUMBER(H220))),"",H88-H220)</f>
        <v/>
      </c>
      <c r="I352" s="48" t="str">
        <f aca="false">IF(OR(NOT(ISNUMBER(I88)),NOT(ISNUMBER(I220))),"",I88-I220)</f>
        <v/>
      </c>
      <c r="J352" s="48" t="str">
        <f aca="false">IF(OR(NOT(ISNUMBER(J88)),NOT(ISNUMBER(J220))),"",J88-J220)</f>
        <v/>
      </c>
      <c r="K352" s="48" t="str">
        <f aca="false">IF(OR(NOT(ISNUMBER(K88)),NOT(ISNUMBER(K220))),"",K88-K220)</f>
        <v/>
      </c>
      <c r="L352" s="48" t="str">
        <f aca="false">IF(OR(NOT(ISNUMBER(L88)),NOT(ISNUMBER(L220))),"",L88-L220)</f>
        <v/>
      </c>
      <c r="M352" s="48" t="str">
        <f aca="false">IF(OR(NOT(ISNUMBER(M88)),NOT(ISNUMBER(M220))),"",M88-M220)</f>
        <v/>
      </c>
      <c r="N352" s="48" t="str">
        <f aca="false">IF(OR(NOT(ISNUMBER(N88)),NOT(ISNUMBER(N220))),"",N88-N220)</f>
        <v/>
      </c>
      <c r="P352" s="11" t="str">
        <f aca="false">IF(COUNT(D352:N352)=0,"",IF(AND(MAX(D352:N352)&lt;2,MIN(D352:N352)&gt;-2),"Sin diferencia","Diferencia a explicar"))</f>
        <v/>
      </c>
    </row>
    <row r="353" customFormat="false" ht="15" hidden="true" customHeight="false" outlineLevel="1" collapsed="false">
      <c r="A353" s="11" t="s">
        <v>1943</v>
      </c>
      <c r="B353" s="15" t="s">
        <v>1860</v>
      </c>
      <c r="C353" s="11" t="s">
        <v>544</v>
      </c>
      <c r="D353" s="48" t="str">
        <f aca="false">IF(OR(NOT(ISNUMBER(D89)),NOT(ISNUMBER(D221))),"",D89-D221)</f>
        <v/>
      </c>
      <c r="E353" s="48" t="str">
        <f aca="false">IF(OR(NOT(ISNUMBER(E89)),NOT(ISNUMBER(E221))),"",E89-E221)</f>
        <v/>
      </c>
      <c r="F353" s="48" t="str">
        <f aca="false">IF(OR(NOT(ISNUMBER(F89)),NOT(ISNUMBER(F221))),"",F89-F221)</f>
        <v/>
      </c>
      <c r="G353" s="48" t="str">
        <f aca="false">IF(OR(NOT(ISNUMBER(G89)),NOT(ISNUMBER(G221))),"",G89-G221)</f>
        <v/>
      </c>
      <c r="H353" s="48" t="str">
        <f aca="false">IF(OR(NOT(ISNUMBER(H89)),NOT(ISNUMBER(H221))),"",H89-H221)</f>
        <v/>
      </c>
      <c r="I353" s="48" t="str">
        <f aca="false">IF(OR(NOT(ISNUMBER(I89)),NOT(ISNUMBER(I221))),"",I89-I221)</f>
        <v/>
      </c>
      <c r="J353" s="48" t="str">
        <f aca="false">IF(OR(NOT(ISNUMBER(J89)),NOT(ISNUMBER(J221))),"",J89-J221)</f>
        <v/>
      </c>
      <c r="K353" s="48" t="str">
        <f aca="false">IF(OR(NOT(ISNUMBER(K89)),NOT(ISNUMBER(K221))),"",K89-K221)</f>
        <v/>
      </c>
      <c r="L353" s="48" t="str">
        <f aca="false">IF(OR(NOT(ISNUMBER(L89)),NOT(ISNUMBER(L221))),"",L89-L221)</f>
        <v/>
      </c>
      <c r="M353" s="48" t="str">
        <f aca="false">IF(OR(NOT(ISNUMBER(M89)),NOT(ISNUMBER(M221))),"",M89-M221)</f>
        <v/>
      </c>
      <c r="N353" s="48" t="str">
        <f aca="false">IF(OR(NOT(ISNUMBER(N89)),NOT(ISNUMBER(N221))),"",N89-N221)</f>
        <v/>
      </c>
      <c r="O353" s="54" t="str">
        <f aca="false">IF(OR(NOT(ISNUMBER(O89)),NOT(ISNUMBER(O221))),"",O89-O221)</f>
        <v/>
      </c>
      <c r="P353" s="11" t="str">
        <f aca="false">IF(COUNT(D353:N353)=0,"",IF(AND(MAX(D353:N353)&lt;2,MIN(D353:N353)&gt;-2),"Sin diferencia","Diferencia a explicar"))</f>
        <v/>
      </c>
    </row>
    <row r="354" customFormat="false" ht="15" hidden="true" customHeight="false" outlineLevel="1" collapsed="false">
      <c r="A354" s="11" t="s">
        <v>1944</v>
      </c>
      <c r="B354" s="15" t="s">
        <v>1862</v>
      </c>
      <c r="C354" s="11" t="s">
        <v>544</v>
      </c>
      <c r="D354" s="48" t="str">
        <f aca="false">IF(OR(NOT(ISNUMBER(D90)),NOT(ISNUMBER(D222))),"",D90-D222)</f>
        <v/>
      </c>
      <c r="E354" s="48" t="str">
        <f aca="false">IF(OR(NOT(ISNUMBER(E90)),NOT(ISNUMBER(E222))),"",E90-E222)</f>
        <v/>
      </c>
      <c r="F354" s="48" t="str">
        <f aca="false">IF(OR(NOT(ISNUMBER(F90)),NOT(ISNUMBER(F222))),"",F90-F222)</f>
        <v/>
      </c>
      <c r="G354" s="48" t="str">
        <f aca="false">IF(OR(NOT(ISNUMBER(G90)),NOT(ISNUMBER(G222))),"",G90-G222)</f>
        <v/>
      </c>
      <c r="H354" s="48" t="str">
        <f aca="false">IF(OR(NOT(ISNUMBER(H90)),NOT(ISNUMBER(H222))),"",H90-H222)</f>
        <v/>
      </c>
      <c r="I354" s="48" t="str">
        <f aca="false">IF(OR(NOT(ISNUMBER(I90)),NOT(ISNUMBER(I222))),"",I90-I222)</f>
        <v/>
      </c>
      <c r="J354" s="48" t="str">
        <f aca="false">IF(OR(NOT(ISNUMBER(J90)),NOT(ISNUMBER(J222))),"",J90-J222)</f>
        <v/>
      </c>
      <c r="K354" s="48" t="str">
        <f aca="false">IF(OR(NOT(ISNUMBER(K90)),NOT(ISNUMBER(K222))),"",K90-K222)</f>
        <v/>
      </c>
      <c r="L354" s="48" t="str">
        <f aca="false">IF(OR(NOT(ISNUMBER(L90)),NOT(ISNUMBER(L222))),"",L90-L222)</f>
        <v/>
      </c>
      <c r="M354" s="48" t="str">
        <f aca="false">IF(OR(NOT(ISNUMBER(M90)),NOT(ISNUMBER(M222))),"",M90-M222)</f>
        <v/>
      </c>
      <c r="N354" s="48" t="str">
        <f aca="false">IF(OR(NOT(ISNUMBER(N90)),NOT(ISNUMBER(N222))),"",N90-N222)</f>
        <v/>
      </c>
      <c r="O354" s="54" t="str">
        <f aca="false">IF(OR(NOT(ISNUMBER(O90)),NOT(ISNUMBER(O222))),"",O90-O222)</f>
        <v/>
      </c>
      <c r="P354" s="11" t="str">
        <f aca="false">IF(COUNT(D354:N354)=0,"",IF(AND(MAX(D354:N354)&lt;2,MIN(D354:N354)&gt;-2),"Sin diferencia","Diferencia a explicar"))</f>
        <v/>
      </c>
    </row>
    <row r="355" customFormat="false" ht="15" hidden="true" customHeight="false" outlineLevel="1" collapsed="false">
      <c r="A355" s="11" t="s">
        <v>1945</v>
      </c>
      <c r="B355" s="15" t="s">
        <v>1864</v>
      </c>
      <c r="C355" s="11" t="s">
        <v>367</v>
      </c>
      <c r="E355" s="49" t="str">
        <f aca="false">IF(OR(NOT(ISNUMBER(E91)),NOT(ISNUMBER(E223))),"",E91-E223)</f>
        <v/>
      </c>
      <c r="F355" s="49" t="str">
        <f aca="false">IF(OR(NOT(ISNUMBER(F91)),NOT(ISNUMBER(F223))),"",F91-F223)</f>
        <v/>
      </c>
      <c r="G355" s="49" t="str">
        <f aca="false">IF(OR(NOT(ISNUMBER(G91)),NOT(ISNUMBER(G223))),"",G91-G223)</f>
        <v/>
      </c>
      <c r="H355" s="49" t="str">
        <f aca="false">IF(OR(NOT(ISNUMBER(H91)),NOT(ISNUMBER(H223))),"",H91-H223)</f>
        <v/>
      </c>
      <c r="I355" s="49" t="str">
        <f aca="false">IF(OR(NOT(ISNUMBER(I91)),NOT(ISNUMBER(I223))),"",I91-I223)</f>
        <v/>
      </c>
      <c r="J355" s="49" t="str">
        <f aca="false">IF(OR(NOT(ISNUMBER(J91)),NOT(ISNUMBER(J223))),"",J91-J223)</f>
        <v/>
      </c>
      <c r="K355" s="49" t="str">
        <f aca="false">IF(OR(NOT(ISNUMBER(K91)),NOT(ISNUMBER(K223))),"",K91-K223)</f>
        <v/>
      </c>
      <c r="L355" s="49" t="str">
        <f aca="false">IF(OR(NOT(ISNUMBER(L91)),NOT(ISNUMBER(L223))),"",L91-L223)</f>
        <v/>
      </c>
      <c r="M355" s="49" t="str">
        <f aca="false">IF(OR(NOT(ISNUMBER(M91)),NOT(ISNUMBER(M223))),"",M91-M223)</f>
        <v/>
      </c>
      <c r="N355" s="49" t="str">
        <f aca="false">IF(OR(NOT(ISNUMBER(N91)),NOT(ISNUMBER(N223))),"",N91-N223)</f>
        <v/>
      </c>
      <c r="P355" s="11" t="str">
        <f aca="false">IF(COUNT(D355:N355)=0,"",IF(AND(MAX(D355:N355)&lt;0.0005,MIN(D355:N355)&gt;-0.0005),"Sin diferencia","Diferencia a explicar"))</f>
        <v/>
      </c>
    </row>
    <row r="356" customFormat="false" ht="15" hidden="true" customHeight="false" outlineLevel="1" collapsed="false">
      <c r="A356" s="11" t="s">
        <v>1946</v>
      </c>
      <c r="B356" s="15" t="s">
        <v>1866</v>
      </c>
      <c r="C356" s="11" t="s">
        <v>367</v>
      </c>
      <c r="E356" s="49" t="str">
        <f aca="false">IF(OR(NOT(ISNUMBER(E92)),NOT(ISNUMBER(E224))),"",E92-E224)</f>
        <v/>
      </c>
      <c r="F356" s="49" t="str">
        <f aca="false">IF(OR(NOT(ISNUMBER(F92)),NOT(ISNUMBER(F224))),"",F92-F224)</f>
        <v/>
      </c>
      <c r="G356" s="49" t="str">
        <f aca="false">IF(OR(NOT(ISNUMBER(G92)),NOT(ISNUMBER(G224))),"",G92-G224)</f>
        <v/>
      </c>
      <c r="H356" s="49" t="str">
        <f aca="false">IF(OR(NOT(ISNUMBER(H92)),NOT(ISNUMBER(H224))),"",H92-H224)</f>
        <v/>
      </c>
      <c r="I356" s="49" t="str">
        <f aca="false">IF(OR(NOT(ISNUMBER(I92)),NOT(ISNUMBER(I224))),"",I92-I224)</f>
        <v/>
      </c>
      <c r="J356" s="49" t="str">
        <f aca="false">IF(OR(NOT(ISNUMBER(J92)),NOT(ISNUMBER(J224))),"",J92-J224)</f>
        <v/>
      </c>
      <c r="K356" s="49" t="str">
        <f aca="false">IF(OR(NOT(ISNUMBER(K92)),NOT(ISNUMBER(K224))),"",K92-K224)</f>
        <v/>
      </c>
      <c r="L356" s="49" t="str">
        <f aca="false">IF(OR(NOT(ISNUMBER(L92)),NOT(ISNUMBER(L224))),"",L92-L224)</f>
        <v/>
      </c>
      <c r="M356" s="49" t="str">
        <f aca="false">IF(OR(NOT(ISNUMBER(M92)),NOT(ISNUMBER(M224))),"",M92-M224)</f>
        <v/>
      </c>
      <c r="N356" s="49" t="str">
        <f aca="false">IF(OR(NOT(ISNUMBER(N92)),NOT(ISNUMBER(N224))),"",N92-N224)</f>
        <v/>
      </c>
      <c r="O356" s="99" t="str">
        <f aca="false">IF(OR(NOT(ISNUMBER(O92)),NOT(ISNUMBER(O224))),"",O92-O224)</f>
        <v/>
      </c>
      <c r="P356" s="11" t="str">
        <f aca="false">IF(COUNT(D356:N356)=0,"",IF(AND(MAX(D356:N356)&lt;0.0005,MIN(D356:N356)&gt;-0.0005),"Sin diferencia","Diferencia a explicar"))</f>
        <v/>
      </c>
    </row>
    <row r="357" customFormat="false" ht="15" hidden="true" customHeight="false" outlineLevel="1" collapsed="false">
      <c r="A357" s="11" t="s">
        <v>1947</v>
      </c>
      <c r="B357" s="53" t="str">
        <f aca="false">IF(INDEX(Prod_Nombre,18)="","Producto 18",INDEX(Prod_Nombre,18))&amp;" — capacidad instalada"</f>
        <v>Producto 18 — capacidad instalada</v>
      </c>
      <c r="C357" s="11" t="s">
        <v>544</v>
      </c>
      <c r="E357" s="48" t="str">
        <f aca="false">IF(OR(NOT(ISNUMBER(E93)),NOT(ISNUMBER(E225))),"",E93-E225)</f>
        <v/>
      </c>
      <c r="F357" s="48" t="str">
        <f aca="false">IF(OR(NOT(ISNUMBER(F93)),NOT(ISNUMBER(F225))),"",F93-F225)</f>
        <v/>
      </c>
      <c r="G357" s="48" t="str">
        <f aca="false">IF(OR(NOT(ISNUMBER(G93)),NOT(ISNUMBER(G225))),"",G93-G225)</f>
        <v/>
      </c>
      <c r="H357" s="48" t="str">
        <f aca="false">IF(OR(NOT(ISNUMBER(H93)),NOT(ISNUMBER(H225))),"",H93-H225)</f>
        <v/>
      </c>
      <c r="I357" s="48" t="str">
        <f aca="false">IF(OR(NOT(ISNUMBER(I93)),NOT(ISNUMBER(I225))),"",I93-I225)</f>
        <v/>
      </c>
      <c r="J357" s="48" t="str">
        <f aca="false">IF(OR(NOT(ISNUMBER(J93)),NOT(ISNUMBER(J225))),"",J93-J225)</f>
        <v/>
      </c>
      <c r="K357" s="48" t="str">
        <f aca="false">IF(OR(NOT(ISNUMBER(K93)),NOT(ISNUMBER(K225))),"",K93-K225)</f>
        <v/>
      </c>
      <c r="L357" s="48" t="str">
        <f aca="false">IF(OR(NOT(ISNUMBER(L93)),NOT(ISNUMBER(L225))),"",L93-L225)</f>
        <v/>
      </c>
      <c r="M357" s="48" t="str">
        <f aca="false">IF(OR(NOT(ISNUMBER(M93)),NOT(ISNUMBER(M225))),"",M93-M225)</f>
        <v/>
      </c>
      <c r="N357" s="48" t="str">
        <f aca="false">IF(OR(NOT(ISNUMBER(N93)),NOT(ISNUMBER(N225))),"",N93-N225)</f>
        <v/>
      </c>
      <c r="P357" s="11" t="str">
        <f aca="false">IF(COUNT(D357:N357)=0,"",IF(AND(MAX(D357:N357)&lt;2,MIN(D357:N357)&gt;-2),"Sin diferencia","Diferencia a explicar"))</f>
        <v/>
      </c>
    </row>
    <row r="358" customFormat="false" ht="15" hidden="true" customHeight="false" outlineLevel="1" collapsed="false">
      <c r="A358" s="11" t="s">
        <v>1948</v>
      </c>
      <c r="B358" s="15" t="s">
        <v>1860</v>
      </c>
      <c r="C358" s="11" t="s">
        <v>544</v>
      </c>
      <c r="D358" s="48" t="str">
        <f aca="false">IF(OR(NOT(ISNUMBER(D94)),NOT(ISNUMBER(D226))),"",D94-D226)</f>
        <v/>
      </c>
      <c r="E358" s="48" t="str">
        <f aca="false">IF(OR(NOT(ISNUMBER(E94)),NOT(ISNUMBER(E226))),"",E94-E226)</f>
        <v/>
      </c>
      <c r="F358" s="48" t="str">
        <f aca="false">IF(OR(NOT(ISNUMBER(F94)),NOT(ISNUMBER(F226))),"",F94-F226)</f>
        <v/>
      </c>
      <c r="G358" s="48" t="str">
        <f aca="false">IF(OR(NOT(ISNUMBER(G94)),NOT(ISNUMBER(G226))),"",G94-G226)</f>
        <v/>
      </c>
      <c r="H358" s="48" t="str">
        <f aca="false">IF(OR(NOT(ISNUMBER(H94)),NOT(ISNUMBER(H226))),"",H94-H226)</f>
        <v/>
      </c>
      <c r="I358" s="48" t="str">
        <f aca="false">IF(OR(NOT(ISNUMBER(I94)),NOT(ISNUMBER(I226))),"",I94-I226)</f>
        <v/>
      </c>
      <c r="J358" s="48" t="str">
        <f aca="false">IF(OR(NOT(ISNUMBER(J94)),NOT(ISNUMBER(J226))),"",J94-J226)</f>
        <v/>
      </c>
      <c r="K358" s="48" t="str">
        <f aca="false">IF(OR(NOT(ISNUMBER(K94)),NOT(ISNUMBER(K226))),"",K94-K226)</f>
        <v/>
      </c>
      <c r="L358" s="48" t="str">
        <f aca="false">IF(OR(NOT(ISNUMBER(L94)),NOT(ISNUMBER(L226))),"",L94-L226)</f>
        <v/>
      </c>
      <c r="M358" s="48" t="str">
        <f aca="false">IF(OR(NOT(ISNUMBER(M94)),NOT(ISNUMBER(M226))),"",M94-M226)</f>
        <v/>
      </c>
      <c r="N358" s="48" t="str">
        <f aca="false">IF(OR(NOT(ISNUMBER(N94)),NOT(ISNUMBER(N226))),"",N94-N226)</f>
        <v/>
      </c>
      <c r="O358" s="54" t="str">
        <f aca="false">IF(OR(NOT(ISNUMBER(O94)),NOT(ISNUMBER(O226))),"",O94-O226)</f>
        <v/>
      </c>
      <c r="P358" s="11" t="str">
        <f aca="false">IF(COUNT(D358:N358)=0,"",IF(AND(MAX(D358:N358)&lt;2,MIN(D358:N358)&gt;-2),"Sin diferencia","Diferencia a explicar"))</f>
        <v/>
      </c>
    </row>
    <row r="359" customFormat="false" ht="15" hidden="true" customHeight="false" outlineLevel="1" collapsed="false">
      <c r="A359" s="11" t="s">
        <v>1949</v>
      </c>
      <c r="B359" s="15" t="s">
        <v>1862</v>
      </c>
      <c r="C359" s="11" t="s">
        <v>544</v>
      </c>
      <c r="D359" s="48" t="str">
        <f aca="false">IF(OR(NOT(ISNUMBER(D95)),NOT(ISNUMBER(D227))),"",D95-D227)</f>
        <v/>
      </c>
      <c r="E359" s="48" t="str">
        <f aca="false">IF(OR(NOT(ISNUMBER(E95)),NOT(ISNUMBER(E227))),"",E95-E227)</f>
        <v/>
      </c>
      <c r="F359" s="48" t="str">
        <f aca="false">IF(OR(NOT(ISNUMBER(F95)),NOT(ISNUMBER(F227))),"",F95-F227)</f>
        <v/>
      </c>
      <c r="G359" s="48" t="str">
        <f aca="false">IF(OR(NOT(ISNUMBER(G95)),NOT(ISNUMBER(G227))),"",G95-G227)</f>
        <v/>
      </c>
      <c r="H359" s="48" t="str">
        <f aca="false">IF(OR(NOT(ISNUMBER(H95)),NOT(ISNUMBER(H227))),"",H95-H227)</f>
        <v/>
      </c>
      <c r="I359" s="48" t="str">
        <f aca="false">IF(OR(NOT(ISNUMBER(I95)),NOT(ISNUMBER(I227))),"",I95-I227)</f>
        <v/>
      </c>
      <c r="J359" s="48" t="str">
        <f aca="false">IF(OR(NOT(ISNUMBER(J95)),NOT(ISNUMBER(J227))),"",J95-J227)</f>
        <v/>
      </c>
      <c r="K359" s="48" t="str">
        <f aca="false">IF(OR(NOT(ISNUMBER(K95)),NOT(ISNUMBER(K227))),"",K95-K227)</f>
        <v/>
      </c>
      <c r="L359" s="48" t="str">
        <f aca="false">IF(OR(NOT(ISNUMBER(L95)),NOT(ISNUMBER(L227))),"",L95-L227)</f>
        <v/>
      </c>
      <c r="M359" s="48" t="str">
        <f aca="false">IF(OR(NOT(ISNUMBER(M95)),NOT(ISNUMBER(M227))),"",M95-M227)</f>
        <v/>
      </c>
      <c r="N359" s="48" t="str">
        <f aca="false">IF(OR(NOT(ISNUMBER(N95)),NOT(ISNUMBER(N227))),"",N95-N227)</f>
        <v/>
      </c>
      <c r="O359" s="54" t="str">
        <f aca="false">IF(OR(NOT(ISNUMBER(O95)),NOT(ISNUMBER(O227))),"",O95-O227)</f>
        <v/>
      </c>
      <c r="P359" s="11" t="str">
        <f aca="false">IF(COUNT(D359:N359)=0,"",IF(AND(MAX(D359:N359)&lt;2,MIN(D359:N359)&gt;-2),"Sin diferencia","Diferencia a explicar"))</f>
        <v/>
      </c>
    </row>
    <row r="360" customFormat="false" ht="15" hidden="true" customHeight="false" outlineLevel="1" collapsed="false">
      <c r="A360" s="11" t="s">
        <v>1950</v>
      </c>
      <c r="B360" s="15" t="s">
        <v>1864</v>
      </c>
      <c r="C360" s="11" t="s">
        <v>367</v>
      </c>
      <c r="E360" s="49" t="str">
        <f aca="false">IF(OR(NOT(ISNUMBER(E96)),NOT(ISNUMBER(E228))),"",E96-E228)</f>
        <v/>
      </c>
      <c r="F360" s="49" t="str">
        <f aca="false">IF(OR(NOT(ISNUMBER(F96)),NOT(ISNUMBER(F228))),"",F96-F228)</f>
        <v/>
      </c>
      <c r="G360" s="49" t="str">
        <f aca="false">IF(OR(NOT(ISNUMBER(G96)),NOT(ISNUMBER(G228))),"",G96-G228)</f>
        <v/>
      </c>
      <c r="H360" s="49" t="str">
        <f aca="false">IF(OR(NOT(ISNUMBER(H96)),NOT(ISNUMBER(H228))),"",H96-H228)</f>
        <v/>
      </c>
      <c r="I360" s="49" t="str">
        <f aca="false">IF(OR(NOT(ISNUMBER(I96)),NOT(ISNUMBER(I228))),"",I96-I228)</f>
        <v/>
      </c>
      <c r="J360" s="49" t="str">
        <f aca="false">IF(OR(NOT(ISNUMBER(J96)),NOT(ISNUMBER(J228))),"",J96-J228)</f>
        <v/>
      </c>
      <c r="K360" s="49" t="str">
        <f aca="false">IF(OR(NOT(ISNUMBER(K96)),NOT(ISNUMBER(K228))),"",K96-K228)</f>
        <v/>
      </c>
      <c r="L360" s="49" t="str">
        <f aca="false">IF(OR(NOT(ISNUMBER(L96)),NOT(ISNUMBER(L228))),"",L96-L228)</f>
        <v/>
      </c>
      <c r="M360" s="49" t="str">
        <f aca="false">IF(OR(NOT(ISNUMBER(M96)),NOT(ISNUMBER(M228))),"",M96-M228)</f>
        <v/>
      </c>
      <c r="N360" s="49" t="str">
        <f aca="false">IF(OR(NOT(ISNUMBER(N96)),NOT(ISNUMBER(N228))),"",N96-N228)</f>
        <v/>
      </c>
      <c r="P360" s="11" t="str">
        <f aca="false">IF(COUNT(D360:N360)=0,"",IF(AND(MAX(D360:N360)&lt;0.0005,MIN(D360:N360)&gt;-0.0005),"Sin diferencia","Diferencia a explicar"))</f>
        <v/>
      </c>
    </row>
    <row r="361" customFormat="false" ht="15" hidden="true" customHeight="false" outlineLevel="1" collapsed="false">
      <c r="A361" s="11" t="s">
        <v>1951</v>
      </c>
      <c r="B361" s="15" t="s">
        <v>1866</v>
      </c>
      <c r="C361" s="11" t="s">
        <v>367</v>
      </c>
      <c r="E361" s="49" t="str">
        <f aca="false">IF(OR(NOT(ISNUMBER(E97)),NOT(ISNUMBER(E229))),"",E97-E229)</f>
        <v/>
      </c>
      <c r="F361" s="49" t="str">
        <f aca="false">IF(OR(NOT(ISNUMBER(F97)),NOT(ISNUMBER(F229))),"",F97-F229)</f>
        <v/>
      </c>
      <c r="G361" s="49" t="str">
        <f aca="false">IF(OR(NOT(ISNUMBER(G97)),NOT(ISNUMBER(G229))),"",G97-G229)</f>
        <v/>
      </c>
      <c r="H361" s="49" t="str">
        <f aca="false">IF(OR(NOT(ISNUMBER(H97)),NOT(ISNUMBER(H229))),"",H97-H229)</f>
        <v/>
      </c>
      <c r="I361" s="49" t="str">
        <f aca="false">IF(OR(NOT(ISNUMBER(I97)),NOT(ISNUMBER(I229))),"",I97-I229)</f>
        <v/>
      </c>
      <c r="J361" s="49" t="str">
        <f aca="false">IF(OR(NOT(ISNUMBER(J97)),NOT(ISNUMBER(J229))),"",J97-J229)</f>
        <v/>
      </c>
      <c r="K361" s="49" t="str">
        <f aca="false">IF(OR(NOT(ISNUMBER(K97)),NOT(ISNUMBER(K229))),"",K97-K229)</f>
        <v/>
      </c>
      <c r="L361" s="49" t="str">
        <f aca="false">IF(OR(NOT(ISNUMBER(L97)),NOT(ISNUMBER(L229))),"",L97-L229)</f>
        <v/>
      </c>
      <c r="M361" s="49" t="str">
        <f aca="false">IF(OR(NOT(ISNUMBER(M97)),NOT(ISNUMBER(M229))),"",M97-M229)</f>
        <v/>
      </c>
      <c r="N361" s="49" t="str">
        <f aca="false">IF(OR(NOT(ISNUMBER(N97)),NOT(ISNUMBER(N229))),"",N97-N229)</f>
        <v/>
      </c>
      <c r="O361" s="99" t="str">
        <f aca="false">IF(OR(NOT(ISNUMBER(O97)),NOT(ISNUMBER(O229))),"",O97-O229)</f>
        <v/>
      </c>
      <c r="P361" s="11" t="str">
        <f aca="false">IF(COUNT(D361:N361)=0,"",IF(AND(MAX(D361:N361)&lt;0.0005,MIN(D361:N361)&gt;-0.0005),"Sin diferencia","Diferencia a explicar"))</f>
        <v/>
      </c>
    </row>
    <row r="362" customFormat="false" ht="15" hidden="true" customHeight="false" outlineLevel="1" collapsed="false">
      <c r="A362" s="11" t="s">
        <v>1952</v>
      </c>
      <c r="B362" s="53" t="str">
        <f aca="false">IF(INDEX(Prod_Nombre,19)="","Producto 19",INDEX(Prod_Nombre,19))&amp;" — capacidad instalada"</f>
        <v>Producto 19 — capacidad instalada</v>
      </c>
      <c r="C362" s="11" t="s">
        <v>544</v>
      </c>
      <c r="E362" s="48" t="str">
        <f aca="false">IF(OR(NOT(ISNUMBER(E98)),NOT(ISNUMBER(E230))),"",E98-E230)</f>
        <v/>
      </c>
      <c r="F362" s="48" t="str">
        <f aca="false">IF(OR(NOT(ISNUMBER(F98)),NOT(ISNUMBER(F230))),"",F98-F230)</f>
        <v/>
      </c>
      <c r="G362" s="48" t="str">
        <f aca="false">IF(OR(NOT(ISNUMBER(G98)),NOT(ISNUMBER(G230))),"",G98-G230)</f>
        <v/>
      </c>
      <c r="H362" s="48" t="str">
        <f aca="false">IF(OR(NOT(ISNUMBER(H98)),NOT(ISNUMBER(H230))),"",H98-H230)</f>
        <v/>
      </c>
      <c r="I362" s="48" t="str">
        <f aca="false">IF(OR(NOT(ISNUMBER(I98)),NOT(ISNUMBER(I230))),"",I98-I230)</f>
        <v/>
      </c>
      <c r="J362" s="48" t="str">
        <f aca="false">IF(OR(NOT(ISNUMBER(J98)),NOT(ISNUMBER(J230))),"",J98-J230)</f>
        <v/>
      </c>
      <c r="K362" s="48" t="str">
        <f aca="false">IF(OR(NOT(ISNUMBER(K98)),NOT(ISNUMBER(K230))),"",K98-K230)</f>
        <v/>
      </c>
      <c r="L362" s="48" t="str">
        <f aca="false">IF(OR(NOT(ISNUMBER(L98)),NOT(ISNUMBER(L230))),"",L98-L230)</f>
        <v/>
      </c>
      <c r="M362" s="48" t="str">
        <f aca="false">IF(OR(NOT(ISNUMBER(M98)),NOT(ISNUMBER(M230))),"",M98-M230)</f>
        <v/>
      </c>
      <c r="N362" s="48" t="str">
        <f aca="false">IF(OR(NOT(ISNUMBER(N98)),NOT(ISNUMBER(N230))),"",N98-N230)</f>
        <v/>
      </c>
      <c r="P362" s="11" t="str">
        <f aca="false">IF(COUNT(D362:N362)=0,"",IF(AND(MAX(D362:N362)&lt;2,MIN(D362:N362)&gt;-2),"Sin diferencia","Diferencia a explicar"))</f>
        <v/>
      </c>
    </row>
    <row r="363" customFormat="false" ht="15" hidden="true" customHeight="false" outlineLevel="1" collapsed="false">
      <c r="A363" s="11" t="s">
        <v>1953</v>
      </c>
      <c r="B363" s="15" t="s">
        <v>1860</v>
      </c>
      <c r="C363" s="11" t="s">
        <v>544</v>
      </c>
      <c r="D363" s="48" t="str">
        <f aca="false">IF(OR(NOT(ISNUMBER(D99)),NOT(ISNUMBER(D231))),"",D99-D231)</f>
        <v/>
      </c>
      <c r="E363" s="48" t="str">
        <f aca="false">IF(OR(NOT(ISNUMBER(E99)),NOT(ISNUMBER(E231))),"",E99-E231)</f>
        <v/>
      </c>
      <c r="F363" s="48" t="str">
        <f aca="false">IF(OR(NOT(ISNUMBER(F99)),NOT(ISNUMBER(F231))),"",F99-F231)</f>
        <v/>
      </c>
      <c r="G363" s="48" t="str">
        <f aca="false">IF(OR(NOT(ISNUMBER(G99)),NOT(ISNUMBER(G231))),"",G99-G231)</f>
        <v/>
      </c>
      <c r="H363" s="48" t="str">
        <f aca="false">IF(OR(NOT(ISNUMBER(H99)),NOT(ISNUMBER(H231))),"",H99-H231)</f>
        <v/>
      </c>
      <c r="I363" s="48" t="str">
        <f aca="false">IF(OR(NOT(ISNUMBER(I99)),NOT(ISNUMBER(I231))),"",I99-I231)</f>
        <v/>
      </c>
      <c r="J363" s="48" t="str">
        <f aca="false">IF(OR(NOT(ISNUMBER(J99)),NOT(ISNUMBER(J231))),"",J99-J231)</f>
        <v/>
      </c>
      <c r="K363" s="48" t="str">
        <f aca="false">IF(OR(NOT(ISNUMBER(K99)),NOT(ISNUMBER(K231))),"",K99-K231)</f>
        <v/>
      </c>
      <c r="L363" s="48" t="str">
        <f aca="false">IF(OR(NOT(ISNUMBER(L99)),NOT(ISNUMBER(L231))),"",L99-L231)</f>
        <v/>
      </c>
      <c r="M363" s="48" t="str">
        <f aca="false">IF(OR(NOT(ISNUMBER(M99)),NOT(ISNUMBER(M231))),"",M99-M231)</f>
        <v/>
      </c>
      <c r="N363" s="48" t="str">
        <f aca="false">IF(OR(NOT(ISNUMBER(N99)),NOT(ISNUMBER(N231))),"",N99-N231)</f>
        <v/>
      </c>
      <c r="O363" s="54" t="str">
        <f aca="false">IF(OR(NOT(ISNUMBER(O99)),NOT(ISNUMBER(O231))),"",O99-O231)</f>
        <v/>
      </c>
      <c r="P363" s="11" t="str">
        <f aca="false">IF(COUNT(D363:N363)=0,"",IF(AND(MAX(D363:N363)&lt;2,MIN(D363:N363)&gt;-2),"Sin diferencia","Diferencia a explicar"))</f>
        <v/>
      </c>
    </row>
    <row r="364" customFormat="false" ht="15" hidden="true" customHeight="false" outlineLevel="1" collapsed="false">
      <c r="A364" s="11" t="s">
        <v>1954</v>
      </c>
      <c r="B364" s="15" t="s">
        <v>1862</v>
      </c>
      <c r="C364" s="11" t="s">
        <v>544</v>
      </c>
      <c r="D364" s="48" t="str">
        <f aca="false">IF(OR(NOT(ISNUMBER(D100)),NOT(ISNUMBER(D232))),"",D100-D232)</f>
        <v/>
      </c>
      <c r="E364" s="48" t="str">
        <f aca="false">IF(OR(NOT(ISNUMBER(E100)),NOT(ISNUMBER(E232))),"",E100-E232)</f>
        <v/>
      </c>
      <c r="F364" s="48" t="str">
        <f aca="false">IF(OR(NOT(ISNUMBER(F100)),NOT(ISNUMBER(F232))),"",F100-F232)</f>
        <v/>
      </c>
      <c r="G364" s="48" t="str">
        <f aca="false">IF(OR(NOT(ISNUMBER(G100)),NOT(ISNUMBER(G232))),"",G100-G232)</f>
        <v/>
      </c>
      <c r="H364" s="48" t="str">
        <f aca="false">IF(OR(NOT(ISNUMBER(H100)),NOT(ISNUMBER(H232))),"",H100-H232)</f>
        <v/>
      </c>
      <c r="I364" s="48" t="str">
        <f aca="false">IF(OR(NOT(ISNUMBER(I100)),NOT(ISNUMBER(I232))),"",I100-I232)</f>
        <v/>
      </c>
      <c r="J364" s="48" t="str">
        <f aca="false">IF(OR(NOT(ISNUMBER(J100)),NOT(ISNUMBER(J232))),"",J100-J232)</f>
        <v/>
      </c>
      <c r="K364" s="48" t="str">
        <f aca="false">IF(OR(NOT(ISNUMBER(K100)),NOT(ISNUMBER(K232))),"",K100-K232)</f>
        <v/>
      </c>
      <c r="L364" s="48" t="str">
        <f aca="false">IF(OR(NOT(ISNUMBER(L100)),NOT(ISNUMBER(L232))),"",L100-L232)</f>
        <v/>
      </c>
      <c r="M364" s="48" t="str">
        <f aca="false">IF(OR(NOT(ISNUMBER(M100)),NOT(ISNUMBER(M232))),"",M100-M232)</f>
        <v/>
      </c>
      <c r="N364" s="48" t="str">
        <f aca="false">IF(OR(NOT(ISNUMBER(N100)),NOT(ISNUMBER(N232))),"",N100-N232)</f>
        <v/>
      </c>
      <c r="O364" s="54" t="str">
        <f aca="false">IF(OR(NOT(ISNUMBER(O100)),NOT(ISNUMBER(O232))),"",O100-O232)</f>
        <v/>
      </c>
      <c r="P364" s="11" t="str">
        <f aca="false">IF(COUNT(D364:N364)=0,"",IF(AND(MAX(D364:N364)&lt;2,MIN(D364:N364)&gt;-2),"Sin diferencia","Diferencia a explicar"))</f>
        <v/>
      </c>
    </row>
    <row r="365" customFormat="false" ht="15" hidden="true" customHeight="false" outlineLevel="1" collapsed="false">
      <c r="A365" s="11" t="s">
        <v>1955</v>
      </c>
      <c r="B365" s="15" t="s">
        <v>1864</v>
      </c>
      <c r="C365" s="11" t="s">
        <v>367</v>
      </c>
      <c r="E365" s="49" t="str">
        <f aca="false">IF(OR(NOT(ISNUMBER(E101)),NOT(ISNUMBER(E233))),"",E101-E233)</f>
        <v/>
      </c>
      <c r="F365" s="49" t="str">
        <f aca="false">IF(OR(NOT(ISNUMBER(F101)),NOT(ISNUMBER(F233))),"",F101-F233)</f>
        <v/>
      </c>
      <c r="G365" s="49" t="str">
        <f aca="false">IF(OR(NOT(ISNUMBER(G101)),NOT(ISNUMBER(G233))),"",G101-G233)</f>
        <v/>
      </c>
      <c r="H365" s="49" t="str">
        <f aca="false">IF(OR(NOT(ISNUMBER(H101)),NOT(ISNUMBER(H233))),"",H101-H233)</f>
        <v/>
      </c>
      <c r="I365" s="49" t="str">
        <f aca="false">IF(OR(NOT(ISNUMBER(I101)),NOT(ISNUMBER(I233))),"",I101-I233)</f>
        <v/>
      </c>
      <c r="J365" s="49" t="str">
        <f aca="false">IF(OR(NOT(ISNUMBER(J101)),NOT(ISNUMBER(J233))),"",J101-J233)</f>
        <v/>
      </c>
      <c r="K365" s="49" t="str">
        <f aca="false">IF(OR(NOT(ISNUMBER(K101)),NOT(ISNUMBER(K233))),"",K101-K233)</f>
        <v/>
      </c>
      <c r="L365" s="49" t="str">
        <f aca="false">IF(OR(NOT(ISNUMBER(L101)),NOT(ISNUMBER(L233))),"",L101-L233)</f>
        <v/>
      </c>
      <c r="M365" s="49" t="str">
        <f aca="false">IF(OR(NOT(ISNUMBER(M101)),NOT(ISNUMBER(M233))),"",M101-M233)</f>
        <v/>
      </c>
      <c r="N365" s="49" t="str">
        <f aca="false">IF(OR(NOT(ISNUMBER(N101)),NOT(ISNUMBER(N233))),"",N101-N233)</f>
        <v/>
      </c>
      <c r="P365" s="11" t="str">
        <f aca="false">IF(COUNT(D365:N365)=0,"",IF(AND(MAX(D365:N365)&lt;0.0005,MIN(D365:N365)&gt;-0.0005),"Sin diferencia","Diferencia a explicar"))</f>
        <v/>
      </c>
    </row>
    <row r="366" customFormat="false" ht="15" hidden="true" customHeight="false" outlineLevel="1" collapsed="false">
      <c r="A366" s="11" t="s">
        <v>1956</v>
      </c>
      <c r="B366" s="15" t="s">
        <v>1866</v>
      </c>
      <c r="C366" s="11" t="s">
        <v>367</v>
      </c>
      <c r="E366" s="49" t="str">
        <f aca="false">IF(OR(NOT(ISNUMBER(E102)),NOT(ISNUMBER(E234))),"",E102-E234)</f>
        <v/>
      </c>
      <c r="F366" s="49" t="str">
        <f aca="false">IF(OR(NOT(ISNUMBER(F102)),NOT(ISNUMBER(F234))),"",F102-F234)</f>
        <v/>
      </c>
      <c r="G366" s="49" t="str">
        <f aca="false">IF(OR(NOT(ISNUMBER(G102)),NOT(ISNUMBER(G234))),"",G102-G234)</f>
        <v/>
      </c>
      <c r="H366" s="49" t="str">
        <f aca="false">IF(OR(NOT(ISNUMBER(H102)),NOT(ISNUMBER(H234))),"",H102-H234)</f>
        <v/>
      </c>
      <c r="I366" s="49" t="str">
        <f aca="false">IF(OR(NOT(ISNUMBER(I102)),NOT(ISNUMBER(I234))),"",I102-I234)</f>
        <v/>
      </c>
      <c r="J366" s="49" t="str">
        <f aca="false">IF(OR(NOT(ISNUMBER(J102)),NOT(ISNUMBER(J234))),"",J102-J234)</f>
        <v/>
      </c>
      <c r="K366" s="49" t="str">
        <f aca="false">IF(OR(NOT(ISNUMBER(K102)),NOT(ISNUMBER(K234))),"",K102-K234)</f>
        <v/>
      </c>
      <c r="L366" s="49" t="str">
        <f aca="false">IF(OR(NOT(ISNUMBER(L102)),NOT(ISNUMBER(L234))),"",L102-L234)</f>
        <v/>
      </c>
      <c r="M366" s="49" t="str">
        <f aca="false">IF(OR(NOT(ISNUMBER(M102)),NOT(ISNUMBER(M234))),"",M102-M234)</f>
        <v/>
      </c>
      <c r="N366" s="49" t="str">
        <f aca="false">IF(OR(NOT(ISNUMBER(N102)),NOT(ISNUMBER(N234))),"",N102-N234)</f>
        <v/>
      </c>
      <c r="O366" s="99" t="str">
        <f aca="false">IF(OR(NOT(ISNUMBER(O102)),NOT(ISNUMBER(O234))),"",O102-O234)</f>
        <v/>
      </c>
      <c r="P366" s="11" t="str">
        <f aca="false">IF(COUNT(D366:N366)=0,"",IF(AND(MAX(D366:N366)&lt;0.0005,MIN(D366:N366)&gt;-0.0005),"Sin diferencia","Diferencia a explicar"))</f>
        <v/>
      </c>
    </row>
    <row r="367" customFormat="false" ht="15" hidden="true" customHeight="false" outlineLevel="1" collapsed="false">
      <c r="A367" s="11" t="s">
        <v>1957</v>
      </c>
      <c r="B367" s="53" t="str">
        <f aca="false">IF(INDEX(Prod_Nombre,20)="","Producto 20",INDEX(Prod_Nombre,20))&amp;" — capacidad instalada"</f>
        <v>Producto 20 — capacidad instalada</v>
      </c>
      <c r="C367" s="11" t="s">
        <v>544</v>
      </c>
      <c r="E367" s="48" t="str">
        <f aca="false">IF(OR(NOT(ISNUMBER(E103)),NOT(ISNUMBER(E235))),"",E103-E235)</f>
        <v/>
      </c>
      <c r="F367" s="48" t="str">
        <f aca="false">IF(OR(NOT(ISNUMBER(F103)),NOT(ISNUMBER(F235))),"",F103-F235)</f>
        <v/>
      </c>
      <c r="G367" s="48" t="str">
        <f aca="false">IF(OR(NOT(ISNUMBER(G103)),NOT(ISNUMBER(G235))),"",G103-G235)</f>
        <v/>
      </c>
      <c r="H367" s="48" t="str">
        <f aca="false">IF(OR(NOT(ISNUMBER(H103)),NOT(ISNUMBER(H235))),"",H103-H235)</f>
        <v/>
      </c>
      <c r="I367" s="48" t="str">
        <f aca="false">IF(OR(NOT(ISNUMBER(I103)),NOT(ISNUMBER(I235))),"",I103-I235)</f>
        <v/>
      </c>
      <c r="J367" s="48" t="str">
        <f aca="false">IF(OR(NOT(ISNUMBER(J103)),NOT(ISNUMBER(J235))),"",J103-J235)</f>
        <v/>
      </c>
      <c r="K367" s="48" t="str">
        <f aca="false">IF(OR(NOT(ISNUMBER(K103)),NOT(ISNUMBER(K235))),"",K103-K235)</f>
        <v/>
      </c>
      <c r="L367" s="48" t="str">
        <f aca="false">IF(OR(NOT(ISNUMBER(L103)),NOT(ISNUMBER(L235))),"",L103-L235)</f>
        <v/>
      </c>
      <c r="M367" s="48" t="str">
        <f aca="false">IF(OR(NOT(ISNUMBER(M103)),NOT(ISNUMBER(M235))),"",M103-M235)</f>
        <v/>
      </c>
      <c r="N367" s="48" t="str">
        <f aca="false">IF(OR(NOT(ISNUMBER(N103)),NOT(ISNUMBER(N235))),"",N103-N235)</f>
        <v/>
      </c>
      <c r="P367" s="11" t="str">
        <f aca="false">IF(COUNT(D367:N367)=0,"",IF(AND(MAX(D367:N367)&lt;2,MIN(D367:N367)&gt;-2),"Sin diferencia","Diferencia a explicar"))</f>
        <v/>
      </c>
    </row>
    <row r="368" customFormat="false" ht="15" hidden="true" customHeight="false" outlineLevel="1" collapsed="false">
      <c r="A368" s="11" t="s">
        <v>1958</v>
      </c>
      <c r="B368" s="15" t="s">
        <v>1860</v>
      </c>
      <c r="C368" s="11" t="s">
        <v>544</v>
      </c>
      <c r="D368" s="48" t="str">
        <f aca="false">IF(OR(NOT(ISNUMBER(D104)),NOT(ISNUMBER(D236))),"",D104-D236)</f>
        <v/>
      </c>
      <c r="E368" s="48" t="str">
        <f aca="false">IF(OR(NOT(ISNUMBER(E104)),NOT(ISNUMBER(E236))),"",E104-E236)</f>
        <v/>
      </c>
      <c r="F368" s="48" t="str">
        <f aca="false">IF(OR(NOT(ISNUMBER(F104)),NOT(ISNUMBER(F236))),"",F104-F236)</f>
        <v/>
      </c>
      <c r="G368" s="48" t="str">
        <f aca="false">IF(OR(NOT(ISNUMBER(G104)),NOT(ISNUMBER(G236))),"",G104-G236)</f>
        <v/>
      </c>
      <c r="H368" s="48" t="str">
        <f aca="false">IF(OR(NOT(ISNUMBER(H104)),NOT(ISNUMBER(H236))),"",H104-H236)</f>
        <v/>
      </c>
      <c r="I368" s="48" t="str">
        <f aca="false">IF(OR(NOT(ISNUMBER(I104)),NOT(ISNUMBER(I236))),"",I104-I236)</f>
        <v/>
      </c>
      <c r="J368" s="48" t="str">
        <f aca="false">IF(OR(NOT(ISNUMBER(J104)),NOT(ISNUMBER(J236))),"",J104-J236)</f>
        <v/>
      </c>
      <c r="K368" s="48" t="str">
        <f aca="false">IF(OR(NOT(ISNUMBER(K104)),NOT(ISNUMBER(K236))),"",K104-K236)</f>
        <v/>
      </c>
      <c r="L368" s="48" t="str">
        <f aca="false">IF(OR(NOT(ISNUMBER(L104)),NOT(ISNUMBER(L236))),"",L104-L236)</f>
        <v/>
      </c>
      <c r="M368" s="48" t="str">
        <f aca="false">IF(OR(NOT(ISNUMBER(M104)),NOT(ISNUMBER(M236))),"",M104-M236)</f>
        <v/>
      </c>
      <c r="N368" s="48" t="str">
        <f aca="false">IF(OR(NOT(ISNUMBER(N104)),NOT(ISNUMBER(N236))),"",N104-N236)</f>
        <v/>
      </c>
      <c r="O368" s="54" t="str">
        <f aca="false">IF(OR(NOT(ISNUMBER(O104)),NOT(ISNUMBER(O236))),"",O104-O236)</f>
        <v/>
      </c>
      <c r="P368" s="11" t="str">
        <f aca="false">IF(COUNT(D368:N368)=0,"",IF(AND(MAX(D368:N368)&lt;2,MIN(D368:N368)&gt;-2),"Sin diferencia","Diferencia a explicar"))</f>
        <v/>
      </c>
    </row>
    <row r="369" customFormat="false" ht="15" hidden="true" customHeight="false" outlineLevel="1" collapsed="false">
      <c r="A369" s="11" t="s">
        <v>1959</v>
      </c>
      <c r="B369" s="15" t="s">
        <v>1862</v>
      </c>
      <c r="C369" s="11" t="s">
        <v>544</v>
      </c>
      <c r="D369" s="48" t="str">
        <f aca="false">IF(OR(NOT(ISNUMBER(D105)),NOT(ISNUMBER(D237))),"",D105-D237)</f>
        <v/>
      </c>
      <c r="E369" s="48" t="str">
        <f aca="false">IF(OR(NOT(ISNUMBER(E105)),NOT(ISNUMBER(E237))),"",E105-E237)</f>
        <v/>
      </c>
      <c r="F369" s="48" t="str">
        <f aca="false">IF(OR(NOT(ISNUMBER(F105)),NOT(ISNUMBER(F237))),"",F105-F237)</f>
        <v/>
      </c>
      <c r="G369" s="48" t="str">
        <f aca="false">IF(OR(NOT(ISNUMBER(G105)),NOT(ISNUMBER(G237))),"",G105-G237)</f>
        <v/>
      </c>
      <c r="H369" s="48" t="str">
        <f aca="false">IF(OR(NOT(ISNUMBER(H105)),NOT(ISNUMBER(H237))),"",H105-H237)</f>
        <v/>
      </c>
      <c r="I369" s="48" t="str">
        <f aca="false">IF(OR(NOT(ISNUMBER(I105)),NOT(ISNUMBER(I237))),"",I105-I237)</f>
        <v/>
      </c>
      <c r="J369" s="48" t="str">
        <f aca="false">IF(OR(NOT(ISNUMBER(J105)),NOT(ISNUMBER(J237))),"",J105-J237)</f>
        <v/>
      </c>
      <c r="K369" s="48" t="str">
        <f aca="false">IF(OR(NOT(ISNUMBER(K105)),NOT(ISNUMBER(K237))),"",K105-K237)</f>
        <v/>
      </c>
      <c r="L369" s="48" t="str">
        <f aca="false">IF(OR(NOT(ISNUMBER(L105)),NOT(ISNUMBER(L237))),"",L105-L237)</f>
        <v/>
      </c>
      <c r="M369" s="48" t="str">
        <f aca="false">IF(OR(NOT(ISNUMBER(M105)),NOT(ISNUMBER(M237))),"",M105-M237)</f>
        <v/>
      </c>
      <c r="N369" s="48" t="str">
        <f aca="false">IF(OR(NOT(ISNUMBER(N105)),NOT(ISNUMBER(N237))),"",N105-N237)</f>
        <v/>
      </c>
      <c r="O369" s="54" t="str">
        <f aca="false">IF(OR(NOT(ISNUMBER(O105)),NOT(ISNUMBER(O237))),"",O105-O237)</f>
        <v/>
      </c>
      <c r="P369" s="11" t="str">
        <f aca="false">IF(COUNT(D369:N369)=0,"",IF(AND(MAX(D369:N369)&lt;2,MIN(D369:N369)&gt;-2),"Sin diferencia","Diferencia a explicar"))</f>
        <v/>
      </c>
    </row>
    <row r="370" customFormat="false" ht="15" hidden="true" customHeight="false" outlineLevel="1" collapsed="false">
      <c r="A370" s="11" t="s">
        <v>1960</v>
      </c>
      <c r="B370" s="15" t="s">
        <v>1864</v>
      </c>
      <c r="C370" s="11" t="s">
        <v>367</v>
      </c>
      <c r="E370" s="49" t="str">
        <f aca="false">IF(OR(NOT(ISNUMBER(E106)),NOT(ISNUMBER(E238))),"",E106-E238)</f>
        <v/>
      </c>
      <c r="F370" s="49" t="str">
        <f aca="false">IF(OR(NOT(ISNUMBER(F106)),NOT(ISNUMBER(F238))),"",F106-F238)</f>
        <v/>
      </c>
      <c r="G370" s="49" t="str">
        <f aca="false">IF(OR(NOT(ISNUMBER(G106)),NOT(ISNUMBER(G238))),"",G106-G238)</f>
        <v/>
      </c>
      <c r="H370" s="49" t="str">
        <f aca="false">IF(OR(NOT(ISNUMBER(H106)),NOT(ISNUMBER(H238))),"",H106-H238)</f>
        <v/>
      </c>
      <c r="I370" s="49" t="str">
        <f aca="false">IF(OR(NOT(ISNUMBER(I106)),NOT(ISNUMBER(I238))),"",I106-I238)</f>
        <v/>
      </c>
      <c r="J370" s="49" t="str">
        <f aca="false">IF(OR(NOT(ISNUMBER(J106)),NOT(ISNUMBER(J238))),"",J106-J238)</f>
        <v/>
      </c>
      <c r="K370" s="49" t="str">
        <f aca="false">IF(OR(NOT(ISNUMBER(K106)),NOT(ISNUMBER(K238))),"",K106-K238)</f>
        <v/>
      </c>
      <c r="L370" s="49" t="str">
        <f aca="false">IF(OR(NOT(ISNUMBER(L106)),NOT(ISNUMBER(L238))),"",L106-L238)</f>
        <v/>
      </c>
      <c r="M370" s="49" t="str">
        <f aca="false">IF(OR(NOT(ISNUMBER(M106)),NOT(ISNUMBER(M238))),"",M106-M238)</f>
        <v/>
      </c>
      <c r="N370" s="49" t="str">
        <f aca="false">IF(OR(NOT(ISNUMBER(N106)),NOT(ISNUMBER(N238))),"",N106-N238)</f>
        <v/>
      </c>
      <c r="P370" s="11" t="str">
        <f aca="false">IF(COUNT(D370:N370)=0,"",IF(AND(MAX(D370:N370)&lt;0.0005,MIN(D370:N370)&gt;-0.0005),"Sin diferencia","Diferencia a explicar"))</f>
        <v/>
      </c>
    </row>
    <row r="371" customFormat="false" ht="15" hidden="true" customHeight="false" outlineLevel="1" collapsed="false">
      <c r="A371" s="11" t="s">
        <v>1961</v>
      </c>
      <c r="B371" s="15" t="s">
        <v>1866</v>
      </c>
      <c r="C371" s="11" t="s">
        <v>367</v>
      </c>
      <c r="E371" s="49" t="str">
        <f aca="false">IF(OR(NOT(ISNUMBER(E107)),NOT(ISNUMBER(E239))),"",E107-E239)</f>
        <v/>
      </c>
      <c r="F371" s="49" t="str">
        <f aca="false">IF(OR(NOT(ISNUMBER(F107)),NOT(ISNUMBER(F239))),"",F107-F239)</f>
        <v/>
      </c>
      <c r="G371" s="49" t="str">
        <f aca="false">IF(OR(NOT(ISNUMBER(G107)),NOT(ISNUMBER(G239))),"",G107-G239)</f>
        <v/>
      </c>
      <c r="H371" s="49" t="str">
        <f aca="false">IF(OR(NOT(ISNUMBER(H107)),NOT(ISNUMBER(H239))),"",H107-H239)</f>
        <v/>
      </c>
      <c r="I371" s="49" t="str">
        <f aca="false">IF(OR(NOT(ISNUMBER(I107)),NOT(ISNUMBER(I239))),"",I107-I239)</f>
        <v/>
      </c>
      <c r="J371" s="49" t="str">
        <f aca="false">IF(OR(NOT(ISNUMBER(J107)),NOT(ISNUMBER(J239))),"",J107-J239)</f>
        <v/>
      </c>
      <c r="K371" s="49" t="str">
        <f aca="false">IF(OR(NOT(ISNUMBER(K107)),NOT(ISNUMBER(K239))),"",K107-K239)</f>
        <v/>
      </c>
      <c r="L371" s="49" t="str">
        <f aca="false">IF(OR(NOT(ISNUMBER(L107)),NOT(ISNUMBER(L239))),"",L107-L239)</f>
        <v/>
      </c>
      <c r="M371" s="49" t="str">
        <f aca="false">IF(OR(NOT(ISNUMBER(M107)),NOT(ISNUMBER(M239))),"",M107-M239)</f>
        <v/>
      </c>
      <c r="N371" s="49" t="str">
        <f aca="false">IF(OR(NOT(ISNUMBER(N107)),NOT(ISNUMBER(N239))),"",N107-N239)</f>
        <v/>
      </c>
      <c r="O371" s="99" t="str">
        <f aca="false">IF(OR(NOT(ISNUMBER(O107)),NOT(ISNUMBER(O239))),"",O107-O239)</f>
        <v/>
      </c>
      <c r="P371" s="11" t="str">
        <f aca="false">IF(COUNT(D371:N371)=0,"",IF(AND(MAX(D371:N371)&lt;0.0005,MIN(D371:N371)&gt;-0.0005),"Sin diferencia","Diferencia a explicar"))</f>
        <v/>
      </c>
    </row>
    <row r="372" customFormat="false" ht="15" hidden="true" customHeight="false" outlineLevel="1" collapsed="false">
      <c r="A372" s="11" t="s">
        <v>1962</v>
      </c>
      <c r="B372" s="53" t="str">
        <f aca="false">IF(INDEX(Prod_Nombre,21)="","Producto 21",INDEX(Prod_Nombre,21))&amp;" — capacidad instalada"</f>
        <v>Producto 21 — capacidad instalada</v>
      </c>
      <c r="C372" s="11" t="s">
        <v>544</v>
      </c>
      <c r="E372" s="48" t="str">
        <f aca="false">IF(OR(NOT(ISNUMBER(E108)),NOT(ISNUMBER(E240))),"",E108-E240)</f>
        <v/>
      </c>
      <c r="F372" s="48" t="str">
        <f aca="false">IF(OR(NOT(ISNUMBER(F108)),NOT(ISNUMBER(F240))),"",F108-F240)</f>
        <v/>
      </c>
      <c r="G372" s="48" t="str">
        <f aca="false">IF(OR(NOT(ISNUMBER(G108)),NOT(ISNUMBER(G240))),"",G108-G240)</f>
        <v/>
      </c>
      <c r="H372" s="48" t="str">
        <f aca="false">IF(OR(NOT(ISNUMBER(H108)),NOT(ISNUMBER(H240))),"",H108-H240)</f>
        <v/>
      </c>
      <c r="I372" s="48" t="str">
        <f aca="false">IF(OR(NOT(ISNUMBER(I108)),NOT(ISNUMBER(I240))),"",I108-I240)</f>
        <v/>
      </c>
      <c r="J372" s="48" t="str">
        <f aca="false">IF(OR(NOT(ISNUMBER(J108)),NOT(ISNUMBER(J240))),"",J108-J240)</f>
        <v/>
      </c>
      <c r="K372" s="48" t="str">
        <f aca="false">IF(OR(NOT(ISNUMBER(K108)),NOT(ISNUMBER(K240))),"",K108-K240)</f>
        <v/>
      </c>
      <c r="L372" s="48" t="str">
        <f aca="false">IF(OR(NOT(ISNUMBER(L108)),NOT(ISNUMBER(L240))),"",L108-L240)</f>
        <v/>
      </c>
      <c r="M372" s="48" t="str">
        <f aca="false">IF(OR(NOT(ISNUMBER(M108)),NOT(ISNUMBER(M240))),"",M108-M240)</f>
        <v/>
      </c>
      <c r="N372" s="48" t="str">
        <f aca="false">IF(OR(NOT(ISNUMBER(N108)),NOT(ISNUMBER(N240))),"",N108-N240)</f>
        <v/>
      </c>
      <c r="P372" s="11" t="str">
        <f aca="false">IF(COUNT(D372:N372)=0,"",IF(AND(MAX(D372:N372)&lt;2,MIN(D372:N372)&gt;-2),"Sin diferencia","Diferencia a explicar"))</f>
        <v/>
      </c>
    </row>
    <row r="373" customFormat="false" ht="15" hidden="true" customHeight="false" outlineLevel="1" collapsed="false">
      <c r="A373" s="11" t="s">
        <v>1963</v>
      </c>
      <c r="B373" s="15" t="s">
        <v>1860</v>
      </c>
      <c r="C373" s="11" t="s">
        <v>544</v>
      </c>
      <c r="D373" s="48" t="str">
        <f aca="false">IF(OR(NOT(ISNUMBER(D109)),NOT(ISNUMBER(D241))),"",D109-D241)</f>
        <v/>
      </c>
      <c r="E373" s="48" t="str">
        <f aca="false">IF(OR(NOT(ISNUMBER(E109)),NOT(ISNUMBER(E241))),"",E109-E241)</f>
        <v/>
      </c>
      <c r="F373" s="48" t="str">
        <f aca="false">IF(OR(NOT(ISNUMBER(F109)),NOT(ISNUMBER(F241))),"",F109-F241)</f>
        <v/>
      </c>
      <c r="G373" s="48" t="str">
        <f aca="false">IF(OR(NOT(ISNUMBER(G109)),NOT(ISNUMBER(G241))),"",G109-G241)</f>
        <v/>
      </c>
      <c r="H373" s="48" t="str">
        <f aca="false">IF(OR(NOT(ISNUMBER(H109)),NOT(ISNUMBER(H241))),"",H109-H241)</f>
        <v/>
      </c>
      <c r="I373" s="48" t="str">
        <f aca="false">IF(OR(NOT(ISNUMBER(I109)),NOT(ISNUMBER(I241))),"",I109-I241)</f>
        <v/>
      </c>
      <c r="J373" s="48" t="str">
        <f aca="false">IF(OR(NOT(ISNUMBER(J109)),NOT(ISNUMBER(J241))),"",J109-J241)</f>
        <v/>
      </c>
      <c r="K373" s="48" t="str">
        <f aca="false">IF(OR(NOT(ISNUMBER(K109)),NOT(ISNUMBER(K241))),"",K109-K241)</f>
        <v/>
      </c>
      <c r="L373" s="48" t="str">
        <f aca="false">IF(OR(NOT(ISNUMBER(L109)),NOT(ISNUMBER(L241))),"",L109-L241)</f>
        <v/>
      </c>
      <c r="M373" s="48" t="str">
        <f aca="false">IF(OR(NOT(ISNUMBER(M109)),NOT(ISNUMBER(M241))),"",M109-M241)</f>
        <v/>
      </c>
      <c r="N373" s="48" t="str">
        <f aca="false">IF(OR(NOT(ISNUMBER(N109)),NOT(ISNUMBER(N241))),"",N109-N241)</f>
        <v/>
      </c>
      <c r="O373" s="54" t="str">
        <f aca="false">IF(OR(NOT(ISNUMBER(O109)),NOT(ISNUMBER(O241))),"",O109-O241)</f>
        <v/>
      </c>
      <c r="P373" s="11" t="str">
        <f aca="false">IF(COUNT(D373:N373)=0,"",IF(AND(MAX(D373:N373)&lt;2,MIN(D373:N373)&gt;-2),"Sin diferencia","Diferencia a explicar"))</f>
        <v/>
      </c>
    </row>
    <row r="374" customFormat="false" ht="15" hidden="true" customHeight="false" outlineLevel="1" collapsed="false">
      <c r="A374" s="11" t="s">
        <v>1964</v>
      </c>
      <c r="B374" s="15" t="s">
        <v>1862</v>
      </c>
      <c r="C374" s="11" t="s">
        <v>544</v>
      </c>
      <c r="D374" s="48" t="str">
        <f aca="false">IF(OR(NOT(ISNUMBER(D110)),NOT(ISNUMBER(D242))),"",D110-D242)</f>
        <v/>
      </c>
      <c r="E374" s="48" t="str">
        <f aca="false">IF(OR(NOT(ISNUMBER(E110)),NOT(ISNUMBER(E242))),"",E110-E242)</f>
        <v/>
      </c>
      <c r="F374" s="48" t="str">
        <f aca="false">IF(OR(NOT(ISNUMBER(F110)),NOT(ISNUMBER(F242))),"",F110-F242)</f>
        <v/>
      </c>
      <c r="G374" s="48" t="str">
        <f aca="false">IF(OR(NOT(ISNUMBER(G110)),NOT(ISNUMBER(G242))),"",G110-G242)</f>
        <v/>
      </c>
      <c r="H374" s="48" t="str">
        <f aca="false">IF(OR(NOT(ISNUMBER(H110)),NOT(ISNUMBER(H242))),"",H110-H242)</f>
        <v/>
      </c>
      <c r="I374" s="48" t="str">
        <f aca="false">IF(OR(NOT(ISNUMBER(I110)),NOT(ISNUMBER(I242))),"",I110-I242)</f>
        <v/>
      </c>
      <c r="J374" s="48" t="str">
        <f aca="false">IF(OR(NOT(ISNUMBER(J110)),NOT(ISNUMBER(J242))),"",J110-J242)</f>
        <v/>
      </c>
      <c r="K374" s="48" t="str">
        <f aca="false">IF(OR(NOT(ISNUMBER(K110)),NOT(ISNUMBER(K242))),"",K110-K242)</f>
        <v/>
      </c>
      <c r="L374" s="48" t="str">
        <f aca="false">IF(OR(NOT(ISNUMBER(L110)),NOT(ISNUMBER(L242))),"",L110-L242)</f>
        <v/>
      </c>
      <c r="M374" s="48" t="str">
        <f aca="false">IF(OR(NOT(ISNUMBER(M110)),NOT(ISNUMBER(M242))),"",M110-M242)</f>
        <v/>
      </c>
      <c r="N374" s="48" t="str">
        <f aca="false">IF(OR(NOT(ISNUMBER(N110)),NOT(ISNUMBER(N242))),"",N110-N242)</f>
        <v/>
      </c>
      <c r="O374" s="54" t="str">
        <f aca="false">IF(OR(NOT(ISNUMBER(O110)),NOT(ISNUMBER(O242))),"",O110-O242)</f>
        <v/>
      </c>
      <c r="P374" s="11" t="str">
        <f aca="false">IF(COUNT(D374:N374)=0,"",IF(AND(MAX(D374:N374)&lt;2,MIN(D374:N374)&gt;-2),"Sin diferencia","Diferencia a explicar"))</f>
        <v/>
      </c>
    </row>
    <row r="375" customFormat="false" ht="15" hidden="true" customHeight="false" outlineLevel="1" collapsed="false">
      <c r="A375" s="11" t="s">
        <v>1965</v>
      </c>
      <c r="B375" s="15" t="s">
        <v>1864</v>
      </c>
      <c r="C375" s="11" t="s">
        <v>367</v>
      </c>
      <c r="E375" s="49" t="str">
        <f aca="false">IF(OR(NOT(ISNUMBER(E111)),NOT(ISNUMBER(E243))),"",E111-E243)</f>
        <v/>
      </c>
      <c r="F375" s="49" t="str">
        <f aca="false">IF(OR(NOT(ISNUMBER(F111)),NOT(ISNUMBER(F243))),"",F111-F243)</f>
        <v/>
      </c>
      <c r="G375" s="49" t="str">
        <f aca="false">IF(OR(NOT(ISNUMBER(G111)),NOT(ISNUMBER(G243))),"",G111-G243)</f>
        <v/>
      </c>
      <c r="H375" s="49" t="str">
        <f aca="false">IF(OR(NOT(ISNUMBER(H111)),NOT(ISNUMBER(H243))),"",H111-H243)</f>
        <v/>
      </c>
      <c r="I375" s="49" t="str">
        <f aca="false">IF(OR(NOT(ISNUMBER(I111)),NOT(ISNUMBER(I243))),"",I111-I243)</f>
        <v/>
      </c>
      <c r="J375" s="49" t="str">
        <f aca="false">IF(OR(NOT(ISNUMBER(J111)),NOT(ISNUMBER(J243))),"",J111-J243)</f>
        <v/>
      </c>
      <c r="K375" s="49" t="str">
        <f aca="false">IF(OR(NOT(ISNUMBER(K111)),NOT(ISNUMBER(K243))),"",K111-K243)</f>
        <v/>
      </c>
      <c r="L375" s="49" t="str">
        <f aca="false">IF(OR(NOT(ISNUMBER(L111)),NOT(ISNUMBER(L243))),"",L111-L243)</f>
        <v/>
      </c>
      <c r="M375" s="49" t="str">
        <f aca="false">IF(OR(NOT(ISNUMBER(M111)),NOT(ISNUMBER(M243))),"",M111-M243)</f>
        <v/>
      </c>
      <c r="N375" s="49" t="str">
        <f aca="false">IF(OR(NOT(ISNUMBER(N111)),NOT(ISNUMBER(N243))),"",N111-N243)</f>
        <v/>
      </c>
      <c r="P375" s="11" t="str">
        <f aca="false">IF(COUNT(D375:N375)=0,"",IF(AND(MAX(D375:N375)&lt;0.0005,MIN(D375:N375)&gt;-0.0005),"Sin diferencia","Diferencia a explicar"))</f>
        <v/>
      </c>
    </row>
    <row r="376" customFormat="false" ht="15" hidden="true" customHeight="false" outlineLevel="1" collapsed="false">
      <c r="A376" s="11" t="s">
        <v>1966</v>
      </c>
      <c r="B376" s="15" t="s">
        <v>1866</v>
      </c>
      <c r="C376" s="11" t="s">
        <v>367</v>
      </c>
      <c r="E376" s="49" t="str">
        <f aca="false">IF(OR(NOT(ISNUMBER(E112)),NOT(ISNUMBER(E244))),"",E112-E244)</f>
        <v/>
      </c>
      <c r="F376" s="49" t="str">
        <f aca="false">IF(OR(NOT(ISNUMBER(F112)),NOT(ISNUMBER(F244))),"",F112-F244)</f>
        <v/>
      </c>
      <c r="G376" s="49" t="str">
        <f aca="false">IF(OR(NOT(ISNUMBER(G112)),NOT(ISNUMBER(G244))),"",G112-G244)</f>
        <v/>
      </c>
      <c r="H376" s="49" t="str">
        <f aca="false">IF(OR(NOT(ISNUMBER(H112)),NOT(ISNUMBER(H244))),"",H112-H244)</f>
        <v/>
      </c>
      <c r="I376" s="49" t="str">
        <f aca="false">IF(OR(NOT(ISNUMBER(I112)),NOT(ISNUMBER(I244))),"",I112-I244)</f>
        <v/>
      </c>
      <c r="J376" s="49" t="str">
        <f aca="false">IF(OR(NOT(ISNUMBER(J112)),NOT(ISNUMBER(J244))),"",J112-J244)</f>
        <v/>
      </c>
      <c r="K376" s="49" t="str">
        <f aca="false">IF(OR(NOT(ISNUMBER(K112)),NOT(ISNUMBER(K244))),"",K112-K244)</f>
        <v/>
      </c>
      <c r="L376" s="49" t="str">
        <f aca="false">IF(OR(NOT(ISNUMBER(L112)),NOT(ISNUMBER(L244))),"",L112-L244)</f>
        <v/>
      </c>
      <c r="M376" s="49" t="str">
        <f aca="false">IF(OR(NOT(ISNUMBER(M112)),NOT(ISNUMBER(M244))),"",M112-M244)</f>
        <v/>
      </c>
      <c r="N376" s="49" t="str">
        <f aca="false">IF(OR(NOT(ISNUMBER(N112)),NOT(ISNUMBER(N244))),"",N112-N244)</f>
        <v/>
      </c>
      <c r="O376" s="99" t="str">
        <f aca="false">IF(OR(NOT(ISNUMBER(O112)),NOT(ISNUMBER(O244))),"",O112-O244)</f>
        <v/>
      </c>
      <c r="P376" s="11" t="str">
        <f aca="false">IF(COUNT(D376:N376)=0,"",IF(AND(MAX(D376:N376)&lt;0.0005,MIN(D376:N376)&gt;-0.0005),"Sin diferencia","Diferencia a explicar"))</f>
        <v/>
      </c>
    </row>
    <row r="377" customFormat="false" ht="15" hidden="true" customHeight="false" outlineLevel="1" collapsed="false">
      <c r="A377" s="11" t="s">
        <v>1967</v>
      </c>
      <c r="B377" s="53" t="str">
        <f aca="false">IF(INDEX(Prod_Nombre,22)="","Producto 22",INDEX(Prod_Nombre,22))&amp;" — capacidad instalada"</f>
        <v>Producto 22 — capacidad instalada</v>
      </c>
      <c r="C377" s="11" t="s">
        <v>544</v>
      </c>
      <c r="E377" s="48" t="str">
        <f aca="false">IF(OR(NOT(ISNUMBER(E113)),NOT(ISNUMBER(E245))),"",E113-E245)</f>
        <v/>
      </c>
      <c r="F377" s="48" t="str">
        <f aca="false">IF(OR(NOT(ISNUMBER(F113)),NOT(ISNUMBER(F245))),"",F113-F245)</f>
        <v/>
      </c>
      <c r="G377" s="48" t="str">
        <f aca="false">IF(OR(NOT(ISNUMBER(G113)),NOT(ISNUMBER(G245))),"",G113-G245)</f>
        <v/>
      </c>
      <c r="H377" s="48" t="str">
        <f aca="false">IF(OR(NOT(ISNUMBER(H113)),NOT(ISNUMBER(H245))),"",H113-H245)</f>
        <v/>
      </c>
      <c r="I377" s="48" t="str">
        <f aca="false">IF(OR(NOT(ISNUMBER(I113)),NOT(ISNUMBER(I245))),"",I113-I245)</f>
        <v/>
      </c>
      <c r="J377" s="48" t="str">
        <f aca="false">IF(OR(NOT(ISNUMBER(J113)),NOT(ISNUMBER(J245))),"",J113-J245)</f>
        <v/>
      </c>
      <c r="K377" s="48" t="str">
        <f aca="false">IF(OR(NOT(ISNUMBER(K113)),NOT(ISNUMBER(K245))),"",K113-K245)</f>
        <v/>
      </c>
      <c r="L377" s="48" t="str">
        <f aca="false">IF(OR(NOT(ISNUMBER(L113)),NOT(ISNUMBER(L245))),"",L113-L245)</f>
        <v/>
      </c>
      <c r="M377" s="48" t="str">
        <f aca="false">IF(OR(NOT(ISNUMBER(M113)),NOT(ISNUMBER(M245))),"",M113-M245)</f>
        <v/>
      </c>
      <c r="N377" s="48" t="str">
        <f aca="false">IF(OR(NOT(ISNUMBER(N113)),NOT(ISNUMBER(N245))),"",N113-N245)</f>
        <v/>
      </c>
      <c r="P377" s="11" t="str">
        <f aca="false">IF(COUNT(D377:N377)=0,"",IF(AND(MAX(D377:N377)&lt;2,MIN(D377:N377)&gt;-2),"Sin diferencia","Diferencia a explicar"))</f>
        <v/>
      </c>
    </row>
    <row r="378" customFormat="false" ht="15" hidden="true" customHeight="false" outlineLevel="1" collapsed="false">
      <c r="A378" s="11" t="s">
        <v>1968</v>
      </c>
      <c r="B378" s="15" t="s">
        <v>1860</v>
      </c>
      <c r="C378" s="11" t="s">
        <v>544</v>
      </c>
      <c r="D378" s="48" t="str">
        <f aca="false">IF(OR(NOT(ISNUMBER(D114)),NOT(ISNUMBER(D246))),"",D114-D246)</f>
        <v/>
      </c>
      <c r="E378" s="48" t="str">
        <f aca="false">IF(OR(NOT(ISNUMBER(E114)),NOT(ISNUMBER(E246))),"",E114-E246)</f>
        <v/>
      </c>
      <c r="F378" s="48" t="str">
        <f aca="false">IF(OR(NOT(ISNUMBER(F114)),NOT(ISNUMBER(F246))),"",F114-F246)</f>
        <v/>
      </c>
      <c r="G378" s="48" t="str">
        <f aca="false">IF(OR(NOT(ISNUMBER(G114)),NOT(ISNUMBER(G246))),"",G114-G246)</f>
        <v/>
      </c>
      <c r="H378" s="48" t="str">
        <f aca="false">IF(OR(NOT(ISNUMBER(H114)),NOT(ISNUMBER(H246))),"",H114-H246)</f>
        <v/>
      </c>
      <c r="I378" s="48" t="str">
        <f aca="false">IF(OR(NOT(ISNUMBER(I114)),NOT(ISNUMBER(I246))),"",I114-I246)</f>
        <v/>
      </c>
      <c r="J378" s="48" t="str">
        <f aca="false">IF(OR(NOT(ISNUMBER(J114)),NOT(ISNUMBER(J246))),"",J114-J246)</f>
        <v/>
      </c>
      <c r="K378" s="48" t="str">
        <f aca="false">IF(OR(NOT(ISNUMBER(K114)),NOT(ISNUMBER(K246))),"",K114-K246)</f>
        <v/>
      </c>
      <c r="L378" s="48" t="str">
        <f aca="false">IF(OR(NOT(ISNUMBER(L114)),NOT(ISNUMBER(L246))),"",L114-L246)</f>
        <v/>
      </c>
      <c r="M378" s="48" t="str">
        <f aca="false">IF(OR(NOT(ISNUMBER(M114)),NOT(ISNUMBER(M246))),"",M114-M246)</f>
        <v/>
      </c>
      <c r="N378" s="48" t="str">
        <f aca="false">IF(OR(NOT(ISNUMBER(N114)),NOT(ISNUMBER(N246))),"",N114-N246)</f>
        <v/>
      </c>
      <c r="O378" s="54" t="str">
        <f aca="false">IF(OR(NOT(ISNUMBER(O114)),NOT(ISNUMBER(O246))),"",O114-O246)</f>
        <v/>
      </c>
      <c r="P378" s="11" t="str">
        <f aca="false">IF(COUNT(D378:N378)=0,"",IF(AND(MAX(D378:N378)&lt;2,MIN(D378:N378)&gt;-2),"Sin diferencia","Diferencia a explicar"))</f>
        <v/>
      </c>
    </row>
    <row r="379" customFormat="false" ht="15" hidden="true" customHeight="false" outlineLevel="1" collapsed="false">
      <c r="A379" s="11" t="s">
        <v>1969</v>
      </c>
      <c r="B379" s="15" t="s">
        <v>1862</v>
      </c>
      <c r="C379" s="11" t="s">
        <v>544</v>
      </c>
      <c r="D379" s="48" t="str">
        <f aca="false">IF(OR(NOT(ISNUMBER(D115)),NOT(ISNUMBER(D247))),"",D115-D247)</f>
        <v/>
      </c>
      <c r="E379" s="48" t="str">
        <f aca="false">IF(OR(NOT(ISNUMBER(E115)),NOT(ISNUMBER(E247))),"",E115-E247)</f>
        <v/>
      </c>
      <c r="F379" s="48" t="str">
        <f aca="false">IF(OR(NOT(ISNUMBER(F115)),NOT(ISNUMBER(F247))),"",F115-F247)</f>
        <v/>
      </c>
      <c r="G379" s="48" t="str">
        <f aca="false">IF(OR(NOT(ISNUMBER(G115)),NOT(ISNUMBER(G247))),"",G115-G247)</f>
        <v/>
      </c>
      <c r="H379" s="48" t="str">
        <f aca="false">IF(OR(NOT(ISNUMBER(H115)),NOT(ISNUMBER(H247))),"",H115-H247)</f>
        <v/>
      </c>
      <c r="I379" s="48" t="str">
        <f aca="false">IF(OR(NOT(ISNUMBER(I115)),NOT(ISNUMBER(I247))),"",I115-I247)</f>
        <v/>
      </c>
      <c r="J379" s="48" t="str">
        <f aca="false">IF(OR(NOT(ISNUMBER(J115)),NOT(ISNUMBER(J247))),"",J115-J247)</f>
        <v/>
      </c>
      <c r="K379" s="48" t="str">
        <f aca="false">IF(OR(NOT(ISNUMBER(K115)),NOT(ISNUMBER(K247))),"",K115-K247)</f>
        <v/>
      </c>
      <c r="L379" s="48" t="str">
        <f aca="false">IF(OR(NOT(ISNUMBER(L115)),NOT(ISNUMBER(L247))),"",L115-L247)</f>
        <v/>
      </c>
      <c r="M379" s="48" t="str">
        <f aca="false">IF(OR(NOT(ISNUMBER(M115)),NOT(ISNUMBER(M247))),"",M115-M247)</f>
        <v/>
      </c>
      <c r="N379" s="48" t="str">
        <f aca="false">IF(OR(NOT(ISNUMBER(N115)),NOT(ISNUMBER(N247))),"",N115-N247)</f>
        <v/>
      </c>
      <c r="O379" s="54" t="str">
        <f aca="false">IF(OR(NOT(ISNUMBER(O115)),NOT(ISNUMBER(O247))),"",O115-O247)</f>
        <v/>
      </c>
      <c r="P379" s="11" t="str">
        <f aca="false">IF(COUNT(D379:N379)=0,"",IF(AND(MAX(D379:N379)&lt;2,MIN(D379:N379)&gt;-2),"Sin diferencia","Diferencia a explicar"))</f>
        <v/>
      </c>
    </row>
    <row r="380" customFormat="false" ht="15" hidden="true" customHeight="false" outlineLevel="1" collapsed="false">
      <c r="A380" s="11" t="s">
        <v>1970</v>
      </c>
      <c r="B380" s="15" t="s">
        <v>1864</v>
      </c>
      <c r="C380" s="11" t="s">
        <v>367</v>
      </c>
      <c r="E380" s="49" t="str">
        <f aca="false">IF(OR(NOT(ISNUMBER(E116)),NOT(ISNUMBER(E248))),"",E116-E248)</f>
        <v/>
      </c>
      <c r="F380" s="49" t="str">
        <f aca="false">IF(OR(NOT(ISNUMBER(F116)),NOT(ISNUMBER(F248))),"",F116-F248)</f>
        <v/>
      </c>
      <c r="G380" s="49" t="str">
        <f aca="false">IF(OR(NOT(ISNUMBER(G116)),NOT(ISNUMBER(G248))),"",G116-G248)</f>
        <v/>
      </c>
      <c r="H380" s="49" t="str">
        <f aca="false">IF(OR(NOT(ISNUMBER(H116)),NOT(ISNUMBER(H248))),"",H116-H248)</f>
        <v/>
      </c>
      <c r="I380" s="49" t="str">
        <f aca="false">IF(OR(NOT(ISNUMBER(I116)),NOT(ISNUMBER(I248))),"",I116-I248)</f>
        <v/>
      </c>
      <c r="J380" s="49" t="str">
        <f aca="false">IF(OR(NOT(ISNUMBER(J116)),NOT(ISNUMBER(J248))),"",J116-J248)</f>
        <v/>
      </c>
      <c r="K380" s="49" t="str">
        <f aca="false">IF(OR(NOT(ISNUMBER(K116)),NOT(ISNUMBER(K248))),"",K116-K248)</f>
        <v/>
      </c>
      <c r="L380" s="49" t="str">
        <f aca="false">IF(OR(NOT(ISNUMBER(L116)),NOT(ISNUMBER(L248))),"",L116-L248)</f>
        <v/>
      </c>
      <c r="M380" s="49" t="str">
        <f aca="false">IF(OR(NOT(ISNUMBER(M116)),NOT(ISNUMBER(M248))),"",M116-M248)</f>
        <v/>
      </c>
      <c r="N380" s="49" t="str">
        <f aca="false">IF(OR(NOT(ISNUMBER(N116)),NOT(ISNUMBER(N248))),"",N116-N248)</f>
        <v/>
      </c>
      <c r="P380" s="11" t="str">
        <f aca="false">IF(COUNT(D380:N380)=0,"",IF(AND(MAX(D380:N380)&lt;0.0005,MIN(D380:N380)&gt;-0.0005),"Sin diferencia","Diferencia a explicar"))</f>
        <v/>
      </c>
    </row>
    <row r="381" customFormat="false" ht="15" hidden="true" customHeight="false" outlineLevel="1" collapsed="false">
      <c r="A381" s="11" t="s">
        <v>1971</v>
      </c>
      <c r="B381" s="15" t="s">
        <v>1866</v>
      </c>
      <c r="C381" s="11" t="s">
        <v>367</v>
      </c>
      <c r="E381" s="49" t="str">
        <f aca="false">IF(OR(NOT(ISNUMBER(E117)),NOT(ISNUMBER(E249))),"",E117-E249)</f>
        <v/>
      </c>
      <c r="F381" s="49" t="str">
        <f aca="false">IF(OR(NOT(ISNUMBER(F117)),NOT(ISNUMBER(F249))),"",F117-F249)</f>
        <v/>
      </c>
      <c r="G381" s="49" t="str">
        <f aca="false">IF(OR(NOT(ISNUMBER(G117)),NOT(ISNUMBER(G249))),"",G117-G249)</f>
        <v/>
      </c>
      <c r="H381" s="49" t="str">
        <f aca="false">IF(OR(NOT(ISNUMBER(H117)),NOT(ISNUMBER(H249))),"",H117-H249)</f>
        <v/>
      </c>
      <c r="I381" s="49" t="str">
        <f aca="false">IF(OR(NOT(ISNUMBER(I117)),NOT(ISNUMBER(I249))),"",I117-I249)</f>
        <v/>
      </c>
      <c r="J381" s="49" t="str">
        <f aca="false">IF(OR(NOT(ISNUMBER(J117)),NOT(ISNUMBER(J249))),"",J117-J249)</f>
        <v/>
      </c>
      <c r="K381" s="49" t="str">
        <f aca="false">IF(OR(NOT(ISNUMBER(K117)),NOT(ISNUMBER(K249))),"",K117-K249)</f>
        <v/>
      </c>
      <c r="L381" s="49" t="str">
        <f aca="false">IF(OR(NOT(ISNUMBER(L117)),NOT(ISNUMBER(L249))),"",L117-L249)</f>
        <v/>
      </c>
      <c r="M381" s="49" t="str">
        <f aca="false">IF(OR(NOT(ISNUMBER(M117)),NOT(ISNUMBER(M249))),"",M117-M249)</f>
        <v/>
      </c>
      <c r="N381" s="49" t="str">
        <f aca="false">IF(OR(NOT(ISNUMBER(N117)),NOT(ISNUMBER(N249))),"",N117-N249)</f>
        <v/>
      </c>
      <c r="O381" s="99" t="str">
        <f aca="false">IF(OR(NOT(ISNUMBER(O117)),NOT(ISNUMBER(O249))),"",O117-O249)</f>
        <v/>
      </c>
      <c r="P381" s="11" t="str">
        <f aca="false">IF(COUNT(D381:N381)=0,"",IF(AND(MAX(D381:N381)&lt;0.0005,MIN(D381:N381)&gt;-0.0005),"Sin diferencia","Diferencia a explicar"))</f>
        <v/>
      </c>
    </row>
    <row r="382" customFormat="false" ht="15" hidden="true" customHeight="false" outlineLevel="1" collapsed="false">
      <c r="A382" s="11" t="s">
        <v>1972</v>
      </c>
      <c r="B382" s="53" t="str">
        <f aca="false">IF(INDEX(Prod_Nombre,23)="","Producto 23",INDEX(Prod_Nombre,23))&amp;" — capacidad instalada"</f>
        <v>Producto 23 — capacidad instalada</v>
      </c>
      <c r="C382" s="11" t="s">
        <v>544</v>
      </c>
      <c r="E382" s="48" t="str">
        <f aca="false">IF(OR(NOT(ISNUMBER(E118)),NOT(ISNUMBER(E250))),"",E118-E250)</f>
        <v/>
      </c>
      <c r="F382" s="48" t="str">
        <f aca="false">IF(OR(NOT(ISNUMBER(F118)),NOT(ISNUMBER(F250))),"",F118-F250)</f>
        <v/>
      </c>
      <c r="G382" s="48" t="str">
        <f aca="false">IF(OR(NOT(ISNUMBER(G118)),NOT(ISNUMBER(G250))),"",G118-G250)</f>
        <v/>
      </c>
      <c r="H382" s="48" t="str">
        <f aca="false">IF(OR(NOT(ISNUMBER(H118)),NOT(ISNUMBER(H250))),"",H118-H250)</f>
        <v/>
      </c>
      <c r="I382" s="48" t="str">
        <f aca="false">IF(OR(NOT(ISNUMBER(I118)),NOT(ISNUMBER(I250))),"",I118-I250)</f>
        <v/>
      </c>
      <c r="J382" s="48" t="str">
        <f aca="false">IF(OR(NOT(ISNUMBER(J118)),NOT(ISNUMBER(J250))),"",J118-J250)</f>
        <v/>
      </c>
      <c r="K382" s="48" t="str">
        <f aca="false">IF(OR(NOT(ISNUMBER(K118)),NOT(ISNUMBER(K250))),"",K118-K250)</f>
        <v/>
      </c>
      <c r="L382" s="48" t="str">
        <f aca="false">IF(OR(NOT(ISNUMBER(L118)),NOT(ISNUMBER(L250))),"",L118-L250)</f>
        <v/>
      </c>
      <c r="M382" s="48" t="str">
        <f aca="false">IF(OR(NOT(ISNUMBER(M118)),NOT(ISNUMBER(M250))),"",M118-M250)</f>
        <v/>
      </c>
      <c r="N382" s="48" t="str">
        <f aca="false">IF(OR(NOT(ISNUMBER(N118)),NOT(ISNUMBER(N250))),"",N118-N250)</f>
        <v/>
      </c>
      <c r="P382" s="11" t="str">
        <f aca="false">IF(COUNT(D382:N382)=0,"",IF(AND(MAX(D382:N382)&lt;2,MIN(D382:N382)&gt;-2),"Sin diferencia","Diferencia a explicar"))</f>
        <v/>
      </c>
    </row>
    <row r="383" customFormat="false" ht="15" hidden="true" customHeight="false" outlineLevel="1" collapsed="false">
      <c r="A383" s="11" t="s">
        <v>1973</v>
      </c>
      <c r="B383" s="15" t="s">
        <v>1860</v>
      </c>
      <c r="C383" s="11" t="s">
        <v>544</v>
      </c>
      <c r="D383" s="48" t="str">
        <f aca="false">IF(OR(NOT(ISNUMBER(D119)),NOT(ISNUMBER(D251))),"",D119-D251)</f>
        <v/>
      </c>
      <c r="E383" s="48" t="str">
        <f aca="false">IF(OR(NOT(ISNUMBER(E119)),NOT(ISNUMBER(E251))),"",E119-E251)</f>
        <v/>
      </c>
      <c r="F383" s="48" t="str">
        <f aca="false">IF(OR(NOT(ISNUMBER(F119)),NOT(ISNUMBER(F251))),"",F119-F251)</f>
        <v/>
      </c>
      <c r="G383" s="48" t="str">
        <f aca="false">IF(OR(NOT(ISNUMBER(G119)),NOT(ISNUMBER(G251))),"",G119-G251)</f>
        <v/>
      </c>
      <c r="H383" s="48" t="str">
        <f aca="false">IF(OR(NOT(ISNUMBER(H119)),NOT(ISNUMBER(H251))),"",H119-H251)</f>
        <v/>
      </c>
      <c r="I383" s="48" t="str">
        <f aca="false">IF(OR(NOT(ISNUMBER(I119)),NOT(ISNUMBER(I251))),"",I119-I251)</f>
        <v/>
      </c>
      <c r="J383" s="48" t="str">
        <f aca="false">IF(OR(NOT(ISNUMBER(J119)),NOT(ISNUMBER(J251))),"",J119-J251)</f>
        <v/>
      </c>
      <c r="K383" s="48" t="str">
        <f aca="false">IF(OR(NOT(ISNUMBER(K119)),NOT(ISNUMBER(K251))),"",K119-K251)</f>
        <v/>
      </c>
      <c r="L383" s="48" t="str">
        <f aca="false">IF(OR(NOT(ISNUMBER(L119)),NOT(ISNUMBER(L251))),"",L119-L251)</f>
        <v/>
      </c>
      <c r="M383" s="48" t="str">
        <f aca="false">IF(OR(NOT(ISNUMBER(M119)),NOT(ISNUMBER(M251))),"",M119-M251)</f>
        <v/>
      </c>
      <c r="N383" s="48" t="str">
        <f aca="false">IF(OR(NOT(ISNUMBER(N119)),NOT(ISNUMBER(N251))),"",N119-N251)</f>
        <v/>
      </c>
      <c r="O383" s="54" t="str">
        <f aca="false">IF(OR(NOT(ISNUMBER(O119)),NOT(ISNUMBER(O251))),"",O119-O251)</f>
        <v/>
      </c>
      <c r="P383" s="11" t="str">
        <f aca="false">IF(COUNT(D383:N383)=0,"",IF(AND(MAX(D383:N383)&lt;2,MIN(D383:N383)&gt;-2),"Sin diferencia","Diferencia a explicar"))</f>
        <v/>
      </c>
    </row>
    <row r="384" customFormat="false" ht="15" hidden="true" customHeight="false" outlineLevel="1" collapsed="false">
      <c r="A384" s="11" t="s">
        <v>1974</v>
      </c>
      <c r="B384" s="15" t="s">
        <v>1862</v>
      </c>
      <c r="C384" s="11" t="s">
        <v>544</v>
      </c>
      <c r="D384" s="48" t="str">
        <f aca="false">IF(OR(NOT(ISNUMBER(D120)),NOT(ISNUMBER(D252))),"",D120-D252)</f>
        <v/>
      </c>
      <c r="E384" s="48" t="str">
        <f aca="false">IF(OR(NOT(ISNUMBER(E120)),NOT(ISNUMBER(E252))),"",E120-E252)</f>
        <v/>
      </c>
      <c r="F384" s="48" t="str">
        <f aca="false">IF(OR(NOT(ISNUMBER(F120)),NOT(ISNUMBER(F252))),"",F120-F252)</f>
        <v/>
      </c>
      <c r="G384" s="48" t="str">
        <f aca="false">IF(OR(NOT(ISNUMBER(G120)),NOT(ISNUMBER(G252))),"",G120-G252)</f>
        <v/>
      </c>
      <c r="H384" s="48" t="str">
        <f aca="false">IF(OR(NOT(ISNUMBER(H120)),NOT(ISNUMBER(H252))),"",H120-H252)</f>
        <v/>
      </c>
      <c r="I384" s="48" t="str">
        <f aca="false">IF(OR(NOT(ISNUMBER(I120)),NOT(ISNUMBER(I252))),"",I120-I252)</f>
        <v/>
      </c>
      <c r="J384" s="48" t="str">
        <f aca="false">IF(OR(NOT(ISNUMBER(J120)),NOT(ISNUMBER(J252))),"",J120-J252)</f>
        <v/>
      </c>
      <c r="K384" s="48" t="str">
        <f aca="false">IF(OR(NOT(ISNUMBER(K120)),NOT(ISNUMBER(K252))),"",K120-K252)</f>
        <v/>
      </c>
      <c r="L384" s="48" t="str">
        <f aca="false">IF(OR(NOT(ISNUMBER(L120)),NOT(ISNUMBER(L252))),"",L120-L252)</f>
        <v/>
      </c>
      <c r="M384" s="48" t="str">
        <f aca="false">IF(OR(NOT(ISNUMBER(M120)),NOT(ISNUMBER(M252))),"",M120-M252)</f>
        <v/>
      </c>
      <c r="N384" s="48" t="str">
        <f aca="false">IF(OR(NOT(ISNUMBER(N120)),NOT(ISNUMBER(N252))),"",N120-N252)</f>
        <v/>
      </c>
      <c r="O384" s="54" t="str">
        <f aca="false">IF(OR(NOT(ISNUMBER(O120)),NOT(ISNUMBER(O252))),"",O120-O252)</f>
        <v/>
      </c>
      <c r="P384" s="11" t="str">
        <f aca="false">IF(COUNT(D384:N384)=0,"",IF(AND(MAX(D384:N384)&lt;2,MIN(D384:N384)&gt;-2),"Sin diferencia","Diferencia a explicar"))</f>
        <v/>
      </c>
    </row>
    <row r="385" customFormat="false" ht="15" hidden="true" customHeight="false" outlineLevel="1" collapsed="false">
      <c r="A385" s="11" t="s">
        <v>1975</v>
      </c>
      <c r="B385" s="15" t="s">
        <v>1864</v>
      </c>
      <c r="C385" s="11" t="s">
        <v>367</v>
      </c>
      <c r="E385" s="49" t="str">
        <f aca="false">IF(OR(NOT(ISNUMBER(E121)),NOT(ISNUMBER(E253))),"",E121-E253)</f>
        <v/>
      </c>
      <c r="F385" s="49" t="str">
        <f aca="false">IF(OR(NOT(ISNUMBER(F121)),NOT(ISNUMBER(F253))),"",F121-F253)</f>
        <v/>
      </c>
      <c r="G385" s="49" t="str">
        <f aca="false">IF(OR(NOT(ISNUMBER(G121)),NOT(ISNUMBER(G253))),"",G121-G253)</f>
        <v/>
      </c>
      <c r="H385" s="49" t="str">
        <f aca="false">IF(OR(NOT(ISNUMBER(H121)),NOT(ISNUMBER(H253))),"",H121-H253)</f>
        <v/>
      </c>
      <c r="I385" s="49" t="str">
        <f aca="false">IF(OR(NOT(ISNUMBER(I121)),NOT(ISNUMBER(I253))),"",I121-I253)</f>
        <v/>
      </c>
      <c r="J385" s="49" t="str">
        <f aca="false">IF(OR(NOT(ISNUMBER(J121)),NOT(ISNUMBER(J253))),"",J121-J253)</f>
        <v/>
      </c>
      <c r="K385" s="49" t="str">
        <f aca="false">IF(OR(NOT(ISNUMBER(K121)),NOT(ISNUMBER(K253))),"",K121-K253)</f>
        <v/>
      </c>
      <c r="L385" s="49" t="str">
        <f aca="false">IF(OR(NOT(ISNUMBER(L121)),NOT(ISNUMBER(L253))),"",L121-L253)</f>
        <v/>
      </c>
      <c r="M385" s="49" t="str">
        <f aca="false">IF(OR(NOT(ISNUMBER(M121)),NOT(ISNUMBER(M253))),"",M121-M253)</f>
        <v/>
      </c>
      <c r="N385" s="49" t="str">
        <f aca="false">IF(OR(NOT(ISNUMBER(N121)),NOT(ISNUMBER(N253))),"",N121-N253)</f>
        <v/>
      </c>
      <c r="P385" s="11" t="str">
        <f aca="false">IF(COUNT(D385:N385)=0,"",IF(AND(MAX(D385:N385)&lt;0.0005,MIN(D385:N385)&gt;-0.0005),"Sin diferencia","Diferencia a explicar"))</f>
        <v/>
      </c>
    </row>
    <row r="386" customFormat="false" ht="15" hidden="true" customHeight="false" outlineLevel="1" collapsed="false">
      <c r="A386" s="11" t="s">
        <v>1976</v>
      </c>
      <c r="B386" s="15" t="s">
        <v>1866</v>
      </c>
      <c r="C386" s="11" t="s">
        <v>367</v>
      </c>
      <c r="E386" s="49" t="str">
        <f aca="false">IF(OR(NOT(ISNUMBER(E122)),NOT(ISNUMBER(E254))),"",E122-E254)</f>
        <v/>
      </c>
      <c r="F386" s="49" t="str">
        <f aca="false">IF(OR(NOT(ISNUMBER(F122)),NOT(ISNUMBER(F254))),"",F122-F254)</f>
        <v/>
      </c>
      <c r="G386" s="49" t="str">
        <f aca="false">IF(OR(NOT(ISNUMBER(G122)),NOT(ISNUMBER(G254))),"",G122-G254)</f>
        <v/>
      </c>
      <c r="H386" s="49" t="str">
        <f aca="false">IF(OR(NOT(ISNUMBER(H122)),NOT(ISNUMBER(H254))),"",H122-H254)</f>
        <v/>
      </c>
      <c r="I386" s="49" t="str">
        <f aca="false">IF(OR(NOT(ISNUMBER(I122)),NOT(ISNUMBER(I254))),"",I122-I254)</f>
        <v/>
      </c>
      <c r="J386" s="49" t="str">
        <f aca="false">IF(OR(NOT(ISNUMBER(J122)),NOT(ISNUMBER(J254))),"",J122-J254)</f>
        <v/>
      </c>
      <c r="K386" s="49" t="str">
        <f aca="false">IF(OR(NOT(ISNUMBER(K122)),NOT(ISNUMBER(K254))),"",K122-K254)</f>
        <v/>
      </c>
      <c r="L386" s="49" t="str">
        <f aca="false">IF(OR(NOT(ISNUMBER(L122)),NOT(ISNUMBER(L254))),"",L122-L254)</f>
        <v/>
      </c>
      <c r="M386" s="49" t="str">
        <f aca="false">IF(OR(NOT(ISNUMBER(M122)),NOT(ISNUMBER(M254))),"",M122-M254)</f>
        <v/>
      </c>
      <c r="N386" s="49" t="str">
        <f aca="false">IF(OR(NOT(ISNUMBER(N122)),NOT(ISNUMBER(N254))),"",N122-N254)</f>
        <v/>
      </c>
      <c r="O386" s="99" t="str">
        <f aca="false">IF(OR(NOT(ISNUMBER(O122)),NOT(ISNUMBER(O254))),"",O122-O254)</f>
        <v/>
      </c>
      <c r="P386" s="11" t="str">
        <f aca="false">IF(COUNT(D386:N386)=0,"",IF(AND(MAX(D386:N386)&lt;0.0005,MIN(D386:N386)&gt;-0.0005),"Sin diferencia","Diferencia a explicar"))</f>
        <v/>
      </c>
    </row>
    <row r="387" customFormat="false" ht="15" hidden="true" customHeight="false" outlineLevel="1" collapsed="false">
      <c r="A387" s="11" t="s">
        <v>1977</v>
      </c>
      <c r="B387" s="53" t="str">
        <f aca="false">IF(INDEX(Prod_Nombre,24)="","Producto 24",INDEX(Prod_Nombre,24))&amp;" — capacidad instalada"</f>
        <v>Producto 24 — capacidad instalada</v>
      </c>
      <c r="C387" s="11" t="s">
        <v>544</v>
      </c>
      <c r="E387" s="48" t="str">
        <f aca="false">IF(OR(NOT(ISNUMBER(E123)),NOT(ISNUMBER(E255))),"",E123-E255)</f>
        <v/>
      </c>
      <c r="F387" s="48" t="str">
        <f aca="false">IF(OR(NOT(ISNUMBER(F123)),NOT(ISNUMBER(F255))),"",F123-F255)</f>
        <v/>
      </c>
      <c r="G387" s="48" t="str">
        <f aca="false">IF(OR(NOT(ISNUMBER(G123)),NOT(ISNUMBER(G255))),"",G123-G255)</f>
        <v/>
      </c>
      <c r="H387" s="48" t="str">
        <f aca="false">IF(OR(NOT(ISNUMBER(H123)),NOT(ISNUMBER(H255))),"",H123-H255)</f>
        <v/>
      </c>
      <c r="I387" s="48" t="str">
        <f aca="false">IF(OR(NOT(ISNUMBER(I123)),NOT(ISNUMBER(I255))),"",I123-I255)</f>
        <v/>
      </c>
      <c r="J387" s="48" t="str">
        <f aca="false">IF(OR(NOT(ISNUMBER(J123)),NOT(ISNUMBER(J255))),"",J123-J255)</f>
        <v/>
      </c>
      <c r="K387" s="48" t="str">
        <f aca="false">IF(OR(NOT(ISNUMBER(K123)),NOT(ISNUMBER(K255))),"",K123-K255)</f>
        <v/>
      </c>
      <c r="L387" s="48" t="str">
        <f aca="false">IF(OR(NOT(ISNUMBER(L123)),NOT(ISNUMBER(L255))),"",L123-L255)</f>
        <v/>
      </c>
      <c r="M387" s="48" t="str">
        <f aca="false">IF(OR(NOT(ISNUMBER(M123)),NOT(ISNUMBER(M255))),"",M123-M255)</f>
        <v/>
      </c>
      <c r="N387" s="48" t="str">
        <f aca="false">IF(OR(NOT(ISNUMBER(N123)),NOT(ISNUMBER(N255))),"",N123-N255)</f>
        <v/>
      </c>
      <c r="P387" s="11" t="str">
        <f aca="false">IF(COUNT(D387:N387)=0,"",IF(AND(MAX(D387:N387)&lt;2,MIN(D387:N387)&gt;-2),"Sin diferencia","Diferencia a explicar"))</f>
        <v/>
      </c>
    </row>
    <row r="388" customFormat="false" ht="15" hidden="true" customHeight="false" outlineLevel="1" collapsed="false">
      <c r="A388" s="11" t="s">
        <v>1978</v>
      </c>
      <c r="B388" s="15" t="s">
        <v>1860</v>
      </c>
      <c r="C388" s="11" t="s">
        <v>544</v>
      </c>
      <c r="D388" s="48" t="str">
        <f aca="false">IF(OR(NOT(ISNUMBER(D124)),NOT(ISNUMBER(D256))),"",D124-D256)</f>
        <v/>
      </c>
      <c r="E388" s="48" t="str">
        <f aca="false">IF(OR(NOT(ISNUMBER(E124)),NOT(ISNUMBER(E256))),"",E124-E256)</f>
        <v/>
      </c>
      <c r="F388" s="48" t="str">
        <f aca="false">IF(OR(NOT(ISNUMBER(F124)),NOT(ISNUMBER(F256))),"",F124-F256)</f>
        <v/>
      </c>
      <c r="G388" s="48" t="str">
        <f aca="false">IF(OR(NOT(ISNUMBER(G124)),NOT(ISNUMBER(G256))),"",G124-G256)</f>
        <v/>
      </c>
      <c r="H388" s="48" t="str">
        <f aca="false">IF(OR(NOT(ISNUMBER(H124)),NOT(ISNUMBER(H256))),"",H124-H256)</f>
        <v/>
      </c>
      <c r="I388" s="48" t="str">
        <f aca="false">IF(OR(NOT(ISNUMBER(I124)),NOT(ISNUMBER(I256))),"",I124-I256)</f>
        <v/>
      </c>
      <c r="J388" s="48" t="str">
        <f aca="false">IF(OR(NOT(ISNUMBER(J124)),NOT(ISNUMBER(J256))),"",J124-J256)</f>
        <v/>
      </c>
      <c r="K388" s="48" t="str">
        <f aca="false">IF(OR(NOT(ISNUMBER(K124)),NOT(ISNUMBER(K256))),"",K124-K256)</f>
        <v/>
      </c>
      <c r="L388" s="48" t="str">
        <f aca="false">IF(OR(NOT(ISNUMBER(L124)),NOT(ISNUMBER(L256))),"",L124-L256)</f>
        <v/>
      </c>
      <c r="M388" s="48" t="str">
        <f aca="false">IF(OR(NOT(ISNUMBER(M124)),NOT(ISNUMBER(M256))),"",M124-M256)</f>
        <v/>
      </c>
      <c r="N388" s="48" t="str">
        <f aca="false">IF(OR(NOT(ISNUMBER(N124)),NOT(ISNUMBER(N256))),"",N124-N256)</f>
        <v/>
      </c>
      <c r="O388" s="54" t="str">
        <f aca="false">IF(OR(NOT(ISNUMBER(O124)),NOT(ISNUMBER(O256))),"",O124-O256)</f>
        <v/>
      </c>
      <c r="P388" s="11" t="str">
        <f aca="false">IF(COUNT(D388:N388)=0,"",IF(AND(MAX(D388:N388)&lt;2,MIN(D388:N388)&gt;-2),"Sin diferencia","Diferencia a explicar"))</f>
        <v/>
      </c>
    </row>
    <row r="389" customFormat="false" ht="15" hidden="true" customHeight="false" outlineLevel="1" collapsed="false">
      <c r="A389" s="11" t="s">
        <v>1979</v>
      </c>
      <c r="B389" s="15" t="s">
        <v>1862</v>
      </c>
      <c r="C389" s="11" t="s">
        <v>544</v>
      </c>
      <c r="D389" s="48" t="str">
        <f aca="false">IF(OR(NOT(ISNUMBER(D125)),NOT(ISNUMBER(D257))),"",D125-D257)</f>
        <v/>
      </c>
      <c r="E389" s="48" t="str">
        <f aca="false">IF(OR(NOT(ISNUMBER(E125)),NOT(ISNUMBER(E257))),"",E125-E257)</f>
        <v/>
      </c>
      <c r="F389" s="48" t="str">
        <f aca="false">IF(OR(NOT(ISNUMBER(F125)),NOT(ISNUMBER(F257))),"",F125-F257)</f>
        <v/>
      </c>
      <c r="G389" s="48" t="str">
        <f aca="false">IF(OR(NOT(ISNUMBER(G125)),NOT(ISNUMBER(G257))),"",G125-G257)</f>
        <v/>
      </c>
      <c r="H389" s="48" t="str">
        <f aca="false">IF(OR(NOT(ISNUMBER(H125)),NOT(ISNUMBER(H257))),"",H125-H257)</f>
        <v/>
      </c>
      <c r="I389" s="48" t="str">
        <f aca="false">IF(OR(NOT(ISNUMBER(I125)),NOT(ISNUMBER(I257))),"",I125-I257)</f>
        <v/>
      </c>
      <c r="J389" s="48" t="str">
        <f aca="false">IF(OR(NOT(ISNUMBER(J125)),NOT(ISNUMBER(J257))),"",J125-J257)</f>
        <v/>
      </c>
      <c r="K389" s="48" t="str">
        <f aca="false">IF(OR(NOT(ISNUMBER(K125)),NOT(ISNUMBER(K257))),"",K125-K257)</f>
        <v/>
      </c>
      <c r="L389" s="48" t="str">
        <f aca="false">IF(OR(NOT(ISNUMBER(L125)),NOT(ISNUMBER(L257))),"",L125-L257)</f>
        <v/>
      </c>
      <c r="M389" s="48" t="str">
        <f aca="false">IF(OR(NOT(ISNUMBER(M125)),NOT(ISNUMBER(M257))),"",M125-M257)</f>
        <v/>
      </c>
      <c r="N389" s="48" t="str">
        <f aca="false">IF(OR(NOT(ISNUMBER(N125)),NOT(ISNUMBER(N257))),"",N125-N257)</f>
        <v/>
      </c>
      <c r="O389" s="54" t="str">
        <f aca="false">IF(OR(NOT(ISNUMBER(O125)),NOT(ISNUMBER(O257))),"",O125-O257)</f>
        <v/>
      </c>
      <c r="P389" s="11" t="str">
        <f aca="false">IF(COUNT(D389:N389)=0,"",IF(AND(MAX(D389:N389)&lt;2,MIN(D389:N389)&gt;-2),"Sin diferencia","Diferencia a explicar"))</f>
        <v/>
      </c>
    </row>
    <row r="390" customFormat="false" ht="15" hidden="true" customHeight="false" outlineLevel="1" collapsed="false">
      <c r="A390" s="11" t="s">
        <v>1980</v>
      </c>
      <c r="B390" s="15" t="s">
        <v>1864</v>
      </c>
      <c r="C390" s="11" t="s">
        <v>367</v>
      </c>
      <c r="E390" s="49" t="str">
        <f aca="false">IF(OR(NOT(ISNUMBER(E126)),NOT(ISNUMBER(E258))),"",E126-E258)</f>
        <v/>
      </c>
      <c r="F390" s="49" t="str">
        <f aca="false">IF(OR(NOT(ISNUMBER(F126)),NOT(ISNUMBER(F258))),"",F126-F258)</f>
        <v/>
      </c>
      <c r="G390" s="49" t="str">
        <f aca="false">IF(OR(NOT(ISNUMBER(G126)),NOT(ISNUMBER(G258))),"",G126-G258)</f>
        <v/>
      </c>
      <c r="H390" s="49" t="str">
        <f aca="false">IF(OR(NOT(ISNUMBER(H126)),NOT(ISNUMBER(H258))),"",H126-H258)</f>
        <v/>
      </c>
      <c r="I390" s="49" t="str">
        <f aca="false">IF(OR(NOT(ISNUMBER(I126)),NOT(ISNUMBER(I258))),"",I126-I258)</f>
        <v/>
      </c>
      <c r="J390" s="49" t="str">
        <f aca="false">IF(OR(NOT(ISNUMBER(J126)),NOT(ISNUMBER(J258))),"",J126-J258)</f>
        <v/>
      </c>
      <c r="K390" s="49" t="str">
        <f aca="false">IF(OR(NOT(ISNUMBER(K126)),NOT(ISNUMBER(K258))),"",K126-K258)</f>
        <v/>
      </c>
      <c r="L390" s="49" t="str">
        <f aca="false">IF(OR(NOT(ISNUMBER(L126)),NOT(ISNUMBER(L258))),"",L126-L258)</f>
        <v/>
      </c>
      <c r="M390" s="49" t="str">
        <f aca="false">IF(OR(NOT(ISNUMBER(M126)),NOT(ISNUMBER(M258))),"",M126-M258)</f>
        <v/>
      </c>
      <c r="N390" s="49" t="str">
        <f aca="false">IF(OR(NOT(ISNUMBER(N126)),NOT(ISNUMBER(N258))),"",N126-N258)</f>
        <v/>
      </c>
      <c r="P390" s="11" t="str">
        <f aca="false">IF(COUNT(D390:N390)=0,"",IF(AND(MAX(D390:N390)&lt;0.0005,MIN(D390:N390)&gt;-0.0005),"Sin diferencia","Diferencia a explicar"))</f>
        <v/>
      </c>
    </row>
    <row r="391" customFormat="false" ht="15" hidden="true" customHeight="false" outlineLevel="1" collapsed="false">
      <c r="A391" s="11" t="s">
        <v>1981</v>
      </c>
      <c r="B391" s="15" t="s">
        <v>1866</v>
      </c>
      <c r="C391" s="11" t="s">
        <v>367</v>
      </c>
      <c r="E391" s="49" t="str">
        <f aca="false">IF(OR(NOT(ISNUMBER(E127)),NOT(ISNUMBER(E259))),"",E127-E259)</f>
        <v/>
      </c>
      <c r="F391" s="49" t="str">
        <f aca="false">IF(OR(NOT(ISNUMBER(F127)),NOT(ISNUMBER(F259))),"",F127-F259)</f>
        <v/>
      </c>
      <c r="G391" s="49" t="str">
        <f aca="false">IF(OR(NOT(ISNUMBER(G127)),NOT(ISNUMBER(G259))),"",G127-G259)</f>
        <v/>
      </c>
      <c r="H391" s="49" t="str">
        <f aca="false">IF(OR(NOT(ISNUMBER(H127)),NOT(ISNUMBER(H259))),"",H127-H259)</f>
        <v/>
      </c>
      <c r="I391" s="49" t="str">
        <f aca="false">IF(OR(NOT(ISNUMBER(I127)),NOT(ISNUMBER(I259))),"",I127-I259)</f>
        <v/>
      </c>
      <c r="J391" s="49" t="str">
        <f aca="false">IF(OR(NOT(ISNUMBER(J127)),NOT(ISNUMBER(J259))),"",J127-J259)</f>
        <v/>
      </c>
      <c r="K391" s="49" t="str">
        <f aca="false">IF(OR(NOT(ISNUMBER(K127)),NOT(ISNUMBER(K259))),"",K127-K259)</f>
        <v/>
      </c>
      <c r="L391" s="49" t="str">
        <f aca="false">IF(OR(NOT(ISNUMBER(L127)),NOT(ISNUMBER(L259))),"",L127-L259)</f>
        <v/>
      </c>
      <c r="M391" s="49" t="str">
        <f aca="false">IF(OR(NOT(ISNUMBER(M127)),NOT(ISNUMBER(M259))),"",M127-M259)</f>
        <v/>
      </c>
      <c r="N391" s="49" t="str">
        <f aca="false">IF(OR(NOT(ISNUMBER(N127)),NOT(ISNUMBER(N259))),"",N127-N259)</f>
        <v/>
      </c>
      <c r="O391" s="99" t="str">
        <f aca="false">IF(OR(NOT(ISNUMBER(O127)),NOT(ISNUMBER(O259))),"",O127-O259)</f>
        <v/>
      </c>
      <c r="P391" s="11" t="str">
        <f aca="false">IF(COUNT(D391:N391)=0,"",IF(AND(MAX(D391:N391)&lt;0.0005,MIN(D391:N391)&gt;-0.0005),"Sin diferencia","Diferencia a explicar"))</f>
        <v/>
      </c>
    </row>
    <row r="392" customFormat="false" ht="15" hidden="true" customHeight="false" outlineLevel="1" collapsed="false">
      <c r="A392" s="11" t="s">
        <v>1982</v>
      </c>
      <c r="B392" s="53" t="str">
        <f aca="false">IF(INDEX(Prod_Nombre,25)="","Producto 25",INDEX(Prod_Nombre,25))&amp;" — capacidad instalada"</f>
        <v>Producto 25 — capacidad instalada</v>
      </c>
      <c r="C392" s="11" t="s">
        <v>544</v>
      </c>
      <c r="E392" s="48" t="str">
        <f aca="false">IF(OR(NOT(ISNUMBER(E128)),NOT(ISNUMBER(E260))),"",E128-E260)</f>
        <v/>
      </c>
      <c r="F392" s="48" t="str">
        <f aca="false">IF(OR(NOT(ISNUMBER(F128)),NOT(ISNUMBER(F260))),"",F128-F260)</f>
        <v/>
      </c>
      <c r="G392" s="48" t="str">
        <f aca="false">IF(OR(NOT(ISNUMBER(G128)),NOT(ISNUMBER(G260))),"",G128-G260)</f>
        <v/>
      </c>
      <c r="H392" s="48" t="str">
        <f aca="false">IF(OR(NOT(ISNUMBER(H128)),NOT(ISNUMBER(H260))),"",H128-H260)</f>
        <v/>
      </c>
      <c r="I392" s="48" t="str">
        <f aca="false">IF(OR(NOT(ISNUMBER(I128)),NOT(ISNUMBER(I260))),"",I128-I260)</f>
        <v/>
      </c>
      <c r="J392" s="48" t="str">
        <f aca="false">IF(OR(NOT(ISNUMBER(J128)),NOT(ISNUMBER(J260))),"",J128-J260)</f>
        <v/>
      </c>
      <c r="K392" s="48" t="str">
        <f aca="false">IF(OR(NOT(ISNUMBER(K128)),NOT(ISNUMBER(K260))),"",K128-K260)</f>
        <v/>
      </c>
      <c r="L392" s="48" t="str">
        <f aca="false">IF(OR(NOT(ISNUMBER(L128)),NOT(ISNUMBER(L260))),"",L128-L260)</f>
        <v/>
      </c>
      <c r="M392" s="48" t="str">
        <f aca="false">IF(OR(NOT(ISNUMBER(M128)),NOT(ISNUMBER(M260))),"",M128-M260)</f>
        <v/>
      </c>
      <c r="N392" s="48" t="str">
        <f aca="false">IF(OR(NOT(ISNUMBER(N128)),NOT(ISNUMBER(N260))),"",N128-N260)</f>
        <v/>
      </c>
      <c r="P392" s="11" t="str">
        <f aca="false">IF(COUNT(D392:N392)=0,"",IF(AND(MAX(D392:N392)&lt;2,MIN(D392:N392)&gt;-2),"Sin diferencia","Diferencia a explicar"))</f>
        <v/>
      </c>
    </row>
    <row r="393" customFormat="false" ht="15" hidden="true" customHeight="false" outlineLevel="1" collapsed="false">
      <c r="A393" s="11" t="s">
        <v>1983</v>
      </c>
      <c r="B393" s="15" t="s">
        <v>1860</v>
      </c>
      <c r="C393" s="11" t="s">
        <v>544</v>
      </c>
      <c r="D393" s="48" t="str">
        <f aca="false">IF(OR(NOT(ISNUMBER(D129)),NOT(ISNUMBER(D261))),"",D129-D261)</f>
        <v/>
      </c>
      <c r="E393" s="48" t="str">
        <f aca="false">IF(OR(NOT(ISNUMBER(E129)),NOT(ISNUMBER(E261))),"",E129-E261)</f>
        <v/>
      </c>
      <c r="F393" s="48" t="str">
        <f aca="false">IF(OR(NOT(ISNUMBER(F129)),NOT(ISNUMBER(F261))),"",F129-F261)</f>
        <v/>
      </c>
      <c r="G393" s="48" t="str">
        <f aca="false">IF(OR(NOT(ISNUMBER(G129)),NOT(ISNUMBER(G261))),"",G129-G261)</f>
        <v/>
      </c>
      <c r="H393" s="48" t="str">
        <f aca="false">IF(OR(NOT(ISNUMBER(H129)),NOT(ISNUMBER(H261))),"",H129-H261)</f>
        <v/>
      </c>
      <c r="I393" s="48" t="str">
        <f aca="false">IF(OR(NOT(ISNUMBER(I129)),NOT(ISNUMBER(I261))),"",I129-I261)</f>
        <v/>
      </c>
      <c r="J393" s="48" t="str">
        <f aca="false">IF(OR(NOT(ISNUMBER(J129)),NOT(ISNUMBER(J261))),"",J129-J261)</f>
        <v/>
      </c>
      <c r="K393" s="48" t="str">
        <f aca="false">IF(OR(NOT(ISNUMBER(K129)),NOT(ISNUMBER(K261))),"",K129-K261)</f>
        <v/>
      </c>
      <c r="L393" s="48" t="str">
        <f aca="false">IF(OR(NOT(ISNUMBER(L129)),NOT(ISNUMBER(L261))),"",L129-L261)</f>
        <v/>
      </c>
      <c r="M393" s="48" t="str">
        <f aca="false">IF(OR(NOT(ISNUMBER(M129)),NOT(ISNUMBER(M261))),"",M129-M261)</f>
        <v/>
      </c>
      <c r="N393" s="48" t="str">
        <f aca="false">IF(OR(NOT(ISNUMBER(N129)),NOT(ISNUMBER(N261))),"",N129-N261)</f>
        <v/>
      </c>
      <c r="O393" s="54" t="str">
        <f aca="false">IF(OR(NOT(ISNUMBER(O129)),NOT(ISNUMBER(O261))),"",O129-O261)</f>
        <v/>
      </c>
      <c r="P393" s="11" t="str">
        <f aca="false">IF(COUNT(D393:N393)=0,"",IF(AND(MAX(D393:N393)&lt;2,MIN(D393:N393)&gt;-2),"Sin diferencia","Diferencia a explicar"))</f>
        <v/>
      </c>
    </row>
    <row r="394" customFormat="false" ht="15" hidden="true" customHeight="false" outlineLevel="1" collapsed="false">
      <c r="A394" s="11" t="s">
        <v>1984</v>
      </c>
      <c r="B394" s="15" t="s">
        <v>1862</v>
      </c>
      <c r="C394" s="11" t="s">
        <v>544</v>
      </c>
      <c r="D394" s="48" t="str">
        <f aca="false">IF(OR(NOT(ISNUMBER(D130)),NOT(ISNUMBER(D262))),"",D130-D262)</f>
        <v/>
      </c>
      <c r="E394" s="48" t="str">
        <f aca="false">IF(OR(NOT(ISNUMBER(E130)),NOT(ISNUMBER(E262))),"",E130-E262)</f>
        <v/>
      </c>
      <c r="F394" s="48" t="str">
        <f aca="false">IF(OR(NOT(ISNUMBER(F130)),NOT(ISNUMBER(F262))),"",F130-F262)</f>
        <v/>
      </c>
      <c r="G394" s="48" t="str">
        <f aca="false">IF(OR(NOT(ISNUMBER(G130)),NOT(ISNUMBER(G262))),"",G130-G262)</f>
        <v/>
      </c>
      <c r="H394" s="48" t="str">
        <f aca="false">IF(OR(NOT(ISNUMBER(H130)),NOT(ISNUMBER(H262))),"",H130-H262)</f>
        <v/>
      </c>
      <c r="I394" s="48" t="str">
        <f aca="false">IF(OR(NOT(ISNUMBER(I130)),NOT(ISNUMBER(I262))),"",I130-I262)</f>
        <v/>
      </c>
      <c r="J394" s="48" t="str">
        <f aca="false">IF(OR(NOT(ISNUMBER(J130)),NOT(ISNUMBER(J262))),"",J130-J262)</f>
        <v/>
      </c>
      <c r="K394" s="48" t="str">
        <f aca="false">IF(OR(NOT(ISNUMBER(K130)),NOT(ISNUMBER(K262))),"",K130-K262)</f>
        <v/>
      </c>
      <c r="L394" s="48" t="str">
        <f aca="false">IF(OR(NOT(ISNUMBER(L130)),NOT(ISNUMBER(L262))),"",L130-L262)</f>
        <v/>
      </c>
      <c r="M394" s="48" t="str">
        <f aca="false">IF(OR(NOT(ISNUMBER(M130)),NOT(ISNUMBER(M262))),"",M130-M262)</f>
        <v/>
      </c>
      <c r="N394" s="48" t="str">
        <f aca="false">IF(OR(NOT(ISNUMBER(N130)),NOT(ISNUMBER(N262))),"",N130-N262)</f>
        <v/>
      </c>
      <c r="O394" s="54" t="str">
        <f aca="false">IF(OR(NOT(ISNUMBER(O130)),NOT(ISNUMBER(O262))),"",O130-O262)</f>
        <v/>
      </c>
      <c r="P394" s="11" t="str">
        <f aca="false">IF(COUNT(D394:N394)=0,"",IF(AND(MAX(D394:N394)&lt;2,MIN(D394:N394)&gt;-2),"Sin diferencia","Diferencia a explicar"))</f>
        <v/>
      </c>
    </row>
    <row r="395" customFormat="false" ht="15" hidden="true" customHeight="false" outlineLevel="1" collapsed="false">
      <c r="A395" s="11" t="s">
        <v>1985</v>
      </c>
      <c r="B395" s="15" t="s">
        <v>1864</v>
      </c>
      <c r="C395" s="11" t="s">
        <v>367</v>
      </c>
      <c r="E395" s="49" t="str">
        <f aca="false">IF(OR(NOT(ISNUMBER(E131)),NOT(ISNUMBER(E263))),"",E131-E263)</f>
        <v/>
      </c>
      <c r="F395" s="49" t="str">
        <f aca="false">IF(OR(NOT(ISNUMBER(F131)),NOT(ISNUMBER(F263))),"",F131-F263)</f>
        <v/>
      </c>
      <c r="G395" s="49" t="str">
        <f aca="false">IF(OR(NOT(ISNUMBER(G131)),NOT(ISNUMBER(G263))),"",G131-G263)</f>
        <v/>
      </c>
      <c r="H395" s="49" t="str">
        <f aca="false">IF(OR(NOT(ISNUMBER(H131)),NOT(ISNUMBER(H263))),"",H131-H263)</f>
        <v/>
      </c>
      <c r="I395" s="49" t="str">
        <f aca="false">IF(OR(NOT(ISNUMBER(I131)),NOT(ISNUMBER(I263))),"",I131-I263)</f>
        <v/>
      </c>
      <c r="J395" s="49" t="str">
        <f aca="false">IF(OR(NOT(ISNUMBER(J131)),NOT(ISNUMBER(J263))),"",J131-J263)</f>
        <v/>
      </c>
      <c r="K395" s="49" t="str">
        <f aca="false">IF(OR(NOT(ISNUMBER(K131)),NOT(ISNUMBER(K263))),"",K131-K263)</f>
        <v/>
      </c>
      <c r="L395" s="49" t="str">
        <f aca="false">IF(OR(NOT(ISNUMBER(L131)),NOT(ISNUMBER(L263))),"",L131-L263)</f>
        <v/>
      </c>
      <c r="M395" s="49" t="str">
        <f aca="false">IF(OR(NOT(ISNUMBER(M131)),NOT(ISNUMBER(M263))),"",M131-M263)</f>
        <v/>
      </c>
      <c r="N395" s="49" t="str">
        <f aca="false">IF(OR(NOT(ISNUMBER(N131)),NOT(ISNUMBER(N263))),"",N131-N263)</f>
        <v/>
      </c>
      <c r="P395" s="11" t="str">
        <f aca="false">IF(COUNT(D395:N395)=0,"",IF(AND(MAX(D395:N395)&lt;0.0005,MIN(D395:N395)&gt;-0.0005),"Sin diferencia","Diferencia a explicar"))</f>
        <v/>
      </c>
    </row>
    <row r="396" customFormat="false" ht="15" hidden="true" customHeight="false" outlineLevel="1" collapsed="false">
      <c r="A396" s="11" t="s">
        <v>1986</v>
      </c>
      <c r="B396" s="15" t="s">
        <v>1866</v>
      </c>
      <c r="C396" s="11" t="s">
        <v>367</v>
      </c>
      <c r="E396" s="49" t="str">
        <f aca="false">IF(OR(NOT(ISNUMBER(E132)),NOT(ISNUMBER(E264))),"",E132-E264)</f>
        <v/>
      </c>
      <c r="F396" s="49" t="str">
        <f aca="false">IF(OR(NOT(ISNUMBER(F132)),NOT(ISNUMBER(F264))),"",F132-F264)</f>
        <v/>
      </c>
      <c r="G396" s="49" t="str">
        <f aca="false">IF(OR(NOT(ISNUMBER(G132)),NOT(ISNUMBER(G264))),"",G132-G264)</f>
        <v/>
      </c>
      <c r="H396" s="49" t="str">
        <f aca="false">IF(OR(NOT(ISNUMBER(H132)),NOT(ISNUMBER(H264))),"",H132-H264)</f>
        <v/>
      </c>
      <c r="I396" s="49" t="str">
        <f aca="false">IF(OR(NOT(ISNUMBER(I132)),NOT(ISNUMBER(I264))),"",I132-I264)</f>
        <v/>
      </c>
      <c r="J396" s="49" t="str">
        <f aca="false">IF(OR(NOT(ISNUMBER(J132)),NOT(ISNUMBER(J264))),"",J132-J264)</f>
        <v/>
      </c>
      <c r="K396" s="49" t="str">
        <f aca="false">IF(OR(NOT(ISNUMBER(K132)),NOT(ISNUMBER(K264))),"",K132-K264)</f>
        <v/>
      </c>
      <c r="L396" s="49" t="str">
        <f aca="false">IF(OR(NOT(ISNUMBER(L132)),NOT(ISNUMBER(L264))),"",L132-L264)</f>
        <v/>
      </c>
      <c r="M396" s="49" t="str">
        <f aca="false">IF(OR(NOT(ISNUMBER(M132)),NOT(ISNUMBER(M264))),"",M132-M264)</f>
        <v/>
      </c>
      <c r="N396" s="49" t="str">
        <f aca="false">IF(OR(NOT(ISNUMBER(N132)),NOT(ISNUMBER(N264))),"",N132-N264)</f>
        <v/>
      </c>
      <c r="O396" s="99" t="str">
        <f aca="false">IF(OR(NOT(ISNUMBER(O132)),NOT(ISNUMBER(O264))),"",O132-O264)</f>
        <v/>
      </c>
      <c r="P396" s="11" t="str">
        <f aca="false">IF(COUNT(D396:N396)=0,"",IF(AND(MAX(D396:N396)&lt;0.0005,MIN(D396:N396)&gt;-0.0005),"Sin diferencia","Diferencia a explicar"))</f>
        <v/>
      </c>
    </row>
    <row r="397" customFormat="false" ht="15" hidden="false" customHeight="false" outlineLevel="0" collapsed="false">
      <c r="A397" s="13"/>
      <c r="B397" s="100" t="s">
        <v>1987</v>
      </c>
      <c r="C397" s="13"/>
      <c r="D397" s="13"/>
      <c r="E397" s="13"/>
      <c r="F397" s="13"/>
      <c r="G397" s="13"/>
      <c r="H397" s="13"/>
      <c r="I397" s="13"/>
      <c r="J397" s="13"/>
      <c r="K397" s="13"/>
      <c r="L397" s="13"/>
      <c r="M397" s="13"/>
      <c r="N397" s="13"/>
      <c r="O397" s="13"/>
      <c r="P397" s="13"/>
    </row>
    <row r="398" customFormat="false" ht="15" hidden="false" customHeight="false" outlineLevel="0" collapsed="false">
      <c r="A398" s="11" t="s">
        <v>1988</v>
      </c>
      <c r="B398" s="67" t="s">
        <v>1989</v>
      </c>
      <c r="C398" s="11" t="s">
        <v>544</v>
      </c>
      <c r="D398" s="54" t="str">
        <f aca="false">IF(OR(NOT(ISNUMBER(D134)),NOT(ISNUMBER(D266))),"",D134-D266)</f>
        <v/>
      </c>
      <c r="E398" s="54" t="n">
        <f aca="false">IF(OR(NOT(ISNUMBER(E134)),NOT(ISNUMBER(E266))),"",E134-E266)</f>
        <v>0</v>
      </c>
      <c r="F398" s="54" t="n">
        <f aca="false">IF(OR(NOT(ISNUMBER(F134)),NOT(ISNUMBER(F266))),"",F134-F266)</f>
        <v>0</v>
      </c>
      <c r="G398" s="54" t="n">
        <f aca="false">IF(OR(NOT(ISNUMBER(G134)),NOT(ISNUMBER(G266))),"",G134-G266)</f>
        <v>0</v>
      </c>
      <c r="H398" s="54" t="n">
        <f aca="false">IF(OR(NOT(ISNUMBER(H134)),NOT(ISNUMBER(H266))),"",H134-H266)</f>
        <v>0</v>
      </c>
      <c r="I398" s="54" t="n">
        <f aca="false">IF(OR(NOT(ISNUMBER(I134)),NOT(ISNUMBER(I266))),"",I134-I266)</f>
        <v>0</v>
      </c>
      <c r="J398" s="54" t="n">
        <f aca="false">IF(OR(NOT(ISNUMBER(J134)),NOT(ISNUMBER(J266))),"",J134-J266)</f>
        <v>0</v>
      </c>
      <c r="K398" s="54" t="n">
        <f aca="false">IF(OR(NOT(ISNUMBER(K134)),NOT(ISNUMBER(K266))),"",K134-K266)</f>
        <v>0</v>
      </c>
      <c r="L398" s="54" t="n">
        <f aca="false">IF(OR(NOT(ISNUMBER(L134)),NOT(ISNUMBER(L266))),"",L134-L266)</f>
        <v>0</v>
      </c>
      <c r="M398" s="54" t="n">
        <f aca="false">IF(OR(NOT(ISNUMBER(M134)),NOT(ISNUMBER(M266))),"",M134-M266)</f>
        <v>0</v>
      </c>
      <c r="N398" s="54" t="n">
        <f aca="false">IF(OR(NOT(ISNUMBER(N134)),NOT(ISNUMBER(N266))),"",N134-N266)</f>
        <v>0</v>
      </c>
      <c r="O398" s="54" t="n">
        <f aca="false">IF(OR(NOT(ISNUMBER(O134)),NOT(ISNUMBER(O266))),"",O134-O266)</f>
        <v>0</v>
      </c>
      <c r="P398" s="11" t="str">
        <f aca="false">IF(COUNT(D398:N398)=0,"",IF(AND(MAX(D398:N398)&lt;2,MIN(D398:N398)&gt;-2),"Sin diferencia","Diferencia a explicar"))</f>
        <v>Sin diferencia</v>
      </c>
    </row>
    <row r="399" customFormat="false" ht="15" hidden="false" customHeight="false" outlineLevel="0" collapsed="false">
      <c r="A399" s="11" t="s">
        <v>1990</v>
      </c>
      <c r="B399" s="67" t="s">
        <v>1991</v>
      </c>
      <c r="C399" s="11" t="s">
        <v>544</v>
      </c>
      <c r="D399" s="54" t="str">
        <f aca="false">IF(OR(NOT(ISNUMBER(D135)),NOT(ISNUMBER(D267))),"",D135-D267)</f>
        <v/>
      </c>
      <c r="E399" s="54" t="n">
        <f aca="false">IF(OR(NOT(ISNUMBER(E135)),NOT(ISNUMBER(E267))),"",E135-E267)</f>
        <v>0</v>
      </c>
      <c r="F399" s="54" t="n">
        <f aca="false">IF(OR(NOT(ISNUMBER(F135)),NOT(ISNUMBER(F267))),"",F135-F267)</f>
        <v>0</v>
      </c>
      <c r="G399" s="54" t="n">
        <f aca="false">IF(OR(NOT(ISNUMBER(G135)),NOT(ISNUMBER(G267))),"",G135-G267)</f>
        <v>0</v>
      </c>
      <c r="H399" s="54" t="n">
        <f aca="false">IF(OR(NOT(ISNUMBER(H135)),NOT(ISNUMBER(H267))),"",H135-H267)</f>
        <v>0</v>
      </c>
      <c r="I399" s="54" t="n">
        <f aca="false">IF(OR(NOT(ISNUMBER(I135)),NOT(ISNUMBER(I267))),"",I135-I267)</f>
        <v>0</v>
      </c>
      <c r="J399" s="54" t="n">
        <f aca="false">IF(OR(NOT(ISNUMBER(J135)),NOT(ISNUMBER(J267))),"",J135-J267)</f>
        <v>0</v>
      </c>
      <c r="K399" s="54" t="n">
        <f aca="false">IF(OR(NOT(ISNUMBER(K135)),NOT(ISNUMBER(K267))),"",K135-K267)</f>
        <v>0</v>
      </c>
      <c r="L399" s="54" t="n">
        <f aca="false">IF(OR(NOT(ISNUMBER(L135)),NOT(ISNUMBER(L267))),"",L135-L267)</f>
        <v>0</v>
      </c>
      <c r="M399" s="54" t="n">
        <f aca="false">IF(OR(NOT(ISNUMBER(M135)),NOT(ISNUMBER(M267))),"",M135-M267)</f>
        <v>0</v>
      </c>
      <c r="N399" s="54" t="n">
        <f aca="false">IF(OR(NOT(ISNUMBER(N135)),NOT(ISNUMBER(N267))),"",N135-N267)</f>
        <v>0</v>
      </c>
      <c r="O399" s="54" t="n">
        <f aca="false">IF(OR(NOT(ISNUMBER(O135)),NOT(ISNUMBER(O267))),"",O135-O267)</f>
        <v>0</v>
      </c>
      <c r="P399" s="11" t="str">
        <f aca="false">IF(COUNT(D399:N399)=0,"",IF(AND(MAX(D399:N399)&lt;2,MIN(D399:N399)&gt;-2),"Sin diferencia","Diferencia a explicar"))</f>
        <v>Sin diferencia</v>
      </c>
    </row>
    <row r="401" customFormat="false" ht="15" hidden="false" customHeight="false" outlineLevel="0" collapsed="false">
      <c r="A401" s="12" t="s">
        <v>240</v>
      </c>
      <c r="B401" s="13"/>
      <c r="C401" s="13"/>
      <c r="D401" s="13"/>
      <c r="E401" s="13"/>
      <c r="F401" s="13"/>
      <c r="G401" s="13"/>
      <c r="H401" s="13"/>
      <c r="I401" s="13"/>
      <c r="J401" s="13"/>
      <c r="K401" s="13"/>
      <c r="L401" s="13"/>
      <c r="M401" s="13"/>
      <c r="N401" s="13"/>
      <c r="O401" s="13"/>
    </row>
    <row r="402" customFormat="false" ht="15" hidden="false" customHeight="false" outlineLevel="0" collapsed="false">
      <c r="B402" s="11" t="s">
        <v>1995</v>
      </c>
    </row>
    <row r="403" customFormat="false" ht="15" hidden="false" customHeight="false" outlineLevel="0" collapsed="false">
      <c r="B403" s="11" t="s">
        <v>1996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2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1997</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8, pág. 16"</f>
        <v>Plan de referencia: Plan CIE–PERG Oct-2025 — cuadro 8, pág. 16</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1998</v>
      </c>
      <c r="B8" s="67" t="s">
        <v>1999</v>
      </c>
      <c r="C8" s="11" t="s">
        <v>508</v>
      </c>
      <c r="D8" s="54" t="n">
        <f aca="false">IF(cu_P=1,SUMIFS(Calculo!$F$71:$ES$71,Calculo!$F$16:$ES$16,1),SUMIFS(Calculo!$F$227:$ES$227,Calculo!$F$172:$ES$172,1))</f>
        <v>0</v>
      </c>
      <c r="E8" s="54" t="n">
        <f aca="false">IF(cu_P=1,SUMIFS(Calculo!$F$71:$ES$71,Calculo!$F$14:$ES$14,1),SUMIFS(Calculo!$F$227:$ES$227,Calculo!$F$170:$ES$170,1))</f>
        <v>4850000</v>
      </c>
      <c r="F8" s="54" t="n">
        <f aca="false">IF(cu_P=1,SUMIFS(Calculo!$F$71:$ES$71,Calculo!$F$14:$ES$14,2),SUMIFS(Calculo!$F$227:$ES$227,Calculo!$F$170:$ES$170,2))</f>
        <v>6181200</v>
      </c>
      <c r="G8" s="54" t="n">
        <f aca="false">IF(cu_P=1,SUMIFS(Calculo!$F$71:$ES$71,Calculo!$F$14:$ES$14,3),SUMIFS(Calculo!$F$227:$ES$227,Calculo!$F$170:$ES$170,3))</f>
        <v>7538539</v>
      </c>
      <c r="H8" s="54" t="n">
        <f aca="false">IF(cu_P=1,SUMIFS(Calculo!$F$71:$ES$71,Calculo!$F$14:$ES$14,4),SUMIFS(Calculo!$F$227:$ES$227,Calculo!$F$170:$ES$170,4))</f>
        <v>8685437.43</v>
      </c>
      <c r="I8" s="54" t="n">
        <f aca="false">IF(cu_P=1,SUMIFS(Calculo!$F$71:$ES$71,Calculo!$F$14:$ES$14,5),SUMIFS(Calculo!$F$227:$ES$227,Calculo!$F$170:$ES$170,5))</f>
        <v>8772291.8043</v>
      </c>
      <c r="J8" s="54" t="n">
        <f aca="false">IF(cu_P=1,SUMIFS(Calculo!$F$71:$ES$71,Calculo!$F$14:$ES$14,6),SUMIFS(Calculo!$F$227:$ES$227,Calculo!$F$170:$ES$170,6))</f>
        <v>8860014.722343</v>
      </c>
      <c r="K8" s="54" t="n">
        <f aca="false">IF(cu_P=1,SUMIFS(Calculo!$F$71:$ES$71,Calculo!$F$14:$ES$14,7),SUMIFS(Calculo!$F$227:$ES$227,Calculo!$F$170:$ES$170,7))</f>
        <v>8948614.86956643</v>
      </c>
      <c r="L8" s="54" t="n">
        <f aca="false">IF(cu_P=1,SUMIFS(Calculo!$F$71:$ES$71,Calculo!$F$14:$ES$14,8),SUMIFS(Calculo!$F$227:$ES$227,Calculo!$F$170:$ES$170,8))</f>
        <v>9038101.01826209</v>
      </c>
      <c r="M8" s="54" t="n">
        <f aca="false">IF(cu_P=1,SUMIFS(Calculo!$F$71:$ES$71,Calculo!$F$14:$ES$14,9),SUMIFS(Calculo!$F$227:$ES$227,Calculo!$F$170:$ES$170,9))</f>
        <v>9128482.02844472</v>
      </c>
      <c r="N8" s="54" t="n">
        <f aca="false">IF(cu_P=1,SUMIFS(Calculo!$F$71:$ES$71,Calculo!$F$14:$ES$14,10),SUMIFS(Calculo!$F$227:$ES$227,Calculo!$F$170:$ES$170,10))</f>
        <v>9219766.84872916</v>
      </c>
      <c r="O8" s="54" t="n">
        <f aca="false">SUM(D8:N8)</f>
        <v>81222447.7216454</v>
      </c>
    </row>
    <row r="9" customFormat="false" ht="15" hidden="false" customHeight="false" outlineLevel="0" collapsed="false">
      <c r="A9" s="11" t="s">
        <v>2000</v>
      </c>
      <c r="B9" s="15" t="s">
        <v>2001</v>
      </c>
      <c r="C9" s="11" t="s">
        <v>508</v>
      </c>
      <c r="D9" s="48" t="n">
        <v>0</v>
      </c>
      <c r="E9" s="48" t="n">
        <v>0</v>
      </c>
      <c r="F9" s="48" t="n">
        <v>0</v>
      </c>
      <c r="G9" s="48" t="n">
        <v>0</v>
      </c>
      <c r="H9" s="48" t="n">
        <v>0</v>
      </c>
      <c r="I9" s="48" t="n">
        <v>0</v>
      </c>
      <c r="J9" s="48" t="n">
        <v>0</v>
      </c>
      <c r="K9" s="48" t="n">
        <v>0</v>
      </c>
      <c r="L9" s="48" t="n">
        <v>0</v>
      </c>
      <c r="M9" s="48" t="n">
        <v>0</v>
      </c>
      <c r="N9" s="48" t="n">
        <v>0</v>
      </c>
      <c r="O9" s="54" t="n">
        <f aca="false">SUM(D9:N9)</f>
        <v>0</v>
      </c>
    </row>
    <row r="10" customFormat="false" ht="15" hidden="false" customHeight="false" outlineLevel="0" collapsed="false">
      <c r="A10" s="11" t="s">
        <v>2002</v>
      </c>
      <c r="B10" s="53" t="str">
        <f aca="false">IF(INDEX(Prod_Nombre,1)="","Producto 1",INDEX(Prod_Nombre,1))&amp;" — venta"</f>
        <v>Gabinetes metálicos 153 kg — venta</v>
      </c>
      <c r="C10" s="11" t="s">
        <v>508</v>
      </c>
      <c r="D10" s="48" t="n">
        <f aca="false">IF(cu_P=1,SUMIFS(Calculo!$F$46:$ES$46,Calculo!$F$16:$ES$16,1),SUMIFS(Calculo!$F$202:$ES$202,Calculo!$F$172:$ES$172,1))</f>
        <v>0</v>
      </c>
      <c r="E10" s="48" t="n">
        <f aca="false">IF(cu_P=1,SUMIFS(Calculo!$F$46:$ES$46,Calculo!$F$14:$ES$14,1),SUMIFS(Calculo!$F$202:$ES$202,Calculo!$F$170:$ES$170,1))</f>
        <v>3240000</v>
      </c>
      <c r="F10" s="48" t="n">
        <f aca="false">IF(cu_P=1,SUMIFS(Calculo!$F$46:$ES$46,Calculo!$F$14:$ES$14,2),SUMIFS(Calculo!$F$202:$ES$202,Calculo!$F$170:$ES$170,2))</f>
        <v>4090500</v>
      </c>
      <c r="G10" s="48" t="n">
        <f aca="false">IF(cu_P=1,SUMIFS(Calculo!$F$46:$ES$46,Calculo!$F$14:$ES$14,3),SUMIFS(Calculo!$F$202:$ES$202,Calculo!$F$170:$ES$170,3))</f>
        <v>4957686</v>
      </c>
      <c r="H10" s="48" t="n">
        <f aca="false">IF(cu_P=1,SUMIFS(Calculo!$F$46:$ES$46,Calculo!$F$14:$ES$14,4),SUMIFS(Calculo!$F$202:$ES$202,Calculo!$F$170:$ES$170,4))</f>
        <v>5841806.67</v>
      </c>
      <c r="I10" s="48" t="n">
        <f aca="false">IF(cu_P=1,SUMIFS(Calculo!$F$46:$ES$46,Calculo!$F$14:$ES$14,5),SUMIFS(Calculo!$F$202:$ES$202,Calculo!$F$170:$ES$170,5))</f>
        <v>5900224.7367</v>
      </c>
      <c r="J10" s="48" t="n">
        <f aca="false">IF(cu_P=1,SUMIFS(Calculo!$F$46:$ES$46,Calculo!$F$14:$ES$14,6),SUMIFS(Calculo!$F$202:$ES$202,Calculo!$F$170:$ES$170,6))</f>
        <v>5959226.984067</v>
      </c>
      <c r="K10" s="48" t="n">
        <f aca="false">IF(cu_P=1,SUMIFS(Calculo!$F$46:$ES$46,Calculo!$F$14:$ES$14,7),SUMIFS(Calculo!$F$202:$ES$202,Calculo!$F$170:$ES$170,7))</f>
        <v>6018819.25390767</v>
      </c>
      <c r="L10" s="48" t="n">
        <f aca="false">IF(cu_P=1,SUMIFS(Calculo!$F$46:$ES$46,Calculo!$F$14:$ES$14,8),SUMIFS(Calculo!$F$202:$ES$202,Calculo!$F$170:$ES$170,8))</f>
        <v>6079007.44644675</v>
      </c>
      <c r="M10" s="48" t="n">
        <f aca="false">IF(cu_P=1,SUMIFS(Calculo!$F$46:$ES$46,Calculo!$F$14:$ES$14,9),SUMIFS(Calculo!$F$202:$ES$202,Calculo!$F$170:$ES$170,9))</f>
        <v>6139797.52091121</v>
      </c>
      <c r="N10" s="48" t="n">
        <f aca="false">IF(cu_P=1,SUMIFS(Calculo!$F$46:$ES$46,Calculo!$F$14:$ES$14,10),SUMIFS(Calculo!$F$202:$ES$202,Calculo!$F$170:$ES$170,10))</f>
        <v>6201195.49612033</v>
      </c>
      <c r="O10" s="54" t="n">
        <f aca="false">SUM(D10:N10)</f>
        <v>54428264.108153</v>
      </c>
    </row>
    <row r="11" customFormat="false" ht="15" hidden="false" customHeight="false" outlineLevel="0" collapsed="false">
      <c r="A11" s="11" t="s">
        <v>2003</v>
      </c>
      <c r="B11" s="15" t="s">
        <v>2004</v>
      </c>
      <c r="C11" s="11" t="s">
        <v>544</v>
      </c>
      <c r="D11" s="48" t="n">
        <f aca="false">IF(cu_P=1,SUMIFS(Calculo!$F$21:$ES$21,Calculo!$F$16:$ES$16,1),SUMIFS(Calculo!$F$177:$ES$177,Calculo!$F$172:$ES$172,1))</f>
        <v>0</v>
      </c>
      <c r="E11" s="48" t="n">
        <f aca="false">IF(cu_P=1,SUMIFS(Calculo!$F$21:$ES$21,Calculo!$F$14:$ES$14,1),SUMIFS(Calculo!$F$177:$ES$177,Calculo!$F$170:$ES$170,1))</f>
        <v>12000</v>
      </c>
      <c r="F11" s="48" t="n">
        <f aca="false">IF(cu_P=1,SUMIFS(Calculo!$F$21:$ES$21,Calculo!$F$14:$ES$14,2),SUMIFS(Calculo!$F$177:$ES$177,Calculo!$F$170:$ES$170,2))</f>
        <v>15000</v>
      </c>
      <c r="G11" s="48" t="n">
        <f aca="false">IF(cu_P=1,SUMIFS(Calculo!$F$21:$ES$21,Calculo!$F$14:$ES$14,3),SUMIFS(Calculo!$F$177:$ES$177,Calculo!$F$170:$ES$170,3))</f>
        <v>18000</v>
      </c>
      <c r="H11" s="48" t="n">
        <f aca="false">IF(cu_P=1,SUMIFS(Calculo!$F$21:$ES$21,Calculo!$F$14:$ES$14,4),SUMIFS(Calculo!$F$177:$ES$177,Calculo!$F$170:$ES$170,4))</f>
        <v>21000</v>
      </c>
      <c r="I11" s="48" t="n">
        <f aca="false">IF(cu_P=1,SUMIFS(Calculo!$F$21:$ES$21,Calculo!$F$14:$ES$14,5),SUMIFS(Calculo!$F$177:$ES$177,Calculo!$F$170:$ES$170,5))</f>
        <v>21000</v>
      </c>
      <c r="J11" s="48" t="n">
        <f aca="false">IF(cu_P=1,SUMIFS(Calculo!$F$21:$ES$21,Calculo!$F$14:$ES$14,6),SUMIFS(Calculo!$F$177:$ES$177,Calculo!$F$170:$ES$170,6))</f>
        <v>21000</v>
      </c>
      <c r="K11" s="48" t="n">
        <f aca="false">IF(cu_P=1,SUMIFS(Calculo!$F$21:$ES$21,Calculo!$F$14:$ES$14,7),SUMIFS(Calculo!$F$177:$ES$177,Calculo!$F$170:$ES$170,7))</f>
        <v>21000</v>
      </c>
      <c r="L11" s="48" t="n">
        <f aca="false">IF(cu_P=1,SUMIFS(Calculo!$F$21:$ES$21,Calculo!$F$14:$ES$14,8),SUMIFS(Calculo!$F$177:$ES$177,Calculo!$F$170:$ES$170,8))</f>
        <v>21000</v>
      </c>
      <c r="M11" s="48" t="n">
        <f aca="false">IF(cu_P=1,SUMIFS(Calculo!$F$21:$ES$21,Calculo!$F$14:$ES$14,9),SUMIFS(Calculo!$F$177:$ES$177,Calculo!$F$170:$ES$170,9))</f>
        <v>21000</v>
      </c>
      <c r="N11" s="48" t="n">
        <f aca="false">IF(cu_P=1,SUMIFS(Calculo!$F$21:$ES$21,Calculo!$F$14:$ES$14,10),SUMIFS(Calculo!$F$177:$ES$177,Calculo!$F$170:$ES$170,10))</f>
        <v>21000</v>
      </c>
      <c r="O11" s="54" t="n">
        <f aca="false">SUM(D11:N11)</f>
        <v>192000</v>
      </c>
    </row>
    <row r="12" customFormat="false" ht="15" hidden="false" customHeight="false" outlineLevel="0" collapsed="false">
      <c r="A12" s="11" t="s">
        <v>2005</v>
      </c>
      <c r="B12" s="15" t="s">
        <v>2006</v>
      </c>
      <c r="C12" s="11" t="s">
        <v>748</v>
      </c>
      <c r="D12" s="50" t="str">
        <f aca="false">IFERROR(IF(OR(NOT(ISNUMBER(D10)),N(D11)=0),"",D10/D11),"")</f>
        <v/>
      </c>
      <c r="E12" s="50" t="n">
        <f aca="false">IFERROR(IF(OR(NOT(ISNUMBER(E10)),N(E11)=0),"",E10/E11),"")</f>
        <v>270</v>
      </c>
      <c r="F12" s="50" t="n">
        <f aca="false">IFERROR(IF(OR(NOT(ISNUMBER(F10)),N(F11)=0),"",F10/F11),"")</f>
        <v>272.7</v>
      </c>
      <c r="G12" s="50" t="n">
        <f aca="false">IFERROR(IF(OR(NOT(ISNUMBER(G10)),N(G11)=0),"",G10/G11),"")</f>
        <v>275.427</v>
      </c>
      <c r="H12" s="50" t="n">
        <f aca="false">IFERROR(IF(OR(NOT(ISNUMBER(H10)),N(H11)=0),"",H10/H11),"")</f>
        <v>278.18127</v>
      </c>
      <c r="I12" s="50" t="n">
        <f aca="false">IFERROR(IF(OR(NOT(ISNUMBER(I10)),N(I11)=0),"",I10/I11),"")</f>
        <v>280.9630827</v>
      </c>
      <c r="J12" s="50" t="n">
        <f aca="false">IFERROR(IF(OR(NOT(ISNUMBER(J10)),N(J11)=0),"",J10/J11),"")</f>
        <v>283.772713527</v>
      </c>
      <c r="K12" s="50" t="n">
        <f aca="false">IFERROR(IF(OR(NOT(ISNUMBER(K10)),N(K11)=0),"",K10/K11),"")</f>
        <v>286.61044066227</v>
      </c>
      <c r="L12" s="50" t="n">
        <f aca="false">IFERROR(IF(OR(NOT(ISNUMBER(L10)),N(L11)=0),"",L10/L11),"")</f>
        <v>289.476545068893</v>
      </c>
      <c r="M12" s="50" t="n">
        <f aca="false">IFERROR(IF(OR(NOT(ISNUMBER(M10)),N(M11)=0),"",M10/M11),"")</f>
        <v>292.371310519582</v>
      </c>
      <c r="N12" s="50" t="n">
        <f aca="false">IFERROR(IF(OR(NOT(ISNUMBER(N10)),N(N11)=0),"",N10/N11),"")</f>
        <v>295.295023624777</v>
      </c>
      <c r="O12" s="68" t="n">
        <f aca="false">IFERROR(IF(OR(NOT(ISNUMBER(O10)),N(O11)=0),"",O10/O11),"")</f>
        <v>283.480542229963</v>
      </c>
    </row>
    <row r="13" customFormat="false" ht="15" hidden="false" customHeight="false" outlineLevel="0" collapsed="false">
      <c r="A13" s="11" t="s">
        <v>2007</v>
      </c>
      <c r="B13" s="53" t="str">
        <f aca="false">IF(INDEX(Prod_Nombre,2)="","Producto 2",INDEX(Prod_Nombre,2))&amp;" — venta"</f>
        <v>Cajas metálicas 13 kg — venta</v>
      </c>
      <c r="C13" s="11" t="s">
        <v>508</v>
      </c>
      <c r="D13" s="48" t="n">
        <f aca="false">IF(cu_P=1,SUMIFS(Calculo!$F$47:$ES$47,Calculo!$F$16:$ES$16,1),SUMIFS(Calculo!$F$203:$ES$203,Calculo!$F$172:$ES$172,1))</f>
        <v>0</v>
      </c>
      <c r="E13" s="48" t="n">
        <f aca="false">IF(cu_P=1,SUMIFS(Calculo!$F$47:$ES$47,Calculo!$F$14:$ES$14,1),SUMIFS(Calculo!$F$203:$ES$203,Calculo!$F$170:$ES$170,1))</f>
        <v>1610000</v>
      </c>
      <c r="F13" s="48" t="n">
        <f aca="false">IF(cu_P=1,SUMIFS(Calculo!$F$47:$ES$47,Calculo!$F$14:$ES$14,2),SUMIFS(Calculo!$F$203:$ES$203,Calculo!$F$170:$ES$170,2))</f>
        <v>2090700</v>
      </c>
      <c r="G13" s="48" t="n">
        <f aca="false">IF(cu_P=1,SUMIFS(Calculo!$F$47:$ES$47,Calculo!$F$14:$ES$14,3),SUMIFS(Calculo!$F$203:$ES$203,Calculo!$F$170:$ES$170,3))</f>
        <v>2580853</v>
      </c>
      <c r="H13" s="48" t="n">
        <f aca="false">IF(cu_P=1,SUMIFS(Calculo!$F$47:$ES$47,Calculo!$F$14:$ES$14,4),SUMIFS(Calculo!$F$203:$ES$203,Calculo!$F$170:$ES$170,4))</f>
        <v>2843630.76</v>
      </c>
      <c r="I13" s="48" t="n">
        <f aca="false">IF(cu_P=1,SUMIFS(Calculo!$F$47:$ES$47,Calculo!$F$14:$ES$14,5),SUMIFS(Calculo!$F$203:$ES$203,Calculo!$F$170:$ES$170,5))</f>
        <v>2872067.0676</v>
      </c>
      <c r="J13" s="48" t="n">
        <f aca="false">IF(cu_P=1,SUMIFS(Calculo!$F$47:$ES$47,Calculo!$F$14:$ES$14,6),SUMIFS(Calculo!$F$203:$ES$203,Calculo!$F$170:$ES$170,6))</f>
        <v>2900787.738276</v>
      </c>
      <c r="K13" s="48" t="n">
        <f aca="false">IF(cu_P=1,SUMIFS(Calculo!$F$47:$ES$47,Calculo!$F$14:$ES$14,7),SUMIFS(Calculo!$F$203:$ES$203,Calculo!$F$170:$ES$170,7))</f>
        <v>2929795.61565876</v>
      </c>
      <c r="L13" s="48" t="n">
        <f aca="false">IF(cu_P=1,SUMIFS(Calculo!$F$47:$ES$47,Calculo!$F$14:$ES$14,8),SUMIFS(Calculo!$F$203:$ES$203,Calculo!$F$170:$ES$170,8))</f>
        <v>2959093.57181535</v>
      </c>
      <c r="M13" s="48" t="n">
        <f aca="false">IF(cu_P=1,SUMIFS(Calculo!$F$47:$ES$47,Calculo!$F$14:$ES$14,9),SUMIFS(Calculo!$F$203:$ES$203,Calculo!$F$170:$ES$170,9))</f>
        <v>2988684.5075335</v>
      </c>
      <c r="N13" s="48" t="n">
        <f aca="false">IF(cu_P=1,SUMIFS(Calculo!$F$47:$ES$47,Calculo!$F$14:$ES$14,10),SUMIFS(Calculo!$F$203:$ES$203,Calculo!$F$170:$ES$170,10))</f>
        <v>3018571.35260884</v>
      </c>
      <c r="O13" s="54" t="n">
        <f aca="false">SUM(D13:N13)</f>
        <v>26794183.6134924</v>
      </c>
    </row>
    <row r="14" customFormat="false" ht="15" hidden="false" customHeight="false" outlineLevel="0" collapsed="false">
      <c r="A14" s="11" t="s">
        <v>2008</v>
      </c>
      <c r="B14" s="15" t="s">
        <v>2004</v>
      </c>
      <c r="C14" s="11" t="s">
        <v>544</v>
      </c>
      <c r="D14" s="48" t="n">
        <f aca="false">IF(cu_P=1,SUMIFS(Calculo!$F$22:$ES$22,Calculo!$F$16:$ES$16,1),SUMIFS(Calculo!$F$178:$ES$178,Calculo!$F$172:$ES$172,1))</f>
        <v>0</v>
      </c>
      <c r="E14" s="48" t="n">
        <f aca="false">IF(cu_P=1,SUMIFS(Calculo!$F$22:$ES$22,Calculo!$F$14:$ES$14,1),SUMIFS(Calculo!$F$178:$ES$178,Calculo!$F$170:$ES$170,1))</f>
        <v>70000</v>
      </c>
      <c r="F14" s="48" t="n">
        <f aca="false">IF(cu_P=1,SUMIFS(Calculo!$F$22:$ES$22,Calculo!$F$14:$ES$14,2),SUMIFS(Calculo!$F$178:$ES$178,Calculo!$F$170:$ES$170,2))</f>
        <v>90000</v>
      </c>
      <c r="G14" s="48" t="n">
        <f aca="false">IF(cu_P=1,SUMIFS(Calculo!$F$22:$ES$22,Calculo!$F$14:$ES$14,3),SUMIFS(Calculo!$F$178:$ES$178,Calculo!$F$170:$ES$170,3))</f>
        <v>110000</v>
      </c>
      <c r="H14" s="48" t="n">
        <f aca="false">IF(cu_P=1,SUMIFS(Calculo!$F$22:$ES$22,Calculo!$F$14:$ES$14,4),SUMIFS(Calculo!$F$178:$ES$178,Calculo!$F$170:$ES$170,4))</f>
        <v>120000</v>
      </c>
      <c r="I14" s="48" t="n">
        <f aca="false">IF(cu_P=1,SUMIFS(Calculo!$F$22:$ES$22,Calculo!$F$14:$ES$14,5),SUMIFS(Calculo!$F$178:$ES$178,Calculo!$F$170:$ES$170,5))</f>
        <v>120000</v>
      </c>
      <c r="J14" s="48" t="n">
        <f aca="false">IF(cu_P=1,SUMIFS(Calculo!$F$22:$ES$22,Calculo!$F$14:$ES$14,6),SUMIFS(Calculo!$F$178:$ES$178,Calculo!$F$170:$ES$170,6))</f>
        <v>120000</v>
      </c>
      <c r="K14" s="48" t="n">
        <f aca="false">IF(cu_P=1,SUMIFS(Calculo!$F$22:$ES$22,Calculo!$F$14:$ES$14,7),SUMIFS(Calculo!$F$178:$ES$178,Calculo!$F$170:$ES$170,7))</f>
        <v>120000</v>
      </c>
      <c r="L14" s="48" t="n">
        <f aca="false">IF(cu_P=1,SUMIFS(Calculo!$F$22:$ES$22,Calculo!$F$14:$ES$14,8),SUMIFS(Calculo!$F$178:$ES$178,Calculo!$F$170:$ES$170,8))</f>
        <v>120000</v>
      </c>
      <c r="M14" s="48" t="n">
        <f aca="false">IF(cu_P=1,SUMIFS(Calculo!$F$22:$ES$22,Calculo!$F$14:$ES$14,9),SUMIFS(Calculo!$F$178:$ES$178,Calculo!$F$170:$ES$170,9))</f>
        <v>120000</v>
      </c>
      <c r="N14" s="48" t="n">
        <f aca="false">IF(cu_P=1,SUMIFS(Calculo!$F$22:$ES$22,Calculo!$F$14:$ES$14,10),SUMIFS(Calculo!$F$178:$ES$178,Calculo!$F$170:$ES$170,10))</f>
        <v>120000</v>
      </c>
      <c r="O14" s="54" t="n">
        <f aca="false">SUM(D14:N14)</f>
        <v>1110000</v>
      </c>
    </row>
    <row r="15" customFormat="false" ht="15" hidden="false" customHeight="false" outlineLevel="0" collapsed="false">
      <c r="A15" s="11" t="s">
        <v>2009</v>
      </c>
      <c r="B15" s="15" t="s">
        <v>2006</v>
      </c>
      <c r="C15" s="11" t="s">
        <v>748</v>
      </c>
      <c r="D15" s="50" t="str">
        <f aca="false">IFERROR(IF(OR(NOT(ISNUMBER(D13)),N(D14)=0),"",D13/D14),"")</f>
        <v/>
      </c>
      <c r="E15" s="50" t="n">
        <f aca="false">IFERROR(IF(OR(NOT(ISNUMBER(E13)),N(E14)=0),"",E13/E14),"")</f>
        <v>23</v>
      </c>
      <c r="F15" s="50" t="n">
        <f aca="false">IFERROR(IF(OR(NOT(ISNUMBER(F13)),N(F14)=0),"",F13/F14),"")</f>
        <v>23.23</v>
      </c>
      <c r="G15" s="50" t="n">
        <f aca="false">IFERROR(IF(OR(NOT(ISNUMBER(G13)),N(G14)=0),"",G13/G14),"")</f>
        <v>23.4623</v>
      </c>
      <c r="H15" s="50" t="n">
        <f aca="false">IFERROR(IF(OR(NOT(ISNUMBER(H13)),N(H14)=0),"",H13/H14),"")</f>
        <v>23.696923</v>
      </c>
      <c r="I15" s="50" t="n">
        <f aca="false">IFERROR(IF(OR(NOT(ISNUMBER(I13)),N(I14)=0),"",I13/I14),"")</f>
        <v>23.93389223</v>
      </c>
      <c r="J15" s="50" t="n">
        <f aca="false">IFERROR(IF(OR(NOT(ISNUMBER(J13)),N(J14)=0),"",J13/J14),"")</f>
        <v>24.1732311523</v>
      </c>
      <c r="K15" s="50" t="n">
        <f aca="false">IFERROR(IF(OR(NOT(ISNUMBER(K13)),N(K14)=0),"",K13/K14),"")</f>
        <v>24.414963463823</v>
      </c>
      <c r="L15" s="50" t="n">
        <f aca="false">IFERROR(IF(OR(NOT(ISNUMBER(L13)),N(L14)=0),"",L13/L14),"")</f>
        <v>24.6591130984612</v>
      </c>
      <c r="M15" s="50" t="n">
        <f aca="false">IFERROR(IF(OR(NOT(ISNUMBER(M13)),N(M14)=0),"",M13/M14),"")</f>
        <v>24.9057042294458</v>
      </c>
      <c r="N15" s="50" t="n">
        <f aca="false">IFERROR(IF(OR(NOT(ISNUMBER(N13)),N(N14)=0),"",N13/N14),"")</f>
        <v>25.1547612717403</v>
      </c>
      <c r="O15" s="68" t="n">
        <f aca="false">IFERROR(IF(OR(NOT(ISNUMBER(O13)),N(O14)=0),"",O13/O14),"")</f>
        <v>24.1389041562995</v>
      </c>
    </row>
    <row r="16" customFormat="false" ht="15" hidden="true" customHeight="false" outlineLevel="1" collapsed="false">
      <c r="A16" s="11" t="s">
        <v>2010</v>
      </c>
      <c r="B16" s="53" t="str">
        <f aca="false">IF(INDEX(Prod_Nombre,3)="","Producto 3",INDEX(Prod_Nombre,3))&amp;" — venta"</f>
        <v>Producto 3 — venta</v>
      </c>
      <c r="C16" s="11" t="s">
        <v>508</v>
      </c>
      <c r="D16" s="48" t="n">
        <f aca="false">IF(cu_P=1,SUMIFS(Calculo!$F$48:$ES$48,Calculo!$F$16:$ES$16,1),SUMIFS(Calculo!$F$204:$ES$204,Calculo!$F$172:$ES$172,1))</f>
        <v>0</v>
      </c>
      <c r="E16" s="48" t="n">
        <f aca="false">IF(cu_P=1,SUMIFS(Calculo!$F$48:$ES$48,Calculo!$F$14:$ES$14,1),SUMIFS(Calculo!$F$204:$ES$204,Calculo!$F$170:$ES$170,1))</f>
        <v>0</v>
      </c>
      <c r="F16" s="48" t="n">
        <f aca="false">IF(cu_P=1,SUMIFS(Calculo!$F$48:$ES$48,Calculo!$F$14:$ES$14,2),SUMIFS(Calculo!$F$204:$ES$204,Calculo!$F$170:$ES$170,2))</f>
        <v>0</v>
      </c>
      <c r="G16" s="48" t="n">
        <f aca="false">IF(cu_P=1,SUMIFS(Calculo!$F$48:$ES$48,Calculo!$F$14:$ES$14,3),SUMIFS(Calculo!$F$204:$ES$204,Calculo!$F$170:$ES$170,3))</f>
        <v>0</v>
      </c>
      <c r="H16" s="48" t="n">
        <f aca="false">IF(cu_P=1,SUMIFS(Calculo!$F$48:$ES$48,Calculo!$F$14:$ES$14,4),SUMIFS(Calculo!$F$204:$ES$204,Calculo!$F$170:$ES$170,4))</f>
        <v>0</v>
      </c>
      <c r="I16" s="48" t="n">
        <f aca="false">IF(cu_P=1,SUMIFS(Calculo!$F$48:$ES$48,Calculo!$F$14:$ES$14,5),SUMIFS(Calculo!$F$204:$ES$204,Calculo!$F$170:$ES$170,5))</f>
        <v>0</v>
      </c>
      <c r="J16" s="48" t="n">
        <f aca="false">IF(cu_P=1,SUMIFS(Calculo!$F$48:$ES$48,Calculo!$F$14:$ES$14,6),SUMIFS(Calculo!$F$204:$ES$204,Calculo!$F$170:$ES$170,6))</f>
        <v>0</v>
      </c>
      <c r="K16" s="48" t="n">
        <f aca="false">IF(cu_P=1,SUMIFS(Calculo!$F$48:$ES$48,Calculo!$F$14:$ES$14,7),SUMIFS(Calculo!$F$204:$ES$204,Calculo!$F$170:$ES$170,7))</f>
        <v>0</v>
      </c>
      <c r="L16" s="48" t="n">
        <f aca="false">IF(cu_P=1,SUMIFS(Calculo!$F$48:$ES$48,Calculo!$F$14:$ES$14,8),SUMIFS(Calculo!$F$204:$ES$204,Calculo!$F$170:$ES$170,8))</f>
        <v>0</v>
      </c>
      <c r="M16" s="48" t="n">
        <f aca="false">IF(cu_P=1,SUMIFS(Calculo!$F$48:$ES$48,Calculo!$F$14:$ES$14,9),SUMIFS(Calculo!$F$204:$ES$204,Calculo!$F$170:$ES$170,9))</f>
        <v>0</v>
      </c>
      <c r="N16" s="48" t="n">
        <f aca="false">IF(cu_P=1,SUMIFS(Calculo!$F$48:$ES$48,Calculo!$F$14:$ES$14,10),SUMIFS(Calculo!$F$204:$ES$204,Calculo!$F$170:$ES$170,10))</f>
        <v>0</v>
      </c>
      <c r="O16" s="54" t="n">
        <f aca="false">SUM(D16:N16)</f>
        <v>0</v>
      </c>
    </row>
    <row r="17" customFormat="false" ht="15" hidden="true" customHeight="false" outlineLevel="1" collapsed="false">
      <c r="A17" s="11" t="s">
        <v>2011</v>
      </c>
      <c r="B17" s="15" t="s">
        <v>2004</v>
      </c>
      <c r="C17" s="11" t="s">
        <v>544</v>
      </c>
      <c r="D17" s="48" t="n">
        <f aca="false">IF(cu_P=1,SUMIFS(Calculo!$F$23:$ES$23,Calculo!$F$16:$ES$16,1),SUMIFS(Calculo!$F$179:$ES$179,Calculo!$F$172:$ES$172,1))</f>
        <v>0</v>
      </c>
      <c r="E17" s="48" t="n">
        <f aca="false">IF(cu_P=1,SUMIFS(Calculo!$F$23:$ES$23,Calculo!$F$14:$ES$14,1),SUMIFS(Calculo!$F$179:$ES$179,Calculo!$F$170:$ES$170,1))</f>
        <v>0</v>
      </c>
      <c r="F17" s="48" t="n">
        <f aca="false">IF(cu_P=1,SUMIFS(Calculo!$F$23:$ES$23,Calculo!$F$14:$ES$14,2),SUMIFS(Calculo!$F$179:$ES$179,Calculo!$F$170:$ES$170,2))</f>
        <v>0</v>
      </c>
      <c r="G17" s="48" t="n">
        <f aca="false">IF(cu_P=1,SUMIFS(Calculo!$F$23:$ES$23,Calculo!$F$14:$ES$14,3),SUMIFS(Calculo!$F$179:$ES$179,Calculo!$F$170:$ES$170,3))</f>
        <v>0</v>
      </c>
      <c r="H17" s="48" t="n">
        <f aca="false">IF(cu_P=1,SUMIFS(Calculo!$F$23:$ES$23,Calculo!$F$14:$ES$14,4),SUMIFS(Calculo!$F$179:$ES$179,Calculo!$F$170:$ES$170,4))</f>
        <v>0</v>
      </c>
      <c r="I17" s="48" t="n">
        <f aca="false">IF(cu_P=1,SUMIFS(Calculo!$F$23:$ES$23,Calculo!$F$14:$ES$14,5),SUMIFS(Calculo!$F$179:$ES$179,Calculo!$F$170:$ES$170,5))</f>
        <v>0</v>
      </c>
      <c r="J17" s="48" t="n">
        <f aca="false">IF(cu_P=1,SUMIFS(Calculo!$F$23:$ES$23,Calculo!$F$14:$ES$14,6),SUMIFS(Calculo!$F$179:$ES$179,Calculo!$F$170:$ES$170,6))</f>
        <v>0</v>
      </c>
      <c r="K17" s="48" t="n">
        <f aca="false">IF(cu_P=1,SUMIFS(Calculo!$F$23:$ES$23,Calculo!$F$14:$ES$14,7),SUMIFS(Calculo!$F$179:$ES$179,Calculo!$F$170:$ES$170,7))</f>
        <v>0</v>
      </c>
      <c r="L17" s="48" t="n">
        <f aca="false">IF(cu_P=1,SUMIFS(Calculo!$F$23:$ES$23,Calculo!$F$14:$ES$14,8),SUMIFS(Calculo!$F$179:$ES$179,Calculo!$F$170:$ES$170,8))</f>
        <v>0</v>
      </c>
      <c r="M17" s="48" t="n">
        <f aca="false">IF(cu_P=1,SUMIFS(Calculo!$F$23:$ES$23,Calculo!$F$14:$ES$14,9),SUMIFS(Calculo!$F$179:$ES$179,Calculo!$F$170:$ES$170,9))</f>
        <v>0</v>
      </c>
      <c r="N17" s="48" t="n">
        <f aca="false">IF(cu_P=1,SUMIFS(Calculo!$F$23:$ES$23,Calculo!$F$14:$ES$14,10),SUMIFS(Calculo!$F$179:$ES$179,Calculo!$F$170:$ES$170,10))</f>
        <v>0</v>
      </c>
      <c r="O17" s="54" t="n">
        <f aca="false">SUM(D17:N17)</f>
        <v>0</v>
      </c>
    </row>
    <row r="18" customFormat="false" ht="15" hidden="true" customHeight="false" outlineLevel="1" collapsed="false">
      <c r="A18" s="11" t="s">
        <v>2012</v>
      </c>
      <c r="B18" s="15" t="s">
        <v>2006</v>
      </c>
      <c r="C18" s="11" t="s">
        <v>748</v>
      </c>
      <c r="D18" s="50" t="str">
        <f aca="false">IFERROR(IF(OR(NOT(ISNUMBER(D16)),N(D17)=0),"",D16/D17),"")</f>
        <v/>
      </c>
      <c r="E18" s="50" t="str">
        <f aca="false">IFERROR(IF(OR(NOT(ISNUMBER(E16)),N(E17)=0),"",E16/E17),"")</f>
        <v/>
      </c>
      <c r="F18" s="50" t="str">
        <f aca="false">IFERROR(IF(OR(NOT(ISNUMBER(F16)),N(F17)=0),"",F16/F17),"")</f>
        <v/>
      </c>
      <c r="G18" s="50" t="str">
        <f aca="false">IFERROR(IF(OR(NOT(ISNUMBER(G16)),N(G17)=0),"",G16/G17),"")</f>
        <v/>
      </c>
      <c r="H18" s="50" t="str">
        <f aca="false">IFERROR(IF(OR(NOT(ISNUMBER(H16)),N(H17)=0),"",H16/H17),"")</f>
        <v/>
      </c>
      <c r="I18" s="50" t="str">
        <f aca="false">IFERROR(IF(OR(NOT(ISNUMBER(I16)),N(I17)=0),"",I16/I17),"")</f>
        <v/>
      </c>
      <c r="J18" s="50" t="str">
        <f aca="false">IFERROR(IF(OR(NOT(ISNUMBER(J16)),N(J17)=0),"",J16/J17),"")</f>
        <v/>
      </c>
      <c r="K18" s="50" t="str">
        <f aca="false">IFERROR(IF(OR(NOT(ISNUMBER(K16)),N(K17)=0),"",K16/K17),"")</f>
        <v/>
      </c>
      <c r="L18" s="50" t="str">
        <f aca="false">IFERROR(IF(OR(NOT(ISNUMBER(L16)),N(L17)=0),"",L16/L17),"")</f>
        <v/>
      </c>
      <c r="M18" s="50" t="str">
        <f aca="false">IFERROR(IF(OR(NOT(ISNUMBER(M16)),N(M17)=0),"",M16/M17),"")</f>
        <v/>
      </c>
      <c r="N18" s="50" t="str">
        <f aca="false">IFERROR(IF(OR(NOT(ISNUMBER(N16)),N(N17)=0),"",N16/N17),"")</f>
        <v/>
      </c>
      <c r="O18" s="68" t="str">
        <f aca="false">IFERROR(IF(OR(NOT(ISNUMBER(O16)),N(O17)=0),"",O16/O17),"")</f>
        <v/>
      </c>
    </row>
    <row r="19" customFormat="false" ht="15" hidden="true" customHeight="false" outlineLevel="1" collapsed="false">
      <c r="A19" s="11" t="s">
        <v>2013</v>
      </c>
      <c r="B19" s="53" t="str">
        <f aca="false">IF(INDEX(Prod_Nombre,4)="","Producto 4",INDEX(Prod_Nombre,4))&amp;" — venta"</f>
        <v>Producto 4 — venta</v>
      </c>
      <c r="C19" s="11" t="s">
        <v>508</v>
      </c>
      <c r="D19" s="48" t="n">
        <f aca="false">IF(cu_P=1,SUMIFS(Calculo!$F$49:$ES$49,Calculo!$F$16:$ES$16,1),SUMIFS(Calculo!$F$205:$ES$205,Calculo!$F$172:$ES$172,1))</f>
        <v>0</v>
      </c>
      <c r="E19" s="48" t="n">
        <f aca="false">IF(cu_P=1,SUMIFS(Calculo!$F$49:$ES$49,Calculo!$F$14:$ES$14,1),SUMIFS(Calculo!$F$205:$ES$205,Calculo!$F$170:$ES$170,1))</f>
        <v>0</v>
      </c>
      <c r="F19" s="48" t="n">
        <f aca="false">IF(cu_P=1,SUMIFS(Calculo!$F$49:$ES$49,Calculo!$F$14:$ES$14,2),SUMIFS(Calculo!$F$205:$ES$205,Calculo!$F$170:$ES$170,2))</f>
        <v>0</v>
      </c>
      <c r="G19" s="48" t="n">
        <f aca="false">IF(cu_P=1,SUMIFS(Calculo!$F$49:$ES$49,Calculo!$F$14:$ES$14,3),SUMIFS(Calculo!$F$205:$ES$205,Calculo!$F$170:$ES$170,3))</f>
        <v>0</v>
      </c>
      <c r="H19" s="48" t="n">
        <f aca="false">IF(cu_P=1,SUMIFS(Calculo!$F$49:$ES$49,Calculo!$F$14:$ES$14,4),SUMIFS(Calculo!$F$205:$ES$205,Calculo!$F$170:$ES$170,4))</f>
        <v>0</v>
      </c>
      <c r="I19" s="48" t="n">
        <f aca="false">IF(cu_P=1,SUMIFS(Calculo!$F$49:$ES$49,Calculo!$F$14:$ES$14,5),SUMIFS(Calculo!$F$205:$ES$205,Calculo!$F$170:$ES$170,5))</f>
        <v>0</v>
      </c>
      <c r="J19" s="48" t="n">
        <f aca="false">IF(cu_P=1,SUMIFS(Calculo!$F$49:$ES$49,Calculo!$F$14:$ES$14,6),SUMIFS(Calculo!$F$205:$ES$205,Calculo!$F$170:$ES$170,6))</f>
        <v>0</v>
      </c>
      <c r="K19" s="48" t="n">
        <f aca="false">IF(cu_P=1,SUMIFS(Calculo!$F$49:$ES$49,Calculo!$F$14:$ES$14,7),SUMIFS(Calculo!$F$205:$ES$205,Calculo!$F$170:$ES$170,7))</f>
        <v>0</v>
      </c>
      <c r="L19" s="48" t="n">
        <f aca="false">IF(cu_P=1,SUMIFS(Calculo!$F$49:$ES$49,Calculo!$F$14:$ES$14,8),SUMIFS(Calculo!$F$205:$ES$205,Calculo!$F$170:$ES$170,8))</f>
        <v>0</v>
      </c>
      <c r="M19" s="48" t="n">
        <f aca="false">IF(cu_P=1,SUMIFS(Calculo!$F$49:$ES$49,Calculo!$F$14:$ES$14,9),SUMIFS(Calculo!$F$205:$ES$205,Calculo!$F$170:$ES$170,9))</f>
        <v>0</v>
      </c>
      <c r="N19" s="48" t="n">
        <f aca="false">IF(cu_P=1,SUMIFS(Calculo!$F$49:$ES$49,Calculo!$F$14:$ES$14,10),SUMIFS(Calculo!$F$205:$ES$205,Calculo!$F$170:$ES$170,10))</f>
        <v>0</v>
      </c>
      <c r="O19" s="54" t="n">
        <f aca="false">SUM(D19:N19)</f>
        <v>0</v>
      </c>
    </row>
    <row r="20" customFormat="false" ht="15" hidden="true" customHeight="false" outlineLevel="1" collapsed="false">
      <c r="A20" s="11" t="s">
        <v>2014</v>
      </c>
      <c r="B20" s="15" t="s">
        <v>2004</v>
      </c>
      <c r="C20" s="11" t="s">
        <v>544</v>
      </c>
      <c r="D20" s="48" t="n">
        <f aca="false">IF(cu_P=1,SUMIFS(Calculo!$F$24:$ES$24,Calculo!$F$16:$ES$16,1),SUMIFS(Calculo!$F$180:$ES$180,Calculo!$F$172:$ES$172,1))</f>
        <v>0</v>
      </c>
      <c r="E20" s="48" t="n">
        <f aca="false">IF(cu_P=1,SUMIFS(Calculo!$F$24:$ES$24,Calculo!$F$14:$ES$14,1),SUMIFS(Calculo!$F$180:$ES$180,Calculo!$F$170:$ES$170,1))</f>
        <v>0</v>
      </c>
      <c r="F20" s="48" t="n">
        <f aca="false">IF(cu_P=1,SUMIFS(Calculo!$F$24:$ES$24,Calculo!$F$14:$ES$14,2),SUMIFS(Calculo!$F$180:$ES$180,Calculo!$F$170:$ES$170,2))</f>
        <v>0</v>
      </c>
      <c r="G20" s="48" t="n">
        <f aca="false">IF(cu_P=1,SUMIFS(Calculo!$F$24:$ES$24,Calculo!$F$14:$ES$14,3),SUMIFS(Calculo!$F$180:$ES$180,Calculo!$F$170:$ES$170,3))</f>
        <v>0</v>
      </c>
      <c r="H20" s="48" t="n">
        <f aca="false">IF(cu_P=1,SUMIFS(Calculo!$F$24:$ES$24,Calculo!$F$14:$ES$14,4),SUMIFS(Calculo!$F$180:$ES$180,Calculo!$F$170:$ES$170,4))</f>
        <v>0</v>
      </c>
      <c r="I20" s="48" t="n">
        <f aca="false">IF(cu_P=1,SUMIFS(Calculo!$F$24:$ES$24,Calculo!$F$14:$ES$14,5),SUMIFS(Calculo!$F$180:$ES$180,Calculo!$F$170:$ES$170,5))</f>
        <v>0</v>
      </c>
      <c r="J20" s="48" t="n">
        <f aca="false">IF(cu_P=1,SUMIFS(Calculo!$F$24:$ES$24,Calculo!$F$14:$ES$14,6),SUMIFS(Calculo!$F$180:$ES$180,Calculo!$F$170:$ES$170,6))</f>
        <v>0</v>
      </c>
      <c r="K20" s="48" t="n">
        <f aca="false">IF(cu_P=1,SUMIFS(Calculo!$F$24:$ES$24,Calculo!$F$14:$ES$14,7),SUMIFS(Calculo!$F$180:$ES$180,Calculo!$F$170:$ES$170,7))</f>
        <v>0</v>
      </c>
      <c r="L20" s="48" t="n">
        <f aca="false">IF(cu_P=1,SUMIFS(Calculo!$F$24:$ES$24,Calculo!$F$14:$ES$14,8),SUMIFS(Calculo!$F$180:$ES$180,Calculo!$F$170:$ES$170,8))</f>
        <v>0</v>
      </c>
      <c r="M20" s="48" t="n">
        <f aca="false">IF(cu_P=1,SUMIFS(Calculo!$F$24:$ES$24,Calculo!$F$14:$ES$14,9),SUMIFS(Calculo!$F$180:$ES$180,Calculo!$F$170:$ES$170,9))</f>
        <v>0</v>
      </c>
      <c r="N20" s="48" t="n">
        <f aca="false">IF(cu_P=1,SUMIFS(Calculo!$F$24:$ES$24,Calculo!$F$14:$ES$14,10),SUMIFS(Calculo!$F$180:$ES$180,Calculo!$F$170:$ES$170,10))</f>
        <v>0</v>
      </c>
      <c r="O20" s="54" t="n">
        <f aca="false">SUM(D20:N20)</f>
        <v>0</v>
      </c>
    </row>
    <row r="21" customFormat="false" ht="15" hidden="true" customHeight="false" outlineLevel="1" collapsed="false">
      <c r="A21" s="11" t="s">
        <v>2015</v>
      </c>
      <c r="B21" s="15" t="s">
        <v>2006</v>
      </c>
      <c r="C21" s="11" t="s">
        <v>748</v>
      </c>
      <c r="D21" s="50" t="str">
        <f aca="false">IFERROR(IF(OR(NOT(ISNUMBER(D19)),N(D20)=0),"",D19/D20),"")</f>
        <v/>
      </c>
      <c r="E21" s="50" t="str">
        <f aca="false">IFERROR(IF(OR(NOT(ISNUMBER(E19)),N(E20)=0),"",E19/E20),"")</f>
        <v/>
      </c>
      <c r="F21" s="50" t="str">
        <f aca="false">IFERROR(IF(OR(NOT(ISNUMBER(F19)),N(F20)=0),"",F19/F20),"")</f>
        <v/>
      </c>
      <c r="G21" s="50" t="str">
        <f aca="false">IFERROR(IF(OR(NOT(ISNUMBER(G19)),N(G20)=0),"",G19/G20),"")</f>
        <v/>
      </c>
      <c r="H21" s="50" t="str">
        <f aca="false">IFERROR(IF(OR(NOT(ISNUMBER(H19)),N(H20)=0),"",H19/H20),"")</f>
        <v/>
      </c>
      <c r="I21" s="50" t="str">
        <f aca="false">IFERROR(IF(OR(NOT(ISNUMBER(I19)),N(I20)=0),"",I19/I20),"")</f>
        <v/>
      </c>
      <c r="J21" s="50" t="str">
        <f aca="false">IFERROR(IF(OR(NOT(ISNUMBER(J19)),N(J20)=0),"",J19/J20),"")</f>
        <v/>
      </c>
      <c r="K21" s="50" t="str">
        <f aca="false">IFERROR(IF(OR(NOT(ISNUMBER(K19)),N(K20)=0),"",K19/K20),"")</f>
        <v/>
      </c>
      <c r="L21" s="50" t="str">
        <f aca="false">IFERROR(IF(OR(NOT(ISNUMBER(L19)),N(L20)=0),"",L19/L20),"")</f>
        <v/>
      </c>
      <c r="M21" s="50" t="str">
        <f aca="false">IFERROR(IF(OR(NOT(ISNUMBER(M19)),N(M20)=0),"",M19/M20),"")</f>
        <v/>
      </c>
      <c r="N21" s="50" t="str">
        <f aca="false">IFERROR(IF(OR(NOT(ISNUMBER(N19)),N(N20)=0),"",N19/N20),"")</f>
        <v/>
      </c>
      <c r="O21" s="68" t="str">
        <f aca="false">IFERROR(IF(OR(NOT(ISNUMBER(O19)),N(O20)=0),"",O19/O20),"")</f>
        <v/>
      </c>
    </row>
    <row r="22" customFormat="false" ht="15" hidden="true" customHeight="false" outlineLevel="1" collapsed="false">
      <c r="A22" s="11" t="s">
        <v>2016</v>
      </c>
      <c r="B22" s="53" t="str">
        <f aca="false">IF(INDEX(Prod_Nombre,5)="","Producto 5",INDEX(Prod_Nombre,5))&amp;" — venta"</f>
        <v>Producto 5 — venta</v>
      </c>
      <c r="C22" s="11" t="s">
        <v>508</v>
      </c>
      <c r="D22" s="48" t="n">
        <f aca="false">IF(cu_P=1,SUMIFS(Calculo!$F$50:$ES$50,Calculo!$F$16:$ES$16,1),SUMIFS(Calculo!$F$206:$ES$206,Calculo!$F$172:$ES$172,1))</f>
        <v>0</v>
      </c>
      <c r="E22" s="48" t="n">
        <f aca="false">IF(cu_P=1,SUMIFS(Calculo!$F$50:$ES$50,Calculo!$F$14:$ES$14,1),SUMIFS(Calculo!$F$206:$ES$206,Calculo!$F$170:$ES$170,1))</f>
        <v>0</v>
      </c>
      <c r="F22" s="48" t="n">
        <f aca="false">IF(cu_P=1,SUMIFS(Calculo!$F$50:$ES$50,Calculo!$F$14:$ES$14,2),SUMIFS(Calculo!$F$206:$ES$206,Calculo!$F$170:$ES$170,2))</f>
        <v>0</v>
      </c>
      <c r="G22" s="48" t="n">
        <f aca="false">IF(cu_P=1,SUMIFS(Calculo!$F$50:$ES$50,Calculo!$F$14:$ES$14,3),SUMIFS(Calculo!$F$206:$ES$206,Calculo!$F$170:$ES$170,3))</f>
        <v>0</v>
      </c>
      <c r="H22" s="48" t="n">
        <f aca="false">IF(cu_P=1,SUMIFS(Calculo!$F$50:$ES$50,Calculo!$F$14:$ES$14,4),SUMIFS(Calculo!$F$206:$ES$206,Calculo!$F$170:$ES$170,4))</f>
        <v>0</v>
      </c>
      <c r="I22" s="48" t="n">
        <f aca="false">IF(cu_P=1,SUMIFS(Calculo!$F$50:$ES$50,Calculo!$F$14:$ES$14,5),SUMIFS(Calculo!$F$206:$ES$206,Calculo!$F$170:$ES$170,5))</f>
        <v>0</v>
      </c>
      <c r="J22" s="48" t="n">
        <f aca="false">IF(cu_P=1,SUMIFS(Calculo!$F$50:$ES$50,Calculo!$F$14:$ES$14,6),SUMIFS(Calculo!$F$206:$ES$206,Calculo!$F$170:$ES$170,6))</f>
        <v>0</v>
      </c>
      <c r="K22" s="48" t="n">
        <f aca="false">IF(cu_P=1,SUMIFS(Calculo!$F$50:$ES$50,Calculo!$F$14:$ES$14,7),SUMIFS(Calculo!$F$206:$ES$206,Calculo!$F$170:$ES$170,7))</f>
        <v>0</v>
      </c>
      <c r="L22" s="48" t="n">
        <f aca="false">IF(cu_P=1,SUMIFS(Calculo!$F$50:$ES$50,Calculo!$F$14:$ES$14,8),SUMIFS(Calculo!$F$206:$ES$206,Calculo!$F$170:$ES$170,8))</f>
        <v>0</v>
      </c>
      <c r="M22" s="48" t="n">
        <f aca="false">IF(cu_P=1,SUMIFS(Calculo!$F$50:$ES$50,Calculo!$F$14:$ES$14,9),SUMIFS(Calculo!$F$206:$ES$206,Calculo!$F$170:$ES$170,9))</f>
        <v>0</v>
      </c>
      <c r="N22" s="48" t="n">
        <f aca="false">IF(cu_P=1,SUMIFS(Calculo!$F$50:$ES$50,Calculo!$F$14:$ES$14,10),SUMIFS(Calculo!$F$206:$ES$206,Calculo!$F$170:$ES$170,10))</f>
        <v>0</v>
      </c>
      <c r="O22" s="54" t="n">
        <f aca="false">SUM(D22:N22)</f>
        <v>0</v>
      </c>
    </row>
    <row r="23" customFormat="false" ht="15" hidden="true" customHeight="false" outlineLevel="1" collapsed="false">
      <c r="A23" s="11" t="s">
        <v>2017</v>
      </c>
      <c r="B23" s="15" t="s">
        <v>2004</v>
      </c>
      <c r="C23" s="11" t="s">
        <v>544</v>
      </c>
      <c r="D23" s="48" t="n">
        <f aca="false">IF(cu_P=1,SUMIFS(Calculo!$F$25:$ES$25,Calculo!$F$16:$ES$16,1),SUMIFS(Calculo!$F$181:$ES$181,Calculo!$F$172:$ES$172,1))</f>
        <v>0</v>
      </c>
      <c r="E23" s="48" t="n">
        <f aca="false">IF(cu_P=1,SUMIFS(Calculo!$F$25:$ES$25,Calculo!$F$14:$ES$14,1),SUMIFS(Calculo!$F$181:$ES$181,Calculo!$F$170:$ES$170,1))</f>
        <v>0</v>
      </c>
      <c r="F23" s="48" t="n">
        <f aca="false">IF(cu_P=1,SUMIFS(Calculo!$F$25:$ES$25,Calculo!$F$14:$ES$14,2),SUMIFS(Calculo!$F$181:$ES$181,Calculo!$F$170:$ES$170,2))</f>
        <v>0</v>
      </c>
      <c r="G23" s="48" t="n">
        <f aca="false">IF(cu_P=1,SUMIFS(Calculo!$F$25:$ES$25,Calculo!$F$14:$ES$14,3),SUMIFS(Calculo!$F$181:$ES$181,Calculo!$F$170:$ES$170,3))</f>
        <v>0</v>
      </c>
      <c r="H23" s="48" t="n">
        <f aca="false">IF(cu_P=1,SUMIFS(Calculo!$F$25:$ES$25,Calculo!$F$14:$ES$14,4),SUMIFS(Calculo!$F$181:$ES$181,Calculo!$F$170:$ES$170,4))</f>
        <v>0</v>
      </c>
      <c r="I23" s="48" t="n">
        <f aca="false">IF(cu_P=1,SUMIFS(Calculo!$F$25:$ES$25,Calculo!$F$14:$ES$14,5),SUMIFS(Calculo!$F$181:$ES$181,Calculo!$F$170:$ES$170,5))</f>
        <v>0</v>
      </c>
      <c r="J23" s="48" t="n">
        <f aca="false">IF(cu_P=1,SUMIFS(Calculo!$F$25:$ES$25,Calculo!$F$14:$ES$14,6),SUMIFS(Calculo!$F$181:$ES$181,Calculo!$F$170:$ES$170,6))</f>
        <v>0</v>
      </c>
      <c r="K23" s="48" t="n">
        <f aca="false">IF(cu_P=1,SUMIFS(Calculo!$F$25:$ES$25,Calculo!$F$14:$ES$14,7),SUMIFS(Calculo!$F$181:$ES$181,Calculo!$F$170:$ES$170,7))</f>
        <v>0</v>
      </c>
      <c r="L23" s="48" t="n">
        <f aca="false">IF(cu_P=1,SUMIFS(Calculo!$F$25:$ES$25,Calculo!$F$14:$ES$14,8),SUMIFS(Calculo!$F$181:$ES$181,Calculo!$F$170:$ES$170,8))</f>
        <v>0</v>
      </c>
      <c r="M23" s="48" t="n">
        <f aca="false">IF(cu_P=1,SUMIFS(Calculo!$F$25:$ES$25,Calculo!$F$14:$ES$14,9),SUMIFS(Calculo!$F$181:$ES$181,Calculo!$F$170:$ES$170,9))</f>
        <v>0</v>
      </c>
      <c r="N23" s="48" t="n">
        <f aca="false">IF(cu_P=1,SUMIFS(Calculo!$F$25:$ES$25,Calculo!$F$14:$ES$14,10),SUMIFS(Calculo!$F$181:$ES$181,Calculo!$F$170:$ES$170,10))</f>
        <v>0</v>
      </c>
      <c r="O23" s="54" t="n">
        <f aca="false">SUM(D23:N23)</f>
        <v>0</v>
      </c>
    </row>
    <row r="24" customFormat="false" ht="15" hidden="true" customHeight="false" outlineLevel="1" collapsed="false">
      <c r="A24" s="11" t="s">
        <v>2018</v>
      </c>
      <c r="B24" s="15" t="s">
        <v>2006</v>
      </c>
      <c r="C24" s="11" t="s">
        <v>748</v>
      </c>
      <c r="D24" s="50" t="str">
        <f aca="false">IFERROR(IF(OR(NOT(ISNUMBER(D22)),N(D23)=0),"",D22/D23),"")</f>
        <v/>
      </c>
      <c r="E24" s="50" t="str">
        <f aca="false">IFERROR(IF(OR(NOT(ISNUMBER(E22)),N(E23)=0),"",E22/E23),"")</f>
        <v/>
      </c>
      <c r="F24" s="50" t="str">
        <f aca="false">IFERROR(IF(OR(NOT(ISNUMBER(F22)),N(F23)=0),"",F22/F23),"")</f>
        <v/>
      </c>
      <c r="G24" s="50" t="str">
        <f aca="false">IFERROR(IF(OR(NOT(ISNUMBER(G22)),N(G23)=0),"",G22/G23),"")</f>
        <v/>
      </c>
      <c r="H24" s="50" t="str">
        <f aca="false">IFERROR(IF(OR(NOT(ISNUMBER(H22)),N(H23)=0),"",H22/H23),"")</f>
        <v/>
      </c>
      <c r="I24" s="50" t="str">
        <f aca="false">IFERROR(IF(OR(NOT(ISNUMBER(I22)),N(I23)=0),"",I22/I23),"")</f>
        <v/>
      </c>
      <c r="J24" s="50" t="str">
        <f aca="false">IFERROR(IF(OR(NOT(ISNUMBER(J22)),N(J23)=0),"",J22/J23),"")</f>
        <v/>
      </c>
      <c r="K24" s="50" t="str">
        <f aca="false">IFERROR(IF(OR(NOT(ISNUMBER(K22)),N(K23)=0),"",K22/K23),"")</f>
        <v/>
      </c>
      <c r="L24" s="50" t="str">
        <f aca="false">IFERROR(IF(OR(NOT(ISNUMBER(L22)),N(L23)=0),"",L22/L23),"")</f>
        <v/>
      </c>
      <c r="M24" s="50" t="str">
        <f aca="false">IFERROR(IF(OR(NOT(ISNUMBER(M22)),N(M23)=0),"",M22/M23),"")</f>
        <v/>
      </c>
      <c r="N24" s="50" t="str">
        <f aca="false">IFERROR(IF(OR(NOT(ISNUMBER(N22)),N(N23)=0),"",N22/N23),"")</f>
        <v/>
      </c>
      <c r="O24" s="68" t="str">
        <f aca="false">IFERROR(IF(OR(NOT(ISNUMBER(O22)),N(O23)=0),"",O22/O23),"")</f>
        <v/>
      </c>
    </row>
    <row r="25" customFormat="false" ht="15" hidden="true" customHeight="false" outlineLevel="1" collapsed="false">
      <c r="A25" s="11" t="s">
        <v>2019</v>
      </c>
      <c r="B25" s="53" t="str">
        <f aca="false">IF(INDEX(Prod_Nombre,6)="","Producto 6",INDEX(Prod_Nombre,6))&amp;" — venta"</f>
        <v>Producto 6 — venta</v>
      </c>
      <c r="C25" s="11" t="s">
        <v>508</v>
      </c>
      <c r="D25" s="48" t="n">
        <f aca="false">IF(cu_P=1,SUMIFS(Calculo!$F$51:$ES$51,Calculo!$F$16:$ES$16,1),SUMIFS(Calculo!$F$207:$ES$207,Calculo!$F$172:$ES$172,1))</f>
        <v>0</v>
      </c>
      <c r="E25" s="48" t="n">
        <f aca="false">IF(cu_P=1,SUMIFS(Calculo!$F$51:$ES$51,Calculo!$F$14:$ES$14,1),SUMIFS(Calculo!$F$207:$ES$207,Calculo!$F$170:$ES$170,1))</f>
        <v>0</v>
      </c>
      <c r="F25" s="48" t="n">
        <f aca="false">IF(cu_P=1,SUMIFS(Calculo!$F$51:$ES$51,Calculo!$F$14:$ES$14,2),SUMIFS(Calculo!$F$207:$ES$207,Calculo!$F$170:$ES$170,2))</f>
        <v>0</v>
      </c>
      <c r="G25" s="48" t="n">
        <f aca="false">IF(cu_P=1,SUMIFS(Calculo!$F$51:$ES$51,Calculo!$F$14:$ES$14,3),SUMIFS(Calculo!$F$207:$ES$207,Calculo!$F$170:$ES$170,3))</f>
        <v>0</v>
      </c>
      <c r="H25" s="48" t="n">
        <f aca="false">IF(cu_P=1,SUMIFS(Calculo!$F$51:$ES$51,Calculo!$F$14:$ES$14,4),SUMIFS(Calculo!$F$207:$ES$207,Calculo!$F$170:$ES$170,4))</f>
        <v>0</v>
      </c>
      <c r="I25" s="48" t="n">
        <f aca="false">IF(cu_P=1,SUMIFS(Calculo!$F$51:$ES$51,Calculo!$F$14:$ES$14,5),SUMIFS(Calculo!$F$207:$ES$207,Calculo!$F$170:$ES$170,5))</f>
        <v>0</v>
      </c>
      <c r="J25" s="48" t="n">
        <f aca="false">IF(cu_P=1,SUMIFS(Calculo!$F$51:$ES$51,Calculo!$F$14:$ES$14,6),SUMIFS(Calculo!$F$207:$ES$207,Calculo!$F$170:$ES$170,6))</f>
        <v>0</v>
      </c>
      <c r="K25" s="48" t="n">
        <f aca="false">IF(cu_P=1,SUMIFS(Calculo!$F$51:$ES$51,Calculo!$F$14:$ES$14,7),SUMIFS(Calculo!$F$207:$ES$207,Calculo!$F$170:$ES$170,7))</f>
        <v>0</v>
      </c>
      <c r="L25" s="48" t="n">
        <f aca="false">IF(cu_P=1,SUMIFS(Calculo!$F$51:$ES$51,Calculo!$F$14:$ES$14,8),SUMIFS(Calculo!$F$207:$ES$207,Calculo!$F$170:$ES$170,8))</f>
        <v>0</v>
      </c>
      <c r="M25" s="48" t="n">
        <f aca="false">IF(cu_P=1,SUMIFS(Calculo!$F$51:$ES$51,Calculo!$F$14:$ES$14,9),SUMIFS(Calculo!$F$207:$ES$207,Calculo!$F$170:$ES$170,9))</f>
        <v>0</v>
      </c>
      <c r="N25" s="48" t="n">
        <f aca="false">IF(cu_P=1,SUMIFS(Calculo!$F$51:$ES$51,Calculo!$F$14:$ES$14,10),SUMIFS(Calculo!$F$207:$ES$207,Calculo!$F$170:$ES$170,10))</f>
        <v>0</v>
      </c>
      <c r="O25" s="54" t="n">
        <f aca="false">SUM(D25:N25)</f>
        <v>0</v>
      </c>
    </row>
    <row r="26" customFormat="false" ht="15" hidden="true" customHeight="false" outlineLevel="1" collapsed="false">
      <c r="A26" s="11" t="s">
        <v>2020</v>
      </c>
      <c r="B26" s="15" t="s">
        <v>2004</v>
      </c>
      <c r="C26" s="11" t="s">
        <v>544</v>
      </c>
      <c r="D26" s="48" t="n">
        <f aca="false">IF(cu_P=1,SUMIFS(Calculo!$F$26:$ES$26,Calculo!$F$16:$ES$16,1),SUMIFS(Calculo!$F$182:$ES$182,Calculo!$F$172:$ES$172,1))</f>
        <v>0</v>
      </c>
      <c r="E26" s="48" t="n">
        <f aca="false">IF(cu_P=1,SUMIFS(Calculo!$F$26:$ES$26,Calculo!$F$14:$ES$14,1),SUMIFS(Calculo!$F$182:$ES$182,Calculo!$F$170:$ES$170,1))</f>
        <v>0</v>
      </c>
      <c r="F26" s="48" t="n">
        <f aca="false">IF(cu_P=1,SUMIFS(Calculo!$F$26:$ES$26,Calculo!$F$14:$ES$14,2),SUMIFS(Calculo!$F$182:$ES$182,Calculo!$F$170:$ES$170,2))</f>
        <v>0</v>
      </c>
      <c r="G26" s="48" t="n">
        <f aca="false">IF(cu_P=1,SUMIFS(Calculo!$F$26:$ES$26,Calculo!$F$14:$ES$14,3),SUMIFS(Calculo!$F$182:$ES$182,Calculo!$F$170:$ES$170,3))</f>
        <v>0</v>
      </c>
      <c r="H26" s="48" t="n">
        <f aca="false">IF(cu_P=1,SUMIFS(Calculo!$F$26:$ES$26,Calculo!$F$14:$ES$14,4),SUMIFS(Calculo!$F$182:$ES$182,Calculo!$F$170:$ES$170,4))</f>
        <v>0</v>
      </c>
      <c r="I26" s="48" t="n">
        <f aca="false">IF(cu_P=1,SUMIFS(Calculo!$F$26:$ES$26,Calculo!$F$14:$ES$14,5),SUMIFS(Calculo!$F$182:$ES$182,Calculo!$F$170:$ES$170,5))</f>
        <v>0</v>
      </c>
      <c r="J26" s="48" t="n">
        <f aca="false">IF(cu_P=1,SUMIFS(Calculo!$F$26:$ES$26,Calculo!$F$14:$ES$14,6),SUMIFS(Calculo!$F$182:$ES$182,Calculo!$F$170:$ES$170,6))</f>
        <v>0</v>
      </c>
      <c r="K26" s="48" t="n">
        <f aca="false">IF(cu_P=1,SUMIFS(Calculo!$F$26:$ES$26,Calculo!$F$14:$ES$14,7),SUMIFS(Calculo!$F$182:$ES$182,Calculo!$F$170:$ES$170,7))</f>
        <v>0</v>
      </c>
      <c r="L26" s="48" t="n">
        <f aca="false">IF(cu_P=1,SUMIFS(Calculo!$F$26:$ES$26,Calculo!$F$14:$ES$14,8),SUMIFS(Calculo!$F$182:$ES$182,Calculo!$F$170:$ES$170,8))</f>
        <v>0</v>
      </c>
      <c r="M26" s="48" t="n">
        <f aca="false">IF(cu_P=1,SUMIFS(Calculo!$F$26:$ES$26,Calculo!$F$14:$ES$14,9),SUMIFS(Calculo!$F$182:$ES$182,Calculo!$F$170:$ES$170,9))</f>
        <v>0</v>
      </c>
      <c r="N26" s="48" t="n">
        <f aca="false">IF(cu_P=1,SUMIFS(Calculo!$F$26:$ES$26,Calculo!$F$14:$ES$14,10),SUMIFS(Calculo!$F$182:$ES$182,Calculo!$F$170:$ES$170,10))</f>
        <v>0</v>
      </c>
      <c r="O26" s="54" t="n">
        <f aca="false">SUM(D26:N26)</f>
        <v>0</v>
      </c>
    </row>
    <row r="27" customFormat="false" ht="15" hidden="true" customHeight="false" outlineLevel="1" collapsed="false">
      <c r="A27" s="11" t="s">
        <v>2021</v>
      </c>
      <c r="B27" s="15" t="s">
        <v>2006</v>
      </c>
      <c r="C27" s="11" t="s">
        <v>748</v>
      </c>
      <c r="D27" s="50" t="str">
        <f aca="false">IFERROR(IF(OR(NOT(ISNUMBER(D25)),N(D26)=0),"",D25/D26),"")</f>
        <v/>
      </c>
      <c r="E27" s="50" t="str">
        <f aca="false">IFERROR(IF(OR(NOT(ISNUMBER(E25)),N(E26)=0),"",E25/E26),"")</f>
        <v/>
      </c>
      <c r="F27" s="50" t="str">
        <f aca="false">IFERROR(IF(OR(NOT(ISNUMBER(F25)),N(F26)=0),"",F25/F26),"")</f>
        <v/>
      </c>
      <c r="G27" s="50" t="str">
        <f aca="false">IFERROR(IF(OR(NOT(ISNUMBER(G25)),N(G26)=0),"",G25/G26),"")</f>
        <v/>
      </c>
      <c r="H27" s="50" t="str">
        <f aca="false">IFERROR(IF(OR(NOT(ISNUMBER(H25)),N(H26)=0),"",H25/H26),"")</f>
        <v/>
      </c>
      <c r="I27" s="50" t="str">
        <f aca="false">IFERROR(IF(OR(NOT(ISNUMBER(I25)),N(I26)=0),"",I25/I26),"")</f>
        <v/>
      </c>
      <c r="J27" s="50" t="str">
        <f aca="false">IFERROR(IF(OR(NOT(ISNUMBER(J25)),N(J26)=0),"",J25/J26),"")</f>
        <v/>
      </c>
      <c r="K27" s="50" t="str">
        <f aca="false">IFERROR(IF(OR(NOT(ISNUMBER(K25)),N(K26)=0),"",K25/K26),"")</f>
        <v/>
      </c>
      <c r="L27" s="50" t="str">
        <f aca="false">IFERROR(IF(OR(NOT(ISNUMBER(L25)),N(L26)=0),"",L25/L26),"")</f>
        <v/>
      </c>
      <c r="M27" s="50" t="str">
        <f aca="false">IFERROR(IF(OR(NOT(ISNUMBER(M25)),N(M26)=0),"",M25/M26),"")</f>
        <v/>
      </c>
      <c r="N27" s="50" t="str">
        <f aca="false">IFERROR(IF(OR(NOT(ISNUMBER(N25)),N(N26)=0),"",N25/N26),"")</f>
        <v/>
      </c>
      <c r="O27" s="68" t="str">
        <f aca="false">IFERROR(IF(OR(NOT(ISNUMBER(O25)),N(O26)=0),"",O25/O26),"")</f>
        <v/>
      </c>
    </row>
    <row r="28" customFormat="false" ht="15" hidden="true" customHeight="false" outlineLevel="1" collapsed="false">
      <c r="A28" s="11" t="s">
        <v>2022</v>
      </c>
      <c r="B28" s="53" t="str">
        <f aca="false">IF(INDEX(Prod_Nombre,7)="","Producto 7",INDEX(Prod_Nombre,7))&amp;" — venta"</f>
        <v>Producto 7 — venta</v>
      </c>
      <c r="C28" s="11" t="s">
        <v>508</v>
      </c>
      <c r="D28" s="48" t="n">
        <f aca="false">IF(cu_P=1,SUMIFS(Calculo!$F$52:$ES$52,Calculo!$F$16:$ES$16,1),SUMIFS(Calculo!$F$208:$ES$208,Calculo!$F$172:$ES$172,1))</f>
        <v>0</v>
      </c>
      <c r="E28" s="48" t="n">
        <f aca="false">IF(cu_P=1,SUMIFS(Calculo!$F$52:$ES$52,Calculo!$F$14:$ES$14,1),SUMIFS(Calculo!$F$208:$ES$208,Calculo!$F$170:$ES$170,1))</f>
        <v>0</v>
      </c>
      <c r="F28" s="48" t="n">
        <f aca="false">IF(cu_P=1,SUMIFS(Calculo!$F$52:$ES$52,Calculo!$F$14:$ES$14,2),SUMIFS(Calculo!$F$208:$ES$208,Calculo!$F$170:$ES$170,2))</f>
        <v>0</v>
      </c>
      <c r="G28" s="48" t="n">
        <f aca="false">IF(cu_P=1,SUMIFS(Calculo!$F$52:$ES$52,Calculo!$F$14:$ES$14,3),SUMIFS(Calculo!$F$208:$ES$208,Calculo!$F$170:$ES$170,3))</f>
        <v>0</v>
      </c>
      <c r="H28" s="48" t="n">
        <f aca="false">IF(cu_P=1,SUMIFS(Calculo!$F$52:$ES$52,Calculo!$F$14:$ES$14,4),SUMIFS(Calculo!$F$208:$ES$208,Calculo!$F$170:$ES$170,4))</f>
        <v>0</v>
      </c>
      <c r="I28" s="48" t="n">
        <f aca="false">IF(cu_P=1,SUMIFS(Calculo!$F$52:$ES$52,Calculo!$F$14:$ES$14,5),SUMIFS(Calculo!$F$208:$ES$208,Calculo!$F$170:$ES$170,5))</f>
        <v>0</v>
      </c>
      <c r="J28" s="48" t="n">
        <f aca="false">IF(cu_P=1,SUMIFS(Calculo!$F$52:$ES$52,Calculo!$F$14:$ES$14,6),SUMIFS(Calculo!$F$208:$ES$208,Calculo!$F$170:$ES$170,6))</f>
        <v>0</v>
      </c>
      <c r="K28" s="48" t="n">
        <f aca="false">IF(cu_P=1,SUMIFS(Calculo!$F$52:$ES$52,Calculo!$F$14:$ES$14,7),SUMIFS(Calculo!$F$208:$ES$208,Calculo!$F$170:$ES$170,7))</f>
        <v>0</v>
      </c>
      <c r="L28" s="48" t="n">
        <f aca="false">IF(cu_P=1,SUMIFS(Calculo!$F$52:$ES$52,Calculo!$F$14:$ES$14,8),SUMIFS(Calculo!$F$208:$ES$208,Calculo!$F$170:$ES$170,8))</f>
        <v>0</v>
      </c>
      <c r="M28" s="48" t="n">
        <f aca="false">IF(cu_P=1,SUMIFS(Calculo!$F$52:$ES$52,Calculo!$F$14:$ES$14,9),SUMIFS(Calculo!$F$208:$ES$208,Calculo!$F$170:$ES$170,9))</f>
        <v>0</v>
      </c>
      <c r="N28" s="48" t="n">
        <f aca="false">IF(cu_P=1,SUMIFS(Calculo!$F$52:$ES$52,Calculo!$F$14:$ES$14,10),SUMIFS(Calculo!$F$208:$ES$208,Calculo!$F$170:$ES$170,10))</f>
        <v>0</v>
      </c>
      <c r="O28" s="54" t="n">
        <f aca="false">SUM(D28:N28)</f>
        <v>0</v>
      </c>
    </row>
    <row r="29" customFormat="false" ht="15" hidden="true" customHeight="false" outlineLevel="1" collapsed="false">
      <c r="A29" s="11" t="s">
        <v>2023</v>
      </c>
      <c r="B29" s="15" t="s">
        <v>2004</v>
      </c>
      <c r="C29" s="11" t="s">
        <v>544</v>
      </c>
      <c r="D29" s="48" t="n">
        <f aca="false">IF(cu_P=1,SUMIFS(Calculo!$F$27:$ES$27,Calculo!$F$16:$ES$16,1),SUMIFS(Calculo!$F$183:$ES$183,Calculo!$F$172:$ES$172,1))</f>
        <v>0</v>
      </c>
      <c r="E29" s="48" t="n">
        <f aca="false">IF(cu_P=1,SUMIFS(Calculo!$F$27:$ES$27,Calculo!$F$14:$ES$14,1),SUMIFS(Calculo!$F$183:$ES$183,Calculo!$F$170:$ES$170,1))</f>
        <v>0</v>
      </c>
      <c r="F29" s="48" t="n">
        <f aca="false">IF(cu_P=1,SUMIFS(Calculo!$F$27:$ES$27,Calculo!$F$14:$ES$14,2),SUMIFS(Calculo!$F$183:$ES$183,Calculo!$F$170:$ES$170,2))</f>
        <v>0</v>
      </c>
      <c r="G29" s="48" t="n">
        <f aca="false">IF(cu_P=1,SUMIFS(Calculo!$F$27:$ES$27,Calculo!$F$14:$ES$14,3),SUMIFS(Calculo!$F$183:$ES$183,Calculo!$F$170:$ES$170,3))</f>
        <v>0</v>
      </c>
      <c r="H29" s="48" t="n">
        <f aca="false">IF(cu_P=1,SUMIFS(Calculo!$F$27:$ES$27,Calculo!$F$14:$ES$14,4),SUMIFS(Calculo!$F$183:$ES$183,Calculo!$F$170:$ES$170,4))</f>
        <v>0</v>
      </c>
      <c r="I29" s="48" t="n">
        <f aca="false">IF(cu_P=1,SUMIFS(Calculo!$F$27:$ES$27,Calculo!$F$14:$ES$14,5),SUMIFS(Calculo!$F$183:$ES$183,Calculo!$F$170:$ES$170,5))</f>
        <v>0</v>
      </c>
      <c r="J29" s="48" t="n">
        <f aca="false">IF(cu_P=1,SUMIFS(Calculo!$F$27:$ES$27,Calculo!$F$14:$ES$14,6),SUMIFS(Calculo!$F$183:$ES$183,Calculo!$F$170:$ES$170,6))</f>
        <v>0</v>
      </c>
      <c r="K29" s="48" t="n">
        <f aca="false">IF(cu_P=1,SUMIFS(Calculo!$F$27:$ES$27,Calculo!$F$14:$ES$14,7),SUMIFS(Calculo!$F$183:$ES$183,Calculo!$F$170:$ES$170,7))</f>
        <v>0</v>
      </c>
      <c r="L29" s="48" t="n">
        <f aca="false">IF(cu_P=1,SUMIFS(Calculo!$F$27:$ES$27,Calculo!$F$14:$ES$14,8),SUMIFS(Calculo!$F$183:$ES$183,Calculo!$F$170:$ES$170,8))</f>
        <v>0</v>
      </c>
      <c r="M29" s="48" t="n">
        <f aca="false">IF(cu_P=1,SUMIFS(Calculo!$F$27:$ES$27,Calculo!$F$14:$ES$14,9),SUMIFS(Calculo!$F$183:$ES$183,Calculo!$F$170:$ES$170,9))</f>
        <v>0</v>
      </c>
      <c r="N29" s="48" t="n">
        <f aca="false">IF(cu_P=1,SUMIFS(Calculo!$F$27:$ES$27,Calculo!$F$14:$ES$14,10),SUMIFS(Calculo!$F$183:$ES$183,Calculo!$F$170:$ES$170,10))</f>
        <v>0</v>
      </c>
      <c r="O29" s="54" t="n">
        <f aca="false">SUM(D29:N29)</f>
        <v>0</v>
      </c>
    </row>
    <row r="30" customFormat="false" ht="15" hidden="true" customHeight="false" outlineLevel="1" collapsed="false">
      <c r="A30" s="11" t="s">
        <v>2024</v>
      </c>
      <c r="B30" s="15" t="s">
        <v>2006</v>
      </c>
      <c r="C30" s="11" t="s">
        <v>748</v>
      </c>
      <c r="D30" s="50" t="str">
        <f aca="false">IFERROR(IF(OR(NOT(ISNUMBER(D28)),N(D29)=0),"",D28/D29),"")</f>
        <v/>
      </c>
      <c r="E30" s="50" t="str">
        <f aca="false">IFERROR(IF(OR(NOT(ISNUMBER(E28)),N(E29)=0),"",E28/E29),"")</f>
        <v/>
      </c>
      <c r="F30" s="50" t="str">
        <f aca="false">IFERROR(IF(OR(NOT(ISNUMBER(F28)),N(F29)=0),"",F28/F29),"")</f>
        <v/>
      </c>
      <c r="G30" s="50" t="str">
        <f aca="false">IFERROR(IF(OR(NOT(ISNUMBER(G28)),N(G29)=0),"",G28/G29),"")</f>
        <v/>
      </c>
      <c r="H30" s="50" t="str">
        <f aca="false">IFERROR(IF(OR(NOT(ISNUMBER(H28)),N(H29)=0),"",H28/H29),"")</f>
        <v/>
      </c>
      <c r="I30" s="50" t="str">
        <f aca="false">IFERROR(IF(OR(NOT(ISNUMBER(I28)),N(I29)=0),"",I28/I29),"")</f>
        <v/>
      </c>
      <c r="J30" s="50" t="str">
        <f aca="false">IFERROR(IF(OR(NOT(ISNUMBER(J28)),N(J29)=0),"",J28/J29),"")</f>
        <v/>
      </c>
      <c r="K30" s="50" t="str">
        <f aca="false">IFERROR(IF(OR(NOT(ISNUMBER(K28)),N(K29)=0),"",K28/K29),"")</f>
        <v/>
      </c>
      <c r="L30" s="50" t="str">
        <f aca="false">IFERROR(IF(OR(NOT(ISNUMBER(L28)),N(L29)=0),"",L28/L29),"")</f>
        <v/>
      </c>
      <c r="M30" s="50" t="str">
        <f aca="false">IFERROR(IF(OR(NOT(ISNUMBER(M28)),N(M29)=0),"",M28/M29),"")</f>
        <v/>
      </c>
      <c r="N30" s="50" t="str">
        <f aca="false">IFERROR(IF(OR(NOT(ISNUMBER(N28)),N(N29)=0),"",N28/N29),"")</f>
        <v/>
      </c>
      <c r="O30" s="68" t="str">
        <f aca="false">IFERROR(IF(OR(NOT(ISNUMBER(O28)),N(O29)=0),"",O28/O29),"")</f>
        <v/>
      </c>
    </row>
    <row r="31" customFormat="false" ht="15" hidden="true" customHeight="false" outlineLevel="1" collapsed="false">
      <c r="A31" s="11" t="s">
        <v>2025</v>
      </c>
      <c r="B31" s="53" t="str">
        <f aca="false">IF(INDEX(Prod_Nombre,8)="","Producto 8",INDEX(Prod_Nombre,8))&amp;" — venta"</f>
        <v>Producto 8 — venta</v>
      </c>
      <c r="C31" s="11" t="s">
        <v>508</v>
      </c>
      <c r="D31" s="48" t="n">
        <f aca="false">IF(cu_P=1,SUMIFS(Calculo!$F$53:$ES$53,Calculo!$F$16:$ES$16,1),SUMIFS(Calculo!$F$209:$ES$209,Calculo!$F$172:$ES$172,1))</f>
        <v>0</v>
      </c>
      <c r="E31" s="48" t="n">
        <f aca="false">IF(cu_P=1,SUMIFS(Calculo!$F$53:$ES$53,Calculo!$F$14:$ES$14,1),SUMIFS(Calculo!$F$209:$ES$209,Calculo!$F$170:$ES$170,1))</f>
        <v>0</v>
      </c>
      <c r="F31" s="48" t="n">
        <f aca="false">IF(cu_P=1,SUMIFS(Calculo!$F$53:$ES$53,Calculo!$F$14:$ES$14,2),SUMIFS(Calculo!$F$209:$ES$209,Calculo!$F$170:$ES$170,2))</f>
        <v>0</v>
      </c>
      <c r="G31" s="48" t="n">
        <f aca="false">IF(cu_P=1,SUMIFS(Calculo!$F$53:$ES$53,Calculo!$F$14:$ES$14,3),SUMIFS(Calculo!$F$209:$ES$209,Calculo!$F$170:$ES$170,3))</f>
        <v>0</v>
      </c>
      <c r="H31" s="48" t="n">
        <f aca="false">IF(cu_P=1,SUMIFS(Calculo!$F$53:$ES$53,Calculo!$F$14:$ES$14,4),SUMIFS(Calculo!$F$209:$ES$209,Calculo!$F$170:$ES$170,4))</f>
        <v>0</v>
      </c>
      <c r="I31" s="48" t="n">
        <f aca="false">IF(cu_P=1,SUMIFS(Calculo!$F$53:$ES$53,Calculo!$F$14:$ES$14,5),SUMIFS(Calculo!$F$209:$ES$209,Calculo!$F$170:$ES$170,5))</f>
        <v>0</v>
      </c>
      <c r="J31" s="48" t="n">
        <f aca="false">IF(cu_P=1,SUMIFS(Calculo!$F$53:$ES$53,Calculo!$F$14:$ES$14,6),SUMIFS(Calculo!$F$209:$ES$209,Calculo!$F$170:$ES$170,6))</f>
        <v>0</v>
      </c>
      <c r="K31" s="48" t="n">
        <f aca="false">IF(cu_P=1,SUMIFS(Calculo!$F$53:$ES$53,Calculo!$F$14:$ES$14,7),SUMIFS(Calculo!$F$209:$ES$209,Calculo!$F$170:$ES$170,7))</f>
        <v>0</v>
      </c>
      <c r="L31" s="48" t="n">
        <f aca="false">IF(cu_P=1,SUMIFS(Calculo!$F$53:$ES$53,Calculo!$F$14:$ES$14,8),SUMIFS(Calculo!$F$209:$ES$209,Calculo!$F$170:$ES$170,8))</f>
        <v>0</v>
      </c>
      <c r="M31" s="48" t="n">
        <f aca="false">IF(cu_P=1,SUMIFS(Calculo!$F$53:$ES$53,Calculo!$F$14:$ES$14,9),SUMIFS(Calculo!$F$209:$ES$209,Calculo!$F$170:$ES$170,9))</f>
        <v>0</v>
      </c>
      <c r="N31" s="48" t="n">
        <f aca="false">IF(cu_P=1,SUMIFS(Calculo!$F$53:$ES$53,Calculo!$F$14:$ES$14,10),SUMIFS(Calculo!$F$209:$ES$209,Calculo!$F$170:$ES$170,10))</f>
        <v>0</v>
      </c>
      <c r="O31" s="54" t="n">
        <f aca="false">SUM(D31:N31)</f>
        <v>0</v>
      </c>
    </row>
    <row r="32" customFormat="false" ht="15" hidden="true" customHeight="false" outlineLevel="1" collapsed="false">
      <c r="A32" s="11" t="s">
        <v>2026</v>
      </c>
      <c r="B32" s="15" t="s">
        <v>2004</v>
      </c>
      <c r="C32" s="11" t="s">
        <v>544</v>
      </c>
      <c r="D32" s="48" t="n">
        <f aca="false">IF(cu_P=1,SUMIFS(Calculo!$F$28:$ES$28,Calculo!$F$16:$ES$16,1),SUMIFS(Calculo!$F$184:$ES$184,Calculo!$F$172:$ES$172,1))</f>
        <v>0</v>
      </c>
      <c r="E32" s="48" t="n">
        <f aca="false">IF(cu_P=1,SUMIFS(Calculo!$F$28:$ES$28,Calculo!$F$14:$ES$14,1),SUMIFS(Calculo!$F$184:$ES$184,Calculo!$F$170:$ES$170,1))</f>
        <v>0</v>
      </c>
      <c r="F32" s="48" t="n">
        <f aca="false">IF(cu_P=1,SUMIFS(Calculo!$F$28:$ES$28,Calculo!$F$14:$ES$14,2),SUMIFS(Calculo!$F$184:$ES$184,Calculo!$F$170:$ES$170,2))</f>
        <v>0</v>
      </c>
      <c r="G32" s="48" t="n">
        <f aca="false">IF(cu_P=1,SUMIFS(Calculo!$F$28:$ES$28,Calculo!$F$14:$ES$14,3),SUMIFS(Calculo!$F$184:$ES$184,Calculo!$F$170:$ES$170,3))</f>
        <v>0</v>
      </c>
      <c r="H32" s="48" t="n">
        <f aca="false">IF(cu_P=1,SUMIFS(Calculo!$F$28:$ES$28,Calculo!$F$14:$ES$14,4),SUMIFS(Calculo!$F$184:$ES$184,Calculo!$F$170:$ES$170,4))</f>
        <v>0</v>
      </c>
      <c r="I32" s="48" t="n">
        <f aca="false">IF(cu_P=1,SUMIFS(Calculo!$F$28:$ES$28,Calculo!$F$14:$ES$14,5),SUMIFS(Calculo!$F$184:$ES$184,Calculo!$F$170:$ES$170,5))</f>
        <v>0</v>
      </c>
      <c r="J32" s="48" t="n">
        <f aca="false">IF(cu_P=1,SUMIFS(Calculo!$F$28:$ES$28,Calculo!$F$14:$ES$14,6),SUMIFS(Calculo!$F$184:$ES$184,Calculo!$F$170:$ES$170,6))</f>
        <v>0</v>
      </c>
      <c r="K32" s="48" t="n">
        <f aca="false">IF(cu_P=1,SUMIFS(Calculo!$F$28:$ES$28,Calculo!$F$14:$ES$14,7),SUMIFS(Calculo!$F$184:$ES$184,Calculo!$F$170:$ES$170,7))</f>
        <v>0</v>
      </c>
      <c r="L32" s="48" t="n">
        <f aca="false">IF(cu_P=1,SUMIFS(Calculo!$F$28:$ES$28,Calculo!$F$14:$ES$14,8),SUMIFS(Calculo!$F$184:$ES$184,Calculo!$F$170:$ES$170,8))</f>
        <v>0</v>
      </c>
      <c r="M32" s="48" t="n">
        <f aca="false">IF(cu_P=1,SUMIFS(Calculo!$F$28:$ES$28,Calculo!$F$14:$ES$14,9),SUMIFS(Calculo!$F$184:$ES$184,Calculo!$F$170:$ES$170,9))</f>
        <v>0</v>
      </c>
      <c r="N32" s="48" t="n">
        <f aca="false">IF(cu_P=1,SUMIFS(Calculo!$F$28:$ES$28,Calculo!$F$14:$ES$14,10),SUMIFS(Calculo!$F$184:$ES$184,Calculo!$F$170:$ES$170,10))</f>
        <v>0</v>
      </c>
      <c r="O32" s="54" t="n">
        <f aca="false">SUM(D32:N32)</f>
        <v>0</v>
      </c>
    </row>
    <row r="33" customFormat="false" ht="15" hidden="true" customHeight="false" outlineLevel="1" collapsed="false">
      <c r="A33" s="11" t="s">
        <v>2027</v>
      </c>
      <c r="B33" s="15" t="s">
        <v>2006</v>
      </c>
      <c r="C33" s="11" t="s">
        <v>748</v>
      </c>
      <c r="D33" s="50" t="str">
        <f aca="false">IFERROR(IF(OR(NOT(ISNUMBER(D31)),N(D32)=0),"",D31/D32),"")</f>
        <v/>
      </c>
      <c r="E33" s="50" t="str">
        <f aca="false">IFERROR(IF(OR(NOT(ISNUMBER(E31)),N(E32)=0),"",E31/E32),"")</f>
        <v/>
      </c>
      <c r="F33" s="50" t="str">
        <f aca="false">IFERROR(IF(OR(NOT(ISNUMBER(F31)),N(F32)=0),"",F31/F32),"")</f>
        <v/>
      </c>
      <c r="G33" s="50" t="str">
        <f aca="false">IFERROR(IF(OR(NOT(ISNUMBER(G31)),N(G32)=0),"",G31/G32),"")</f>
        <v/>
      </c>
      <c r="H33" s="50" t="str">
        <f aca="false">IFERROR(IF(OR(NOT(ISNUMBER(H31)),N(H32)=0),"",H31/H32),"")</f>
        <v/>
      </c>
      <c r="I33" s="50" t="str">
        <f aca="false">IFERROR(IF(OR(NOT(ISNUMBER(I31)),N(I32)=0),"",I31/I32),"")</f>
        <v/>
      </c>
      <c r="J33" s="50" t="str">
        <f aca="false">IFERROR(IF(OR(NOT(ISNUMBER(J31)),N(J32)=0),"",J31/J32),"")</f>
        <v/>
      </c>
      <c r="K33" s="50" t="str">
        <f aca="false">IFERROR(IF(OR(NOT(ISNUMBER(K31)),N(K32)=0),"",K31/K32),"")</f>
        <v/>
      </c>
      <c r="L33" s="50" t="str">
        <f aca="false">IFERROR(IF(OR(NOT(ISNUMBER(L31)),N(L32)=0),"",L31/L32),"")</f>
        <v/>
      </c>
      <c r="M33" s="50" t="str">
        <f aca="false">IFERROR(IF(OR(NOT(ISNUMBER(M31)),N(M32)=0),"",M31/M32),"")</f>
        <v/>
      </c>
      <c r="N33" s="50" t="str">
        <f aca="false">IFERROR(IF(OR(NOT(ISNUMBER(N31)),N(N32)=0),"",N31/N32),"")</f>
        <v/>
      </c>
      <c r="O33" s="68" t="str">
        <f aca="false">IFERROR(IF(OR(NOT(ISNUMBER(O31)),N(O32)=0),"",O31/O32),"")</f>
        <v/>
      </c>
    </row>
    <row r="34" customFormat="false" ht="15" hidden="true" customHeight="false" outlineLevel="1" collapsed="false">
      <c r="A34" s="11" t="s">
        <v>2028</v>
      </c>
      <c r="B34" s="53" t="str">
        <f aca="false">IF(INDEX(Prod_Nombre,9)="","Producto 9",INDEX(Prod_Nombre,9))&amp;" — venta"</f>
        <v>Producto 9 — venta</v>
      </c>
      <c r="C34" s="11" t="s">
        <v>508</v>
      </c>
      <c r="D34" s="48" t="n">
        <f aca="false">IF(cu_P=1,SUMIFS(Calculo!$F$54:$ES$54,Calculo!$F$16:$ES$16,1),SUMIFS(Calculo!$F$210:$ES$210,Calculo!$F$172:$ES$172,1))</f>
        <v>0</v>
      </c>
      <c r="E34" s="48" t="n">
        <f aca="false">IF(cu_P=1,SUMIFS(Calculo!$F$54:$ES$54,Calculo!$F$14:$ES$14,1),SUMIFS(Calculo!$F$210:$ES$210,Calculo!$F$170:$ES$170,1))</f>
        <v>0</v>
      </c>
      <c r="F34" s="48" t="n">
        <f aca="false">IF(cu_P=1,SUMIFS(Calculo!$F$54:$ES$54,Calculo!$F$14:$ES$14,2),SUMIFS(Calculo!$F$210:$ES$210,Calculo!$F$170:$ES$170,2))</f>
        <v>0</v>
      </c>
      <c r="G34" s="48" t="n">
        <f aca="false">IF(cu_P=1,SUMIFS(Calculo!$F$54:$ES$54,Calculo!$F$14:$ES$14,3),SUMIFS(Calculo!$F$210:$ES$210,Calculo!$F$170:$ES$170,3))</f>
        <v>0</v>
      </c>
      <c r="H34" s="48" t="n">
        <f aca="false">IF(cu_P=1,SUMIFS(Calculo!$F$54:$ES$54,Calculo!$F$14:$ES$14,4),SUMIFS(Calculo!$F$210:$ES$210,Calculo!$F$170:$ES$170,4))</f>
        <v>0</v>
      </c>
      <c r="I34" s="48" t="n">
        <f aca="false">IF(cu_P=1,SUMIFS(Calculo!$F$54:$ES$54,Calculo!$F$14:$ES$14,5),SUMIFS(Calculo!$F$210:$ES$210,Calculo!$F$170:$ES$170,5))</f>
        <v>0</v>
      </c>
      <c r="J34" s="48" t="n">
        <f aca="false">IF(cu_P=1,SUMIFS(Calculo!$F$54:$ES$54,Calculo!$F$14:$ES$14,6),SUMIFS(Calculo!$F$210:$ES$210,Calculo!$F$170:$ES$170,6))</f>
        <v>0</v>
      </c>
      <c r="K34" s="48" t="n">
        <f aca="false">IF(cu_P=1,SUMIFS(Calculo!$F$54:$ES$54,Calculo!$F$14:$ES$14,7),SUMIFS(Calculo!$F$210:$ES$210,Calculo!$F$170:$ES$170,7))</f>
        <v>0</v>
      </c>
      <c r="L34" s="48" t="n">
        <f aca="false">IF(cu_P=1,SUMIFS(Calculo!$F$54:$ES$54,Calculo!$F$14:$ES$14,8),SUMIFS(Calculo!$F$210:$ES$210,Calculo!$F$170:$ES$170,8))</f>
        <v>0</v>
      </c>
      <c r="M34" s="48" t="n">
        <f aca="false">IF(cu_P=1,SUMIFS(Calculo!$F$54:$ES$54,Calculo!$F$14:$ES$14,9),SUMIFS(Calculo!$F$210:$ES$210,Calculo!$F$170:$ES$170,9))</f>
        <v>0</v>
      </c>
      <c r="N34" s="48" t="n">
        <f aca="false">IF(cu_P=1,SUMIFS(Calculo!$F$54:$ES$54,Calculo!$F$14:$ES$14,10),SUMIFS(Calculo!$F$210:$ES$210,Calculo!$F$170:$ES$170,10))</f>
        <v>0</v>
      </c>
      <c r="O34" s="54" t="n">
        <f aca="false">SUM(D34:N34)</f>
        <v>0</v>
      </c>
    </row>
    <row r="35" customFormat="false" ht="15" hidden="true" customHeight="false" outlineLevel="1" collapsed="false">
      <c r="A35" s="11" t="s">
        <v>2029</v>
      </c>
      <c r="B35" s="15" t="s">
        <v>2004</v>
      </c>
      <c r="C35" s="11" t="s">
        <v>544</v>
      </c>
      <c r="D35" s="48" t="n">
        <f aca="false">IF(cu_P=1,SUMIFS(Calculo!$F$29:$ES$29,Calculo!$F$16:$ES$16,1),SUMIFS(Calculo!$F$185:$ES$185,Calculo!$F$172:$ES$172,1))</f>
        <v>0</v>
      </c>
      <c r="E35" s="48" t="n">
        <f aca="false">IF(cu_P=1,SUMIFS(Calculo!$F$29:$ES$29,Calculo!$F$14:$ES$14,1),SUMIFS(Calculo!$F$185:$ES$185,Calculo!$F$170:$ES$170,1))</f>
        <v>0</v>
      </c>
      <c r="F35" s="48" t="n">
        <f aca="false">IF(cu_P=1,SUMIFS(Calculo!$F$29:$ES$29,Calculo!$F$14:$ES$14,2),SUMIFS(Calculo!$F$185:$ES$185,Calculo!$F$170:$ES$170,2))</f>
        <v>0</v>
      </c>
      <c r="G35" s="48" t="n">
        <f aca="false">IF(cu_P=1,SUMIFS(Calculo!$F$29:$ES$29,Calculo!$F$14:$ES$14,3),SUMIFS(Calculo!$F$185:$ES$185,Calculo!$F$170:$ES$170,3))</f>
        <v>0</v>
      </c>
      <c r="H35" s="48" t="n">
        <f aca="false">IF(cu_P=1,SUMIFS(Calculo!$F$29:$ES$29,Calculo!$F$14:$ES$14,4),SUMIFS(Calculo!$F$185:$ES$185,Calculo!$F$170:$ES$170,4))</f>
        <v>0</v>
      </c>
      <c r="I35" s="48" t="n">
        <f aca="false">IF(cu_P=1,SUMIFS(Calculo!$F$29:$ES$29,Calculo!$F$14:$ES$14,5),SUMIFS(Calculo!$F$185:$ES$185,Calculo!$F$170:$ES$170,5))</f>
        <v>0</v>
      </c>
      <c r="J35" s="48" t="n">
        <f aca="false">IF(cu_P=1,SUMIFS(Calculo!$F$29:$ES$29,Calculo!$F$14:$ES$14,6),SUMIFS(Calculo!$F$185:$ES$185,Calculo!$F$170:$ES$170,6))</f>
        <v>0</v>
      </c>
      <c r="K35" s="48" t="n">
        <f aca="false">IF(cu_P=1,SUMIFS(Calculo!$F$29:$ES$29,Calculo!$F$14:$ES$14,7),SUMIFS(Calculo!$F$185:$ES$185,Calculo!$F$170:$ES$170,7))</f>
        <v>0</v>
      </c>
      <c r="L35" s="48" t="n">
        <f aca="false">IF(cu_P=1,SUMIFS(Calculo!$F$29:$ES$29,Calculo!$F$14:$ES$14,8),SUMIFS(Calculo!$F$185:$ES$185,Calculo!$F$170:$ES$170,8))</f>
        <v>0</v>
      </c>
      <c r="M35" s="48" t="n">
        <f aca="false">IF(cu_P=1,SUMIFS(Calculo!$F$29:$ES$29,Calculo!$F$14:$ES$14,9),SUMIFS(Calculo!$F$185:$ES$185,Calculo!$F$170:$ES$170,9))</f>
        <v>0</v>
      </c>
      <c r="N35" s="48" t="n">
        <f aca="false">IF(cu_P=1,SUMIFS(Calculo!$F$29:$ES$29,Calculo!$F$14:$ES$14,10),SUMIFS(Calculo!$F$185:$ES$185,Calculo!$F$170:$ES$170,10))</f>
        <v>0</v>
      </c>
      <c r="O35" s="54" t="n">
        <f aca="false">SUM(D35:N35)</f>
        <v>0</v>
      </c>
    </row>
    <row r="36" customFormat="false" ht="15" hidden="true" customHeight="false" outlineLevel="1" collapsed="false">
      <c r="A36" s="11" t="s">
        <v>2030</v>
      </c>
      <c r="B36" s="15" t="s">
        <v>2006</v>
      </c>
      <c r="C36" s="11" t="s">
        <v>748</v>
      </c>
      <c r="D36" s="50" t="str">
        <f aca="false">IFERROR(IF(OR(NOT(ISNUMBER(D34)),N(D35)=0),"",D34/D35),"")</f>
        <v/>
      </c>
      <c r="E36" s="50" t="str">
        <f aca="false">IFERROR(IF(OR(NOT(ISNUMBER(E34)),N(E35)=0),"",E34/E35),"")</f>
        <v/>
      </c>
      <c r="F36" s="50" t="str">
        <f aca="false">IFERROR(IF(OR(NOT(ISNUMBER(F34)),N(F35)=0),"",F34/F35),"")</f>
        <v/>
      </c>
      <c r="G36" s="50" t="str">
        <f aca="false">IFERROR(IF(OR(NOT(ISNUMBER(G34)),N(G35)=0),"",G34/G35),"")</f>
        <v/>
      </c>
      <c r="H36" s="50" t="str">
        <f aca="false">IFERROR(IF(OR(NOT(ISNUMBER(H34)),N(H35)=0),"",H34/H35),"")</f>
        <v/>
      </c>
      <c r="I36" s="50" t="str">
        <f aca="false">IFERROR(IF(OR(NOT(ISNUMBER(I34)),N(I35)=0),"",I34/I35),"")</f>
        <v/>
      </c>
      <c r="J36" s="50" t="str">
        <f aca="false">IFERROR(IF(OR(NOT(ISNUMBER(J34)),N(J35)=0),"",J34/J35),"")</f>
        <v/>
      </c>
      <c r="K36" s="50" t="str">
        <f aca="false">IFERROR(IF(OR(NOT(ISNUMBER(K34)),N(K35)=0),"",K34/K35),"")</f>
        <v/>
      </c>
      <c r="L36" s="50" t="str">
        <f aca="false">IFERROR(IF(OR(NOT(ISNUMBER(L34)),N(L35)=0),"",L34/L35),"")</f>
        <v/>
      </c>
      <c r="M36" s="50" t="str">
        <f aca="false">IFERROR(IF(OR(NOT(ISNUMBER(M34)),N(M35)=0),"",M34/M35),"")</f>
        <v/>
      </c>
      <c r="N36" s="50" t="str">
        <f aca="false">IFERROR(IF(OR(NOT(ISNUMBER(N34)),N(N35)=0),"",N34/N35),"")</f>
        <v/>
      </c>
      <c r="O36" s="68" t="str">
        <f aca="false">IFERROR(IF(OR(NOT(ISNUMBER(O34)),N(O35)=0),"",O34/O35),"")</f>
        <v/>
      </c>
    </row>
    <row r="37" customFormat="false" ht="15" hidden="true" customHeight="false" outlineLevel="1" collapsed="false">
      <c r="A37" s="11" t="s">
        <v>2031</v>
      </c>
      <c r="B37" s="53" t="str">
        <f aca="false">IF(INDEX(Prod_Nombre,10)="","Producto 10",INDEX(Prod_Nombre,10))&amp;" — venta"</f>
        <v>Producto 10 — venta</v>
      </c>
      <c r="C37" s="11" t="s">
        <v>508</v>
      </c>
      <c r="D37" s="48" t="n">
        <f aca="false">IF(cu_P=1,SUMIFS(Calculo!$F$55:$ES$55,Calculo!$F$16:$ES$16,1),SUMIFS(Calculo!$F$211:$ES$211,Calculo!$F$172:$ES$172,1))</f>
        <v>0</v>
      </c>
      <c r="E37" s="48" t="n">
        <f aca="false">IF(cu_P=1,SUMIFS(Calculo!$F$55:$ES$55,Calculo!$F$14:$ES$14,1),SUMIFS(Calculo!$F$211:$ES$211,Calculo!$F$170:$ES$170,1))</f>
        <v>0</v>
      </c>
      <c r="F37" s="48" t="n">
        <f aca="false">IF(cu_P=1,SUMIFS(Calculo!$F$55:$ES$55,Calculo!$F$14:$ES$14,2),SUMIFS(Calculo!$F$211:$ES$211,Calculo!$F$170:$ES$170,2))</f>
        <v>0</v>
      </c>
      <c r="G37" s="48" t="n">
        <f aca="false">IF(cu_P=1,SUMIFS(Calculo!$F$55:$ES$55,Calculo!$F$14:$ES$14,3),SUMIFS(Calculo!$F$211:$ES$211,Calculo!$F$170:$ES$170,3))</f>
        <v>0</v>
      </c>
      <c r="H37" s="48" t="n">
        <f aca="false">IF(cu_P=1,SUMIFS(Calculo!$F$55:$ES$55,Calculo!$F$14:$ES$14,4),SUMIFS(Calculo!$F$211:$ES$211,Calculo!$F$170:$ES$170,4))</f>
        <v>0</v>
      </c>
      <c r="I37" s="48" t="n">
        <f aca="false">IF(cu_P=1,SUMIFS(Calculo!$F$55:$ES$55,Calculo!$F$14:$ES$14,5),SUMIFS(Calculo!$F$211:$ES$211,Calculo!$F$170:$ES$170,5))</f>
        <v>0</v>
      </c>
      <c r="J37" s="48" t="n">
        <f aca="false">IF(cu_P=1,SUMIFS(Calculo!$F$55:$ES$55,Calculo!$F$14:$ES$14,6),SUMIFS(Calculo!$F$211:$ES$211,Calculo!$F$170:$ES$170,6))</f>
        <v>0</v>
      </c>
      <c r="K37" s="48" t="n">
        <f aca="false">IF(cu_P=1,SUMIFS(Calculo!$F$55:$ES$55,Calculo!$F$14:$ES$14,7),SUMIFS(Calculo!$F$211:$ES$211,Calculo!$F$170:$ES$170,7))</f>
        <v>0</v>
      </c>
      <c r="L37" s="48" t="n">
        <f aca="false">IF(cu_P=1,SUMIFS(Calculo!$F$55:$ES$55,Calculo!$F$14:$ES$14,8),SUMIFS(Calculo!$F$211:$ES$211,Calculo!$F$170:$ES$170,8))</f>
        <v>0</v>
      </c>
      <c r="M37" s="48" t="n">
        <f aca="false">IF(cu_P=1,SUMIFS(Calculo!$F$55:$ES$55,Calculo!$F$14:$ES$14,9),SUMIFS(Calculo!$F$211:$ES$211,Calculo!$F$170:$ES$170,9))</f>
        <v>0</v>
      </c>
      <c r="N37" s="48" t="n">
        <f aca="false">IF(cu_P=1,SUMIFS(Calculo!$F$55:$ES$55,Calculo!$F$14:$ES$14,10),SUMIFS(Calculo!$F$211:$ES$211,Calculo!$F$170:$ES$170,10))</f>
        <v>0</v>
      </c>
      <c r="O37" s="54" t="n">
        <f aca="false">SUM(D37:N37)</f>
        <v>0</v>
      </c>
    </row>
    <row r="38" customFormat="false" ht="15" hidden="true" customHeight="false" outlineLevel="1" collapsed="false">
      <c r="A38" s="11" t="s">
        <v>2032</v>
      </c>
      <c r="B38" s="15" t="s">
        <v>2004</v>
      </c>
      <c r="C38" s="11" t="s">
        <v>544</v>
      </c>
      <c r="D38" s="48" t="n">
        <f aca="false">IF(cu_P=1,SUMIFS(Calculo!$F$30:$ES$30,Calculo!$F$16:$ES$16,1),SUMIFS(Calculo!$F$186:$ES$186,Calculo!$F$172:$ES$172,1))</f>
        <v>0</v>
      </c>
      <c r="E38" s="48" t="n">
        <f aca="false">IF(cu_P=1,SUMIFS(Calculo!$F$30:$ES$30,Calculo!$F$14:$ES$14,1),SUMIFS(Calculo!$F$186:$ES$186,Calculo!$F$170:$ES$170,1))</f>
        <v>0</v>
      </c>
      <c r="F38" s="48" t="n">
        <f aca="false">IF(cu_P=1,SUMIFS(Calculo!$F$30:$ES$30,Calculo!$F$14:$ES$14,2),SUMIFS(Calculo!$F$186:$ES$186,Calculo!$F$170:$ES$170,2))</f>
        <v>0</v>
      </c>
      <c r="G38" s="48" t="n">
        <f aca="false">IF(cu_P=1,SUMIFS(Calculo!$F$30:$ES$30,Calculo!$F$14:$ES$14,3),SUMIFS(Calculo!$F$186:$ES$186,Calculo!$F$170:$ES$170,3))</f>
        <v>0</v>
      </c>
      <c r="H38" s="48" t="n">
        <f aca="false">IF(cu_P=1,SUMIFS(Calculo!$F$30:$ES$30,Calculo!$F$14:$ES$14,4),SUMIFS(Calculo!$F$186:$ES$186,Calculo!$F$170:$ES$170,4))</f>
        <v>0</v>
      </c>
      <c r="I38" s="48" t="n">
        <f aca="false">IF(cu_P=1,SUMIFS(Calculo!$F$30:$ES$30,Calculo!$F$14:$ES$14,5),SUMIFS(Calculo!$F$186:$ES$186,Calculo!$F$170:$ES$170,5))</f>
        <v>0</v>
      </c>
      <c r="J38" s="48" t="n">
        <f aca="false">IF(cu_P=1,SUMIFS(Calculo!$F$30:$ES$30,Calculo!$F$14:$ES$14,6),SUMIFS(Calculo!$F$186:$ES$186,Calculo!$F$170:$ES$170,6))</f>
        <v>0</v>
      </c>
      <c r="K38" s="48" t="n">
        <f aca="false">IF(cu_P=1,SUMIFS(Calculo!$F$30:$ES$30,Calculo!$F$14:$ES$14,7),SUMIFS(Calculo!$F$186:$ES$186,Calculo!$F$170:$ES$170,7))</f>
        <v>0</v>
      </c>
      <c r="L38" s="48" t="n">
        <f aca="false">IF(cu_P=1,SUMIFS(Calculo!$F$30:$ES$30,Calculo!$F$14:$ES$14,8),SUMIFS(Calculo!$F$186:$ES$186,Calculo!$F$170:$ES$170,8))</f>
        <v>0</v>
      </c>
      <c r="M38" s="48" t="n">
        <f aca="false">IF(cu_P=1,SUMIFS(Calculo!$F$30:$ES$30,Calculo!$F$14:$ES$14,9),SUMIFS(Calculo!$F$186:$ES$186,Calculo!$F$170:$ES$170,9))</f>
        <v>0</v>
      </c>
      <c r="N38" s="48" t="n">
        <f aca="false">IF(cu_P=1,SUMIFS(Calculo!$F$30:$ES$30,Calculo!$F$14:$ES$14,10),SUMIFS(Calculo!$F$186:$ES$186,Calculo!$F$170:$ES$170,10))</f>
        <v>0</v>
      </c>
      <c r="O38" s="54" t="n">
        <f aca="false">SUM(D38:N38)</f>
        <v>0</v>
      </c>
    </row>
    <row r="39" customFormat="false" ht="15" hidden="true" customHeight="false" outlineLevel="1" collapsed="false">
      <c r="A39" s="11" t="s">
        <v>2033</v>
      </c>
      <c r="B39" s="15" t="s">
        <v>2006</v>
      </c>
      <c r="C39" s="11" t="s">
        <v>748</v>
      </c>
      <c r="D39" s="50" t="str">
        <f aca="false">IFERROR(IF(OR(NOT(ISNUMBER(D37)),N(D38)=0),"",D37/D38),"")</f>
        <v/>
      </c>
      <c r="E39" s="50" t="str">
        <f aca="false">IFERROR(IF(OR(NOT(ISNUMBER(E37)),N(E38)=0),"",E37/E38),"")</f>
        <v/>
      </c>
      <c r="F39" s="50" t="str">
        <f aca="false">IFERROR(IF(OR(NOT(ISNUMBER(F37)),N(F38)=0),"",F37/F38),"")</f>
        <v/>
      </c>
      <c r="G39" s="50" t="str">
        <f aca="false">IFERROR(IF(OR(NOT(ISNUMBER(G37)),N(G38)=0),"",G37/G38),"")</f>
        <v/>
      </c>
      <c r="H39" s="50" t="str">
        <f aca="false">IFERROR(IF(OR(NOT(ISNUMBER(H37)),N(H38)=0),"",H37/H38),"")</f>
        <v/>
      </c>
      <c r="I39" s="50" t="str">
        <f aca="false">IFERROR(IF(OR(NOT(ISNUMBER(I37)),N(I38)=0),"",I37/I38),"")</f>
        <v/>
      </c>
      <c r="J39" s="50" t="str">
        <f aca="false">IFERROR(IF(OR(NOT(ISNUMBER(J37)),N(J38)=0),"",J37/J38),"")</f>
        <v/>
      </c>
      <c r="K39" s="50" t="str">
        <f aca="false">IFERROR(IF(OR(NOT(ISNUMBER(K37)),N(K38)=0),"",K37/K38),"")</f>
        <v/>
      </c>
      <c r="L39" s="50" t="str">
        <f aca="false">IFERROR(IF(OR(NOT(ISNUMBER(L37)),N(L38)=0),"",L37/L38),"")</f>
        <v/>
      </c>
      <c r="M39" s="50" t="str">
        <f aca="false">IFERROR(IF(OR(NOT(ISNUMBER(M37)),N(M38)=0),"",M37/M38),"")</f>
        <v/>
      </c>
      <c r="N39" s="50" t="str">
        <f aca="false">IFERROR(IF(OR(NOT(ISNUMBER(N37)),N(N38)=0),"",N37/N38),"")</f>
        <v/>
      </c>
      <c r="O39" s="68" t="str">
        <f aca="false">IFERROR(IF(OR(NOT(ISNUMBER(O37)),N(O38)=0),"",O37/O38),"")</f>
        <v/>
      </c>
    </row>
    <row r="40" customFormat="false" ht="15" hidden="true" customHeight="false" outlineLevel="1" collapsed="false">
      <c r="A40" s="11" t="s">
        <v>2034</v>
      </c>
      <c r="B40" s="53" t="str">
        <f aca="false">IF(INDEX(Prod_Nombre,11)="","Producto 11",INDEX(Prod_Nombre,11))&amp;" — venta"</f>
        <v>Producto 11 — venta</v>
      </c>
      <c r="C40" s="11" t="s">
        <v>508</v>
      </c>
      <c r="D40" s="48" t="n">
        <f aca="false">IF(cu_P=1,SUMIFS(Calculo!$F$56:$ES$56,Calculo!$F$16:$ES$16,1),SUMIFS(Calculo!$F$212:$ES$212,Calculo!$F$172:$ES$172,1))</f>
        <v>0</v>
      </c>
      <c r="E40" s="48" t="n">
        <f aca="false">IF(cu_P=1,SUMIFS(Calculo!$F$56:$ES$56,Calculo!$F$14:$ES$14,1),SUMIFS(Calculo!$F$212:$ES$212,Calculo!$F$170:$ES$170,1))</f>
        <v>0</v>
      </c>
      <c r="F40" s="48" t="n">
        <f aca="false">IF(cu_P=1,SUMIFS(Calculo!$F$56:$ES$56,Calculo!$F$14:$ES$14,2),SUMIFS(Calculo!$F$212:$ES$212,Calculo!$F$170:$ES$170,2))</f>
        <v>0</v>
      </c>
      <c r="G40" s="48" t="n">
        <f aca="false">IF(cu_P=1,SUMIFS(Calculo!$F$56:$ES$56,Calculo!$F$14:$ES$14,3),SUMIFS(Calculo!$F$212:$ES$212,Calculo!$F$170:$ES$170,3))</f>
        <v>0</v>
      </c>
      <c r="H40" s="48" t="n">
        <f aca="false">IF(cu_P=1,SUMIFS(Calculo!$F$56:$ES$56,Calculo!$F$14:$ES$14,4),SUMIFS(Calculo!$F$212:$ES$212,Calculo!$F$170:$ES$170,4))</f>
        <v>0</v>
      </c>
      <c r="I40" s="48" t="n">
        <f aca="false">IF(cu_P=1,SUMIFS(Calculo!$F$56:$ES$56,Calculo!$F$14:$ES$14,5),SUMIFS(Calculo!$F$212:$ES$212,Calculo!$F$170:$ES$170,5))</f>
        <v>0</v>
      </c>
      <c r="J40" s="48" t="n">
        <f aca="false">IF(cu_P=1,SUMIFS(Calculo!$F$56:$ES$56,Calculo!$F$14:$ES$14,6),SUMIFS(Calculo!$F$212:$ES$212,Calculo!$F$170:$ES$170,6))</f>
        <v>0</v>
      </c>
      <c r="K40" s="48" t="n">
        <f aca="false">IF(cu_P=1,SUMIFS(Calculo!$F$56:$ES$56,Calculo!$F$14:$ES$14,7),SUMIFS(Calculo!$F$212:$ES$212,Calculo!$F$170:$ES$170,7))</f>
        <v>0</v>
      </c>
      <c r="L40" s="48" t="n">
        <f aca="false">IF(cu_P=1,SUMIFS(Calculo!$F$56:$ES$56,Calculo!$F$14:$ES$14,8),SUMIFS(Calculo!$F$212:$ES$212,Calculo!$F$170:$ES$170,8))</f>
        <v>0</v>
      </c>
      <c r="M40" s="48" t="n">
        <f aca="false">IF(cu_P=1,SUMIFS(Calculo!$F$56:$ES$56,Calculo!$F$14:$ES$14,9),SUMIFS(Calculo!$F$212:$ES$212,Calculo!$F$170:$ES$170,9))</f>
        <v>0</v>
      </c>
      <c r="N40" s="48" t="n">
        <f aca="false">IF(cu_P=1,SUMIFS(Calculo!$F$56:$ES$56,Calculo!$F$14:$ES$14,10),SUMIFS(Calculo!$F$212:$ES$212,Calculo!$F$170:$ES$170,10))</f>
        <v>0</v>
      </c>
      <c r="O40" s="54" t="n">
        <f aca="false">SUM(D40:N40)</f>
        <v>0</v>
      </c>
    </row>
    <row r="41" customFormat="false" ht="15" hidden="true" customHeight="false" outlineLevel="1" collapsed="false">
      <c r="A41" s="11" t="s">
        <v>2035</v>
      </c>
      <c r="B41" s="15" t="s">
        <v>2004</v>
      </c>
      <c r="C41" s="11" t="s">
        <v>544</v>
      </c>
      <c r="D41" s="48" t="n">
        <f aca="false">IF(cu_P=1,SUMIFS(Calculo!$F$31:$ES$31,Calculo!$F$16:$ES$16,1),SUMIFS(Calculo!$F$187:$ES$187,Calculo!$F$172:$ES$172,1))</f>
        <v>0</v>
      </c>
      <c r="E41" s="48" t="n">
        <f aca="false">IF(cu_P=1,SUMIFS(Calculo!$F$31:$ES$31,Calculo!$F$14:$ES$14,1),SUMIFS(Calculo!$F$187:$ES$187,Calculo!$F$170:$ES$170,1))</f>
        <v>0</v>
      </c>
      <c r="F41" s="48" t="n">
        <f aca="false">IF(cu_P=1,SUMIFS(Calculo!$F$31:$ES$31,Calculo!$F$14:$ES$14,2),SUMIFS(Calculo!$F$187:$ES$187,Calculo!$F$170:$ES$170,2))</f>
        <v>0</v>
      </c>
      <c r="G41" s="48" t="n">
        <f aca="false">IF(cu_P=1,SUMIFS(Calculo!$F$31:$ES$31,Calculo!$F$14:$ES$14,3),SUMIFS(Calculo!$F$187:$ES$187,Calculo!$F$170:$ES$170,3))</f>
        <v>0</v>
      </c>
      <c r="H41" s="48" t="n">
        <f aca="false">IF(cu_P=1,SUMIFS(Calculo!$F$31:$ES$31,Calculo!$F$14:$ES$14,4),SUMIFS(Calculo!$F$187:$ES$187,Calculo!$F$170:$ES$170,4))</f>
        <v>0</v>
      </c>
      <c r="I41" s="48" t="n">
        <f aca="false">IF(cu_P=1,SUMIFS(Calculo!$F$31:$ES$31,Calculo!$F$14:$ES$14,5),SUMIFS(Calculo!$F$187:$ES$187,Calculo!$F$170:$ES$170,5))</f>
        <v>0</v>
      </c>
      <c r="J41" s="48" t="n">
        <f aca="false">IF(cu_P=1,SUMIFS(Calculo!$F$31:$ES$31,Calculo!$F$14:$ES$14,6),SUMIFS(Calculo!$F$187:$ES$187,Calculo!$F$170:$ES$170,6))</f>
        <v>0</v>
      </c>
      <c r="K41" s="48" t="n">
        <f aca="false">IF(cu_P=1,SUMIFS(Calculo!$F$31:$ES$31,Calculo!$F$14:$ES$14,7),SUMIFS(Calculo!$F$187:$ES$187,Calculo!$F$170:$ES$170,7))</f>
        <v>0</v>
      </c>
      <c r="L41" s="48" t="n">
        <f aca="false">IF(cu_P=1,SUMIFS(Calculo!$F$31:$ES$31,Calculo!$F$14:$ES$14,8),SUMIFS(Calculo!$F$187:$ES$187,Calculo!$F$170:$ES$170,8))</f>
        <v>0</v>
      </c>
      <c r="M41" s="48" t="n">
        <f aca="false">IF(cu_P=1,SUMIFS(Calculo!$F$31:$ES$31,Calculo!$F$14:$ES$14,9),SUMIFS(Calculo!$F$187:$ES$187,Calculo!$F$170:$ES$170,9))</f>
        <v>0</v>
      </c>
      <c r="N41" s="48" t="n">
        <f aca="false">IF(cu_P=1,SUMIFS(Calculo!$F$31:$ES$31,Calculo!$F$14:$ES$14,10),SUMIFS(Calculo!$F$187:$ES$187,Calculo!$F$170:$ES$170,10))</f>
        <v>0</v>
      </c>
      <c r="O41" s="54" t="n">
        <f aca="false">SUM(D41:N41)</f>
        <v>0</v>
      </c>
    </row>
    <row r="42" customFormat="false" ht="15" hidden="true" customHeight="false" outlineLevel="1" collapsed="false">
      <c r="A42" s="11" t="s">
        <v>2036</v>
      </c>
      <c r="B42" s="15" t="s">
        <v>2006</v>
      </c>
      <c r="C42" s="11" t="s">
        <v>748</v>
      </c>
      <c r="D42" s="50" t="str">
        <f aca="false">IFERROR(IF(OR(NOT(ISNUMBER(D40)),N(D41)=0),"",D40/D41),"")</f>
        <v/>
      </c>
      <c r="E42" s="50" t="str">
        <f aca="false">IFERROR(IF(OR(NOT(ISNUMBER(E40)),N(E41)=0),"",E40/E41),"")</f>
        <v/>
      </c>
      <c r="F42" s="50" t="str">
        <f aca="false">IFERROR(IF(OR(NOT(ISNUMBER(F40)),N(F41)=0),"",F40/F41),"")</f>
        <v/>
      </c>
      <c r="G42" s="50" t="str">
        <f aca="false">IFERROR(IF(OR(NOT(ISNUMBER(G40)),N(G41)=0),"",G40/G41),"")</f>
        <v/>
      </c>
      <c r="H42" s="50" t="str">
        <f aca="false">IFERROR(IF(OR(NOT(ISNUMBER(H40)),N(H41)=0),"",H40/H41),"")</f>
        <v/>
      </c>
      <c r="I42" s="50" t="str">
        <f aca="false">IFERROR(IF(OR(NOT(ISNUMBER(I40)),N(I41)=0),"",I40/I41),"")</f>
        <v/>
      </c>
      <c r="J42" s="50" t="str">
        <f aca="false">IFERROR(IF(OR(NOT(ISNUMBER(J40)),N(J41)=0),"",J40/J41),"")</f>
        <v/>
      </c>
      <c r="K42" s="50" t="str">
        <f aca="false">IFERROR(IF(OR(NOT(ISNUMBER(K40)),N(K41)=0),"",K40/K41),"")</f>
        <v/>
      </c>
      <c r="L42" s="50" t="str">
        <f aca="false">IFERROR(IF(OR(NOT(ISNUMBER(L40)),N(L41)=0),"",L40/L41),"")</f>
        <v/>
      </c>
      <c r="M42" s="50" t="str">
        <f aca="false">IFERROR(IF(OR(NOT(ISNUMBER(M40)),N(M41)=0),"",M40/M41),"")</f>
        <v/>
      </c>
      <c r="N42" s="50" t="str">
        <f aca="false">IFERROR(IF(OR(NOT(ISNUMBER(N40)),N(N41)=0),"",N40/N41),"")</f>
        <v/>
      </c>
      <c r="O42" s="68" t="str">
        <f aca="false">IFERROR(IF(OR(NOT(ISNUMBER(O40)),N(O41)=0),"",O40/O41),"")</f>
        <v/>
      </c>
    </row>
    <row r="43" customFormat="false" ht="15" hidden="true" customHeight="false" outlineLevel="1" collapsed="false">
      <c r="A43" s="11" t="s">
        <v>2037</v>
      </c>
      <c r="B43" s="53" t="str">
        <f aca="false">IF(INDEX(Prod_Nombre,12)="","Producto 12",INDEX(Prod_Nombre,12))&amp;" — venta"</f>
        <v>Producto 12 — venta</v>
      </c>
      <c r="C43" s="11" t="s">
        <v>508</v>
      </c>
      <c r="D43" s="48" t="n">
        <f aca="false">IF(cu_P=1,SUMIFS(Calculo!$F$57:$ES$57,Calculo!$F$16:$ES$16,1),SUMIFS(Calculo!$F$213:$ES$213,Calculo!$F$172:$ES$172,1))</f>
        <v>0</v>
      </c>
      <c r="E43" s="48" t="n">
        <f aca="false">IF(cu_P=1,SUMIFS(Calculo!$F$57:$ES$57,Calculo!$F$14:$ES$14,1),SUMIFS(Calculo!$F$213:$ES$213,Calculo!$F$170:$ES$170,1))</f>
        <v>0</v>
      </c>
      <c r="F43" s="48" t="n">
        <f aca="false">IF(cu_P=1,SUMIFS(Calculo!$F$57:$ES$57,Calculo!$F$14:$ES$14,2),SUMIFS(Calculo!$F$213:$ES$213,Calculo!$F$170:$ES$170,2))</f>
        <v>0</v>
      </c>
      <c r="G43" s="48" t="n">
        <f aca="false">IF(cu_P=1,SUMIFS(Calculo!$F$57:$ES$57,Calculo!$F$14:$ES$14,3),SUMIFS(Calculo!$F$213:$ES$213,Calculo!$F$170:$ES$170,3))</f>
        <v>0</v>
      </c>
      <c r="H43" s="48" t="n">
        <f aca="false">IF(cu_P=1,SUMIFS(Calculo!$F$57:$ES$57,Calculo!$F$14:$ES$14,4),SUMIFS(Calculo!$F$213:$ES$213,Calculo!$F$170:$ES$170,4))</f>
        <v>0</v>
      </c>
      <c r="I43" s="48" t="n">
        <f aca="false">IF(cu_P=1,SUMIFS(Calculo!$F$57:$ES$57,Calculo!$F$14:$ES$14,5),SUMIFS(Calculo!$F$213:$ES$213,Calculo!$F$170:$ES$170,5))</f>
        <v>0</v>
      </c>
      <c r="J43" s="48" t="n">
        <f aca="false">IF(cu_P=1,SUMIFS(Calculo!$F$57:$ES$57,Calculo!$F$14:$ES$14,6),SUMIFS(Calculo!$F$213:$ES$213,Calculo!$F$170:$ES$170,6))</f>
        <v>0</v>
      </c>
      <c r="K43" s="48" t="n">
        <f aca="false">IF(cu_P=1,SUMIFS(Calculo!$F$57:$ES$57,Calculo!$F$14:$ES$14,7),SUMIFS(Calculo!$F$213:$ES$213,Calculo!$F$170:$ES$170,7))</f>
        <v>0</v>
      </c>
      <c r="L43" s="48" t="n">
        <f aca="false">IF(cu_P=1,SUMIFS(Calculo!$F$57:$ES$57,Calculo!$F$14:$ES$14,8),SUMIFS(Calculo!$F$213:$ES$213,Calculo!$F$170:$ES$170,8))</f>
        <v>0</v>
      </c>
      <c r="M43" s="48" t="n">
        <f aca="false">IF(cu_P=1,SUMIFS(Calculo!$F$57:$ES$57,Calculo!$F$14:$ES$14,9),SUMIFS(Calculo!$F$213:$ES$213,Calculo!$F$170:$ES$170,9))</f>
        <v>0</v>
      </c>
      <c r="N43" s="48" t="n">
        <f aca="false">IF(cu_P=1,SUMIFS(Calculo!$F$57:$ES$57,Calculo!$F$14:$ES$14,10),SUMIFS(Calculo!$F$213:$ES$213,Calculo!$F$170:$ES$170,10))</f>
        <v>0</v>
      </c>
      <c r="O43" s="54" t="n">
        <f aca="false">SUM(D43:N43)</f>
        <v>0</v>
      </c>
    </row>
    <row r="44" customFormat="false" ht="15" hidden="true" customHeight="false" outlineLevel="1" collapsed="false">
      <c r="A44" s="11" t="s">
        <v>2038</v>
      </c>
      <c r="B44" s="15" t="s">
        <v>2004</v>
      </c>
      <c r="C44" s="11" t="s">
        <v>544</v>
      </c>
      <c r="D44" s="48" t="n">
        <f aca="false">IF(cu_P=1,SUMIFS(Calculo!$F$32:$ES$32,Calculo!$F$16:$ES$16,1),SUMIFS(Calculo!$F$188:$ES$188,Calculo!$F$172:$ES$172,1))</f>
        <v>0</v>
      </c>
      <c r="E44" s="48" t="n">
        <f aca="false">IF(cu_P=1,SUMIFS(Calculo!$F$32:$ES$32,Calculo!$F$14:$ES$14,1),SUMIFS(Calculo!$F$188:$ES$188,Calculo!$F$170:$ES$170,1))</f>
        <v>0</v>
      </c>
      <c r="F44" s="48" t="n">
        <f aca="false">IF(cu_P=1,SUMIFS(Calculo!$F$32:$ES$32,Calculo!$F$14:$ES$14,2),SUMIFS(Calculo!$F$188:$ES$188,Calculo!$F$170:$ES$170,2))</f>
        <v>0</v>
      </c>
      <c r="G44" s="48" t="n">
        <f aca="false">IF(cu_P=1,SUMIFS(Calculo!$F$32:$ES$32,Calculo!$F$14:$ES$14,3),SUMIFS(Calculo!$F$188:$ES$188,Calculo!$F$170:$ES$170,3))</f>
        <v>0</v>
      </c>
      <c r="H44" s="48" t="n">
        <f aca="false">IF(cu_P=1,SUMIFS(Calculo!$F$32:$ES$32,Calculo!$F$14:$ES$14,4),SUMIFS(Calculo!$F$188:$ES$188,Calculo!$F$170:$ES$170,4))</f>
        <v>0</v>
      </c>
      <c r="I44" s="48" t="n">
        <f aca="false">IF(cu_P=1,SUMIFS(Calculo!$F$32:$ES$32,Calculo!$F$14:$ES$14,5),SUMIFS(Calculo!$F$188:$ES$188,Calculo!$F$170:$ES$170,5))</f>
        <v>0</v>
      </c>
      <c r="J44" s="48" t="n">
        <f aca="false">IF(cu_P=1,SUMIFS(Calculo!$F$32:$ES$32,Calculo!$F$14:$ES$14,6),SUMIFS(Calculo!$F$188:$ES$188,Calculo!$F$170:$ES$170,6))</f>
        <v>0</v>
      </c>
      <c r="K44" s="48" t="n">
        <f aca="false">IF(cu_P=1,SUMIFS(Calculo!$F$32:$ES$32,Calculo!$F$14:$ES$14,7),SUMIFS(Calculo!$F$188:$ES$188,Calculo!$F$170:$ES$170,7))</f>
        <v>0</v>
      </c>
      <c r="L44" s="48" t="n">
        <f aca="false">IF(cu_P=1,SUMIFS(Calculo!$F$32:$ES$32,Calculo!$F$14:$ES$14,8),SUMIFS(Calculo!$F$188:$ES$188,Calculo!$F$170:$ES$170,8))</f>
        <v>0</v>
      </c>
      <c r="M44" s="48" t="n">
        <f aca="false">IF(cu_P=1,SUMIFS(Calculo!$F$32:$ES$32,Calculo!$F$14:$ES$14,9),SUMIFS(Calculo!$F$188:$ES$188,Calculo!$F$170:$ES$170,9))</f>
        <v>0</v>
      </c>
      <c r="N44" s="48" t="n">
        <f aca="false">IF(cu_P=1,SUMIFS(Calculo!$F$32:$ES$32,Calculo!$F$14:$ES$14,10),SUMIFS(Calculo!$F$188:$ES$188,Calculo!$F$170:$ES$170,10))</f>
        <v>0</v>
      </c>
      <c r="O44" s="54" t="n">
        <f aca="false">SUM(D44:N44)</f>
        <v>0</v>
      </c>
    </row>
    <row r="45" customFormat="false" ht="15" hidden="true" customHeight="false" outlineLevel="1" collapsed="false">
      <c r="A45" s="11" t="s">
        <v>2039</v>
      </c>
      <c r="B45" s="15" t="s">
        <v>2006</v>
      </c>
      <c r="C45" s="11" t="s">
        <v>748</v>
      </c>
      <c r="D45" s="50" t="str">
        <f aca="false">IFERROR(IF(OR(NOT(ISNUMBER(D43)),N(D44)=0),"",D43/D44),"")</f>
        <v/>
      </c>
      <c r="E45" s="50" t="str">
        <f aca="false">IFERROR(IF(OR(NOT(ISNUMBER(E43)),N(E44)=0),"",E43/E44),"")</f>
        <v/>
      </c>
      <c r="F45" s="50" t="str">
        <f aca="false">IFERROR(IF(OR(NOT(ISNUMBER(F43)),N(F44)=0),"",F43/F44),"")</f>
        <v/>
      </c>
      <c r="G45" s="50" t="str">
        <f aca="false">IFERROR(IF(OR(NOT(ISNUMBER(G43)),N(G44)=0),"",G43/G44),"")</f>
        <v/>
      </c>
      <c r="H45" s="50" t="str">
        <f aca="false">IFERROR(IF(OR(NOT(ISNUMBER(H43)),N(H44)=0),"",H43/H44),"")</f>
        <v/>
      </c>
      <c r="I45" s="50" t="str">
        <f aca="false">IFERROR(IF(OR(NOT(ISNUMBER(I43)),N(I44)=0),"",I43/I44),"")</f>
        <v/>
      </c>
      <c r="J45" s="50" t="str">
        <f aca="false">IFERROR(IF(OR(NOT(ISNUMBER(J43)),N(J44)=0),"",J43/J44),"")</f>
        <v/>
      </c>
      <c r="K45" s="50" t="str">
        <f aca="false">IFERROR(IF(OR(NOT(ISNUMBER(K43)),N(K44)=0),"",K43/K44),"")</f>
        <v/>
      </c>
      <c r="L45" s="50" t="str">
        <f aca="false">IFERROR(IF(OR(NOT(ISNUMBER(L43)),N(L44)=0),"",L43/L44),"")</f>
        <v/>
      </c>
      <c r="M45" s="50" t="str">
        <f aca="false">IFERROR(IF(OR(NOT(ISNUMBER(M43)),N(M44)=0),"",M43/M44),"")</f>
        <v/>
      </c>
      <c r="N45" s="50" t="str">
        <f aca="false">IFERROR(IF(OR(NOT(ISNUMBER(N43)),N(N44)=0),"",N43/N44),"")</f>
        <v/>
      </c>
      <c r="O45" s="68" t="str">
        <f aca="false">IFERROR(IF(OR(NOT(ISNUMBER(O43)),N(O44)=0),"",O43/O44),"")</f>
        <v/>
      </c>
    </row>
    <row r="46" customFormat="false" ht="15" hidden="true" customHeight="false" outlineLevel="1" collapsed="false">
      <c r="A46" s="11" t="s">
        <v>2040</v>
      </c>
      <c r="B46" s="53" t="str">
        <f aca="false">IF(INDEX(Prod_Nombre,13)="","Producto 13",INDEX(Prod_Nombre,13))&amp;" — venta"</f>
        <v>Producto 13 — venta</v>
      </c>
      <c r="C46" s="11" t="s">
        <v>508</v>
      </c>
      <c r="D46" s="48" t="n">
        <f aca="false">IF(cu_P=1,SUMIFS(Calculo!$F$58:$ES$58,Calculo!$F$16:$ES$16,1),SUMIFS(Calculo!$F$214:$ES$214,Calculo!$F$172:$ES$172,1))</f>
        <v>0</v>
      </c>
      <c r="E46" s="48" t="n">
        <f aca="false">IF(cu_P=1,SUMIFS(Calculo!$F$58:$ES$58,Calculo!$F$14:$ES$14,1),SUMIFS(Calculo!$F$214:$ES$214,Calculo!$F$170:$ES$170,1))</f>
        <v>0</v>
      </c>
      <c r="F46" s="48" t="n">
        <f aca="false">IF(cu_P=1,SUMIFS(Calculo!$F$58:$ES$58,Calculo!$F$14:$ES$14,2),SUMIFS(Calculo!$F$214:$ES$214,Calculo!$F$170:$ES$170,2))</f>
        <v>0</v>
      </c>
      <c r="G46" s="48" t="n">
        <f aca="false">IF(cu_P=1,SUMIFS(Calculo!$F$58:$ES$58,Calculo!$F$14:$ES$14,3),SUMIFS(Calculo!$F$214:$ES$214,Calculo!$F$170:$ES$170,3))</f>
        <v>0</v>
      </c>
      <c r="H46" s="48" t="n">
        <f aca="false">IF(cu_P=1,SUMIFS(Calculo!$F$58:$ES$58,Calculo!$F$14:$ES$14,4),SUMIFS(Calculo!$F$214:$ES$214,Calculo!$F$170:$ES$170,4))</f>
        <v>0</v>
      </c>
      <c r="I46" s="48" t="n">
        <f aca="false">IF(cu_P=1,SUMIFS(Calculo!$F$58:$ES$58,Calculo!$F$14:$ES$14,5),SUMIFS(Calculo!$F$214:$ES$214,Calculo!$F$170:$ES$170,5))</f>
        <v>0</v>
      </c>
      <c r="J46" s="48" t="n">
        <f aca="false">IF(cu_P=1,SUMIFS(Calculo!$F$58:$ES$58,Calculo!$F$14:$ES$14,6),SUMIFS(Calculo!$F$214:$ES$214,Calculo!$F$170:$ES$170,6))</f>
        <v>0</v>
      </c>
      <c r="K46" s="48" t="n">
        <f aca="false">IF(cu_P=1,SUMIFS(Calculo!$F$58:$ES$58,Calculo!$F$14:$ES$14,7),SUMIFS(Calculo!$F$214:$ES$214,Calculo!$F$170:$ES$170,7))</f>
        <v>0</v>
      </c>
      <c r="L46" s="48" t="n">
        <f aca="false">IF(cu_P=1,SUMIFS(Calculo!$F$58:$ES$58,Calculo!$F$14:$ES$14,8),SUMIFS(Calculo!$F$214:$ES$214,Calculo!$F$170:$ES$170,8))</f>
        <v>0</v>
      </c>
      <c r="M46" s="48" t="n">
        <f aca="false">IF(cu_P=1,SUMIFS(Calculo!$F$58:$ES$58,Calculo!$F$14:$ES$14,9),SUMIFS(Calculo!$F$214:$ES$214,Calculo!$F$170:$ES$170,9))</f>
        <v>0</v>
      </c>
      <c r="N46" s="48" t="n">
        <f aca="false">IF(cu_P=1,SUMIFS(Calculo!$F$58:$ES$58,Calculo!$F$14:$ES$14,10),SUMIFS(Calculo!$F$214:$ES$214,Calculo!$F$170:$ES$170,10))</f>
        <v>0</v>
      </c>
      <c r="O46" s="54" t="n">
        <f aca="false">SUM(D46:N46)</f>
        <v>0</v>
      </c>
    </row>
    <row r="47" customFormat="false" ht="15" hidden="true" customHeight="false" outlineLevel="1" collapsed="false">
      <c r="A47" s="11" t="s">
        <v>2041</v>
      </c>
      <c r="B47" s="15" t="s">
        <v>2004</v>
      </c>
      <c r="C47" s="11" t="s">
        <v>544</v>
      </c>
      <c r="D47" s="48" t="n">
        <f aca="false">IF(cu_P=1,SUMIFS(Calculo!$F$33:$ES$33,Calculo!$F$16:$ES$16,1),SUMIFS(Calculo!$F$189:$ES$189,Calculo!$F$172:$ES$172,1))</f>
        <v>0</v>
      </c>
      <c r="E47" s="48" t="n">
        <f aca="false">IF(cu_P=1,SUMIFS(Calculo!$F$33:$ES$33,Calculo!$F$14:$ES$14,1),SUMIFS(Calculo!$F$189:$ES$189,Calculo!$F$170:$ES$170,1))</f>
        <v>0</v>
      </c>
      <c r="F47" s="48" t="n">
        <f aca="false">IF(cu_P=1,SUMIFS(Calculo!$F$33:$ES$33,Calculo!$F$14:$ES$14,2),SUMIFS(Calculo!$F$189:$ES$189,Calculo!$F$170:$ES$170,2))</f>
        <v>0</v>
      </c>
      <c r="G47" s="48" t="n">
        <f aca="false">IF(cu_P=1,SUMIFS(Calculo!$F$33:$ES$33,Calculo!$F$14:$ES$14,3),SUMIFS(Calculo!$F$189:$ES$189,Calculo!$F$170:$ES$170,3))</f>
        <v>0</v>
      </c>
      <c r="H47" s="48" t="n">
        <f aca="false">IF(cu_P=1,SUMIFS(Calculo!$F$33:$ES$33,Calculo!$F$14:$ES$14,4),SUMIFS(Calculo!$F$189:$ES$189,Calculo!$F$170:$ES$170,4))</f>
        <v>0</v>
      </c>
      <c r="I47" s="48" t="n">
        <f aca="false">IF(cu_P=1,SUMIFS(Calculo!$F$33:$ES$33,Calculo!$F$14:$ES$14,5),SUMIFS(Calculo!$F$189:$ES$189,Calculo!$F$170:$ES$170,5))</f>
        <v>0</v>
      </c>
      <c r="J47" s="48" t="n">
        <f aca="false">IF(cu_P=1,SUMIFS(Calculo!$F$33:$ES$33,Calculo!$F$14:$ES$14,6),SUMIFS(Calculo!$F$189:$ES$189,Calculo!$F$170:$ES$170,6))</f>
        <v>0</v>
      </c>
      <c r="K47" s="48" t="n">
        <f aca="false">IF(cu_P=1,SUMIFS(Calculo!$F$33:$ES$33,Calculo!$F$14:$ES$14,7),SUMIFS(Calculo!$F$189:$ES$189,Calculo!$F$170:$ES$170,7))</f>
        <v>0</v>
      </c>
      <c r="L47" s="48" t="n">
        <f aca="false">IF(cu_P=1,SUMIFS(Calculo!$F$33:$ES$33,Calculo!$F$14:$ES$14,8),SUMIFS(Calculo!$F$189:$ES$189,Calculo!$F$170:$ES$170,8))</f>
        <v>0</v>
      </c>
      <c r="M47" s="48" t="n">
        <f aca="false">IF(cu_P=1,SUMIFS(Calculo!$F$33:$ES$33,Calculo!$F$14:$ES$14,9),SUMIFS(Calculo!$F$189:$ES$189,Calculo!$F$170:$ES$170,9))</f>
        <v>0</v>
      </c>
      <c r="N47" s="48" t="n">
        <f aca="false">IF(cu_P=1,SUMIFS(Calculo!$F$33:$ES$33,Calculo!$F$14:$ES$14,10),SUMIFS(Calculo!$F$189:$ES$189,Calculo!$F$170:$ES$170,10))</f>
        <v>0</v>
      </c>
      <c r="O47" s="54" t="n">
        <f aca="false">SUM(D47:N47)</f>
        <v>0</v>
      </c>
    </row>
    <row r="48" customFormat="false" ht="15" hidden="true" customHeight="false" outlineLevel="1" collapsed="false">
      <c r="A48" s="11" t="s">
        <v>2042</v>
      </c>
      <c r="B48" s="15" t="s">
        <v>2006</v>
      </c>
      <c r="C48" s="11" t="s">
        <v>748</v>
      </c>
      <c r="D48" s="50" t="str">
        <f aca="false">IFERROR(IF(OR(NOT(ISNUMBER(D46)),N(D47)=0),"",D46/D47),"")</f>
        <v/>
      </c>
      <c r="E48" s="50" t="str">
        <f aca="false">IFERROR(IF(OR(NOT(ISNUMBER(E46)),N(E47)=0),"",E46/E47),"")</f>
        <v/>
      </c>
      <c r="F48" s="50" t="str">
        <f aca="false">IFERROR(IF(OR(NOT(ISNUMBER(F46)),N(F47)=0),"",F46/F47),"")</f>
        <v/>
      </c>
      <c r="G48" s="50" t="str">
        <f aca="false">IFERROR(IF(OR(NOT(ISNUMBER(G46)),N(G47)=0),"",G46/G47),"")</f>
        <v/>
      </c>
      <c r="H48" s="50" t="str">
        <f aca="false">IFERROR(IF(OR(NOT(ISNUMBER(H46)),N(H47)=0),"",H46/H47),"")</f>
        <v/>
      </c>
      <c r="I48" s="50" t="str">
        <f aca="false">IFERROR(IF(OR(NOT(ISNUMBER(I46)),N(I47)=0),"",I46/I47),"")</f>
        <v/>
      </c>
      <c r="J48" s="50" t="str">
        <f aca="false">IFERROR(IF(OR(NOT(ISNUMBER(J46)),N(J47)=0),"",J46/J47),"")</f>
        <v/>
      </c>
      <c r="K48" s="50" t="str">
        <f aca="false">IFERROR(IF(OR(NOT(ISNUMBER(K46)),N(K47)=0),"",K46/K47),"")</f>
        <v/>
      </c>
      <c r="L48" s="50" t="str">
        <f aca="false">IFERROR(IF(OR(NOT(ISNUMBER(L46)),N(L47)=0),"",L46/L47),"")</f>
        <v/>
      </c>
      <c r="M48" s="50" t="str">
        <f aca="false">IFERROR(IF(OR(NOT(ISNUMBER(M46)),N(M47)=0),"",M46/M47),"")</f>
        <v/>
      </c>
      <c r="N48" s="50" t="str">
        <f aca="false">IFERROR(IF(OR(NOT(ISNUMBER(N46)),N(N47)=0),"",N46/N47),"")</f>
        <v/>
      </c>
      <c r="O48" s="68" t="str">
        <f aca="false">IFERROR(IF(OR(NOT(ISNUMBER(O46)),N(O47)=0),"",O46/O47),"")</f>
        <v/>
      </c>
    </row>
    <row r="49" customFormat="false" ht="15" hidden="true" customHeight="false" outlineLevel="1" collapsed="false">
      <c r="A49" s="11" t="s">
        <v>2043</v>
      </c>
      <c r="B49" s="53" t="str">
        <f aca="false">IF(INDEX(Prod_Nombre,14)="","Producto 14",INDEX(Prod_Nombre,14))&amp;" — venta"</f>
        <v>Producto 14 — venta</v>
      </c>
      <c r="C49" s="11" t="s">
        <v>508</v>
      </c>
      <c r="D49" s="48" t="n">
        <f aca="false">IF(cu_P=1,SUMIFS(Calculo!$F$59:$ES$59,Calculo!$F$16:$ES$16,1),SUMIFS(Calculo!$F$215:$ES$215,Calculo!$F$172:$ES$172,1))</f>
        <v>0</v>
      </c>
      <c r="E49" s="48" t="n">
        <f aca="false">IF(cu_P=1,SUMIFS(Calculo!$F$59:$ES$59,Calculo!$F$14:$ES$14,1),SUMIFS(Calculo!$F$215:$ES$215,Calculo!$F$170:$ES$170,1))</f>
        <v>0</v>
      </c>
      <c r="F49" s="48" t="n">
        <f aca="false">IF(cu_P=1,SUMIFS(Calculo!$F$59:$ES$59,Calculo!$F$14:$ES$14,2),SUMIFS(Calculo!$F$215:$ES$215,Calculo!$F$170:$ES$170,2))</f>
        <v>0</v>
      </c>
      <c r="G49" s="48" t="n">
        <f aca="false">IF(cu_P=1,SUMIFS(Calculo!$F$59:$ES$59,Calculo!$F$14:$ES$14,3),SUMIFS(Calculo!$F$215:$ES$215,Calculo!$F$170:$ES$170,3))</f>
        <v>0</v>
      </c>
      <c r="H49" s="48" t="n">
        <f aca="false">IF(cu_P=1,SUMIFS(Calculo!$F$59:$ES$59,Calculo!$F$14:$ES$14,4),SUMIFS(Calculo!$F$215:$ES$215,Calculo!$F$170:$ES$170,4))</f>
        <v>0</v>
      </c>
      <c r="I49" s="48" t="n">
        <f aca="false">IF(cu_P=1,SUMIFS(Calculo!$F$59:$ES$59,Calculo!$F$14:$ES$14,5),SUMIFS(Calculo!$F$215:$ES$215,Calculo!$F$170:$ES$170,5))</f>
        <v>0</v>
      </c>
      <c r="J49" s="48" t="n">
        <f aca="false">IF(cu_P=1,SUMIFS(Calculo!$F$59:$ES$59,Calculo!$F$14:$ES$14,6),SUMIFS(Calculo!$F$215:$ES$215,Calculo!$F$170:$ES$170,6))</f>
        <v>0</v>
      </c>
      <c r="K49" s="48" t="n">
        <f aca="false">IF(cu_P=1,SUMIFS(Calculo!$F$59:$ES$59,Calculo!$F$14:$ES$14,7),SUMIFS(Calculo!$F$215:$ES$215,Calculo!$F$170:$ES$170,7))</f>
        <v>0</v>
      </c>
      <c r="L49" s="48" t="n">
        <f aca="false">IF(cu_P=1,SUMIFS(Calculo!$F$59:$ES$59,Calculo!$F$14:$ES$14,8),SUMIFS(Calculo!$F$215:$ES$215,Calculo!$F$170:$ES$170,8))</f>
        <v>0</v>
      </c>
      <c r="M49" s="48" t="n">
        <f aca="false">IF(cu_P=1,SUMIFS(Calculo!$F$59:$ES$59,Calculo!$F$14:$ES$14,9),SUMIFS(Calculo!$F$215:$ES$215,Calculo!$F$170:$ES$170,9))</f>
        <v>0</v>
      </c>
      <c r="N49" s="48" t="n">
        <f aca="false">IF(cu_P=1,SUMIFS(Calculo!$F$59:$ES$59,Calculo!$F$14:$ES$14,10),SUMIFS(Calculo!$F$215:$ES$215,Calculo!$F$170:$ES$170,10))</f>
        <v>0</v>
      </c>
      <c r="O49" s="54" t="n">
        <f aca="false">SUM(D49:N49)</f>
        <v>0</v>
      </c>
    </row>
    <row r="50" customFormat="false" ht="15" hidden="true" customHeight="false" outlineLevel="1" collapsed="false">
      <c r="A50" s="11" t="s">
        <v>2044</v>
      </c>
      <c r="B50" s="15" t="s">
        <v>2004</v>
      </c>
      <c r="C50" s="11" t="s">
        <v>544</v>
      </c>
      <c r="D50" s="48" t="n">
        <f aca="false">IF(cu_P=1,SUMIFS(Calculo!$F$34:$ES$34,Calculo!$F$16:$ES$16,1),SUMIFS(Calculo!$F$190:$ES$190,Calculo!$F$172:$ES$172,1))</f>
        <v>0</v>
      </c>
      <c r="E50" s="48" t="n">
        <f aca="false">IF(cu_P=1,SUMIFS(Calculo!$F$34:$ES$34,Calculo!$F$14:$ES$14,1),SUMIFS(Calculo!$F$190:$ES$190,Calculo!$F$170:$ES$170,1))</f>
        <v>0</v>
      </c>
      <c r="F50" s="48" t="n">
        <f aca="false">IF(cu_P=1,SUMIFS(Calculo!$F$34:$ES$34,Calculo!$F$14:$ES$14,2),SUMIFS(Calculo!$F$190:$ES$190,Calculo!$F$170:$ES$170,2))</f>
        <v>0</v>
      </c>
      <c r="G50" s="48" t="n">
        <f aca="false">IF(cu_P=1,SUMIFS(Calculo!$F$34:$ES$34,Calculo!$F$14:$ES$14,3),SUMIFS(Calculo!$F$190:$ES$190,Calculo!$F$170:$ES$170,3))</f>
        <v>0</v>
      </c>
      <c r="H50" s="48" t="n">
        <f aca="false">IF(cu_P=1,SUMIFS(Calculo!$F$34:$ES$34,Calculo!$F$14:$ES$14,4),SUMIFS(Calculo!$F$190:$ES$190,Calculo!$F$170:$ES$170,4))</f>
        <v>0</v>
      </c>
      <c r="I50" s="48" t="n">
        <f aca="false">IF(cu_P=1,SUMIFS(Calculo!$F$34:$ES$34,Calculo!$F$14:$ES$14,5),SUMIFS(Calculo!$F$190:$ES$190,Calculo!$F$170:$ES$170,5))</f>
        <v>0</v>
      </c>
      <c r="J50" s="48" t="n">
        <f aca="false">IF(cu_P=1,SUMIFS(Calculo!$F$34:$ES$34,Calculo!$F$14:$ES$14,6),SUMIFS(Calculo!$F$190:$ES$190,Calculo!$F$170:$ES$170,6))</f>
        <v>0</v>
      </c>
      <c r="K50" s="48" t="n">
        <f aca="false">IF(cu_P=1,SUMIFS(Calculo!$F$34:$ES$34,Calculo!$F$14:$ES$14,7),SUMIFS(Calculo!$F$190:$ES$190,Calculo!$F$170:$ES$170,7))</f>
        <v>0</v>
      </c>
      <c r="L50" s="48" t="n">
        <f aca="false">IF(cu_P=1,SUMIFS(Calculo!$F$34:$ES$34,Calculo!$F$14:$ES$14,8),SUMIFS(Calculo!$F$190:$ES$190,Calculo!$F$170:$ES$170,8))</f>
        <v>0</v>
      </c>
      <c r="M50" s="48" t="n">
        <f aca="false">IF(cu_P=1,SUMIFS(Calculo!$F$34:$ES$34,Calculo!$F$14:$ES$14,9),SUMIFS(Calculo!$F$190:$ES$190,Calculo!$F$170:$ES$170,9))</f>
        <v>0</v>
      </c>
      <c r="N50" s="48" t="n">
        <f aca="false">IF(cu_P=1,SUMIFS(Calculo!$F$34:$ES$34,Calculo!$F$14:$ES$14,10),SUMIFS(Calculo!$F$190:$ES$190,Calculo!$F$170:$ES$170,10))</f>
        <v>0</v>
      </c>
      <c r="O50" s="54" t="n">
        <f aca="false">SUM(D50:N50)</f>
        <v>0</v>
      </c>
    </row>
    <row r="51" customFormat="false" ht="15" hidden="true" customHeight="false" outlineLevel="1" collapsed="false">
      <c r="A51" s="11" t="s">
        <v>2045</v>
      </c>
      <c r="B51" s="15" t="s">
        <v>2006</v>
      </c>
      <c r="C51" s="11" t="s">
        <v>748</v>
      </c>
      <c r="D51" s="50" t="str">
        <f aca="false">IFERROR(IF(OR(NOT(ISNUMBER(D49)),N(D50)=0),"",D49/D50),"")</f>
        <v/>
      </c>
      <c r="E51" s="50" t="str">
        <f aca="false">IFERROR(IF(OR(NOT(ISNUMBER(E49)),N(E50)=0),"",E49/E50),"")</f>
        <v/>
      </c>
      <c r="F51" s="50" t="str">
        <f aca="false">IFERROR(IF(OR(NOT(ISNUMBER(F49)),N(F50)=0),"",F49/F50),"")</f>
        <v/>
      </c>
      <c r="G51" s="50" t="str">
        <f aca="false">IFERROR(IF(OR(NOT(ISNUMBER(G49)),N(G50)=0),"",G49/G50),"")</f>
        <v/>
      </c>
      <c r="H51" s="50" t="str">
        <f aca="false">IFERROR(IF(OR(NOT(ISNUMBER(H49)),N(H50)=0),"",H49/H50),"")</f>
        <v/>
      </c>
      <c r="I51" s="50" t="str">
        <f aca="false">IFERROR(IF(OR(NOT(ISNUMBER(I49)),N(I50)=0),"",I49/I50),"")</f>
        <v/>
      </c>
      <c r="J51" s="50" t="str">
        <f aca="false">IFERROR(IF(OR(NOT(ISNUMBER(J49)),N(J50)=0),"",J49/J50),"")</f>
        <v/>
      </c>
      <c r="K51" s="50" t="str">
        <f aca="false">IFERROR(IF(OR(NOT(ISNUMBER(K49)),N(K50)=0),"",K49/K50),"")</f>
        <v/>
      </c>
      <c r="L51" s="50" t="str">
        <f aca="false">IFERROR(IF(OR(NOT(ISNUMBER(L49)),N(L50)=0),"",L49/L50),"")</f>
        <v/>
      </c>
      <c r="M51" s="50" t="str">
        <f aca="false">IFERROR(IF(OR(NOT(ISNUMBER(M49)),N(M50)=0),"",M49/M50),"")</f>
        <v/>
      </c>
      <c r="N51" s="50" t="str">
        <f aca="false">IFERROR(IF(OR(NOT(ISNUMBER(N49)),N(N50)=0),"",N49/N50),"")</f>
        <v/>
      </c>
      <c r="O51" s="68" t="str">
        <f aca="false">IFERROR(IF(OR(NOT(ISNUMBER(O49)),N(O50)=0),"",O49/O50),"")</f>
        <v/>
      </c>
    </row>
    <row r="52" customFormat="false" ht="15" hidden="true" customHeight="false" outlineLevel="1" collapsed="false">
      <c r="A52" s="11" t="s">
        <v>2046</v>
      </c>
      <c r="B52" s="53" t="str">
        <f aca="false">IF(INDEX(Prod_Nombre,15)="","Producto 15",INDEX(Prod_Nombre,15))&amp;" — venta"</f>
        <v>Producto 15 — venta</v>
      </c>
      <c r="C52" s="11" t="s">
        <v>508</v>
      </c>
      <c r="D52" s="48" t="n">
        <f aca="false">IF(cu_P=1,SUMIFS(Calculo!$F$60:$ES$60,Calculo!$F$16:$ES$16,1),SUMIFS(Calculo!$F$216:$ES$216,Calculo!$F$172:$ES$172,1))</f>
        <v>0</v>
      </c>
      <c r="E52" s="48" t="n">
        <f aca="false">IF(cu_P=1,SUMIFS(Calculo!$F$60:$ES$60,Calculo!$F$14:$ES$14,1),SUMIFS(Calculo!$F$216:$ES$216,Calculo!$F$170:$ES$170,1))</f>
        <v>0</v>
      </c>
      <c r="F52" s="48" t="n">
        <f aca="false">IF(cu_P=1,SUMIFS(Calculo!$F$60:$ES$60,Calculo!$F$14:$ES$14,2),SUMIFS(Calculo!$F$216:$ES$216,Calculo!$F$170:$ES$170,2))</f>
        <v>0</v>
      </c>
      <c r="G52" s="48" t="n">
        <f aca="false">IF(cu_P=1,SUMIFS(Calculo!$F$60:$ES$60,Calculo!$F$14:$ES$14,3),SUMIFS(Calculo!$F$216:$ES$216,Calculo!$F$170:$ES$170,3))</f>
        <v>0</v>
      </c>
      <c r="H52" s="48" t="n">
        <f aca="false">IF(cu_P=1,SUMIFS(Calculo!$F$60:$ES$60,Calculo!$F$14:$ES$14,4),SUMIFS(Calculo!$F$216:$ES$216,Calculo!$F$170:$ES$170,4))</f>
        <v>0</v>
      </c>
      <c r="I52" s="48" t="n">
        <f aca="false">IF(cu_P=1,SUMIFS(Calculo!$F$60:$ES$60,Calculo!$F$14:$ES$14,5),SUMIFS(Calculo!$F$216:$ES$216,Calculo!$F$170:$ES$170,5))</f>
        <v>0</v>
      </c>
      <c r="J52" s="48" t="n">
        <f aca="false">IF(cu_P=1,SUMIFS(Calculo!$F$60:$ES$60,Calculo!$F$14:$ES$14,6),SUMIFS(Calculo!$F$216:$ES$216,Calculo!$F$170:$ES$170,6))</f>
        <v>0</v>
      </c>
      <c r="K52" s="48" t="n">
        <f aca="false">IF(cu_P=1,SUMIFS(Calculo!$F$60:$ES$60,Calculo!$F$14:$ES$14,7),SUMIFS(Calculo!$F$216:$ES$216,Calculo!$F$170:$ES$170,7))</f>
        <v>0</v>
      </c>
      <c r="L52" s="48" t="n">
        <f aca="false">IF(cu_P=1,SUMIFS(Calculo!$F$60:$ES$60,Calculo!$F$14:$ES$14,8),SUMIFS(Calculo!$F$216:$ES$216,Calculo!$F$170:$ES$170,8))</f>
        <v>0</v>
      </c>
      <c r="M52" s="48" t="n">
        <f aca="false">IF(cu_P=1,SUMIFS(Calculo!$F$60:$ES$60,Calculo!$F$14:$ES$14,9),SUMIFS(Calculo!$F$216:$ES$216,Calculo!$F$170:$ES$170,9))</f>
        <v>0</v>
      </c>
      <c r="N52" s="48" t="n">
        <f aca="false">IF(cu_P=1,SUMIFS(Calculo!$F$60:$ES$60,Calculo!$F$14:$ES$14,10),SUMIFS(Calculo!$F$216:$ES$216,Calculo!$F$170:$ES$170,10))</f>
        <v>0</v>
      </c>
      <c r="O52" s="54" t="n">
        <f aca="false">SUM(D52:N52)</f>
        <v>0</v>
      </c>
    </row>
    <row r="53" customFormat="false" ht="15" hidden="true" customHeight="false" outlineLevel="1" collapsed="false">
      <c r="A53" s="11" t="s">
        <v>2047</v>
      </c>
      <c r="B53" s="15" t="s">
        <v>2004</v>
      </c>
      <c r="C53" s="11" t="s">
        <v>544</v>
      </c>
      <c r="D53" s="48" t="n">
        <f aca="false">IF(cu_P=1,SUMIFS(Calculo!$F$35:$ES$35,Calculo!$F$16:$ES$16,1),SUMIFS(Calculo!$F$191:$ES$191,Calculo!$F$172:$ES$172,1))</f>
        <v>0</v>
      </c>
      <c r="E53" s="48" t="n">
        <f aca="false">IF(cu_P=1,SUMIFS(Calculo!$F$35:$ES$35,Calculo!$F$14:$ES$14,1),SUMIFS(Calculo!$F$191:$ES$191,Calculo!$F$170:$ES$170,1))</f>
        <v>0</v>
      </c>
      <c r="F53" s="48" t="n">
        <f aca="false">IF(cu_P=1,SUMIFS(Calculo!$F$35:$ES$35,Calculo!$F$14:$ES$14,2),SUMIFS(Calculo!$F$191:$ES$191,Calculo!$F$170:$ES$170,2))</f>
        <v>0</v>
      </c>
      <c r="G53" s="48" t="n">
        <f aca="false">IF(cu_P=1,SUMIFS(Calculo!$F$35:$ES$35,Calculo!$F$14:$ES$14,3),SUMIFS(Calculo!$F$191:$ES$191,Calculo!$F$170:$ES$170,3))</f>
        <v>0</v>
      </c>
      <c r="H53" s="48" t="n">
        <f aca="false">IF(cu_P=1,SUMIFS(Calculo!$F$35:$ES$35,Calculo!$F$14:$ES$14,4),SUMIFS(Calculo!$F$191:$ES$191,Calculo!$F$170:$ES$170,4))</f>
        <v>0</v>
      </c>
      <c r="I53" s="48" t="n">
        <f aca="false">IF(cu_P=1,SUMIFS(Calculo!$F$35:$ES$35,Calculo!$F$14:$ES$14,5),SUMIFS(Calculo!$F$191:$ES$191,Calculo!$F$170:$ES$170,5))</f>
        <v>0</v>
      </c>
      <c r="J53" s="48" t="n">
        <f aca="false">IF(cu_P=1,SUMIFS(Calculo!$F$35:$ES$35,Calculo!$F$14:$ES$14,6),SUMIFS(Calculo!$F$191:$ES$191,Calculo!$F$170:$ES$170,6))</f>
        <v>0</v>
      </c>
      <c r="K53" s="48" t="n">
        <f aca="false">IF(cu_P=1,SUMIFS(Calculo!$F$35:$ES$35,Calculo!$F$14:$ES$14,7),SUMIFS(Calculo!$F$191:$ES$191,Calculo!$F$170:$ES$170,7))</f>
        <v>0</v>
      </c>
      <c r="L53" s="48" t="n">
        <f aca="false">IF(cu_P=1,SUMIFS(Calculo!$F$35:$ES$35,Calculo!$F$14:$ES$14,8),SUMIFS(Calculo!$F$191:$ES$191,Calculo!$F$170:$ES$170,8))</f>
        <v>0</v>
      </c>
      <c r="M53" s="48" t="n">
        <f aca="false">IF(cu_P=1,SUMIFS(Calculo!$F$35:$ES$35,Calculo!$F$14:$ES$14,9),SUMIFS(Calculo!$F$191:$ES$191,Calculo!$F$170:$ES$170,9))</f>
        <v>0</v>
      </c>
      <c r="N53" s="48" t="n">
        <f aca="false">IF(cu_P=1,SUMIFS(Calculo!$F$35:$ES$35,Calculo!$F$14:$ES$14,10),SUMIFS(Calculo!$F$191:$ES$191,Calculo!$F$170:$ES$170,10))</f>
        <v>0</v>
      </c>
      <c r="O53" s="54" t="n">
        <f aca="false">SUM(D53:N53)</f>
        <v>0</v>
      </c>
    </row>
    <row r="54" customFormat="false" ht="15" hidden="true" customHeight="false" outlineLevel="1" collapsed="false">
      <c r="A54" s="11" t="s">
        <v>2048</v>
      </c>
      <c r="B54" s="15" t="s">
        <v>2006</v>
      </c>
      <c r="C54" s="11" t="s">
        <v>748</v>
      </c>
      <c r="D54" s="50" t="str">
        <f aca="false">IFERROR(IF(OR(NOT(ISNUMBER(D52)),N(D53)=0),"",D52/D53),"")</f>
        <v/>
      </c>
      <c r="E54" s="50" t="str">
        <f aca="false">IFERROR(IF(OR(NOT(ISNUMBER(E52)),N(E53)=0),"",E52/E53),"")</f>
        <v/>
      </c>
      <c r="F54" s="50" t="str">
        <f aca="false">IFERROR(IF(OR(NOT(ISNUMBER(F52)),N(F53)=0),"",F52/F53),"")</f>
        <v/>
      </c>
      <c r="G54" s="50" t="str">
        <f aca="false">IFERROR(IF(OR(NOT(ISNUMBER(G52)),N(G53)=0),"",G52/G53),"")</f>
        <v/>
      </c>
      <c r="H54" s="50" t="str">
        <f aca="false">IFERROR(IF(OR(NOT(ISNUMBER(H52)),N(H53)=0),"",H52/H53),"")</f>
        <v/>
      </c>
      <c r="I54" s="50" t="str">
        <f aca="false">IFERROR(IF(OR(NOT(ISNUMBER(I52)),N(I53)=0),"",I52/I53),"")</f>
        <v/>
      </c>
      <c r="J54" s="50" t="str">
        <f aca="false">IFERROR(IF(OR(NOT(ISNUMBER(J52)),N(J53)=0),"",J52/J53),"")</f>
        <v/>
      </c>
      <c r="K54" s="50" t="str">
        <f aca="false">IFERROR(IF(OR(NOT(ISNUMBER(K52)),N(K53)=0),"",K52/K53),"")</f>
        <v/>
      </c>
      <c r="L54" s="50" t="str">
        <f aca="false">IFERROR(IF(OR(NOT(ISNUMBER(L52)),N(L53)=0),"",L52/L53),"")</f>
        <v/>
      </c>
      <c r="M54" s="50" t="str">
        <f aca="false">IFERROR(IF(OR(NOT(ISNUMBER(M52)),N(M53)=0),"",M52/M53),"")</f>
        <v/>
      </c>
      <c r="N54" s="50" t="str">
        <f aca="false">IFERROR(IF(OR(NOT(ISNUMBER(N52)),N(N53)=0),"",N52/N53),"")</f>
        <v/>
      </c>
      <c r="O54" s="68" t="str">
        <f aca="false">IFERROR(IF(OR(NOT(ISNUMBER(O52)),N(O53)=0),"",O52/O53),"")</f>
        <v/>
      </c>
    </row>
    <row r="55" customFormat="false" ht="15" hidden="true" customHeight="false" outlineLevel="1" collapsed="false">
      <c r="A55" s="11" t="s">
        <v>2049</v>
      </c>
      <c r="B55" s="53" t="str">
        <f aca="false">IF(INDEX(Prod_Nombre,16)="","Producto 16",INDEX(Prod_Nombre,16))&amp;" — venta"</f>
        <v>Producto 16 — venta</v>
      </c>
      <c r="C55" s="11" t="s">
        <v>508</v>
      </c>
      <c r="D55" s="48" t="n">
        <f aca="false">IF(cu_P=1,SUMIFS(Calculo!$F$61:$ES$61,Calculo!$F$16:$ES$16,1),SUMIFS(Calculo!$F$217:$ES$217,Calculo!$F$172:$ES$172,1))</f>
        <v>0</v>
      </c>
      <c r="E55" s="48" t="n">
        <f aca="false">IF(cu_P=1,SUMIFS(Calculo!$F$61:$ES$61,Calculo!$F$14:$ES$14,1),SUMIFS(Calculo!$F$217:$ES$217,Calculo!$F$170:$ES$170,1))</f>
        <v>0</v>
      </c>
      <c r="F55" s="48" t="n">
        <f aca="false">IF(cu_P=1,SUMIFS(Calculo!$F$61:$ES$61,Calculo!$F$14:$ES$14,2),SUMIFS(Calculo!$F$217:$ES$217,Calculo!$F$170:$ES$170,2))</f>
        <v>0</v>
      </c>
      <c r="G55" s="48" t="n">
        <f aca="false">IF(cu_P=1,SUMIFS(Calculo!$F$61:$ES$61,Calculo!$F$14:$ES$14,3),SUMIFS(Calculo!$F$217:$ES$217,Calculo!$F$170:$ES$170,3))</f>
        <v>0</v>
      </c>
      <c r="H55" s="48" t="n">
        <f aca="false">IF(cu_P=1,SUMIFS(Calculo!$F$61:$ES$61,Calculo!$F$14:$ES$14,4),SUMIFS(Calculo!$F$217:$ES$217,Calculo!$F$170:$ES$170,4))</f>
        <v>0</v>
      </c>
      <c r="I55" s="48" t="n">
        <f aca="false">IF(cu_P=1,SUMIFS(Calculo!$F$61:$ES$61,Calculo!$F$14:$ES$14,5),SUMIFS(Calculo!$F$217:$ES$217,Calculo!$F$170:$ES$170,5))</f>
        <v>0</v>
      </c>
      <c r="J55" s="48" t="n">
        <f aca="false">IF(cu_P=1,SUMIFS(Calculo!$F$61:$ES$61,Calculo!$F$14:$ES$14,6),SUMIFS(Calculo!$F$217:$ES$217,Calculo!$F$170:$ES$170,6))</f>
        <v>0</v>
      </c>
      <c r="K55" s="48" t="n">
        <f aca="false">IF(cu_P=1,SUMIFS(Calculo!$F$61:$ES$61,Calculo!$F$14:$ES$14,7),SUMIFS(Calculo!$F$217:$ES$217,Calculo!$F$170:$ES$170,7))</f>
        <v>0</v>
      </c>
      <c r="L55" s="48" t="n">
        <f aca="false">IF(cu_P=1,SUMIFS(Calculo!$F$61:$ES$61,Calculo!$F$14:$ES$14,8),SUMIFS(Calculo!$F$217:$ES$217,Calculo!$F$170:$ES$170,8))</f>
        <v>0</v>
      </c>
      <c r="M55" s="48" t="n">
        <f aca="false">IF(cu_P=1,SUMIFS(Calculo!$F$61:$ES$61,Calculo!$F$14:$ES$14,9),SUMIFS(Calculo!$F$217:$ES$217,Calculo!$F$170:$ES$170,9))</f>
        <v>0</v>
      </c>
      <c r="N55" s="48" t="n">
        <f aca="false">IF(cu_P=1,SUMIFS(Calculo!$F$61:$ES$61,Calculo!$F$14:$ES$14,10),SUMIFS(Calculo!$F$217:$ES$217,Calculo!$F$170:$ES$170,10))</f>
        <v>0</v>
      </c>
      <c r="O55" s="54" t="n">
        <f aca="false">SUM(D55:N55)</f>
        <v>0</v>
      </c>
    </row>
    <row r="56" customFormat="false" ht="15" hidden="true" customHeight="false" outlineLevel="1" collapsed="false">
      <c r="A56" s="11" t="s">
        <v>2050</v>
      </c>
      <c r="B56" s="15" t="s">
        <v>2004</v>
      </c>
      <c r="C56" s="11" t="s">
        <v>544</v>
      </c>
      <c r="D56" s="48" t="n">
        <f aca="false">IF(cu_P=1,SUMIFS(Calculo!$F$36:$ES$36,Calculo!$F$16:$ES$16,1),SUMIFS(Calculo!$F$192:$ES$192,Calculo!$F$172:$ES$172,1))</f>
        <v>0</v>
      </c>
      <c r="E56" s="48" t="n">
        <f aca="false">IF(cu_P=1,SUMIFS(Calculo!$F$36:$ES$36,Calculo!$F$14:$ES$14,1),SUMIFS(Calculo!$F$192:$ES$192,Calculo!$F$170:$ES$170,1))</f>
        <v>0</v>
      </c>
      <c r="F56" s="48" t="n">
        <f aca="false">IF(cu_P=1,SUMIFS(Calculo!$F$36:$ES$36,Calculo!$F$14:$ES$14,2),SUMIFS(Calculo!$F$192:$ES$192,Calculo!$F$170:$ES$170,2))</f>
        <v>0</v>
      </c>
      <c r="G56" s="48" t="n">
        <f aca="false">IF(cu_P=1,SUMIFS(Calculo!$F$36:$ES$36,Calculo!$F$14:$ES$14,3),SUMIFS(Calculo!$F$192:$ES$192,Calculo!$F$170:$ES$170,3))</f>
        <v>0</v>
      </c>
      <c r="H56" s="48" t="n">
        <f aca="false">IF(cu_P=1,SUMIFS(Calculo!$F$36:$ES$36,Calculo!$F$14:$ES$14,4),SUMIFS(Calculo!$F$192:$ES$192,Calculo!$F$170:$ES$170,4))</f>
        <v>0</v>
      </c>
      <c r="I56" s="48" t="n">
        <f aca="false">IF(cu_P=1,SUMIFS(Calculo!$F$36:$ES$36,Calculo!$F$14:$ES$14,5),SUMIFS(Calculo!$F$192:$ES$192,Calculo!$F$170:$ES$170,5))</f>
        <v>0</v>
      </c>
      <c r="J56" s="48" t="n">
        <f aca="false">IF(cu_P=1,SUMIFS(Calculo!$F$36:$ES$36,Calculo!$F$14:$ES$14,6),SUMIFS(Calculo!$F$192:$ES$192,Calculo!$F$170:$ES$170,6))</f>
        <v>0</v>
      </c>
      <c r="K56" s="48" t="n">
        <f aca="false">IF(cu_P=1,SUMIFS(Calculo!$F$36:$ES$36,Calculo!$F$14:$ES$14,7),SUMIFS(Calculo!$F$192:$ES$192,Calculo!$F$170:$ES$170,7))</f>
        <v>0</v>
      </c>
      <c r="L56" s="48" t="n">
        <f aca="false">IF(cu_P=1,SUMIFS(Calculo!$F$36:$ES$36,Calculo!$F$14:$ES$14,8),SUMIFS(Calculo!$F$192:$ES$192,Calculo!$F$170:$ES$170,8))</f>
        <v>0</v>
      </c>
      <c r="M56" s="48" t="n">
        <f aca="false">IF(cu_P=1,SUMIFS(Calculo!$F$36:$ES$36,Calculo!$F$14:$ES$14,9),SUMIFS(Calculo!$F$192:$ES$192,Calculo!$F$170:$ES$170,9))</f>
        <v>0</v>
      </c>
      <c r="N56" s="48" t="n">
        <f aca="false">IF(cu_P=1,SUMIFS(Calculo!$F$36:$ES$36,Calculo!$F$14:$ES$14,10),SUMIFS(Calculo!$F$192:$ES$192,Calculo!$F$170:$ES$170,10))</f>
        <v>0</v>
      </c>
      <c r="O56" s="54" t="n">
        <f aca="false">SUM(D56:N56)</f>
        <v>0</v>
      </c>
    </row>
    <row r="57" customFormat="false" ht="15" hidden="true" customHeight="false" outlineLevel="1" collapsed="false">
      <c r="A57" s="11" t="s">
        <v>2051</v>
      </c>
      <c r="B57" s="15" t="s">
        <v>2006</v>
      </c>
      <c r="C57" s="11" t="s">
        <v>748</v>
      </c>
      <c r="D57" s="50" t="str">
        <f aca="false">IFERROR(IF(OR(NOT(ISNUMBER(D55)),N(D56)=0),"",D55/D56),"")</f>
        <v/>
      </c>
      <c r="E57" s="50" t="str">
        <f aca="false">IFERROR(IF(OR(NOT(ISNUMBER(E55)),N(E56)=0),"",E55/E56),"")</f>
        <v/>
      </c>
      <c r="F57" s="50" t="str">
        <f aca="false">IFERROR(IF(OR(NOT(ISNUMBER(F55)),N(F56)=0),"",F55/F56),"")</f>
        <v/>
      </c>
      <c r="G57" s="50" t="str">
        <f aca="false">IFERROR(IF(OR(NOT(ISNUMBER(G55)),N(G56)=0),"",G55/G56),"")</f>
        <v/>
      </c>
      <c r="H57" s="50" t="str">
        <f aca="false">IFERROR(IF(OR(NOT(ISNUMBER(H55)),N(H56)=0),"",H55/H56),"")</f>
        <v/>
      </c>
      <c r="I57" s="50" t="str">
        <f aca="false">IFERROR(IF(OR(NOT(ISNUMBER(I55)),N(I56)=0),"",I55/I56),"")</f>
        <v/>
      </c>
      <c r="J57" s="50" t="str">
        <f aca="false">IFERROR(IF(OR(NOT(ISNUMBER(J55)),N(J56)=0),"",J55/J56),"")</f>
        <v/>
      </c>
      <c r="K57" s="50" t="str">
        <f aca="false">IFERROR(IF(OR(NOT(ISNUMBER(K55)),N(K56)=0),"",K55/K56),"")</f>
        <v/>
      </c>
      <c r="L57" s="50" t="str">
        <f aca="false">IFERROR(IF(OR(NOT(ISNUMBER(L55)),N(L56)=0),"",L55/L56),"")</f>
        <v/>
      </c>
      <c r="M57" s="50" t="str">
        <f aca="false">IFERROR(IF(OR(NOT(ISNUMBER(M55)),N(M56)=0),"",M55/M56),"")</f>
        <v/>
      </c>
      <c r="N57" s="50" t="str">
        <f aca="false">IFERROR(IF(OR(NOT(ISNUMBER(N55)),N(N56)=0),"",N55/N56),"")</f>
        <v/>
      </c>
      <c r="O57" s="68" t="str">
        <f aca="false">IFERROR(IF(OR(NOT(ISNUMBER(O55)),N(O56)=0),"",O55/O56),"")</f>
        <v/>
      </c>
    </row>
    <row r="58" customFormat="false" ht="15" hidden="true" customHeight="false" outlineLevel="1" collapsed="false">
      <c r="A58" s="11" t="s">
        <v>2052</v>
      </c>
      <c r="B58" s="53" t="str">
        <f aca="false">IF(INDEX(Prod_Nombre,17)="","Producto 17",INDEX(Prod_Nombre,17))&amp;" — venta"</f>
        <v>Producto 17 — venta</v>
      </c>
      <c r="C58" s="11" t="s">
        <v>508</v>
      </c>
      <c r="D58" s="48" t="n">
        <f aca="false">IF(cu_P=1,SUMIFS(Calculo!$F$62:$ES$62,Calculo!$F$16:$ES$16,1),SUMIFS(Calculo!$F$218:$ES$218,Calculo!$F$172:$ES$172,1))</f>
        <v>0</v>
      </c>
      <c r="E58" s="48" t="n">
        <f aca="false">IF(cu_P=1,SUMIFS(Calculo!$F$62:$ES$62,Calculo!$F$14:$ES$14,1),SUMIFS(Calculo!$F$218:$ES$218,Calculo!$F$170:$ES$170,1))</f>
        <v>0</v>
      </c>
      <c r="F58" s="48" t="n">
        <f aca="false">IF(cu_P=1,SUMIFS(Calculo!$F$62:$ES$62,Calculo!$F$14:$ES$14,2),SUMIFS(Calculo!$F$218:$ES$218,Calculo!$F$170:$ES$170,2))</f>
        <v>0</v>
      </c>
      <c r="G58" s="48" t="n">
        <f aca="false">IF(cu_P=1,SUMIFS(Calculo!$F$62:$ES$62,Calculo!$F$14:$ES$14,3),SUMIFS(Calculo!$F$218:$ES$218,Calculo!$F$170:$ES$170,3))</f>
        <v>0</v>
      </c>
      <c r="H58" s="48" t="n">
        <f aca="false">IF(cu_P=1,SUMIFS(Calculo!$F$62:$ES$62,Calculo!$F$14:$ES$14,4),SUMIFS(Calculo!$F$218:$ES$218,Calculo!$F$170:$ES$170,4))</f>
        <v>0</v>
      </c>
      <c r="I58" s="48" t="n">
        <f aca="false">IF(cu_P=1,SUMIFS(Calculo!$F$62:$ES$62,Calculo!$F$14:$ES$14,5),SUMIFS(Calculo!$F$218:$ES$218,Calculo!$F$170:$ES$170,5))</f>
        <v>0</v>
      </c>
      <c r="J58" s="48" t="n">
        <f aca="false">IF(cu_P=1,SUMIFS(Calculo!$F$62:$ES$62,Calculo!$F$14:$ES$14,6),SUMIFS(Calculo!$F$218:$ES$218,Calculo!$F$170:$ES$170,6))</f>
        <v>0</v>
      </c>
      <c r="K58" s="48" t="n">
        <f aca="false">IF(cu_P=1,SUMIFS(Calculo!$F$62:$ES$62,Calculo!$F$14:$ES$14,7),SUMIFS(Calculo!$F$218:$ES$218,Calculo!$F$170:$ES$170,7))</f>
        <v>0</v>
      </c>
      <c r="L58" s="48" t="n">
        <f aca="false">IF(cu_P=1,SUMIFS(Calculo!$F$62:$ES$62,Calculo!$F$14:$ES$14,8),SUMIFS(Calculo!$F$218:$ES$218,Calculo!$F$170:$ES$170,8))</f>
        <v>0</v>
      </c>
      <c r="M58" s="48" t="n">
        <f aca="false">IF(cu_P=1,SUMIFS(Calculo!$F$62:$ES$62,Calculo!$F$14:$ES$14,9),SUMIFS(Calculo!$F$218:$ES$218,Calculo!$F$170:$ES$170,9))</f>
        <v>0</v>
      </c>
      <c r="N58" s="48" t="n">
        <f aca="false">IF(cu_P=1,SUMIFS(Calculo!$F$62:$ES$62,Calculo!$F$14:$ES$14,10),SUMIFS(Calculo!$F$218:$ES$218,Calculo!$F$170:$ES$170,10))</f>
        <v>0</v>
      </c>
      <c r="O58" s="54" t="n">
        <f aca="false">SUM(D58:N58)</f>
        <v>0</v>
      </c>
    </row>
    <row r="59" customFormat="false" ht="15" hidden="true" customHeight="false" outlineLevel="1" collapsed="false">
      <c r="A59" s="11" t="s">
        <v>2053</v>
      </c>
      <c r="B59" s="15" t="s">
        <v>2004</v>
      </c>
      <c r="C59" s="11" t="s">
        <v>544</v>
      </c>
      <c r="D59" s="48" t="n">
        <f aca="false">IF(cu_P=1,SUMIFS(Calculo!$F$37:$ES$37,Calculo!$F$16:$ES$16,1),SUMIFS(Calculo!$F$193:$ES$193,Calculo!$F$172:$ES$172,1))</f>
        <v>0</v>
      </c>
      <c r="E59" s="48" t="n">
        <f aca="false">IF(cu_P=1,SUMIFS(Calculo!$F$37:$ES$37,Calculo!$F$14:$ES$14,1),SUMIFS(Calculo!$F$193:$ES$193,Calculo!$F$170:$ES$170,1))</f>
        <v>0</v>
      </c>
      <c r="F59" s="48" t="n">
        <f aca="false">IF(cu_P=1,SUMIFS(Calculo!$F$37:$ES$37,Calculo!$F$14:$ES$14,2),SUMIFS(Calculo!$F$193:$ES$193,Calculo!$F$170:$ES$170,2))</f>
        <v>0</v>
      </c>
      <c r="G59" s="48" t="n">
        <f aca="false">IF(cu_P=1,SUMIFS(Calculo!$F$37:$ES$37,Calculo!$F$14:$ES$14,3),SUMIFS(Calculo!$F$193:$ES$193,Calculo!$F$170:$ES$170,3))</f>
        <v>0</v>
      </c>
      <c r="H59" s="48" t="n">
        <f aca="false">IF(cu_P=1,SUMIFS(Calculo!$F$37:$ES$37,Calculo!$F$14:$ES$14,4),SUMIFS(Calculo!$F$193:$ES$193,Calculo!$F$170:$ES$170,4))</f>
        <v>0</v>
      </c>
      <c r="I59" s="48" t="n">
        <f aca="false">IF(cu_P=1,SUMIFS(Calculo!$F$37:$ES$37,Calculo!$F$14:$ES$14,5),SUMIFS(Calculo!$F$193:$ES$193,Calculo!$F$170:$ES$170,5))</f>
        <v>0</v>
      </c>
      <c r="J59" s="48" t="n">
        <f aca="false">IF(cu_P=1,SUMIFS(Calculo!$F$37:$ES$37,Calculo!$F$14:$ES$14,6),SUMIFS(Calculo!$F$193:$ES$193,Calculo!$F$170:$ES$170,6))</f>
        <v>0</v>
      </c>
      <c r="K59" s="48" t="n">
        <f aca="false">IF(cu_P=1,SUMIFS(Calculo!$F$37:$ES$37,Calculo!$F$14:$ES$14,7),SUMIFS(Calculo!$F$193:$ES$193,Calculo!$F$170:$ES$170,7))</f>
        <v>0</v>
      </c>
      <c r="L59" s="48" t="n">
        <f aca="false">IF(cu_P=1,SUMIFS(Calculo!$F$37:$ES$37,Calculo!$F$14:$ES$14,8),SUMIFS(Calculo!$F$193:$ES$193,Calculo!$F$170:$ES$170,8))</f>
        <v>0</v>
      </c>
      <c r="M59" s="48" t="n">
        <f aca="false">IF(cu_P=1,SUMIFS(Calculo!$F$37:$ES$37,Calculo!$F$14:$ES$14,9),SUMIFS(Calculo!$F$193:$ES$193,Calculo!$F$170:$ES$170,9))</f>
        <v>0</v>
      </c>
      <c r="N59" s="48" t="n">
        <f aca="false">IF(cu_P=1,SUMIFS(Calculo!$F$37:$ES$37,Calculo!$F$14:$ES$14,10),SUMIFS(Calculo!$F$193:$ES$193,Calculo!$F$170:$ES$170,10))</f>
        <v>0</v>
      </c>
      <c r="O59" s="54" t="n">
        <f aca="false">SUM(D59:N59)</f>
        <v>0</v>
      </c>
    </row>
    <row r="60" customFormat="false" ht="15" hidden="true" customHeight="false" outlineLevel="1" collapsed="false">
      <c r="A60" s="11" t="s">
        <v>2054</v>
      </c>
      <c r="B60" s="15" t="s">
        <v>2006</v>
      </c>
      <c r="C60" s="11" t="s">
        <v>748</v>
      </c>
      <c r="D60" s="50" t="str">
        <f aca="false">IFERROR(IF(OR(NOT(ISNUMBER(D58)),N(D59)=0),"",D58/D59),"")</f>
        <v/>
      </c>
      <c r="E60" s="50" t="str">
        <f aca="false">IFERROR(IF(OR(NOT(ISNUMBER(E58)),N(E59)=0),"",E58/E59),"")</f>
        <v/>
      </c>
      <c r="F60" s="50" t="str">
        <f aca="false">IFERROR(IF(OR(NOT(ISNUMBER(F58)),N(F59)=0),"",F58/F59),"")</f>
        <v/>
      </c>
      <c r="G60" s="50" t="str">
        <f aca="false">IFERROR(IF(OR(NOT(ISNUMBER(G58)),N(G59)=0),"",G58/G59),"")</f>
        <v/>
      </c>
      <c r="H60" s="50" t="str">
        <f aca="false">IFERROR(IF(OR(NOT(ISNUMBER(H58)),N(H59)=0),"",H58/H59),"")</f>
        <v/>
      </c>
      <c r="I60" s="50" t="str">
        <f aca="false">IFERROR(IF(OR(NOT(ISNUMBER(I58)),N(I59)=0),"",I58/I59),"")</f>
        <v/>
      </c>
      <c r="J60" s="50" t="str">
        <f aca="false">IFERROR(IF(OR(NOT(ISNUMBER(J58)),N(J59)=0),"",J58/J59),"")</f>
        <v/>
      </c>
      <c r="K60" s="50" t="str">
        <f aca="false">IFERROR(IF(OR(NOT(ISNUMBER(K58)),N(K59)=0),"",K58/K59),"")</f>
        <v/>
      </c>
      <c r="L60" s="50" t="str">
        <f aca="false">IFERROR(IF(OR(NOT(ISNUMBER(L58)),N(L59)=0),"",L58/L59),"")</f>
        <v/>
      </c>
      <c r="M60" s="50" t="str">
        <f aca="false">IFERROR(IF(OR(NOT(ISNUMBER(M58)),N(M59)=0),"",M58/M59),"")</f>
        <v/>
      </c>
      <c r="N60" s="50" t="str">
        <f aca="false">IFERROR(IF(OR(NOT(ISNUMBER(N58)),N(N59)=0),"",N58/N59),"")</f>
        <v/>
      </c>
      <c r="O60" s="68" t="str">
        <f aca="false">IFERROR(IF(OR(NOT(ISNUMBER(O58)),N(O59)=0),"",O58/O59),"")</f>
        <v/>
      </c>
    </row>
    <row r="61" customFormat="false" ht="15" hidden="true" customHeight="false" outlineLevel="1" collapsed="false">
      <c r="A61" s="11" t="s">
        <v>2055</v>
      </c>
      <c r="B61" s="53" t="str">
        <f aca="false">IF(INDEX(Prod_Nombre,18)="","Producto 18",INDEX(Prod_Nombre,18))&amp;" — venta"</f>
        <v>Producto 18 — venta</v>
      </c>
      <c r="C61" s="11" t="s">
        <v>508</v>
      </c>
      <c r="D61" s="48" t="n">
        <f aca="false">IF(cu_P=1,SUMIFS(Calculo!$F$63:$ES$63,Calculo!$F$16:$ES$16,1),SUMIFS(Calculo!$F$219:$ES$219,Calculo!$F$172:$ES$172,1))</f>
        <v>0</v>
      </c>
      <c r="E61" s="48" t="n">
        <f aca="false">IF(cu_P=1,SUMIFS(Calculo!$F$63:$ES$63,Calculo!$F$14:$ES$14,1),SUMIFS(Calculo!$F$219:$ES$219,Calculo!$F$170:$ES$170,1))</f>
        <v>0</v>
      </c>
      <c r="F61" s="48" t="n">
        <f aca="false">IF(cu_P=1,SUMIFS(Calculo!$F$63:$ES$63,Calculo!$F$14:$ES$14,2),SUMIFS(Calculo!$F$219:$ES$219,Calculo!$F$170:$ES$170,2))</f>
        <v>0</v>
      </c>
      <c r="G61" s="48" t="n">
        <f aca="false">IF(cu_P=1,SUMIFS(Calculo!$F$63:$ES$63,Calculo!$F$14:$ES$14,3),SUMIFS(Calculo!$F$219:$ES$219,Calculo!$F$170:$ES$170,3))</f>
        <v>0</v>
      </c>
      <c r="H61" s="48" t="n">
        <f aca="false">IF(cu_P=1,SUMIFS(Calculo!$F$63:$ES$63,Calculo!$F$14:$ES$14,4),SUMIFS(Calculo!$F$219:$ES$219,Calculo!$F$170:$ES$170,4))</f>
        <v>0</v>
      </c>
      <c r="I61" s="48" t="n">
        <f aca="false">IF(cu_P=1,SUMIFS(Calculo!$F$63:$ES$63,Calculo!$F$14:$ES$14,5),SUMIFS(Calculo!$F$219:$ES$219,Calculo!$F$170:$ES$170,5))</f>
        <v>0</v>
      </c>
      <c r="J61" s="48" t="n">
        <f aca="false">IF(cu_P=1,SUMIFS(Calculo!$F$63:$ES$63,Calculo!$F$14:$ES$14,6),SUMIFS(Calculo!$F$219:$ES$219,Calculo!$F$170:$ES$170,6))</f>
        <v>0</v>
      </c>
      <c r="K61" s="48" t="n">
        <f aca="false">IF(cu_P=1,SUMIFS(Calculo!$F$63:$ES$63,Calculo!$F$14:$ES$14,7),SUMIFS(Calculo!$F$219:$ES$219,Calculo!$F$170:$ES$170,7))</f>
        <v>0</v>
      </c>
      <c r="L61" s="48" t="n">
        <f aca="false">IF(cu_P=1,SUMIFS(Calculo!$F$63:$ES$63,Calculo!$F$14:$ES$14,8),SUMIFS(Calculo!$F$219:$ES$219,Calculo!$F$170:$ES$170,8))</f>
        <v>0</v>
      </c>
      <c r="M61" s="48" t="n">
        <f aca="false">IF(cu_P=1,SUMIFS(Calculo!$F$63:$ES$63,Calculo!$F$14:$ES$14,9),SUMIFS(Calculo!$F$219:$ES$219,Calculo!$F$170:$ES$170,9))</f>
        <v>0</v>
      </c>
      <c r="N61" s="48" t="n">
        <f aca="false">IF(cu_P=1,SUMIFS(Calculo!$F$63:$ES$63,Calculo!$F$14:$ES$14,10),SUMIFS(Calculo!$F$219:$ES$219,Calculo!$F$170:$ES$170,10))</f>
        <v>0</v>
      </c>
      <c r="O61" s="54" t="n">
        <f aca="false">SUM(D61:N61)</f>
        <v>0</v>
      </c>
    </row>
    <row r="62" customFormat="false" ht="15" hidden="true" customHeight="false" outlineLevel="1" collapsed="false">
      <c r="A62" s="11" t="s">
        <v>2056</v>
      </c>
      <c r="B62" s="15" t="s">
        <v>2004</v>
      </c>
      <c r="C62" s="11" t="s">
        <v>544</v>
      </c>
      <c r="D62" s="48" t="n">
        <f aca="false">IF(cu_P=1,SUMIFS(Calculo!$F$38:$ES$38,Calculo!$F$16:$ES$16,1),SUMIFS(Calculo!$F$194:$ES$194,Calculo!$F$172:$ES$172,1))</f>
        <v>0</v>
      </c>
      <c r="E62" s="48" t="n">
        <f aca="false">IF(cu_P=1,SUMIFS(Calculo!$F$38:$ES$38,Calculo!$F$14:$ES$14,1),SUMIFS(Calculo!$F$194:$ES$194,Calculo!$F$170:$ES$170,1))</f>
        <v>0</v>
      </c>
      <c r="F62" s="48" t="n">
        <f aca="false">IF(cu_P=1,SUMIFS(Calculo!$F$38:$ES$38,Calculo!$F$14:$ES$14,2),SUMIFS(Calculo!$F$194:$ES$194,Calculo!$F$170:$ES$170,2))</f>
        <v>0</v>
      </c>
      <c r="G62" s="48" t="n">
        <f aca="false">IF(cu_P=1,SUMIFS(Calculo!$F$38:$ES$38,Calculo!$F$14:$ES$14,3),SUMIFS(Calculo!$F$194:$ES$194,Calculo!$F$170:$ES$170,3))</f>
        <v>0</v>
      </c>
      <c r="H62" s="48" t="n">
        <f aca="false">IF(cu_P=1,SUMIFS(Calculo!$F$38:$ES$38,Calculo!$F$14:$ES$14,4),SUMIFS(Calculo!$F$194:$ES$194,Calculo!$F$170:$ES$170,4))</f>
        <v>0</v>
      </c>
      <c r="I62" s="48" t="n">
        <f aca="false">IF(cu_P=1,SUMIFS(Calculo!$F$38:$ES$38,Calculo!$F$14:$ES$14,5),SUMIFS(Calculo!$F$194:$ES$194,Calculo!$F$170:$ES$170,5))</f>
        <v>0</v>
      </c>
      <c r="J62" s="48" t="n">
        <f aca="false">IF(cu_P=1,SUMIFS(Calculo!$F$38:$ES$38,Calculo!$F$14:$ES$14,6),SUMIFS(Calculo!$F$194:$ES$194,Calculo!$F$170:$ES$170,6))</f>
        <v>0</v>
      </c>
      <c r="K62" s="48" t="n">
        <f aca="false">IF(cu_P=1,SUMIFS(Calculo!$F$38:$ES$38,Calculo!$F$14:$ES$14,7),SUMIFS(Calculo!$F$194:$ES$194,Calculo!$F$170:$ES$170,7))</f>
        <v>0</v>
      </c>
      <c r="L62" s="48" t="n">
        <f aca="false">IF(cu_P=1,SUMIFS(Calculo!$F$38:$ES$38,Calculo!$F$14:$ES$14,8),SUMIFS(Calculo!$F$194:$ES$194,Calculo!$F$170:$ES$170,8))</f>
        <v>0</v>
      </c>
      <c r="M62" s="48" t="n">
        <f aca="false">IF(cu_P=1,SUMIFS(Calculo!$F$38:$ES$38,Calculo!$F$14:$ES$14,9),SUMIFS(Calculo!$F$194:$ES$194,Calculo!$F$170:$ES$170,9))</f>
        <v>0</v>
      </c>
      <c r="N62" s="48" t="n">
        <f aca="false">IF(cu_P=1,SUMIFS(Calculo!$F$38:$ES$38,Calculo!$F$14:$ES$14,10),SUMIFS(Calculo!$F$194:$ES$194,Calculo!$F$170:$ES$170,10))</f>
        <v>0</v>
      </c>
      <c r="O62" s="54" t="n">
        <f aca="false">SUM(D62:N62)</f>
        <v>0</v>
      </c>
    </row>
    <row r="63" customFormat="false" ht="15" hidden="true" customHeight="false" outlineLevel="1" collapsed="false">
      <c r="A63" s="11" t="s">
        <v>2057</v>
      </c>
      <c r="B63" s="15" t="s">
        <v>2006</v>
      </c>
      <c r="C63" s="11" t="s">
        <v>748</v>
      </c>
      <c r="D63" s="50" t="str">
        <f aca="false">IFERROR(IF(OR(NOT(ISNUMBER(D61)),N(D62)=0),"",D61/D62),"")</f>
        <v/>
      </c>
      <c r="E63" s="50" t="str">
        <f aca="false">IFERROR(IF(OR(NOT(ISNUMBER(E61)),N(E62)=0),"",E61/E62),"")</f>
        <v/>
      </c>
      <c r="F63" s="50" t="str">
        <f aca="false">IFERROR(IF(OR(NOT(ISNUMBER(F61)),N(F62)=0),"",F61/F62),"")</f>
        <v/>
      </c>
      <c r="G63" s="50" t="str">
        <f aca="false">IFERROR(IF(OR(NOT(ISNUMBER(G61)),N(G62)=0),"",G61/G62),"")</f>
        <v/>
      </c>
      <c r="H63" s="50" t="str">
        <f aca="false">IFERROR(IF(OR(NOT(ISNUMBER(H61)),N(H62)=0),"",H61/H62),"")</f>
        <v/>
      </c>
      <c r="I63" s="50" t="str">
        <f aca="false">IFERROR(IF(OR(NOT(ISNUMBER(I61)),N(I62)=0),"",I61/I62),"")</f>
        <v/>
      </c>
      <c r="J63" s="50" t="str">
        <f aca="false">IFERROR(IF(OR(NOT(ISNUMBER(J61)),N(J62)=0),"",J61/J62),"")</f>
        <v/>
      </c>
      <c r="K63" s="50" t="str">
        <f aca="false">IFERROR(IF(OR(NOT(ISNUMBER(K61)),N(K62)=0),"",K61/K62),"")</f>
        <v/>
      </c>
      <c r="L63" s="50" t="str">
        <f aca="false">IFERROR(IF(OR(NOT(ISNUMBER(L61)),N(L62)=0),"",L61/L62),"")</f>
        <v/>
      </c>
      <c r="M63" s="50" t="str">
        <f aca="false">IFERROR(IF(OR(NOT(ISNUMBER(M61)),N(M62)=0),"",M61/M62),"")</f>
        <v/>
      </c>
      <c r="N63" s="50" t="str">
        <f aca="false">IFERROR(IF(OR(NOT(ISNUMBER(N61)),N(N62)=0),"",N61/N62),"")</f>
        <v/>
      </c>
      <c r="O63" s="68" t="str">
        <f aca="false">IFERROR(IF(OR(NOT(ISNUMBER(O61)),N(O62)=0),"",O61/O62),"")</f>
        <v/>
      </c>
    </row>
    <row r="64" customFormat="false" ht="15" hidden="true" customHeight="false" outlineLevel="1" collapsed="false">
      <c r="A64" s="11" t="s">
        <v>2058</v>
      </c>
      <c r="B64" s="53" t="str">
        <f aca="false">IF(INDEX(Prod_Nombre,19)="","Producto 19",INDEX(Prod_Nombre,19))&amp;" — venta"</f>
        <v>Producto 19 — venta</v>
      </c>
      <c r="C64" s="11" t="s">
        <v>508</v>
      </c>
      <c r="D64" s="48" t="n">
        <f aca="false">IF(cu_P=1,SUMIFS(Calculo!$F$64:$ES$64,Calculo!$F$16:$ES$16,1),SUMIFS(Calculo!$F$220:$ES$220,Calculo!$F$172:$ES$172,1))</f>
        <v>0</v>
      </c>
      <c r="E64" s="48" t="n">
        <f aca="false">IF(cu_P=1,SUMIFS(Calculo!$F$64:$ES$64,Calculo!$F$14:$ES$14,1),SUMIFS(Calculo!$F$220:$ES$220,Calculo!$F$170:$ES$170,1))</f>
        <v>0</v>
      </c>
      <c r="F64" s="48" t="n">
        <f aca="false">IF(cu_P=1,SUMIFS(Calculo!$F$64:$ES$64,Calculo!$F$14:$ES$14,2),SUMIFS(Calculo!$F$220:$ES$220,Calculo!$F$170:$ES$170,2))</f>
        <v>0</v>
      </c>
      <c r="G64" s="48" t="n">
        <f aca="false">IF(cu_P=1,SUMIFS(Calculo!$F$64:$ES$64,Calculo!$F$14:$ES$14,3),SUMIFS(Calculo!$F$220:$ES$220,Calculo!$F$170:$ES$170,3))</f>
        <v>0</v>
      </c>
      <c r="H64" s="48" t="n">
        <f aca="false">IF(cu_P=1,SUMIFS(Calculo!$F$64:$ES$64,Calculo!$F$14:$ES$14,4),SUMIFS(Calculo!$F$220:$ES$220,Calculo!$F$170:$ES$170,4))</f>
        <v>0</v>
      </c>
      <c r="I64" s="48" t="n">
        <f aca="false">IF(cu_P=1,SUMIFS(Calculo!$F$64:$ES$64,Calculo!$F$14:$ES$14,5),SUMIFS(Calculo!$F$220:$ES$220,Calculo!$F$170:$ES$170,5))</f>
        <v>0</v>
      </c>
      <c r="J64" s="48" t="n">
        <f aca="false">IF(cu_P=1,SUMIFS(Calculo!$F$64:$ES$64,Calculo!$F$14:$ES$14,6),SUMIFS(Calculo!$F$220:$ES$220,Calculo!$F$170:$ES$170,6))</f>
        <v>0</v>
      </c>
      <c r="K64" s="48" t="n">
        <f aca="false">IF(cu_P=1,SUMIFS(Calculo!$F$64:$ES$64,Calculo!$F$14:$ES$14,7),SUMIFS(Calculo!$F$220:$ES$220,Calculo!$F$170:$ES$170,7))</f>
        <v>0</v>
      </c>
      <c r="L64" s="48" t="n">
        <f aca="false">IF(cu_P=1,SUMIFS(Calculo!$F$64:$ES$64,Calculo!$F$14:$ES$14,8),SUMIFS(Calculo!$F$220:$ES$220,Calculo!$F$170:$ES$170,8))</f>
        <v>0</v>
      </c>
      <c r="M64" s="48" t="n">
        <f aca="false">IF(cu_P=1,SUMIFS(Calculo!$F$64:$ES$64,Calculo!$F$14:$ES$14,9),SUMIFS(Calculo!$F$220:$ES$220,Calculo!$F$170:$ES$170,9))</f>
        <v>0</v>
      </c>
      <c r="N64" s="48" t="n">
        <f aca="false">IF(cu_P=1,SUMIFS(Calculo!$F$64:$ES$64,Calculo!$F$14:$ES$14,10),SUMIFS(Calculo!$F$220:$ES$220,Calculo!$F$170:$ES$170,10))</f>
        <v>0</v>
      </c>
      <c r="O64" s="54" t="n">
        <f aca="false">SUM(D64:N64)</f>
        <v>0</v>
      </c>
    </row>
    <row r="65" customFormat="false" ht="15" hidden="true" customHeight="false" outlineLevel="1" collapsed="false">
      <c r="A65" s="11" t="s">
        <v>2059</v>
      </c>
      <c r="B65" s="15" t="s">
        <v>2004</v>
      </c>
      <c r="C65" s="11" t="s">
        <v>544</v>
      </c>
      <c r="D65" s="48" t="n">
        <f aca="false">IF(cu_P=1,SUMIFS(Calculo!$F$39:$ES$39,Calculo!$F$16:$ES$16,1),SUMIFS(Calculo!$F$195:$ES$195,Calculo!$F$172:$ES$172,1))</f>
        <v>0</v>
      </c>
      <c r="E65" s="48" t="n">
        <f aca="false">IF(cu_P=1,SUMIFS(Calculo!$F$39:$ES$39,Calculo!$F$14:$ES$14,1),SUMIFS(Calculo!$F$195:$ES$195,Calculo!$F$170:$ES$170,1))</f>
        <v>0</v>
      </c>
      <c r="F65" s="48" t="n">
        <f aca="false">IF(cu_P=1,SUMIFS(Calculo!$F$39:$ES$39,Calculo!$F$14:$ES$14,2),SUMIFS(Calculo!$F$195:$ES$195,Calculo!$F$170:$ES$170,2))</f>
        <v>0</v>
      </c>
      <c r="G65" s="48" t="n">
        <f aca="false">IF(cu_P=1,SUMIFS(Calculo!$F$39:$ES$39,Calculo!$F$14:$ES$14,3),SUMIFS(Calculo!$F$195:$ES$195,Calculo!$F$170:$ES$170,3))</f>
        <v>0</v>
      </c>
      <c r="H65" s="48" t="n">
        <f aca="false">IF(cu_P=1,SUMIFS(Calculo!$F$39:$ES$39,Calculo!$F$14:$ES$14,4),SUMIFS(Calculo!$F$195:$ES$195,Calculo!$F$170:$ES$170,4))</f>
        <v>0</v>
      </c>
      <c r="I65" s="48" t="n">
        <f aca="false">IF(cu_P=1,SUMIFS(Calculo!$F$39:$ES$39,Calculo!$F$14:$ES$14,5),SUMIFS(Calculo!$F$195:$ES$195,Calculo!$F$170:$ES$170,5))</f>
        <v>0</v>
      </c>
      <c r="J65" s="48" t="n">
        <f aca="false">IF(cu_P=1,SUMIFS(Calculo!$F$39:$ES$39,Calculo!$F$14:$ES$14,6),SUMIFS(Calculo!$F$195:$ES$195,Calculo!$F$170:$ES$170,6))</f>
        <v>0</v>
      </c>
      <c r="K65" s="48" t="n">
        <f aca="false">IF(cu_P=1,SUMIFS(Calculo!$F$39:$ES$39,Calculo!$F$14:$ES$14,7),SUMIFS(Calculo!$F$195:$ES$195,Calculo!$F$170:$ES$170,7))</f>
        <v>0</v>
      </c>
      <c r="L65" s="48" t="n">
        <f aca="false">IF(cu_P=1,SUMIFS(Calculo!$F$39:$ES$39,Calculo!$F$14:$ES$14,8),SUMIFS(Calculo!$F$195:$ES$195,Calculo!$F$170:$ES$170,8))</f>
        <v>0</v>
      </c>
      <c r="M65" s="48" t="n">
        <f aca="false">IF(cu_P=1,SUMIFS(Calculo!$F$39:$ES$39,Calculo!$F$14:$ES$14,9),SUMIFS(Calculo!$F$195:$ES$195,Calculo!$F$170:$ES$170,9))</f>
        <v>0</v>
      </c>
      <c r="N65" s="48" t="n">
        <f aca="false">IF(cu_P=1,SUMIFS(Calculo!$F$39:$ES$39,Calculo!$F$14:$ES$14,10),SUMIFS(Calculo!$F$195:$ES$195,Calculo!$F$170:$ES$170,10))</f>
        <v>0</v>
      </c>
      <c r="O65" s="54" t="n">
        <f aca="false">SUM(D65:N65)</f>
        <v>0</v>
      </c>
    </row>
    <row r="66" customFormat="false" ht="15" hidden="true" customHeight="false" outlineLevel="1" collapsed="false">
      <c r="A66" s="11" t="s">
        <v>2060</v>
      </c>
      <c r="B66" s="15" t="s">
        <v>2006</v>
      </c>
      <c r="C66" s="11" t="s">
        <v>748</v>
      </c>
      <c r="D66" s="50" t="str">
        <f aca="false">IFERROR(IF(OR(NOT(ISNUMBER(D64)),N(D65)=0),"",D64/D65),"")</f>
        <v/>
      </c>
      <c r="E66" s="50" t="str">
        <f aca="false">IFERROR(IF(OR(NOT(ISNUMBER(E64)),N(E65)=0),"",E64/E65),"")</f>
        <v/>
      </c>
      <c r="F66" s="50" t="str">
        <f aca="false">IFERROR(IF(OR(NOT(ISNUMBER(F64)),N(F65)=0),"",F64/F65),"")</f>
        <v/>
      </c>
      <c r="G66" s="50" t="str">
        <f aca="false">IFERROR(IF(OR(NOT(ISNUMBER(G64)),N(G65)=0),"",G64/G65),"")</f>
        <v/>
      </c>
      <c r="H66" s="50" t="str">
        <f aca="false">IFERROR(IF(OR(NOT(ISNUMBER(H64)),N(H65)=0),"",H64/H65),"")</f>
        <v/>
      </c>
      <c r="I66" s="50" t="str">
        <f aca="false">IFERROR(IF(OR(NOT(ISNUMBER(I64)),N(I65)=0),"",I64/I65),"")</f>
        <v/>
      </c>
      <c r="J66" s="50" t="str">
        <f aca="false">IFERROR(IF(OR(NOT(ISNUMBER(J64)),N(J65)=0),"",J64/J65),"")</f>
        <v/>
      </c>
      <c r="K66" s="50" t="str">
        <f aca="false">IFERROR(IF(OR(NOT(ISNUMBER(K64)),N(K65)=0),"",K64/K65),"")</f>
        <v/>
      </c>
      <c r="L66" s="50" t="str">
        <f aca="false">IFERROR(IF(OR(NOT(ISNUMBER(L64)),N(L65)=0),"",L64/L65),"")</f>
        <v/>
      </c>
      <c r="M66" s="50" t="str">
        <f aca="false">IFERROR(IF(OR(NOT(ISNUMBER(M64)),N(M65)=0),"",M64/M65),"")</f>
        <v/>
      </c>
      <c r="N66" s="50" t="str">
        <f aca="false">IFERROR(IF(OR(NOT(ISNUMBER(N64)),N(N65)=0),"",N64/N65),"")</f>
        <v/>
      </c>
      <c r="O66" s="68" t="str">
        <f aca="false">IFERROR(IF(OR(NOT(ISNUMBER(O64)),N(O65)=0),"",O64/O65),"")</f>
        <v/>
      </c>
    </row>
    <row r="67" customFormat="false" ht="15" hidden="true" customHeight="false" outlineLevel="1" collapsed="false">
      <c r="A67" s="11" t="s">
        <v>2061</v>
      </c>
      <c r="B67" s="53" t="str">
        <f aca="false">IF(INDEX(Prod_Nombre,20)="","Producto 20",INDEX(Prod_Nombre,20))&amp;" — venta"</f>
        <v>Producto 20 — venta</v>
      </c>
      <c r="C67" s="11" t="s">
        <v>508</v>
      </c>
      <c r="D67" s="48" t="n">
        <f aca="false">IF(cu_P=1,SUMIFS(Calculo!$F$65:$ES$65,Calculo!$F$16:$ES$16,1),SUMIFS(Calculo!$F$221:$ES$221,Calculo!$F$172:$ES$172,1))</f>
        <v>0</v>
      </c>
      <c r="E67" s="48" t="n">
        <f aca="false">IF(cu_P=1,SUMIFS(Calculo!$F$65:$ES$65,Calculo!$F$14:$ES$14,1),SUMIFS(Calculo!$F$221:$ES$221,Calculo!$F$170:$ES$170,1))</f>
        <v>0</v>
      </c>
      <c r="F67" s="48" t="n">
        <f aca="false">IF(cu_P=1,SUMIFS(Calculo!$F$65:$ES$65,Calculo!$F$14:$ES$14,2),SUMIFS(Calculo!$F$221:$ES$221,Calculo!$F$170:$ES$170,2))</f>
        <v>0</v>
      </c>
      <c r="G67" s="48" t="n">
        <f aca="false">IF(cu_P=1,SUMIFS(Calculo!$F$65:$ES$65,Calculo!$F$14:$ES$14,3),SUMIFS(Calculo!$F$221:$ES$221,Calculo!$F$170:$ES$170,3))</f>
        <v>0</v>
      </c>
      <c r="H67" s="48" t="n">
        <f aca="false">IF(cu_P=1,SUMIFS(Calculo!$F$65:$ES$65,Calculo!$F$14:$ES$14,4),SUMIFS(Calculo!$F$221:$ES$221,Calculo!$F$170:$ES$170,4))</f>
        <v>0</v>
      </c>
      <c r="I67" s="48" t="n">
        <f aca="false">IF(cu_P=1,SUMIFS(Calculo!$F$65:$ES$65,Calculo!$F$14:$ES$14,5),SUMIFS(Calculo!$F$221:$ES$221,Calculo!$F$170:$ES$170,5))</f>
        <v>0</v>
      </c>
      <c r="J67" s="48" t="n">
        <f aca="false">IF(cu_P=1,SUMIFS(Calculo!$F$65:$ES$65,Calculo!$F$14:$ES$14,6),SUMIFS(Calculo!$F$221:$ES$221,Calculo!$F$170:$ES$170,6))</f>
        <v>0</v>
      </c>
      <c r="K67" s="48" t="n">
        <f aca="false">IF(cu_P=1,SUMIFS(Calculo!$F$65:$ES$65,Calculo!$F$14:$ES$14,7),SUMIFS(Calculo!$F$221:$ES$221,Calculo!$F$170:$ES$170,7))</f>
        <v>0</v>
      </c>
      <c r="L67" s="48" t="n">
        <f aca="false">IF(cu_P=1,SUMIFS(Calculo!$F$65:$ES$65,Calculo!$F$14:$ES$14,8),SUMIFS(Calculo!$F$221:$ES$221,Calculo!$F$170:$ES$170,8))</f>
        <v>0</v>
      </c>
      <c r="M67" s="48" t="n">
        <f aca="false">IF(cu_P=1,SUMIFS(Calculo!$F$65:$ES$65,Calculo!$F$14:$ES$14,9),SUMIFS(Calculo!$F$221:$ES$221,Calculo!$F$170:$ES$170,9))</f>
        <v>0</v>
      </c>
      <c r="N67" s="48" t="n">
        <f aca="false">IF(cu_P=1,SUMIFS(Calculo!$F$65:$ES$65,Calculo!$F$14:$ES$14,10),SUMIFS(Calculo!$F$221:$ES$221,Calculo!$F$170:$ES$170,10))</f>
        <v>0</v>
      </c>
      <c r="O67" s="54" t="n">
        <f aca="false">SUM(D67:N67)</f>
        <v>0</v>
      </c>
    </row>
    <row r="68" customFormat="false" ht="15" hidden="true" customHeight="false" outlineLevel="1" collapsed="false">
      <c r="A68" s="11" t="s">
        <v>2062</v>
      </c>
      <c r="B68" s="15" t="s">
        <v>2004</v>
      </c>
      <c r="C68" s="11" t="s">
        <v>544</v>
      </c>
      <c r="D68" s="48" t="n">
        <f aca="false">IF(cu_P=1,SUMIFS(Calculo!$F$40:$ES$40,Calculo!$F$16:$ES$16,1),SUMIFS(Calculo!$F$196:$ES$196,Calculo!$F$172:$ES$172,1))</f>
        <v>0</v>
      </c>
      <c r="E68" s="48" t="n">
        <f aca="false">IF(cu_P=1,SUMIFS(Calculo!$F$40:$ES$40,Calculo!$F$14:$ES$14,1),SUMIFS(Calculo!$F$196:$ES$196,Calculo!$F$170:$ES$170,1))</f>
        <v>0</v>
      </c>
      <c r="F68" s="48" t="n">
        <f aca="false">IF(cu_P=1,SUMIFS(Calculo!$F$40:$ES$40,Calculo!$F$14:$ES$14,2),SUMIFS(Calculo!$F$196:$ES$196,Calculo!$F$170:$ES$170,2))</f>
        <v>0</v>
      </c>
      <c r="G68" s="48" t="n">
        <f aca="false">IF(cu_P=1,SUMIFS(Calculo!$F$40:$ES$40,Calculo!$F$14:$ES$14,3),SUMIFS(Calculo!$F$196:$ES$196,Calculo!$F$170:$ES$170,3))</f>
        <v>0</v>
      </c>
      <c r="H68" s="48" t="n">
        <f aca="false">IF(cu_P=1,SUMIFS(Calculo!$F$40:$ES$40,Calculo!$F$14:$ES$14,4),SUMIFS(Calculo!$F$196:$ES$196,Calculo!$F$170:$ES$170,4))</f>
        <v>0</v>
      </c>
      <c r="I68" s="48" t="n">
        <f aca="false">IF(cu_P=1,SUMIFS(Calculo!$F$40:$ES$40,Calculo!$F$14:$ES$14,5),SUMIFS(Calculo!$F$196:$ES$196,Calculo!$F$170:$ES$170,5))</f>
        <v>0</v>
      </c>
      <c r="J68" s="48" t="n">
        <f aca="false">IF(cu_P=1,SUMIFS(Calculo!$F$40:$ES$40,Calculo!$F$14:$ES$14,6),SUMIFS(Calculo!$F$196:$ES$196,Calculo!$F$170:$ES$170,6))</f>
        <v>0</v>
      </c>
      <c r="K68" s="48" t="n">
        <f aca="false">IF(cu_P=1,SUMIFS(Calculo!$F$40:$ES$40,Calculo!$F$14:$ES$14,7),SUMIFS(Calculo!$F$196:$ES$196,Calculo!$F$170:$ES$170,7))</f>
        <v>0</v>
      </c>
      <c r="L68" s="48" t="n">
        <f aca="false">IF(cu_P=1,SUMIFS(Calculo!$F$40:$ES$40,Calculo!$F$14:$ES$14,8),SUMIFS(Calculo!$F$196:$ES$196,Calculo!$F$170:$ES$170,8))</f>
        <v>0</v>
      </c>
      <c r="M68" s="48" t="n">
        <f aca="false">IF(cu_P=1,SUMIFS(Calculo!$F$40:$ES$40,Calculo!$F$14:$ES$14,9),SUMIFS(Calculo!$F$196:$ES$196,Calculo!$F$170:$ES$170,9))</f>
        <v>0</v>
      </c>
      <c r="N68" s="48" t="n">
        <f aca="false">IF(cu_P=1,SUMIFS(Calculo!$F$40:$ES$40,Calculo!$F$14:$ES$14,10),SUMIFS(Calculo!$F$196:$ES$196,Calculo!$F$170:$ES$170,10))</f>
        <v>0</v>
      </c>
      <c r="O68" s="54" t="n">
        <f aca="false">SUM(D68:N68)</f>
        <v>0</v>
      </c>
    </row>
    <row r="69" customFormat="false" ht="15" hidden="true" customHeight="false" outlineLevel="1" collapsed="false">
      <c r="A69" s="11" t="s">
        <v>2063</v>
      </c>
      <c r="B69" s="15" t="s">
        <v>2006</v>
      </c>
      <c r="C69" s="11" t="s">
        <v>748</v>
      </c>
      <c r="D69" s="50" t="str">
        <f aca="false">IFERROR(IF(OR(NOT(ISNUMBER(D67)),N(D68)=0),"",D67/D68),"")</f>
        <v/>
      </c>
      <c r="E69" s="50" t="str">
        <f aca="false">IFERROR(IF(OR(NOT(ISNUMBER(E67)),N(E68)=0),"",E67/E68),"")</f>
        <v/>
      </c>
      <c r="F69" s="50" t="str">
        <f aca="false">IFERROR(IF(OR(NOT(ISNUMBER(F67)),N(F68)=0),"",F67/F68),"")</f>
        <v/>
      </c>
      <c r="G69" s="50" t="str">
        <f aca="false">IFERROR(IF(OR(NOT(ISNUMBER(G67)),N(G68)=0),"",G67/G68),"")</f>
        <v/>
      </c>
      <c r="H69" s="50" t="str">
        <f aca="false">IFERROR(IF(OR(NOT(ISNUMBER(H67)),N(H68)=0),"",H67/H68),"")</f>
        <v/>
      </c>
      <c r="I69" s="50" t="str">
        <f aca="false">IFERROR(IF(OR(NOT(ISNUMBER(I67)),N(I68)=0),"",I67/I68),"")</f>
        <v/>
      </c>
      <c r="J69" s="50" t="str">
        <f aca="false">IFERROR(IF(OR(NOT(ISNUMBER(J67)),N(J68)=0),"",J67/J68),"")</f>
        <v/>
      </c>
      <c r="K69" s="50" t="str">
        <f aca="false">IFERROR(IF(OR(NOT(ISNUMBER(K67)),N(K68)=0),"",K67/K68),"")</f>
        <v/>
      </c>
      <c r="L69" s="50" t="str">
        <f aca="false">IFERROR(IF(OR(NOT(ISNUMBER(L67)),N(L68)=0),"",L67/L68),"")</f>
        <v/>
      </c>
      <c r="M69" s="50" t="str">
        <f aca="false">IFERROR(IF(OR(NOT(ISNUMBER(M67)),N(M68)=0),"",M67/M68),"")</f>
        <v/>
      </c>
      <c r="N69" s="50" t="str">
        <f aca="false">IFERROR(IF(OR(NOT(ISNUMBER(N67)),N(N68)=0),"",N67/N68),"")</f>
        <v/>
      </c>
      <c r="O69" s="68" t="str">
        <f aca="false">IFERROR(IF(OR(NOT(ISNUMBER(O67)),N(O68)=0),"",O67/O68),"")</f>
        <v/>
      </c>
    </row>
    <row r="70" customFormat="false" ht="15" hidden="true" customHeight="false" outlineLevel="1" collapsed="false">
      <c r="A70" s="11" t="s">
        <v>2064</v>
      </c>
      <c r="B70" s="53" t="str">
        <f aca="false">IF(INDEX(Prod_Nombre,21)="","Producto 21",INDEX(Prod_Nombre,21))&amp;" — venta"</f>
        <v>Producto 21 — venta</v>
      </c>
      <c r="C70" s="11" t="s">
        <v>508</v>
      </c>
      <c r="D70" s="48" t="n">
        <f aca="false">IF(cu_P=1,SUMIFS(Calculo!$F$66:$ES$66,Calculo!$F$16:$ES$16,1),SUMIFS(Calculo!$F$222:$ES$222,Calculo!$F$172:$ES$172,1))</f>
        <v>0</v>
      </c>
      <c r="E70" s="48" t="n">
        <f aca="false">IF(cu_P=1,SUMIFS(Calculo!$F$66:$ES$66,Calculo!$F$14:$ES$14,1),SUMIFS(Calculo!$F$222:$ES$222,Calculo!$F$170:$ES$170,1))</f>
        <v>0</v>
      </c>
      <c r="F70" s="48" t="n">
        <f aca="false">IF(cu_P=1,SUMIFS(Calculo!$F$66:$ES$66,Calculo!$F$14:$ES$14,2),SUMIFS(Calculo!$F$222:$ES$222,Calculo!$F$170:$ES$170,2))</f>
        <v>0</v>
      </c>
      <c r="G70" s="48" t="n">
        <f aca="false">IF(cu_P=1,SUMIFS(Calculo!$F$66:$ES$66,Calculo!$F$14:$ES$14,3),SUMIFS(Calculo!$F$222:$ES$222,Calculo!$F$170:$ES$170,3))</f>
        <v>0</v>
      </c>
      <c r="H70" s="48" t="n">
        <f aca="false">IF(cu_P=1,SUMIFS(Calculo!$F$66:$ES$66,Calculo!$F$14:$ES$14,4),SUMIFS(Calculo!$F$222:$ES$222,Calculo!$F$170:$ES$170,4))</f>
        <v>0</v>
      </c>
      <c r="I70" s="48" t="n">
        <f aca="false">IF(cu_P=1,SUMIFS(Calculo!$F$66:$ES$66,Calculo!$F$14:$ES$14,5),SUMIFS(Calculo!$F$222:$ES$222,Calculo!$F$170:$ES$170,5))</f>
        <v>0</v>
      </c>
      <c r="J70" s="48" t="n">
        <f aca="false">IF(cu_P=1,SUMIFS(Calculo!$F$66:$ES$66,Calculo!$F$14:$ES$14,6),SUMIFS(Calculo!$F$222:$ES$222,Calculo!$F$170:$ES$170,6))</f>
        <v>0</v>
      </c>
      <c r="K70" s="48" t="n">
        <f aca="false">IF(cu_P=1,SUMIFS(Calculo!$F$66:$ES$66,Calculo!$F$14:$ES$14,7),SUMIFS(Calculo!$F$222:$ES$222,Calculo!$F$170:$ES$170,7))</f>
        <v>0</v>
      </c>
      <c r="L70" s="48" t="n">
        <f aca="false">IF(cu_P=1,SUMIFS(Calculo!$F$66:$ES$66,Calculo!$F$14:$ES$14,8),SUMIFS(Calculo!$F$222:$ES$222,Calculo!$F$170:$ES$170,8))</f>
        <v>0</v>
      </c>
      <c r="M70" s="48" t="n">
        <f aca="false">IF(cu_P=1,SUMIFS(Calculo!$F$66:$ES$66,Calculo!$F$14:$ES$14,9),SUMIFS(Calculo!$F$222:$ES$222,Calculo!$F$170:$ES$170,9))</f>
        <v>0</v>
      </c>
      <c r="N70" s="48" t="n">
        <f aca="false">IF(cu_P=1,SUMIFS(Calculo!$F$66:$ES$66,Calculo!$F$14:$ES$14,10),SUMIFS(Calculo!$F$222:$ES$222,Calculo!$F$170:$ES$170,10))</f>
        <v>0</v>
      </c>
      <c r="O70" s="54" t="n">
        <f aca="false">SUM(D70:N70)</f>
        <v>0</v>
      </c>
    </row>
    <row r="71" customFormat="false" ht="15" hidden="true" customHeight="false" outlineLevel="1" collapsed="false">
      <c r="A71" s="11" t="s">
        <v>2065</v>
      </c>
      <c r="B71" s="15" t="s">
        <v>2004</v>
      </c>
      <c r="C71" s="11" t="s">
        <v>544</v>
      </c>
      <c r="D71" s="48" t="n">
        <f aca="false">IF(cu_P=1,SUMIFS(Calculo!$F$41:$ES$41,Calculo!$F$16:$ES$16,1),SUMIFS(Calculo!$F$197:$ES$197,Calculo!$F$172:$ES$172,1))</f>
        <v>0</v>
      </c>
      <c r="E71" s="48" t="n">
        <f aca="false">IF(cu_P=1,SUMIFS(Calculo!$F$41:$ES$41,Calculo!$F$14:$ES$14,1),SUMIFS(Calculo!$F$197:$ES$197,Calculo!$F$170:$ES$170,1))</f>
        <v>0</v>
      </c>
      <c r="F71" s="48" t="n">
        <f aca="false">IF(cu_P=1,SUMIFS(Calculo!$F$41:$ES$41,Calculo!$F$14:$ES$14,2),SUMIFS(Calculo!$F$197:$ES$197,Calculo!$F$170:$ES$170,2))</f>
        <v>0</v>
      </c>
      <c r="G71" s="48" t="n">
        <f aca="false">IF(cu_P=1,SUMIFS(Calculo!$F$41:$ES$41,Calculo!$F$14:$ES$14,3),SUMIFS(Calculo!$F$197:$ES$197,Calculo!$F$170:$ES$170,3))</f>
        <v>0</v>
      </c>
      <c r="H71" s="48" t="n">
        <f aca="false">IF(cu_P=1,SUMIFS(Calculo!$F$41:$ES$41,Calculo!$F$14:$ES$14,4),SUMIFS(Calculo!$F$197:$ES$197,Calculo!$F$170:$ES$170,4))</f>
        <v>0</v>
      </c>
      <c r="I71" s="48" t="n">
        <f aca="false">IF(cu_P=1,SUMIFS(Calculo!$F$41:$ES$41,Calculo!$F$14:$ES$14,5),SUMIFS(Calculo!$F$197:$ES$197,Calculo!$F$170:$ES$170,5))</f>
        <v>0</v>
      </c>
      <c r="J71" s="48" t="n">
        <f aca="false">IF(cu_P=1,SUMIFS(Calculo!$F$41:$ES$41,Calculo!$F$14:$ES$14,6),SUMIFS(Calculo!$F$197:$ES$197,Calculo!$F$170:$ES$170,6))</f>
        <v>0</v>
      </c>
      <c r="K71" s="48" t="n">
        <f aca="false">IF(cu_P=1,SUMIFS(Calculo!$F$41:$ES$41,Calculo!$F$14:$ES$14,7),SUMIFS(Calculo!$F$197:$ES$197,Calculo!$F$170:$ES$170,7))</f>
        <v>0</v>
      </c>
      <c r="L71" s="48" t="n">
        <f aca="false">IF(cu_P=1,SUMIFS(Calculo!$F$41:$ES$41,Calculo!$F$14:$ES$14,8),SUMIFS(Calculo!$F$197:$ES$197,Calculo!$F$170:$ES$170,8))</f>
        <v>0</v>
      </c>
      <c r="M71" s="48" t="n">
        <f aca="false">IF(cu_P=1,SUMIFS(Calculo!$F$41:$ES$41,Calculo!$F$14:$ES$14,9),SUMIFS(Calculo!$F$197:$ES$197,Calculo!$F$170:$ES$170,9))</f>
        <v>0</v>
      </c>
      <c r="N71" s="48" t="n">
        <f aca="false">IF(cu_P=1,SUMIFS(Calculo!$F$41:$ES$41,Calculo!$F$14:$ES$14,10),SUMIFS(Calculo!$F$197:$ES$197,Calculo!$F$170:$ES$170,10))</f>
        <v>0</v>
      </c>
      <c r="O71" s="54" t="n">
        <f aca="false">SUM(D71:N71)</f>
        <v>0</v>
      </c>
    </row>
    <row r="72" customFormat="false" ht="15" hidden="true" customHeight="false" outlineLevel="1" collapsed="false">
      <c r="A72" s="11" t="s">
        <v>2066</v>
      </c>
      <c r="B72" s="15" t="s">
        <v>2006</v>
      </c>
      <c r="C72" s="11" t="s">
        <v>748</v>
      </c>
      <c r="D72" s="50" t="str">
        <f aca="false">IFERROR(IF(OR(NOT(ISNUMBER(D70)),N(D71)=0),"",D70/D71),"")</f>
        <v/>
      </c>
      <c r="E72" s="50" t="str">
        <f aca="false">IFERROR(IF(OR(NOT(ISNUMBER(E70)),N(E71)=0),"",E70/E71),"")</f>
        <v/>
      </c>
      <c r="F72" s="50" t="str">
        <f aca="false">IFERROR(IF(OR(NOT(ISNUMBER(F70)),N(F71)=0),"",F70/F71),"")</f>
        <v/>
      </c>
      <c r="G72" s="50" t="str">
        <f aca="false">IFERROR(IF(OR(NOT(ISNUMBER(G70)),N(G71)=0),"",G70/G71),"")</f>
        <v/>
      </c>
      <c r="H72" s="50" t="str">
        <f aca="false">IFERROR(IF(OR(NOT(ISNUMBER(H70)),N(H71)=0),"",H70/H71),"")</f>
        <v/>
      </c>
      <c r="I72" s="50" t="str">
        <f aca="false">IFERROR(IF(OR(NOT(ISNUMBER(I70)),N(I71)=0),"",I70/I71),"")</f>
        <v/>
      </c>
      <c r="J72" s="50" t="str">
        <f aca="false">IFERROR(IF(OR(NOT(ISNUMBER(J70)),N(J71)=0),"",J70/J71),"")</f>
        <v/>
      </c>
      <c r="K72" s="50" t="str">
        <f aca="false">IFERROR(IF(OR(NOT(ISNUMBER(K70)),N(K71)=0),"",K70/K71),"")</f>
        <v/>
      </c>
      <c r="L72" s="50" t="str">
        <f aca="false">IFERROR(IF(OR(NOT(ISNUMBER(L70)),N(L71)=0),"",L70/L71),"")</f>
        <v/>
      </c>
      <c r="M72" s="50" t="str">
        <f aca="false">IFERROR(IF(OR(NOT(ISNUMBER(M70)),N(M71)=0),"",M70/M71),"")</f>
        <v/>
      </c>
      <c r="N72" s="50" t="str">
        <f aca="false">IFERROR(IF(OR(NOT(ISNUMBER(N70)),N(N71)=0),"",N70/N71),"")</f>
        <v/>
      </c>
      <c r="O72" s="68" t="str">
        <f aca="false">IFERROR(IF(OR(NOT(ISNUMBER(O70)),N(O71)=0),"",O70/O71),"")</f>
        <v/>
      </c>
    </row>
    <row r="73" customFormat="false" ht="15" hidden="true" customHeight="false" outlineLevel="1" collapsed="false">
      <c r="A73" s="11" t="s">
        <v>2067</v>
      </c>
      <c r="B73" s="53" t="str">
        <f aca="false">IF(INDEX(Prod_Nombre,22)="","Producto 22",INDEX(Prod_Nombre,22))&amp;" — venta"</f>
        <v>Producto 22 — venta</v>
      </c>
      <c r="C73" s="11" t="s">
        <v>508</v>
      </c>
      <c r="D73" s="48" t="n">
        <f aca="false">IF(cu_P=1,SUMIFS(Calculo!$F$67:$ES$67,Calculo!$F$16:$ES$16,1),SUMIFS(Calculo!$F$223:$ES$223,Calculo!$F$172:$ES$172,1))</f>
        <v>0</v>
      </c>
      <c r="E73" s="48" t="n">
        <f aca="false">IF(cu_P=1,SUMIFS(Calculo!$F$67:$ES$67,Calculo!$F$14:$ES$14,1),SUMIFS(Calculo!$F$223:$ES$223,Calculo!$F$170:$ES$170,1))</f>
        <v>0</v>
      </c>
      <c r="F73" s="48" t="n">
        <f aca="false">IF(cu_P=1,SUMIFS(Calculo!$F$67:$ES$67,Calculo!$F$14:$ES$14,2),SUMIFS(Calculo!$F$223:$ES$223,Calculo!$F$170:$ES$170,2))</f>
        <v>0</v>
      </c>
      <c r="G73" s="48" t="n">
        <f aca="false">IF(cu_P=1,SUMIFS(Calculo!$F$67:$ES$67,Calculo!$F$14:$ES$14,3),SUMIFS(Calculo!$F$223:$ES$223,Calculo!$F$170:$ES$170,3))</f>
        <v>0</v>
      </c>
      <c r="H73" s="48" t="n">
        <f aca="false">IF(cu_P=1,SUMIFS(Calculo!$F$67:$ES$67,Calculo!$F$14:$ES$14,4),SUMIFS(Calculo!$F$223:$ES$223,Calculo!$F$170:$ES$170,4))</f>
        <v>0</v>
      </c>
      <c r="I73" s="48" t="n">
        <f aca="false">IF(cu_P=1,SUMIFS(Calculo!$F$67:$ES$67,Calculo!$F$14:$ES$14,5),SUMIFS(Calculo!$F$223:$ES$223,Calculo!$F$170:$ES$170,5))</f>
        <v>0</v>
      </c>
      <c r="J73" s="48" t="n">
        <f aca="false">IF(cu_P=1,SUMIFS(Calculo!$F$67:$ES$67,Calculo!$F$14:$ES$14,6),SUMIFS(Calculo!$F$223:$ES$223,Calculo!$F$170:$ES$170,6))</f>
        <v>0</v>
      </c>
      <c r="K73" s="48" t="n">
        <f aca="false">IF(cu_P=1,SUMIFS(Calculo!$F$67:$ES$67,Calculo!$F$14:$ES$14,7),SUMIFS(Calculo!$F$223:$ES$223,Calculo!$F$170:$ES$170,7))</f>
        <v>0</v>
      </c>
      <c r="L73" s="48" t="n">
        <f aca="false">IF(cu_P=1,SUMIFS(Calculo!$F$67:$ES$67,Calculo!$F$14:$ES$14,8),SUMIFS(Calculo!$F$223:$ES$223,Calculo!$F$170:$ES$170,8))</f>
        <v>0</v>
      </c>
      <c r="M73" s="48" t="n">
        <f aca="false">IF(cu_P=1,SUMIFS(Calculo!$F$67:$ES$67,Calculo!$F$14:$ES$14,9),SUMIFS(Calculo!$F$223:$ES$223,Calculo!$F$170:$ES$170,9))</f>
        <v>0</v>
      </c>
      <c r="N73" s="48" t="n">
        <f aca="false">IF(cu_P=1,SUMIFS(Calculo!$F$67:$ES$67,Calculo!$F$14:$ES$14,10),SUMIFS(Calculo!$F$223:$ES$223,Calculo!$F$170:$ES$170,10))</f>
        <v>0</v>
      </c>
      <c r="O73" s="54" t="n">
        <f aca="false">SUM(D73:N73)</f>
        <v>0</v>
      </c>
    </row>
    <row r="74" customFormat="false" ht="15" hidden="true" customHeight="false" outlineLevel="1" collapsed="false">
      <c r="A74" s="11" t="s">
        <v>2068</v>
      </c>
      <c r="B74" s="15" t="s">
        <v>2004</v>
      </c>
      <c r="C74" s="11" t="s">
        <v>544</v>
      </c>
      <c r="D74" s="48" t="n">
        <f aca="false">IF(cu_P=1,SUMIFS(Calculo!$F$42:$ES$42,Calculo!$F$16:$ES$16,1),SUMIFS(Calculo!$F$198:$ES$198,Calculo!$F$172:$ES$172,1))</f>
        <v>0</v>
      </c>
      <c r="E74" s="48" t="n">
        <f aca="false">IF(cu_P=1,SUMIFS(Calculo!$F$42:$ES$42,Calculo!$F$14:$ES$14,1),SUMIFS(Calculo!$F$198:$ES$198,Calculo!$F$170:$ES$170,1))</f>
        <v>0</v>
      </c>
      <c r="F74" s="48" t="n">
        <f aca="false">IF(cu_P=1,SUMIFS(Calculo!$F$42:$ES$42,Calculo!$F$14:$ES$14,2),SUMIFS(Calculo!$F$198:$ES$198,Calculo!$F$170:$ES$170,2))</f>
        <v>0</v>
      </c>
      <c r="G74" s="48" t="n">
        <f aca="false">IF(cu_P=1,SUMIFS(Calculo!$F$42:$ES$42,Calculo!$F$14:$ES$14,3),SUMIFS(Calculo!$F$198:$ES$198,Calculo!$F$170:$ES$170,3))</f>
        <v>0</v>
      </c>
      <c r="H74" s="48" t="n">
        <f aca="false">IF(cu_P=1,SUMIFS(Calculo!$F$42:$ES$42,Calculo!$F$14:$ES$14,4),SUMIFS(Calculo!$F$198:$ES$198,Calculo!$F$170:$ES$170,4))</f>
        <v>0</v>
      </c>
      <c r="I74" s="48" t="n">
        <f aca="false">IF(cu_P=1,SUMIFS(Calculo!$F$42:$ES$42,Calculo!$F$14:$ES$14,5),SUMIFS(Calculo!$F$198:$ES$198,Calculo!$F$170:$ES$170,5))</f>
        <v>0</v>
      </c>
      <c r="J74" s="48" t="n">
        <f aca="false">IF(cu_P=1,SUMIFS(Calculo!$F$42:$ES$42,Calculo!$F$14:$ES$14,6),SUMIFS(Calculo!$F$198:$ES$198,Calculo!$F$170:$ES$170,6))</f>
        <v>0</v>
      </c>
      <c r="K74" s="48" t="n">
        <f aca="false">IF(cu_P=1,SUMIFS(Calculo!$F$42:$ES$42,Calculo!$F$14:$ES$14,7),SUMIFS(Calculo!$F$198:$ES$198,Calculo!$F$170:$ES$170,7))</f>
        <v>0</v>
      </c>
      <c r="L74" s="48" t="n">
        <f aca="false">IF(cu_P=1,SUMIFS(Calculo!$F$42:$ES$42,Calculo!$F$14:$ES$14,8),SUMIFS(Calculo!$F$198:$ES$198,Calculo!$F$170:$ES$170,8))</f>
        <v>0</v>
      </c>
      <c r="M74" s="48" t="n">
        <f aca="false">IF(cu_P=1,SUMIFS(Calculo!$F$42:$ES$42,Calculo!$F$14:$ES$14,9),SUMIFS(Calculo!$F$198:$ES$198,Calculo!$F$170:$ES$170,9))</f>
        <v>0</v>
      </c>
      <c r="N74" s="48" t="n">
        <f aca="false">IF(cu_P=1,SUMIFS(Calculo!$F$42:$ES$42,Calculo!$F$14:$ES$14,10),SUMIFS(Calculo!$F$198:$ES$198,Calculo!$F$170:$ES$170,10))</f>
        <v>0</v>
      </c>
      <c r="O74" s="54" t="n">
        <f aca="false">SUM(D74:N74)</f>
        <v>0</v>
      </c>
    </row>
    <row r="75" customFormat="false" ht="15" hidden="true" customHeight="false" outlineLevel="1" collapsed="false">
      <c r="A75" s="11" t="s">
        <v>2069</v>
      </c>
      <c r="B75" s="15" t="s">
        <v>2006</v>
      </c>
      <c r="C75" s="11" t="s">
        <v>748</v>
      </c>
      <c r="D75" s="50" t="str">
        <f aca="false">IFERROR(IF(OR(NOT(ISNUMBER(D73)),N(D74)=0),"",D73/D74),"")</f>
        <v/>
      </c>
      <c r="E75" s="50" t="str">
        <f aca="false">IFERROR(IF(OR(NOT(ISNUMBER(E73)),N(E74)=0),"",E73/E74),"")</f>
        <v/>
      </c>
      <c r="F75" s="50" t="str">
        <f aca="false">IFERROR(IF(OR(NOT(ISNUMBER(F73)),N(F74)=0),"",F73/F74),"")</f>
        <v/>
      </c>
      <c r="G75" s="50" t="str">
        <f aca="false">IFERROR(IF(OR(NOT(ISNUMBER(G73)),N(G74)=0),"",G73/G74),"")</f>
        <v/>
      </c>
      <c r="H75" s="50" t="str">
        <f aca="false">IFERROR(IF(OR(NOT(ISNUMBER(H73)),N(H74)=0),"",H73/H74),"")</f>
        <v/>
      </c>
      <c r="I75" s="50" t="str">
        <f aca="false">IFERROR(IF(OR(NOT(ISNUMBER(I73)),N(I74)=0),"",I73/I74),"")</f>
        <v/>
      </c>
      <c r="J75" s="50" t="str">
        <f aca="false">IFERROR(IF(OR(NOT(ISNUMBER(J73)),N(J74)=0),"",J73/J74),"")</f>
        <v/>
      </c>
      <c r="K75" s="50" t="str">
        <f aca="false">IFERROR(IF(OR(NOT(ISNUMBER(K73)),N(K74)=0),"",K73/K74),"")</f>
        <v/>
      </c>
      <c r="L75" s="50" t="str">
        <f aca="false">IFERROR(IF(OR(NOT(ISNUMBER(L73)),N(L74)=0),"",L73/L74),"")</f>
        <v/>
      </c>
      <c r="M75" s="50" t="str">
        <f aca="false">IFERROR(IF(OR(NOT(ISNUMBER(M73)),N(M74)=0),"",M73/M74),"")</f>
        <v/>
      </c>
      <c r="N75" s="50" t="str">
        <f aca="false">IFERROR(IF(OR(NOT(ISNUMBER(N73)),N(N74)=0),"",N73/N74),"")</f>
        <v/>
      </c>
      <c r="O75" s="68" t="str">
        <f aca="false">IFERROR(IF(OR(NOT(ISNUMBER(O73)),N(O74)=0),"",O73/O74),"")</f>
        <v/>
      </c>
    </row>
    <row r="76" customFormat="false" ht="15" hidden="true" customHeight="false" outlineLevel="1" collapsed="false">
      <c r="A76" s="11" t="s">
        <v>2070</v>
      </c>
      <c r="B76" s="53" t="str">
        <f aca="false">IF(INDEX(Prod_Nombre,23)="","Producto 23",INDEX(Prod_Nombre,23))&amp;" — venta"</f>
        <v>Producto 23 — venta</v>
      </c>
      <c r="C76" s="11" t="s">
        <v>508</v>
      </c>
      <c r="D76" s="48" t="n">
        <f aca="false">IF(cu_P=1,SUMIFS(Calculo!$F$68:$ES$68,Calculo!$F$16:$ES$16,1),SUMIFS(Calculo!$F$224:$ES$224,Calculo!$F$172:$ES$172,1))</f>
        <v>0</v>
      </c>
      <c r="E76" s="48" t="n">
        <f aca="false">IF(cu_P=1,SUMIFS(Calculo!$F$68:$ES$68,Calculo!$F$14:$ES$14,1),SUMIFS(Calculo!$F$224:$ES$224,Calculo!$F$170:$ES$170,1))</f>
        <v>0</v>
      </c>
      <c r="F76" s="48" t="n">
        <f aca="false">IF(cu_P=1,SUMIFS(Calculo!$F$68:$ES$68,Calculo!$F$14:$ES$14,2),SUMIFS(Calculo!$F$224:$ES$224,Calculo!$F$170:$ES$170,2))</f>
        <v>0</v>
      </c>
      <c r="G76" s="48" t="n">
        <f aca="false">IF(cu_P=1,SUMIFS(Calculo!$F$68:$ES$68,Calculo!$F$14:$ES$14,3),SUMIFS(Calculo!$F$224:$ES$224,Calculo!$F$170:$ES$170,3))</f>
        <v>0</v>
      </c>
      <c r="H76" s="48" t="n">
        <f aca="false">IF(cu_P=1,SUMIFS(Calculo!$F$68:$ES$68,Calculo!$F$14:$ES$14,4),SUMIFS(Calculo!$F$224:$ES$224,Calculo!$F$170:$ES$170,4))</f>
        <v>0</v>
      </c>
      <c r="I76" s="48" t="n">
        <f aca="false">IF(cu_P=1,SUMIFS(Calculo!$F$68:$ES$68,Calculo!$F$14:$ES$14,5),SUMIFS(Calculo!$F$224:$ES$224,Calculo!$F$170:$ES$170,5))</f>
        <v>0</v>
      </c>
      <c r="J76" s="48" t="n">
        <f aca="false">IF(cu_P=1,SUMIFS(Calculo!$F$68:$ES$68,Calculo!$F$14:$ES$14,6),SUMIFS(Calculo!$F$224:$ES$224,Calculo!$F$170:$ES$170,6))</f>
        <v>0</v>
      </c>
      <c r="K76" s="48" t="n">
        <f aca="false">IF(cu_P=1,SUMIFS(Calculo!$F$68:$ES$68,Calculo!$F$14:$ES$14,7),SUMIFS(Calculo!$F$224:$ES$224,Calculo!$F$170:$ES$170,7))</f>
        <v>0</v>
      </c>
      <c r="L76" s="48" t="n">
        <f aca="false">IF(cu_P=1,SUMIFS(Calculo!$F$68:$ES$68,Calculo!$F$14:$ES$14,8),SUMIFS(Calculo!$F$224:$ES$224,Calculo!$F$170:$ES$170,8))</f>
        <v>0</v>
      </c>
      <c r="M76" s="48" t="n">
        <f aca="false">IF(cu_P=1,SUMIFS(Calculo!$F$68:$ES$68,Calculo!$F$14:$ES$14,9),SUMIFS(Calculo!$F$224:$ES$224,Calculo!$F$170:$ES$170,9))</f>
        <v>0</v>
      </c>
      <c r="N76" s="48" t="n">
        <f aca="false">IF(cu_P=1,SUMIFS(Calculo!$F$68:$ES$68,Calculo!$F$14:$ES$14,10),SUMIFS(Calculo!$F$224:$ES$224,Calculo!$F$170:$ES$170,10))</f>
        <v>0</v>
      </c>
      <c r="O76" s="54" t="n">
        <f aca="false">SUM(D76:N76)</f>
        <v>0</v>
      </c>
    </row>
    <row r="77" customFormat="false" ht="15" hidden="true" customHeight="false" outlineLevel="1" collapsed="false">
      <c r="A77" s="11" t="s">
        <v>2071</v>
      </c>
      <c r="B77" s="15" t="s">
        <v>2004</v>
      </c>
      <c r="C77" s="11" t="s">
        <v>544</v>
      </c>
      <c r="D77" s="48" t="n">
        <f aca="false">IF(cu_P=1,SUMIFS(Calculo!$F$43:$ES$43,Calculo!$F$16:$ES$16,1),SUMIFS(Calculo!$F$199:$ES$199,Calculo!$F$172:$ES$172,1))</f>
        <v>0</v>
      </c>
      <c r="E77" s="48" t="n">
        <f aca="false">IF(cu_P=1,SUMIFS(Calculo!$F$43:$ES$43,Calculo!$F$14:$ES$14,1),SUMIFS(Calculo!$F$199:$ES$199,Calculo!$F$170:$ES$170,1))</f>
        <v>0</v>
      </c>
      <c r="F77" s="48" t="n">
        <f aca="false">IF(cu_P=1,SUMIFS(Calculo!$F$43:$ES$43,Calculo!$F$14:$ES$14,2),SUMIFS(Calculo!$F$199:$ES$199,Calculo!$F$170:$ES$170,2))</f>
        <v>0</v>
      </c>
      <c r="G77" s="48" t="n">
        <f aca="false">IF(cu_P=1,SUMIFS(Calculo!$F$43:$ES$43,Calculo!$F$14:$ES$14,3),SUMIFS(Calculo!$F$199:$ES$199,Calculo!$F$170:$ES$170,3))</f>
        <v>0</v>
      </c>
      <c r="H77" s="48" t="n">
        <f aca="false">IF(cu_P=1,SUMIFS(Calculo!$F$43:$ES$43,Calculo!$F$14:$ES$14,4),SUMIFS(Calculo!$F$199:$ES$199,Calculo!$F$170:$ES$170,4))</f>
        <v>0</v>
      </c>
      <c r="I77" s="48" t="n">
        <f aca="false">IF(cu_P=1,SUMIFS(Calculo!$F$43:$ES$43,Calculo!$F$14:$ES$14,5),SUMIFS(Calculo!$F$199:$ES$199,Calculo!$F$170:$ES$170,5))</f>
        <v>0</v>
      </c>
      <c r="J77" s="48" t="n">
        <f aca="false">IF(cu_P=1,SUMIFS(Calculo!$F$43:$ES$43,Calculo!$F$14:$ES$14,6),SUMIFS(Calculo!$F$199:$ES$199,Calculo!$F$170:$ES$170,6))</f>
        <v>0</v>
      </c>
      <c r="K77" s="48" t="n">
        <f aca="false">IF(cu_P=1,SUMIFS(Calculo!$F$43:$ES$43,Calculo!$F$14:$ES$14,7),SUMIFS(Calculo!$F$199:$ES$199,Calculo!$F$170:$ES$170,7))</f>
        <v>0</v>
      </c>
      <c r="L77" s="48" t="n">
        <f aca="false">IF(cu_P=1,SUMIFS(Calculo!$F$43:$ES$43,Calculo!$F$14:$ES$14,8),SUMIFS(Calculo!$F$199:$ES$199,Calculo!$F$170:$ES$170,8))</f>
        <v>0</v>
      </c>
      <c r="M77" s="48" t="n">
        <f aca="false">IF(cu_P=1,SUMIFS(Calculo!$F$43:$ES$43,Calculo!$F$14:$ES$14,9),SUMIFS(Calculo!$F$199:$ES$199,Calculo!$F$170:$ES$170,9))</f>
        <v>0</v>
      </c>
      <c r="N77" s="48" t="n">
        <f aca="false">IF(cu_P=1,SUMIFS(Calculo!$F$43:$ES$43,Calculo!$F$14:$ES$14,10),SUMIFS(Calculo!$F$199:$ES$199,Calculo!$F$170:$ES$170,10))</f>
        <v>0</v>
      </c>
      <c r="O77" s="54" t="n">
        <f aca="false">SUM(D77:N77)</f>
        <v>0</v>
      </c>
    </row>
    <row r="78" customFormat="false" ht="15" hidden="true" customHeight="false" outlineLevel="1" collapsed="false">
      <c r="A78" s="11" t="s">
        <v>2072</v>
      </c>
      <c r="B78" s="15" t="s">
        <v>2006</v>
      </c>
      <c r="C78" s="11" t="s">
        <v>748</v>
      </c>
      <c r="D78" s="50" t="str">
        <f aca="false">IFERROR(IF(OR(NOT(ISNUMBER(D76)),N(D77)=0),"",D76/D77),"")</f>
        <v/>
      </c>
      <c r="E78" s="50" t="str">
        <f aca="false">IFERROR(IF(OR(NOT(ISNUMBER(E76)),N(E77)=0),"",E76/E77),"")</f>
        <v/>
      </c>
      <c r="F78" s="50" t="str">
        <f aca="false">IFERROR(IF(OR(NOT(ISNUMBER(F76)),N(F77)=0),"",F76/F77),"")</f>
        <v/>
      </c>
      <c r="G78" s="50" t="str">
        <f aca="false">IFERROR(IF(OR(NOT(ISNUMBER(G76)),N(G77)=0),"",G76/G77),"")</f>
        <v/>
      </c>
      <c r="H78" s="50" t="str">
        <f aca="false">IFERROR(IF(OR(NOT(ISNUMBER(H76)),N(H77)=0),"",H76/H77),"")</f>
        <v/>
      </c>
      <c r="I78" s="50" t="str">
        <f aca="false">IFERROR(IF(OR(NOT(ISNUMBER(I76)),N(I77)=0),"",I76/I77),"")</f>
        <v/>
      </c>
      <c r="J78" s="50" t="str">
        <f aca="false">IFERROR(IF(OR(NOT(ISNUMBER(J76)),N(J77)=0),"",J76/J77),"")</f>
        <v/>
      </c>
      <c r="K78" s="50" t="str">
        <f aca="false">IFERROR(IF(OR(NOT(ISNUMBER(K76)),N(K77)=0),"",K76/K77),"")</f>
        <v/>
      </c>
      <c r="L78" s="50" t="str">
        <f aca="false">IFERROR(IF(OR(NOT(ISNUMBER(L76)),N(L77)=0),"",L76/L77),"")</f>
        <v/>
      </c>
      <c r="M78" s="50" t="str">
        <f aca="false">IFERROR(IF(OR(NOT(ISNUMBER(M76)),N(M77)=0),"",M76/M77),"")</f>
        <v/>
      </c>
      <c r="N78" s="50" t="str">
        <f aca="false">IFERROR(IF(OR(NOT(ISNUMBER(N76)),N(N77)=0),"",N76/N77),"")</f>
        <v/>
      </c>
      <c r="O78" s="68" t="str">
        <f aca="false">IFERROR(IF(OR(NOT(ISNUMBER(O76)),N(O77)=0),"",O76/O77),"")</f>
        <v/>
      </c>
    </row>
    <row r="79" customFormat="false" ht="15" hidden="true" customHeight="false" outlineLevel="1" collapsed="false">
      <c r="A79" s="11" t="s">
        <v>2073</v>
      </c>
      <c r="B79" s="53" t="str">
        <f aca="false">IF(INDEX(Prod_Nombre,24)="","Producto 24",INDEX(Prod_Nombre,24))&amp;" — venta"</f>
        <v>Producto 24 — venta</v>
      </c>
      <c r="C79" s="11" t="s">
        <v>508</v>
      </c>
      <c r="D79" s="48" t="n">
        <f aca="false">IF(cu_P=1,SUMIFS(Calculo!$F$69:$ES$69,Calculo!$F$16:$ES$16,1),SUMIFS(Calculo!$F$225:$ES$225,Calculo!$F$172:$ES$172,1))</f>
        <v>0</v>
      </c>
      <c r="E79" s="48" t="n">
        <f aca="false">IF(cu_P=1,SUMIFS(Calculo!$F$69:$ES$69,Calculo!$F$14:$ES$14,1),SUMIFS(Calculo!$F$225:$ES$225,Calculo!$F$170:$ES$170,1))</f>
        <v>0</v>
      </c>
      <c r="F79" s="48" t="n">
        <f aca="false">IF(cu_P=1,SUMIFS(Calculo!$F$69:$ES$69,Calculo!$F$14:$ES$14,2),SUMIFS(Calculo!$F$225:$ES$225,Calculo!$F$170:$ES$170,2))</f>
        <v>0</v>
      </c>
      <c r="G79" s="48" t="n">
        <f aca="false">IF(cu_P=1,SUMIFS(Calculo!$F$69:$ES$69,Calculo!$F$14:$ES$14,3),SUMIFS(Calculo!$F$225:$ES$225,Calculo!$F$170:$ES$170,3))</f>
        <v>0</v>
      </c>
      <c r="H79" s="48" t="n">
        <f aca="false">IF(cu_P=1,SUMIFS(Calculo!$F$69:$ES$69,Calculo!$F$14:$ES$14,4),SUMIFS(Calculo!$F$225:$ES$225,Calculo!$F$170:$ES$170,4))</f>
        <v>0</v>
      </c>
      <c r="I79" s="48" t="n">
        <f aca="false">IF(cu_P=1,SUMIFS(Calculo!$F$69:$ES$69,Calculo!$F$14:$ES$14,5),SUMIFS(Calculo!$F$225:$ES$225,Calculo!$F$170:$ES$170,5))</f>
        <v>0</v>
      </c>
      <c r="J79" s="48" t="n">
        <f aca="false">IF(cu_P=1,SUMIFS(Calculo!$F$69:$ES$69,Calculo!$F$14:$ES$14,6),SUMIFS(Calculo!$F$225:$ES$225,Calculo!$F$170:$ES$170,6))</f>
        <v>0</v>
      </c>
      <c r="K79" s="48" t="n">
        <f aca="false">IF(cu_P=1,SUMIFS(Calculo!$F$69:$ES$69,Calculo!$F$14:$ES$14,7),SUMIFS(Calculo!$F$225:$ES$225,Calculo!$F$170:$ES$170,7))</f>
        <v>0</v>
      </c>
      <c r="L79" s="48" t="n">
        <f aca="false">IF(cu_P=1,SUMIFS(Calculo!$F$69:$ES$69,Calculo!$F$14:$ES$14,8),SUMIFS(Calculo!$F$225:$ES$225,Calculo!$F$170:$ES$170,8))</f>
        <v>0</v>
      </c>
      <c r="M79" s="48" t="n">
        <f aca="false">IF(cu_P=1,SUMIFS(Calculo!$F$69:$ES$69,Calculo!$F$14:$ES$14,9),SUMIFS(Calculo!$F$225:$ES$225,Calculo!$F$170:$ES$170,9))</f>
        <v>0</v>
      </c>
      <c r="N79" s="48" t="n">
        <f aca="false">IF(cu_P=1,SUMIFS(Calculo!$F$69:$ES$69,Calculo!$F$14:$ES$14,10),SUMIFS(Calculo!$F$225:$ES$225,Calculo!$F$170:$ES$170,10))</f>
        <v>0</v>
      </c>
      <c r="O79" s="54" t="n">
        <f aca="false">SUM(D79:N79)</f>
        <v>0</v>
      </c>
    </row>
    <row r="80" customFormat="false" ht="15" hidden="true" customHeight="false" outlineLevel="1" collapsed="false">
      <c r="A80" s="11" t="s">
        <v>2074</v>
      </c>
      <c r="B80" s="15" t="s">
        <v>2004</v>
      </c>
      <c r="C80" s="11" t="s">
        <v>544</v>
      </c>
      <c r="D80" s="48" t="n">
        <f aca="false">IF(cu_P=1,SUMIFS(Calculo!$F$44:$ES$44,Calculo!$F$16:$ES$16,1),SUMIFS(Calculo!$F$200:$ES$200,Calculo!$F$172:$ES$172,1))</f>
        <v>0</v>
      </c>
      <c r="E80" s="48" t="n">
        <f aca="false">IF(cu_P=1,SUMIFS(Calculo!$F$44:$ES$44,Calculo!$F$14:$ES$14,1),SUMIFS(Calculo!$F$200:$ES$200,Calculo!$F$170:$ES$170,1))</f>
        <v>0</v>
      </c>
      <c r="F80" s="48" t="n">
        <f aca="false">IF(cu_P=1,SUMIFS(Calculo!$F$44:$ES$44,Calculo!$F$14:$ES$14,2),SUMIFS(Calculo!$F$200:$ES$200,Calculo!$F$170:$ES$170,2))</f>
        <v>0</v>
      </c>
      <c r="G80" s="48" t="n">
        <f aca="false">IF(cu_P=1,SUMIFS(Calculo!$F$44:$ES$44,Calculo!$F$14:$ES$14,3),SUMIFS(Calculo!$F$200:$ES$200,Calculo!$F$170:$ES$170,3))</f>
        <v>0</v>
      </c>
      <c r="H80" s="48" t="n">
        <f aca="false">IF(cu_P=1,SUMIFS(Calculo!$F$44:$ES$44,Calculo!$F$14:$ES$14,4),SUMIFS(Calculo!$F$200:$ES$200,Calculo!$F$170:$ES$170,4))</f>
        <v>0</v>
      </c>
      <c r="I80" s="48" t="n">
        <f aca="false">IF(cu_P=1,SUMIFS(Calculo!$F$44:$ES$44,Calculo!$F$14:$ES$14,5),SUMIFS(Calculo!$F$200:$ES$200,Calculo!$F$170:$ES$170,5))</f>
        <v>0</v>
      </c>
      <c r="J80" s="48" t="n">
        <f aca="false">IF(cu_P=1,SUMIFS(Calculo!$F$44:$ES$44,Calculo!$F$14:$ES$14,6),SUMIFS(Calculo!$F$200:$ES$200,Calculo!$F$170:$ES$170,6))</f>
        <v>0</v>
      </c>
      <c r="K80" s="48" t="n">
        <f aca="false">IF(cu_P=1,SUMIFS(Calculo!$F$44:$ES$44,Calculo!$F$14:$ES$14,7),SUMIFS(Calculo!$F$200:$ES$200,Calculo!$F$170:$ES$170,7))</f>
        <v>0</v>
      </c>
      <c r="L80" s="48" t="n">
        <f aca="false">IF(cu_P=1,SUMIFS(Calculo!$F$44:$ES$44,Calculo!$F$14:$ES$14,8),SUMIFS(Calculo!$F$200:$ES$200,Calculo!$F$170:$ES$170,8))</f>
        <v>0</v>
      </c>
      <c r="M80" s="48" t="n">
        <f aca="false">IF(cu_P=1,SUMIFS(Calculo!$F$44:$ES$44,Calculo!$F$14:$ES$14,9),SUMIFS(Calculo!$F$200:$ES$200,Calculo!$F$170:$ES$170,9))</f>
        <v>0</v>
      </c>
      <c r="N80" s="48" t="n">
        <f aca="false">IF(cu_P=1,SUMIFS(Calculo!$F$44:$ES$44,Calculo!$F$14:$ES$14,10),SUMIFS(Calculo!$F$200:$ES$200,Calculo!$F$170:$ES$170,10))</f>
        <v>0</v>
      </c>
      <c r="O80" s="54" t="n">
        <f aca="false">SUM(D80:N80)</f>
        <v>0</v>
      </c>
    </row>
    <row r="81" customFormat="false" ht="15" hidden="true" customHeight="false" outlineLevel="1" collapsed="false">
      <c r="A81" s="11" t="s">
        <v>2075</v>
      </c>
      <c r="B81" s="15" t="s">
        <v>2006</v>
      </c>
      <c r="C81" s="11" t="s">
        <v>748</v>
      </c>
      <c r="D81" s="50" t="str">
        <f aca="false">IFERROR(IF(OR(NOT(ISNUMBER(D79)),N(D80)=0),"",D79/D80),"")</f>
        <v/>
      </c>
      <c r="E81" s="50" t="str">
        <f aca="false">IFERROR(IF(OR(NOT(ISNUMBER(E79)),N(E80)=0),"",E79/E80),"")</f>
        <v/>
      </c>
      <c r="F81" s="50" t="str">
        <f aca="false">IFERROR(IF(OR(NOT(ISNUMBER(F79)),N(F80)=0),"",F79/F80),"")</f>
        <v/>
      </c>
      <c r="G81" s="50" t="str">
        <f aca="false">IFERROR(IF(OR(NOT(ISNUMBER(G79)),N(G80)=0),"",G79/G80),"")</f>
        <v/>
      </c>
      <c r="H81" s="50" t="str">
        <f aca="false">IFERROR(IF(OR(NOT(ISNUMBER(H79)),N(H80)=0),"",H79/H80),"")</f>
        <v/>
      </c>
      <c r="I81" s="50" t="str">
        <f aca="false">IFERROR(IF(OR(NOT(ISNUMBER(I79)),N(I80)=0),"",I79/I80),"")</f>
        <v/>
      </c>
      <c r="J81" s="50" t="str">
        <f aca="false">IFERROR(IF(OR(NOT(ISNUMBER(J79)),N(J80)=0),"",J79/J80),"")</f>
        <v/>
      </c>
      <c r="K81" s="50" t="str">
        <f aca="false">IFERROR(IF(OR(NOT(ISNUMBER(K79)),N(K80)=0),"",K79/K80),"")</f>
        <v/>
      </c>
      <c r="L81" s="50" t="str">
        <f aca="false">IFERROR(IF(OR(NOT(ISNUMBER(L79)),N(L80)=0),"",L79/L80),"")</f>
        <v/>
      </c>
      <c r="M81" s="50" t="str">
        <f aca="false">IFERROR(IF(OR(NOT(ISNUMBER(M79)),N(M80)=0),"",M79/M80),"")</f>
        <v/>
      </c>
      <c r="N81" s="50" t="str">
        <f aca="false">IFERROR(IF(OR(NOT(ISNUMBER(N79)),N(N80)=0),"",N79/N80),"")</f>
        <v/>
      </c>
      <c r="O81" s="68" t="str">
        <f aca="false">IFERROR(IF(OR(NOT(ISNUMBER(O79)),N(O80)=0),"",O79/O80),"")</f>
        <v/>
      </c>
    </row>
    <row r="82" customFormat="false" ht="15" hidden="true" customHeight="false" outlineLevel="1" collapsed="false">
      <c r="A82" s="11" t="s">
        <v>2076</v>
      </c>
      <c r="B82" s="53" t="str">
        <f aca="false">IF(INDEX(Prod_Nombre,25)="","Producto 25",INDEX(Prod_Nombre,25))&amp;" — venta"</f>
        <v>Producto 25 — venta</v>
      </c>
      <c r="C82" s="11" t="s">
        <v>508</v>
      </c>
      <c r="D82" s="48" t="n">
        <f aca="false">IF(cu_P=1,SUMIFS(Calculo!$F$70:$ES$70,Calculo!$F$16:$ES$16,1),SUMIFS(Calculo!$F$226:$ES$226,Calculo!$F$172:$ES$172,1))</f>
        <v>0</v>
      </c>
      <c r="E82" s="48" t="n">
        <f aca="false">IF(cu_P=1,SUMIFS(Calculo!$F$70:$ES$70,Calculo!$F$14:$ES$14,1),SUMIFS(Calculo!$F$226:$ES$226,Calculo!$F$170:$ES$170,1))</f>
        <v>0</v>
      </c>
      <c r="F82" s="48" t="n">
        <f aca="false">IF(cu_P=1,SUMIFS(Calculo!$F$70:$ES$70,Calculo!$F$14:$ES$14,2),SUMIFS(Calculo!$F$226:$ES$226,Calculo!$F$170:$ES$170,2))</f>
        <v>0</v>
      </c>
      <c r="G82" s="48" t="n">
        <f aca="false">IF(cu_P=1,SUMIFS(Calculo!$F$70:$ES$70,Calculo!$F$14:$ES$14,3),SUMIFS(Calculo!$F$226:$ES$226,Calculo!$F$170:$ES$170,3))</f>
        <v>0</v>
      </c>
      <c r="H82" s="48" t="n">
        <f aca="false">IF(cu_P=1,SUMIFS(Calculo!$F$70:$ES$70,Calculo!$F$14:$ES$14,4),SUMIFS(Calculo!$F$226:$ES$226,Calculo!$F$170:$ES$170,4))</f>
        <v>0</v>
      </c>
      <c r="I82" s="48" t="n">
        <f aca="false">IF(cu_P=1,SUMIFS(Calculo!$F$70:$ES$70,Calculo!$F$14:$ES$14,5),SUMIFS(Calculo!$F$226:$ES$226,Calculo!$F$170:$ES$170,5))</f>
        <v>0</v>
      </c>
      <c r="J82" s="48" t="n">
        <f aca="false">IF(cu_P=1,SUMIFS(Calculo!$F$70:$ES$70,Calculo!$F$14:$ES$14,6),SUMIFS(Calculo!$F$226:$ES$226,Calculo!$F$170:$ES$170,6))</f>
        <v>0</v>
      </c>
      <c r="K82" s="48" t="n">
        <f aca="false">IF(cu_P=1,SUMIFS(Calculo!$F$70:$ES$70,Calculo!$F$14:$ES$14,7),SUMIFS(Calculo!$F$226:$ES$226,Calculo!$F$170:$ES$170,7))</f>
        <v>0</v>
      </c>
      <c r="L82" s="48" t="n">
        <f aca="false">IF(cu_P=1,SUMIFS(Calculo!$F$70:$ES$70,Calculo!$F$14:$ES$14,8),SUMIFS(Calculo!$F$226:$ES$226,Calculo!$F$170:$ES$170,8))</f>
        <v>0</v>
      </c>
      <c r="M82" s="48" t="n">
        <f aca="false">IF(cu_P=1,SUMIFS(Calculo!$F$70:$ES$70,Calculo!$F$14:$ES$14,9),SUMIFS(Calculo!$F$226:$ES$226,Calculo!$F$170:$ES$170,9))</f>
        <v>0</v>
      </c>
      <c r="N82" s="48" t="n">
        <f aca="false">IF(cu_P=1,SUMIFS(Calculo!$F$70:$ES$70,Calculo!$F$14:$ES$14,10),SUMIFS(Calculo!$F$226:$ES$226,Calculo!$F$170:$ES$170,10))</f>
        <v>0</v>
      </c>
      <c r="O82" s="54" t="n">
        <f aca="false">SUM(D82:N82)</f>
        <v>0</v>
      </c>
    </row>
    <row r="83" customFormat="false" ht="15" hidden="true" customHeight="false" outlineLevel="1" collapsed="false">
      <c r="A83" s="11" t="s">
        <v>2077</v>
      </c>
      <c r="B83" s="15" t="s">
        <v>2004</v>
      </c>
      <c r="C83" s="11" t="s">
        <v>544</v>
      </c>
      <c r="D83" s="48" t="n">
        <f aca="false">IF(cu_P=1,SUMIFS(Calculo!$F$45:$ES$45,Calculo!$F$16:$ES$16,1),SUMIFS(Calculo!$F$201:$ES$201,Calculo!$F$172:$ES$172,1))</f>
        <v>0</v>
      </c>
      <c r="E83" s="48" t="n">
        <f aca="false">IF(cu_P=1,SUMIFS(Calculo!$F$45:$ES$45,Calculo!$F$14:$ES$14,1),SUMIFS(Calculo!$F$201:$ES$201,Calculo!$F$170:$ES$170,1))</f>
        <v>0</v>
      </c>
      <c r="F83" s="48" t="n">
        <f aca="false">IF(cu_P=1,SUMIFS(Calculo!$F$45:$ES$45,Calculo!$F$14:$ES$14,2),SUMIFS(Calculo!$F$201:$ES$201,Calculo!$F$170:$ES$170,2))</f>
        <v>0</v>
      </c>
      <c r="G83" s="48" t="n">
        <f aca="false">IF(cu_P=1,SUMIFS(Calculo!$F$45:$ES$45,Calculo!$F$14:$ES$14,3),SUMIFS(Calculo!$F$201:$ES$201,Calculo!$F$170:$ES$170,3))</f>
        <v>0</v>
      </c>
      <c r="H83" s="48" t="n">
        <f aca="false">IF(cu_P=1,SUMIFS(Calculo!$F$45:$ES$45,Calculo!$F$14:$ES$14,4),SUMIFS(Calculo!$F$201:$ES$201,Calculo!$F$170:$ES$170,4))</f>
        <v>0</v>
      </c>
      <c r="I83" s="48" t="n">
        <f aca="false">IF(cu_P=1,SUMIFS(Calculo!$F$45:$ES$45,Calculo!$F$14:$ES$14,5),SUMIFS(Calculo!$F$201:$ES$201,Calculo!$F$170:$ES$170,5))</f>
        <v>0</v>
      </c>
      <c r="J83" s="48" t="n">
        <f aca="false">IF(cu_P=1,SUMIFS(Calculo!$F$45:$ES$45,Calculo!$F$14:$ES$14,6),SUMIFS(Calculo!$F$201:$ES$201,Calculo!$F$170:$ES$170,6))</f>
        <v>0</v>
      </c>
      <c r="K83" s="48" t="n">
        <f aca="false">IF(cu_P=1,SUMIFS(Calculo!$F$45:$ES$45,Calculo!$F$14:$ES$14,7),SUMIFS(Calculo!$F$201:$ES$201,Calculo!$F$170:$ES$170,7))</f>
        <v>0</v>
      </c>
      <c r="L83" s="48" t="n">
        <f aca="false">IF(cu_P=1,SUMIFS(Calculo!$F$45:$ES$45,Calculo!$F$14:$ES$14,8),SUMIFS(Calculo!$F$201:$ES$201,Calculo!$F$170:$ES$170,8))</f>
        <v>0</v>
      </c>
      <c r="M83" s="48" t="n">
        <f aca="false">IF(cu_P=1,SUMIFS(Calculo!$F$45:$ES$45,Calculo!$F$14:$ES$14,9),SUMIFS(Calculo!$F$201:$ES$201,Calculo!$F$170:$ES$170,9))</f>
        <v>0</v>
      </c>
      <c r="N83" s="48" t="n">
        <f aca="false">IF(cu_P=1,SUMIFS(Calculo!$F$45:$ES$45,Calculo!$F$14:$ES$14,10),SUMIFS(Calculo!$F$201:$ES$201,Calculo!$F$170:$ES$170,10))</f>
        <v>0</v>
      </c>
      <c r="O83" s="54" t="n">
        <f aca="false">SUM(D83:N83)</f>
        <v>0</v>
      </c>
    </row>
    <row r="84" customFormat="false" ht="15" hidden="true" customHeight="false" outlineLevel="1" collapsed="false">
      <c r="A84" s="11" t="s">
        <v>2078</v>
      </c>
      <c r="B84" s="15" t="s">
        <v>2006</v>
      </c>
      <c r="C84" s="11" t="s">
        <v>748</v>
      </c>
      <c r="D84" s="50" t="str">
        <f aca="false">IFERROR(IF(OR(NOT(ISNUMBER(D82)),N(D83)=0),"",D82/D83),"")</f>
        <v/>
      </c>
      <c r="E84" s="50" t="str">
        <f aca="false">IFERROR(IF(OR(NOT(ISNUMBER(E82)),N(E83)=0),"",E82/E83),"")</f>
        <v/>
      </c>
      <c r="F84" s="50" t="str">
        <f aca="false">IFERROR(IF(OR(NOT(ISNUMBER(F82)),N(F83)=0),"",F82/F83),"")</f>
        <v/>
      </c>
      <c r="G84" s="50" t="str">
        <f aca="false">IFERROR(IF(OR(NOT(ISNUMBER(G82)),N(G83)=0),"",G82/G83),"")</f>
        <v/>
      </c>
      <c r="H84" s="50" t="str">
        <f aca="false">IFERROR(IF(OR(NOT(ISNUMBER(H82)),N(H83)=0),"",H82/H83),"")</f>
        <v/>
      </c>
      <c r="I84" s="50" t="str">
        <f aca="false">IFERROR(IF(OR(NOT(ISNUMBER(I82)),N(I83)=0),"",I82/I83),"")</f>
        <v/>
      </c>
      <c r="J84" s="50" t="str">
        <f aca="false">IFERROR(IF(OR(NOT(ISNUMBER(J82)),N(J83)=0),"",J82/J83),"")</f>
        <v/>
      </c>
      <c r="K84" s="50" t="str">
        <f aca="false">IFERROR(IF(OR(NOT(ISNUMBER(K82)),N(K83)=0),"",K82/K83),"")</f>
        <v/>
      </c>
      <c r="L84" s="50" t="str">
        <f aca="false">IFERROR(IF(OR(NOT(ISNUMBER(L82)),N(L83)=0),"",L82/L83),"")</f>
        <v/>
      </c>
      <c r="M84" s="50" t="str">
        <f aca="false">IFERROR(IF(OR(NOT(ISNUMBER(M82)),N(M83)=0),"",M82/M83),"")</f>
        <v/>
      </c>
      <c r="N84" s="50" t="str">
        <f aca="false">IFERROR(IF(OR(NOT(ISNUMBER(N82)),N(N83)=0),"",N82/N83),"")</f>
        <v/>
      </c>
      <c r="O84" s="68" t="str">
        <f aca="false">IFERROR(IF(OR(NOT(ISNUMBER(O82)),N(O83)=0),"",O82/O83),"")</f>
        <v/>
      </c>
    </row>
    <row r="86" customFormat="false" ht="15" hidden="false" customHeight="false" outlineLevel="0" collapsed="false">
      <c r="A86" s="65" t="s">
        <v>1992</v>
      </c>
      <c r="B86" s="64"/>
      <c r="C86" s="64"/>
      <c r="D86" s="64"/>
      <c r="E86" s="64"/>
      <c r="F86" s="64"/>
      <c r="G86" s="64"/>
      <c r="H86" s="64"/>
      <c r="I86" s="64"/>
      <c r="J86" s="64"/>
      <c r="K86" s="64"/>
      <c r="L86" s="64"/>
      <c r="M86" s="64"/>
      <c r="N86" s="64"/>
      <c r="O86" s="64"/>
    </row>
    <row r="87" customFormat="false" ht="24" hidden="false" customHeight="true" outlineLevel="0" collapsed="false">
      <c r="A87" s="14"/>
      <c r="B87" s="14" t="s">
        <v>1530</v>
      </c>
      <c r="C87" s="14" t="s">
        <v>355</v>
      </c>
      <c r="D87" s="14" t="s">
        <v>1857</v>
      </c>
      <c r="E87" s="14" t="s">
        <v>452</v>
      </c>
      <c r="F87" s="14" t="s">
        <v>453</v>
      </c>
      <c r="G87" s="14" t="s">
        <v>454</v>
      </c>
      <c r="H87" s="14" t="s">
        <v>455</v>
      </c>
      <c r="I87" s="14" t="s">
        <v>456</v>
      </c>
      <c r="J87" s="14" t="s">
        <v>457</v>
      </c>
      <c r="K87" s="14" t="s">
        <v>458</v>
      </c>
      <c r="L87" s="14" t="s">
        <v>459</v>
      </c>
      <c r="M87" s="14" t="s">
        <v>460</v>
      </c>
      <c r="N87" s="14" t="s">
        <v>461</v>
      </c>
      <c r="O87" s="14" t="s">
        <v>549</v>
      </c>
    </row>
    <row r="88" customFormat="false" ht="15" hidden="false" customHeight="false" outlineLevel="0" collapsed="false">
      <c r="B88" s="11" t="s">
        <v>1993</v>
      </c>
      <c r="D88" s="86" t="str">
        <f aca="false">IF(OR(n_Fecha1="",IF(cu_P=1,P_Inicio,V_Inicio)=1),"",YEAR(n_Fecha1))</f>
        <v/>
      </c>
      <c r="E88" s="86" t="str">
        <f aca="false">IF(n_Fecha1="","",YEAR(EOMONTH(n_Fecha1,IF(cu_P=1,P_Inicio,V_Inicio)-1+0)))</f>
        <v/>
      </c>
      <c r="F88" s="86" t="str">
        <f aca="false">IF(n_Fecha1="","",YEAR(EOMONTH(n_Fecha1,IF(cu_P=1,P_Inicio,V_Inicio)-1+12)))</f>
        <v/>
      </c>
      <c r="G88" s="86" t="str">
        <f aca="false">IF(n_Fecha1="","",YEAR(EOMONTH(n_Fecha1,IF(cu_P=1,P_Inicio,V_Inicio)-1+24)))</f>
        <v/>
      </c>
      <c r="H88" s="86" t="str">
        <f aca="false">IF(n_Fecha1="","",YEAR(EOMONTH(n_Fecha1,IF(cu_P=1,P_Inicio,V_Inicio)-1+36)))</f>
        <v/>
      </c>
      <c r="I88" s="86" t="str">
        <f aca="false">IF(n_Fecha1="","",YEAR(EOMONTH(n_Fecha1,IF(cu_P=1,P_Inicio,V_Inicio)-1+48)))</f>
        <v/>
      </c>
      <c r="J88" s="86" t="str">
        <f aca="false">IF(n_Fecha1="","",YEAR(EOMONTH(n_Fecha1,IF(cu_P=1,P_Inicio,V_Inicio)-1+60)))</f>
        <v/>
      </c>
      <c r="K88" s="86" t="str">
        <f aca="false">IF(n_Fecha1="","",YEAR(EOMONTH(n_Fecha1,IF(cu_P=1,P_Inicio,V_Inicio)-1+72)))</f>
        <v/>
      </c>
      <c r="L88" s="86" t="str">
        <f aca="false">IF(n_Fecha1="","",YEAR(EOMONTH(n_Fecha1,IF(cu_P=1,P_Inicio,V_Inicio)-1+84)))</f>
        <v/>
      </c>
      <c r="M88" s="86" t="str">
        <f aca="false">IF(n_Fecha1="","",YEAR(EOMONTH(n_Fecha1,IF(cu_P=1,P_Inicio,V_Inicio)-1+96)))</f>
        <v/>
      </c>
      <c r="N88" s="86" t="str">
        <f aca="false">IF(n_Fecha1="","",YEAR(EOMONTH(n_Fecha1,IF(cu_P=1,P_Inicio,V_Inicio)-1+108)))</f>
        <v/>
      </c>
    </row>
    <row r="89" customFormat="false" ht="15" hidden="false" customHeight="false" outlineLevel="0" collapsed="false">
      <c r="A89" s="11" t="s">
        <v>1998</v>
      </c>
      <c r="B89" s="67" t="s">
        <v>1999</v>
      </c>
      <c r="C89" s="11" t="s">
        <v>508</v>
      </c>
      <c r="D89" s="37"/>
      <c r="E89" s="37" t="n">
        <v>4850000</v>
      </c>
      <c r="F89" s="37" t="n">
        <v>6181200</v>
      </c>
      <c r="G89" s="37" t="n">
        <v>7538539</v>
      </c>
      <c r="H89" s="37" t="n">
        <v>8685437</v>
      </c>
      <c r="I89" s="37" t="n">
        <v>8772292</v>
      </c>
      <c r="J89" s="37" t="n">
        <v>8860015</v>
      </c>
      <c r="K89" s="37" t="n">
        <v>8948615</v>
      </c>
      <c r="L89" s="37" t="n">
        <v>9038101</v>
      </c>
      <c r="M89" s="37" t="n">
        <v>9128482</v>
      </c>
      <c r="N89" s="37" t="n">
        <v>9219767</v>
      </c>
      <c r="O89" s="54" t="n">
        <f aca="false">IF(COUNT(D89:N89)=0,"",SUM(D89:N89))</f>
        <v>81222448</v>
      </c>
    </row>
    <row r="90" customFormat="false" ht="15" hidden="false" customHeight="false" outlineLevel="0" collapsed="false">
      <c r="A90" s="11" t="s">
        <v>2000</v>
      </c>
      <c r="B90" s="15" t="s">
        <v>2001</v>
      </c>
      <c r="C90" s="11" t="s">
        <v>508</v>
      </c>
      <c r="D90" s="37"/>
      <c r="E90" s="37" t="n">
        <v>0</v>
      </c>
      <c r="F90" s="37" t="n">
        <v>0</v>
      </c>
      <c r="G90" s="37" t="n">
        <v>0</v>
      </c>
      <c r="H90" s="37" t="n">
        <v>0</v>
      </c>
      <c r="I90" s="37" t="n">
        <v>0</v>
      </c>
      <c r="J90" s="37" t="n">
        <v>0</v>
      </c>
      <c r="K90" s="37" t="n">
        <v>0</v>
      </c>
      <c r="L90" s="37" t="n">
        <v>0</v>
      </c>
      <c r="M90" s="37" t="n">
        <v>0</v>
      </c>
      <c r="N90" s="37" t="n">
        <v>0</v>
      </c>
      <c r="O90" s="54" t="n">
        <f aca="false">IF(COUNT(D90:N90)=0,"",SUM(D90:N90))</f>
        <v>0</v>
      </c>
    </row>
    <row r="91" customFormat="false" ht="15" hidden="false" customHeight="false" outlineLevel="0" collapsed="false">
      <c r="A91" s="11" t="s">
        <v>2002</v>
      </c>
      <c r="B91" s="53" t="str">
        <f aca="false">IF(INDEX(Prod_Nombre,1)="","Producto 1",INDEX(Prod_Nombre,1))&amp;" — venta"</f>
        <v>Gabinetes metálicos 153 kg — venta</v>
      </c>
      <c r="C91" s="11" t="s">
        <v>508</v>
      </c>
      <c r="D91" s="37"/>
      <c r="E91" s="37" t="n">
        <v>3240000</v>
      </c>
      <c r="F91" s="37" t="n">
        <v>4090500</v>
      </c>
      <c r="G91" s="37" t="n">
        <v>4957686</v>
      </c>
      <c r="H91" s="37" t="n">
        <v>5841807</v>
      </c>
      <c r="I91" s="37" t="n">
        <v>5900225</v>
      </c>
      <c r="J91" s="37" t="n">
        <v>5959227</v>
      </c>
      <c r="K91" s="37" t="n">
        <v>6018819</v>
      </c>
      <c r="L91" s="37" t="n">
        <v>6079007</v>
      </c>
      <c r="M91" s="37" t="n">
        <v>6139798</v>
      </c>
      <c r="N91" s="37" t="n">
        <v>6201195</v>
      </c>
      <c r="O91" s="54" t="n">
        <f aca="false">IF(COUNT(D91:N91)=0,"",SUM(D91:N91))</f>
        <v>54428264</v>
      </c>
    </row>
    <row r="92" customFormat="false" ht="15" hidden="false" customHeight="false" outlineLevel="0" collapsed="false">
      <c r="A92" s="11" t="s">
        <v>2003</v>
      </c>
      <c r="B92" s="15" t="s">
        <v>2004</v>
      </c>
      <c r="C92" s="11" t="s">
        <v>544</v>
      </c>
      <c r="D92" s="37"/>
      <c r="E92" s="37" t="n">
        <v>12000</v>
      </c>
      <c r="F92" s="37" t="n">
        <v>15000</v>
      </c>
      <c r="G92" s="37" t="n">
        <v>18000</v>
      </c>
      <c r="H92" s="37" t="n">
        <v>21000</v>
      </c>
      <c r="I92" s="37" t="n">
        <v>21000</v>
      </c>
      <c r="J92" s="37" t="n">
        <v>21000</v>
      </c>
      <c r="K92" s="37" t="n">
        <v>21000</v>
      </c>
      <c r="L92" s="37" t="n">
        <v>21000</v>
      </c>
      <c r="M92" s="37" t="n">
        <v>21000</v>
      </c>
      <c r="N92" s="37" t="n">
        <v>21000</v>
      </c>
      <c r="O92" s="54" t="n">
        <f aca="false">IF(COUNT(D92:N92)=0,"",SUM(D92:N92))</f>
        <v>192000</v>
      </c>
    </row>
    <row r="93" customFormat="false" ht="15" hidden="false" customHeight="false" outlineLevel="0" collapsed="false">
      <c r="A93" s="11" t="s">
        <v>2005</v>
      </c>
      <c r="B93" s="15" t="s">
        <v>2006</v>
      </c>
      <c r="C93" s="11" t="s">
        <v>748</v>
      </c>
      <c r="D93" s="50" t="str">
        <f aca="false">IFERROR(IF(OR(NOT(ISNUMBER(D91)),N(D92)=0),"",D91/D92),"")</f>
        <v/>
      </c>
      <c r="E93" s="50" t="n">
        <f aca="false">IFERROR(IF(OR(NOT(ISNUMBER(E91)),N(E92)=0),"",E91/E92),"")</f>
        <v>270</v>
      </c>
      <c r="F93" s="50" t="n">
        <f aca="false">IFERROR(IF(OR(NOT(ISNUMBER(F91)),N(F92)=0),"",F91/F92),"")</f>
        <v>272.7</v>
      </c>
      <c r="G93" s="50" t="n">
        <f aca="false">IFERROR(IF(OR(NOT(ISNUMBER(G91)),N(G92)=0),"",G91/G92),"")</f>
        <v>275.427</v>
      </c>
      <c r="H93" s="50" t="n">
        <f aca="false">IFERROR(IF(OR(NOT(ISNUMBER(H91)),N(H92)=0),"",H91/H92),"")</f>
        <v>278.181285714286</v>
      </c>
      <c r="I93" s="50" t="n">
        <f aca="false">IFERROR(IF(OR(NOT(ISNUMBER(I91)),N(I92)=0),"",I91/I92),"")</f>
        <v>280.963095238095</v>
      </c>
      <c r="J93" s="50" t="n">
        <f aca="false">IFERROR(IF(OR(NOT(ISNUMBER(J91)),N(J92)=0),"",J91/J92),"")</f>
        <v>283.772714285714</v>
      </c>
      <c r="K93" s="50" t="n">
        <f aca="false">IFERROR(IF(OR(NOT(ISNUMBER(K91)),N(K92)=0),"",K91/K92),"")</f>
        <v>286.610428571429</v>
      </c>
      <c r="L93" s="50" t="n">
        <f aca="false">IFERROR(IF(OR(NOT(ISNUMBER(L91)),N(L92)=0),"",L91/L92),"")</f>
        <v>289.476523809524</v>
      </c>
      <c r="M93" s="50" t="n">
        <f aca="false">IFERROR(IF(OR(NOT(ISNUMBER(M91)),N(M92)=0),"",M91/M92),"")</f>
        <v>292.371333333333</v>
      </c>
      <c r="N93" s="50" t="n">
        <f aca="false">IFERROR(IF(OR(NOT(ISNUMBER(N91)),N(N92)=0),"",N91/N92),"")</f>
        <v>295.295</v>
      </c>
      <c r="O93" s="68" t="n">
        <f aca="false">IFERROR(IF(OR(NOT(ISNUMBER(O91)),N(O92)=0),"",O91/O92),"")</f>
        <v>283.480541666667</v>
      </c>
    </row>
    <row r="94" customFormat="false" ht="15" hidden="false" customHeight="false" outlineLevel="0" collapsed="false">
      <c r="A94" s="11" t="s">
        <v>2007</v>
      </c>
      <c r="B94" s="53" t="str">
        <f aca="false">IF(INDEX(Prod_Nombre,2)="","Producto 2",INDEX(Prod_Nombre,2))&amp;" — venta"</f>
        <v>Cajas metálicas 13 kg — venta</v>
      </c>
      <c r="C94" s="11" t="s">
        <v>508</v>
      </c>
      <c r="D94" s="37"/>
      <c r="E94" s="37" t="n">
        <v>1610000</v>
      </c>
      <c r="F94" s="37" t="n">
        <v>2090700</v>
      </c>
      <c r="G94" s="37" t="n">
        <v>2580853</v>
      </c>
      <c r="H94" s="37" t="n">
        <v>2843631</v>
      </c>
      <c r="I94" s="37" t="n">
        <v>2872067</v>
      </c>
      <c r="J94" s="37" t="n">
        <v>2900788</v>
      </c>
      <c r="K94" s="37" t="n">
        <v>2929796</v>
      </c>
      <c r="L94" s="37" t="n">
        <v>2959094</v>
      </c>
      <c r="M94" s="37" t="n">
        <v>2988685</v>
      </c>
      <c r="N94" s="37" t="n">
        <v>3018571</v>
      </c>
      <c r="O94" s="54" t="n">
        <f aca="false">IF(COUNT(D94:N94)=0,"",SUM(D94:N94))</f>
        <v>26794185</v>
      </c>
    </row>
    <row r="95" customFormat="false" ht="15" hidden="false" customHeight="false" outlineLevel="0" collapsed="false">
      <c r="A95" s="11" t="s">
        <v>2008</v>
      </c>
      <c r="B95" s="15" t="s">
        <v>2004</v>
      </c>
      <c r="C95" s="11" t="s">
        <v>544</v>
      </c>
      <c r="D95" s="37"/>
      <c r="E95" s="37" t="n">
        <v>70000</v>
      </c>
      <c r="F95" s="37" t="n">
        <v>90000</v>
      </c>
      <c r="G95" s="37" t="n">
        <v>110000</v>
      </c>
      <c r="H95" s="37" t="n">
        <v>120000</v>
      </c>
      <c r="I95" s="37" t="n">
        <v>120000</v>
      </c>
      <c r="J95" s="37" t="n">
        <v>120000</v>
      </c>
      <c r="K95" s="37" t="n">
        <v>120000</v>
      </c>
      <c r="L95" s="37" t="n">
        <v>120000</v>
      </c>
      <c r="M95" s="37" t="n">
        <v>120000</v>
      </c>
      <c r="N95" s="37" t="n">
        <v>120000</v>
      </c>
      <c r="O95" s="54" t="n">
        <f aca="false">IF(COUNT(D95:N95)=0,"",SUM(D95:N95))</f>
        <v>1110000</v>
      </c>
    </row>
    <row r="96" customFormat="false" ht="15" hidden="false" customHeight="false" outlineLevel="0" collapsed="false">
      <c r="A96" s="11" t="s">
        <v>2009</v>
      </c>
      <c r="B96" s="15" t="s">
        <v>2006</v>
      </c>
      <c r="C96" s="11" t="s">
        <v>748</v>
      </c>
      <c r="D96" s="50" t="str">
        <f aca="false">IFERROR(IF(OR(NOT(ISNUMBER(D94)),N(D95)=0),"",D94/D95),"")</f>
        <v/>
      </c>
      <c r="E96" s="50" t="n">
        <f aca="false">IFERROR(IF(OR(NOT(ISNUMBER(E94)),N(E95)=0),"",E94/E95),"")</f>
        <v>23</v>
      </c>
      <c r="F96" s="50" t="n">
        <f aca="false">IFERROR(IF(OR(NOT(ISNUMBER(F94)),N(F95)=0),"",F94/F95),"")</f>
        <v>23.23</v>
      </c>
      <c r="G96" s="50" t="n">
        <f aca="false">IFERROR(IF(OR(NOT(ISNUMBER(G94)),N(G95)=0),"",G94/G95),"")</f>
        <v>23.4623</v>
      </c>
      <c r="H96" s="50" t="n">
        <f aca="false">IFERROR(IF(OR(NOT(ISNUMBER(H94)),N(H95)=0),"",H94/H95),"")</f>
        <v>23.696925</v>
      </c>
      <c r="I96" s="50" t="n">
        <f aca="false">IFERROR(IF(OR(NOT(ISNUMBER(I94)),N(I95)=0),"",I94/I95),"")</f>
        <v>23.9338916666667</v>
      </c>
      <c r="J96" s="50" t="n">
        <f aca="false">IFERROR(IF(OR(NOT(ISNUMBER(J94)),N(J95)=0),"",J94/J95),"")</f>
        <v>24.1732333333333</v>
      </c>
      <c r="K96" s="50" t="n">
        <f aca="false">IFERROR(IF(OR(NOT(ISNUMBER(K94)),N(K95)=0),"",K94/K95),"")</f>
        <v>24.4149666666667</v>
      </c>
      <c r="L96" s="50" t="n">
        <f aca="false">IFERROR(IF(OR(NOT(ISNUMBER(L94)),N(L95)=0),"",L94/L95),"")</f>
        <v>24.6591166666667</v>
      </c>
      <c r="M96" s="50" t="n">
        <f aca="false">IFERROR(IF(OR(NOT(ISNUMBER(M94)),N(M95)=0),"",M94/M95),"")</f>
        <v>24.9057083333333</v>
      </c>
      <c r="N96" s="50" t="n">
        <f aca="false">IFERROR(IF(OR(NOT(ISNUMBER(N94)),N(N95)=0),"",N94/N95),"")</f>
        <v>25.1547583333333</v>
      </c>
      <c r="O96" s="68" t="n">
        <f aca="false">IFERROR(IF(OR(NOT(ISNUMBER(O94)),N(O95)=0),"",O94/O95),"")</f>
        <v>24.1389054054054</v>
      </c>
    </row>
    <row r="97" customFormat="false" ht="15" hidden="true" customHeight="false" outlineLevel="1" collapsed="false">
      <c r="A97" s="11" t="s">
        <v>2010</v>
      </c>
      <c r="B97" s="53" t="str">
        <f aca="false">IF(INDEX(Prod_Nombre,3)="","Producto 3",INDEX(Prod_Nombre,3))&amp;" — venta"</f>
        <v>Producto 3 — venta</v>
      </c>
      <c r="C97" s="11" t="s">
        <v>508</v>
      </c>
      <c r="D97" s="37"/>
      <c r="E97" s="37"/>
      <c r="F97" s="37"/>
      <c r="G97" s="37"/>
      <c r="H97" s="37"/>
      <c r="I97" s="37"/>
      <c r="J97" s="37"/>
      <c r="K97" s="37"/>
      <c r="L97" s="37"/>
      <c r="M97" s="37"/>
      <c r="N97" s="37"/>
      <c r="O97" s="54" t="str">
        <f aca="false">IF(COUNT(D97:N97)=0,"",SUM(D97:N97))</f>
        <v/>
      </c>
    </row>
    <row r="98" customFormat="false" ht="15" hidden="true" customHeight="false" outlineLevel="1" collapsed="false">
      <c r="A98" s="11" t="s">
        <v>2011</v>
      </c>
      <c r="B98" s="15" t="s">
        <v>2004</v>
      </c>
      <c r="C98" s="11" t="s">
        <v>544</v>
      </c>
      <c r="D98" s="37"/>
      <c r="E98" s="37"/>
      <c r="F98" s="37"/>
      <c r="G98" s="37"/>
      <c r="H98" s="37"/>
      <c r="I98" s="37"/>
      <c r="J98" s="37"/>
      <c r="K98" s="37"/>
      <c r="L98" s="37"/>
      <c r="M98" s="37"/>
      <c r="N98" s="37"/>
      <c r="O98" s="54" t="str">
        <f aca="false">IF(COUNT(D98:N98)=0,"",SUM(D98:N98))</f>
        <v/>
      </c>
    </row>
    <row r="99" customFormat="false" ht="15" hidden="true" customHeight="false" outlineLevel="1" collapsed="false">
      <c r="A99" s="11" t="s">
        <v>2012</v>
      </c>
      <c r="B99" s="15" t="s">
        <v>2006</v>
      </c>
      <c r="C99" s="11" t="s">
        <v>748</v>
      </c>
      <c r="D99" s="50" t="str">
        <f aca="false">IFERROR(IF(OR(NOT(ISNUMBER(D97)),N(D98)=0),"",D97/D98),"")</f>
        <v/>
      </c>
      <c r="E99" s="50" t="str">
        <f aca="false">IFERROR(IF(OR(NOT(ISNUMBER(E97)),N(E98)=0),"",E97/E98),"")</f>
        <v/>
      </c>
      <c r="F99" s="50" t="str">
        <f aca="false">IFERROR(IF(OR(NOT(ISNUMBER(F97)),N(F98)=0),"",F97/F98),"")</f>
        <v/>
      </c>
      <c r="G99" s="50" t="str">
        <f aca="false">IFERROR(IF(OR(NOT(ISNUMBER(G97)),N(G98)=0),"",G97/G98),"")</f>
        <v/>
      </c>
      <c r="H99" s="50" t="str">
        <f aca="false">IFERROR(IF(OR(NOT(ISNUMBER(H97)),N(H98)=0),"",H97/H98),"")</f>
        <v/>
      </c>
      <c r="I99" s="50" t="str">
        <f aca="false">IFERROR(IF(OR(NOT(ISNUMBER(I97)),N(I98)=0),"",I97/I98),"")</f>
        <v/>
      </c>
      <c r="J99" s="50" t="str">
        <f aca="false">IFERROR(IF(OR(NOT(ISNUMBER(J97)),N(J98)=0),"",J97/J98),"")</f>
        <v/>
      </c>
      <c r="K99" s="50" t="str">
        <f aca="false">IFERROR(IF(OR(NOT(ISNUMBER(K97)),N(K98)=0),"",K97/K98),"")</f>
        <v/>
      </c>
      <c r="L99" s="50" t="str">
        <f aca="false">IFERROR(IF(OR(NOT(ISNUMBER(L97)),N(L98)=0),"",L97/L98),"")</f>
        <v/>
      </c>
      <c r="M99" s="50" t="str">
        <f aca="false">IFERROR(IF(OR(NOT(ISNUMBER(M97)),N(M98)=0),"",M97/M98),"")</f>
        <v/>
      </c>
      <c r="N99" s="50" t="str">
        <f aca="false">IFERROR(IF(OR(NOT(ISNUMBER(N97)),N(N98)=0),"",N97/N98),"")</f>
        <v/>
      </c>
      <c r="O99" s="68" t="str">
        <f aca="false">IFERROR(IF(OR(NOT(ISNUMBER(O97)),N(O98)=0),"",O97/O98),"")</f>
        <v/>
      </c>
    </row>
    <row r="100" customFormat="false" ht="15" hidden="true" customHeight="false" outlineLevel="1" collapsed="false">
      <c r="A100" s="11" t="s">
        <v>2013</v>
      </c>
      <c r="B100" s="53" t="str">
        <f aca="false">IF(INDEX(Prod_Nombre,4)="","Producto 4",INDEX(Prod_Nombre,4))&amp;" — venta"</f>
        <v>Producto 4 — venta</v>
      </c>
      <c r="C100" s="11" t="s">
        <v>508</v>
      </c>
      <c r="D100" s="37"/>
      <c r="E100" s="37"/>
      <c r="F100" s="37"/>
      <c r="G100" s="37"/>
      <c r="H100" s="37"/>
      <c r="I100" s="37"/>
      <c r="J100" s="37"/>
      <c r="K100" s="37"/>
      <c r="L100" s="37"/>
      <c r="M100" s="37"/>
      <c r="N100" s="37"/>
      <c r="O100" s="54" t="str">
        <f aca="false">IF(COUNT(D100:N100)=0,"",SUM(D100:N100))</f>
        <v/>
      </c>
    </row>
    <row r="101" customFormat="false" ht="15" hidden="true" customHeight="false" outlineLevel="1" collapsed="false">
      <c r="A101" s="11" t="s">
        <v>2014</v>
      </c>
      <c r="B101" s="15" t="s">
        <v>2004</v>
      </c>
      <c r="C101" s="11" t="s">
        <v>544</v>
      </c>
      <c r="D101" s="37"/>
      <c r="E101" s="37"/>
      <c r="F101" s="37"/>
      <c r="G101" s="37"/>
      <c r="H101" s="37"/>
      <c r="I101" s="37"/>
      <c r="J101" s="37"/>
      <c r="K101" s="37"/>
      <c r="L101" s="37"/>
      <c r="M101" s="37"/>
      <c r="N101" s="37"/>
      <c r="O101" s="54" t="str">
        <f aca="false">IF(COUNT(D101:N101)=0,"",SUM(D101:N101))</f>
        <v/>
      </c>
    </row>
    <row r="102" customFormat="false" ht="15" hidden="true" customHeight="false" outlineLevel="1" collapsed="false">
      <c r="A102" s="11" t="s">
        <v>2015</v>
      </c>
      <c r="B102" s="15" t="s">
        <v>2006</v>
      </c>
      <c r="C102" s="11" t="s">
        <v>748</v>
      </c>
      <c r="D102" s="50" t="str">
        <f aca="false">IFERROR(IF(OR(NOT(ISNUMBER(D100)),N(D101)=0),"",D100/D101),"")</f>
        <v/>
      </c>
      <c r="E102" s="50" t="str">
        <f aca="false">IFERROR(IF(OR(NOT(ISNUMBER(E100)),N(E101)=0),"",E100/E101),"")</f>
        <v/>
      </c>
      <c r="F102" s="50" t="str">
        <f aca="false">IFERROR(IF(OR(NOT(ISNUMBER(F100)),N(F101)=0),"",F100/F101),"")</f>
        <v/>
      </c>
      <c r="G102" s="50" t="str">
        <f aca="false">IFERROR(IF(OR(NOT(ISNUMBER(G100)),N(G101)=0),"",G100/G101),"")</f>
        <v/>
      </c>
      <c r="H102" s="50" t="str">
        <f aca="false">IFERROR(IF(OR(NOT(ISNUMBER(H100)),N(H101)=0),"",H100/H101),"")</f>
        <v/>
      </c>
      <c r="I102" s="50" t="str">
        <f aca="false">IFERROR(IF(OR(NOT(ISNUMBER(I100)),N(I101)=0),"",I100/I101),"")</f>
        <v/>
      </c>
      <c r="J102" s="50" t="str">
        <f aca="false">IFERROR(IF(OR(NOT(ISNUMBER(J100)),N(J101)=0),"",J100/J101),"")</f>
        <v/>
      </c>
      <c r="K102" s="50" t="str">
        <f aca="false">IFERROR(IF(OR(NOT(ISNUMBER(K100)),N(K101)=0),"",K100/K101),"")</f>
        <v/>
      </c>
      <c r="L102" s="50" t="str">
        <f aca="false">IFERROR(IF(OR(NOT(ISNUMBER(L100)),N(L101)=0),"",L100/L101),"")</f>
        <v/>
      </c>
      <c r="M102" s="50" t="str">
        <f aca="false">IFERROR(IF(OR(NOT(ISNUMBER(M100)),N(M101)=0),"",M100/M101),"")</f>
        <v/>
      </c>
      <c r="N102" s="50" t="str">
        <f aca="false">IFERROR(IF(OR(NOT(ISNUMBER(N100)),N(N101)=0),"",N100/N101),"")</f>
        <v/>
      </c>
      <c r="O102" s="68" t="str">
        <f aca="false">IFERROR(IF(OR(NOT(ISNUMBER(O100)),N(O101)=0),"",O100/O101),"")</f>
        <v/>
      </c>
    </row>
    <row r="103" customFormat="false" ht="15" hidden="true" customHeight="false" outlineLevel="1" collapsed="false">
      <c r="A103" s="11" t="s">
        <v>2016</v>
      </c>
      <c r="B103" s="53" t="str">
        <f aca="false">IF(INDEX(Prod_Nombre,5)="","Producto 5",INDEX(Prod_Nombre,5))&amp;" — venta"</f>
        <v>Producto 5 — venta</v>
      </c>
      <c r="C103" s="11" t="s">
        <v>508</v>
      </c>
      <c r="D103" s="37"/>
      <c r="E103" s="37"/>
      <c r="F103" s="37"/>
      <c r="G103" s="37"/>
      <c r="H103" s="37"/>
      <c r="I103" s="37"/>
      <c r="J103" s="37"/>
      <c r="K103" s="37"/>
      <c r="L103" s="37"/>
      <c r="M103" s="37"/>
      <c r="N103" s="37"/>
      <c r="O103" s="54" t="str">
        <f aca="false">IF(COUNT(D103:N103)=0,"",SUM(D103:N103))</f>
        <v/>
      </c>
    </row>
    <row r="104" customFormat="false" ht="15" hidden="true" customHeight="false" outlineLevel="1" collapsed="false">
      <c r="A104" s="11" t="s">
        <v>2017</v>
      </c>
      <c r="B104" s="15" t="s">
        <v>2004</v>
      </c>
      <c r="C104" s="11" t="s">
        <v>544</v>
      </c>
      <c r="D104" s="37"/>
      <c r="E104" s="37"/>
      <c r="F104" s="37"/>
      <c r="G104" s="37"/>
      <c r="H104" s="37"/>
      <c r="I104" s="37"/>
      <c r="J104" s="37"/>
      <c r="K104" s="37"/>
      <c r="L104" s="37"/>
      <c r="M104" s="37"/>
      <c r="N104" s="37"/>
      <c r="O104" s="54" t="str">
        <f aca="false">IF(COUNT(D104:N104)=0,"",SUM(D104:N104))</f>
        <v/>
      </c>
    </row>
    <row r="105" customFormat="false" ht="15" hidden="true" customHeight="false" outlineLevel="1" collapsed="false">
      <c r="A105" s="11" t="s">
        <v>2018</v>
      </c>
      <c r="B105" s="15" t="s">
        <v>2006</v>
      </c>
      <c r="C105" s="11" t="s">
        <v>748</v>
      </c>
      <c r="D105" s="50" t="str">
        <f aca="false">IFERROR(IF(OR(NOT(ISNUMBER(D103)),N(D104)=0),"",D103/D104),"")</f>
        <v/>
      </c>
      <c r="E105" s="50" t="str">
        <f aca="false">IFERROR(IF(OR(NOT(ISNUMBER(E103)),N(E104)=0),"",E103/E104),"")</f>
        <v/>
      </c>
      <c r="F105" s="50" t="str">
        <f aca="false">IFERROR(IF(OR(NOT(ISNUMBER(F103)),N(F104)=0),"",F103/F104),"")</f>
        <v/>
      </c>
      <c r="G105" s="50" t="str">
        <f aca="false">IFERROR(IF(OR(NOT(ISNUMBER(G103)),N(G104)=0),"",G103/G104),"")</f>
        <v/>
      </c>
      <c r="H105" s="50" t="str">
        <f aca="false">IFERROR(IF(OR(NOT(ISNUMBER(H103)),N(H104)=0),"",H103/H104),"")</f>
        <v/>
      </c>
      <c r="I105" s="50" t="str">
        <f aca="false">IFERROR(IF(OR(NOT(ISNUMBER(I103)),N(I104)=0),"",I103/I104),"")</f>
        <v/>
      </c>
      <c r="J105" s="50" t="str">
        <f aca="false">IFERROR(IF(OR(NOT(ISNUMBER(J103)),N(J104)=0),"",J103/J104),"")</f>
        <v/>
      </c>
      <c r="K105" s="50" t="str">
        <f aca="false">IFERROR(IF(OR(NOT(ISNUMBER(K103)),N(K104)=0),"",K103/K104),"")</f>
        <v/>
      </c>
      <c r="L105" s="50" t="str">
        <f aca="false">IFERROR(IF(OR(NOT(ISNUMBER(L103)),N(L104)=0),"",L103/L104),"")</f>
        <v/>
      </c>
      <c r="M105" s="50" t="str">
        <f aca="false">IFERROR(IF(OR(NOT(ISNUMBER(M103)),N(M104)=0),"",M103/M104),"")</f>
        <v/>
      </c>
      <c r="N105" s="50" t="str">
        <f aca="false">IFERROR(IF(OR(NOT(ISNUMBER(N103)),N(N104)=0),"",N103/N104),"")</f>
        <v/>
      </c>
      <c r="O105" s="68" t="str">
        <f aca="false">IFERROR(IF(OR(NOT(ISNUMBER(O103)),N(O104)=0),"",O103/O104),"")</f>
        <v/>
      </c>
    </row>
    <row r="106" customFormat="false" ht="15" hidden="true" customHeight="false" outlineLevel="1" collapsed="false">
      <c r="A106" s="11" t="s">
        <v>2019</v>
      </c>
      <c r="B106" s="53" t="str">
        <f aca="false">IF(INDEX(Prod_Nombre,6)="","Producto 6",INDEX(Prod_Nombre,6))&amp;" — venta"</f>
        <v>Producto 6 — venta</v>
      </c>
      <c r="C106" s="11" t="s">
        <v>508</v>
      </c>
      <c r="D106" s="37"/>
      <c r="E106" s="37"/>
      <c r="F106" s="37"/>
      <c r="G106" s="37"/>
      <c r="H106" s="37"/>
      <c r="I106" s="37"/>
      <c r="J106" s="37"/>
      <c r="K106" s="37"/>
      <c r="L106" s="37"/>
      <c r="M106" s="37"/>
      <c r="N106" s="37"/>
      <c r="O106" s="54" t="str">
        <f aca="false">IF(COUNT(D106:N106)=0,"",SUM(D106:N106))</f>
        <v/>
      </c>
    </row>
    <row r="107" customFormat="false" ht="15" hidden="true" customHeight="false" outlineLevel="1" collapsed="false">
      <c r="A107" s="11" t="s">
        <v>2020</v>
      </c>
      <c r="B107" s="15" t="s">
        <v>2004</v>
      </c>
      <c r="C107" s="11" t="s">
        <v>544</v>
      </c>
      <c r="D107" s="37"/>
      <c r="E107" s="37"/>
      <c r="F107" s="37"/>
      <c r="G107" s="37"/>
      <c r="H107" s="37"/>
      <c r="I107" s="37"/>
      <c r="J107" s="37"/>
      <c r="K107" s="37"/>
      <c r="L107" s="37"/>
      <c r="M107" s="37"/>
      <c r="N107" s="37"/>
      <c r="O107" s="54" t="str">
        <f aca="false">IF(COUNT(D107:N107)=0,"",SUM(D107:N107))</f>
        <v/>
      </c>
    </row>
    <row r="108" customFormat="false" ht="15" hidden="true" customHeight="false" outlineLevel="1" collapsed="false">
      <c r="A108" s="11" t="s">
        <v>2021</v>
      </c>
      <c r="B108" s="15" t="s">
        <v>2006</v>
      </c>
      <c r="C108" s="11" t="s">
        <v>748</v>
      </c>
      <c r="D108" s="50" t="str">
        <f aca="false">IFERROR(IF(OR(NOT(ISNUMBER(D106)),N(D107)=0),"",D106/D107),"")</f>
        <v/>
      </c>
      <c r="E108" s="50" t="str">
        <f aca="false">IFERROR(IF(OR(NOT(ISNUMBER(E106)),N(E107)=0),"",E106/E107),"")</f>
        <v/>
      </c>
      <c r="F108" s="50" t="str">
        <f aca="false">IFERROR(IF(OR(NOT(ISNUMBER(F106)),N(F107)=0),"",F106/F107),"")</f>
        <v/>
      </c>
      <c r="G108" s="50" t="str">
        <f aca="false">IFERROR(IF(OR(NOT(ISNUMBER(G106)),N(G107)=0),"",G106/G107),"")</f>
        <v/>
      </c>
      <c r="H108" s="50" t="str">
        <f aca="false">IFERROR(IF(OR(NOT(ISNUMBER(H106)),N(H107)=0),"",H106/H107),"")</f>
        <v/>
      </c>
      <c r="I108" s="50" t="str">
        <f aca="false">IFERROR(IF(OR(NOT(ISNUMBER(I106)),N(I107)=0),"",I106/I107),"")</f>
        <v/>
      </c>
      <c r="J108" s="50" t="str">
        <f aca="false">IFERROR(IF(OR(NOT(ISNUMBER(J106)),N(J107)=0),"",J106/J107),"")</f>
        <v/>
      </c>
      <c r="K108" s="50" t="str">
        <f aca="false">IFERROR(IF(OR(NOT(ISNUMBER(K106)),N(K107)=0),"",K106/K107),"")</f>
        <v/>
      </c>
      <c r="L108" s="50" t="str">
        <f aca="false">IFERROR(IF(OR(NOT(ISNUMBER(L106)),N(L107)=0),"",L106/L107),"")</f>
        <v/>
      </c>
      <c r="M108" s="50" t="str">
        <f aca="false">IFERROR(IF(OR(NOT(ISNUMBER(M106)),N(M107)=0),"",M106/M107),"")</f>
        <v/>
      </c>
      <c r="N108" s="50" t="str">
        <f aca="false">IFERROR(IF(OR(NOT(ISNUMBER(N106)),N(N107)=0),"",N106/N107),"")</f>
        <v/>
      </c>
      <c r="O108" s="68" t="str">
        <f aca="false">IFERROR(IF(OR(NOT(ISNUMBER(O106)),N(O107)=0),"",O106/O107),"")</f>
        <v/>
      </c>
    </row>
    <row r="109" customFormat="false" ht="15" hidden="true" customHeight="false" outlineLevel="1" collapsed="false">
      <c r="A109" s="11" t="s">
        <v>2022</v>
      </c>
      <c r="B109" s="53" t="str">
        <f aca="false">IF(INDEX(Prod_Nombre,7)="","Producto 7",INDEX(Prod_Nombre,7))&amp;" — venta"</f>
        <v>Producto 7 — venta</v>
      </c>
      <c r="C109" s="11" t="s">
        <v>508</v>
      </c>
      <c r="D109" s="37"/>
      <c r="E109" s="37"/>
      <c r="F109" s="37"/>
      <c r="G109" s="37"/>
      <c r="H109" s="37"/>
      <c r="I109" s="37"/>
      <c r="J109" s="37"/>
      <c r="K109" s="37"/>
      <c r="L109" s="37"/>
      <c r="M109" s="37"/>
      <c r="N109" s="37"/>
      <c r="O109" s="54" t="str">
        <f aca="false">IF(COUNT(D109:N109)=0,"",SUM(D109:N109))</f>
        <v/>
      </c>
    </row>
    <row r="110" customFormat="false" ht="15" hidden="true" customHeight="false" outlineLevel="1" collapsed="false">
      <c r="A110" s="11" t="s">
        <v>2023</v>
      </c>
      <c r="B110" s="15" t="s">
        <v>2004</v>
      </c>
      <c r="C110" s="11" t="s">
        <v>544</v>
      </c>
      <c r="D110" s="37"/>
      <c r="E110" s="37"/>
      <c r="F110" s="37"/>
      <c r="G110" s="37"/>
      <c r="H110" s="37"/>
      <c r="I110" s="37"/>
      <c r="J110" s="37"/>
      <c r="K110" s="37"/>
      <c r="L110" s="37"/>
      <c r="M110" s="37"/>
      <c r="N110" s="37"/>
      <c r="O110" s="54" t="str">
        <f aca="false">IF(COUNT(D110:N110)=0,"",SUM(D110:N110))</f>
        <v/>
      </c>
    </row>
    <row r="111" customFormat="false" ht="15" hidden="true" customHeight="false" outlineLevel="1" collapsed="false">
      <c r="A111" s="11" t="s">
        <v>2024</v>
      </c>
      <c r="B111" s="15" t="s">
        <v>2006</v>
      </c>
      <c r="C111" s="11" t="s">
        <v>748</v>
      </c>
      <c r="D111" s="50" t="str">
        <f aca="false">IFERROR(IF(OR(NOT(ISNUMBER(D109)),N(D110)=0),"",D109/D110),"")</f>
        <v/>
      </c>
      <c r="E111" s="50" t="str">
        <f aca="false">IFERROR(IF(OR(NOT(ISNUMBER(E109)),N(E110)=0),"",E109/E110),"")</f>
        <v/>
      </c>
      <c r="F111" s="50" t="str">
        <f aca="false">IFERROR(IF(OR(NOT(ISNUMBER(F109)),N(F110)=0),"",F109/F110),"")</f>
        <v/>
      </c>
      <c r="G111" s="50" t="str">
        <f aca="false">IFERROR(IF(OR(NOT(ISNUMBER(G109)),N(G110)=0),"",G109/G110),"")</f>
        <v/>
      </c>
      <c r="H111" s="50" t="str">
        <f aca="false">IFERROR(IF(OR(NOT(ISNUMBER(H109)),N(H110)=0),"",H109/H110),"")</f>
        <v/>
      </c>
      <c r="I111" s="50" t="str">
        <f aca="false">IFERROR(IF(OR(NOT(ISNUMBER(I109)),N(I110)=0),"",I109/I110),"")</f>
        <v/>
      </c>
      <c r="J111" s="50" t="str">
        <f aca="false">IFERROR(IF(OR(NOT(ISNUMBER(J109)),N(J110)=0),"",J109/J110),"")</f>
        <v/>
      </c>
      <c r="K111" s="50" t="str">
        <f aca="false">IFERROR(IF(OR(NOT(ISNUMBER(K109)),N(K110)=0),"",K109/K110),"")</f>
        <v/>
      </c>
      <c r="L111" s="50" t="str">
        <f aca="false">IFERROR(IF(OR(NOT(ISNUMBER(L109)),N(L110)=0),"",L109/L110),"")</f>
        <v/>
      </c>
      <c r="M111" s="50" t="str">
        <f aca="false">IFERROR(IF(OR(NOT(ISNUMBER(M109)),N(M110)=0),"",M109/M110),"")</f>
        <v/>
      </c>
      <c r="N111" s="50" t="str">
        <f aca="false">IFERROR(IF(OR(NOT(ISNUMBER(N109)),N(N110)=0),"",N109/N110),"")</f>
        <v/>
      </c>
      <c r="O111" s="68" t="str">
        <f aca="false">IFERROR(IF(OR(NOT(ISNUMBER(O109)),N(O110)=0),"",O109/O110),"")</f>
        <v/>
      </c>
    </row>
    <row r="112" customFormat="false" ht="15" hidden="true" customHeight="false" outlineLevel="1" collapsed="false">
      <c r="A112" s="11" t="s">
        <v>2025</v>
      </c>
      <c r="B112" s="53" t="str">
        <f aca="false">IF(INDEX(Prod_Nombre,8)="","Producto 8",INDEX(Prod_Nombre,8))&amp;" — venta"</f>
        <v>Producto 8 — venta</v>
      </c>
      <c r="C112" s="11" t="s">
        <v>508</v>
      </c>
      <c r="D112" s="37"/>
      <c r="E112" s="37"/>
      <c r="F112" s="37"/>
      <c r="G112" s="37"/>
      <c r="H112" s="37"/>
      <c r="I112" s="37"/>
      <c r="J112" s="37"/>
      <c r="K112" s="37"/>
      <c r="L112" s="37"/>
      <c r="M112" s="37"/>
      <c r="N112" s="37"/>
      <c r="O112" s="54" t="str">
        <f aca="false">IF(COUNT(D112:N112)=0,"",SUM(D112:N112))</f>
        <v/>
      </c>
    </row>
    <row r="113" customFormat="false" ht="15" hidden="true" customHeight="false" outlineLevel="1" collapsed="false">
      <c r="A113" s="11" t="s">
        <v>2026</v>
      </c>
      <c r="B113" s="15" t="s">
        <v>2004</v>
      </c>
      <c r="C113" s="11" t="s">
        <v>544</v>
      </c>
      <c r="D113" s="37"/>
      <c r="E113" s="37"/>
      <c r="F113" s="37"/>
      <c r="G113" s="37"/>
      <c r="H113" s="37"/>
      <c r="I113" s="37"/>
      <c r="J113" s="37"/>
      <c r="K113" s="37"/>
      <c r="L113" s="37"/>
      <c r="M113" s="37"/>
      <c r="N113" s="37"/>
      <c r="O113" s="54" t="str">
        <f aca="false">IF(COUNT(D113:N113)=0,"",SUM(D113:N113))</f>
        <v/>
      </c>
    </row>
    <row r="114" customFormat="false" ht="15" hidden="true" customHeight="false" outlineLevel="1" collapsed="false">
      <c r="A114" s="11" t="s">
        <v>2027</v>
      </c>
      <c r="B114" s="15" t="s">
        <v>2006</v>
      </c>
      <c r="C114" s="11" t="s">
        <v>748</v>
      </c>
      <c r="D114" s="50" t="str">
        <f aca="false">IFERROR(IF(OR(NOT(ISNUMBER(D112)),N(D113)=0),"",D112/D113),"")</f>
        <v/>
      </c>
      <c r="E114" s="50" t="str">
        <f aca="false">IFERROR(IF(OR(NOT(ISNUMBER(E112)),N(E113)=0),"",E112/E113),"")</f>
        <v/>
      </c>
      <c r="F114" s="50" t="str">
        <f aca="false">IFERROR(IF(OR(NOT(ISNUMBER(F112)),N(F113)=0),"",F112/F113),"")</f>
        <v/>
      </c>
      <c r="G114" s="50" t="str">
        <f aca="false">IFERROR(IF(OR(NOT(ISNUMBER(G112)),N(G113)=0),"",G112/G113),"")</f>
        <v/>
      </c>
      <c r="H114" s="50" t="str">
        <f aca="false">IFERROR(IF(OR(NOT(ISNUMBER(H112)),N(H113)=0),"",H112/H113),"")</f>
        <v/>
      </c>
      <c r="I114" s="50" t="str">
        <f aca="false">IFERROR(IF(OR(NOT(ISNUMBER(I112)),N(I113)=0),"",I112/I113),"")</f>
        <v/>
      </c>
      <c r="J114" s="50" t="str">
        <f aca="false">IFERROR(IF(OR(NOT(ISNUMBER(J112)),N(J113)=0),"",J112/J113),"")</f>
        <v/>
      </c>
      <c r="K114" s="50" t="str">
        <f aca="false">IFERROR(IF(OR(NOT(ISNUMBER(K112)),N(K113)=0),"",K112/K113),"")</f>
        <v/>
      </c>
      <c r="L114" s="50" t="str">
        <f aca="false">IFERROR(IF(OR(NOT(ISNUMBER(L112)),N(L113)=0),"",L112/L113),"")</f>
        <v/>
      </c>
      <c r="M114" s="50" t="str">
        <f aca="false">IFERROR(IF(OR(NOT(ISNUMBER(M112)),N(M113)=0),"",M112/M113),"")</f>
        <v/>
      </c>
      <c r="N114" s="50" t="str">
        <f aca="false">IFERROR(IF(OR(NOT(ISNUMBER(N112)),N(N113)=0),"",N112/N113),"")</f>
        <v/>
      </c>
      <c r="O114" s="68" t="str">
        <f aca="false">IFERROR(IF(OR(NOT(ISNUMBER(O112)),N(O113)=0),"",O112/O113),"")</f>
        <v/>
      </c>
    </row>
    <row r="115" customFormat="false" ht="15" hidden="true" customHeight="false" outlineLevel="1" collapsed="false">
      <c r="A115" s="11" t="s">
        <v>2028</v>
      </c>
      <c r="B115" s="53" t="str">
        <f aca="false">IF(INDEX(Prod_Nombre,9)="","Producto 9",INDEX(Prod_Nombre,9))&amp;" — venta"</f>
        <v>Producto 9 — venta</v>
      </c>
      <c r="C115" s="11" t="s">
        <v>508</v>
      </c>
      <c r="D115" s="37"/>
      <c r="E115" s="37"/>
      <c r="F115" s="37"/>
      <c r="G115" s="37"/>
      <c r="H115" s="37"/>
      <c r="I115" s="37"/>
      <c r="J115" s="37"/>
      <c r="K115" s="37"/>
      <c r="L115" s="37"/>
      <c r="M115" s="37"/>
      <c r="N115" s="37"/>
      <c r="O115" s="54" t="str">
        <f aca="false">IF(COUNT(D115:N115)=0,"",SUM(D115:N115))</f>
        <v/>
      </c>
    </row>
    <row r="116" customFormat="false" ht="15" hidden="true" customHeight="false" outlineLevel="1" collapsed="false">
      <c r="A116" s="11" t="s">
        <v>2029</v>
      </c>
      <c r="B116" s="15" t="s">
        <v>2004</v>
      </c>
      <c r="C116" s="11" t="s">
        <v>544</v>
      </c>
      <c r="D116" s="37"/>
      <c r="E116" s="37"/>
      <c r="F116" s="37"/>
      <c r="G116" s="37"/>
      <c r="H116" s="37"/>
      <c r="I116" s="37"/>
      <c r="J116" s="37"/>
      <c r="K116" s="37"/>
      <c r="L116" s="37"/>
      <c r="M116" s="37"/>
      <c r="N116" s="37"/>
      <c r="O116" s="54" t="str">
        <f aca="false">IF(COUNT(D116:N116)=0,"",SUM(D116:N116))</f>
        <v/>
      </c>
    </row>
    <row r="117" customFormat="false" ht="15" hidden="true" customHeight="false" outlineLevel="1" collapsed="false">
      <c r="A117" s="11" t="s">
        <v>2030</v>
      </c>
      <c r="B117" s="15" t="s">
        <v>2006</v>
      </c>
      <c r="C117" s="11" t="s">
        <v>748</v>
      </c>
      <c r="D117" s="50" t="str">
        <f aca="false">IFERROR(IF(OR(NOT(ISNUMBER(D115)),N(D116)=0),"",D115/D116),"")</f>
        <v/>
      </c>
      <c r="E117" s="50" t="str">
        <f aca="false">IFERROR(IF(OR(NOT(ISNUMBER(E115)),N(E116)=0),"",E115/E116),"")</f>
        <v/>
      </c>
      <c r="F117" s="50" t="str">
        <f aca="false">IFERROR(IF(OR(NOT(ISNUMBER(F115)),N(F116)=0),"",F115/F116),"")</f>
        <v/>
      </c>
      <c r="G117" s="50" t="str">
        <f aca="false">IFERROR(IF(OR(NOT(ISNUMBER(G115)),N(G116)=0),"",G115/G116),"")</f>
        <v/>
      </c>
      <c r="H117" s="50" t="str">
        <f aca="false">IFERROR(IF(OR(NOT(ISNUMBER(H115)),N(H116)=0),"",H115/H116),"")</f>
        <v/>
      </c>
      <c r="I117" s="50" t="str">
        <f aca="false">IFERROR(IF(OR(NOT(ISNUMBER(I115)),N(I116)=0),"",I115/I116),"")</f>
        <v/>
      </c>
      <c r="J117" s="50" t="str">
        <f aca="false">IFERROR(IF(OR(NOT(ISNUMBER(J115)),N(J116)=0),"",J115/J116),"")</f>
        <v/>
      </c>
      <c r="K117" s="50" t="str">
        <f aca="false">IFERROR(IF(OR(NOT(ISNUMBER(K115)),N(K116)=0),"",K115/K116),"")</f>
        <v/>
      </c>
      <c r="L117" s="50" t="str">
        <f aca="false">IFERROR(IF(OR(NOT(ISNUMBER(L115)),N(L116)=0),"",L115/L116),"")</f>
        <v/>
      </c>
      <c r="M117" s="50" t="str">
        <f aca="false">IFERROR(IF(OR(NOT(ISNUMBER(M115)),N(M116)=0),"",M115/M116),"")</f>
        <v/>
      </c>
      <c r="N117" s="50" t="str">
        <f aca="false">IFERROR(IF(OR(NOT(ISNUMBER(N115)),N(N116)=0),"",N115/N116),"")</f>
        <v/>
      </c>
      <c r="O117" s="68" t="str">
        <f aca="false">IFERROR(IF(OR(NOT(ISNUMBER(O115)),N(O116)=0),"",O115/O116),"")</f>
        <v/>
      </c>
    </row>
    <row r="118" customFormat="false" ht="15" hidden="true" customHeight="false" outlineLevel="1" collapsed="false">
      <c r="A118" s="11" t="s">
        <v>2031</v>
      </c>
      <c r="B118" s="53" t="str">
        <f aca="false">IF(INDEX(Prod_Nombre,10)="","Producto 10",INDEX(Prod_Nombre,10))&amp;" — venta"</f>
        <v>Producto 10 — venta</v>
      </c>
      <c r="C118" s="11" t="s">
        <v>508</v>
      </c>
      <c r="D118" s="37"/>
      <c r="E118" s="37"/>
      <c r="F118" s="37"/>
      <c r="G118" s="37"/>
      <c r="H118" s="37"/>
      <c r="I118" s="37"/>
      <c r="J118" s="37"/>
      <c r="K118" s="37"/>
      <c r="L118" s="37"/>
      <c r="M118" s="37"/>
      <c r="N118" s="37"/>
      <c r="O118" s="54" t="str">
        <f aca="false">IF(COUNT(D118:N118)=0,"",SUM(D118:N118))</f>
        <v/>
      </c>
    </row>
    <row r="119" customFormat="false" ht="15" hidden="true" customHeight="false" outlineLevel="1" collapsed="false">
      <c r="A119" s="11" t="s">
        <v>2032</v>
      </c>
      <c r="B119" s="15" t="s">
        <v>2004</v>
      </c>
      <c r="C119" s="11" t="s">
        <v>544</v>
      </c>
      <c r="D119" s="37"/>
      <c r="E119" s="37"/>
      <c r="F119" s="37"/>
      <c r="G119" s="37"/>
      <c r="H119" s="37"/>
      <c r="I119" s="37"/>
      <c r="J119" s="37"/>
      <c r="K119" s="37"/>
      <c r="L119" s="37"/>
      <c r="M119" s="37"/>
      <c r="N119" s="37"/>
      <c r="O119" s="54" t="str">
        <f aca="false">IF(COUNT(D119:N119)=0,"",SUM(D119:N119))</f>
        <v/>
      </c>
    </row>
    <row r="120" customFormat="false" ht="15" hidden="true" customHeight="false" outlineLevel="1" collapsed="false">
      <c r="A120" s="11" t="s">
        <v>2033</v>
      </c>
      <c r="B120" s="15" t="s">
        <v>2006</v>
      </c>
      <c r="C120" s="11" t="s">
        <v>748</v>
      </c>
      <c r="D120" s="50" t="str">
        <f aca="false">IFERROR(IF(OR(NOT(ISNUMBER(D118)),N(D119)=0),"",D118/D119),"")</f>
        <v/>
      </c>
      <c r="E120" s="50" t="str">
        <f aca="false">IFERROR(IF(OR(NOT(ISNUMBER(E118)),N(E119)=0),"",E118/E119),"")</f>
        <v/>
      </c>
      <c r="F120" s="50" t="str">
        <f aca="false">IFERROR(IF(OR(NOT(ISNUMBER(F118)),N(F119)=0),"",F118/F119),"")</f>
        <v/>
      </c>
      <c r="G120" s="50" t="str">
        <f aca="false">IFERROR(IF(OR(NOT(ISNUMBER(G118)),N(G119)=0),"",G118/G119),"")</f>
        <v/>
      </c>
      <c r="H120" s="50" t="str">
        <f aca="false">IFERROR(IF(OR(NOT(ISNUMBER(H118)),N(H119)=0),"",H118/H119),"")</f>
        <v/>
      </c>
      <c r="I120" s="50" t="str">
        <f aca="false">IFERROR(IF(OR(NOT(ISNUMBER(I118)),N(I119)=0),"",I118/I119),"")</f>
        <v/>
      </c>
      <c r="J120" s="50" t="str">
        <f aca="false">IFERROR(IF(OR(NOT(ISNUMBER(J118)),N(J119)=0),"",J118/J119),"")</f>
        <v/>
      </c>
      <c r="K120" s="50" t="str">
        <f aca="false">IFERROR(IF(OR(NOT(ISNUMBER(K118)),N(K119)=0),"",K118/K119),"")</f>
        <v/>
      </c>
      <c r="L120" s="50" t="str">
        <f aca="false">IFERROR(IF(OR(NOT(ISNUMBER(L118)),N(L119)=0),"",L118/L119),"")</f>
        <v/>
      </c>
      <c r="M120" s="50" t="str">
        <f aca="false">IFERROR(IF(OR(NOT(ISNUMBER(M118)),N(M119)=0),"",M118/M119),"")</f>
        <v/>
      </c>
      <c r="N120" s="50" t="str">
        <f aca="false">IFERROR(IF(OR(NOT(ISNUMBER(N118)),N(N119)=0),"",N118/N119),"")</f>
        <v/>
      </c>
      <c r="O120" s="68" t="str">
        <f aca="false">IFERROR(IF(OR(NOT(ISNUMBER(O118)),N(O119)=0),"",O118/O119),"")</f>
        <v/>
      </c>
    </row>
    <row r="121" customFormat="false" ht="15" hidden="true" customHeight="false" outlineLevel="1" collapsed="false">
      <c r="A121" s="11" t="s">
        <v>2034</v>
      </c>
      <c r="B121" s="53" t="str">
        <f aca="false">IF(INDEX(Prod_Nombre,11)="","Producto 11",INDEX(Prod_Nombre,11))&amp;" — venta"</f>
        <v>Producto 11 — venta</v>
      </c>
      <c r="C121" s="11" t="s">
        <v>508</v>
      </c>
      <c r="D121" s="37"/>
      <c r="E121" s="37"/>
      <c r="F121" s="37"/>
      <c r="G121" s="37"/>
      <c r="H121" s="37"/>
      <c r="I121" s="37"/>
      <c r="J121" s="37"/>
      <c r="K121" s="37"/>
      <c r="L121" s="37"/>
      <c r="M121" s="37"/>
      <c r="N121" s="37"/>
      <c r="O121" s="54" t="str">
        <f aca="false">IF(COUNT(D121:N121)=0,"",SUM(D121:N121))</f>
        <v/>
      </c>
    </row>
    <row r="122" customFormat="false" ht="15" hidden="true" customHeight="false" outlineLevel="1" collapsed="false">
      <c r="A122" s="11" t="s">
        <v>2035</v>
      </c>
      <c r="B122" s="15" t="s">
        <v>2004</v>
      </c>
      <c r="C122" s="11" t="s">
        <v>544</v>
      </c>
      <c r="D122" s="37"/>
      <c r="E122" s="37"/>
      <c r="F122" s="37"/>
      <c r="G122" s="37"/>
      <c r="H122" s="37"/>
      <c r="I122" s="37"/>
      <c r="J122" s="37"/>
      <c r="K122" s="37"/>
      <c r="L122" s="37"/>
      <c r="M122" s="37"/>
      <c r="N122" s="37"/>
      <c r="O122" s="54" t="str">
        <f aca="false">IF(COUNT(D122:N122)=0,"",SUM(D122:N122))</f>
        <v/>
      </c>
    </row>
    <row r="123" customFormat="false" ht="15" hidden="true" customHeight="false" outlineLevel="1" collapsed="false">
      <c r="A123" s="11" t="s">
        <v>2036</v>
      </c>
      <c r="B123" s="15" t="s">
        <v>2006</v>
      </c>
      <c r="C123" s="11" t="s">
        <v>748</v>
      </c>
      <c r="D123" s="50" t="str">
        <f aca="false">IFERROR(IF(OR(NOT(ISNUMBER(D121)),N(D122)=0),"",D121/D122),"")</f>
        <v/>
      </c>
      <c r="E123" s="50" t="str">
        <f aca="false">IFERROR(IF(OR(NOT(ISNUMBER(E121)),N(E122)=0),"",E121/E122),"")</f>
        <v/>
      </c>
      <c r="F123" s="50" t="str">
        <f aca="false">IFERROR(IF(OR(NOT(ISNUMBER(F121)),N(F122)=0),"",F121/F122),"")</f>
        <v/>
      </c>
      <c r="G123" s="50" t="str">
        <f aca="false">IFERROR(IF(OR(NOT(ISNUMBER(G121)),N(G122)=0),"",G121/G122),"")</f>
        <v/>
      </c>
      <c r="H123" s="50" t="str">
        <f aca="false">IFERROR(IF(OR(NOT(ISNUMBER(H121)),N(H122)=0),"",H121/H122),"")</f>
        <v/>
      </c>
      <c r="I123" s="50" t="str">
        <f aca="false">IFERROR(IF(OR(NOT(ISNUMBER(I121)),N(I122)=0),"",I121/I122),"")</f>
        <v/>
      </c>
      <c r="J123" s="50" t="str">
        <f aca="false">IFERROR(IF(OR(NOT(ISNUMBER(J121)),N(J122)=0),"",J121/J122),"")</f>
        <v/>
      </c>
      <c r="K123" s="50" t="str">
        <f aca="false">IFERROR(IF(OR(NOT(ISNUMBER(K121)),N(K122)=0),"",K121/K122),"")</f>
        <v/>
      </c>
      <c r="L123" s="50" t="str">
        <f aca="false">IFERROR(IF(OR(NOT(ISNUMBER(L121)),N(L122)=0),"",L121/L122),"")</f>
        <v/>
      </c>
      <c r="M123" s="50" t="str">
        <f aca="false">IFERROR(IF(OR(NOT(ISNUMBER(M121)),N(M122)=0),"",M121/M122),"")</f>
        <v/>
      </c>
      <c r="N123" s="50" t="str">
        <f aca="false">IFERROR(IF(OR(NOT(ISNUMBER(N121)),N(N122)=0),"",N121/N122),"")</f>
        <v/>
      </c>
      <c r="O123" s="68" t="str">
        <f aca="false">IFERROR(IF(OR(NOT(ISNUMBER(O121)),N(O122)=0),"",O121/O122),"")</f>
        <v/>
      </c>
    </row>
    <row r="124" customFormat="false" ht="15" hidden="true" customHeight="false" outlineLevel="1" collapsed="false">
      <c r="A124" s="11" t="s">
        <v>2037</v>
      </c>
      <c r="B124" s="53" t="str">
        <f aca="false">IF(INDEX(Prod_Nombre,12)="","Producto 12",INDEX(Prod_Nombre,12))&amp;" — venta"</f>
        <v>Producto 12 — venta</v>
      </c>
      <c r="C124" s="11" t="s">
        <v>508</v>
      </c>
      <c r="D124" s="37"/>
      <c r="E124" s="37"/>
      <c r="F124" s="37"/>
      <c r="G124" s="37"/>
      <c r="H124" s="37"/>
      <c r="I124" s="37"/>
      <c r="J124" s="37"/>
      <c r="K124" s="37"/>
      <c r="L124" s="37"/>
      <c r="M124" s="37"/>
      <c r="N124" s="37"/>
      <c r="O124" s="54" t="str">
        <f aca="false">IF(COUNT(D124:N124)=0,"",SUM(D124:N124))</f>
        <v/>
      </c>
    </row>
    <row r="125" customFormat="false" ht="15" hidden="true" customHeight="false" outlineLevel="1" collapsed="false">
      <c r="A125" s="11" t="s">
        <v>2038</v>
      </c>
      <c r="B125" s="15" t="s">
        <v>2004</v>
      </c>
      <c r="C125" s="11" t="s">
        <v>544</v>
      </c>
      <c r="D125" s="37"/>
      <c r="E125" s="37"/>
      <c r="F125" s="37"/>
      <c r="G125" s="37"/>
      <c r="H125" s="37"/>
      <c r="I125" s="37"/>
      <c r="J125" s="37"/>
      <c r="K125" s="37"/>
      <c r="L125" s="37"/>
      <c r="M125" s="37"/>
      <c r="N125" s="37"/>
      <c r="O125" s="54" t="str">
        <f aca="false">IF(COUNT(D125:N125)=0,"",SUM(D125:N125))</f>
        <v/>
      </c>
    </row>
    <row r="126" customFormat="false" ht="15" hidden="true" customHeight="false" outlineLevel="1" collapsed="false">
      <c r="A126" s="11" t="s">
        <v>2039</v>
      </c>
      <c r="B126" s="15" t="s">
        <v>2006</v>
      </c>
      <c r="C126" s="11" t="s">
        <v>748</v>
      </c>
      <c r="D126" s="50" t="str">
        <f aca="false">IFERROR(IF(OR(NOT(ISNUMBER(D124)),N(D125)=0),"",D124/D125),"")</f>
        <v/>
      </c>
      <c r="E126" s="50" t="str">
        <f aca="false">IFERROR(IF(OR(NOT(ISNUMBER(E124)),N(E125)=0),"",E124/E125),"")</f>
        <v/>
      </c>
      <c r="F126" s="50" t="str">
        <f aca="false">IFERROR(IF(OR(NOT(ISNUMBER(F124)),N(F125)=0),"",F124/F125),"")</f>
        <v/>
      </c>
      <c r="G126" s="50" t="str">
        <f aca="false">IFERROR(IF(OR(NOT(ISNUMBER(G124)),N(G125)=0),"",G124/G125),"")</f>
        <v/>
      </c>
      <c r="H126" s="50" t="str">
        <f aca="false">IFERROR(IF(OR(NOT(ISNUMBER(H124)),N(H125)=0),"",H124/H125),"")</f>
        <v/>
      </c>
      <c r="I126" s="50" t="str">
        <f aca="false">IFERROR(IF(OR(NOT(ISNUMBER(I124)),N(I125)=0),"",I124/I125),"")</f>
        <v/>
      </c>
      <c r="J126" s="50" t="str">
        <f aca="false">IFERROR(IF(OR(NOT(ISNUMBER(J124)),N(J125)=0),"",J124/J125),"")</f>
        <v/>
      </c>
      <c r="K126" s="50" t="str">
        <f aca="false">IFERROR(IF(OR(NOT(ISNUMBER(K124)),N(K125)=0),"",K124/K125),"")</f>
        <v/>
      </c>
      <c r="L126" s="50" t="str">
        <f aca="false">IFERROR(IF(OR(NOT(ISNUMBER(L124)),N(L125)=0),"",L124/L125),"")</f>
        <v/>
      </c>
      <c r="M126" s="50" t="str">
        <f aca="false">IFERROR(IF(OR(NOT(ISNUMBER(M124)),N(M125)=0),"",M124/M125),"")</f>
        <v/>
      </c>
      <c r="N126" s="50" t="str">
        <f aca="false">IFERROR(IF(OR(NOT(ISNUMBER(N124)),N(N125)=0),"",N124/N125),"")</f>
        <v/>
      </c>
      <c r="O126" s="68" t="str">
        <f aca="false">IFERROR(IF(OR(NOT(ISNUMBER(O124)),N(O125)=0),"",O124/O125),"")</f>
        <v/>
      </c>
    </row>
    <row r="127" customFormat="false" ht="15" hidden="true" customHeight="false" outlineLevel="1" collapsed="false">
      <c r="A127" s="11" t="s">
        <v>2040</v>
      </c>
      <c r="B127" s="53" t="str">
        <f aca="false">IF(INDEX(Prod_Nombre,13)="","Producto 13",INDEX(Prod_Nombre,13))&amp;" — venta"</f>
        <v>Producto 13 — venta</v>
      </c>
      <c r="C127" s="11" t="s">
        <v>508</v>
      </c>
      <c r="D127" s="37"/>
      <c r="E127" s="37"/>
      <c r="F127" s="37"/>
      <c r="G127" s="37"/>
      <c r="H127" s="37"/>
      <c r="I127" s="37"/>
      <c r="J127" s="37"/>
      <c r="K127" s="37"/>
      <c r="L127" s="37"/>
      <c r="M127" s="37"/>
      <c r="N127" s="37"/>
      <c r="O127" s="54" t="str">
        <f aca="false">IF(COUNT(D127:N127)=0,"",SUM(D127:N127))</f>
        <v/>
      </c>
    </row>
    <row r="128" customFormat="false" ht="15" hidden="true" customHeight="false" outlineLevel="1" collapsed="false">
      <c r="A128" s="11" t="s">
        <v>2041</v>
      </c>
      <c r="B128" s="15" t="s">
        <v>2004</v>
      </c>
      <c r="C128" s="11" t="s">
        <v>544</v>
      </c>
      <c r="D128" s="37"/>
      <c r="E128" s="37"/>
      <c r="F128" s="37"/>
      <c r="G128" s="37"/>
      <c r="H128" s="37"/>
      <c r="I128" s="37"/>
      <c r="J128" s="37"/>
      <c r="K128" s="37"/>
      <c r="L128" s="37"/>
      <c r="M128" s="37"/>
      <c r="N128" s="37"/>
      <c r="O128" s="54" t="str">
        <f aca="false">IF(COUNT(D128:N128)=0,"",SUM(D128:N128))</f>
        <v/>
      </c>
    </row>
    <row r="129" customFormat="false" ht="15" hidden="true" customHeight="false" outlineLevel="1" collapsed="false">
      <c r="A129" s="11" t="s">
        <v>2042</v>
      </c>
      <c r="B129" s="15" t="s">
        <v>2006</v>
      </c>
      <c r="C129" s="11" t="s">
        <v>748</v>
      </c>
      <c r="D129" s="50" t="str">
        <f aca="false">IFERROR(IF(OR(NOT(ISNUMBER(D127)),N(D128)=0),"",D127/D128),"")</f>
        <v/>
      </c>
      <c r="E129" s="50" t="str">
        <f aca="false">IFERROR(IF(OR(NOT(ISNUMBER(E127)),N(E128)=0),"",E127/E128),"")</f>
        <v/>
      </c>
      <c r="F129" s="50" t="str">
        <f aca="false">IFERROR(IF(OR(NOT(ISNUMBER(F127)),N(F128)=0),"",F127/F128),"")</f>
        <v/>
      </c>
      <c r="G129" s="50" t="str">
        <f aca="false">IFERROR(IF(OR(NOT(ISNUMBER(G127)),N(G128)=0),"",G127/G128),"")</f>
        <v/>
      </c>
      <c r="H129" s="50" t="str">
        <f aca="false">IFERROR(IF(OR(NOT(ISNUMBER(H127)),N(H128)=0),"",H127/H128),"")</f>
        <v/>
      </c>
      <c r="I129" s="50" t="str">
        <f aca="false">IFERROR(IF(OR(NOT(ISNUMBER(I127)),N(I128)=0),"",I127/I128),"")</f>
        <v/>
      </c>
      <c r="J129" s="50" t="str">
        <f aca="false">IFERROR(IF(OR(NOT(ISNUMBER(J127)),N(J128)=0),"",J127/J128),"")</f>
        <v/>
      </c>
      <c r="K129" s="50" t="str">
        <f aca="false">IFERROR(IF(OR(NOT(ISNUMBER(K127)),N(K128)=0),"",K127/K128),"")</f>
        <v/>
      </c>
      <c r="L129" s="50" t="str">
        <f aca="false">IFERROR(IF(OR(NOT(ISNUMBER(L127)),N(L128)=0),"",L127/L128),"")</f>
        <v/>
      </c>
      <c r="M129" s="50" t="str">
        <f aca="false">IFERROR(IF(OR(NOT(ISNUMBER(M127)),N(M128)=0),"",M127/M128),"")</f>
        <v/>
      </c>
      <c r="N129" s="50" t="str">
        <f aca="false">IFERROR(IF(OR(NOT(ISNUMBER(N127)),N(N128)=0),"",N127/N128),"")</f>
        <v/>
      </c>
      <c r="O129" s="68" t="str">
        <f aca="false">IFERROR(IF(OR(NOT(ISNUMBER(O127)),N(O128)=0),"",O127/O128),"")</f>
        <v/>
      </c>
    </row>
    <row r="130" customFormat="false" ht="15" hidden="true" customHeight="false" outlineLevel="1" collapsed="false">
      <c r="A130" s="11" t="s">
        <v>2043</v>
      </c>
      <c r="B130" s="53" t="str">
        <f aca="false">IF(INDEX(Prod_Nombre,14)="","Producto 14",INDEX(Prod_Nombre,14))&amp;" — venta"</f>
        <v>Producto 14 — venta</v>
      </c>
      <c r="C130" s="11" t="s">
        <v>508</v>
      </c>
      <c r="D130" s="37"/>
      <c r="E130" s="37"/>
      <c r="F130" s="37"/>
      <c r="G130" s="37"/>
      <c r="H130" s="37"/>
      <c r="I130" s="37"/>
      <c r="J130" s="37"/>
      <c r="K130" s="37"/>
      <c r="L130" s="37"/>
      <c r="M130" s="37"/>
      <c r="N130" s="37"/>
      <c r="O130" s="54" t="str">
        <f aca="false">IF(COUNT(D130:N130)=0,"",SUM(D130:N130))</f>
        <v/>
      </c>
    </row>
    <row r="131" customFormat="false" ht="15" hidden="true" customHeight="false" outlineLevel="1" collapsed="false">
      <c r="A131" s="11" t="s">
        <v>2044</v>
      </c>
      <c r="B131" s="15" t="s">
        <v>2004</v>
      </c>
      <c r="C131" s="11" t="s">
        <v>544</v>
      </c>
      <c r="D131" s="37"/>
      <c r="E131" s="37"/>
      <c r="F131" s="37"/>
      <c r="G131" s="37"/>
      <c r="H131" s="37"/>
      <c r="I131" s="37"/>
      <c r="J131" s="37"/>
      <c r="K131" s="37"/>
      <c r="L131" s="37"/>
      <c r="M131" s="37"/>
      <c r="N131" s="37"/>
      <c r="O131" s="54" t="str">
        <f aca="false">IF(COUNT(D131:N131)=0,"",SUM(D131:N131))</f>
        <v/>
      </c>
    </row>
    <row r="132" customFormat="false" ht="15" hidden="true" customHeight="false" outlineLevel="1" collapsed="false">
      <c r="A132" s="11" t="s">
        <v>2045</v>
      </c>
      <c r="B132" s="15" t="s">
        <v>2006</v>
      </c>
      <c r="C132" s="11" t="s">
        <v>748</v>
      </c>
      <c r="D132" s="50" t="str">
        <f aca="false">IFERROR(IF(OR(NOT(ISNUMBER(D130)),N(D131)=0),"",D130/D131),"")</f>
        <v/>
      </c>
      <c r="E132" s="50" t="str">
        <f aca="false">IFERROR(IF(OR(NOT(ISNUMBER(E130)),N(E131)=0),"",E130/E131),"")</f>
        <v/>
      </c>
      <c r="F132" s="50" t="str">
        <f aca="false">IFERROR(IF(OR(NOT(ISNUMBER(F130)),N(F131)=0),"",F130/F131),"")</f>
        <v/>
      </c>
      <c r="G132" s="50" t="str">
        <f aca="false">IFERROR(IF(OR(NOT(ISNUMBER(G130)),N(G131)=0),"",G130/G131),"")</f>
        <v/>
      </c>
      <c r="H132" s="50" t="str">
        <f aca="false">IFERROR(IF(OR(NOT(ISNUMBER(H130)),N(H131)=0),"",H130/H131),"")</f>
        <v/>
      </c>
      <c r="I132" s="50" t="str">
        <f aca="false">IFERROR(IF(OR(NOT(ISNUMBER(I130)),N(I131)=0),"",I130/I131),"")</f>
        <v/>
      </c>
      <c r="J132" s="50" t="str">
        <f aca="false">IFERROR(IF(OR(NOT(ISNUMBER(J130)),N(J131)=0),"",J130/J131),"")</f>
        <v/>
      </c>
      <c r="K132" s="50" t="str">
        <f aca="false">IFERROR(IF(OR(NOT(ISNUMBER(K130)),N(K131)=0),"",K130/K131),"")</f>
        <v/>
      </c>
      <c r="L132" s="50" t="str">
        <f aca="false">IFERROR(IF(OR(NOT(ISNUMBER(L130)),N(L131)=0),"",L130/L131),"")</f>
        <v/>
      </c>
      <c r="M132" s="50" t="str">
        <f aca="false">IFERROR(IF(OR(NOT(ISNUMBER(M130)),N(M131)=0),"",M130/M131),"")</f>
        <v/>
      </c>
      <c r="N132" s="50" t="str">
        <f aca="false">IFERROR(IF(OR(NOT(ISNUMBER(N130)),N(N131)=0),"",N130/N131),"")</f>
        <v/>
      </c>
      <c r="O132" s="68" t="str">
        <f aca="false">IFERROR(IF(OR(NOT(ISNUMBER(O130)),N(O131)=0),"",O130/O131),"")</f>
        <v/>
      </c>
    </row>
    <row r="133" customFormat="false" ht="15" hidden="true" customHeight="false" outlineLevel="1" collapsed="false">
      <c r="A133" s="11" t="s">
        <v>2046</v>
      </c>
      <c r="B133" s="53" t="str">
        <f aca="false">IF(INDEX(Prod_Nombre,15)="","Producto 15",INDEX(Prod_Nombre,15))&amp;" — venta"</f>
        <v>Producto 15 — venta</v>
      </c>
      <c r="C133" s="11" t="s">
        <v>508</v>
      </c>
      <c r="D133" s="37"/>
      <c r="E133" s="37"/>
      <c r="F133" s="37"/>
      <c r="G133" s="37"/>
      <c r="H133" s="37"/>
      <c r="I133" s="37"/>
      <c r="J133" s="37"/>
      <c r="K133" s="37"/>
      <c r="L133" s="37"/>
      <c r="M133" s="37"/>
      <c r="N133" s="37"/>
      <c r="O133" s="54" t="str">
        <f aca="false">IF(COUNT(D133:N133)=0,"",SUM(D133:N133))</f>
        <v/>
      </c>
    </row>
    <row r="134" customFormat="false" ht="15" hidden="true" customHeight="false" outlineLevel="1" collapsed="false">
      <c r="A134" s="11" t="s">
        <v>2047</v>
      </c>
      <c r="B134" s="15" t="s">
        <v>2004</v>
      </c>
      <c r="C134" s="11" t="s">
        <v>544</v>
      </c>
      <c r="D134" s="37"/>
      <c r="E134" s="37"/>
      <c r="F134" s="37"/>
      <c r="G134" s="37"/>
      <c r="H134" s="37"/>
      <c r="I134" s="37"/>
      <c r="J134" s="37"/>
      <c r="K134" s="37"/>
      <c r="L134" s="37"/>
      <c r="M134" s="37"/>
      <c r="N134" s="37"/>
      <c r="O134" s="54" t="str">
        <f aca="false">IF(COUNT(D134:N134)=0,"",SUM(D134:N134))</f>
        <v/>
      </c>
    </row>
    <row r="135" customFormat="false" ht="15" hidden="true" customHeight="false" outlineLevel="1" collapsed="false">
      <c r="A135" s="11" t="s">
        <v>2048</v>
      </c>
      <c r="B135" s="15" t="s">
        <v>2006</v>
      </c>
      <c r="C135" s="11" t="s">
        <v>748</v>
      </c>
      <c r="D135" s="50" t="str">
        <f aca="false">IFERROR(IF(OR(NOT(ISNUMBER(D133)),N(D134)=0),"",D133/D134),"")</f>
        <v/>
      </c>
      <c r="E135" s="50" t="str">
        <f aca="false">IFERROR(IF(OR(NOT(ISNUMBER(E133)),N(E134)=0),"",E133/E134),"")</f>
        <v/>
      </c>
      <c r="F135" s="50" t="str">
        <f aca="false">IFERROR(IF(OR(NOT(ISNUMBER(F133)),N(F134)=0),"",F133/F134),"")</f>
        <v/>
      </c>
      <c r="G135" s="50" t="str">
        <f aca="false">IFERROR(IF(OR(NOT(ISNUMBER(G133)),N(G134)=0),"",G133/G134),"")</f>
        <v/>
      </c>
      <c r="H135" s="50" t="str">
        <f aca="false">IFERROR(IF(OR(NOT(ISNUMBER(H133)),N(H134)=0),"",H133/H134),"")</f>
        <v/>
      </c>
      <c r="I135" s="50" t="str">
        <f aca="false">IFERROR(IF(OR(NOT(ISNUMBER(I133)),N(I134)=0),"",I133/I134),"")</f>
        <v/>
      </c>
      <c r="J135" s="50" t="str">
        <f aca="false">IFERROR(IF(OR(NOT(ISNUMBER(J133)),N(J134)=0),"",J133/J134),"")</f>
        <v/>
      </c>
      <c r="K135" s="50" t="str">
        <f aca="false">IFERROR(IF(OR(NOT(ISNUMBER(K133)),N(K134)=0),"",K133/K134),"")</f>
        <v/>
      </c>
      <c r="L135" s="50" t="str">
        <f aca="false">IFERROR(IF(OR(NOT(ISNUMBER(L133)),N(L134)=0),"",L133/L134),"")</f>
        <v/>
      </c>
      <c r="M135" s="50" t="str">
        <f aca="false">IFERROR(IF(OR(NOT(ISNUMBER(M133)),N(M134)=0),"",M133/M134),"")</f>
        <v/>
      </c>
      <c r="N135" s="50" t="str">
        <f aca="false">IFERROR(IF(OR(NOT(ISNUMBER(N133)),N(N134)=0),"",N133/N134),"")</f>
        <v/>
      </c>
      <c r="O135" s="68" t="str">
        <f aca="false">IFERROR(IF(OR(NOT(ISNUMBER(O133)),N(O134)=0),"",O133/O134),"")</f>
        <v/>
      </c>
    </row>
    <row r="136" customFormat="false" ht="15" hidden="true" customHeight="false" outlineLevel="1" collapsed="false">
      <c r="A136" s="11" t="s">
        <v>2049</v>
      </c>
      <c r="B136" s="53" t="str">
        <f aca="false">IF(INDEX(Prod_Nombre,16)="","Producto 16",INDEX(Prod_Nombre,16))&amp;" — venta"</f>
        <v>Producto 16 — venta</v>
      </c>
      <c r="C136" s="11" t="s">
        <v>508</v>
      </c>
      <c r="D136" s="37"/>
      <c r="E136" s="37"/>
      <c r="F136" s="37"/>
      <c r="G136" s="37"/>
      <c r="H136" s="37"/>
      <c r="I136" s="37"/>
      <c r="J136" s="37"/>
      <c r="K136" s="37"/>
      <c r="L136" s="37"/>
      <c r="M136" s="37"/>
      <c r="N136" s="37"/>
      <c r="O136" s="54" t="str">
        <f aca="false">IF(COUNT(D136:N136)=0,"",SUM(D136:N136))</f>
        <v/>
      </c>
    </row>
    <row r="137" customFormat="false" ht="15" hidden="true" customHeight="false" outlineLevel="1" collapsed="false">
      <c r="A137" s="11" t="s">
        <v>2050</v>
      </c>
      <c r="B137" s="15" t="s">
        <v>2004</v>
      </c>
      <c r="C137" s="11" t="s">
        <v>544</v>
      </c>
      <c r="D137" s="37"/>
      <c r="E137" s="37"/>
      <c r="F137" s="37"/>
      <c r="G137" s="37"/>
      <c r="H137" s="37"/>
      <c r="I137" s="37"/>
      <c r="J137" s="37"/>
      <c r="K137" s="37"/>
      <c r="L137" s="37"/>
      <c r="M137" s="37"/>
      <c r="N137" s="37"/>
      <c r="O137" s="54" t="str">
        <f aca="false">IF(COUNT(D137:N137)=0,"",SUM(D137:N137))</f>
        <v/>
      </c>
    </row>
    <row r="138" customFormat="false" ht="15" hidden="true" customHeight="false" outlineLevel="1" collapsed="false">
      <c r="A138" s="11" t="s">
        <v>2051</v>
      </c>
      <c r="B138" s="15" t="s">
        <v>2006</v>
      </c>
      <c r="C138" s="11" t="s">
        <v>748</v>
      </c>
      <c r="D138" s="50" t="str">
        <f aca="false">IFERROR(IF(OR(NOT(ISNUMBER(D136)),N(D137)=0),"",D136/D137),"")</f>
        <v/>
      </c>
      <c r="E138" s="50" t="str">
        <f aca="false">IFERROR(IF(OR(NOT(ISNUMBER(E136)),N(E137)=0),"",E136/E137),"")</f>
        <v/>
      </c>
      <c r="F138" s="50" t="str">
        <f aca="false">IFERROR(IF(OR(NOT(ISNUMBER(F136)),N(F137)=0),"",F136/F137),"")</f>
        <v/>
      </c>
      <c r="G138" s="50" t="str">
        <f aca="false">IFERROR(IF(OR(NOT(ISNUMBER(G136)),N(G137)=0),"",G136/G137),"")</f>
        <v/>
      </c>
      <c r="H138" s="50" t="str">
        <f aca="false">IFERROR(IF(OR(NOT(ISNUMBER(H136)),N(H137)=0),"",H136/H137),"")</f>
        <v/>
      </c>
      <c r="I138" s="50" t="str">
        <f aca="false">IFERROR(IF(OR(NOT(ISNUMBER(I136)),N(I137)=0),"",I136/I137),"")</f>
        <v/>
      </c>
      <c r="J138" s="50" t="str">
        <f aca="false">IFERROR(IF(OR(NOT(ISNUMBER(J136)),N(J137)=0),"",J136/J137),"")</f>
        <v/>
      </c>
      <c r="K138" s="50" t="str">
        <f aca="false">IFERROR(IF(OR(NOT(ISNUMBER(K136)),N(K137)=0),"",K136/K137),"")</f>
        <v/>
      </c>
      <c r="L138" s="50" t="str">
        <f aca="false">IFERROR(IF(OR(NOT(ISNUMBER(L136)),N(L137)=0),"",L136/L137),"")</f>
        <v/>
      </c>
      <c r="M138" s="50" t="str">
        <f aca="false">IFERROR(IF(OR(NOT(ISNUMBER(M136)),N(M137)=0),"",M136/M137),"")</f>
        <v/>
      </c>
      <c r="N138" s="50" t="str">
        <f aca="false">IFERROR(IF(OR(NOT(ISNUMBER(N136)),N(N137)=0),"",N136/N137),"")</f>
        <v/>
      </c>
      <c r="O138" s="68" t="str">
        <f aca="false">IFERROR(IF(OR(NOT(ISNUMBER(O136)),N(O137)=0),"",O136/O137),"")</f>
        <v/>
      </c>
    </row>
    <row r="139" customFormat="false" ht="15" hidden="true" customHeight="false" outlineLevel="1" collapsed="false">
      <c r="A139" s="11" t="s">
        <v>2052</v>
      </c>
      <c r="B139" s="53" t="str">
        <f aca="false">IF(INDEX(Prod_Nombre,17)="","Producto 17",INDEX(Prod_Nombre,17))&amp;" — venta"</f>
        <v>Producto 17 — venta</v>
      </c>
      <c r="C139" s="11" t="s">
        <v>508</v>
      </c>
      <c r="D139" s="37"/>
      <c r="E139" s="37"/>
      <c r="F139" s="37"/>
      <c r="G139" s="37"/>
      <c r="H139" s="37"/>
      <c r="I139" s="37"/>
      <c r="J139" s="37"/>
      <c r="K139" s="37"/>
      <c r="L139" s="37"/>
      <c r="M139" s="37"/>
      <c r="N139" s="37"/>
      <c r="O139" s="54" t="str">
        <f aca="false">IF(COUNT(D139:N139)=0,"",SUM(D139:N139))</f>
        <v/>
      </c>
    </row>
    <row r="140" customFormat="false" ht="15" hidden="true" customHeight="false" outlineLevel="1" collapsed="false">
      <c r="A140" s="11" t="s">
        <v>2053</v>
      </c>
      <c r="B140" s="15" t="s">
        <v>2004</v>
      </c>
      <c r="C140" s="11" t="s">
        <v>544</v>
      </c>
      <c r="D140" s="37"/>
      <c r="E140" s="37"/>
      <c r="F140" s="37"/>
      <c r="G140" s="37"/>
      <c r="H140" s="37"/>
      <c r="I140" s="37"/>
      <c r="J140" s="37"/>
      <c r="K140" s="37"/>
      <c r="L140" s="37"/>
      <c r="M140" s="37"/>
      <c r="N140" s="37"/>
      <c r="O140" s="54" t="str">
        <f aca="false">IF(COUNT(D140:N140)=0,"",SUM(D140:N140))</f>
        <v/>
      </c>
    </row>
    <row r="141" customFormat="false" ht="15" hidden="true" customHeight="false" outlineLevel="1" collapsed="false">
      <c r="A141" s="11" t="s">
        <v>2054</v>
      </c>
      <c r="B141" s="15" t="s">
        <v>2006</v>
      </c>
      <c r="C141" s="11" t="s">
        <v>748</v>
      </c>
      <c r="D141" s="50" t="str">
        <f aca="false">IFERROR(IF(OR(NOT(ISNUMBER(D139)),N(D140)=0),"",D139/D140),"")</f>
        <v/>
      </c>
      <c r="E141" s="50" t="str">
        <f aca="false">IFERROR(IF(OR(NOT(ISNUMBER(E139)),N(E140)=0),"",E139/E140),"")</f>
        <v/>
      </c>
      <c r="F141" s="50" t="str">
        <f aca="false">IFERROR(IF(OR(NOT(ISNUMBER(F139)),N(F140)=0),"",F139/F140),"")</f>
        <v/>
      </c>
      <c r="G141" s="50" t="str">
        <f aca="false">IFERROR(IF(OR(NOT(ISNUMBER(G139)),N(G140)=0),"",G139/G140),"")</f>
        <v/>
      </c>
      <c r="H141" s="50" t="str">
        <f aca="false">IFERROR(IF(OR(NOT(ISNUMBER(H139)),N(H140)=0),"",H139/H140),"")</f>
        <v/>
      </c>
      <c r="I141" s="50" t="str">
        <f aca="false">IFERROR(IF(OR(NOT(ISNUMBER(I139)),N(I140)=0),"",I139/I140),"")</f>
        <v/>
      </c>
      <c r="J141" s="50" t="str">
        <f aca="false">IFERROR(IF(OR(NOT(ISNUMBER(J139)),N(J140)=0),"",J139/J140),"")</f>
        <v/>
      </c>
      <c r="K141" s="50" t="str">
        <f aca="false">IFERROR(IF(OR(NOT(ISNUMBER(K139)),N(K140)=0),"",K139/K140),"")</f>
        <v/>
      </c>
      <c r="L141" s="50" t="str">
        <f aca="false">IFERROR(IF(OR(NOT(ISNUMBER(L139)),N(L140)=0),"",L139/L140),"")</f>
        <v/>
      </c>
      <c r="M141" s="50" t="str">
        <f aca="false">IFERROR(IF(OR(NOT(ISNUMBER(M139)),N(M140)=0),"",M139/M140),"")</f>
        <v/>
      </c>
      <c r="N141" s="50" t="str">
        <f aca="false">IFERROR(IF(OR(NOT(ISNUMBER(N139)),N(N140)=0),"",N139/N140),"")</f>
        <v/>
      </c>
      <c r="O141" s="68" t="str">
        <f aca="false">IFERROR(IF(OR(NOT(ISNUMBER(O139)),N(O140)=0),"",O139/O140),"")</f>
        <v/>
      </c>
    </row>
    <row r="142" customFormat="false" ht="15" hidden="true" customHeight="false" outlineLevel="1" collapsed="false">
      <c r="A142" s="11" t="s">
        <v>2055</v>
      </c>
      <c r="B142" s="53" t="str">
        <f aca="false">IF(INDEX(Prod_Nombre,18)="","Producto 18",INDEX(Prod_Nombre,18))&amp;" — venta"</f>
        <v>Producto 18 — venta</v>
      </c>
      <c r="C142" s="11" t="s">
        <v>508</v>
      </c>
      <c r="D142" s="37"/>
      <c r="E142" s="37"/>
      <c r="F142" s="37"/>
      <c r="G142" s="37"/>
      <c r="H142" s="37"/>
      <c r="I142" s="37"/>
      <c r="J142" s="37"/>
      <c r="K142" s="37"/>
      <c r="L142" s="37"/>
      <c r="M142" s="37"/>
      <c r="N142" s="37"/>
      <c r="O142" s="54" t="str">
        <f aca="false">IF(COUNT(D142:N142)=0,"",SUM(D142:N142))</f>
        <v/>
      </c>
    </row>
    <row r="143" customFormat="false" ht="15" hidden="true" customHeight="false" outlineLevel="1" collapsed="false">
      <c r="A143" s="11" t="s">
        <v>2056</v>
      </c>
      <c r="B143" s="15" t="s">
        <v>2004</v>
      </c>
      <c r="C143" s="11" t="s">
        <v>544</v>
      </c>
      <c r="D143" s="37"/>
      <c r="E143" s="37"/>
      <c r="F143" s="37"/>
      <c r="G143" s="37"/>
      <c r="H143" s="37"/>
      <c r="I143" s="37"/>
      <c r="J143" s="37"/>
      <c r="K143" s="37"/>
      <c r="L143" s="37"/>
      <c r="M143" s="37"/>
      <c r="N143" s="37"/>
      <c r="O143" s="54" t="str">
        <f aca="false">IF(COUNT(D143:N143)=0,"",SUM(D143:N143))</f>
        <v/>
      </c>
    </row>
    <row r="144" customFormat="false" ht="15" hidden="true" customHeight="false" outlineLevel="1" collapsed="false">
      <c r="A144" s="11" t="s">
        <v>2057</v>
      </c>
      <c r="B144" s="15" t="s">
        <v>2006</v>
      </c>
      <c r="C144" s="11" t="s">
        <v>748</v>
      </c>
      <c r="D144" s="50" t="str">
        <f aca="false">IFERROR(IF(OR(NOT(ISNUMBER(D142)),N(D143)=0),"",D142/D143),"")</f>
        <v/>
      </c>
      <c r="E144" s="50" t="str">
        <f aca="false">IFERROR(IF(OR(NOT(ISNUMBER(E142)),N(E143)=0),"",E142/E143),"")</f>
        <v/>
      </c>
      <c r="F144" s="50" t="str">
        <f aca="false">IFERROR(IF(OR(NOT(ISNUMBER(F142)),N(F143)=0),"",F142/F143),"")</f>
        <v/>
      </c>
      <c r="G144" s="50" t="str">
        <f aca="false">IFERROR(IF(OR(NOT(ISNUMBER(G142)),N(G143)=0),"",G142/G143),"")</f>
        <v/>
      </c>
      <c r="H144" s="50" t="str">
        <f aca="false">IFERROR(IF(OR(NOT(ISNUMBER(H142)),N(H143)=0),"",H142/H143),"")</f>
        <v/>
      </c>
      <c r="I144" s="50" t="str">
        <f aca="false">IFERROR(IF(OR(NOT(ISNUMBER(I142)),N(I143)=0),"",I142/I143),"")</f>
        <v/>
      </c>
      <c r="J144" s="50" t="str">
        <f aca="false">IFERROR(IF(OR(NOT(ISNUMBER(J142)),N(J143)=0),"",J142/J143),"")</f>
        <v/>
      </c>
      <c r="K144" s="50" t="str">
        <f aca="false">IFERROR(IF(OR(NOT(ISNUMBER(K142)),N(K143)=0),"",K142/K143),"")</f>
        <v/>
      </c>
      <c r="L144" s="50" t="str">
        <f aca="false">IFERROR(IF(OR(NOT(ISNUMBER(L142)),N(L143)=0),"",L142/L143),"")</f>
        <v/>
      </c>
      <c r="M144" s="50" t="str">
        <f aca="false">IFERROR(IF(OR(NOT(ISNUMBER(M142)),N(M143)=0),"",M142/M143),"")</f>
        <v/>
      </c>
      <c r="N144" s="50" t="str">
        <f aca="false">IFERROR(IF(OR(NOT(ISNUMBER(N142)),N(N143)=0),"",N142/N143),"")</f>
        <v/>
      </c>
      <c r="O144" s="68" t="str">
        <f aca="false">IFERROR(IF(OR(NOT(ISNUMBER(O142)),N(O143)=0),"",O142/O143),"")</f>
        <v/>
      </c>
    </row>
    <row r="145" customFormat="false" ht="15" hidden="true" customHeight="false" outlineLevel="1" collapsed="false">
      <c r="A145" s="11" t="s">
        <v>2058</v>
      </c>
      <c r="B145" s="53" t="str">
        <f aca="false">IF(INDEX(Prod_Nombre,19)="","Producto 19",INDEX(Prod_Nombre,19))&amp;" — venta"</f>
        <v>Producto 19 — venta</v>
      </c>
      <c r="C145" s="11" t="s">
        <v>508</v>
      </c>
      <c r="D145" s="37"/>
      <c r="E145" s="37"/>
      <c r="F145" s="37"/>
      <c r="G145" s="37"/>
      <c r="H145" s="37"/>
      <c r="I145" s="37"/>
      <c r="J145" s="37"/>
      <c r="K145" s="37"/>
      <c r="L145" s="37"/>
      <c r="M145" s="37"/>
      <c r="N145" s="37"/>
      <c r="O145" s="54" t="str">
        <f aca="false">IF(COUNT(D145:N145)=0,"",SUM(D145:N145))</f>
        <v/>
      </c>
    </row>
    <row r="146" customFormat="false" ht="15" hidden="true" customHeight="false" outlineLevel="1" collapsed="false">
      <c r="A146" s="11" t="s">
        <v>2059</v>
      </c>
      <c r="B146" s="15" t="s">
        <v>2004</v>
      </c>
      <c r="C146" s="11" t="s">
        <v>544</v>
      </c>
      <c r="D146" s="37"/>
      <c r="E146" s="37"/>
      <c r="F146" s="37"/>
      <c r="G146" s="37"/>
      <c r="H146" s="37"/>
      <c r="I146" s="37"/>
      <c r="J146" s="37"/>
      <c r="K146" s="37"/>
      <c r="L146" s="37"/>
      <c r="M146" s="37"/>
      <c r="N146" s="37"/>
      <c r="O146" s="54" t="str">
        <f aca="false">IF(COUNT(D146:N146)=0,"",SUM(D146:N146))</f>
        <v/>
      </c>
    </row>
    <row r="147" customFormat="false" ht="15" hidden="true" customHeight="false" outlineLevel="1" collapsed="false">
      <c r="A147" s="11" t="s">
        <v>2060</v>
      </c>
      <c r="B147" s="15" t="s">
        <v>2006</v>
      </c>
      <c r="C147" s="11" t="s">
        <v>748</v>
      </c>
      <c r="D147" s="50" t="str">
        <f aca="false">IFERROR(IF(OR(NOT(ISNUMBER(D145)),N(D146)=0),"",D145/D146),"")</f>
        <v/>
      </c>
      <c r="E147" s="50" t="str">
        <f aca="false">IFERROR(IF(OR(NOT(ISNUMBER(E145)),N(E146)=0),"",E145/E146),"")</f>
        <v/>
      </c>
      <c r="F147" s="50" t="str">
        <f aca="false">IFERROR(IF(OR(NOT(ISNUMBER(F145)),N(F146)=0),"",F145/F146),"")</f>
        <v/>
      </c>
      <c r="G147" s="50" t="str">
        <f aca="false">IFERROR(IF(OR(NOT(ISNUMBER(G145)),N(G146)=0),"",G145/G146),"")</f>
        <v/>
      </c>
      <c r="H147" s="50" t="str">
        <f aca="false">IFERROR(IF(OR(NOT(ISNUMBER(H145)),N(H146)=0),"",H145/H146),"")</f>
        <v/>
      </c>
      <c r="I147" s="50" t="str">
        <f aca="false">IFERROR(IF(OR(NOT(ISNUMBER(I145)),N(I146)=0),"",I145/I146),"")</f>
        <v/>
      </c>
      <c r="J147" s="50" t="str">
        <f aca="false">IFERROR(IF(OR(NOT(ISNUMBER(J145)),N(J146)=0),"",J145/J146),"")</f>
        <v/>
      </c>
      <c r="K147" s="50" t="str">
        <f aca="false">IFERROR(IF(OR(NOT(ISNUMBER(K145)),N(K146)=0),"",K145/K146),"")</f>
        <v/>
      </c>
      <c r="L147" s="50" t="str">
        <f aca="false">IFERROR(IF(OR(NOT(ISNUMBER(L145)),N(L146)=0),"",L145/L146),"")</f>
        <v/>
      </c>
      <c r="M147" s="50" t="str">
        <f aca="false">IFERROR(IF(OR(NOT(ISNUMBER(M145)),N(M146)=0),"",M145/M146),"")</f>
        <v/>
      </c>
      <c r="N147" s="50" t="str">
        <f aca="false">IFERROR(IF(OR(NOT(ISNUMBER(N145)),N(N146)=0),"",N145/N146),"")</f>
        <v/>
      </c>
      <c r="O147" s="68" t="str">
        <f aca="false">IFERROR(IF(OR(NOT(ISNUMBER(O145)),N(O146)=0),"",O145/O146),"")</f>
        <v/>
      </c>
    </row>
    <row r="148" customFormat="false" ht="15" hidden="true" customHeight="false" outlineLevel="1" collapsed="false">
      <c r="A148" s="11" t="s">
        <v>2061</v>
      </c>
      <c r="B148" s="53" t="str">
        <f aca="false">IF(INDEX(Prod_Nombre,20)="","Producto 20",INDEX(Prod_Nombre,20))&amp;" — venta"</f>
        <v>Producto 20 — venta</v>
      </c>
      <c r="C148" s="11" t="s">
        <v>508</v>
      </c>
      <c r="D148" s="37"/>
      <c r="E148" s="37"/>
      <c r="F148" s="37"/>
      <c r="G148" s="37"/>
      <c r="H148" s="37"/>
      <c r="I148" s="37"/>
      <c r="J148" s="37"/>
      <c r="K148" s="37"/>
      <c r="L148" s="37"/>
      <c r="M148" s="37"/>
      <c r="N148" s="37"/>
      <c r="O148" s="54" t="str">
        <f aca="false">IF(COUNT(D148:N148)=0,"",SUM(D148:N148))</f>
        <v/>
      </c>
    </row>
    <row r="149" customFormat="false" ht="15" hidden="true" customHeight="false" outlineLevel="1" collapsed="false">
      <c r="A149" s="11" t="s">
        <v>2062</v>
      </c>
      <c r="B149" s="15" t="s">
        <v>2004</v>
      </c>
      <c r="C149" s="11" t="s">
        <v>544</v>
      </c>
      <c r="D149" s="37"/>
      <c r="E149" s="37"/>
      <c r="F149" s="37"/>
      <c r="G149" s="37"/>
      <c r="H149" s="37"/>
      <c r="I149" s="37"/>
      <c r="J149" s="37"/>
      <c r="K149" s="37"/>
      <c r="L149" s="37"/>
      <c r="M149" s="37"/>
      <c r="N149" s="37"/>
      <c r="O149" s="54" t="str">
        <f aca="false">IF(COUNT(D149:N149)=0,"",SUM(D149:N149))</f>
        <v/>
      </c>
    </row>
    <row r="150" customFormat="false" ht="15" hidden="true" customHeight="false" outlineLevel="1" collapsed="false">
      <c r="A150" s="11" t="s">
        <v>2063</v>
      </c>
      <c r="B150" s="15" t="s">
        <v>2006</v>
      </c>
      <c r="C150" s="11" t="s">
        <v>748</v>
      </c>
      <c r="D150" s="50" t="str">
        <f aca="false">IFERROR(IF(OR(NOT(ISNUMBER(D148)),N(D149)=0),"",D148/D149),"")</f>
        <v/>
      </c>
      <c r="E150" s="50" t="str">
        <f aca="false">IFERROR(IF(OR(NOT(ISNUMBER(E148)),N(E149)=0),"",E148/E149),"")</f>
        <v/>
      </c>
      <c r="F150" s="50" t="str">
        <f aca="false">IFERROR(IF(OR(NOT(ISNUMBER(F148)),N(F149)=0),"",F148/F149),"")</f>
        <v/>
      </c>
      <c r="G150" s="50" t="str">
        <f aca="false">IFERROR(IF(OR(NOT(ISNUMBER(G148)),N(G149)=0),"",G148/G149),"")</f>
        <v/>
      </c>
      <c r="H150" s="50" t="str">
        <f aca="false">IFERROR(IF(OR(NOT(ISNUMBER(H148)),N(H149)=0),"",H148/H149),"")</f>
        <v/>
      </c>
      <c r="I150" s="50" t="str">
        <f aca="false">IFERROR(IF(OR(NOT(ISNUMBER(I148)),N(I149)=0),"",I148/I149),"")</f>
        <v/>
      </c>
      <c r="J150" s="50" t="str">
        <f aca="false">IFERROR(IF(OR(NOT(ISNUMBER(J148)),N(J149)=0),"",J148/J149),"")</f>
        <v/>
      </c>
      <c r="K150" s="50" t="str">
        <f aca="false">IFERROR(IF(OR(NOT(ISNUMBER(K148)),N(K149)=0),"",K148/K149),"")</f>
        <v/>
      </c>
      <c r="L150" s="50" t="str">
        <f aca="false">IFERROR(IF(OR(NOT(ISNUMBER(L148)),N(L149)=0),"",L148/L149),"")</f>
        <v/>
      </c>
      <c r="M150" s="50" t="str">
        <f aca="false">IFERROR(IF(OR(NOT(ISNUMBER(M148)),N(M149)=0),"",M148/M149),"")</f>
        <v/>
      </c>
      <c r="N150" s="50" t="str">
        <f aca="false">IFERROR(IF(OR(NOT(ISNUMBER(N148)),N(N149)=0),"",N148/N149),"")</f>
        <v/>
      </c>
      <c r="O150" s="68" t="str">
        <f aca="false">IFERROR(IF(OR(NOT(ISNUMBER(O148)),N(O149)=0),"",O148/O149),"")</f>
        <v/>
      </c>
    </row>
    <row r="151" customFormat="false" ht="15" hidden="true" customHeight="false" outlineLevel="1" collapsed="false">
      <c r="A151" s="11" t="s">
        <v>2064</v>
      </c>
      <c r="B151" s="53" t="str">
        <f aca="false">IF(INDEX(Prod_Nombre,21)="","Producto 21",INDEX(Prod_Nombre,21))&amp;" — venta"</f>
        <v>Producto 21 — venta</v>
      </c>
      <c r="C151" s="11" t="s">
        <v>508</v>
      </c>
      <c r="D151" s="37"/>
      <c r="E151" s="37"/>
      <c r="F151" s="37"/>
      <c r="G151" s="37"/>
      <c r="H151" s="37"/>
      <c r="I151" s="37"/>
      <c r="J151" s="37"/>
      <c r="K151" s="37"/>
      <c r="L151" s="37"/>
      <c r="M151" s="37"/>
      <c r="N151" s="37"/>
      <c r="O151" s="54" t="str">
        <f aca="false">IF(COUNT(D151:N151)=0,"",SUM(D151:N151))</f>
        <v/>
      </c>
    </row>
    <row r="152" customFormat="false" ht="15" hidden="true" customHeight="false" outlineLevel="1" collapsed="false">
      <c r="A152" s="11" t="s">
        <v>2065</v>
      </c>
      <c r="B152" s="15" t="s">
        <v>2004</v>
      </c>
      <c r="C152" s="11" t="s">
        <v>544</v>
      </c>
      <c r="D152" s="37"/>
      <c r="E152" s="37"/>
      <c r="F152" s="37"/>
      <c r="G152" s="37"/>
      <c r="H152" s="37"/>
      <c r="I152" s="37"/>
      <c r="J152" s="37"/>
      <c r="K152" s="37"/>
      <c r="L152" s="37"/>
      <c r="M152" s="37"/>
      <c r="N152" s="37"/>
      <c r="O152" s="54" t="str">
        <f aca="false">IF(COUNT(D152:N152)=0,"",SUM(D152:N152))</f>
        <v/>
      </c>
    </row>
    <row r="153" customFormat="false" ht="15" hidden="true" customHeight="false" outlineLevel="1" collapsed="false">
      <c r="A153" s="11" t="s">
        <v>2066</v>
      </c>
      <c r="B153" s="15" t="s">
        <v>2006</v>
      </c>
      <c r="C153" s="11" t="s">
        <v>748</v>
      </c>
      <c r="D153" s="50" t="str">
        <f aca="false">IFERROR(IF(OR(NOT(ISNUMBER(D151)),N(D152)=0),"",D151/D152),"")</f>
        <v/>
      </c>
      <c r="E153" s="50" t="str">
        <f aca="false">IFERROR(IF(OR(NOT(ISNUMBER(E151)),N(E152)=0),"",E151/E152),"")</f>
        <v/>
      </c>
      <c r="F153" s="50" t="str">
        <f aca="false">IFERROR(IF(OR(NOT(ISNUMBER(F151)),N(F152)=0),"",F151/F152),"")</f>
        <v/>
      </c>
      <c r="G153" s="50" t="str">
        <f aca="false">IFERROR(IF(OR(NOT(ISNUMBER(G151)),N(G152)=0),"",G151/G152),"")</f>
        <v/>
      </c>
      <c r="H153" s="50" t="str">
        <f aca="false">IFERROR(IF(OR(NOT(ISNUMBER(H151)),N(H152)=0),"",H151/H152),"")</f>
        <v/>
      </c>
      <c r="I153" s="50" t="str">
        <f aca="false">IFERROR(IF(OR(NOT(ISNUMBER(I151)),N(I152)=0),"",I151/I152),"")</f>
        <v/>
      </c>
      <c r="J153" s="50" t="str">
        <f aca="false">IFERROR(IF(OR(NOT(ISNUMBER(J151)),N(J152)=0),"",J151/J152),"")</f>
        <v/>
      </c>
      <c r="K153" s="50" t="str">
        <f aca="false">IFERROR(IF(OR(NOT(ISNUMBER(K151)),N(K152)=0),"",K151/K152),"")</f>
        <v/>
      </c>
      <c r="L153" s="50" t="str">
        <f aca="false">IFERROR(IF(OR(NOT(ISNUMBER(L151)),N(L152)=0),"",L151/L152),"")</f>
        <v/>
      </c>
      <c r="M153" s="50" t="str">
        <f aca="false">IFERROR(IF(OR(NOT(ISNUMBER(M151)),N(M152)=0),"",M151/M152),"")</f>
        <v/>
      </c>
      <c r="N153" s="50" t="str">
        <f aca="false">IFERROR(IF(OR(NOT(ISNUMBER(N151)),N(N152)=0),"",N151/N152),"")</f>
        <v/>
      </c>
      <c r="O153" s="68" t="str">
        <f aca="false">IFERROR(IF(OR(NOT(ISNUMBER(O151)),N(O152)=0),"",O151/O152),"")</f>
        <v/>
      </c>
    </row>
    <row r="154" customFormat="false" ht="15" hidden="true" customHeight="false" outlineLevel="1" collapsed="false">
      <c r="A154" s="11" t="s">
        <v>2067</v>
      </c>
      <c r="B154" s="53" t="str">
        <f aca="false">IF(INDEX(Prod_Nombre,22)="","Producto 22",INDEX(Prod_Nombre,22))&amp;" — venta"</f>
        <v>Producto 22 — venta</v>
      </c>
      <c r="C154" s="11" t="s">
        <v>508</v>
      </c>
      <c r="D154" s="37"/>
      <c r="E154" s="37"/>
      <c r="F154" s="37"/>
      <c r="G154" s="37"/>
      <c r="H154" s="37"/>
      <c r="I154" s="37"/>
      <c r="J154" s="37"/>
      <c r="K154" s="37"/>
      <c r="L154" s="37"/>
      <c r="M154" s="37"/>
      <c r="N154" s="37"/>
      <c r="O154" s="54" t="str">
        <f aca="false">IF(COUNT(D154:N154)=0,"",SUM(D154:N154))</f>
        <v/>
      </c>
    </row>
    <row r="155" customFormat="false" ht="15" hidden="true" customHeight="false" outlineLevel="1" collapsed="false">
      <c r="A155" s="11" t="s">
        <v>2068</v>
      </c>
      <c r="B155" s="15" t="s">
        <v>2004</v>
      </c>
      <c r="C155" s="11" t="s">
        <v>544</v>
      </c>
      <c r="D155" s="37"/>
      <c r="E155" s="37"/>
      <c r="F155" s="37"/>
      <c r="G155" s="37"/>
      <c r="H155" s="37"/>
      <c r="I155" s="37"/>
      <c r="J155" s="37"/>
      <c r="K155" s="37"/>
      <c r="L155" s="37"/>
      <c r="M155" s="37"/>
      <c r="N155" s="37"/>
      <c r="O155" s="54" t="str">
        <f aca="false">IF(COUNT(D155:N155)=0,"",SUM(D155:N155))</f>
        <v/>
      </c>
    </row>
    <row r="156" customFormat="false" ht="15" hidden="true" customHeight="false" outlineLevel="1" collapsed="false">
      <c r="A156" s="11" t="s">
        <v>2069</v>
      </c>
      <c r="B156" s="15" t="s">
        <v>2006</v>
      </c>
      <c r="C156" s="11" t="s">
        <v>748</v>
      </c>
      <c r="D156" s="50" t="str">
        <f aca="false">IFERROR(IF(OR(NOT(ISNUMBER(D154)),N(D155)=0),"",D154/D155),"")</f>
        <v/>
      </c>
      <c r="E156" s="50" t="str">
        <f aca="false">IFERROR(IF(OR(NOT(ISNUMBER(E154)),N(E155)=0),"",E154/E155),"")</f>
        <v/>
      </c>
      <c r="F156" s="50" t="str">
        <f aca="false">IFERROR(IF(OR(NOT(ISNUMBER(F154)),N(F155)=0),"",F154/F155),"")</f>
        <v/>
      </c>
      <c r="G156" s="50" t="str">
        <f aca="false">IFERROR(IF(OR(NOT(ISNUMBER(G154)),N(G155)=0),"",G154/G155),"")</f>
        <v/>
      </c>
      <c r="H156" s="50" t="str">
        <f aca="false">IFERROR(IF(OR(NOT(ISNUMBER(H154)),N(H155)=0),"",H154/H155),"")</f>
        <v/>
      </c>
      <c r="I156" s="50" t="str">
        <f aca="false">IFERROR(IF(OR(NOT(ISNUMBER(I154)),N(I155)=0),"",I154/I155),"")</f>
        <v/>
      </c>
      <c r="J156" s="50" t="str">
        <f aca="false">IFERROR(IF(OR(NOT(ISNUMBER(J154)),N(J155)=0),"",J154/J155),"")</f>
        <v/>
      </c>
      <c r="K156" s="50" t="str">
        <f aca="false">IFERROR(IF(OR(NOT(ISNUMBER(K154)),N(K155)=0),"",K154/K155),"")</f>
        <v/>
      </c>
      <c r="L156" s="50" t="str">
        <f aca="false">IFERROR(IF(OR(NOT(ISNUMBER(L154)),N(L155)=0),"",L154/L155),"")</f>
        <v/>
      </c>
      <c r="M156" s="50" t="str">
        <f aca="false">IFERROR(IF(OR(NOT(ISNUMBER(M154)),N(M155)=0),"",M154/M155),"")</f>
        <v/>
      </c>
      <c r="N156" s="50" t="str">
        <f aca="false">IFERROR(IF(OR(NOT(ISNUMBER(N154)),N(N155)=0),"",N154/N155),"")</f>
        <v/>
      </c>
      <c r="O156" s="68" t="str">
        <f aca="false">IFERROR(IF(OR(NOT(ISNUMBER(O154)),N(O155)=0),"",O154/O155),"")</f>
        <v/>
      </c>
    </row>
    <row r="157" customFormat="false" ht="15" hidden="true" customHeight="false" outlineLevel="1" collapsed="false">
      <c r="A157" s="11" t="s">
        <v>2070</v>
      </c>
      <c r="B157" s="53" t="str">
        <f aca="false">IF(INDEX(Prod_Nombre,23)="","Producto 23",INDEX(Prod_Nombre,23))&amp;" — venta"</f>
        <v>Producto 23 — venta</v>
      </c>
      <c r="C157" s="11" t="s">
        <v>508</v>
      </c>
      <c r="D157" s="37"/>
      <c r="E157" s="37"/>
      <c r="F157" s="37"/>
      <c r="G157" s="37"/>
      <c r="H157" s="37"/>
      <c r="I157" s="37"/>
      <c r="J157" s="37"/>
      <c r="K157" s="37"/>
      <c r="L157" s="37"/>
      <c r="M157" s="37"/>
      <c r="N157" s="37"/>
      <c r="O157" s="54" t="str">
        <f aca="false">IF(COUNT(D157:N157)=0,"",SUM(D157:N157))</f>
        <v/>
      </c>
    </row>
    <row r="158" customFormat="false" ht="15" hidden="true" customHeight="false" outlineLevel="1" collapsed="false">
      <c r="A158" s="11" t="s">
        <v>2071</v>
      </c>
      <c r="B158" s="15" t="s">
        <v>2004</v>
      </c>
      <c r="C158" s="11" t="s">
        <v>544</v>
      </c>
      <c r="D158" s="37"/>
      <c r="E158" s="37"/>
      <c r="F158" s="37"/>
      <c r="G158" s="37"/>
      <c r="H158" s="37"/>
      <c r="I158" s="37"/>
      <c r="J158" s="37"/>
      <c r="K158" s="37"/>
      <c r="L158" s="37"/>
      <c r="M158" s="37"/>
      <c r="N158" s="37"/>
      <c r="O158" s="54" t="str">
        <f aca="false">IF(COUNT(D158:N158)=0,"",SUM(D158:N158))</f>
        <v/>
      </c>
    </row>
    <row r="159" customFormat="false" ht="15" hidden="true" customHeight="false" outlineLevel="1" collapsed="false">
      <c r="A159" s="11" t="s">
        <v>2072</v>
      </c>
      <c r="B159" s="15" t="s">
        <v>2006</v>
      </c>
      <c r="C159" s="11" t="s">
        <v>748</v>
      </c>
      <c r="D159" s="50" t="str">
        <f aca="false">IFERROR(IF(OR(NOT(ISNUMBER(D157)),N(D158)=0),"",D157/D158),"")</f>
        <v/>
      </c>
      <c r="E159" s="50" t="str">
        <f aca="false">IFERROR(IF(OR(NOT(ISNUMBER(E157)),N(E158)=0),"",E157/E158),"")</f>
        <v/>
      </c>
      <c r="F159" s="50" t="str">
        <f aca="false">IFERROR(IF(OR(NOT(ISNUMBER(F157)),N(F158)=0),"",F157/F158),"")</f>
        <v/>
      </c>
      <c r="G159" s="50" t="str">
        <f aca="false">IFERROR(IF(OR(NOT(ISNUMBER(G157)),N(G158)=0),"",G157/G158),"")</f>
        <v/>
      </c>
      <c r="H159" s="50" t="str">
        <f aca="false">IFERROR(IF(OR(NOT(ISNUMBER(H157)),N(H158)=0),"",H157/H158),"")</f>
        <v/>
      </c>
      <c r="I159" s="50" t="str">
        <f aca="false">IFERROR(IF(OR(NOT(ISNUMBER(I157)),N(I158)=0),"",I157/I158),"")</f>
        <v/>
      </c>
      <c r="J159" s="50" t="str">
        <f aca="false">IFERROR(IF(OR(NOT(ISNUMBER(J157)),N(J158)=0),"",J157/J158),"")</f>
        <v/>
      </c>
      <c r="K159" s="50" t="str">
        <f aca="false">IFERROR(IF(OR(NOT(ISNUMBER(K157)),N(K158)=0),"",K157/K158),"")</f>
        <v/>
      </c>
      <c r="L159" s="50" t="str">
        <f aca="false">IFERROR(IF(OR(NOT(ISNUMBER(L157)),N(L158)=0),"",L157/L158),"")</f>
        <v/>
      </c>
      <c r="M159" s="50" t="str">
        <f aca="false">IFERROR(IF(OR(NOT(ISNUMBER(M157)),N(M158)=0),"",M157/M158),"")</f>
        <v/>
      </c>
      <c r="N159" s="50" t="str">
        <f aca="false">IFERROR(IF(OR(NOT(ISNUMBER(N157)),N(N158)=0),"",N157/N158),"")</f>
        <v/>
      </c>
      <c r="O159" s="68" t="str">
        <f aca="false">IFERROR(IF(OR(NOT(ISNUMBER(O157)),N(O158)=0),"",O157/O158),"")</f>
        <v/>
      </c>
    </row>
    <row r="160" customFormat="false" ht="15" hidden="true" customHeight="false" outlineLevel="1" collapsed="false">
      <c r="A160" s="11" t="s">
        <v>2073</v>
      </c>
      <c r="B160" s="53" t="str">
        <f aca="false">IF(INDEX(Prod_Nombre,24)="","Producto 24",INDEX(Prod_Nombre,24))&amp;" — venta"</f>
        <v>Producto 24 — venta</v>
      </c>
      <c r="C160" s="11" t="s">
        <v>508</v>
      </c>
      <c r="D160" s="37"/>
      <c r="E160" s="37"/>
      <c r="F160" s="37"/>
      <c r="G160" s="37"/>
      <c r="H160" s="37"/>
      <c r="I160" s="37"/>
      <c r="J160" s="37"/>
      <c r="K160" s="37"/>
      <c r="L160" s="37"/>
      <c r="M160" s="37"/>
      <c r="N160" s="37"/>
      <c r="O160" s="54" t="str">
        <f aca="false">IF(COUNT(D160:N160)=0,"",SUM(D160:N160))</f>
        <v/>
      </c>
    </row>
    <row r="161" customFormat="false" ht="15" hidden="true" customHeight="false" outlineLevel="1" collapsed="false">
      <c r="A161" s="11" t="s">
        <v>2074</v>
      </c>
      <c r="B161" s="15" t="s">
        <v>2004</v>
      </c>
      <c r="C161" s="11" t="s">
        <v>544</v>
      </c>
      <c r="D161" s="37"/>
      <c r="E161" s="37"/>
      <c r="F161" s="37"/>
      <c r="G161" s="37"/>
      <c r="H161" s="37"/>
      <c r="I161" s="37"/>
      <c r="J161" s="37"/>
      <c r="K161" s="37"/>
      <c r="L161" s="37"/>
      <c r="M161" s="37"/>
      <c r="N161" s="37"/>
      <c r="O161" s="54" t="str">
        <f aca="false">IF(COUNT(D161:N161)=0,"",SUM(D161:N161))</f>
        <v/>
      </c>
    </row>
    <row r="162" customFormat="false" ht="15" hidden="true" customHeight="false" outlineLevel="1" collapsed="false">
      <c r="A162" s="11" t="s">
        <v>2075</v>
      </c>
      <c r="B162" s="15" t="s">
        <v>2006</v>
      </c>
      <c r="C162" s="11" t="s">
        <v>748</v>
      </c>
      <c r="D162" s="50" t="str">
        <f aca="false">IFERROR(IF(OR(NOT(ISNUMBER(D160)),N(D161)=0),"",D160/D161),"")</f>
        <v/>
      </c>
      <c r="E162" s="50" t="str">
        <f aca="false">IFERROR(IF(OR(NOT(ISNUMBER(E160)),N(E161)=0),"",E160/E161),"")</f>
        <v/>
      </c>
      <c r="F162" s="50" t="str">
        <f aca="false">IFERROR(IF(OR(NOT(ISNUMBER(F160)),N(F161)=0),"",F160/F161),"")</f>
        <v/>
      </c>
      <c r="G162" s="50" t="str">
        <f aca="false">IFERROR(IF(OR(NOT(ISNUMBER(G160)),N(G161)=0),"",G160/G161),"")</f>
        <v/>
      </c>
      <c r="H162" s="50" t="str">
        <f aca="false">IFERROR(IF(OR(NOT(ISNUMBER(H160)),N(H161)=0),"",H160/H161),"")</f>
        <v/>
      </c>
      <c r="I162" s="50" t="str">
        <f aca="false">IFERROR(IF(OR(NOT(ISNUMBER(I160)),N(I161)=0),"",I160/I161),"")</f>
        <v/>
      </c>
      <c r="J162" s="50" t="str">
        <f aca="false">IFERROR(IF(OR(NOT(ISNUMBER(J160)),N(J161)=0),"",J160/J161),"")</f>
        <v/>
      </c>
      <c r="K162" s="50" t="str">
        <f aca="false">IFERROR(IF(OR(NOT(ISNUMBER(K160)),N(K161)=0),"",K160/K161),"")</f>
        <v/>
      </c>
      <c r="L162" s="50" t="str">
        <f aca="false">IFERROR(IF(OR(NOT(ISNUMBER(L160)),N(L161)=0),"",L160/L161),"")</f>
        <v/>
      </c>
      <c r="M162" s="50" t="str">
        <f aca="false">IFERROR(IF(OR(NOT(ISNUMBER(M160)),N(M161)=0),"",M160/M161),"")</f>
        <v/>
      </c>
      <c r="N162" s="50" t="str">
        <f aca="false">IFERROR(IF(OR(NOT(ISNUMBER(N160)),N(N161)=0),"",N160/N161),"")</f>
        <v/>
      </c>
      <c r="O162" s="68" t="str">
        <f aca="false">IFERROR(IF(OR(NOT(ISNUMBER(O160)),N(O161)=0),"",O160/O161),"")</f>
        <v/>
      </c>
    </row>
    <row r="163" customFormat="false" ht="15" hidden="true" customHeight="false" outlineLevel="1" collapsed="false">
      <c r="A163" s="11" t="s">
        <v>2076</v>
      </c>
      <c r="B163" s="53" t="str">
        <f aca="false">IF(INDEX(Prod_Nombre,25)="","Producto 25",INDEX(Prod_Nombre,25))&amp;" — venta"</f>
        <v>Producto 25 — venta</v>
      </c>
      <c r="C163" s="11" t="s">
        <v>508</v>
      </c>
      <c r="D163" s="37"/>
      <c r="E163" s="37"/>
      <c r="F163" s="37"/>
      <c r="G163" s="37"/>
      <c r="H163" s="37"/>
      <c r="I163" s="37"/>
      <c r="J163" s="37"/>
      <c r="K163" s="37"/>
      <c r="L163" s="37"/>
      <c r="M163" s="37"/>
      <c r="N163" s="37"/>
      <c r="O163" s="54" t="str">
        <f aca="false">IF(COUNT(D163:N163)=0,"",SUM(D163:N163))</f>
        <v/>
      </c>
    </row>
    <row r="164" customFormat="false" ht="15" hidden="true" customHeight="false" outlineLevel="1" collapsed="false">
      <c r="A164" s="11" t="s">
        <v>2077</v>
      </c>
      <c r="B164" s="15" t="s">
        <v>2004</v>
      </c>
      <c r="C164" s="11" t="s">
        <v>544</v>
      </c>
      <c r="D164" s="37"/>
      <c r="E164" s="37"/>
      <c r="F164" s="37"/>
      <c r="G164" s="37"/>
      <c r="H164" s="37"/>
      <c r="I164" s="37"/>
      <c r="J164" s="37"/>
      <c r="K164" s="37"/>
      <c r="L164" s="37"/>
      <c r="M164" s="37"/>
      <c r="N164" s="37"/>
      <c r="O164" s="54" t="str">
        <f aca="false">IF(COUNT(D164:N164)=0,"",SUM(D164:N164))</f>
        <v/>
      </c>
    </row>
    <row r="165" customFormat="false" ht="15" hidden="true" customHeight="false" outlineLevel="1" collapsed="false">
      <c r="A165" s="11" t="s">
        <v>2078</v>
      </c>
      <c r="B165" s="15" t="s">
        <v>2006</v>
      </c>
      <c r="C165" s="11" t="s">
        <v>748</v>
      </c>
      <c r="D165" s="50" t="str">
        <f aca="false">IFERROR(IF(OR(NOT(ISNUMBER(D163)),N(D164)=0),"",D163/D164),"")</f>
        <v/>
      </c>
      <c r="E165" s="50" t="str">
        <f aca="false">IFERROR(IF(OR(NOT(ISNUMBER(E163)),N(E164)=0),"",E163/E164),"")</f>
        <v/>
      </c>
      <c r="F165" s="50" t="str">
        <f aca="false">IFERROR(IF(OR(NOT(ISNUMBER(F163)),N(F164)=0),"",F163/F164),"")</f>
        <v/>
      </c>
      <c r="G165" s="50" t="str">
        <f aca="false">IFERROR(IF(OR(NOT(ISNUMBER(G163)),N(G164)=0),"",G163/G164),"")</f>
        <v/>
      </c>
      <c r="H165" s="50" t="str">
        <f aca="false">IFERROR(IF(OR(NOT(ISNUMBER(H163)),N(H164)=0),"",H163/H164),"")</f>
        <v/>
      </c>
      <c r="I165" s="50" t="str">
        <f aca="false">IFERROR(IF(OR(NOT(ISNUMBER(I163)),N(I164)=0),"",I163/I164),"")</f>
        <v/>
      </c>
      <c r="J165" s="50" t="str">
        <f aca="false">IFERROR(IF(OR(NOT(ISNUMBER(J163)),N(J164)=0),"",J163/J164),"")</f>
        <v/>
      </c>
      <c r="K165" s="50" t="str">
        <f aca="false">IFERROR(IF(OR(NOT(ISNUMBER(K163)),N(K164)=0),"",K163/K164),"")</f>
        <v/>
      </c>
      <c r="L165" s="50" t="str">
        <f aca="false">IFERROR(IF(OR(NOT(ISNUMBER(L163)),N(L164)=0),"",L163/L164),"")</f>
        <v/>
      </c>
      <c r="M165" s="50" t="str">
        <f aca="false">IFERROR(IF(OR(NOT(ISNUMBER(M163)),N(M164)=0),"",M163/M164),"")</f>
        <v/>
      </c>
      <c r="N165" s="50" t="str">
        <f aca="false">IFERROR(IF(OR(NOT(ISNUMBER(N163)),N(N164)=0),"",N163/N164),"")</f>
        <v/>
      </c>
      <c r="O165" s="68" t="str">
        <f aca="false">IFERROR(IF(OR(NOT(ISNUMBER(O163)),N(O164)=0),"",O163/O164),"")</f>
        <v/>
      </c>
    </row>
    <row r="167" customFormat="false" ht="15" hidden="false" customHeight="false" outlineLevel="0" collapsed="false">
      <c r="A167" s="101" t="s">
        <v>1994</v>
      </c>
      <c r="B167" s="102"/>
      <c r="C167" s="102"/>
      <c r="D167" s="102"/>
      <c r="E167" s="102"/>
      <c r="F167" s="102"/>
      <c r="G167" s="102"/>
      <c r="H167" s="102"/>
      <c r="I167" s="102"/>
      <c r="J167" s="102"/>
      <c r="K167" s="102"/>
      <c r="L167" s="102"/>
      <c r="M167" s="102"/>
      <c r="N167" s="102"/>
      <c r="O167" s="102"/>
      <c r="P167" s="102"/>
    </row>
    <row r="168" customFormat="false" ht="24" hidden="false" customHeight="true" outlineLevel="0" collapsed="false">
      <c r="A168" s="14"/>
      <c r="B168" s="14" t="s">
        <v>1530</v>
      </c>
      <c r="C168" s="14" t="s">
        <v>355</v>
      </c>
      <c r="D168" s="14" t="s">
        <v>1857</v>
      </c>
      <c r="E168" s="14" t="s">
        <v>452</v>
      </c>
      <c r="F168" s="14" t="s">
        <v>453</v>
      </c>
      <c r="G168" s="14" t="s">
        <v>454</v>
      </c>
      <c r="H168" s="14" t="s">
        <v>455</v>
      </c>
      <c r="I168" s="14" t="s">
        <v>456</v>
      </c>
      <c r="J168" s="14" t="s">
        <v>457</v>
      </c>
      <c r="K168" s="14" t="s">
        <v>458</v>
      </c>
      <c r="L168" s="14" t="s">
        <v>459</v>
      </c>
      <c r="M168" s="14" t="s">
        <v>460</v>
      </c>
      <c r="N168" s="14" t="s">
        <v>461</v>
      </c>
      <c r="O168" s="14" t="s">
        <v>549</v>
      </c>
      <c r="P168" s="14" t="s">
        <v>1822</v>
      </c>
    </row>
    <row r="169" customFormat="false" ht="15" hidden="false" customHeight="false" outlineLevel="0" collapsed="false">
      <c r="B169" s="11" t="s">
        <v>1993</v>
      </c>
      <c r="D169" s="86" t="str">
        <f aca="false">IF(OR(n_Fecha1="",IF(cu_P=1,P_Inicio,V_Inicio)=1),"",YEAR(n_Fecha1))</f>
        <v/>
      </c>
      <c r="E169" s="86" t="str">
        <f aca="false">IF(n_Fecha1="","",YEAR(EOMONTH(n_Fecha1,IF(cu_P=1,P_Inicio,V_Inicio)-1+0)))</f>
        <v/>
      </c>
      <c r="F169" s="86" t="str">
        <f aca="false">IF(n_Fecha1="","",YEAR(EOMONTH(n_Fecha1,IF(cu_P=1,P_Inicio,V_Inicio)-1+12)))</f>
        <v/>
      </c>
      <c r="G169" s="86" t="str">
        <f aca="false">IF(n_Fecha1="","",YEAR(EOMONTH(n_Fecha1,IF(cu_P=1,P_Inicio,V_Inicio)-1+24)))</f>
        <v/>
      </c>
      <c r="H169" s="86" t="str">
        <f aca="false">IF(n_Fecha1="","",YEAR(EOMONTH(n_Fecha1,IF(cu_P=1,P_Inicio,V_Inicio)-1+36)))</f>
        <v/>
      </c>
      <c r="I169" s="86" t="str">
        <f aca="false">IF(n_Fecha1="","",YEAR(EOMONTH(n_Fecha1,IF(cu_P=1,P_Inicio,V_Inicio)-1+48)))</f>
        <v/>
      </c>
      <c r="J169" s="86" t="str">
        <f aca="false">IF(n_Fecha1="","",YEAR(EOMONTH(n_Fecha1,IF(cu_P=1,P_Inicio,V_Inicio)-1+60)))</f>
        <v/>
      </c>
      <c r="K169" s="86" t="str">
        <f aca="false">IF(n_Fecha1="","",YEAR(EOMONTH(n_Fecha1,IF(cu_P=1,P_Inicio,V_Inicio)-1+72)))</f>
        <v/>
      </c>
      <c r="L169" s="86" t="str">
        <f aca="false">IF(n_Fecha1="","",YEAR(EOMONTH(n_Fecha1,IF(cu_P=1,P_Inicio,V_Inicio)-1+84)))</f>
        <v/>
      </c>
      <c r="M169" s="86" t="str">
        <f aca="false">IF(n_Fecha1="","",YEAR(EOMONTH(n_Fecha1,IF(cu_P=1,P_Inicio,V_Inicio)-1+96)))</f>
        <v/>
      </c>
      <c r="N169" s="86" t="str">
        <f aca="false">IF(n_Fecha1="","",YEAR(EOMONTH(n_Fecha1,IF(cu_P=1,P_Inicio,V_Inicio)-1+108)))</f>
        <v/>
      </c>
    </row>
    <row r="170" customFormat="false" ht="15" hidden="false" customHeight="false" outlineLevel="0" collapsed="false">
      <c r="A170" s="11" t="s">
        <v>1998</v>
      </c>
      <c r="B170" s="67" t="s">
        <v>1999</v>
      </c>
      <c r="C170" s="11" t="s">
        <v>508</v>
      </c>
      <c r="D170" s="54" t="str">
        <f aca="false">IF(OR(NOT(ISNUMBER(D8)),NOT(ISNUMBER(D89))),"",D8-D89)</f>
        <v/>
      </c>
      <c r="E170" s="54" t="n">
        <f aca="false">IF(OR(NOT(ISNUMBER(E8)),NOT(ISNUMBER(E89))),"",E8-E89)</f>
        <v>0</v>
      </c>
      <c r="F170" s="54" t="n">
        <f aca="false">IF(OR(NOT(ISNUMBER(F8)),NOT(ISNUMBER(F89))),"",F8-F89)</f>
        <v>0</v>
      </c>
      <c r="G170" s="54" t="n">
        <f aca="false">IF(OR(NOT(ISNUMBER(G8)),NOT(ISNUMBER(G89))),"",G8-G89)</f>
        <v>0</v>
      </c>
      <c r="H170" s="54" t="n">
        <f aca="false">IF(OR(NOT(ISNUMBER(H8)),NOT(ISNUMBER(H89))),"",H8-H89)</f>
        <v>0.429999999701977</v>
      </c>
      <c r="I170" s="54" t="n">
        <f aca="false">IF(OR(NOT(ISNUMBER(I8)),NOT(ISNUMBER(I89))),"",I8-I89)</f>
        <v>-0.195699999108911</v>
      </c>
      <c r="J170" s="54" t="n">
        <f aca="false">IF(OR(NOT(ISNUMBER(J8)),NOT(ISNUMBER(J89))),"",J8-J89)</f>
        <v>-0.277657000347972</v>
      </c>
      <c r="K170" s="54" t="n">
        <f aca="false">IF(OR(NOT(ISNUMBER(K8)),NOT(ISNUMBER(K89))),"",K8-K89)</f>
        <v>-0.130433570593596</v>
      </c>
      <c r="L170" s="54" t="n">
        <f aca="false">IF(OR(NOT(ISNUMBER(L8)),NOT(ISNUMBER(L89))),"",L8-L89)</f>
        <v>0.0182620920240879</v>
      </c>
      <c r="M170" s="54" t="n">
        <f aca="false">IF(OR(NOT(ISNUMBER(M8)),NOT(ISNUMBER(M89))),"",M8-M89)</f>
        <v>0.0284447148442268</v>
      </c>
      <c r="N170" s="54" t="n">
        <f aca="false">IF(OR(NOT(ISNUMBER(N8)),NOT(ISNUMBER(N89))),"",N8-N89)</f>
        <v>-0.151270836591721</v>
      </c>
      <c r="O170" s="54" t="n">
        <f aca="false">IF(OR(NOT(ISNUMBER(O8)),NOT(ISNUMBER(O89))),"",O8-O89)</f>
        <v>-0.278354600071907</v>
      </c>
      <c r="P170" s="11" t="str">
        <f aca="false">IF(COUNT(D170:N170)=0,"",IF(AND(MAX(D170:N170)&lt;2,MIN(D170:N170)&gt;-2),"Sin diferencia","Diferencia a explicar"))</f>
        <v>Sin diferencia</v>
      </c>
    </row>
    <row r="171" customFormat="false" ht="15" hidden="false" customHeight="false" outlineLevel="0" collapsed="false">
      <c r="A171" s="11" t="s">
        <v>2000</v>
      </c>
      <c r="B171" s="15" t="s">
        <v>2001</v>
      </c>
      <c r="C171" s="11" t="s">
        <v>508</v>
      </c>
      <c r="D171" s="48" t="str">
        <f aca="false">IF(OR(NOT(ISNUMBER(D9)),NOT(ISNUMBER(D90))),"",D9-D90)</f>
        <v/>
      </c>
      <c r="E171" s="48" t="n">
        <f aca="false">IF(OR(NOT(ISNUMBER(E9)),NOT(ISNUMBER(E90))),"",E9-E90)</f>
        <v>0</v>
      </c>
      <c r="F171" s="48" t="n">
        <f aca="false">IF(OR(NOT(ISNUMBER(F9)),NOT(ISNUMBER(F90))),"",F9-F90)</f>
        <v>0</v>
      </c>
      <c r="G171" s="48" t="n">
        <f aca="false">IF(OR(NOT(ISNUMBER(G9)),NOT(ISNUMBER(G90))),"",G9-G90)</f>
        <v>0</v>
      </c>
      <c r="H171" s="48" t="n">
        <f aca="false">IF(OR(NOT(ISNUMBER(H9)),NOT(ISNUMBER(H90))),"",H9-H90)</f>
        <v>0</v>
      </c>
      <c r="I171" s="48" t="n">
        <f aca="false">IF(OR(NOT(ISNUMBER(I9)),NOT(ISNUMBER(I90))),"",I9-I90)</f>
        <v>0</v>
      </c>
      <c r="J171" s="48" t="n">
        <f aca="false">IF(OR(NOT(ISNUMBER(J9)),NOT(ISNUMBER(J90))),"",J9-J90)</f>
        <v>0</v>
      </c>
      <c r="K171" s="48" t="n">
        <f aca="false">IF(OR(NOT(ISNUMBER(K9)),NOT(ISNUMBER(K90))),"",K9-K90)</f>
        <v>0</v>
      </c>
      <c r="L171" s="48" t="n">
        <f aca="false">IF(OR(NOT(ISNUMBER(L9)),NOT(ISNUMBER(L90))),"",L9-L90)</f>
        <v>0</v>
      </c>
      <c r="M171" s="48" t="n">
        <f aca="false">IF(OR(NOT(ISNUMBER(M9)),NOT(ISNUMBER(M90))),"",M9-M90)</f>
        <v>0</v>
      </c>
      <c r="N171" s="48" t="n">
        <f aca="false">IF(OR(NOT(ISNUMBER(N9)),NOT(ISNUMBER(N90))),"",N9-N90)</f>
        <v>0</v>
      </c>
      <c r="O171" s="54" t="n">
        <f aca="false">IF(OR(NOT(ISNUMBER(O9)),NOT(ISNUMBER(O90))),"",O9-O90)</f>
        <v>0</v>
      </c>
      <c r="P171" s="11" t="str">
        <f aca="false">IF(COUNT(D171:N171)=0,"",IF(AND(MAX(D171:N171)&lt;2,MIN(D171:N171)&gt;-2),"Sin diferencia","Diferencia a explicar"))</f>
        <v>Sin diferencia</v>
      </c>
    </row>
    <row r="172" customFormat="false" ht="15" hidden="false" customHeight="false" outlineLevel="0" collapsed="false">
      <c r="A172" s="11" t="s">
        <v>2002</v>
      </c>
      <c r="B172" s="53" t="str">
        <f aca="false">IF(INDEX(Prod_Nombre,1)="","Producto 1",INDEX(Prod_Nombre,1))&amp;" — venta"</f>
        <v>Gabinetes metálicos 153 kg — venta</v>
      </c>
      <c r="C172" s="11" t="s">
        <v>508</v>
      </c>
      <c r="D172" s="48" t="str">
        <f aca="false">IF(OR(NOT(ISNUMBER(D10)),NOT(ISNUMBER(D91))),"",D10-D91)</f>
        <v/>
      </c>
      <c r="E172" s="48" t="n">
        <f aca="false">IF(OR(NOT(ISNUMBER(E10)),NOT(ISNUMBER(E91))),"",E10-E91)</f>
        <v>0</v>
      </c>
      <c r="F172" s="48" t="n">
        <f aca="false">IF(OR(NOT(ISNUMBER(F10)),NOT(ISNUMBER(F91))),"",F10-F91)</f>
        <v>0</v>
      </c>
      <c r="G172" s="48" t="n">
        <f aca="false">IF(OR(NOT(ISNUMBER(G10)),NOT(ISNUMBER(G91))),"",G10-G91)</f>
        <v>0</v>
      </c>
      <c r="H172" s="48" t="n">
        <f aca="false">IF(OR(NOT(ISNUMBER(H10)),NOT(ISNUMBER(H91))),"",H10-H91)</f>
        <v>-0.330000000074506</v>
      </c>
      <c r="I172" s="48" t="n">
        <f aca="false">IF(OR(NOT(ISNUMBER(I10)),NOT(ISNUMBER(I91))),"",I10-I91)</f>
        <v>-0.263299998827279</v>
      </c>
      <c r="J172" s="48" t="n">
        <f aca="false">IF(OR(NOT(ISNUMBER(J10)),NOT(ISNUMBER(J91))),"",J10-J91)</f>
        <v>-0.0159329995512962</v>
      </c>
      <c r="K172" s="48" t="n">
        <f aca="false">IF(OR(NOT(ISNUMBER(K10)),NOT(ISNUMBER(K91))),"",K10-K91)</f>
        <v>0.253907669335604</v>
      </c>
      <c r="L172" s="48" t="n">
        <f aca="false">IF(OR(NOT(ISNUMBER(L10)),NOT(ISNUMBER(L91))),"",L10-L91)</f>
        <v>0.446446746587753</v>
      </c>
      <c r="M172" s="48" t="n">
        <f aca="false">IF(OR(NOT(ISNUMBER(M10)),NOT(ISNUMBER(M91))),"",M10-M91)</f>
        <v>-0.47908878698945</v>
      </c>
      <c r="N172" s="48" t="n">
        <f aca="false">IF(OR(NOT(ISNUMBER(N10)),NOT(ISNUMBER(N91))),"",N10-N91)</f>
        <v>0.496120326220989</v>
      </c>
      <c r="O172" s="54" t="n">
        <f aca="false">IF(OR(NOT(ISNUMBER(O10)),NOT(ISNUMBER(O91))),"",O10-O91)</f>
        <v>0.108152955770493</v>
      </c>
      <c r="P172" s="11" t="str">
        <f aca="false">IF(COUNT(D172:N172)=0,"",IF(AND(MAX(D172:N172)&lt;2,MIN(D172:N172)&gt;-2),"Sin diferencia","Diferencia a explicar"))</f>
        <v>Sin diferencia</v>
      </c>
    </row>
    <row r="173" customFormat="false" ht="15" hidden="false" customHeight="false" outlineLevel="0" collapsed="false">
      <c r="A173" s="11" t="s">
        <v>2003</v>
      </c>
      <c r="B173" s="15" t="s">
        <v>2004</v>
      </c>
      <c r="C173" s="11" t="s">
        <v>544</v>
      </c>
      <c r="D173" s="48" t="str">
        <f aca="false">IF(OR(NOT(ISNUMBER(D11)),NOT(ISNUMBER(D92))),"",D11-D92)</f>
        <v/>
      </c>
      <c r="E173" s="48" t="n">
        <f aca="false">IF(OR(NOT(ISNUMBER(E11)),NOT(ISNUMBER(E92))),"",E11-E92)</f>
        <v>0</v>
      </c>
      <c r="F173" s="48" t="n">
        <f aca="false">IF(OR(NOT(ISNUMBER(F11)),NOT(ISNUMBER(F92))),"",F11-F92)</f>
        <v>0</v>
      </c>
      <c r="G173" s="48" t="n">
        <f aca="false">IF(OR(NOT(ISNUMBER(G11)),NOT(ISNUMBER(G92))),"",G11-G92)</f>
        <v>0</v>
      </c>
      <c r="H173" s="48" t="n">
        <f aca="false">IF(OR(NOT(ISNUMBER(H11)),NOT(ISNUMBER(H92))),"",H11-H92)</f>
        <v>0</v>
      </c>
      <c r="I173" s="48" t="n">
        <f aca="false">IF(OR(NOT(ISNUMBER(I11)),NOT(ISNUMBER(I92))),"",I11-I92)</f>
        <v>0</v>
      </c>
      <c r="J173" s="48" t="n">
        <f aca="false">IF(OR(NOT(ISNUMBER(J11)),NOT(ISNUMBER(J92))),"",J11-J92)</f>
        <v>0</v>
      </c>
      <c r="K173" s="48" t="n">
        <f aca="false">IF(OR(NOT(ISNUMBER(K11)),NOT(ISNUMBER(K92))),"",K11-K92)</f>
        <v>0</v>
      </c>
      <c r="L173" s="48" t="n">
        <f aca="false">IF(OR(NOT(ISNUMBER(L11)),NOT(ISNUMBER(L92))),"",L11-L92)</f>
        <v>0</v>
      </c>
      <c r="M173" s="48" t="n">
        <f aca="false">IF(OR(NOT(ISNUMBER(M11)),NOT(ISNUMBER(M92))),"",M11-M92)</f>
        <v>0</v>
      </c>
      <c r="N173" s="48" t="n">
        <f aca="false">IF(OR(NOT(ISNUMBER(N11)),NOT(ISNUMBER(N92))),"",N11-N92)</f>
        <v>0</v>
      </c>
      <c r="O173" s="54" t="n">
        <f aca="false">IF(OR(NOT(ISNUMBER(O11)),NOT(ISNUMBER(O92))),"",O11-O92)</f>
        <v>0</v>
      </c>
      <c r="P173" s="11" t="str">
        <f aca="false">IF(COUNT(D173:N173)=0,"",IF(AND(MAX(D173:N173)&lt;2,MIN(D173:N173)&gt;-2),"Sin diferencia","Diferencia a explicar"))</f>
        <v>Sin diferencia</v>
      </c>
    </row>
    <row r="174" customFormat="false" ht="15" hidden="false" customHeight="false" outlineLevel="0" collapsed="false">
      <c r="A174" s="11" t="s">
        <v>2005</v>
      </c>
      <c r="B174" s="15" t="s">
        <v>2006</v>
      </c>
      <c r="C174" s="11" t="s">
        <v>748</v>
      </c>
      <c r="D174" s="50" t="str">
        <f aca="false">IF(OR(NOT(ISNUMBER(D12)),NOT(ISNUMBER(D93))),"",D12-D93)</f>
        <v/>
      </c>
      <c r="E174" s="50" t="n">
        <f aca="false">IF(OR(NOT(ISNUMBER(E12)),NOT(ISNUMBER(E93))),"",E12-E93)</f>
        <v>0</v>
      </c>
      <c r="F174" s="50" t="n">
        <f aca="false">IF(OR(NOT(ISNUMBER(F12)),NOT(ISNUMBER(F93))),"",F12-F93)</f>
        <v>0</v>
      </c>
      <c r="G174" s="50" t="n">
        <f aca="false">IF(OR(NOT(ISNUMBER(G12)),NOT(ISNUMBER(G93))),"",G12-G93)</f>
        <v>0</v>
      </c>
      <c r="H174" s="50" t="n">
        <f aca="false">IF(OR(NOT(ISNUMBER(H12)),NOT(ISNUMBER(H93))),"",H12-H93)</f>
        <v>-1.57142857233339E-005</v>
      </c>
      <c r="I174" s="50" t="n">
        <f aca="false">IF(OR(NOT(ISNUMBER(I12)),NOT(ISNUMBER(I93))),"",I12-I93)</f>
        <v>-1.25380952340493E-005</v>
      </c>
      <c r="J174" s="50" t="n">
        <f aca="false">IF(OR(NOT(ISNUMBER(J12)),NOT(ISNUMBER(J93))),"",J12-J93)</f>
        <v>-7.5871429316976E-007</v>
      </c>
      <c r="K174" s="50" t="n">
        <f aca="false">IF(OR(NOT(ISNUMBER(K12)),NOT(ISNUMBER(K93))),"",K12-K93)</f>
        <v>1.2090841380541E-005</v>
      </c>
      <c r="L174" s="50" t="n">
        <f aca="false">IF(OR(NOT(ISNUMBER(L12)),NOT(ISNUMBER(L93))),"",L12-L93)</f>
        <v>2.12593688502238E-005</v>
      </c>
      <c r="M174" s="50" t="n">
        <f aca="false">IF(OR(NOT(ISNUMBER(M12)),NOT(ISNUMBER(M93))),"",M12-M93)</f>
        <v>-2.28137517410687E-005</v>
      </c>
      <c r="N174" s="50" t="n">
        <f aca="false">IF(OR(NOT(ISNUMBER(N12)),NOT(ISNUMBER(N93))),"",N12-N93)</f>
        <v>2.36247774410003E-005</v>
      </c>
      <c r="O174" s="68" t="n">
        <f aca="false">IF(OR(NOT(ISNUMBER(O12)),NOT(ISNUMBER(O93))),"",O12-O93)</f>
        <v>5.63296623568022E-007</v>
      </c>
      <c r="P174" s="11" t="str">
        <f aca="false">IF(COUNT(D174:N174)=0,"",IF(AND(MAX(D174:N174)&lt;0.005,MIN(D174:N174)&gt;-0.005),"Sin diferencia","Diferencia a explicar"))</f>
        <v>Sin diferencia</v>
      </c>
    </row>
    <row r="175" customFormat="false" ht="15" hidden="false" customHeight="false" outlineLevel="0" collapsed="false">
      <c r="A175" s="11" t="s">
        <v>2007</v>
      </c>
      <c r="B175" s="53" t="str">
        <f aca="false">IF(INDEX(Prod_Nombre,2)="","Producto 2",INDEX(Prod_Nombre,2))&amp;" — venta"</f>
        <v>Cajas metálicas 13 kg — venta</v>
      </c>
      <c r="C175" s="11" t="s">
        <v>508</v>
      </c>
      <c r="D175" s="48" t="str">
        <f aca="false">IF(OR(NOT(ISNUMBER(D13)),NOT(ISNUMBER(D94))),"",D13-D94)</f>
        <v/>
      </c>
      <c r="E175" s="48" t="n">
        <f aca="false">IF(OR(NOT(ISNUMBER(E13)),NOT(ISNUMBER(E94))),"",E13-E94)</f>
        <v>0</v>
      </c>
      <c r="F175" s="48" t="n">
        <f aca="false">IF(OR(NOT(ISNUMBER(F13)),NOT(ISNUMBER(F94))),"",F13-F94)</f>
        <v>0</v>
      </c>
      <c r="G175" s="48" t="n">
        <f aca="false">IF(OR(NOT(ISNUMBER(G13)),NOT(ISNUMBER(G94))),"",G13-G94)</f>
        <v>0</v>
      </c>
      <c r="H175" s="48" t="n">
        <f aca="false">IF(OR(NOT(ISNUMBER(H13)),NOT(ISNUMBER(H94))),"",H13-H94)</f>
        <v>-0.240000000223517</v>
      </c>
      <c r="I175" s="48" t="n">
        <f aca="false">IF(OR(NOT(ISNUMBER(I13)),NOT(ISNUMBER(I94))),"",I13-I94)</f>
        <v>0.0676000001840293</v>
      </c>
      <c r="J175" s="48" t="n">
        <f aca="false">IF(OR(NOT(ISNUMBER(J13)),NOT(ISNUMBER(J94))),"",J13-J94)</f>
        <v>-0.261724000331014</v>
      </c>
      <c r="K175" s="48" t="n">
        <f aca="false">IF(OR(NOT(ISNUMBER(K13)),NOT(ISNUMBER(K94))),"",K13-K94)</f>
        <v>-0.384341239929199</v>
      </c>
      <c r="L175" s="48" t="n">
        <f aca="false">IF(OR(NOT(ISNUMBER(L13)),NOT(ISNUMBER(L94))),"",L13-L94)</f>
        <v>-0.42818465270102</v>
      </c>
      <c r="M175" s="48" t="n">
        <f aca="false">IF(OR(NOT(ISNUMBER(M13)),NOT(ISNUMBER(M94))),"",M13-M94)</f>
        <v>-0.492466499563307</v>
      </c>
      <c r="N175" s="48" t="n">
        <f aca="false">IF(OR(NOT(ISNUMBER(N13)),NOT(ISNUMBER(N94))),"",N13-N94)</f>
        <v>0.352608836255968</v>
      </c>
      <c r="O175" s="54" t="n">
        <f aca="false">IF(OR(NOT(ISNUMBER(O13)),NOT(ISNUMBER(O94))),"",O13-O94)</f>
        <v>-1.3865075558424</v>
      </c>
      <c r="P175" s="11" t="str">
        <f aca="false">IF(COUNT(D175:N175)=0,"",IF(AND(MAX(D175:N175)&lt;2,MIN(D175:N175)&gt;-2),"Sin diferencia","Diferencia a explicar"))</f>
        <v>Sin diferencia</v>
      </c>
    </row>
    <row r="176" customFormat="false" ht="15" hidden="false" customHeight="false" outlineLevel="0" collapsed="false">
      <c r="A176" s="11" t="s">
        <v>2008</v>
      </c>
      <c r="B176" s="15" t="s">
        <v>2004</v>
      </c>
      <c r="C176" s="11" t="s">
        <v>544</v>
      </c>
      <c r="D176" s="48" t="str">
        <f aca="false">IF(OR(NOT(ISNUMBER(D14)),NOT(ISNUMBER(D95))),"",D14-D95)</f>
        <v/>
      </c>
      <c r="E176" s="48" t="n">
        <f aca="false">IF(OR(NOT(ISNUMBER(E14)),NOT(ISNUMBER(E95))),"",E14-E95)</f>
        <v>0</v>
      </c>
      <c r="F176" s="48" t="n">
        <f aca="false">IF(OR(NOT(ISNUMBER(F14)),NOT(ISNUMBER(F95))),"",F14-F95)</f>
        <v>0</v>
      </c>
      <c r="G176" s="48" t="n">
        <f aca="false">IF(OR(NOT(ISNUMBER(G14)),NOT(ISNUMBER(G95))),"",G14-G95)</f>
        <v>0</v>
      </c>
      <c r="H176" s="48" t="n">
        <f aca="false">IF(OR(NOT(ISNUMBER(H14)),NOT(ISNUMBER(H95))),"",H14-H95)</f>
        <v>0</v>
      </c>
      <c r="I176" s="48" t="n">
        <f aca="false">IF(OR(NOT(ISNUMBER(I14)),NOT(ISNUMBER(I95))),"",I14-I95)</f>
        <v>0</v>
      </c>
      <c r="J176" s="48" t="n">
        <f aca="false">IF(OR(NOT(ISNUMBER(J14)),NOT(ISNUMBER(J95))),"",J14-J95)</f>
        <v>0</v>
      </c>
      <c r="K176" s="48" t="n">
        <f aca="false">IF(OR(NOT(ISNUMBER(K14)),NOT(ISNUMBER(K95))),"",K14-K95)</f>
        <v>0</v>
      </c>
      <c r="L176" s="48" t="n">
        <f aca="false">IF(OR(NOT(ISNUMBER(L14)),NOT(ISNUMBER(L95))),"",L14-L95)</f>
        <v>0</v>
      </c>
      <c r="M176" s="48" t="n">
        <f aca="false">IF(OR(NOT(ISNUMBER(M14)),NOT(ISNUMBER(M95))),"",M14-M95)</f>
        <v>0</v>
      </c>
      <c r="N176" s="48" t="n">
        <f aca="false">IF(OR(NOT(ISNUMBER(N14)),NOT(ISNUMBER(N95))),"",N14-N95)</f>
        <v>0</v>
      </c>
      <c r="O176" s="54" t="n">
        <f aca="false">IF(OR(NOT(ISNUMBER(O14)),NOT(ISNUMBER(O95))),"",O14-O95)</f>
        <v>0</v>
      </c>
      <c r="P176" s="11" t="str">
        <f aca="false">IF(COUNT(D176:N176)=0,"",IF(AND(MAX(D176:N176)&lt;2,MIN(D176:N176)&gt;-2),"Sin diferencia","Diferencia a explicar"))</f>
        <v>Sin diferencia</v>
      </c>
    </row>
    <row r="177" customFormat="false" ht="15" hidden="false" customHeight="false" outlineLevel="0" collapsed="false">
      <c r="A177" s="11" t="s">
        <v>2009</v>
      </c>
      <c r="B177" s="15" t="s">
        <v>2006</v>
      </c>
      <c r="C177" s="11" t="s">
        <v>748</v>
      </c>
      <c r="D177" s="50" t="str">
        <f aca="false">IF(OR(NOT(ISNUMBER(D15)),NOT(ISNUMBER(D96))),"",D15-D96)</f>
        <v/>
      </c>
      <c r="E177" s="50" t="n">
        <f aca="false">IF(OR(NOT(ISNUMBER(E15)),NOT(ISNUMBER(E96))),"",E15-E96)</f>
        <v>0</v>
      </c>
      <c r="F177" s="50" t="n">
        <f aca="false">IF(OR(NOT(ISNUMBER(F15)),NOT(ISNUMBER(F96))),"",F15-F96)</f>
        <v>0</v>
      </c>
      <c r="G177" s="50" t="n">
        <f aca="false">IF(OR(NOT(ISNUMBER(G15)),NOT(ISNUMBER(G96))),"",G15-G96)</f>
        <v>0</v>
      </c>
      <c r="H177" s="50" t="n">
        <f aca="false">IF(OR(NOT(ISNUMBER(H15)),NOT(ISNUMBER(H96))),"",H15-H96)</f>
        <v>-2.00000000205591E-006</v>
      </c>
      <c r="I177" s="50" t="n">
        <f aca="false">IF(OR(NOT(ISNUMBER(I15)),NOT(ISNUMBER(I96))),"",I15-I96)</f>
        <v>5.63333333758465E-007</v>
      </c>
      <c r="J177" s="50" t="n">
        <f aca="false">IF(OR(NOT(ISNUMBER(J15)),NOT(ISNUMBER(J96))),"",J15-J96)</f>
        <v>-2.1810333343808E-006</v>
      </c>
      <c r="K177" s="50" t="n">
        <f aca="false">IF(OR(NOT(ISNUMBER(K15)),NOT(ISNUMBER(K96))),"",K15-K96)</f>
        <v>-3.20284366850387E-006</v>
      </c>
      <c r="L177" s="50" t="n">
        <f aca="false">IF(OR(NOT(ISNUMBER(L15)),NOT(ISNUMBER(L96))),"",L15-L96)</f>
        <v>-3.5682054395636E-006</v>
      </c>
      <c r="M177" s="50" t="n">
        <f aca="false">IF(OR(NOT(ISNUMBER(M15)),NOT(ISNUMBER(M96))),"",M15-M96)</f>
        <v>-4.1038874947219E-006</v>
      </c>
      <c r="N177" s="50" t="n">
        <f aca="false">IF(OR(NOT(ISNUMBER(N15)),NOT(ISNUMBER(N96))),"",N15-N96)</f>
        <v>2.9384069684113E-006</v>
      </c>
      <c r="O177" s="68" t="n">
        <f aca="false">IF(OR(NOT(ISNUMBER(O15)),NOT(ISNUMBER(O96))),"",O15-O96)</f>
        <v>-1.24910590670879E-006</v>
      </c>
      <c r="P177" s="11" t="str">
        <f aca="false">IF(COUNT(D177:N177)=0,"",IF(AND(MAX(D177:N177)&lt;0.005,MIN(D177:N177)&gt;-0.005),"Sin diferencia","Diferencia a explicar"))</f>
        <v>Sin diferencia</v>
      </c>
    </row>
    <row r="178" customFormat="false" ht="15" hidden="true" customHeight="false" outlineLevel="1" collapsed="false">
      <c r="A178" s="11" t="s">
        <v>2010</v>
      </c>
      <c r="B178" s="53" t="str">
        <f aca="false">IF(INDEX(Prod_Nombre,3)="","Producto 3",INDEX(Prod_Nombre,3))&amp;" — venta"</f>
        <v>Producto 3 — venta</v>
      </c>
      <c r="C178" s="11" t="s">
        <v>508</v>
      </c>
      <c r="D178" s="48" t="str">
        <f aca="false">IF(OR(NOT(ISNUMBER(D16)),NOT(ISNUMBER(D97))),"",D16-D97)</f>
        <v/>
      </c>
      <c r="E178" s="48" t="str">
        <f aca="false">IF(OR(NOT(ISNUMBER(E16)),NOT(ISNUMBER(E97))),"",E16-E97)</f>
        <v/>
      </c>
      <c r="F178" s="48" t="str">
        <f aca="false">IF(OR(NOT(ISNUMBER(F16)),NOT(ISNUMBER(F97))),"",F16-F97)</f>
        <v/>
      </c>
      <c r="G178" s="48" t="str">
        <f aca="false">IF(OR(NOT(ISNUMBER(G16)),NOT(ISNUMBER(G97))),"",G16-G97)</f>
        <v/>
      </c>
      <c r="H178" s="48" t="str">
        <f aca="false">IF(OR(NOT(ISNUMBER(H16)),NOT(ISNUMBER(H97))),"",H16-H97)</f>
        <v/>
      </c>
      <c r="I178" s="48" t="str">
        <f aca="false">IF(OR(NOT(ISNUMBER(I16)),NOT(ISNUMBER(I97))),"",I16-I97)</f>
        <v/>
      </c>
      <c r="J178" s="48" t="str">
        <f aca="false">IF(OR(NOT(ISNUMBER(J16)),NOT(ISNUMBER(J97))),"",J16-J97)</f>
        <v/>
      </c>
      <c r="K178" s="48" t="str">
        <f aca="false">IF(OR(NOT(ISNUMBER(K16)),NOT(ISNUMBER(K97))),"",K16-K97)</f>
        <v/>
      </c>
      <c r="L178" s="48" t="str">
        <f aca="false">IF(OR(NOT(ISNUMBER(L16)),NOT(ISNUMBER(L97))),"",L16-L97)</f>
        <v/>
      </c>
      <c r="M178" s="48" t="str">
        <f aca="false">IF(OR(NOT(ISNUMBER(M16)),NOT(ISNUMBER(M97))),"",M16-M97)</f>
        <v/>
      </c>
      <c r="N178" s="48" t="str">
        <f aca="false">IF(OR(NOT(ISNUMBER(N16)),NOT(ISNUMBER(N97))),"",N16-N97)</f>
        <v/>
      </c>
      <c r="O178" s="54" t="str">
        <f aca="false">IF(OR(NOT(ISNUMBER(O16)),NOT(ISNUMBER(O97))),"",O16-O97)</f>
        <v/>
      </c>
      <c r="P178" s="11" t="str">
        <f aca="false">IF(COUNT(D178:N178)=0,"",IF(AND(MAX(D178:N178)&lt;2,MIN(D178:N178)&gt;-2),"Sin diferencia","Diferencia a explicar"))</f>
        <v/>
      </c>
    </row>
    <row r="179" customFormat="false" ht="15" hidden="true" customHeight="false" outlineLevel="1" collapsed="false">
      <c r="A179" s="11" t="s">
        <v>2011</v>
      </c>
      <c r="B179" s="15" t="s">
        <v>2004</v>
      </c>
      <c r="C179" s="11" t="s">
        <v>544</v>
      </c>
      <c r="D179" s="48" t="str">
        <f aca="false">IF(OR(NOT(ISNUMBER(D17)),NOT(ISNUMBER(D98))),"",D17-D98)</f>
        <v/>
      </c>
      <c r="E179" s="48" t="str">
        <f aca="false">IF(OR(NOT(ISNUMBER(E17)),NOT(ISNUMBER(E98))),"",E17-E98)</f>
        <v/>
      </c>
      <c r="F179" s="48" t="str">
        <f aca="false">IF(OR(NOT(ISNUMBER(F17)),NOT(ISNUMBER(F98))),"",F17-F98)</f>
        <v/>
      </c>
      <c r="G179" s="48" t="str">
        <f aca="false">IF(OR(NOT(ISNUMBER(G17)),NOT(ISNUMBER(G98))),"",G17-G98)</f>
        <v/>
      </c>
      <c r="H179" s="48" t="str">
        <f aca="false">IF(OR(NOT(ISNUMBER(H17)),NOT(ISNUMBER(H98))),"",H17-H98)</f>
        <v/>
      </c>
      <c r="I179" s="48" t="str">
        <f aca="false">IF(OR(NOT(ISNUMBER(I17)),NOT(ISNUMBER(I98))),"",I17-I98)</f>
        <v/>
      </c>
      <c r="J179" s="48" t="str">
        <f aca="false">IF(OR(NOT(ISNUMBER(J17)),NOT(ISNUMBER(J98))),"",J17-J98)</f>
        <v/>
      </c>
      <c r="K179" s="48" t="str">
        <f aca="false">IF(OR(NOT(ISNUMBER(K17)),NOT(ISNUMBER(K98))),"",K17-K98)</f>
        <v/>
      </c>
      <c r="L179" s="48" t="str">
        <f aca="false">IF(OR(NOT(ISNUMBER(L17)),NOT(ISNUMBER(L98))),"",L17-L98)</f>
        <v/>
      </c>
      <c r="M179" s="48" t="str">
        <f aca="false">IF(OR(NOT(ISNUMBER(M17)),NOT(ISNUMBER(M98))),"",M17-M98)</f>
        <v/>
      </c>
      <c r="N179" s="48" t="str">
        <f aca="false">IF(OR(NOT(ISNUMBER(N17)),NOT(ISNUMBER(N98))),"",N17-N98)</f>
        <v/>
      </c>
      <c r="O179" s="54" t="str">
        <f aca="false">IF(OR(NOT(ISNUMBER(O17)),NOT(ISNUMBER(O98))),"",O17-O98)</f>
        <v/>
      </c>
      <c r="P179" s="11" t="str">
        <f aca="false">IF(COUNT(D179:N179)=0,"",IF(AND(MAX(D179:N179)&lt;2,MIN(D179:N179)&gt;-2),"Sin diferencia","Diferencia a explicar"))</f>
        <v/>
      </c>
    </row>
    <row r="180" customFormat="false" ht="15" hidden="true" customHeight="false" outlineLevel="1" collapsed="false">
      <c r="A180" s="11" t="s">
        <v>2012</v>
      </c>
      <c r="B180" s="15" t="s">
        <v>2006</v>
      </c>
      <c r="C180" s="11" t="s">
        <v>748</v>
      </c>
      <c r="D180" s="50" t="str">
        <f aca="false">IF(OR(NOT(ISNUMBER(D18)),NOT(ISNUMBER(D99))),"",D18-D99)</f>
        <v/>
      </c>
      <c r="E180" s="50" t="str">
        <f aca="false">IF(OR(NOT(ISNUMBER(E18)),NOT(ISNUMBER(E99))),"",E18-E99)</f>
        <v/>
      </c>
      <c r="F180" s="50" t="str">
        <f aca="false">IF(OR(NOT(ISNUMBER(F18)),NOT(ISNUMBER(F99))),"",F18-F99)</f>
        <v/>
      </c>
      <c r="G180" s="50" t="str">
        <f aca="false">IF(OR(NOT(ISNUMBER(G18)),NOT(ISNUMBER(G99))),"",G18-G99)</f>
        <v/>
      </c>
      <c r="H180" s="50" t="str">
        <f aca="false">IF(OR(NOT(ISNUMBER(H18)),NOT(ISNUMBER(H99))),"",H18-H99)</f>
        <v/>
      </c>
      <c r="I180" s="50" t="str">
        <f aca="false">IF(OR(NOT(ISNUMBER(I18)),NOT(ISNUMBER(I99))),"",I18-I99)</f>
        <v/>
      </c>
      <c r="J180" s="50" t="str">
        <f aca="false">IF(OR(NOT(ISNUMBER(J18)),NOT(ISNUMBER(J99))),"",J18-J99)</f>
        <v/>
      </c>
      <c r="K180" s="50" t="str">
        <f aca="false">IF(OR(NOT(ISNUMBER(K18)),NOT(ISNUMBER(K99))),"",K18-K99)</f>
        <v/>
      </c>
      <c r="L180" s="50" t="str">
        <f aca="false">IF(OR(NOT(ISNUMBER(L18)),NOT(ISNUMBER(L99))),"",L18-L99)</f>
        <v/>
      </c>
      <c r="M180" s="50" t="str">
        <f aca="false">IF(OR(NOT(ISNUMBER(M18)),NOT(ISNUMBER(M99))),"",M18-M99)</f>
        <v/>
      </c>
      <c r="N180" s="50" t="str">
        <f aca="false">IF(OR(NOT(ISNUMBER(N18)),NOT(ISNUMBER(N99))),"",N18-N99)</f>
        <v/>
      </c>
      <c r="O180" s="68" t="str">
        <f aca="false">IF(OR(NOT(ISNUMBER(O18)),NOT(ISNUMBER(O99))),"",O18-O99)</f>
        <v/>
      </c>
      <c r="P180" s="11" t="str">
        <f aca="false">IF(COUNT(D180:N180)=0,"",IF(AND(MAX(D180:N180)&lt;0.005,MIN(D180:N180)&gt;-0.005),"Sin diferencia","Diferencia a explicar"))</f>
        <v/>
      </c>
    </row>
    <row r="181" customFormat="false" ht="15" hidden="true" customHeight="false" outlineLevel="1" collapsed="false">
      <c r="A181" s="11" t="s">
        <v>2013</v>
      </c>
      <c r="B181" s="53" t="str">
        <f aca="false">IF(INDEX(Prod_Nombre,4)="","Producto 4",INDEX(Prod_Nombre,4))&amp;" — venta"</f>
        <v>Producto 4 — venta</v>
      </c>
      <c r="C181" s="11" t="s">
        <v>508</v>
      </c>
      <c r="D181" s="48" t="str">
        <f aca="false">IF(OR(NOT(ISNUMBER(D19)),NOT(ISNUMBER(D100))),"",D19-D100)</f>
        <v/>
      </c>
      <c r="E181" s="48" t="str">
        <f aca="false">IF(OR(NOT(ISNUMBER(E19)),NOT(ISNUMBER(E100))),"",E19-E100)</f>
        <v/>
      </c>
      <c r="F181" s="48" t="str">
        <f aca="false">IF(OR(NOT(ISNUMBER(F19)),NOT(ISNUMBER(F100))),"",F19-F100)</f>
        <v/>
      </c>
      <c r="G181" s="48" t="str">
        <f aca="false">IF(OR(NOT(ISNUMBER(G19)),NOT(ISNUMBER(G100))),"",G19-G100)</f>
        <v/>
      </c>
      <c r="H181" s="48" t="str">
        <f aca="false">IF(OR(NOT(ISNUMBER(H19)),NOT(ISNUMBER(H100))),"",H19-H100)</f>
        <v/>
      </c>
      <c r="I181" s="48" t="str">
        <f aca="false">IF(OR(NOT(ISNUMBER(I19)),NOT(ISNUMBER(I100))),"",I19-I100)</f>
        <v/>
      </c>
      <c r="J181" s="48" t="str">
        <f aca="false">IF(OR(NOT(ISNUMBER(J19)),NOT(ISNUMBER(J100))),"",J19-J100)</f>
        <v/>
      </c>
      <c r="K181" s="48" t="str">
        <f aca="false">IF(OR(NOT(ISNUMBER(K19)),NOT(ISNUMBER(K100))),"",K19-K100)</f>
        <v/>
      </c>
      <c r="L181" s="48" t="str">
        <f aca="false">IF(OR(NOT(ISNUMBER(L19)),NOT(ISNUMBER(L100))),"",L19-L100)</f>
        <v/>
      </c>
      <c r="M181" s="48" t="str">
        <f aca="false">IF(OR(NOT(ISNUMBER(M19)),NOT(ISNUMBER(M100))),"",M19-M100)</f>
        <v/>
      </c>
      <c r="N181" s="48" t="str">
        <f aca="false">IF(OR(NOT(ISNUMBER(N19)),NOT(ISNUMBER(N100))),"",N19-N100)</f>
        <v/>
      </c>
      <c r="O181" s="54" t="str">
        <f aca="false">IF(OR(NOT(ISNUMBER(O19)),NOT(ISNUMBER(O100))),"",O19-O100)</f>
        <v/>
      </c>
      <c r="P181" s="11" t="str">
        <f aca="false">IF(COUNT(D181:N181)=0,"",IF(AND(MAX(D181:N181)&lt;2,MIN(D181:N181)&gt;-2),"Sin diferencia","Diferencia a explicar"))</f>
        <v/>
      </c>
    </row>
    <row r="182" customFormat="false" ht="15" hidden="true" customHeight="false" outlineLevel="1" collapsed="false">
      <c r="A182" s="11" t="s">
        <v>2014</v>
      </c>
      <c r="B182" s="15" t="s">
        <v>2004</v>
      </c>
      <c r="C182" s="11" t="s">
        <v>544</v>
      </c>
      <c r="D182" s="48" t="str">
        <f aca="false">IF(OR(NOT(ISNUMBER(D20)),NOT(ISNUMBER(D101))),"",D20-D101)</f>
        <v/>
      </c>
      <c r="E182" s="48" t="str">
        <f aca="false">IF(OR(NOT(ISNUMBER(E20)),NOT(ISNUMBER(E101))),"",E20-E101)</f>
        <v/>
      </c>
      <c r="F182" s="48" t="str">
        <f aca="false">IF(OR(NOT(ISNUMBER(F20)),NOT(ISNUMBER(F101))),"",F20-F101)</f>
        <v/>
      </c>
      <c r="G182" s="48" t="str">
        <f aca="false">IF(OR(NOT(ISNUMBER(G20)),NOT(ISNUMBER(G101))),"",G20-G101)</f>
        <v/>
      </c>
      <c r="H182" s="48" t="str">
        <f aca="false">IF(OR(NOT(ISNUMBER(H20)),NOT(ISNUMBER(H101))),"",H20-H101)</f>
        <v/>
      </c>
      <c r="I182" s="48" t="str">
        <f aca="false">IF(OR(NOT(ISNUMBER(I20)),NOT(ISNUMBER(I101))),"",I20-I101)</f>
        <v/>
      </c>
      <c r="J182" s="48" t="str">
        <f aca="false">IF(OR(NOT(ISNUMBER(J20)),NOT(ISNUMBER(J101))),"",J20-J101)</f>
        <v/>
      </c>
      <c r="K182" s="48" t="str">
        <f aca="false">IF(OR(NOT(ISNUMBER(K20)),NOT(ISNUMBER(K101))),"",K20-K101)</f>
        <v/>
      </c>
      <c r="L182" s="48" t="str">
        <f aca="false">IF(OR(NOT(ISNUMBER(L20)),NOT(ISNUMBER(L101))),"",L20-L101)</f>
        <v/>
      </c>
      <c r="M182" s="48" t="str">
        <f aca="false">IF(OR(NOT(ISNUMBER(M20)),NOT(ISNUMBER(M101))),"",M20-M101)</f>
        <v/>
      </c>
      <c r="N182" s="48" t="str">
        <f aca="false">IF(OR(NOT(ISNUMBER(N20)),NOT(ISNUMBER(N101))),"",N20-N101)</f>
        <v/>
      </c>
      <c r="O182" s="54" t="str">
        <f aca="false">IF(OR(NOT(ISNUMBER(O20)),NOT(ISNUMBER(O101))),"",O20-O101)</f>
        <v/>
      </c>
      <c r="P182" s="11" t="str">
        <f aca="false">IF(COUNT(D182:N182)=0,"",IF(AND(MAX(D182:N182)&lt;2,MIN(D182:N182)&gt;-2),"Sin diferencia","Diferencia a explicar"))</f>
        <v/>
      </c>
    </row>
    <row r="183" customFormat="false" ht="15" hidden="true" customHeight="false" outlineLevel="1" collapsed="false">
      <c r="A183" s="11" t="s">
        <v>2015</v>
      </c>
      <c r="B183" s="15" t="s">
        <v>2006</v>
      </c>
      <c r="C183" s="11" t="s">
        <v>748</v>
      </c>
      <c r="D183" s="50" t="str">
        <f aca="false">IF(OR(NOT(ISNUMBER(D21)),NOT(ISNUMBER(D102))),"",D21-D102)</f>
        <v/>
      </c>
      <c r="E183" s="50" t="str">
        <f aca="false">IF(OR(NOT(ISNUMBER(E21)),NOT(ISNUMBER(E102))),"",E21-E102)</f>
        <v/>
      </c>
      <c r="F183" s="50" t="str">
        <f aca="false">IF(OR(NOT(ISNUMBER(F21)),NOT(ISNUMBER(F102))),"",F21-F102)</f>
        <v/>
      </c>
      <c r="G183" s="50" t="str">
        <f aca="false">IF(OR(NOT(ISNUMBER(G21)),NOT(ISNUMBER(G102))),"",G21-G102)</f>
        <v/>
      </c>
      <c r="H183" s="50" t="str">
        <f aca="false">IF(OR(NOT(ISNUMBER(H21)),NOT(ISNUMBER(H102))),"",H21-H102)</f>
        <v/>
      </c>
      <c r="I183" s="50" t="str">
        <f aca="false">IF(OR(NOT(ISNUMBER(I21)),NOT(ISNUMBER(I102))),"",I21-I102)</f>
        <v/>
      </c>
      <c r="J183" s="50" t="str">
        <f aca="false">IF(OR(NOT(ISNUMBER(J21)),NOT(ISNUMBER(J102))),"",J21-J102)</f>
        <v/>
      </c>
      <c r="K183" s="50" t="str">
        <f aca="false">IF(OR(NOT(ISNUMBER(K21)),NOT(ISNUMBER(K102))),"",K21-K102)</f>
        <v/>
      </c>
      <c r="L183" s="50" t="str">
        <f aca="false">IF(OR(NOT(ISNUMBER(L21)),NOT(ISNUMBER(L102))),"",L21-L102)</f>
        <v/>
      </c>
      <c r="M183" s="50" t="str">
        <f aca="false">IF(OR(NOT(ISNUMBER(M21)),NOT(ISNUMBER(M102))),"",M21-M102)</f>
        <v/>
      </c>
      <c r="N183" s="50" t="str">
        <f aca="false">IF(OR(NOT(ISNUMBER(N21)),NOT(ISNUMBER(N102))),"",N21-N102)</f>
        <v/>
      </c>
      <c r="O183" s="68" t="str">
        <f aca="false">IF(OR(NOT(ISNUMBER(O21)),NOT(ISNUMBER(O102))),"",O21-O102)</f>
        <v/>
      </c>
      <c r="P183" s="11" t="str">
        <f aca="false">IF(COUNT(D183:N183)=0,"",IF(AND(MAX(D183:N183)&lt;0.005,MIN(D183:N183)&gt;-0.005),"Sin diferencia","Diferencia a explicar"))</f>
        <v/>
      </c>
    </row>
    <row r="184" customFormat="false" ht="15" hidden="true" customHeight="false" outlineLevel="1" collapsed="false">
      <c r="A184" s="11" t="s">
        <v>2016</v>
      </c>
      <c r="B184" s="53" t="str">
        <f aca="false">IF(INDEX(Prod_Nombre,5)="","Producto 5",INDEX(Prod_Nombre,5))&amp;" — venta"</f>
        <v>Producto 5 — venta</v>
      </c>
      <c r="C184" s="11" t="s">
        <v>508</v>
      </c>
      <c r="D184" s="48" t="str">
        <f aca="false">IF(OR(NOT(ISNUMBER(D22)),NOT(ISNUMBER(D103))),"",D22-D103)</f>
        <v/>
      </c>
      <c r="E184" s="48" t="str">
        <f aca="false">IF(OR(NOT(ISNUMBER(E22)),NOT(ISNUMBER(E103))),"",E22-E103)</f>
        <v/>
      </c>
      <c r="F184" s="48" t="str">
        <f aca="false">IF(OR(NOT(ISNUMBER(F22)),NOT(ISNUMBER(F103))),"",F22-F103)</f>
        <v/>
      </c>
      <c r="G184" s="48" t="str">
        <f aca="false">IF(OR(NOT(ISNUMBER(G22)),NOT(ISNUMBER(G103))),"",G22-G103)</f>
        <v/>
      </c>
      <c r="H184" s="48" t="str">
        <f aca="false">IF(OR(NOT(ISNUMBER(H22)),NOT(ISNUMBER(H103))),"",H22-H103)</f>
        <v/>
      </c>
      <c r="I184" s="48" t="str">
        <f aca="false">IF(OR(NOT(ISNUMBER(I22)),NOT(ISNUMBER(I103))),"",I22-I103)</f>
        <v/>
      </c>
      <c r="J184" s="48" t="str">
        <f aca="false">IF(OR(NOT(ISNUMBER(J22)),NOT(ISNUMBER(J103))),"",J22-J103)</f>
        <v/>
      </c>
      <c r="K184" s="48" t="str">
        <f aca="false">IF(OR(NOT(ISNUMBER(K22)),NOT(ISNUMBER(K103))),"",K22-K103)</f>
        <v/>
      </c>
      <c r="L184" s="48" t="str">
        <f aca="false">IF(OR(NOT(ISNUMBER(L22)),NOT(ISNUMBER(L103))),"",L22-L103)</f>
        <v/>
      </c>
      <c r="M184" s="48" t="str">
        <f aca="false">IF(OR(NOT(ISNUMBER(M22)),NOT(ISNUMBER(M103))),"",M22-M103)</f>
        <v/>
      </c>
      <c r="N184" s="48" t="str">
        <f aca="false">IF(OR(NOT(ISNUMBER(N22)),NOT(ISNUMBER(N103))),"",N22-N103)</f>
        <v/>
      </c>
      <c r="O184" s="54" t="str">
        <f aca="false">IF(OR(NOT(ISNUMBER(O22)),NOT(ISNUMBER(O103))),"",O22-O103)</f>
        <v/>
      </c>
      <c r="P184" s="11" t="str">
        <f aca="false">IF(COUNT(D184:N184)=0,"",IF(AND(MAX(D184:N184)&lt;2,MIN(D184:N184)&gt;-2),"Sin diferencia","Diferencia a explicar"))</f>
        <v/>
      </c>
    </row>
    <row r="185" customFormat="false" ht="15" hidden="true" customHeight="false" outlineLevel="1" collapsed="false">
      <c r="A185" s="11" t="s">
        <v>2017</v>
      </c>
      <c r="B185" s="15" t="s">
        <v>2004</v>
      </c>
      <c r="C185" s="11" t="s">
        <v>544</v>
      </c>
      <c r="D185" s="48" t="str">
        <f aca="false">IF(OR(NOT(ISNUMBER(D23)),NOT(ISNUMBER(D104))),"",D23-D104)</f>
        <v/>
      </c>
      <c r="E185" s="48" t="str">
        <f aca="false">IF(OR(NOT(ISNUMBER(E23)),NOT(ISNUMBER(E104))),"",E23-E104)</f>
        <v/>
      </c>
      <c r="F185" s="48" t="str">
        <f aca="false">IF(OR(NOT(ISNUMBER(F23)),NOT(ISNUMBER(F104))),"",F23-F104)</f>
        <v/>
      </c>
      <c r="G185" s="48" t="str">
        <f aca="false">IF(OR(NOT(ISNUMBER(G23)),NOT(ISNUMBER(G104))),"",G23-G104)</f>
        <v/>
      </c>
      <c r="H185" s="48" t="str">
        <f aca="false">IF(OR(NOT(ISNUMBER(H23)),NOT(ISNUMBER(H104))),"",H23-H104)</f>
        <v/>
      </c>
      <c r="I185" s="48" t="str">
        <f aca="false">IF(OR(NOT(ISNUMBER(I23)),NOT(ISNUMBER(I104))),"",I23-I104)</f>
        <v/>
      </c>
      <c r="J185" s="48" t="str">
        <f aca="false">IF(OR(NOT(ISNUMBER(J23)),NOT(ISNUMBER(J104))),"",J23-J104)</f>
        <v/>
      </c>
      <c r="K185" s="48" t="str">
        <f aca="false">IF(OR(NOT(ISNUMBER(K23)),NOT(ISNUMBER(K104))),"",K23-K104)</f>
        <v/>
      </c>
      <c r="L185" s="48" t="str">
        <f aca="false">IF(OR(NOT(ISNUMBER(L23)),NOT(ISNUMBER(L104))),"",L23-L104)</f>
        <v/>
      </c>
      <c r="M185" s="48" t="str">
        <f aca="false">IF(OR(NOT(ISNUMBER(M23)),NOT(ISNUMBER(M104))),"",M23-M104)</f>
        <v/>
      </c>
      <c r="N185" s="48" t="str">
        <f aca="false">IF(OR(NOT(ISNUMBER(N23)),NOT(ISNUMBER(N104))),"",N23-N104)</f>
        <v/>
      </c>
      <c r="O185" s="54" t="str">
        <f aca="false">IF(OR(NOT(ISNUMBER(O23)),NOT(ISNUMBER(O104))),"",O23-O104)</f>
        <v/>
      </c>
      <c r="P185" s="11" t="str">
        <f aca="false">IF(COUNT(D185:N185)=0,"",IF(AND(MAX(D185:N185)&lt;2,MIN(D185:N185)&gt;-2),"Sin diferencia","Diferencia a explicar"))</f>
        <v/>
      </c>
    </row>
    <row r="186" customFormat="false" ht="15" hidden="true" customHeight="false" outlineLevel="1" collapsed="false">
      <c r="A186" s="11" t="s">
        <v>2018</v>
      </c>
      <c r="B186" s="15" t="s">
        <v>2006</v>
      </c>
      <c r="C186" s="11" t="s">
        <v>748</v>
      </c>
      <c r="D186" s="50" t="str">
        <f aca="false">IF(OR(NOT(ISNUMBER(D24)),NOT(ISNUMBER(D105))),"",D24-D105)</f>
        <v/>
      </c>
      <c r="E186" s="50" t="str">
        <f aca="false">IF(OR(NOT(ISNUMBER(E24)),NOT(ISNUMBER(E105))),"",E24-E105)</f>
        <v/>
      </c>
      <c r="F186" s="50" t="str">
        <f aca="false">IF(OR(NOT(ISNUMBER(F24)),NOT(ISNUMBER(F105))),"",F24-F105)</f>
        <v/>
      </c>
      <c r="G186" s="50" t="str">
        <f aca="false">IF(OR(NOT(ISNUMBER(G24)),NOT(ISNUMBER(G105))),"",G24-G105)</f>
        <v/>
      </c>
      <c r="H186" s="50" t="str">
        <f aca="false">IF(OR(NOT(ISNUMBER(H24)),NOT(ISNUMBER(H105))),"",H24-H105)</f>
        <v/>
      </c>
      <c r="I186" s="50" t="str">
        <f aca="false">IF(OR(NOT(ISNUMBER(I24)),NOT(ISNUMBER(I105))),"",I24-I105)</f>
        <v/>
      </c>
      <c r="J186" s="50" t="str">
        <f aca="false">IF(OR(NOT(ISNUMBER(J24)),NOT(ISNUMBER(J105))),"",J24-J105)</f>
        <v/>
      </c>
      <c r="K186" s="50" t="str">
        <f aca="false">IF(OR(NOT(ISNUMBER(K24)),NOT(ISNUMBER(K105))),"",K24-K105)</f>
        <v/>
      </c>
      <c r="L186" s="50" t="str">
        <f aca="false">IF(OR(NOT(ISNUMBER(L24)),NOT(ISNUMBER(L105))),"",L24-L105)</f>
        <v/>
      </c>
      <c r="M186" s="50" t="str">
        <f aca="false">IF(OR(NOT(ISNUMBER(M24)),NOT(ISNUMBER(M105))),"",M24-M105)</f>
        <v/>
      </c>
      <c r="N186" s="50" t="str">
        <f aca="false">IF(OR(NOT(ISNUMBER(N24)),NOT(ISNUMBER(N105))),"",N24-N105)</f>
        <v/>
      </c>
      <c r="O186" s="68" t="str">
        <f aca="false">IF(OR(NOT(ISNUMBER(O24)),NOT(ISNUMBER(O105))),"",O24-O105)</f>
        <v/>
      </c>
      <c r="P186" s="11" t="str">
        <f aca="false">IF(COUNT(D186:N186)=0,"",IF(AND(MAX(D186:N186)&lt;0.005,MIN(D186:N186)&gt;-0.005),"Sin diferencia","Diferencia a explicar"))</f>
        <v/>
      </c>
    </row>
    <row r="187" customFormat="false" ht="15" hidden="true" customHeight="false" outlineLevel="1" collapsed="false">
      <c r="A187" s="11" t="s">
        <v>2019</v>
      </c>
      <c r="B187" s="53" t="str">
        <f aca="false">IF(INDEX(Prod_Nombre,6)="","Producto 6",INDEX(Prod_Nombre,6))&amp;" — venta"</f>
        <v>Producto 6 — venta</v>
      </c>
      <c r="C187" s="11" t="s">
        <v>508</v>
      </c>
      <c r="D187" s="48" t="str">
        <f aca="false">IF(OR(NOT(ISNUMBER(D25)),NOT(ISNUMBER(D106))),"",D25-D106)</f>
        <v/>
      </c>
      <c r="E187" s="48" t="str">
        <f aca="false">IF(OR(NOT(ISNUMBER(E25)),NOT(ISNUMBER(E106))),"",E25-E106)</f>
        <v/>
      </c>
      <c r="F187" s="48" t="str">
        <f aca="false">IF(OR(NOT(ISNUMBER(F25)),NOT(ISNUMBER(F106))),"",F25-F106)</f>
        <v/>
      </c>
      <c r="G187" s="48" t="str">
        <f aca="false">IF(OR(NOT(ISNUMBER(G25)),NOT(ISNUMBER(G106))),"",G25-G106)</f>
        <v/>
      </c>
      <c r="H187" s="48" t="str">
        <f aca="false">IF(OR(NOT(ISNUMBER(H25)),NOT(ISNUMBER(H106))),"",H25-H106)</f>
        <v/>
      </c>
      <c r="I187" s="48" t="str">
        <f aca="false">IF(OR(NOT(ISNUMBER(I25)),NOT(ISNUMBER(I106))),"",I25-I106)</f>
        <v/>
      </c>
      <c r="J187" s="48" t="str">
        <f aca="false">IF(OR(NOT(ISNUMBER(J25)),NOT(ISNUMBER(J106))),"",J25-J106)</f>
        <v/>
      </c>
      <c r="K187" s="48" t="str">
        <f aca="false">IF(OR(NOT(ISNUMBER(K25)),NOT(ISNUMBER(K106))),"",K25-K106)</f>
        <v/>
      </c>
      <c r="L187" s="48" t="str">
        <f aca="false">IF(OR(NOT(ISNUMBER(L25)),NOT(ISNUMBER(L106))),"",L25-L106)</f>
        <v/>
      </c>
      <c r="M187" s="48" t="str">
        <f aca="false">IF(OR(NOT(ISNUMBER(M25)),NOT(ISNUMBER(M106))),"",M25-M106)</f>
        <v/>
      </c>
      <c r="N187" s="48" t="str">
        <f aca="false">IF(OR(NOT(ISNUMBER(N25)),NOT(ISNUMBER(N106))),"",N25-N106)</f>
        <v/>
      </c>
      <c r="O187" s="54" t="str">
        <f aca="false">IF(OR(NOT(ISNUMBER(O25)),NOT(ISNUMBER(O106))),"",O25-O106)</f>
        <v/>
      </c>
      <c r="P187" s="11" t="str">
        <f aca="false">IF(COUNT(D187:N187)=0,"",IF(AND(MAX(D187:N187)&lt;2,MIN(D187:N187)&gt;-2),"Sin diferencia","Diferencia a explicar"))</f>
        <v/>
      </c>
    </row>
    <row r="188" customFormat="false" ht="15" hidden="true" customHeight="false" outlineLevel="1" collapsed="false">
      <c r="A188" s="11" t="s">
        <v>2020</v>
      </c>
      <c r="B188" s="15" t="s">
        <v>2004</v>
      </c>
      <c r="C188" s="11" t="s">
        <v>544</v>
      </c>
      <c r="D188" s="48" t="str">
        <f aca="false">IF(OR(NOT(ISNUMBER(D26)),NOT(ISNUMBER(D107))),"",D26-D107)</f>
        <v/>
      </c>
      <c r="E188" s="48" t="str">
        <f aca="false">IF(OR(NOT(ISNUMBER(E26)),NOT(ISNUMBER(E107))),"",E26-E107)</f>
        <v/>
      </c>
      <c r="F188" s="48" t="str">
        <f aca="false">IF(OR(NOT(ISNUMBER(F26)),NOT(ISNUMBER(F107))),"",F26-F107)</f>
        <v/>
      </c>
      <c r="G188" s="48" t="str">
        <f aca="false">IF(OR(NOT(ISNUMBER(G26)),NOT(ISNUMBER(G107))),"",G26-G107)</f>
        <v/>
      </c>
      <c r="H188" s="48" t="str">
        <f aca="false">IF(OR(NOT(ISNUMBER(H26)),NOT(ISNUMBER(H107))),"",H26-H107)</f>
        <v/>
      </c>
      <c r="I188" s="48" t="str">
        <f aca="false">IF(OR(NOT(ISNUMBER(I26)),NOT(ISNUMBER(I107))),"",I26-I107)</f>
        <v/>
      </c>
      <c r="J188" s="48" t="str">
        <f aca="false">IF(OR(NOT(ISNUMBER(J26)),NOT(ISNUMBER(J107))),"",J26-J107)</f>
        <v/>
      </c>
      <c r="K188" s="48" t="str">
        <f aca="false">IF(OR(NOT(ISNUMBER(K26)),NOT(ISNUMBER(K107))),"",K26-K107)</f>
        <v/>
      </c>
      <c r="L188" s="48" t="str">
        <f aca="false">IF(OR(NOT(ISNUMBER(L26)),NOT(ISNUMBER(L107))),"",L26-L107)</f>
        <v/>
      </c>
      <c r="M188" s="48" t="str">
        <f aca="false">IF(OR(NOT(ISNUMBER(M26)),NOT(ISNUMBER(M107))),"",M26-M107)</f>
        <v/>
      </c>
      <c r="N188" s="48" t="str">
        <f aca="false">IF(OR(NOT(ISNUMBER(N26)),NOT(ISNUMBER(N107))),"",N26-N107)</f>
        <v/>
      </c>
      <c r="O188" s="54" t="str">
        <f aca="false">IF(OR(NOT(ISNUMBER(O26)),NOT(ISNUMBER(O107))),"",O26-O107)</f>
        <v/>
      </c>
      <c r="P188" s="11" t="str">
        <f aca="false">IF(COUNT(D188:N188)=0,"",IF(AND(MAX(D188:N188)&lt;2,MIN(D188:N188)&gt;-2),"Sin diferencia","Diferencia a explicar"))</f>
        <v/>
      </c>
    </row>
    <row r="189" customFormat="false" ht="15" hidden="true" customHeight="false" outlineLevel="1" collapsed="false">
      <c r="A189" s="11" t="s">
        <v>2021</v>
      </c>
      <c r="B189" s="15" t="s">
        <v>2006</v>
      </c>
      <c r="C189" s="11" t="s">
        <v>748</v>
      </c>
      <c r="D189" s="50" t="str">
        <f aca="false">IF(OR(NOT(ISNUMBER(D27)),NOT(ISNUMBER(D108))),"",D27-D108)</f>
        <v/>
      </c>
      <c r="E189" s="50" t="str">
        <f aca="false">IF(OR(NOT(ISNUMBER(E27)),NOT(ISNUMBER(E108))),"",E27-E108)</f>
        <v/>
      </c>
      <c r="F189" s="50" t="str">
        <f aca="false">IF(OR(NOT(ISNUMBER(F27)),NOT(ISNUMBER(F108))),"",F27-F108)</f>
        <v/>
      </c>
      <c r="G189" s="50" t="str">
        <f aca="false">IF(OR(NOT(ISNUMBER(G27)),NOT(ISNUMBER(G108))),"",G27-G108)</f>
        <v/>
      </c>
      <c r="H189" s="50" t="str">
        <f aca="false">IF(OR(NOT(ISNUMBER(H27)),NOT(ISNUMBER(H108))),"",H27-H108)</f>
        <v/>
      </c>
      <c r="I189" s="50" t="str">
        <f aca="false">IF(OR(NOT(ISNUMBER(I27)),NOT(ISNUMBER(I108))),"",I27-I108)</f>
        <v/>
      </c>
      <c r="J189" s="50" t="str">
        <f aca="false">IF(OR(NOT(ISNUMBER(J27)),NOT(ISNUMBER(J108))),"",J27-J108)</f>
        <v/>
      </c>
      <c r="K189" s="50" t="str">
        <f aca="false">IF(OR(NOT(ISNUMBER(K27)),NOT(ISNUMBER(K108))),"",K27-K108)</f>
        <v/>
      </c>
      <c r="L189" s="50" t="str">
        <f aca="false">IF(OR(NOT(ISNUMBER(L27)),NOT(ISNUMBER(L108))),"",L27-L108)</f>
        <v/>
      </c>
      <c r="M189" s="50" t="str">
        <f aca="false">IF(OR(NOT(ISNUMBER(M27)),NOT(ISNUMBER(M108))),"",M27-M108)</f>
        <v/>
      </c>
      <c r="N189" s="50" t="str">
        <f aca="false">IF(OR(NOT(ISNUMBER(N27)),NOT(ISNUMBER(N108))),"",N27-N108)</f>
        <v/>
      </c>
      <c r="O189" s="68" t="str">
        <f aca="false">IF(OR(NOT(ISNUMBER(O27)),NOT(ISNUMBER(O108))),"",O27-O108)</f>
        <v/>
      </c>
      <c r="P189" s="11" t="str">
        <f aca="false">IF(COUNT(D189:N189)=0,"",IF(AND(MAX(D189:N189)&lt;0.005,MIN(D189:N189)&gt;-0.005),"Sin diferencia","Diferencia a explicar"))</f>
        <v/>
      </c>
    </row>
    <row r="190" customFormat="false" ht="15" hidden="true" customHeight="false" outlineLevel="1" collapsed="false">
      <c r="A190" s="11" t="s">
        <v>2022</v>
      </c>
      <c r="B190" s="53" t="str">
        <f aca="false">IF(INDEX(Prod_Nombre,7)="","Producto 7",INDEX(Prod_Nombre,7))&amp;" — venta"</f>
        <v>Producto 7 — venta</v>
      </c>
      <c r="C190" s="11" t="s">
        <v>508</v>
      </c>
      <c r="D190" s="48" t="str">
        <f aca="false">IF(OR(NOT(ISNUMBER(D28)),NOT(ISNUMBER(D109))),"",D28-D109)</f>
        <v/>
      </c>
      <c r="E190" s="48" t="str">
        <f aca="false">IF(OR(NOT(ISNUMBER(E28)),NOT(ISNUMBER(E109))),"",E28-E109)</f>
        <v/>
      </c>
      <c r="F190" s="48" t="str">
        <f aca="false">IF(OR(NOT(ISNUMBER(F28)),NOT(ISNUMBER(F109))),"",F28-F109)</f>
        <v/>
      </c>
      <c r="G190" s="48" t="str">
        <f aca="false">IF(OR(NOT(ISNUMBER(G28)),NOT(ISNUMBER(G109))),"",G28-G109)</f>
        <v/>
      </c>
      <c r="H190" s="48" t="str">
        <f aca="false">IF(OR(NOT(ISNUMBER(H28)),NOT(ISNUMBER(H109))),"",H28-H109)</f>
        <v/>
      </c>
      <c r="I190" s="48" t="str">
        <f aca="false">IF(OR(NOT(ISNUMBER(I28)),NOT(ISNUMBER(I109))),"",I28-I109)</f>
        <v/>
      </c>
      <c r="J190" s="48" t="str">
        <f aca="false">IF(OR(NOT(ISNUMBER(J28)),NOT(ISNUMBER(J109))),"",J28-J109)</f>
        <v/>
      </c>
      <c r="K190" s="48" t="str">
        <f aca="false">IF(OR(NOT(ISNUMBER(K28)),NOT(ISNUMBER(K109))),"",K28-K109)</f>
        <v/>
      </c>
      <c r="L190" s="48" t="str">
        <f aca="false">IF(OR(NOT(ISNUMBER(L28)),NOT(ISNUMBER(L109))),"",L28-L109)</f>
        <v/>
      </c>
      <c r="M190" s="48" t="str">
        <f aca="false">IF(OR(NOT(ISNUMBER(M28)),NOT(ISNUMBER(M109))),"",M28-M109)</f>
        <v/>
      </c>
      <c r="N190" s="48" t="str">
        <f aca="false">IF(OR(NOT(ISNUMBER(N28)),NOT(ISNUMBER(N109))),"",N28-N109)</f>
        <v/>
      </c>
      <c r="O190" s="54" t="str">
        <f aca="false">IF(OR(NOT(ISNUMBER(O28)),NOT(ISNUMBER(O109))),"",O28-O109)</f>
        <v/>
      </c>
      <c r="P190" s="11" t="str">
        <f aca="false">IF(COUNT(D190:N190)=0,"",IF(AND(MAX(D190:N190)&lt;2,MIN(D190:N190)&gt;-2),"Sin diferencia","Diferencia a explicar"))</f>
        <v/>
      </c>
    </row>
    <row r="191" customFormat="false" ht="15" hidden="true" customHeight="false" outlineLevel="1" collapsed="false">
      <c r="A191" s="11" t="s">
        <v>2023</v>
      </c>
      <c r="B191" s="15" t="s">
        <v>2004</v>
      </c>
      <c r="C191" s="11" t="s">
        <v>544</v>
      </c>
      <c r="D191" s="48" t="str">
        <f aca="false">IF(OR(NOT(ISNUMBER(D29)),NOT(ISNUMBER(D110))),"",D29-D110)</f>
        <v/>
      </c>
      <c r="E191" s="48" t="str">
        <f aca="false">IF(OR(NOT(ISNUMBER(E29)),NOT(ISNUMBER(E110))),"",E29-E110)</f>
        <v/>
      </c>
      <c r="F191" s="48" t="str">
        <f aca="false">IF(OR(NOT(ISNUMBER(F29)),NOT(ISNUMBER(F110))),"",F29-F110)</f>
        <v/>
      </c>
      <c r="G191" s="48" t="str">
        <f aca="false">IF(OR(NOT(ISNUMBER(G29)),NOT(ISNUMBER(G110))),"",G29-G110)</f>
        <v/>
      </c>
      <c r="H191" s="48" t="str">
        <f aca="false">IF(OR(NOT(ISNUMBER(H29)),NOT(ISNUMBER(H110))),"",H29-H110)</f>
        <v/>
      </c>
      <c r="I191" s="48" t="str">
        <f aca="false">IF(OR(NOT(ISNUMBER(I29)),NOT(ISNUMBER(I110))),"",I29-I110)</f>
        <v/>
      </c>
      <c r="J191" s="48" t="str">
        <f aca="false">IF(OR(NOT(ISNUMBER(J29)),NOT(ISNUMBER(J110))),"",J29-J110)</f>
        <v/>
      </c>
      <c r="K191" s="48" t="str">
        <f aca="false">IF(OR(NOT(ISNUMBER(K29)),NOT(ISNUMBER(K110))),"",K29-K110)</f>
        <v/>
      </c>
      <c r="L191" s="48" t="str">
        <f aca="false">IF(OR(NOT(ISNUMBER(L29)),NOT(ISNUMBER(L110))),"",L29-L110)</f>
        <v/>
      </c>
      <c r="M191" s="48" t="str">
        <f aca="false">IF(OR(NOT(ISNUMBER(M29)),NOT(ISNUMBER(M110))),"",M29-M110)</f>
        <v/>
      </c>
      <c r="N191" s="48" t="str">
        <f aca="false">IF(OR(NOT(ISNUMBER(N29)),NOT(ISNUMBER(N110))),"",N29-N110)</f>
        <v/>
      </c>
      <c r="O191" s="54" t="str">
        <f aca="false">IF(OR(NOT(ISNUMBER(O29)),NOT(ISNUMBER(O110))),"",O29-O110)</f>
        <v/>
      </c>
      <c r="P191" s="11" t="str">
        <f aca="false">IF(COUNT(D191:N191)=0,"",IF(AND(MAX(D191:N191)&lt;2,MIN(D191:N191)&gt;-2),"Sin diferencia","Diferencia a explicar"))</f>
        <v/>
      </c>
    </row>
    <row r="192" customFormat="false" ht="15" hidden="true" customHeight="false" outlineLevel="1" collapsed="false">
      <c r="A192" s="11" t="s">
        <v>2024</v>
      </c>
      <c r="B192" s="15" t="s">
        <v>2006</v>
      </c>
      <c r="C192" s="11" t="s">
        <v>748</v>
      </c>
      <c r="D192" s="50" t="str">
        <f aca="false">IF(OR(NOT(ISNUMBER(D30)),NOT(ISNUMBER(D111))),"",D30-D111)</f>
        <v/>
      </c>
      <c r="E192" s="50" t="str">
        <f aca="false">IF(OR(NOT(ISNUMBER(E30)),NOT(ISNUMBER(E111))),"",E30-E111)</f>
        <v/>
      </c>
      <c r="F192" s="50" t="str">
        <f aca="false">IF(OR(NOT(ISNUMBER(F30)),NOT(ISNUMBER(F111))),"",F30-F111)</f>
        <v/>
      </c>
      <c r="G192" s="50" t="str">
        <f aca="false">IF(OR(NOT(ISNUMBER(G30)),NOT(ISNUMBER(G111))),"",G30-G111)</f>
        <v/>
      </c>
      <c r="H192" s="50" t="str">
        <f aca="false">IF(OR(NOT(ISNUMBER(H30)),NOT(ISNUMBER(H111))),"",H30-H111)</f>
        <v/>
      </c>
      <c r="I192" s="50" t="str">
        <f aca="false">IF(OR(NOT(ISNUMBER(I30)),NOT(ISNUMBER(I111))),"",I30-I111)</f>
        <v/>
      </c>
      <c r="J192" s="50" t="str">
        <f aca="false">IF(OR(NOT(ISNUMBER(J30)),NOT(ISNUMBER(J111))),"",J30-J111)</f>
        <v/>
      </c>
      <c r="K192" s="50" t="str">
        <f aca="false">IF(OR(NOT(ISNUMBER(K30)),NOT(ISNUMBER(K111))),"",K30-K111)</f>
        <v/>
      </c>
      <c r="L192" s="50" t="str">
        <f aca="false">IF(OR(NOT(ISNUMBER(L30)),NOT(ISNUMBER(L111))),"",L30-L111)</f>
        <v/>
      </c>
      <c r="M192" s="50" t="str">
        <f aca="false">IF(OR(NOT(ISNUMBER(M30)),NOT(ISNUMBER(M111))),"",M30-M111)</f>
        <v/>
      </c>
      <c r="N192" s="50" t="str">
        <f aca="false">IF(OR(NOT(ISNUMBER(N30)),NOT(ISNUMBER(N111))),"",N30-N111)</f>
        <v/>
      </c>
      <c r="O192" s="68" t="str">
        <f aca="false">IF(OR(NOT(ISNUMBER(O30)),NOT(ISNUMBER(O111))),"",O30-O111)</f>
        <v/>
      </c>
      <c r="P192" s="11" t="str">
        <f aca="false">IF(COUNT(D192:N192)=0,"",IF(AND(MAX(D192:N192)&lt;0.005,MIN(D192:N192)&gt;-0.005),"Sin diferencia","Diferencia a explicar"))</f>
        <v/>
      </c>
    </row>
    <row r="193" customFormat="false" ht="15" hidden="true" customHeight="false" outlineLevel="1" collapsed="false">
      <c r="A193" s="11" t="s">
        <v>2025</v>
      </c>
      <c r="B193" s="53" t="str">
        <f aca="false">IF(INDEX(Prod_Nombre,8)="","Producto 8",INDEX(Prod_Nombre,8))&amp;" — venta"</f>
        <v>Producto 8 — venta</v>
      </c>
      <c r="C193" s="11" t="s">
        <v>508</v>
      </c>
      <c r="D193" s="48" t="str">
        <f aca="false">IF(OR(NOT(ISNUMBER(D31)),NOT(ISNUMBER(D112))),"",D31-D112)</f>
        <v/>
      </c>
      <c r="E193" s="48" t="str">
        <f aca="false">IF(OR(NOT(ISNUMBER(E31)),NOT(ISNUMBER(E112))),"",E31-E112)</f>
        <v/>
      </c>
      <c r="F193" s="48" t="str">
        <f aca="false">IF(OR(NOT(ISNUMBER(F31)),NOT(ISNUMBER(F112))),"",F31-F112)</f>
        <v/>
      </c>
      <c r="G193" s="48" t="str">
        <f aca="false">IF(OR(NOT(ISNUMBER(G31)),NOT(ISNUMBER(G112))),"",G31-G112)</f>
        <v/>
      </c>
      <c r="H193" s="48" t="str">
        <f aca="false">IF(OR(NOT(ISNUMBER(H31)),NOT(ISNUMBER(H112))),"",H31-H112)</f>
        <v/>
      </c>
      <c r="I193" s="48" t="str">
        <f aca="false">IF(OR(NOT(ISNUMBER(I31)),NOT(ISNUMBER(I112))),"",I31-I112)</f>
        <v/>
      </c>
      <c r="J193" s="48" t="str">
        <f aca="false">IF(OR(NOT(ISNUMBER(J31)),NOT(ISNUMBER(J112))),"",J31-J112)</f>
        <v/>
      </c>
      <c r="K193" s="48" t="str">
        <f aca="false">IF(OR(NOT(ISNUMBER(K31)),NOT(ISNUMBER(K112))),"",K31-K112)</f>
        <v/>
      </c>
      <c r="L193" s="48" t="str">
        <f aca="false">IF(OR(NOT(ISNUMBER(L31)),NOT(ISNUMBER(L112))),"",L31-L112)</f>
        <v/>
      </c>
      <c r="M193" s="48" t="str">
        <f aca="false">IF(OR(NOT(ISNUMBER(M31)),NOT(ISNUMBER(M112))),"",M31-M112)</f>
        <v/>
      </c>
      <c r="N193" s="48" t="str">
        <f aca="false">IF(OR(NOT(ISNUMBER(N31)),NOT(ISNUMBER(N112))),"",N31-N112)</f>
        <v/>
      </c>
      <c r="O193" s="54" t="str">
        <f aca="false">IF(OR(NOT(ISNUMBER(O31)),NOT(ISNUMBER(O112))),"",O31-O112)</f>
        <v/>
      </c>
      <c r="P193" s="11" t="str">
        <f aca="false">IF(COUNT(D193:N193)=0,"",IF(AND(MAX(D193:N193)&lt;2,MIN(D193:N193)&gt;-2),"Sin diferencia","Diferencia a explicar"))</f>
        <v/>
      </c>
    </row>
    <row r="194" customFormat="false" ht="15" hidden="true" customHeight="false" outlineLevel="1" collapsed="false">
      <c r="A194" s="11" t="s">
        <v>2026</v>
      </c>
      <c r="B194" s="15" t="s">
        <v>2004</v>
      </c>
      <c r="C194" s="11" t="s">
        <v>544</v>
      </c>
      <c r="D194" s="48" t="str">
        <f aca="false">IF(OR(NOT(ISNUMBER(D32)),NOT(ISNUMBER(D113))),"",D32-D113)</f>
        <v/>
      </c>
      <c r="E194" s="48" t="str">
        <f aca="false">IF(OR(NOT(ISNUMBER(E32)),NOT(ISNUMBER(E113))),"",E32-E113)</f>
        <v/>
      </c>
      <c r="F194" s="48" t="str">
        <f aca="false">IF(OR(NOT(ISNUMBER(F32)),NOT(ISNUMBER(F113))),"",F32-F113)</f>
        <v/>
      </c>
      <c r="G194" s="48" t="str">
        <f aca="false">IF(OR(NOT(ISNUMBER(G32)),NOT(ISNUMBER(G113))),"",G32-G113)</f>
        <v/>
      </c>
      <c r="H194" s="48" t="str">
        <f aca="false">IF(OR(NOT(ISNUMBER(H32)),NOT(ISNUMBER(H113))),"",H32-H113)</f>
        <v/>
      </c>
      <c r="I194" s="48" t="str">
        <f aca="false">IF(OR(NOT(ISNUMBER(I32)),NOT(ISNUMBER(I113))),"",I32-I113)</f>
        <v/>
      </c>
      <c r="J194" s="48" t="str">
        <f aca="false">IF(OR(NOT(ISNUMBER(J32)),NOT(ISNUMBER(J113))),"",J32-J113)</f>
        <v/>
      </c>
      <c r="K194" s="48" t="str">
        <f aca="false">IF(OR(NOT(ISNUMBER(K32)),NOT(ISNUMBER(K113))),"",K32-K113)</f>
        <v/>
      </c>
      <c r="L194" s="48" t="str">
        <f aca="false">IF(OR(NOT(ISNUMBER(L32)),NOT(ISNUMBER(L113))),"",L32-L113)</f>
        <v/>
      </c>
      <c r="M194" s="48" t="str">
        <f aca="false">IF(OR(NOT(ISNUMBER(M32)),NOT(ISNUMBER(M113))),"",M32-M113)</f>
        <v/>
      </c>
      <c r="N194" s="48" t="str">
        <f aca="false">IF(OR(NOT(ISNUMBER(N32)),NOT(ISNUMBER(N113))),"",N32-N113)</f>
        <v/>
      </c>
      <c r="O194" s="54" t="str">
        <f aca="false">IF(OR(NOT(ISNUMBER(O32)),NOT(ISNUMBER(O113))),"",O32-O113)</f>
        <v/>
      </c>
      <c r="P194" s="11" t="str">
        <f aca="false">IF(COUNT(D194:N194)=0,"",IF(AND(MAX(D194:N194)&lt;2,MIN(D194:N194)&gt;-2),"Sin diferencia","Diferencia a explicar"))</f>
        <v/>
      </c>
    </row>
    <row r="195" customFormat="false" ht="15" hidden="true" customHeight="false" outlineLevel="1" collapsed="false">
      <c r="A195" s="11" t="s">
        <v>2027</v>
      </c>
      <c r="B195" s="15" t="s">
        <v>2006</v>
      </c>
      <c r="C195" s="11" t="s">
        <v>748</v>
      </c>
      <c r="D195" s="50" t="str">
        <f aca="false">IF(OR(NOT(ISNUMBER(D33)),NOT(ISNUMBER(D114))),"",D33-D114)</f>
        <v/>
      </c>
      <c r="E195" s="50" t="str">
        <f aca="false">IF(OR(NOT(ISNUMBER(E33)),NOT(ISNUMBER(E114))),"",E33-E114)</f>
        <v/>
      </c>
      <c r="F195" s="50" t="str">
        <f aca="false">IF(OR(NOT(ISNUMBER(F33)),NOT(ISNUMBER(F114))),"",F33-F114)</f>
        <v/>
      </c>
      <c r="G195" s="50" t="str">
        <f aca="false">IF(OR(NOT(ISNUMBER(G33)),NOT(ISNUMBER(G114))),"",G33-G114)</f>
        <v/>
      </c>
      <c r="H195" s="50" t="str">
        <f aca="false">IF(OR(NOT(ISNUMBER(H33)),NOT(ISNUMBER(H114))),"",H33-H114)</f>
        <v/>
      </c>
      <c r="I195" s="50" t="str">
        <f aca="false">IF(OR(NOT(ISNUMBER(I33)),NOT(ISNUMBER(I114))),"",I33-I114)</f>
        <v/>
      </c>
      <c r="J195" s="50" t="str">
        <f aca="false">IF(OR(NOT(ISNUMBER(J33)),NOT(ISNUMBER(J114))),"",J33-J114)</f>
        <v/>
      </c>
      <c r="K195" s="50" t="str">
        <f aca="false">IF(OR(NOT(ISNUMBER(K33)),NOT(ISNUMBER(K114))),"",K33-K114)</f>
        <v/>
      </c>
      <c r="L195" s="50" t="str">
        <f aca="false">IF(OR(NOT(ISNUMBER(L33)),NOT(ISNUMBER(L114))),"",L33-L114)</f>
        <v/>
      </c>
      <c r="M195" s="50" t="str">
        <f aca="false">IF(OR(NOT(ISNUMBER(M33)),NOT(ISNUMBER(M114))),"",M33-M114)</f>
        <v/>
      </c>
      <c r="N195" s="50" t="str">
        <f aca="false">IF(OR(NOT(ISNUMBER(N33)),NOT(ISNUMBER(N114))),"",N33-N114)</f>
        <v/>
      </c>
      <c r="O195" s="68" t="str">
        <f aca="false">IF(OR(NOT(ISNUMBER(O33)),NOT(ISNUMBER(O114))),"",O33-O114)</f>
        <v/>
      </c>
      <c r="P195" s="11" t="str">
        <f aca="false">IF(COUNT(D195:N195)=0,"",IF(AND(MAX(D195:N195)&lt;0.005,MIN(D195:N195)&gt;-0.005),"Sin diferencia","Diferencia a explicar"))</f>
        <v/>
      </c>
    </row>
    <row r="196" customFormat="false" ht="15" hidden="true" customHeight="false" outlineLevel="1" collapsed="false">
      <c r="A196" s="11" t="s">
        <v>2028</v>
      </c>
      <c r="B196" s="53" t="str">
        <f aca="false">IF(INDEX(Prod_Nombre,9)="","Producto 9",INDEX(Prod_Nombre,9))&amp;" — venta"</f>
        <v>Producto 9 — venta</v>
      </c>
      <c r="C196" s="11" t="s">
        <v>508</v>
      </c>
      <c r="D196" s="48" t="str">
        <f aca="false">IF(OR(NOT(ISNUMBER(D34)),NOT(ISNUMBER(D115))),"",D34-D115)</f>
        <v/>
      </c>
      <c r="E196" s="48" t="str">
        <f aca="false">IF(OR(NOT(ISNUMBER(E34)),NOT(ISNUMBER(E115))),"",E34-E115)</f>
        <v/>
      </c>
      <c r="F196" s="48" t="str">
        <f aca="false">IF(OR(NOT(ISNUMBER(F34)),NOT(ISNUMBER(F115))),"",F34-F115)</f>
        <v/>
      </c>
      <c r="G196" s="48" t="str">
        <f aca="false">IF(OR(NOT(ISNUMBER(G34)),NOT(ISNUMBER(G115))),"",G34-G115)</f>
        <v/>
      </c>
      <c r="H196" s="48" t="str">
        <f aca="false">IF(OR(NOT(ISNUMBER(H34)),NOT(ISNUMBER(H115))),"",H34-H115)</f>
        <v/>
      </c>
      <c r="I196" s="48" t="str">
        <f aca="false">IF(OR(NOT(ISNUMBER(I34)),NOT(ISNUMBER(I115))),"",I34-I115)</f>
        <v/>
      </c>
      <c r="J196" s="48" t="str">
        <f aca="false">IF(OR(NOT(ISNUMBER(J34)),NOT(ISNUMBER(J115))),"",J34-J115)</f>
        <v/>
      </c>
      <c r="K196" s="48" t="str">
        <f aca="false">IF(OR(NOT(ISNUMBER(K34)),NOT(ISNUMBER(K115))),"",K34-K115)</f>
        <v/>
      </c>
      <c r="L196" s="48" t="str">
        <f aca="false">IF(OR(NOT(ISNUMBER(L34)),NOT(ISNUMBER(L115))),"",L34-L115)</f>
        <v/>
      </c>
      <c r="M196" s="48" t="str">
        <f aca="false">IF(OR(NOT(ISNUMBER(M34)),NOT(ISNUMBER(M115))),"",M34-M115)</f>
        <v/>
      </c>
      <c r="N196" s="48" t="str">
        <f aca="false">IF(OR(NOT(ISNUMBER(N34)),NOT(ISNUMBER(N115))),"",N34-N115)</f>
        <v/>
      </c>
      <c r="O196" s="54" t="str">
        <f aca="false">IF(OR(NOT(ISNUMBER(O34)),NOT(ISNUMBER(O115))),"",O34-O115)</f>
        <v/>
      </c>
      <c r="P196" s="11" t="str">
        <f aca="false">IF(COUNT(D196:N196)=0,"",IF(AND(MAX(D196:N196)&lt;2,MIN(D196:N196)&gt;-2),"Sin diferencia","Diferencia a explicar"))</f>
        <v/>
      </c>
    </row>
    <row r="197" customFormat="false" ht="15" hidden="true" customHeight="false" outlineLevel="1" collapsed="false">
      <c r="A197" s="11" t="s">
        <v>2029</v>
      </c>
      <c r="B197" s="15" t="s">
        <v>2004</v>
      </c>
      <c r="C197" s="11" t="s">
        <v>544</v>
      </c>
      <c r="D197" s="48" t="str">
        <f aca="false">IF(OR(NOT(ISNUMBER(D35)),NOT(ISNUMBER(D116))),"",D35-D116)</f>
        <v/>
      </c>
      <c r="E197" s="48" t="str">
        <f aca="false">IF(OR(NOT(ISNUMBER(E35)),NOT(ISNUMBER(E116))),"",E35-E116)</f>
        <v/>
      </c>
      <c r="F197" s="48" t="str">
        <f aca="false">IF(OR(NOT(ISNUMBER(F35)),NOT(ISNUMBER(F116))),"",F35-F116)</f>
        <v/>
      </c>
      <c r="G197" s="48" t="str">
        <f aca="false">IF(OR(NOT(ISNUMBER(G35)),NOT(ISNUMBER(G116))),"",G35-G116)</f>
        <v/>
      </c>
      <c r="H197" s="48" t="str">
        <f aca="false">IF(OR(NOT(ISNUMBER(H35)),NOT(ISNUMBER(H116))),"",H35-H116)</f>
        <v/>
      </c>
      <c r="I197" s="48" t="str">
        <f aca="false">IF(OR(NOT(ISNUMBER(I35)),NOT(ISNUMBER(I116))),"",I35-I116)</f>
        <v/>
      </c>
      <c r="J197" s="48" t="str">
        <f aca="false">IF(OR(NOT(ISNUMBER(J35)),NOT(ISNUMBER(J116))),"",J35-J116)</f>
        <v/>
      </c>
      <c r="K197" s="48" t="str">
        <f aca="false">IF(OR(NOT(ISNUMBER(K35)),NOT(ISNUMBER(K116))),"",K35-K116)</f>
        <v/>
      </c>
      <c r="L197" s="48" t="str">
        <f aca="false">IF(OR(NOT(ISNUMBER(L35)),NOT(ISNUMBER(L116))),"",L35-L116)</f>
        <v/>
      </c>
      <c r="M197" s="48" t="str">
        <f aca="false">IF(OR(NOT(ISNUMBER(M35)),NOT(ISNUMBER(M116))),"",M35-M116)</f>
        <v/>
      </c>
      <c r="N197" s="48" t="str">
        <f aca="false">IF(OR(NOT(ISNUMBER(N35)),NOT(ISNUMBER(N116))),"",N35-N116)</f>
        <v/>
      </c>
      <c r="O197" s="54" t="str">
        <f aca="false">IF(OR(NOT(ISNUMBER(O35)),NOT(ISNUMBER(O116))),"",O35-O116)</f>
        <v/>
      </c>
      <c r="P197" s="11" t="str">
        <f aca="false">IF(COUNT(D197:N197)=0,"",IF(AND(MAX(D197:N197)&lt;2,MIN(D197:N197)&gt;-2),"Sin diferencia","Diferencia a explicar"))</f>
        <v/>
      </c>
    </row>
    <row r="198" customFormat="false" ht="15" hidden="true" customHeight="false" outlineLevel="1" collapsed="false">
      <c r="A198" s="11" t="s">
        <v>2030</v>
      </c>
      <c r="B198" s="15" t="s">
        <v>2006</v>
      </c>
      <c r="C198" s="11" t="s">
        <v>748</v>
      </c>
      <c r="D198" s="50" t="str">
        <f aca="false">IF(OR(NOT(ISNUMBER(D36)),NOT(ISNUMBER(D117))),"",D36-D117)</f>
        <v/>
      </c>
      <c r="E198" s="50" t="str">
        <f aca="false">IF(OR(NOT(ISNUMBER(E36)),NOT(ISNUMBER(E117))),"",E36-E117)</f>
        <v/>
      </c>
      <c r="F198" s="50" t="str">
        <f aca="false">IF(OR(NOT(ISNUMBER(F36)),NOT(ISNUMBER(F117))),"",F36-F117)</f>
        <v/>
      </c>
      <c r="G198" s="50" t="str">
        <f aca="false">IF(OR(NOT(ISNUMBER(G36)),NOT(ISNUMBER(G117))),"",G36-G117)</f>
        <v/>
      </c>
      <c r="H198" s="50" t="str">
        <f aca="false">IF(OR(NOT(ISNUMBER(H36)),NOT(ISNUMBER(H117))),"",H36-H117)</f>
        <v/>
      </c>
      <c r="I198" s="50" t="str">
        <f aca="false">IF(OR(NOT(ISNUMBER(I36)),NOT(ISNUMBER(I117))),"",I36-I117)</f>
        <v/>
      </c>
      <c r="J198" s="50" t="str">
        <f aca="false">IF(OR(NOT(ISNUMBER(J36)),NOT(ISNUMBER(J117))),"",J36-J117)</f>
        <v/>
      </c>
      <c r="K198" s="50" t="str">
        <f aca="false">IF(OR(NOT(ISNUMBER(K36)),NOT(ISNUMBER(K117))),"",K36-K117)</f>
        <v/>
      </c>
      <c r="L198" s="50" t="str">
        <f aca="false">IF(OR(NOT(ISNUMBER(L36)),NOT(ISNUMBER(L117))),"",L36-L117)</f>
        <v/>
      </c>
      <c r="M198" s="50" t="str">
        <f aca="false">IF(OR(NOT(ISNUMBER(M36)),NOT(ISNUMBER(M117))),"",M36-M117)</f>
        <v/>
      </c>
      <c r="N198" s="50" t="str">
        <f aca="false">IF(OR(NOT(ISNUMBER(N36)),NOT(ISNUMBER(N117))),"",N36-N117)</f>
        <v/>
      </c>
      <c r="O198" s="68" t="str">
        <f aca="false">IF(OR(NOT(ISNUMBER(O36)),NOT(ISNUMBER(O117))),"",O36-O117)</f>
        <v/>
      </c>
      <c r="P198" s="11" t="str">
        <f aca="false">IF(COUNT(D198:N198)=0,"",IF(AND(MAX(D198:N198)&lt;0.005,MIN(D198:N198)&gt;-0.005),"Sin diferencia","Diferencia a explicar"))</f>
        <v/>
      </c>
    </row>
    <row r="199" customFormat="false" ht="15" hidden="true" customHeight="false" outlineLevel="1" collapsed="false">
      <c r="A199" s="11" t="s">
        <v>2031</v>
      </c>
      <c r="B199" s="53" t="str">
        <f aca="false">IF(INDEX(Prod_Nombre,10)="","Producto 10",INDEX(Prod_Nombre,10))&amp;" — venta"</f>
        <v>Producto 10 — venta</v>
      </c>
      <c r="C199" s="11" t="s">
        <v>508</v>
      </c>
      <c r="D199" s="48" t="str">
        <f aca="false">IF(OR(NOT(ISNUMBER(D37)),NOT(ISNUMBER(D118))),"",D37-D118)</f>
        <v/>
      </c>
      <c r="E199" s="48" t="str">
        <f aca="false">IF(OR(NOT(ISNUMBER(E37)),NOT(ISNUMBER(E118))),"",E37-E118)</f>
        <v/>
      </c>
      <c r="F199" s="48" t="str">
        <f aca="false">IF(OR(NOT(ISNUMBER(F37)),NOT(ISNUMBER(F118))),"",F37-F118)</f>
        <v/>
      </c>
      <c r="G199" s="48" t="str">
        <f aca="false">IF(OR(NOT(ISNUMBER(G37)),NOT(ISNUMBER(G118))),"",G37-G118)</f>
        <v/>
      </c>
      <c r="H199" s="48" t="str">
        <f aca="false">IF(OR(NOT(ISNUMBER(H37)),NOT(ISNUMBER(H118))),"",H37-H118)</f>
        <v/>
      </c>
      <c r="I199" s="48" t="str">
        <f aca="false">IF(OR(NOT(ISNUMBER(I37)),NOT(ISNUMBER(I118))),"",I37-I118)</f>
        <v/>
      </c>
      <c r="J199" s="48" t="str">
        <f aca="false">IF(OR(NOT(ISNUMBER(J37)),NOT(ISNUMBER(J118))),"",J37-J118)</f>
        <v/>
      </c>
      <c r="K199" s="48" t="str">
        <f aca="false">IF(OR(NOT(ISNUMBER(K37)),NOT(ISNUMBER(K118))),"",K37-K118)</f>
        <v/>
      </c>
      <c r="L199" s="48" t="str">
        <f aca="false">IF(OR(NOT(ISNUMBER(L37)),NOT(ISNUMBER(L118))),"",L37-L118)</f>
        <v/>
      </c>
      <c r="M199" s="48" t="str">
        <f aca="false">IF(OR(NOT(ISNUMBER(M37)),NOT(ISNUMBER(M118))),"",M37-M118)</f>
        <v/>
      </c>
      <c r="N199" s="48" t="str">
        <f aca="false">IF(OR(NOT(ISNUMBER(N37)),NOT(ISNUMBER(N118))),"",N37-N118)</f>
        <v/>
      </c>
      <c r="O199" s="54" t="str">
        <f aca="false">IF(OR(NOT(ISNUMBER(O37)),NOT(ISNUMBER(O118))),"",O37-O118)</f>
        <v/>
      </c>
      <c r="P199" s="11" t="str">
        <f aca="false">IF(COUNT(D199:N199)=0,"",IF(AND(MAX(D199:N199)&lt;2,MIN(D199:N199)&gt;-2),"Sin diferencia","Diferencia a explicar"))</f>
        <v/>
      </c>
    </row>
    <row r="200" customFormat="false" ht="15" hidden="true" customHeight="false" outlineLevel="1" collapsed="false">
      <c r="A200" s="11" t="s">
        <v>2032</v>
      </c>
      <c r="B200" s="15" t="s">
        <v>2004</v>
      </c>
      <c r="C200" s="11" t="s">
        <v>544</v>
      </c>
      <c r="D200" s="48" t="str">
        <f aca="false">IF(OR(NOT(ISNUMBER(D38)),NOT(ISNUMBER(D119))),"",D38-D119)</f>
        <v/>
      </c>
      <c r="E200" s="48" t="str">
        <f aca="false">IF(OR(NOT(ISNUMBER(E38)),NOT(ISNUMBER(E119))),"",E38-E119)</f>
        <v/>
      </c>
      <c r="F200" s="48" t="str">
        <f aca="false">IF(OR(NOT(ISNUMBER(F38)),NOT(ISNUMBER(F119))),"",F38-F119)</f>
        <v/>
      </c>
      <c r="G200" s="48" t="str">
        <f aca="false">IF(OR(NOT(ISNUMBER(G38)),NOT(ISNUMBER(G119))),"",G38-G119)</f>
        <v/>
      </c>
      <c r="H200" s="48" t="str">
        <f aca="false">IF(OR(NOT(ISNUMBER(H38)),NOT(ISNUMBER(H119))),"",H38-H119)</f>
        <v/>
      </c>
      <c r="I200" s="48" t="str">
        <f aca="false">IF(OR(NOT(ISNUMBER(I38)),NOT(ISNUMBER(I119))),"",I38-I119)</f>
        <v/>
      </c>
      <c r="J200" s="48" t="str">
        <f aca="false">IF(OR(NOT(ISNUMBER(J38)),NOT(ISNUMBER(J119))),"",J38-J119)</f>
        <v/>
      </c>
      <c r="K200" s="48" t="str">
        <f aca="false">IF(OR(NOT(ISNUMBER(K38)),NOT(ISNUMBER(K119))),"",K38-K119)</f>
        <v/>
      </c>
      <c r="L200" s="48" t="str">
        <f aca="false">IF(OR(NOT(ISNUMBER(L38)),NOT(ISNUMBER(L119))),"",L38-L119)</f>
        <v/>
      </c>
      <c r="M200" s="48" t="str">
        <f aca="false">IF(OR(NOT(ISNUMBER(M38)),NOT(ISNUMBER(M119))),"",M38-M119)</f>
        <v/>
      </c>
      <c r="N200" s="48" t="str">
        <f aca="false">IF(OR(NOT(ISNUMBER(N38)),NOT(ISNUMBER(N119))),"",N38-N119)</f>
        <v/>
      </c>
      <c r="O200" s="54" t="str">
        <f aca="false">IF(OR(NOT(ISNUMBER(O38)),NOT(ISNUMBER(O119))),"",O38-O119)</f>
        <v/>
      </c>
      <c r="P200" s="11" t="str">
        <f aca="false">IF(COUNT(D200:N200)=0,"",IF(AND(MAX(D200:N200)&lt;2,MIN(D200:N200)&gt;-2),"Sin diferencia","Diferencia a explicar"))</f>
        <v/>
      </c>
    </row>
    <row r="201" customFormat="false" ht="15" hidden="true" customHeight="false" outlineLevel="1" collapsed="false">
      <c r="A201" s="11" t="s">
        <v>2033</v>
      </c>
      <c r="B201" s="15" t="s">
        <v>2006</v>
      </c>
      <c r="C201" s="11" t="s">
        <v>748</v>
      </c>
      <c r="D201" s="50" t="str">
        <f aca="false">IF(OR(NOT(ISNUMBER(D39)),NOT(ISNUMBER(D120))),"",D39-D120)</f>
        <v/>
      </c>
      <c r="E201" s="50" t="str">
        <f aca="false">IF(OR(NOT(ISNUMBER(E39)),NOT(ISNUMBER(E120))),"",E39-E120)</f>
        <v/>
      </c>
      <c r="F201" s="50" t="str">
        <f aca="false">IF(OR(NOT(ISNUMBER(F39)),NOT(ISNUMBER(F120))),"",F39-F120)</f>
        <v/>
      </c>
      <c r="G201" s="50" t="str">
        <f aca="false">IF(OR(NOT(ISNUMBER(G39)),NOT(ISNUMBER(G120))),"",G39-G120)</f>
        <v/>
      </c>
      <c r="H201" s="50" t="str">
        <f aca="false">IF(OR(NOT(ISNUMBER(H39)),NOT(ISNUMBER(H120))),"",H39-H120)</f>
        <v/>
      </c>
      <c r="I201" s="50" t="str">
        <f aca="false">IF(OR(NOT(ISNUMBER(I39)),NOT(ISNUMBER(I120))),"",I39-I120)</f>
        <v/>
      </c>
      <c r="J201" s="50" t="str">
        <f aca="false">IF(OR(NOT(ISNUMBER(J39)),NOT(ISNUMBER(J120))),"",J39-J120)</f>
        <v/>
      </c>
      <c r="K201" s="50" t="str">
        <f aca="false">IF(OR(NOT(ISNUMBER(K39)),NOT(ISNUMBER(K120))),"",K39-K120)</f>
        <v/>
      </c>
      <c r="L201" s="50" t="str">
        <f aca="false">IF(OR(NOT(ISNUMBER(L39)),NOT(ISNUMBER(L120))),"",L39-L120)</f>
        <v/>
      </c>
      <c r="M201" s="50" t="str">
        <f aca="false">IF(OR(NOT(ISNUMBER(M39)),NOT(ISNUMBER(M120))),"",M39-M120)</f>
        <v/>
      </c>
      <c r="N201" s="50" t="str">
        <f aca="false">IF(OR(NOT(ISNUMBER(N39)),NOT(ISNUMBER(N120))),"",N39-N120)</f>
        <v/>
      </c>
      <c r="O201" s="68" t="str">
        <f aca="false">IF(OR(NOT(ISNUMBER(O39)),NOT(ISNUMBER(O120))),"",O39-O120)</f>
        <v/>
      </c>
      <c r="P201" s="11" t="str">
        <f aca="false">IF(COUNT(D201:N201)=0,"",IF(AND(MAX(D201:N201)&lt;0.005,MIN(D201:N201)&gt;-0.005),"Sin diferencia","Diferencia a explicar"))</f>
        <v/>
      </c>
    </row>
    <row r="202" customFormat="false" ht="15" hidden="true" customHeight="false" outlineLevel="1" collapsed="false">
      <c r="A202" s="11" t="s">
        <v>2034</v>
      </c>
      <c r="B202" s="53" t="str">
        <f aca="false">IF(INDEX(Prod_Nombre,11)="","Producto 11",INDEX(Prod_Nombre,11))&amp;" — venta"</f>
        <v>Producto 11 — venta</v>
      </c>
      <c r="C202" s="11" t="s">
        <v>508</v>
      </c>
      <c r="D202" s="48" t="str">
        <f aca="false">IF(OR(NOT(ISNUMBER(D40)),NOT(ISNUMBER(D121))),"",D40-D121)</f>
        <v/>
      </c>
      <c r="E202" s="48" t="str">
        <f aca="false">IF(OR(NOT(ISNUMBER(E40)),NOT(ISNUMBER(E121))),"",E40-E121)</f>
        <v/>
      </c>
      <c r="F202" s="48" t="str">
        <f aca="false">IF(OR(NOT(ISNUMBER(F40)),NOT(ISNUMBER(F121))),"",F40-F121)</f>
        <v/>
      </c>
      <c r="G202" s="48" t="str">
        <f aca="false">IF(OR(NOT(ISNUMBER(G40)),NOT(ISNUMBER(G121))),"",G40-G121)</f>
        <v/>
      </c>
      <c r="H202" s="48" t="str">
        <f aca="false">IF(OR(NOT(ISNUMBER(H40)),NOT(ISNUMBER(H121))),"",H40-H121)</f>
        <v/>
      </c>
      <c r="I202" s="48" t="str">
        <f aca="false">IF(OR(NOT(ISNUMBER(I40)),NOT(ISNUMBER(I121))),"",I40-I121)</f>
        <v/>
      </c>
      <c r="J202" s="48" t="str">
        <f aca="false">IF(OR(NOT(ISNUMBER(J40)),NOT(ISNUMBER(J121))),"",J40-J121)</f>
        <v/>
      </c>
      <c r="K202" s="48" t="str">
        <f aca="false">IF(OR(NOT(ISNUMBER(K40)),NOT(ISNUMBER(K121))),"",K40-K121)</f>
        <v/>
      </c>
      <c r="L202" s="48" t="str">
        <f aca="false">IF(OR(NOT(ISNUMBER(L40)),NOT(ISNUMBER(L121))),"",L40-L121)</f>
        <v/>
      </c>
      <c r="M202" s="48" t="str">
        <f aca="false">IF(OR(NOT(ISNUMBER(M40)),NOT(ISNUMBER(M121))),"",M40-M121)</f>
        <v/>
      </c>
      <c r="N202" s="48" t="str">
        <f aca="false">IF(OR(NOT(ISNUMBER(N40)),NOT(ISNUMBER(N121))),"",N40-N121)</f>
        <v/>
      </c>
      <c r="O202" s="54" t="str">
        <f aca="false">IF(OR(NOT(ISNUMBER(O40)),NOT(ISNUMBER(O121))),"",O40-O121)</f>
        <v/>
      </c>
      <c r="P202" s="11" t="str">
        <f aca="false">IF(COUNT(D202:N202)=0,"",IF(AND(MAX(D202:N202)&lt;2,MIN(D202:N202)&gt;-2),"Sin diferencia","Diferencia a explicar"))</f>
        <v/>
      </c>
    </row>
    <row r="203" customFormat="false" ht="15" hidden="true" customHeight="false" outlineLevel="1" collapsed="false">
      <c r="A203" s="11" t="s">
        <v>2035</v>
      </c>
      <c r="B203" s="15" t="s">
        <v>2004</v>
      </c>
      <c r="C203" s="11" t="s">
        <v>544</v>
      </c>
      <c r="D203" s="48" t="str">
        <f aca="false">IF(OR(NOT(ISNUMBER(D41)),NOT(ISNUMBER(D122))),"",D41-D122)</f>
        <v/>
      </c>
      <c r="E203" s="48" t="str">
        <f aca="false">IF(OR(NOT(ISNUMBER(E41)),NOT(ISNUMBER(E122))),"",E41-E122)</f>
        <v/>
      </c>
      <c r="F203" s="48" t="str">
        <f aca="false">IF(OR(NOT(ISNUMBER(F41)),NOT(ISNUMBER(F122))),"",F41-F122)</f>
        <v/>
      </c>
      <c r="G203" s="48" t="str">
        <f aca="false">IF(OR(NOT(ISNUMBER(G41)),NOT(ISNUMBER(G122))),"",G41-G122)</f>
        <v/>
      </c>
      <c r="H203" s="48" t="str">
        <f aca="false">IF(OR(NOT(ISNUMBER(H41)),NOT(ISNUMBER(H122))),"",H41-H122)</f>
        <v/>
      </c>
      <c r="I203" s="48" t="str">
        <f aca="false">IF(OR(NOT(ISNUMBER(I41)),NOT(ISNUMBER(I122))),"",I41-I122)</f>
        <v/>
      </c>
      <c r="J203" s="48" t="str">
        <f aca="false">IF(OR(NOT(ISNUMBER(J41)),NOT(ISNUMBER(J122))),"",J41-J122)</f>
        <v/>
      </c>
      <c r="K203" s="48" t="str">
        <f aca="false">IF(OR(NOT(ISNUMBER(K41)),NOT(ISNUMBER(K122))),"",K41-K122)</f>
        <v/>
      </c>
      <c r="L203" s="48" t="str">
        <f aca="false">IF(OR(NOT(ISNUMBER(L41)),NOT(ISNUMBER(L122))),"",L41-L122)</f>
        <v/>
      </c>
      <c r="M203" s="48" t="str">
        <f aca="false">IF(OR(NOT(ISNUMBER(M41)),NOT(ISNUMBER(M122))),"",M41-M122)</f>
        <v/>
      </c>
      <c r="N203" s="48" t="str">
        <f aca="false">IF(OR(NOT(ISNUMBER(N41)),NOT(ISNUMBER(N122))),"",N41-N122)</f>
        <v/>
      </c>
      <c r="O203" s="54" t="str">
        <f aca="false">IF(OR(NOT(ISNUMBER(O41)),NOT(ISNUMBER(O122))),"",O41-O122)</f>
        <v/>
      </c>
      <c r="P203" s="11" t="str">
        <f aca="false">IF(COUNT(D203:N203)=0,"",IF(AND(MAX(D203:N203)&lt;2,MIN(D203:N203)&gt;-2),"Sin diferencia","Diferencia a explicar"))</f>
        <v/>
      </c>
    </row>
    <row r="204" customFormat="false" ht="15" hidden="true" customHeight="false" outlineLevel="1" collapsed="false">
      <c r="A204" s="11" t="s">
        <v>2036</v>
      </c>
      <c r="B204" s="15" t="s">
        <v>2006</v>
      </c>
      <c r="C204" s="11" t="s">
        <v>748</v>
      </c>
      <c r="D204" s="50" t="str">
        <f aca="false">IF(OR(NOT(ISNUMBER(D42)),NOT(ISNUMBER(D123))),"",D42-D123)</f>
        <v/>
      </c>
      <c r="E204" s="50" t="str">
        <f aca="false">IF(OR(NOT(ISNUMBER(E42)),NOT(ISNUMBER(E123))),"",E42-E123)</f>
        <v/>
      </c>
      <c r="F204" s="50" t="str">
        <f aca="false">IF(OR(NOT(ISNUMBER(F42)),NOT(ISNUMBER(F123))),"",F42-F123)</f>
        <v/>
      </c>
      <c r="G204" s="50" t="str">
        <f aca="false">IF(OR(NOT(ISNUMBER(G42)),NOT(ISNUMBER(G123))),"",G42-G123)</f>
        <v/>
      </c>
      <c r="H204" s="50" t="str">
        <f aca="false">IF(OR(NOT(ISNUMBER(H42)),NOT(ISNUMBER(H123))),"",H42-H123)</f>
        <v/>
      </c>
      <c r="I204" s="50" t="str">
        <f aca="false">IF(OR(NOT(ISNUMBER(I42)),NOT(ISNUMBER(I123))),"",I42-I123)</f>
        <v/>
      </c>
      <c r="J204" s="50" t="str">
        <f aca="false">IF(OR(NOT(ISNUMBER(J42)),NOT(ISNUMBER(J123))),"",J42-J123)</f>
        <v/>
      </c>
      <c r="K204" s="50" t="str">
        <f aca="false">IF(OR(NOT(ISNUMBER(K42)),NOT(ISNUMBER(K123))),"",K42-K123)</f>
        <v/>
      </c>
      <c r="L204" s="50" t="str">
        <f aca="false">IF(OR(NOT(ISNUMBER(L42)),NOT(ISNUMBER(L123))),"",L42-L123)</f>
        <v/>
      </c>
      <c r="M204" s="50" t="str">
        <f aca="false">IF(OR(NOT(ISNUMBER(M42)),NOT(ISNUMBER(M123))),"",M42-M123)</f>
        <v/>
      </c>
      <c r="N204" s="50" t="str">
        <f aca="false">IF(OR(NOT(ISNUMBER(N42)),NOT(ISNUMBER(N123))),"",N42-N123)</f>
        <v/>
      </c>
      <c r="O204" s="68" t="str">
        <f aca="false">IF(OR(NOT(ISNUMBER(O42)),NOT(ISNUMBER(O123))),"",O42-O123)</f>
        <v/>
      </c>
      <c r="P204" s="11" t="str">
        <f aca="false">IF(COUNT(D204:N204)=0,"",IF(AND(MAX(D204:N204)&lt;0.005,MIN(D204:N204)&gt;-0.005),"Sin diferencia","Diferencia a explicar"))</f>
        <v/>
      </c>
    </row>
    <row r="205" customFormat="false" ht="15" hidden="true" customHeight="false" outlineLevel="1" collapsed="false">
      <c r="A205" s="11" t="s">
        <v>2037</v>
      </c>
      <c r="B205" s="53" t="str">
        <f aca="false">IF(INDEX(Prod_Nombre,12)="","Producto 12",INDEX(Prod_Nombre,12))&amp;" — venta"</f>
        <v>Producto 12 — venta</v>
      </c>
      <c r="C205" s="11" t="s">
        <v>508</v>
      </c>
      <c r="D205" s="48" t="str">
        <f aca="false">IF(OR(NOT(ISNUMBER(D43)),NOT(ISNUMBER(D124))),"",D43-D124)</f>
        <v/>
      </c>
      <c r="E205" s="48" t="str">
        <f aca="false">IF(OR(NOT(ISNUMBER(E43)),NOT(ISNUMBER(E124))),"",E43-E124)</f>
        <v/>
      </c>
      <c r="F205" s="48" t="str">
        <f aca="false">IF(OR(NOT(ISNUMBER(F43)),NOT(ISNUMBER(F124))),"",F43-F124)</f>
        <v/>
      </c>
      <c r="G205" s="48" t="str">
        <f aca="false">IF(OR(NOT(ISNUMBER(G43)),NOT(ISNUMBER(G124))),"",G43-G124)</f>
        <v/>
      </c>
      <c r="H205" s="48" t="str">
        <f aca="false">IF(OR(NOT(ISNUMBER(H43)),NOT(ISNUMBER(H124))),"",H43-H124)</f>
        <v/>
      </c>
      <c r="I205" s="48" t="str">
        <f aca="false">IF(OR(NOT(ISNUMBER(I43)),NOT(ISNUMBER(I124))),"",I43-I124)</f>
        <v/>
      </c>
      <c r="J205" s="48" t="str">
        <f aca="false">IF(OR(NOT(ISNUMBER(J43)),NOT(ISNUMBER(J124))),"",J43-J124)</f>
        <v/>
      </c>
      <c r="K205" s="48" t="str">
        <f aca="false">IF(OR(NOT(ISNUMBER(K43)),NOT(ISNUMBER(K124))),"",K43-K124)</f>
        <v/>
      </c>
      <c r="L205" s="48" t="str">
        <f aca="false">IF(OR(NOT(ISNUMBER(L43)),NOT(ISNUMBER(L124))),"",L43-L124)</f>
        <v/>
      </c>
      <c r="M205" s="48" t="str">
        <f aca="false">IF(OR(NOT(ISNUMBER(M43)),NOT(ISNUMBER(M124))),"",M43-M124)</f>
        <v/>
      </c>
      <c r="N205" s="48" t="str">
        <f aca="false">IF(OR(NOT(ISNUMBER(N43)),NOT(ISNUMBER(N124))),"",N43-N124)</f>
        <v/>
      </c>
      <c r="O205" s="54" t="str">
        <f aca="false">IF(OR(NOT(ISNUMBER(O43)),NOT(ISNUMBER(O124))),"",O43-O124)</f>
        <v/>
      </c>
      <c r="P205" s="11" t="str">
        <f aca="false">IF(COUNT(D205:N205)=0,"",IF(AND(MAX(D205:N205)&lt;2,MIN(D205:N205)&gt;-2),"Sin diferencia","Diferencia a explicar"))</f>
        <v/>
      </c>
    </row>
    <row r="206" customFormat="false" ht="15" hidden="true" customHeight="false" outlineLevel="1" collapsed="false">
      <c r="A206" s="11" t="s">
        <v>2038</v>
      </c>
      <c r="B206" s="15" t="s">
        <v>2004</v>
      </c>
      <c r="C206" s="11" t="s">
        <v>544</v>
      </c>
      <c r="D206" s="48" t="str">
        <f aca="false">IF(OR(NOT(ISNUMBER(D44)),NOT(ISNUMBER(D125))),"",D44-D125)</f>
        <v/>
      </c>
      <c r="E206" s="48" t="str">
        <f aca="false">IF(OR(NOT(ISNUMBER(E44)),NOT(ISNUMBER(E125))),"",E44-E125)</f>
        <v/>
      </c>
      <c r="F206" s="48" t="str">
        <f aca="false">IF(OR(NOT(ISNUMBER(F44)),NOT(ISNUMBER(F125))),"",F44-F125)</f>
        <v/>
      </c>
      <c r="G206" s="48" t="str">
        <f aca="false">IF(OR(NOT(ISNUMBER(G44)),NOT(ISNUMBER(G125))),"",G44-G125)</f>
        <v/>
      </c>
      <c r="H206" s="48" t="str">
        <f aca="false">IF(OR(NOT(ISNUMBER(H44)),NOT(ISNUMBER(H125))),"",H44-H125)</f>
        <v/>
      </c>
      <c r="I206" s="48" t="str">
        <f aca="false">IF(OR(NOT(ISNUMBER(I44)),NOT(ISNUMBER(I125))),"",I44-I125)</f>
        <v/>
      </c>
      <c r="J206" s="48" t="str">
        <f aca="false">IF(OR(NOT(ISNUMBER(J44)),NOT(ISNUMBER(J125))),"",J44-J125)</f>
        <v/>
      </c>
      <c r="K206" s="48" t="str">
        <f aca="false">IF(OR(NOT(ISNUMBER(K44)),NOT(ISNUMBER(K125))),"",K44-K125)</f>
        <v/>
      </c>
      <c r="L206" s="48" t="str">
        <f aca="false">IF(OR(NOT(ISNUMBER(L44)),NOT(ISNUMBER(L125))),"",L44-L125)</f>
        <v/>
      </c>
      <c r="M206" s="48" t="str">
        <f aca="false">IF(OR(NOT(ISNUMBER(M44)),NOT(ISNUMBER(M125))),"",M44-M125)</f>
        <v/>
      </c>
      <c r="N206" s="48" t="str">
        <f aca="false">IF(OR(NOT(ISNUMBER(N44)),NOT(ISNUMBER(N125))),"",N44-N125)</f>
        <v/>
      </c>
      <c r="O206" s="54" t="str">
        <f aca="false">IF(OR(NOT(ISNUMBER(O44)),NOT(ISNUMBER(O125))),"",O44-O125)</f>
        <v/>
      </c>
      <c r="P206" s="11" t="str">
        <f aca="false">IF(COUNT(D206:N206)=0,"",IF(AND(MAX(D206:N206)&lt;2,MIN(D206:N206)&gt;-2),"Sin diferencia","Diferencia a explicar"))</f>
        <v/>
      </c>
    </row>
    <row r="207" customFormat="false" ht="15" hidden="true" customHeight="false" outlineLevel="1" collapsed="false">
      <c r="A207" s="11" t="s">
        <v>2039</v>
      </c>
      <c r="B207" s="15" t="s">
        <v>2006</v>
      </c>
      <c r="C207" s="11" t="s">
        <v>748</v>
      </c>
      <c r="D207" s="50" t="str">
        <f aca="false">IF(OR(NOT(ISNUMBER(D45)),NOT(ISNUMBER(D126))),"",D45-D126)</f>
        <v/>
      </c>
      <c r="E207" s="50" t="str">
        <f aca="false">IF(OR(NOT(ISNUMBER(E45)),NOT(ISNUMBER(E126))),"",E45-E126)</f>
        <v/>
      </c>
      <c r="F207" s="50" t="str">
        <f aca="false">IF(OR(NOT(ISNUMBER(F45)),NOT(ISNUMBER(F126))),"",F45-F126)</f>
        <v/>
      </c>
      <c r="G207" s="50" t="str">
        <f aca="false">IF(OR(NOT(ISNUMBER(G45)),NOT(ISNUMBER(G126))),"",G45-G126)</f>
        <v/>
      </c>
      <c r="H207" s="50" t="str">
        <f aca="false">IF(OR(NOT(ISNUMBER(H45)),NOT(ISNUMBER(H126))),"",H45-H126)</f>
        <v/>
      </c>
      <c r="I207" s="50" t="str">
        <f aca="false">IF(OR(NOT(ISNUMBER(I45)),NOT(ISNUMBER(I126))),"",I45-I126)</f>
        <v/>
      </c>
      <c r="J207" s="50" t="str">
        <f aca="false">IF(OR(NOT(ISNUMBER(J45)),NOT(ISNUMBER(J126))),"",J45-J126)</f>
        <v/>
      </c>
      <c r="K207" s="50" t="str">
        <f aca="false">IF(OR(NOT(ISNUMBER(K45)),NOT(ISNUMBER(K126))),"",K45-K126)</f>
        <v/>
      </c>
      <c r="L207" s="50" t="str">
        <f aca="false">IF(OR(NOT(ISNUMBER(L45)),NOT(ISNUMBER(L126))),"",L45-L126)</f>
        <v/>
      </c>
      <c r="M207" s="50" t="str">
        <f aca="false">IF(OR(NOT(ISNUMBER(M45)),NOT(ISNUMBER(M126))),"",M45-M126)</f>
        <v/>
      </c>
      <c r="N207" s="50" t="str">
        <f aca="false">IF(OR(NOT(ISNUMBER(N45)),NOT(ISNUMBER(N126))),"",N45-N126)</f>
        <v/>
      </c>
      <c r="O207" s="68" t="str">
        <f aca="false">IF(OR(NOT(ISNUMBER(O45)),NOT(ISNUMBER(O126))),"",O45-O126)</f>
        <v/>
      </c>
      <c r="P207" s="11" t="str">
        <f aca="false">IF(COUNT(D207:N207)=0,"",IF(AND(MAX(D207:N207)&lt;0.005,MIN(D207:N207)&gt;-0.005),"Sin diferencia","Diferencia a explicar"))</f>
        <v/>
      </c>
    </row>
    <row r="208" customFormat="false" ht="15" hidden="true" customHeight="false" outlineLevel="1" collapsed="false">
      <c r="A208" s="11" t="s">
        <v>2040</v>
      </c>
      <c r="B208" s="53" t="str">
        <f aca="false">IF(INDEX(Prod_Nombre,13)="","Producto 13",INDEX(Prod_Nombre,13))&amp;" — venta"</f>
        <v>Producto 13 — venta</v>
      </c>
      <c r="C208" s="11" t="s">
        <v>508</v>
      </c>
      <c r="D208" s="48" t="str">
        <f aca="false">IF(OR(NOT(ISNUMBER(D46)),NOT(ISNUMBER(D127))),"",D46-D127)</f>
        <v/>
      </c>
      <c r="E208" s="48" t="str">
        <f aca="false">IF(OR(NOT(ISNUMBER(E46)),NOT(ISNUMBER(E127))),"",E46-E127)</f>
        <v/>
      </c>
      <c r="F208" s="48" t="str">
        <f aca="false">IF(OR(NOT(ISNUMBER(F46)),NOT(ISNUMBER(F127))),"",F46-F127)</f>
        <v/>
      </c>
      <c r="G208" s="48" t="str">
        <f aca="false">IF(OR(NOT(ISNUMBER(G46)),NOT(ISNUMBER(G127))),"",G46-G127)</f>
        <v/>
      </c>
      <c r="H208" s="48" t="str">
        <f aca="false">IF(OR(NOT(ISNUMBER(H46)),NOT(ISNUMBER(H127))),"",H46-H127)</f>
        <v/>
      </c>
      <c r="I208" s="48" t="str">
        <f aca="false">IF(OR(NOT(ISNUMBER(I46)),NOT(ISNUMBER(I127))),"",I46-I127)</f>
        <v/>
      </c>
      <c r="J208" s="48" t="str">
        <f aca="false">IF(OR(NOT(ISNUMBER(J46)),NOT(ISNUMBER(J127))),"",J46-J127)</f>
        <v/>
      </c>
      <c r="K208" s="48" t="str">
        <f aca="false">IF(OR(NOT(ISNUMBER(K46)),NOT(ISNUMBER(K127))),"",K46-K127)</f>
        <v/>
      </c>
      <c r="L208" s="48" t="str">
        <f aca="false">IF(OR(NOT(ISNUMBER(L46)),NOT(ISNUMBER(L127))),"",L46-L127)</f>
        <v/>
      </c>
      <c r="M208" s="48" t="str">
        <f aca="false">IF(OR(NOT(ISNUMBER(M46)),NOT(ISNUMBER(M127))),"",M46-M127)</f>
        <v/>
      </c>
      <c r="N208" s="48" t="str">
        <f aca="false">IF(OR(NOT(ISNUMBER(N46)),NOT(ISNUMBER(N127))),"",N46-N127)</f>
        <v/>
      </c>
      <c r="O208" s="54" t="str">
        <f aca="false">IF(OR(NOT(ISNUMBER(O46)),NOT(ISNUMBER(O127))),"",O46-O127)</f>
        <v/>
      </c>
      <c r="P208" s="11" t="str">
        <f aca="false">IF(COUNT(D208:N208)=0,"",IF(AND(MAX(D208:N208)&lt;2,MIN(D208:N208)&gt;-2),"Sin diferencia","Diferencia a explicar"))</f>
        <v/>
      </c>
    </row>
    <row r="209" customFormat="false" ht="15" hidden="true" customHeight="false" outlineLevel="1" collapsed="false">
      <c r="A209" s="11" t="s">
        <v>2041</v>
      </c>
      <c r="B209" s="15" t="s">
        <v>2004</v>
      </c>
      <c r="C209" s="11" t="s">
        <v>544</v>
      </c>
      <c r="D209" s="48" t="str">
        <f aca="false">IF(OR(NOT(ISNUMBER(D47)),NOT(ISNUMBER(D128))),"",D47-D128)</f>
        <v/>
      </c>
      <c r="E209" s="48" t="str">
        <f aca="false">IF(OR(NOT(ISNUMBER(E47)),NOT(ISNUMBER(E128))),"",E47-E128)</f>
        <v/>
      </c>
      <c r="F209" s="48" t="str">
        <f aca="false">IF(OR(NOT(ISNUMBER(F47)),NOT(ISNUMBER(F128))),"",F47-F128)</f>
        <v/>
      </c>
      <c r="G209" s="48" t="str">
        <f aca="false">IF(OR(NOT(ISNUMBER(G47)),NOT(ISNUMBER(G128))),"",G47-G128)</f>
        <v/>
      </c>
      <c r="H209" s="48" t="str">
        <f aca="false">IF(OR(NOT(ISNUMBER(H47)),NOT(ISNUMBER(H128))),"",H47-H128)</f>
        <v/>
      </c>
      <c r="I209" s="48" t="str">
        <f aca="false">IF(OR(NOT(ISNUMBER(I47)),NOT(ISNUMBER(I128))),"",I47-I128)</f>
        <v/>
      </c>
      <c r="J209" s="48" t="str">
        <f aca="false">IF(OR(NOT(ISNUMBER(J47)),NOT(ISNUMBER(J128))),"",J47-J128)</f>
        <v/>
      </c>
      <c r="K209" s="48" t="str">
        <f aca="false">IF(OR(NOT(ISNUMBER(K47)),NOT(ISNUMBER(K128))),"",K47-K128)</f>
        <v/>
      </c>
      <c r="L209" s="48" t="str">
        <f aca="false">IF(OR(NOT(ISNUMBER(L47)),NOT(ISNUMBER(L128))),"",L47-L128)</f>
        <v/>
      </c>
      <c r="M209" s="48" t="str">
        <f aca="false">IF(OR(NOT(ISNUMBER(M47)),NOT(ISNUMBER(M128))),"",M47-M128)</f>
        <v/>
      </c>
      <c r="N209" s="48" t="str">
        <f aca="false">IF(OR(NOT(ISNUMBER(N47)),NOT(ISNUMBER(N128))),"",N47-N128)</f>
        <v/>
      </c>
      <c r="O209" s="54" t="str">
        <f aca="false">IF(OR(NOT(ISNUMBER(O47)),NOT(ISNUMBER(O128))),"",O47-O128)</f>
        <v/>
      </c>
      <c r="P209" s="11" t="str">
        <f aca="false">IF(COUNT(D209:N209)=0,"",IF(AND(MAX(D209:N209)&lt;2,MIN(D209:N209)&gt;-2),"Sin diferencia","Diferencia a explicar"))</f>
        <v/>
      </c>
    </row>
    <row r="210" customFormat="false" ht="15" hidden="true" customHeight="false" outlineLevel="1" collapsed="false">
      <c r="A210" s="11" t="s">
        <v>2042</v>
      </c>
      <c r="B210" s="15" t="s">
        <v>2006</v>
      </c>
      <c r="C210" s="11" t="s">
        <v>748</v>
      </c>
      <c r="D210" s="50" t="str">
        <f aca="false">IF(OR(NOT(ISNUMBER(D48)),NOT(ISNUMBER(D129))),"",D48-D129)</f>
        <v/>
      </c>
      <c r="E210" s="50" t="str">
        <f aca="false">IF(OR(NOT(ISNUMBER(E48)),NOT(ISNUMBER(E129))),"",E48-E129)</f>
        <v/>
      </c>
      <c r="F210" s="50" t="str">
        <f aca="false">IF(OR(NOT(ISNUMBER(F48)),NOT(ISNUMBER(F129))),"",F48-F129)</f>
        <v/>
      </c>
      <c r="G210" s="50" t="str">
        <f aca="false">IF(OR(NOT(ISNUMBER(G48)),NOT(ISNUMBER(G129))),"",G48-G129)</f>
        <v/>
      </c>
      <c r="H210" s="50" t="str">
        <f aca="false">IF(OR(NOT(ISNUMBER(H48)),NOT(ISNUMBER(H129))),"",H48-H129)</f>
        <v/>
      </c>
      <c r="I210" s="50" t="str">
        <f aca="false">IF(OR(NOT(ISNUMBER(I48)),NOT(ISNUMBER(I129))),"",I48-I129)</f>
        <v/>
      </c>
      <c r="J210" s="50" t="str">
        <f aca="false">IF(OR(NOT(ISNUMBER(J48)),NOT(ISNUMBER(J129))),"",J48-J129)</f>
        <v/>
      </c>
      <c r="K210" s="50" t="str">
        <f aca="false">IF(OR(NOT(ISNUMBER(K48)),NOT(ISNUMBER(K129))),"",K48-K129)</f>
        <v/>
      </c>
      <c r="L210" s="50" t="str">
        <f aca="false">IF(OR(NOT(ISNUMBER(L48)),NOT(ISNUMBER(L129))),"",L48-L129)</f>
        <v/>
      </c>
      <c r="M210" s="50" t="str">
        <f aca="false">IF(OR(NOT(ISNUMBER(M48)),NOT(ISNUMBER(M129))),"",M48-M129)</f>
        <v/>
      </c>
      <c r="N210" s="50" t="str">
        <f aca="false">IF(OR(NOT(ISNUMBER(N48)),NOT(ISNUMBER(N129))),"",N48-N129)</f>
        <v/>
      </c>
      <c r="O210" s="68" t="str">
        <f aca="false">IF(OR(NOT(ISNUMBER(O48)),NOT(ISNUMBER(O129))),"",O48-O129)</f>
        <v/>
      </c>
      <c r="P210" s="11" t="str">
        <f aca="false">IF(COUNT(D210:N210)=0,"",IF(AND(MAX(D210:N210)&lt;0.005,MIN(D210:N210)&gt;-0.005),"Sin diferencia","Diferencia a explicar"))</f>
        <v/>
      </c>
    </row>
    <row r="211" customFormat="false" ht="15" hidden="true" customHeight="false" outlineLevel="1" collapsed="false">
      <c r="A211" s="11" t="s">
        <v>2043</v>
      </c>
      <c r="B211" s="53" t="str">
        <f aca="false">IF(INDEX(Prod_Nombre,14)="","Producto 14",INDEX(Prod_Nombre,14))&amp;" — venta"</f>
        <v>Producto 14 — venta</v>
      </c>
      <c r="C211" s="11" t="s">
        <v>508</v>
      </c>
      <c r="D211" s="48" t="str">
        <f aca="false">IF(OR(NOT(ISNUMBER(D49)),NOT(ISNUMBER(D130))),"",D49-D130)</f>
        <v/>
      </c>
      <c r="E211" s="48" t="str">
        <f aca="false">IF(OR(NOT(ISNUMBER(E49)),NOT(ISNUMBER(E130))),"",E49-E130)</f>
        <v/>
      </c>
      <c r="F211" s="48" t="str">
        <f aca="false">IF(OR(NOT(ISNUMBER(F49)),NOT(ISNUMBER(F130))),"",F49-F130)</f>
        <v/>
      </c>
      <c r="G211" s="48" t="str">
        <f aca="false">IF(OR(NOT(ISNUMBER(G49)),NOT(ISNUMBER(G130))),"",G49-G130)</f>
        <v/>
      </c>
      <c r="H211" s="48" t="str">
        <f aca="false">IF(OR(NOT(ISNUMBER(H49)),NOT(ISNUMBER(H130))),"",H49-H130)</f>
        <v/>
      </c>
      <c r="I211" s="48" t="str">
        <f aca="false">IF(OR(NOT(ISNUMBER(I49)),NOT(ISNUMBER(I130))),"",I49-I130)</f>
        <v/>
      </c>
      <c r="J211" s="48" t="str">
        <f aca="false">IF(OR(NOT(ISNUMBER(J49)),NOT(ISNUMBER(J130))),"",J49-J130)</f>
        <v/>
      </c>
      <c r="K211" s="48" t="str">
        <f aca="false">IF(OR(NOT(ISNUMBER(K49)),NOT(ISNUMBER(K130))),"",K49-K130)</f>
        <v/>
      </c>
      <c r="L211" s="48" t="str">
        <f aca="false">IF(OR(NOT(ISNUMBER(L49)),NOT(ISNUMBER(L130))),"",L49-L130)</f>
        <v/>
      </c>
      <c r="M211" s="48" t="str">
        <f aca="false">IF(OR(NOT(ISNUMBER(M49)),NOT(ISNUMBER(M130))),"",M49-M130)</f>
        <v/>
      </c>
      <c r="N211" s="48" t="str">
        <f aca="false">IF(OR(NOT(ISNUMBER(N49)),NOT(ISNUMBER(N130))),"",N49-N130)</f>
        <v/>
      </c>
      <c r="O211" s="54" t="str">
        <f aca="false">IF(OR(NOT(ISNUMBER(O49)),NOT(ISNUMBER(O130))),"",O49-O130)</f>
        <v/>
      </c>
      <c r="P211" s="11" t="str">
        <f aca="false">IF(COUNT(D211:N211)=0,"",IF(AND(MAX(D211:N211)&lt;2,MIN(D211:N211)&gt;-2),"Sin diferencia","Diferencia a explicar"))</f>
        <v/>
      </c>
    </row>
    <row r="212" customFormat="false" ht="15" hidden="true" customHeight="false" outlineLevel="1" collapsed="false">
      <c r="A212" s="11" t="s">
        <v>2044</v>
      </c>
      <c r="B212" s="15" t="s">
        <v>2004</v>
      </c>
      <c r="C212" s="11" t="s">
        <v>544</v>
      </c>
      <c r="D212" s="48" t="str">
        <f aca="false">IF(OR(NOT(ISNUMBER(D50)),NOT(ISNUMBER(D131))),"",D50-D131)</f>
        <v/>
      </c>
      <c r="E212" s="48" t="str">
        <f aca="false">IF(OR(NOT(ISNUMBER(E50)),NOT(ISNUMBER(E131))),"",E50-E131)</f>
        <v/>
      </c>
      <c r="F212" s="48" t="str">
        <f aca="false">IF(OR(NOT(ISNUMBER(F50)),NOT(ISNUMBER(F131))),"",F50-F131)</f>
        <v/>
      </c>
      <c r="G212" s="48" t="str">
        <f aca="false">IF(OR(NOT(ISNUMBER(G50)),NOT(ISNUMBER(G131))),"",G50-G131)</f>
        <v/>
      </c>
      <c r="H212" s="48" t="str">
        <f aca="false">IF(OR(NOT(ISNUMBER(H50)),NOT(ISNUMBER(H131))),"",H50-H131)</f>
        <v/>
      </c>
      <c r="I212" s="48" t="str">
        <f aca="false">IF(OR(NOT(ISNUMBER(I50)),NOT(ISNUMBER(I131))),"",I50-I131)</f>
        <v/>
      </c>
      <c r="J212" s="48" t="str">
        <f aca="false">IF(OR(NOT(ISNUMBER(J50)),NOT(ISNUMBER(J131))),"",J50-J131)</f>
        <v/>
      </c>
      <c r="K212" s="48" t="str">
        <f aca="false">IF(OR(NOT(ISNUMBER(K50)),NOT(ISNUMBER(K131))),"",K50-K131)</f>
        <v/>
      </c>
      <c r="L212" s="48" t="str">
        <f aca="false">IF(OR(NOT(ISNUMBER(L50)),NOT(ISNUMBER(L131))),"",L50-L131)</f>
        <v/>
      </c>
      <c r="M212" s="48" t="str">
        <f aca="false">IF(OR(NOT(ISNUMBER(M50)),NOT(ISNUMBER(M131))),"",M50-M131)</f>
        <v/>
      </c>
      <c r="N212" s="48" t="str">
        <f aca="false">IF(OR(NOT(ISNUMBER(N50)),NOT(ISNUMBER(N131))),"",N50-N131)</f>
        <v/>
      </c>
      <c r="O212" s="54" t="str">
        <f aca="false">IF(OR(NOT(ISNUMBER(O50)),NOT(ISNUMBER(O131))),"",O50-O131)</f>
        <v/>
      </c>
      <c r="P212" s="11" t="str">
        <f aca="false">IF(COUNT(D212:N212)=0,"",IF(AND(MAX(D212:N212)&lt;2,MIN(D212:N212)&gt;-2),"Sin diferencia","Diferencia a explicar"))</f>
        <v/>
      </c>
    </row>
    <row r="213" customFormat="false" ht="15" hidden="true" customHeight="false" outlineLevel="1" collapsed="false">
      <c r="A213" s="11" t="s">
        <v>2045</v>
      </c>
      <c r="B213" s="15" t="s">
        <v>2006</v>
      </c>
      <c r="C213" s="11" t="s">
        <v>748</v>
      </c>
      <c r="D213" s="50" t="str">
        <f aca="false">IF(OR(NOT(ISNUMBER(D51)),NOT(ISNUMBER(D132))),"",D51-D132)</f>
        <v/>
      </c>
      <c r="E213" s="50" t="str">
        <f aca="false">IF(OR(NOT(ISNUMBER(E51)),NOT(ISNUMBER(E132))),"",E51-E132)</f>
        <v/>
      </c>
      <c r="F213" s="50" t="str">
        <f aca="false">IF(OR(NOT(ISNUMBER(F51)),NOT(ISNUMBER(F132))),"",F51-F132)</f>
        <v/>
      </c>
      <c r="G213" s="50" t="str">
        <f aca="false">IF(OR(NOT(ISNUMBER(G51)),NOT(ISNUMBER(G132))),"",G51-G132)</f>
        <v/>
      </c>
      <c r="H213" s="50" t="str">
        <f aca="false">IF(OR(NOT(ISNUMBER(H51)),NOT(ISNUMBER(H132))),"",H51-H132)</f>
        <v/>
      </c>
      <c r="I213" s="50" t="str">
        <f aca="false">IF(OR(NOT(ISNUMBER(I51)),NOT(ISNUMBER(I132))),"",I51-I132)</f>
        <v/>
      </c>
      <c r="J213" s="50" t="str">
        <f aca="false">IF(OR(NOT(ISNUMBER(J51)),NOT(ISNUMBER(J132))),"",J51-J132)</f>
        <v/>
      </c>
      <c r="K213" s="50" t="str">
        <f aca="false">IF(OR(NOT(ISNUMBER(K51)),NOT(ISNUMBER(K132))),"",K51-K132)</f>
        <v/>
      </c>
      <c r="L213" s="50" t="str">
        <f aca="false">IF(OR(NOT(ISNUMBER(L51)),NOT(ISNUMBER(L132))),"",L51-L132)</f>
        <v/>
      </c>
      <c r="M213" s="50" t="str">
        <f aca="false">IF(OR(NOT(ISNUMBER(M51)),NOT(ISNUMBER(M132))),"",M51-M132)</f>
        <v/>
      </c>
      <c r="N213" s="50" t="str">
        <f aca="false">IF(OR(NOT(ISNUMBER(N51)),NOT(ISNUMBER(N132))),"",N51-N132)</f>
        <v/>
      </c>
      <c r="O213" s="68" t="str">
        <f aca="false">IF(OR(NOT(ISNUMBER(O51)),NOT(ISNUMBER(O132))),"",O51-O132)</f>
        <v/>
      </c>
      <c r="P213" s="11" t="str">
        <f aca="false">IF(COUNT(D213:N213)=0,"",IF(AND(MAX(D213:N213)&lt;0.005,MIN(D213:N213)&gt;-0.005),"Sin diferencia","Diferencia a explicar"))</f>
        <v/>
      </c>
    </row>
    <row r="214" customFormat="false" ht="15" hidden="true" customHeight="false" outlineLevel="1" collapsed="false">
      <c r="A214" s="11" t="s">
        <v>2046</v>
      </c>
      <c r="B214" s="53" t="str">
        <f aca="false">IF(INDEX(Prod_Nombre,15)="","Producto 15",INDEX(Prod_Nombre,15))&amp;" — venta"</f>
        <v>Producto 15 — venta</v>
      </c>
      <c r="C214" s="11" t="s">
        <v>508</v>
      </c>
      <c r="D214" s="48" t="str">
        <f aca="false">IF(OR(NOT(ISNUMBER(D52)),NOT(ISNUMBER(D133))),"",D52-D133)</f>
        <v/>
      </c>
      <c r="E214" s="48" t="str">
        <f aca="false">IF(OR(NOT(ISNUMBER(E52)),NOT(ISNUMBER(E133))),"",E52-E133)</f>
        <v/>
      </c>
      <c r="F214" s="48" t="str">
        <f aca="false">IF(OR(NOT(ISNUMBER(F52)),NOT(ISNUMBER(F133))),"",F52-F133)</f>
        <v/>
      </c>
      <c r="G214" s="48" t="str">
        <f aca="false">IF(OR(NOT(ISNUMBER(G52)),NOT(ISNUMBER(G133))),"",G52-G133)</f>
        <v/>
      </c>
      <c r="H214" s="48" t="str">
        <f aca="false">IF(OR(NOT(ISNUMBER(H52)),NOT(ISNUMBER(H133))),"",H52-H133)</f>
        <v/>
      </c>
      <c r="I214" s="48" t="str">
        <f aca="false">IF(OR(NOT(ISNUMBER(I52)),NOT(ISNUMBER(I133))),"",I52-I133)</f>
        <v/>
      </c>
      <c r="J214" s="48" t="str">
        <f aca="false">IF(OR(NOT(ISNUMBER(J52)),NOT(ISNUMBER(J133))),"",J52-J133)</f>
        <v/>
      </c>
      <c r="K214" s="48" t="str">
        <f aca="false">IF(OR(NOT(ISNUMBER(K52)),NOT(ISNUMBER(K133))),"",K52-K133)</f>
        <v/>
      </c>
      <c r="L214" s="48" t="str">
        <f aca="false">IF(OR(NOT(ISNUMBER(L52)),NOT(ISNUMBER(L133))),"",L52-L133)</f>
        <v/>
      </c>
      <c r="M214" s="48" t="str">
        <f aca="false">IF(OR(NOT(ISNUMBER(M52)),NOT(ISNUMBER(M133))),"",M52-M133)</f>
        <v/>
      </c>
      <c r="N214" s="48" t="str">
        <f aca="false">IF(OR(NOT(ISNUMBER(N52)),NOT(ISNUMBER(N133))),"",N52-N133)</f>
        <v/>
      </c>
      <c r="O214" s="54" t="str">
        <f aca="false">IF(OR(NOT(ISNUMBER(O52)),NOT(ISNUMBER(O133))),"",O52-O133)</f>
        <v/>
      </c>
      <c r="P214" s="11" t="str">
        <f aca="false">IF(COUNT(D214:N214)=0,"",IF(AND(MAX(D214:N214)&lt;2,MIN(D214:N214)&gt;-2),"Sin diferencia","Diferencia a explicar"))</f>
        <v/>
      </c>
    </row>
    <row r="215" customFormat="false" ht="15" hidden="true" customHeight="false" outlineLevel="1" collapsed="false">
      <c r="A215" s="11" t="s">
        <v>2047</v>
      </c>
      <c r="B215" s="15" t="s">
        <v>2004</v>
      </c>
      <c r="C215" s="11" t="s">
        <v>544</v>
      </c>
      <c r="D215" s="48" t="str">
        <f aca="false">IF(OR(NOT(ISNUMBER(D53)),NOT(ISNUMBER(D134))),"",D53-D134)</f>
        <v/>
      </c>
      <c r="E215" s="48" t="str">
        <f aca="false">IF(OR(NOT(ISNUMBER(E53)),NOT(ISNUMBER(E134))),"",E53-E134)</f>
        <v/>
      </c>
      <c r="F215" s="48" t="str">
        <f aca="false">IF(OR(NOT(ISNUMBER(F53)),NOT(ISNUMBER(F134))),"",F53-F134)</f>
        <v/>
      </c>
      <c r="G215" s="48" t="str">
        <f aca="false">IF(OR(NOT(ISNUMBER(G53)),NOT(ISNUMBER(G134))),"",G53-G134)</f>
        <v/>
      </c>
      <c r="H215" s="48" t="str">
        <f aca="false">IF(OR(NOT(ISNUMBER(H53)),NOT(ISNUMBER(H134))),"",H53-H134)</f>
        <v/>
      </c>
      <c r="I215" s="48" t="str">
        <f aca="false">IF(OR(NOT(ISNUMBER(I53)),NOT(ISNUMBER(I134))),"",I53-I134)</f>
        <v/>
      </c>
      <c r="J215" s="48" t="str">
        <f aca="false">IF(OR(NOT(ISNUMBER(J53)),NOT(ISNUMBER(J134))),"",J53-J134)</f>
        <v/>
      </c>
      <c r="K215" s="48" t="str">
        <f aca="false">IF(OR(NOT(ISNUMBER(K53)),NOT(ISNUMBER(K134))),"",K53-K134)</f>
        <v/>
      </c>
      <c r="L215" s="48" t="str">
        <f aca="false">IF(OR(NOT(ISNUMBER(L53)),NOT(ISNUMBER(L134))),"",L53-L134)</f>
        <v/>
      </c>
      <c r="M215" s="48" t="str">
        <f aca="false">IF(OR(NOT(ISNUMBER(M53)),NOT(ISNUMBER(M134))),"",M53-M134)</f>
        <v/>
      </c>
      <c r="N215" s="48" t="str">
        <f aca="false">IF(OR(NOT(ISNUMBER(N53)),NOT(ISNUMBER(N134))),"",N53-N134)</f>
        <v/>
      </c>
      <c r="O215" s="54" t="str">
        <f aca="false">IF(OR(NOT(ISNUMBER(O53)),NOT(ISNUMBER(O134))),"",O53-O134)</f>
        <v/>
      </c>
      <c r="P215" s="11" t="str">
        <f aca="false">IF(COUNT(D215:N215)=0,"",IF(AND(MAX(D215:N215)&lt;2,MIN(D215:N215)&gt;-2),"Sin diferencia","Diferencia a explicar"))</f>
        <v/>
      </c>
    </row>
    <row r="216" customFormat="false" ht="15" hidden="true" customHeight="false" outlineLevel="1" collapsed="false">
      <c r="A216" s="11" t="s">
        <v>2048</v>
      </c>
      <c r="B216" s="15" t="s">
        <v>2006</v>
      </c>
      <c r="C216" s="11" t="s">
        <v>748</v>
      </c>
      <c r="D216" s="50" t="str">
        <f aca="false">IF(OR(NOT(ISNUMBER(D54)),NOT(ISNUMBER(D135))),"",D54-D135)</f>
        <v/>
      </c>
      <c r="E216" s="50" t="str">
        <f aca="false">IF(OR(NOT(ISNUMBER(E54)),NOT(ISNUMBER(E135))),"",E54-E135)</f>
        <v/>
      </c>
      <c r="F216" s="50" t="str">
        <f aca="false">IF(OR(NOT(ISNUMBER(F54)),NOT(ISNUMBER(F135))),"",F54-F135)</f>
        <v/>
      </c>
      <c r="G216" s="50" t="str">
        <f aca="false">IF(OR(NOT(ISNUMBER(G54)),NOT(ISNUMBER(G135))),"",G54-G135)</f>
        <v/>
      </c>
      <c r="H216" s="50" t="str">
        <f aca="false">IF(OR(NOT(ISNUMBER(H54)),NOT(ISNUMBER(H135))),"",H54-H135)</f>
        <v/>
      </c>
      <c r="I216" s="50" t="str">
        <f aca="false">IF(OR(NOT(ISNUMBER(I54)),NOT(ISNUMBER(I135))),"",I54-I135)</f>
        <v/>
      </c>
      <c r="J216" s="50" t="str">
        <f aca="false">IF(OR(NOT(ISNUMBER(J54)),NOT(ISNUMBER(J135))),"",J54-J135)</f>
        <v/>
      </c>
      <c r="K216" s="50" t="str">
        <f aca="false">IF(OR(NOT(ISNUMBER(K54)),NOT(ISNUMBER(K135))),"",K54-K135)</f>
        <v/>
      </c>
      <c r="L216" s="50" t="str">
        <f aca="false">IF(OR(NOT(ISNUMBER(L54)),NOT(ISNUMBER(L135))),"",L54-L135)</f>
        <v/>
      </c>
      <c r="M216" s="50" t="str">
        <f aca="false">IF(OR(NOT(ISNUMBER(M54)),NOT(ISNUMBER(M135))),"",M54-M135)</f>
        <v/>
      </c>
      <c r="N216" s="50" t="str">
        <f aca="false">IF(OR(NOT(ISNUMBER(N54)),NOT(ISNUMBER(N135))),"",N54-N135)</f>
        <v/>
      </c>
      <c r="O216" s="68" t="str">
        <f aca="false">IF(OR(NOT(ISNUMBER(O54)),NOT(ISNUMBER(O135))),"",O54-O135)</f>
        <v/>
      </c>
      <c r="P216" s="11" t="str">
        <f aca="false">IF(COUNT(D216:N216)=0,"",IF(AND(MAX(D216:N216)&lt;0.005,MIN(D216:N216)&gt;-0.005),"Sin diferencia","Diferencia a explicar"))</f>
        <v/>
      </c>
    </row>
    <row r="217" customFormat="false" ht="15" hidden="true" customHeight="false" outlineLevel="1" collapsed="false">
      <c r="A217" s="11" t="s">
        <v>2049</v>
      </c>
      <c r="B217" s="53" t="str">
        <f aca="false">IF(INDEX(Prod_Nombre,16)="","Producto 16",INDEX(Prod_Nombre,16))&amp;" — venta"</f>
        <v>Producto 16 — venta</v>
      </c>
      <c r="C217" s="11" t="s">
        <v>508</v>
      </c>
      <c r="D217" s="48" t="str">
        <f aca="false">IF(OR(NOT(ISNUMBER(D55)),NOT(ISNUMBER(D136))),"",D55-D136)</f>
        <v/>
      </c>
      <c r="E217" s="48" t="str">
        <f aca="false">IF(OR(NOT(ISNUMBER(E55)),NOT(ISNUMBER(E136))),"",E55-E136)</f>
        <v/>
      </c>
      <c r="F217" s="48" t="str">
        <f aca="false">IF(OR(NOT(ISNUMBER(F55)),NOT(ISNUMBER(F136))),"",F55-F136)</f>
        <v/>
      </c>
      <c r="G217" s="48" t="str">
        <f aca="false">IF(OR(NOT(ISNUMBER(G55)),NOT(ISNUMBER(G136))),"",G55-G136)</f>
        <v/>
      </c>
      <c r="H217" s="48" t="str">
        <f aca="false">IF(OR(NOT(ISNUMBER(H55)),NOT(ISNUMBER(H136))),"",H55-H136)</f>
        <v/>
      </c>
      <c r="I217" s="48" t="str">
        <f aca="false">IF(OR(NOT(ISNUMBER(I55)),NOT(ISNUMBER(I136))),"",I55-I136)</f>
        <v/>
      </c>
      <c r="J217" s="48" t="str">
        <f aca="false">IF(OR(NOT(ISNUMBER(J55)),NOT(ISNUMBER(J136))),"",J55-J136)</f>
        <v/>
      </c>
      <c r="K217" s="48" t="str">
        <f aca="false">IF(OR(NOT(ISNUMBER(K55)),NOT(ISNUMBER(K136))),"",K55-K136)</f>
        <v/>
      </c>
      <c r="L217" s="48" t="str">
        <f aca="false">IF(OR(NOT(ISNUMBER(L55)),NOT(ISNUMBER(L136))),"",L55-L136)</f>
        <v/>
      </c>
      <c r="M217" s="48" t="str">
        <f aca="false">IF(OR(NOT(ISNUMBER(M55)),NOT(ISNUMBER(M136))),"",M55-M136)</f>
        <v/>
      </c>
      <c r="N217" s="48" t="str">
        <f aca="false">IF(OR(NOT(ISNUMBER(N55)),NOT(ISNUMBER(N136))),"",N55-N136)</f>
        <v/>
      </c>
      <c r="O217" s="54" t="str">
        <f aca="false">IF(OR(NOT(ISNUMBER(O55)),NOT(ISNUMBER(O136))),"",O55-O136)</f>
        <v/>
      </c>
      <c r="P217" s="11" t="str">
        <f aca="false">IF(COUNT(D217:N217)=0,"",IF(AND(MAX(D217:N217)&lt;2,MIN(D217:N217)&gt;-2),"Sin diferencia","Diferencia a explicar"))</f>
        <v/>
      </c>
    </row>
    <row r="218" customFormat="false" ht="15" hidden="true" customHeight="false" outlineLevel="1" collapsed="false">
      <c r="A218" s="11" t="s">
        <v>2050</v>
      </c>
      <c r="B218" s="15" t="s">
        <v>2004</v>
      </c>
      <c r="C218" s="11" t="s">
        <v>544</v>
      </c>
      <c r="D218" s="48" t="str">
        <f aca="false">IF(OR(NOT(ISNUMBER(D56)),NOT(ISNUMBER(D137))),"",D56-D137)</f>
        <v/>
      </c>
      <c r="E218" s="48" t="str">
        <f aca="false">IF(OR(NOT(ISNUMBER(E56)),NOT(ISNUMBER(E137))),"",E56-E137)</f>
        <v/>
      </c>
      <c r="F218" s="48" t="str">
        <f aca="false">IF(OR(NOT(ISNUMBER(F56)),NOT(ISNUMBER(F137))),"",F56-F137)</f>
        <v/>
      </c>
      <c r="G218" s="48" t="str">
        <f aca="false">IF(OR(NOT(ISNUMBER(G56)),NOT(ISNUMBER(G137))),"",G56-G137)</f>
        <v/>
      </c>
      <c r="H218" s="48" t="str">
        <f aca="false">IF(OR(NOT(ISNUMBER(H56)),NOT(ISNUMBER(H137))),"",H56-H137)</f>
        <v/>
      </c>
      <c r="I218" s="48" t="str">
        <f aca="false">IF(OR(NOT(ISNUMBER(I56)),NOT(ISNUMBER(I137))),"",I56-I137)</f>
        <v/>
      </c>
      <c r="J218" s="48" t="str">
        <f aca="false">IF(OR(NOT(ISNUMBER(J56)),NOT(ISNUMBER(J137))),"",J56-J137)</f>
        <v/>
      </c>
      <c r="K218" s="48" t="str">
        <f aca="false">IF(OR(NOT(ISNUMBER(K56)),NOT(ISNUMBER(K137))),"",K56-K137)</f>
        <v/>
      </c>
      <c r="L218" s="48" t="str">
        <f aca="false">IF(OR(NOT(ISNUMBER(L56)),NOT(ISNUMBER(L137))),"",L56-L137)</f>
        <v/>
      </c>
      <c r="M218" s="48" t="str">
        <f aca="false">IF(OR(NOT(ISNUMBER(M56)),NOT(ISNUMBER(M137))),"",M56-M137)</f>
        <v/>
      </c>
      <c r="N218" s="48" t="str">
        <f aca="false">IF(OR(NOT(ISNUMBER(N56)),NOT(ISNUMBER(N137))),"",N56-N137)</f>
        <v/>
      </c>
      <c r="O218" s="54" t="str">
        <f aca="false">IF(OR(NOT(ISNUMBER(O56)),NOT(ISNUMBER(O137))),"",O56-O137)</f>
        <v/>
      </c>
      <c r="P218" s="11" t="str">
        <f aca="false">IF(COUNT(D218:N218)=0,"",IF(AND(MAX(D218:N218)&lt;2,MIN(D218:N218)&gt;-2),"Sin diferencia","Diferencia a explicar"))</f>
        <v/>
      </c>
    </row>
    <row r="219" customFormat="false" ht="15" hidden="true" customHeight="false" outlineLevel="1" collapsed="false">
      <c r="A219" s="11" t="s">
        <v>2051</v>
      </c>
      <c r="B219" s="15" t="s">
        <v>2006</v>
      </c>
      <c r="C219" s="11" t="s">
        <v>748</v>
      </c>
      <c r="D219" s="50" t="str">
        <f aca="false">IF(OR(NOT(ISNUMBER(D57)),NOT(ISNUMBER(D138))),"",D57-D138)</f>
        <v/>
      </c>
      <c r="E219" s="50" t="str">
        <f aca="false">IF(OR(NOT(ISNUMBER(E57)),NOT(ISNUMBER(E138))),"",E57-E138)</f>
        <v/>
      </c>
      <c r="F219" s="50" t="str">
        <f aca="false">IF(OR(NOT(ISNUMBER(F57)),NOT(ISNUMBER(F138))),"",F57-F138)</f>
        <v/>
      </c>
      <c r="G219" s="50" t="str">
        <f aca="false">IF(OR(NOT(ISNUMBER(G57)),NOT(ISNUMBER(G138))),"",G57-G138)</f>
        <v/>
      </c>
      <c r="H219" s="50" t="str">
        <f aca="false">IF(OR(NOT(ISNUMBER(H57)),NOT(ISNUMBER(H138))),"",H57-H138)</f>
        <v/>
      </c>
      <c r="I219" s="50" t="str">
        <f aca="false">IF(OR(NOT(ISNUMBER(I57)),NOT(ISNUMBER(I138))),"",I57-I138)</f>
        <v/>
      </c>
      <c r="J219" s="50" t="str">
        <f aca="false">IF(OR(NOT(ISNUMBER(J57)),NOT(ISNUMBER(J138))),"",J57-J138)</f>
        <v/>
      </c>
      <c r="K219" s="50" t="str">
        <f aca="false">IF(OR(NOT(ISNUMBER(K57)),NOT(ISNUMBER(K138))),"",K57-K138)</f>
        <v/>
      </c>
      <c r="L219" s="50" t="str">
        <f aca="false">IF(OR(NOT(ISNUMBER(L57)),NOT(ISNUMBER(L138))),"",L57-L138)</f>
        <v/>
      </c>
      <c r="M219" s="50" t="str">
        <f aca="false">IF(OR(NOT(ISNUMBER(M57)),NOT(ISNUMBER(M138))),"",M57-M138)</f>
        <v/>
      </c>
      <c r="N219" s="50" t="str">
        <f aca="false">IF(OR(NOT(ISNUMBER(N57)),NOT(ISNUMBER(N138))),"",N57-N138)</f>
        <v/>
      </c>
      <c r="O219" s="68" t="str">
        <f aca="false">IF(OR(NOT(ISNUMBER(O57)),NOT(ISNUMBER(O138))),"",O57-O138)</f>
        <v/>
      </c>
      <c r="P219" s="11" t="str">
        <f aca="false">IF(COUNT(D219:N219)=0,"",IF(AND(MAX(D219:N219)&lt;0.005,MIN(D219:N219)&gt;-0.005),"Sin diferencia","Diferencia a explicar"))</f>
        <v/>
      </c>
    </row>
    <row r="220" customFormat="false" ht="15" hidden="true" customHeight="false" outlineLevel="1" collapsed="false">
      <c r="A220" s="11" t="s">
        <v>2052</v>
      </c>
      <c r="B220" s="53" t="str">
        <f aca="false">IF(INDEX(Prod_Nombre,17)="","Producto 17",INDEX(Prod_Nombre,17))&amp;" — venta"</f>
        <v>Producto 17 — venta</v>
      </c>
      <c r="C220" s="11" t="s">
        <v>508</v>
      </c>
      <c r="D220" s="48" t="str">
        <f aca="false">IF(OR(NOT(ISNUMBER(D58)),NOT(ISNUMBER(D139))),"",D58-D139)</f>
        <v/>
      </c>
      <c r="E220" s="48" t="str">
        <f aca="false">IF(OR(NOT(ISNUMBER(E58)),NOT(ISNUMBER(E139))),"",E58-E139)</f>
        <v/>
      </c>
      <c r="F220" s="48" t="str">
        <f aca="false">IF(OR(NOT(ISNUMBER(F58)),NOT(ISNUMBER(F139))),"",F58-F139)</f>
        <v/>
      </c>
      <c r="G220" s="48" t="str">
        <f aca="false">IF(OR(NOT(ISNUMBER(G58)),NOT(ISNUMBER(G139))),"",G58-G139)</f>
        <v/>
      </c>
      <c r="H220" s="48" t="str">
        <f aca="false">IF(OR(NOT(ISNUMBER(H58)),NOT(ISNUMBER(H139))),"",H58-H139)</f>
        <v/>
      </c>
      <c r="I220" s="48" t="str">
        <f aca="false">IF(OR(NOT(ISNUMBER(I58)),NOT(ISNUMBER(I139))),"",I58-I139)</f>
        <v/>
      </c>
      <c r="J220" s="48" t="str">
        <f aca="false">IF(OR(NOT(ISNUMBER(J58)),NOT(ISNUMBER(J139))),"",J58-J139)</f>
        <v/>
      </c>
      <c r="K220" s="48" t="str">
        <f aca="false">IF(OR(NOT(ISNUMBER(K58)),NOT(ISNUMBER(K139))),"",K58-K139)</f>
        <v/>
      </c>
      <c r="L220" s="48" t="str">
        <f aca="false">IF(OR(NOT(ISNUMBER(L58)),NOT(ISNUMBER(L139))),"",L58-L139)</f>
        <v/>
      </c>
      <c r="M220" s="48" t="str">
        <f aca="false">IF(OR(NOT(ISNUMBER(M58)),NOT(ISNUMBER(M139))),"",M58-M139)</f>
        <v/>
      </c>
      <c r="N220" s="48" t="str">
        <f aca="false">IF(OR(NOT(ISNUMBER(N58)),NOT(ISNUMBER(N139))),"",N58-N139)</f>
        <v/>
      </c>
      <c r="O220" s="54" t="str">
        <f aca="false">IF(OR(NOT(ISNUMBER(O58)),NOT(ISNUMBER(O139))),"",O58-O139)</f>
        <v/>
      </c>
      <c r="P220" s="11" t="str">
        <f aca="false">IF(COUNT(D220:N220)=0,"",IF(AND(MAX(D220:N220)&lt;2,MIN(D220:N220)&gt;-2),"Sin diferencia","Diferencia a explicar"))</f>
        <v/>
      </c>
    </row>
    <row r="221" customFormat="false" ht="15" hidden="true" customHeight="false" outlineLevel="1" collapsed="false">
      <c r="A221" s="11" t="s">
        <v>2053</v>
      </c>
      <c r="B221" s="15" t="s">
        <v>2004</v>
      </c>
      <c r="C221" s="11" t="s">
        <v>544</v>
      </c>
      <c r="D221" s="48" t="str">
        <f aca="false">IF(OR(NOT(ISNUMBER(D59)),NOT(ISNUMBER(D140))),"",D59-D140)</f>
        <v/>
      </c>
      <c r="E221" s="48" t="str">
        <f aca="false">IF(OR(NOT(ISNUMBER(E59)),NOT(ISNUMBER(E140))),"",E59-E140)</f>
        <v/>
      </c>
      <c r="F221" s="48" t="str">
        <f aca="false">IF(OR(NOT(ISNUMBER(F59)),NOT(ISNUMBER(F140))),"",F59-F140)</f>
        <v/>
      </c>
      <c r="G221" s="48" t="str">
        <f aca="false">IF(OR(NOT(ISNUMBER(G59)),NOT(ISNUMBER(G140))),"",G59-G140)</f>
        <v/>
      </c>
      <c r="H221" s="48" t="str">
        <f aca="false">IF(OR(NOT(ISNUMBER(H59)),NOT(ISNUMBER(H140))),"",H59-H140)</f>
        <v/>
      </c>
      <c r="I221" s="48" t="str">
        <f aca="false">IF(OR(NOT(ISNUMBER(I59)),NOT(ISNUMBER(I140))),"",I59-I140)</f>
        <v/>
      </c>
      <c r="J221" s="48" t="str">
        <f aca="false">IF(OR(NOT(ISNUMBER(J59)),NOT(ISNUMBER(J140))),"",J59-J140)</f>
        <v/>
      </c>
      <c r="K221" s="48" t="str">
        <f aca="false">IF(OR(NOT(ISNUMBER(K59)),NOT(ISNUMBER(K140))),"",K59-K140)</f>
        <v/>
      </c>
      <c r="L221" s="48" t="str">
        <f aca="false">IF(OR(NOT(ISNUMBER(L59)),NOT(ISNUMBER(L140))),"",L59-L140)</f>
        <v/>
      </c>
      <c r="M221" s="48" t="str">
        <f aca="false">IF(OR(NOT(ISNUMBER(M59)),NOT(ISNUMBER(M140))),"",M59-M140)</f>
        <v/>
      </c>
      <c r="N221" s="48" t="str">
        <f aca="false">IF(OR(NOT(ISNUMBER(N59)),NOT(ISNUMBER(N140))),"",N59-N140)</f>
        <v/>
      </c>
      <c r="O221" s="54" t="str">
        <f aca="false">IF(OR(NOT(ISNUMBER(O59)),NOT(ISNUMBER(O140))),"",O59-O140)</f>
        <v/>
      </c>
      <c r="P221" s="11" t="str">
        <f aca="false">IF(COUNT(D221:N221)=0,"",IF(AND(MAX(D221:N221)&lt;2,MIN(D221:N221)&gt;-2),"Sin diferencia","Diferencia a explicar"))</f>
        <v/>
      </c>
    </row>
    <row r="222" customFormat="false" ht="15" hidden="true" customHeight="false" outlineLevel="1" collapsed="false">
      <c r="A222" s="11" t="s">
        <v>2054</v>
      </c>
      <c r="B222" s="15" t="s">
        <v>2006</v>
      </c>
      <c r="C222" s="11" t="s">
        <v>748</v>
      </c>
      <c r="D222" s="50" t="str">
        <f aca="false">IF(OR(NOT(ISNUMBER(D60)),NOT(ISNUMBER(D141))),"",D60-D141)</f>
        <v/>
      </c>
      <c r="E222" s="50" t="str">
        <f aca="false">IF(OR(NOT(ISNUMBER(E60)),NOT(ISNUMBER(E141))),"",E60-E141)</f>
        <v/>
      </c>
      <c r="F222" s="50" t="str">
        <f aca="false">IF(OR(NOT(ISNUMBER(F60)),NOT(ISNUMBER(F141))),"",F60-F141)</f>
        <v/>
      </c>
      <c r="G222" s="50" t="str">
        <f aca="false">IF(OR(NOT(ISNUMBER(G60)),NOT(ISNUMBER(G141))),"",G60-G141)</f>
        <v/>
      </c>
      <c r="H222" s="50" t="str">
        <f aca="false">IF(OR(NOT(ISNUMBER(H60)),NOT(ISNUMBER(H141))),"",H60-H141)</f>
        <v/>
      </c>
      <c r="I222" s="50" t="str">
        <f aca="false">IF(OR(NOT(ISNUMBER(I60)),NOT(ISNUMBER(I141))),"",I60-I141)</f>
        <v/>
      </c>
      <c r="J222" s="50" t="str">
        <f aca="false">IF(OR(NOT(ISNUMBER(J60)),NOT(ISNUMBER(J141))),"",J60-J141)</f>
        <v/>
      </c>
      <c r="K222" s="50" t="str">
        <f aca="false">IF(OR(NOT(ISNUMBER(K60)),NOT(ISNUMBER(K141))),"",K60-K141)</f>
        <v/>
      </c>
      <c r="L222" s="50" t="str">
        <f aca="false">IF(OR(NOT(ISNUMBER(L60)),NOT(ISNUMBER(L141))),"",L60-L141)</f>
        <v/>
      </c>
      <c r="M222" s="50" t="str">
        <f aca="false">IF(OR(NOT(ISNUMBER(M60)),NOT(ISNUMBER(M141))),"",M60-M141)</f>
        <v/>
      </c>
      <c r="N222" s="50" t="str">
        <f aca="false">IF(OR(NOT(ISNUMBER(N60)),NOT(ISNUMBER(N141))),"",N60-N141)</f>
        <v/>
      </c>
      <c r="O222" s="68" t="str">
        <f aca="false">IF(OR(NOT(ISNUMBER(O60)),NOT(ISNUMBER(O141))),"",O60-O141)</f>
        <v/>
      </c>
      <c r="P222" s="11" t="str">
        <f aca="false">IF(COUNT(D222:N222)=0,"",IF(AND(MAX(D222:N222)&lt;0.005,MIN(D222:N222)&gt;-0.005),"Sin diferencia","Diferencia a explicar"))</f>
        <v/>
      </c>
    </row>
    <row r="223" customFormat="false" ht="15" hidden="true" customHeight="false" outlineLevel="1" collapsed="false">
      <c r="A223" s="11" t="s">
        <v>2055</v>
      </c>
      <c r="B223" s="53" t="str">
        <f aca="false">IF(INDEX(Prod_Nombre,18)="","Producto 18",INDEX(Prod_Nombre,18))&amp;" — venta"</f>
        <v>Producto 18 — venta</v>
      </c>
      <c r="C223" s="11" t="s">
        <v>508</v>
      </c>
      <c r="D223" s="48" t="str">
        <f aca="false">IF(OR(NOT(ISNUMBER(D61)),NOT(ISNUMBER(D142))),"",D61-D142)</f>
        <v/>
      </c>
      <c r="E223" s="48" t="str">
        <f aca="false">IF(OR(NOT(ISNUMBER(E61)),NOT(ISNUMBER(E142))),"",E61-E142)</f>
        <v/>
      </c>
      <c r="F223" s="48" t="str">
        <f aca="false">IF(OR(NOT(ISNUMBER(F61)),NOT(ISNUMBER(F142))),"",F61-F142)</f>
        <v/>
      </c>
      <c r="G223" s="48" t="str">
        <f aca="false">IF(OR(NOT(ISNUMBER(G61)),NOT(ISNUMBER(G142))),"",G61-G142)</f>
        <v/>
      </c>
      <c r="H223" s="48" t="str">
        <f aca="false">IF(OR(NOT(ISNUMBER(H61)),NOT(ISNUMBER(H142))),"",H61-H142)</f>
        <v/>
      </c>
      <c r="I223" s="48" t="str">
        <f aca="false">IF(OR(NOT(ISNUMBER(I61)),NOT(ISNUMBER(I142))),"",I61-I142)</f>
        <v/>
      </c>
      <c r="J223" s="48" t="str">
        <f aca="false">IF(OR(NOT(ISNUMBER(J61)),NOT(ISNUMBER(J142))),"",J61-J142)</f>
        <v/>
      </c>
      <c r="K223" s="48" t="str">
        <f aca="false">IF(OR(NOT(ISNUMBER(K61)),NOT(ISNUMBER(K142))),"",K61-K142)</f>
        <v/>
      </c>
      <c r="L223" s="48" t="str">
        <f aca="false">IF(OR(NOT(ISNUMBER(L61)),NOT(ISNUMBER(L142))),"",L61-L142)</f>
        <v/>
      </c>
      <c r="M223" s="48" t="str">
        <f aca="false">IF(OR(NOT(ISNUMBER(M61)),NOT(ISNUMBER(M142))),"",M61-M142)</f>
        <v/>
      </c>
      <c r="N223" s="48" t="str">
        <f aca="false">IF(OR(NOT(ISNUMBER(N61)),NOT(ISNUMBER(N142))),"",N61-N142)</f>
        <v/>
      </c>
      <c r="O223" s="54" t="str">
        <f aca="false">IF(OR(NOT(ISNUMBER(O61)),NOT(ISNUMBER(O142))),"",O61-O142)</f>
        <v/>
      </c>
      <c r="P223" s="11" t="str">
        <f aca="false">IF(COUNT(D223:N223)=0,"",IF(AND(MAX(D223:N223)&lt;2,MIN(D223:N223)&gt;-2),"Sin diferencia","Diferencia a explicar"))</f>
        <v/>
      </c>
    </row>
    <row r="224" customFormat="false" ht="15" hidden="true" customHeight="false" outlineLevel="1" collapsed="false">
      <c r="A224" s="11" t="s">
        <v>2056</v>
      </c>
      <c r="B224" s="15" t="s">
        <v>2004</v>
      </c>
      <c r="C224" s="11" t="s">
        <v>544</v>
      </c>
      <c r="D224" s="48" t="str">
        <f aca="false">IF(OR(NOT(ISNUMBER(D62)),NOT(ISNUMBER(D143))),"",D62-D143)</f>
        <v/>
      </c>
      <c r="E224" s="48" t="str">
        <f aca="false">IF(OR(NOT(ISNUMBER(E62)),NOT(ISNUMBER(E143))),"",E62-E143)</f>
        <v/>
      </c>
      <c r="F224" s="48" t="str">
        <f aca="false">IF(OR(NOT(ISNUMBER(F62)),NOT(ISNUMBER(F143))),"",F62-F143)</f>
        <v/>
      </c>
      <c r="G224" s="48" t="str">
        <f aca="false">IF(OR(NOT(ISNUMBER(G62)),NOT(ISNUMBER(G143))),"",G62-G143)</f>
        <v/>
      </c>
      <c r="H224" s="48" t="str">
        <f aca="false">IF(OR(NOT(ISNUMBER(H62)),NOT(ISNUMBER(H143))),"",H62-H143)</f>
        <v/>
      </c>
      <c r="I224" s="48" t="str">
        <f aca="false">IF(OR(NOT(ISNUMBER(I62)),NOT(ISNUMBER(I143))),"",I62-I143)</f>
        <v/>
      </c>
      <c r="J224" s="48" t="str">
        <f aca="false">IF(OR(NOT(ISNUMBER(J62)),NOT(ISNUMBER(J143))),"",J62-J143)</f>
        <v/>
      </c>
      <c r="K224" s="48" t="str">
        <f aca="false">IF(OR(NOT(ISNUMBER(K62)),NOT(ISNUMBER(K143))),"",K62-K143)</f>
        <v/>
      </c>
      <c r="L224" s="48" t="str">
        <f aca="false">IF(OR(NOT(ISNUMBER(L62)),NOT(ISNUMBER(L143))),"",L62-L143)</f>
        <v/>
      </c>
      <c r="M224" s="48" t="str">
        <f aca="false">IF(OR(NOT(ISNUMBER(M62)),NOT(ISNUMBER(M143))),"",M62-M143)</f>
        <v/>
      </c>
      <c r="N224" s="48" t="str">
        <f aca="false">IF(OR(NOT(ISNUMBER(N62)),NOT(ISNUMBER(N143))),"",N62-N143)</f>
        <v/>
      </c>
      <c r="O224" s="54" t="str">
        <f aca="false">IF(OR(NOT(ISNUMBER(O62)),NOT(ISNUMBER(O143))),"",O62-O143)</f>
        <v/>
      </c>
      <c r="P224" s="11" t="str">
        <f aca="false">IF(COUNT(D224:N224)=0,"",IF(AND(MAX(D224:N224)&lt;2,MIN(D224:N224)&gt;-2),"Sin diferencia","Diferencia a explicar"))</f>
        <v/>
      </c>
    </row>
    <row r="225" customFormat="false" ht="15" hidden="true" customHeight="false" outlineLevel="1" collapsed="false">
      <c r="A225" s="11" t="s">
        <v>2057</v>
      </c>
      <c r="B225" s="15" t="s">
        <v>2006</v>
      </c>
      <c r="C225" s="11" t="s">
        <v>748</v>
      </c>
      <c r="D225" s="50" t="str">
        <f aca="false">IF(OR(NOT(ISNUMBER(D63)),NOT(ISNUMBER(D144))),"",D63-D144)</f>
        <v/>
      </c>
      <c r="E225" s="50" t="str">
        <f aca="false">IF(OR(NOT(ISNUMBER(E63)),NOT(ISNUMBER(E144))),"",E63-E144)</f>
        <v/>
      </c>
      <c r="F225" s="50" t="str">
        <f aca="false">IF(OR(NOT(ISNUMBER(F63)),NOT(ISNUMBER(F144))),"",F63-F144)</f>
        <v/>
      </c>
      <c r="G225" s="50" t="str">
        <f aca="false">IF(OR(NOT(ISNUMBER(G63)),NOT(ISNUMBER(G144))),"",G63-G144)</f>
        <v/>
      </c>
      <c r="H225" s="50" t="str">
        <f aca="false">IF(OR(NOT(ISNUMBER(H63)),NOT(ISNUMBER(H144))),"",H63-H144)</f>
        <v/>
      </c>
      <c r="I225" s="50" t="str">
        <f aca="false">IF(OR(NOT(ISNUMBER(I63)),NOT(ISNUMBER(I144))),"",I63-I144)</f>
        <v/>
      </c>
      <c r="J225" s="50" t="str">
        <f aca="false">IF(OR(NOT(ISNUMBER(J63)),NOT(ISNUMBER(J144))),"",J63-J144)</f>
        <v/>
      </c>
      <c r="K225" s="50" t="str">
        <f aca="false">IF(OR(NOT(ISNUMBER(K63)),NOT(ISNUMBER(K144))),"",K63-K144)</f>
        <v/>
      </c>
      <c r="L225" s="50" t="str">
        <f aca="false">IF(OR(NOT(ISNUMBER(L63)),NOT(ISNUMBER(L144))),"",L63-L144)</f>
        <v/>
      </c>
      <c r="M225" s="50" t="str">
        <f aca="false">IF(OR(NOT(ISNUMBER(M63)),NOT(ISNUMBER(M144))),"",M63-M144)</f>
        <v/>
      </c>
      <c r="N225" s="50" t="str">
        <f aca="false">IF(OR(NOT(ISNUMBER(N63)),NOT(ISNUMBER(N144))),"",N63-N144)</f>
        <v/>
      </c>
      <c r="O225" s="68" t="str">
        <f aca="false">IF(OR(NOT(ISNUMBER(O63)),NOT(ISNUMBER(O144))),"",O63-O144)</f>
        <v/>
      </c>
      <c r="P225" s="11" t="str">
        <f aca="false">IF(COUNT(D225:N225)=0,"",IF(AND(MAX(D225:N225)&lt;0.005,MIN(D225:N225)&gt;-0.005),"Sin diferencia","Diferencia a explicar"))</f>
        <v/>
      </c>
    </row>
    <row r="226" customFormat="false" ht="15" hidden="true" customHeight="false" outlineLevel="1" collapsed="false">
      <c r="A226" s="11" t="s">
        <v>2058</v>
      </c>
      <c r="B226" s="53" t="str">
        <f aca="false">IF(INDEX(Prod_Nombre,19)="","Producto 19",INDEX(Prod_Nombre,19))&amp;" — venta"</f>
        <v>Producto 19 — venta</v>
      </c>
      <c r="C226" s="11" t="s">
        <v>508</v>
      </c>
      <c r="D226" s="48" t="str">
        <f aca="false">IF(OR(NOT(ISNUMBER(D64)),NOT(ISNUMBER(D145))),"",D64-D145)</f>
        <v/>
      </c>
      <c r="E226" s="48" t="str">
        <f aca="false">IF(OR(NOT(ISNUMBER(E64)),NOT(ISNUMBER(E145))),"",E64-E145)</f>
        <v/>
      </c>
      <c r="F226" s="48" t="str">
        <f aca="false">IF(OR(NOT(ISNUMBER(F64)),NOT(ISNUMBER(F145))),"",F64-F145)</f>
        <v/>
      </c>
      <c r="G226" s="48" t="str">
        <f aca="false">IF(OR(NOT(ISNUMBER(G64)),NOT(ISNUMBER(G145))),"",G64-G145)</f>
        <v/>
      </c>
      <c r="H226" s="48" t="str">
        <f aca="false">IF(OR(NOT(ISNUMBER(H64)),NOT(ISNUMBER(H145))),"",H64-H145)</f>
        <v/>
      </c>
      <c r="I226" s="48" t="str">
        <f aca="false">IF(OR(NOT(ISNUMBER(I64)),NOT(ISNUMBER(I145))),"",I64-I145)</f>
        <v/>
      </c>
      <c r="J226" s="48" t="str">
        <f aca="false">IF(OR(NOT(ISNUMBER(J64)),NOT(ISNUMBER(J145))),"",J64-J145)</f>
        <v/>
      </c>
      <c r="K226" s="48" t="str">
        <f aca="false">IF(OR(NOT(ISNUMBER(K64)),NOT(ISNUMBER(K145))),"",K64-K145)</f>
        <v/>
      </c>
      <c r="L226" s="48" t="str">
        <f aca="false">IF(OR(NOT(ISNUMBER(L64)),NOT(ISNUMBER(L145))),"",L64-L145)</f>
        <v/>
      </c>
      <c r="M226" s="48" t="str">
        <f aca="false">IF(OR(NOT(ISNUMBER(M64)),NOT(ISNUMBER(M145))),"",M64-M145)</f>
        <v/>
      </c>
      <c r="N226" s="48" t="str">
        <f aca="false">IF(OR(NOT(ISNUMBER(N64)),NOT(ISNUMBER(N145))),"",N64-N145)</f>
        <v/>
      </c>
      <c r="O226" s="54" t="str">
        <f aca="false">IF(OR(NOT(ISNUMBER(O64)),NOT(ISNUMBER(O145))),"",O64-O145)</f>
        <v/>
      </c>
      <c r="P226" s="11" t="str">
        <f aca="false">IF(COUNT(D226:N226)=0,"",IF(AND(MAX(D226:N226)&lt;2,MIN(D226:N226)&gt;-2),"Sin diferencia","Diferencia a explicar"))</f>
        <v/>
      </c>
    </row>
    <row r="227" customFormat="false" ht="15" hidden="true" customHeight="false" outlineLevel="1" collapsed="false">
      <c r="A227" s="11" t="s">
        <v>2059</v>
      </c>
      <c r="B227" s="15" t="s">
        <v>2004</v>
      </c>
      <c r="C227" s="11" t="s">
        <v>544</v>
      </c>
      <c r="D227" s="48" t="str">
        <f aca="false">IF(OR(NOT(ISNUMBER(D65)),NOT(ISNUMBER(D146))),"",D65-D146)</f>
        <v/>
      </c>
      <c r="E227" s="48" t="str">
        <f aca="false">IF(OR(NOT(ISNUMBER(E65)),NOT(ISNUMBER(E146))),"",E65-E146)</f>
        <v/>
      </c>
      <c r="F227" s="48" t="str">
        <f aca="false">IF(OR(NOT(ISNUMBER(F65)),NOT(ISNUMBER(F146))),"",F65-F146)</f>
        <v/>
      </c>
      <c r="G227" s="48" t="str">
        <f aca="false">IF(OR(NOT(ISNUMBER(G65)),NOT(ISNUMBER(G146))),"",G65-G146)</f>
        <v/>
      </c>
      <c r="H227" s="48" t="str">
        <f aca="false">IF(OR(NOT(ISNUMBER(H65)),NOT(ISNUMBER(H146))),"",H65-H146)</f>
        <v/>
      </c>
      <c r="I227" s="48" t="str">
        <f aca="false">IF(OR(NOT(ISNUMBER(I65)),NOT(ISNUMBER(I146))),"",I65-I146)</f>
        <v/>
      </c>
      <c r="J227" s="48" t="str">
        <f aca="false">IF(OR(NOT(ISNUMBER(J65)),NOT(ISNUMBER(J146))),"",J65-J146)</f>
        <v/>
      </c>
      <c r="K227" s="48" t="str">
        <f aca="false">IF(OR(NOT(ISNUMBER(K65)),NOT(ISNUMBER(K146))),"",K65-K146)</f>
        <v/>
      </c>
      <c r="L227" s="48" t="str">
        <f aca="false">IF(OR(NOT(ISNUMBER(L65)),NOT(ISNUMBER(L146))),"",L65-L146)</f>
        <v/>
      </c>
      <c r="M227" s="48" t="str">
        <f aca="false">IF(OR(NOT(ISNUMBER(M65)),NOT(ISNUMBER(M146))),"",M65-M146)</f>
        <v/>
      </c>
      <c r="N227" s="48" t="str">
        <f aca="false">IF(OR(NOT(ISNUMBER(N65)),NOT(ISNUMBER(N146))),"",N65-N146)</f>
        <v/>
      </c>
      <c r="O227" s="54" t="str">
        <f aca="false">IF(OR(NOT(ISNUMBER(O65)),NOT(ISNUMBER(O146))),"",O65-O146)</f>
        <v/>
      </c>
      <c r="P227" s="11" t="str">
        <f aca="false">IF(COUNT(D227:N227)=0,"",IF(AND(MAX(D227:N227)&lt;2,MIN(D227:N227)&gt;-2),"Sin diferencia","Diferencia a explicar"))</f>
        <v/>
      </c>
    </row>
    <row r="228" customFormat="false" ht="15" hidden="true" customHeight="false" outlineLevel="1" collapsed="false">
      <c r="A228" s="11" t="s">
        <v>2060</v>
      </c>
      <c r="B228" s="15" t="s">
        <v>2006</v>
      </c>
      <c r="C228" s="11" t="s">
        <v>748</v>
      </c>
      <c r="D228" s="50" t="str">
        <f aca="false">IF(OR(NOT(ISNUMBER(D66)),NOT(ISNUMBER(D147))),"",D66-D147)</f>
        <v/>
      </c>
      <c r="E228" s="50" t="str">
        <f aca="false">IF(OR(NOT(ISNUMBER(E66)),NOT(ISNUMBER(E147))),"",E66-E147)</f>
        <v/>
      </c>
      <c r="F228" s="50" t="str">
        <f aca="false">IF(OR(NOT(ISNUMBER(F66)),NOT(ISNUMBER(F147))),"",F66-F147)</f>
        <v/>
      </c>
      <c r="G228" s="50" t="str">
        <f aca="false">IF(OR(NOT(ISNUMBER(G66)),NOT(ISNUMBER(G147))),"",G66-G147)</f>
        <v/>
      </c>
      <c r="H228" s="50" t="str">
        <f aca="false">IF(OR(NOT(ISNUMBER(H66)),NOT(ISNUMBER(H147))),"",H66-H147)</f>
        <v/>
      </c>
      <c r="I228" s="50" t="str">
        <f aca="false">IF(OR(NOT(ISNUMBER(I66)),NOT(ISNUMBER(I147))),"",I66-I147)</f>
        <v/>
      </c>
      <c r="J228" s="50" t="str">
        <f aca="false">IF(OR(NOT(ISNUMBER(J66)),NOT(ISNUMBER(J147))),"",J66-J147)</f>
        <v/>
      </c>
      <c r="K228" s="50" t="str">
        <f aca="false">IF(OR(NOT(ISNUMBER(K66)),NOT(ISNUMBER(K147))),"",K66-K147)</f>
        <v/>
      </c>
      <c r="L228" s="50" t="str">
        <f aca="false">IF(OR(NOT(ISNUMBER(L66)),NOT(ISNUMBER(L147))),"",L66-L147)</f>
        <v/>
      </c>
      <c r="M228" s="50" t="str">
        <f aca="false">IF(OR(NOT(ISNUMBER(M66)),NOT(ISNUMBER(M147))),"",M66-M147)</f>
        <v/>
      </c>
      <c r="N228" s="50" t="str">
        <f aca="false">IF(OR(NOT(ISNUMBER(N66)),NOT(ISNUMBER(N147))),"",N66-N147)</f>
        <v/>
      </c>
      <c r="O228" s="68" t="str">
        <f aca="false">IF(OR(NOT(ISNUMBER(O66)),NOT(ISNUMBER(O147))),"",O66-O147)</f>
        <v/>
      </c>
      <c r="P228" s="11" t="str">
        <f aca="false">IF(COUNT(D228:N228)=0,"",IF(AND(MAX(D228:N228)&lt;0.005,MIN(D228:N228)&gt;-0.005),"Sin diferencia","Diferencia a explicar"))</f>
        <v/>
      </c>
    </row>
    <row r="229" customFormat="false" ht="15" hidden="true" customHeight="false" outlineLevel="1" collapsed="false">
      <c r="A229" s="11" t="s">
        <v>2061</v>
      </c>
      <c r="B229" s="53" t="str">
        <f aca="false">IF(INDEX(Prod_Nombre,20)="","Producto 20",INDEX(Prod_Nombre,20))&amp;" — venta"</f>
        <v>Producto 20 — venta</v>
      </c>
      <c r="C229" s="11" t="s">
        <v>508</v>
      </c>
      <c r="D229" s="48" t="str">
        <f aca="false">IF(OR(NOT(ISNUMBER(D67)),NOT(ISNUMBER(D148))),"",D67-D148)</f>
        <v/>
      </c>
      <c r="E229" s="48" t="str">
        <f aca="false">IF(OR(NOT(ISNUMBER(E67)),NOT(ISNUMBER(E148))),"",E67-E148)</f>
        <v/>
      </c>
      <c r="F229" s="48" t="str">
        <f aca="false">IF(OR(NOT(ISNUMBER(F67)),NOT(ISNUMBER(F148))),"",F67-F148)</f>
        <v/>
      </c>
      <c r="G229" s="48" t="str">
        <f aca="false">IF(OR(NOT(ISNUMBER(G67)),NOT(ISNUMBER(G148))),"",G67-G148)</f>
        <v/>
      </c>
      <c r="H229" s="48" t="str">
        <f aca="false">IF(OR(NOT(ISNUMBER(H67)),NOT(ISNUMBER(H148))),"",H67-H148)</f>
        <v/>
      </c>
      <c r="I229" s="48" t="str">
        <f aca="false">IF(OR(NOT(ISNUMBER(I67)),NOT(ISNUMBER(I148))),"",I67-I148)</f>
        <v/>
      </c>
      <c r="J229" s="48" t="str">
        <f aca="false">IF(OR(NOT(ISNUMBER(J67)),NOT(ISNUMBER(J148))),"",J67-J148)</f>
        <v/>
      </c>
      <c r="K229" s="48" t="str">
        <f aca="false">IF(OR(NOT(ISNUMBER(K67)),NOT(ISNUMBER(K148))),"",K67-K148)</f>
        <v/>
      </c>
      <c r="L229" s="48" t="str">
        <f aca="false">IF(OR(NOT(ISNUMBER(L67)),NOT(ISNUMBER(L148))),"",L67-L148)</f>
        <v/>
      </c>
      <c r="M229" s="48" t="str">
        <f aca="false">IF(OR(NOT(ISNUMBER(M67)),NOT(ISNUMBER(M148))),"",M67-M148)</f>
        <v/>
      </c>
      <c r="N229" s="48" t="str">
        <f aca="false">IF(OR(NOT(ISNUMBER(N67)),NOT(ISNUMBER(N148))),"",N67-N148)</f>
        <v/>
      </c>
      <c r="O229" s="54" t="str">
        <f aca="false">IF(OR(NOT(ISNUMBER(O67)),NOT(ISNUMBER(O148))),"",O67-O148)</f>
        <v/>
      </c>
      <c r="P229" s="11" t="str">
        <f aca="false">IF(COUNT(D229:N229)=0,"",IF(AND(MAX(D229:N229)&lt;2,MIN(D229:N229)&gt;-2),"Sin diferencia","Diferencia a explicar"))</f>
        <v/>
      </c>
    </row>
    <row r="230" customFormat="false" ht="15" hidden="true" customHeight="false" outlineLevel="1" collapsed="false">
      <c r="A230" s="11" t="s">
        <v>2062</v>
      </c>
      <c r="B230" s="15" t="s">
        <v>2004</v>
      </c>
      <c r="C230" s="11" t="s">
        <v>544</v>
      </c>
      <c r="D230" s="48" t="str">
        <f aca="false">IF(OR(NOT(ISNUMBER(D68)),NOT(ISNUMBER(D149))),"",D68-D149)</f>
        <v/>
      </c>
      <c r="E230" s="48" t="str">
        <f aca="false">IF(OR(NOT(ISNUMBER(E68)),NOT(ISNUMBER(E149))),"",E68-E149)</f>
        <v/>
      </c>
      <c r="F230" s="48" t="str">
        <f aca="false">IF(OR(NOT(ISNUMBER(F68)),NOT(ISNUMBER(F149))),"",F68-F149)</f>
        <v/>
      </c>
      <c r="G230" s="48" t="str">
        <f aca="false">IF(OR(NOT(ISNUMBER(G68)),NOT(ISNUMBER(G149))),"",G68-G149)</f>
        <v/>
      </c>
      <c r="H230" s="48" t="str">
        <f aca="false">IF(OR(NOT(ISNUMBER(H68)),NOT(ISNUMBER(H149))),"",H68-H149)</f>
        <v/>
      </c>
      <c r="I230" s="48" t="str">
        <f aca="false">IF(OR(NOT(ISNUMBER(I68)),NOT(ISNUMBER(I149))),"",I68-I149)</f>
        <v/>
      </c>
      <c r="J230" s="48" t="str">
        <f aca="false">IF(OR(NOT(ISNUMBER(J68)),NOT(ISNUMBER(J149))),"",J68-J149)</f>
        <v/>
      </c>
      <c r="K230" s="48" t="str">
        <f aca="false">IF(OR(NOT(ISNUMBER(K68)),NOT(ISNUMBER(K149))),"",K68-K149)</f>
        <v/>
      </c>
      <c r="L230" s="48" t="str">
        <f aca="false">IF(OR(NOT(ISNUMBER(L68)),NOT(ISNUMBER(L149))),"",L68-L149)</f>
        <v/>
      </c>
      <c r="M230" s="48" t="str">
        <f aca="false">IF(OR(NOT(ISNUMBER(M68)),NOT(ISNUMBER(M149))),"",M68-M149)</f>
        <v/>
      </c>
      <c r="N230" s="48" t="str">
        <f aca="false">IF(OR(NOT(ISNUMBER(N68)),NOT(ISNUMBER(N149))),"",N68-N149)</f>
        <v/>
      </c>
      <c r="O230" s="54" t="str">
        <f aca="false">IF(OR(NOT(ISNUMBER(O68)),NOT(ISNUMBER(O149))),"",O68-O149)</f>
        <v/>
      </c>
      <c r="P230" s="11" t="str">
        <f aca="false">IF(COUNT(D230:N230)=0,"",IF(AND(MAX(D230:N230)&lt;2,MIN(D230:N230)&gt;-2),"Sin diferencia","Diferencia a explicar"))</f>
        <v/>
      </c>
    </row>
    <row r="231" customFormat="false" ht="15" hidden="true" customHeight="false" outlineLevel="1" collapsed="false">
      <c r="A231" s="11" t="s">
        <v>2063</v>
      </c>
      <c r="B231" s="15" t="s">
        <v>2006</v>
      </c>
      <c r="C231" s="11" t="s">
        <v>748</v>
      </c>
      <c r="D231" s="50" t="str">
        <f aca="false">IF(OR(NOT(ISNUMBER(D69)),NOT(ISNUMBER(D150))),"",D69-D150)</f>
        <v/>
      </c>
      <c r="E231" s="50" t="str">
        <f aca="false">IF(OR(NOT(ISNUMBER(E69)),NOT(ISNUMBER(E150))),"",E69-E150)</f>
        <v/>
      </c>
      <c r="F231" s="50" t="str">
        <f aca="false">IF(OR(NOT(ISNUMBER(F69)),NOT(ISNUMBER(F150))),"",F69-F150)</f>
        <v/>
      </c>
      <c r="G231" s="50" t="str">
        <f aca="false">IF(OR(NOT(ISNUMBER(G69)),NOT(ISNUMBER(G150))),"",G69-G150)</f>
        <v/>
      </c>
      <c r="H231" s="50" t="str">
        <f aca="false">IF(OR(NOT(ISNUMBER(H69)),NOT(ISNUMBER(H150))),"",H69-H150)</f>
        <v/>
      </c>
      <c r="I231" s="50" t="str">
        <f aca="false">IF(OR(NOT(ISNUMBER(I69)),NOT(ISNUMBER(I150))),"",I69-I150)</f>
        <v/>
      </c>
      <c r="J231" s="50" t="str">
        <f aca="false">IF(OR(NOT(ISNUMBER(J69)),NOT(ISNUMBER(J150))),"",J69-J150)</f>
        <v/>
      </c>
      <c r="K231" s="50" t="str">
        <f aca="false">IF(OR(NOT(ISNUMBER(K69)),NOT(ISNUMBER(K150))),"",K69-K150)</f>
        <v/>
      </c>
      <c r="L231" s="50" t="str">
        <f aca="false">IF(OR(NOT(ISNUMBER(L69)),NOT(ISNUMBER(L150))),"",L69-L150)</f>
        <v/>
      </c>
      <c r="M231" s="50" t="str">
        <f aca="false">IF(OR(NOT(ISNUMBER(M69)),NOT(ISNUMBER(M150))),"",M69-M150)</f>
        <v/>
      </c>
      <c r="N231" s="50" t="str">
        <f aca="false">IF(OR(NOT(ISNUMBER(N69)),NOT(ISNUMBER(N150))),"",N69-N150)</f>
        <v/>
      </c>
      <c r="O231" s="68" t="str">
        <f aca="false">IF(OR(NOT(ISNUMBER(O69)),NOT(ISNUMBER(O150))),"",O69-O150)</f>
        <v/>
      </c>
      <c r="P231" s="11" t="str">
        <f aca="false">IF(COUNT(D231:N231)=0,"",IF(AND(MAX(D231:N231)&lt;0.005,MIN(D231:N231)&gt;-0.005),"Sin diferencia","Diferencia a explicar"))</f>
        <v/>
      </c>
    </row>
    <row r="232" customFormat="false" ht="15" hidden="true" customHeight="false" outlineLevel="1" collapsed="false">
      <c r="A232" s="11" t="s">
        <v>2064</v>
      </c>
      <c r="B232" s="53" t="str">
        <f aca="false">IF(INDEX(Prod_Nombre,21)="","Producto 21",INDEX(Prod_Nombre,21))&amp;" — venta"</f>
        <v>Producto 21 — venta</v>
      </c>
      <c r="C232" s="11" t="s">
        <v>508</v>
      </c>
      <c r="D232" s="48" t="str">
        <f aca="false">IF(OR(NOT(ISNUMBER(D70)),NOT(ISNUMBER(D151))),"",D70-D151)</f>
        <v/>
      </c>
      <c r="E232" s="48" t="str">
        <f aca="false">IF(OR(NOT(ISNUMBER(E70)),NOT(ISNUMBER(E151))),"",E70-E151)</f>
        <v/>
      </c>
      <c r="F232" s="48" t="str">
        <f aca="false">IF(OR(NOT(ISNUMBER(F70)),NOT(ISNUMBER(F151))),"",F70-F151)</f>
        <v/>
      </c>
      <c r="G232" s="48" t="str">
        <f aca="false">IF(OR(NOT(ISNUMBER(G70)),NOT(ISNUMBER(G151))),"",G70-G151)</f>
        <v/>
      </c>
      <c r="H232" s="48" t="str">
        <f aca="false">IF(OR(NOT(ISNUMBER(H70)),NOT(ISNUMBER(H151))),"",H70-H151)</f>
        <v/>
      </c>
      <c r="I232" s="48" t="str">
        <f aca="false">IF(OR(NOT(ISNUMBER(I70)),NOT(ISNUMBER(I151))),"",I70-I151)</f>
        <v/>
      </c>
      <c r="J232" s="48" t="str">
        <f aca="false">IF(OR(NOT(ISNUMBER(J70)),NOT(ISNUMBER(J151))),"",J70-J151)</f>
        <v/>
      </c>
      <c r="K232" s="48" t="str">
        <f aca="false">IF(OR(NOT(ISNUMBER(K70)),NOT(ISNUMBER(K151))),"",K70-K151)</f>
        <v/>
      </c>
      <c r="L232" s="48" t="str">
        <f aca="false">IF(OR(NOT(ISNUMBER(L70)),NOT(ISNUMBER(L151))),"",L70-L151)</f>
        <v/>
      </c>
      <c r="M232" s="48" t="str">
        <f aca="false">IF(OR(NOT(ISNUMBER(M70)),NOT(ISNUMBER(M151))),"",M70-M151)</f>
        <v/>
      </c>
      <c r="N232" s="48" t="str">
        <f aca="false">IF(OR(NOT(ISNUMBER(N70)),NOT(ISNUMBER(N151))),"",N70-N151)</f>
        <v/>
      </c>
      <c r="O232" s="54" t="str">
        <f aca="false">IF(OR(NOT(ISNUMBER(O70)),NOT(ISNUMBER(O151))),"",O70-O151)</f>
        <v/>
      </c>
      <c r="P232" s="11" t="str">
        <f aca="false">IF(COUNT(D232:N232)=0,"",IF(AND(MAX(D232:N232)&lt;2,MIN(D232:N232)&gt;-2),"Sin diferencia","Diferencia a explicar"))</f>
        <v/>
      </c>
    </row>
    <row r="233" customFormat="false" ht="15" hidden="true" customHeight="false" outlineLevel="1" collapsed="false">
      <c r="A233" s="11" t="s">
        <v>2065</v>
      </c>
      <c r="B233" s="15" t="s">
        <v>2004</v>
      </c>
      <c r="C233" s="11" t="s">
        <v>544</v>
      </c>
      <c r="D233" s="48" t="str">
        <f aca="false">IF(OR(NOT(ISNUMBER(D71)),NOT(ISNUMBER(D152))),"",D71-D152)</f>
        <v/>
      </c>
      <c r="E233" s="48" t="str">
        <f aca="false">IF(OR(NOT(ISNUMBER(E71)),NOT(ISNUMBER(E152))),"",E71-E152)</f>
        <v/>
      </c>
      <c r="F233" s="48" t="str">
        <f aca="false">IF(OR(NOT(ISNUMBER(F71)),NOT(ISNUMBER(F152))),"",F71-F152)</f>
        <v/>
      </c>
      <c r="G233" s="48" t="str">
        <f aca="false">IF(OR(NOT(ISNUMBER(G71)),NOT(ISNUMBER(G152))),"",G71-G152)</f>
        <v/>
      </c>
      <c r="H233" s="48" t="str">
        <f aca="false">IF(OR(NOT(ISNUMBER(H71)),NOT(ISNUMBER(H152))),"",H71-H152)</f>
        <v/>
      </c>
      <c r="I233" s="48" t="str">
        <f aca="false">IF(OR(NOT(ISNUMBER(I71)),NOT(ISNUMBER(I152))),"",I71-I152)</f>
        <v/>
      </c>
      <c r="J233" s="48" t="str">
        <f aca="false">IF(OR(NOT(ISNUMBER(J71)),NOT(ISNUMBER(J152))),"",J71-J152)</f>
        <v/>
      </c>
      <c r="K233" s="48" t="str">
        <f aca="false">IF(OR(NOT(ISNUMBER(K71)),NOT(ISNUMBER(K152))),"",K71-K152)</f>
        <v/>
      </c>
      <c r="L233" s="48" t="str">
        <f aca="false">IF(OR(NOT(ISNUMBER(L71)),NOT(ISNUMBER(L152))),"",L71-L152)</f>
        <v/>
      </c>
      <c r="M233" s="48" t="str">
        <f aca="false">IF(OR(NOT(ISNUMBER(M71)),NOT(ISNUMBER(M152))),"",M71-M152)</f>
        <v/>
      </c>
      <c r="N233" s="48" t="str">
        <f aca="false">IF(OR(NOT(ISNUMBER(N71)),NOT(ISNUMBER(N152))),"",N71-N152)</f>
        <v/>
      </c>
      <c r="O233" s="54" t="str">
        <f aca="false">IF(OR(NOT(ISNUMBER(O71)),NOT(ISNUMBER(O152))),"",O71-O152)</f>
        <v/>
      </c>
      <c r="P233" s="11" t="str">
        <f aca="false">IF(COUNT(D233:N233)=0,"",IF(AND(MAX(D233:N233)&lt;2,MIN(D233:N233)&gt;-2),"Sin diferencia","Diferencia a explicar"))</f>
        <v/>
      </c>
    </row>
    <row r="234" customFormat="false" ht="15" hidden="true" customHeight="false" outlineLevel="1" collapsed="false">
      <c r="A234" s="11" t="s">
        <v>2066</v>
      </c>
      <c r="B234" s="15" t="s">
        <v>2006</v>
      </c>
      <c r="C234" s="11" t="s">
        <v>748</v>
      </c>
      <c r="D234" s="50" t="str">
        <f aca="false">IF(OR(NOT(ISNUMBER(D72)),NOT(ISNUMBER(D153))),"",D72-D153)</f>
        <v/>
      </c>
      <c r="E234" s="50" t="str">
        <f aca="false">IF(OR(NOT(ISNUMBER(E72)),NOT(ISNUMBER(E153))),"",E72-E153)</f>
        <v/>
      </c>
      <c r="F234" s="50" t="str">
        <f aca="false">IF(OR(NOT(ISNUMBER(F72)),NOT(ISNUMBER(F153))),"",F72-F153)</f>
        <v/>
      </c>
      <c r="G234" s="50" t="str">
        <f aca="false">IF(OR(NOT(ISNUMBER(G72)),NOT(ISNUMBER(G153))),"",G72-G153)</f>
        <v/>
      </c>
      <c r="H234" s="50" t="str">
        <f aca="false">IF(OR(NOT(ISNUMBER(H72)),NOT(ISNUMBER(H153))),"",H72-H153)</f>
        <v/>
      </c>
      <c r="I234" s="50" t="str">
        <f aca="false">IF(OR(NOT(ISNUMBER(I72)),NOT(ISNUMBER(I153))),"",I72-I153)</f>
        <v/>
      </c>
      <c r="J234" s="50" t="str">
        <f aca="false">IF(OR(NOT(ISNUMBER(J72)),NOT(ISNUMBER(J153))),"",J72-J153)</f>
        <v/>
      </c>
      <c r="K234" s="50" t="str">
        <f aca="false">IF(OR(NOT(ISNUMBER(K72)),NOT(ISNUMBER(K153))),"",K72-K153)</f>
        <v/>
      </c>
      <c r="L234" s="50" t="str">
        <f aca="false">IF(OR(NOT(ISNUMBER(L72)),NOT(ISNUMBER(L153))),"",L72-L153)</f>
        <v/>
      </c>
      <c r="M234" s="50" t="str">
        <f aca="false">IF(OR(NOT(ISNUMBER(M72)),NOT(ISNUMBER(M153))),"",M72-M153)</f>
        <v/>
      </c>
      <c r="N234" s="50" t="str">
        <f aca="false">IF(OR(NOT(ISNUMBER(N72)),NOT(ISNUMBER(N153))),"",N72-N153)</f>
        <v/>
      </c>
      <c r="O234" s="68" t="str">
        <f aca="false">IF(OR(NOT(ISNUMBER(O72)),NOT(ISNUMBER(O153))),"",O72-O153)</f>
        <v/>
      </c>
      <c r="P234" s="11" t="str">
        <f aca="false">IF(COUNT(D234:N234)=0,"",IF(AND(MAX(D234:N234)&lt;0.005,MIN(D234:N234)&gt;-0.005),"Sin diferencia","Diferencia a explicar"))</f>
        <v/>
      </c>
    </row>
    <row r="235" customFormat="false" ht="15" hidden="true" customHeight="false" outlineLevel="1" collapsed="false">
      <c r="A235" s="11" t="s">
        <v>2067</v>
      </c>
      <c r="B235" s="53" t="str">
        <f aca="false">IF(INDEX(Prod_Nombre,22)="","Producto 22",INDEX(Prod_Nombre,22))&amp;" — venta"</f>
        <v>Producto 22 — venta</v>
      </c>
      <c r="C235" s="11" t="s">
        <v>508</v>
      </c>
      <c r="D235" s="48" t="str">
        <f aca="false">IF(OR(NOT(ISNUMBER(D73)),NOT(ISNUMBER(D154))),"",D73-D154)</f>
        <v/>
      </c>
      <c r="E235" s="48" t="str">
        <f aca="false">IF(OR(NOT(ISNUMBER(E73)),NOT(ISNUMBER(E154))),"",E73-E154)</f>
        <v/>
      </c>
      <c r="F235" s="48" t="str">
        <f aca="false">IF(OR(NOT(ISNUMBER(F73)),NOT(ISNUMBER(F154))),"",F73-F154)</f>
        <v/>
      </c>
      <c r="G235" s="48" t="str">
        <f aca="false">IF(OR(NOT(ISNUMBER(G73)),NOT(ISNUMBER(G154))),"",G73-G154)</f>
        <v/>
      </c>
      <c r="H235" s="48" t="str">
        <f aca="false">IF(OR(NOT(ISNUMBER(H73)),NOT(ISNUMBER(H154))),"",H73-H154)</f>
        <v/>
      </c>
      <c r="I235" s="48" t="str">
        <f aca="false">IF(OR(NOT(ISNUMBER(I73)),NOT(ISNUMBER(I154))),"",I73-I154)</f>
        <v/>
      </c>
      <c r="J235" s="48" t="str">
        <f aca="false">IF(OR(NOT(ISNUMBER(J73)),NOT(ISNUMBER(J154))),"",J73-J154)</f>
        <v/>
      </c>
      <c r="K235" s="48" t="str">
        <f aca="false">IF(OR(NOT(ISNUMBER(K73)),NOT(ISNUMBER(K154))),"",K73-K154)</f>
        <v/>
      </c>
      <c r="L235" s="48" t="str">
        <f aca="false">IF(OR(NOT(ISNUMBER(L73)),NOT(ISNUMBER(L154))),"",L73-L154)</f>
        <v/>
      </c>
      <c r="M235" s="48" t="str">
        <f aca="false">IF(OR(NOT(ISNUMBER(M73)),NOT(ISNUMBER(M154))),"",M73-M154)</f>
        <v/>
      </c>
      <c r="N235" s="48" t="str">
        <f aca="false">IF(OR(NOT(ISNUMBER(N73)),NOT(ISNUMBER(N154))),"",N73-N154)</f>
        <v/>
      </c>
      <c r="O235" s="54" t="str">
        <f aca="false">IF(OR(NOT(ISNUMBER(O73)),NOT(ISNUMBER(O154))),"",O73-O154)</f>
        <v/>
      </c>
      <c r="P235" s="11" t="str">
        <f aca="false">IF(COUNT(D235:N235)=0,"",IF(AND(MAX(D235:N235)&lt;2,MIN(D235:N235)&gt;-2),"Sin diferencia","Diferencia a explicar"))</f>
        <v/>
      </c>
    </row>
    <row r="236" customFormat="false" ht="15" hidden="true" customHeight="false" outlineLevel="1" collapsed="false">
      <c r="A236" s="11" t="s">
        <v>2068</v>
      </c>
      <c r="B236" s="15" t="s">
        <v>2004</v>
      </c>
      <c r="C236" s="11" t="s">
        <v>544</v>
      </c>
      <c r="D236" s="48" t="str">
        <f aca="false">IF(OR(NOT(ISNUMBER(D74)),NOT(ISNUMBER(D155))),"",D74-D155)</f>
        <v/>
      </c>
      <c r="E236" s="48" t="str">
        <f aca="false">IF(OR(NOT(ISNUMBER(E74)),NOT(ISNUMBER(E155))),"",E74-E155)</f>
        <v/>
      </c>
      <c r="F236" s="48" t="str">
        <f aca="false">IF(OR(NOT(ISNUMBER(F74)),NOT(ISNUMBER(F155))),"",F74-F155)</f>
        <v/>
      </c>
      <c r="G236" s="48" t="str">
        <f aca="false">IF(OR(NOT(ISNUMBER(G74)),NOT(ISNUMBER(G155))),"",G74-G155)</f>
        <v/>
      </c>
      <c r="H236" s="48" t="str">
        <f aca="false">IF(OR(NOT(ISNUMBER(H74)),NOT(ISNUMBER(H155))),"",H74-H155)</f>
        <v/>
      </c>
      <c r="I236" s="48" t="str">
        <f aca="false">IF(OR(NOT(ISNUMBER(I74)),NOT(ISNUMBER(I155))),"",I74-I155)</f>
        <v/>
      </c>
      <c r="J236" s="48" t="str">
        <f aca="false">IF(OR(NOT(ISNUMBER(J74)),NOT(ISNUMBER(J155))),"",J74-J155)</f>
        <v/>
      </c>
      <c r="K236" s="48" t="str">
        <f aca="false">IF(OR(NOT(ISNUMBER(K74)),NOT(ISNUMBER(K155))),"",K74-K155)</f>
        <v/>
      </c>
      <c r="L236" s="48" t="str">
        <f aca="false">IF(OR(NOT(ISNUMBER(L74)),NOT(ISNUMBER(L155))),"",L74-L155)</f>
        <v/>
      </c>
      <c r="M236" s="48" t="str">
        <f aca="false">IF(OR(NOT(ISNUMBER(M74)),NOT(ISNUMBER(M155))),"",M74-M155)</f>
        <v/>
      </c>
      <c r="N236" s="48" t="str">
        <f aca="false">IF(OR(NOT(ISNUMBER(N74)),NOT(ISNUMBER(N155))),"",N74-N155)</f>
        <v/>
      </c>
      <c r="O236" s="54" t="str">
        <f aca="false">IF(OR(NOT(ISNUMBER(O74)),NOT(ISNUMBER(O155))),"",O74-O155)</f>
        <v/>
      </c>
      <c r="P236" s="11" t="str">
        <f aca="false">IF(COUNT(D236:N236)=0,"",IF(AND(MAX(D236:N236)&lt;2,MIN(D236:N236)&gt;-2),"Sin diferencia","Diferencia a explicar"))</f>
        <v/>
      </c>
    </row>
    <row r="237" customFormat="false" ht="15" hidden="true" customHeight="false" outlineLevel="1" collapsed="false">
      <c r="A237" s="11" t="s">
        <v>2069</v>
      </c>
      <c r="B237" s="15" t="s">
        <v>2006</v>
      </c>
      <c r="C237" s="11" t="s">
        <v>748</v>
      </c>
      <c r="D237" s="50" t="str">
        <f aca="false">IF(OR(NOT(ISNUMBER(D75)),NOT(ISNUMBER(D156))),"",D75-D156)</f>
        <v/>
      </c>
      <c r="E237" s="50" t="str">
        <f aca="false">IF(OR(NOT(ISNUMBER(E75)),NOT(ISNUMBER(E156))),"",E75-E156)</f>
        <v/>
      </c>
      <c r="F237" s="50" t="str">
        <f aca="false">IF(OR(NOT(ISNUMBER(F75)),NOT(ISNUMBER(F156))),"",F75-F156)</f>
        <v/>
      </c>
      <c r="G237" s="50" t="str">
        <f aca="false">IF(OR(NOT(ISNUMBER(G75)),NOT(ISNUMBER(G156))),"",G75-G156)</f>
        <v/>
      </c>
      <c r="H237" s="50" t="str">
        <f aca="false">IF(OR(NOT(ISNUMBER(H75)),NOT(ISNUMBER(H156))),"",H75-H156)</f>
        <v/>
      </c>
      <c r="I237" s="50" t="str">
        <f aca="false">IF(OR(NOT(ISNUMBER(I75)),NOT(ISNUMBER(I156))),"",I75-I156)</f>
        <v/>
      </c>
      <c r="J237" s="50" t="str">
        <f aca="false">IF(OR(NOT(ISNUMBER(J75)),NOT(ISNUMBER(J156))),"",J75-J156)</f>
        <v/>
      </c>
      <c r="K237" s="50" t="str">
        <f aca="false">IF(OR(NOT(ISNUMBER(K75)),NOT(ISNUMBER(K156))),"",K75-K156)</f>
        <v/>
      </c>
      <c r="L237" s="50" t="str">
        <f aca="false">IF(OR(NOT(ISNUMBER(L75)),NOT(ISNUMBER(L156))),"",L75-L156)</f>
        <v/>
      </c>
      <c r="M237" s="50" t="str">
        <f aca="false">IF(OR(NOT(ISNUMBER(M75)),NOT(ISNUMBER(M156))),"",M75-M156)</f>
        <v/>
      </c>
      <c r="N237" s="50" t="str">
        <f aca="false">IF(OR(NOT(ISNUMBER(N75)),NOT(ISNUMBER(N156))),"",N75-N156)</f>
        <v/>
      </c>
      <c r="O237" s="68" t="str">
        <f aca="false">IF(OR(NOT(ISNUMBER(O75)),NOT(ISNUMBER(O156))),"",O75-O156)</f>
        <v/>
      </c>
      <c r="P237" s="11" t="str">
        <f aca="false">IF(COUNT(D237:N237)=0,"",IF(AND(MAX(D237:N237)&lt;0.005,MIN(D237:N237)&gt;-0.005),"Sin diferencia","Diferencia a explicar"))</f>
        <v/>
      </c>
    </row>
    <row r="238" customFormat="false" ht="15" hidden="true" customHeight="false" outlineLevel="1" collapsed="false">
      <c r="A238" s="11" t="s">
        <v>2070</v>
      </c>
      <c r="B238" s="53" t="str">
        <f aca="false">IF(INDEX(Prod_Nombre,23)="","Producto 23",INDEX(Prod_Nombre,23))&amp;" — venta"</f>
        <v>Producto 23 — venta</v>
      </c>
      <c r="C238" s="11" t="s">
        <v>508</v>
      </c>
      <c r="D238" s="48" t="str">
        <f aca="false">IF(OR(NOT(ISNUMBER(D76)),NOT(ISNUMBER(D157))),"",D76-D157)</f>
        <v/>
      </c>
      <c r="E238" s="48" t="str">
        <f aca="false">IF(OR(NOT(ISNUMBER(E76)),NOT(ISNUMBER(E157))),"",E76-E157)</f>
        <v/>
      </c>
      <c r="F238" s="48" t="str">
        <f aca="false">IF(OR(NOT(ISNUMBER(F76)),NOT(ISNUMBER(F157))),"",F76-F157)</f>
        <v/>
      </c>
      <c r="G238" s="48" t="str">
        <f aca="false">IF(OR(NOT(ISNUMBER(G76)),NOT(ISNUMBER(G157))),"",G76-G157)</f>
        <v/>
      </c>
      <c r="H238" s="48" t="str">
        <f aca="false">IF(OR(NOT(ISNUMBER(H76)),NOT(ISNUMBER(H157))),"",H76-H157)</f>
        <v/>
      </c>
      <c r="I238" s="48" t="str">
        <f aca="false">IF(OR(NOT(ISNUMBER(I76)),NOT(ISNUMBER(I157))),"",I76-I157)</f>
        <v/>
      </c>
      <c r="J238" s="48" t="str">
        <f aca="false">IF(OR(NOT(ISNUMBER(J76)),NOT(ISNUMBER(J157))),"",J76-J157)</f>
        <v/>
      </c>
      <c r="K238" s="48" t="str">
        <f aca="false">IF(OR(NOT(ISNUMBER(K76)),NOT(ISNUMBER(K157))),"",K76-K157)</f>
        <v/>
      </c>
      <c r="L238" s="48" t="str">
        <f aca="false">IF(OR(NOT(ISNUMBER(L76)),NOT(ISNUMBER(L157))),"",L76-L157)</f>
        <v/>
      </c>
      <c r="M238" s="48" t="str">
        <f aca="false">IF(OR(NOT(ISNUMBER(M76)),NOT(ISNUMBER(M157))),"",M76-M157)</f>
        <v/>
      </c>
      <c r="N238" s="48" t="str">
        <f aca="false">IF(OR(NOT(ISNUMBER(N76)),NOT(ISNUMBER(N157))),"",N76-N157)</f>
        <v/>
      </c>
      <c r="O238" s="54" t="str">
        <f aca="false">IF(OR(NOT(ISNUMBER(O76)),NOT(ISNUMBER(O157))),"",O76-O157)</f>
        <v/>
      </c>
      <c r="P238" s="11" t="str">
        <f aca="false">IF(COUNT(D238:N238)=0,"",IF(AND(MAX(D238:N238)&lt;2,MIN(D238:N238)&gt;-2),"Sin diferencia","Diferencia a explicar"))</f>
        <v/>
      </c>
    </row>
    <row r="239" customFormat="false" ht="15" hidden="true" customHeight="false" outlineLevel="1" collapsed="false">
      <c r="A239" s="11" t="s">
        <v>2071</v>
      </c>
      <c r="B239" s="15" t="s">
        <v>2004</v>
      </c>
      <c r="C239" s="11" t="s">
        <v>544</v>
      </c>
      <c r="D239" s="48" t="str">
        <f aca="false">IF(OR(NOT(ISNUMBER(D77)),NOT(ISNUMBER(D158))),"",D77-D158)</f>
        <v/>
      </c>
      <c r="E239" s="48" t="str">
        <f aca="false">IF(OR(NOT(ISNUMBER(E77)),NOT(ISNUMBER(E158))),"",E77-E158)</f>
        <v/>
      </c>
      <c r="F239" s="48" t="str">
        <f aca="false">IF(OR(NOT(ISNUMBER(F77)),NOT(ISNUMBER(F158))),"",F77-F158)</f>
        <v/>
      </c>
      <c r="G239" s="48" t="str">
        <f aca="false">IF(OR(NOT(ISNUMBER(G77)),NOT(ISNUMBER(G158))),"",G77-G158)</f>
        <v/>
      </c>
      <c r="H239" s="48" t="str">
        <f aca="false">IF(OR(NOT(ISNUMBER(H77)),NOT(ISNUMBER(H158))),"",H77-H158)</f>
        <v/>
      </c>
      <c r="I239" s="48" t="str">
        <f aca="false">IF(OR(NOT(ISNUMBER(I77)),NOT(ISNUMBER(I158))),"",I77-I158)</f>
        <v/>
      </c>
      <c r="J239" s="48" t="str">
        <f aca="false">IF(OR(NOT(ISNUMBER(J77)),NOT(ISNUMBER(J158))),"",J77-J158)</f>
        <v/>
      </c>
      <c r="K239" s="48" t="str">
        <f aca="false">IF(OR(NOT(ISNUMBER(K77)),NOT(ISNUMBER(K158))),"",K77-K158)</f>
        <v/>
      </c>
      <c r="L239" s="48" t="str">
        <f aca="false">IF(OR(NOT(ISNUMBER(L77)),NOT(ISNUMBER(L158))),"",L77-L158)</f>
        <v/>
      </c>
      <c r="M239" s="48" t="str">
        <f aca="false">IF(OR(NOT(ISNUMBER(M77)),NOT(ISNUMBER(M158))),"",M77-M158)</f>
        <v/>
      </c>
      <c r="N239" s="48" t="str">
        <f aca="false">IF(OR(NOT(ISNUMBER(N77)),NOT(ISNUMBER(N158))),"",N77-N158)</f>
        <v/>
      </c>
      <c r="O239" s="54" t="str">
        <f aca="false">IF(OR(NOT(ISNUMBER(O77)),NOT(ISNUMBER(O158))),"",O77-O158)</f>
        <v/>
      </c>
      <c r="P239" s="11" t="str">
        <f aca="false">IF(COUNT(D239:N239)=0,"",IF(AND(MAX(D239:N239)&lt;2,MIN(D239:N239)&gt;-2),"Sin diferencia","Diferencia a explicar"))</f>
        <v/>
      </c>
    </row>
    <row r="240" customFormat="false" ht="15" hidden="true" customHeight="false" outlineLevel="1" collapsed="false">
      <c r="A240" s="11" t="s">
        <v>2072</v>
      </c>
      <c r="B240" s="15" t="s">
        <v>2006</v>
      </c>
      <c r="C240" s="11" t="s">
        <v>748</v>
      </c>
      <c r="D240" s="50" t="str">
        <f aca="false">IF(OR(NOT(ISNUMBER(D78)),NOT(ISNUMBER(D159))),"",D78-D159)</f>
        <v/>
      </c>
      <c r="E240" s="50" t="str">
        <f aca="false">IF(OR(NOT(ISNUMBER(E78)),NOT(ISNUMBER(E159))),"",E78-E159)</f>
        <v/>
      </c>
      <c r="F240" s="50" t="str">
        <f aca="false">IF(OR(NOT(ISNUMBER(F78)),NOT(ISNUMBER(F159))),"",F78-F159)</f>
        <v/>
      </c>
      <c r="G240" s="50" t="str">
        <f aca="false">IF(OR(NOT(ISNUMBER(G78)),NOT(ISNUMBER(G159))),"",G78-G159)</f>
        <v/>
      </c>
      <c r="H240" s="50" t="str">
        <f aca="false">IF(OR(NOT(ISNUMBER(H78)),NOT(ISNUMBER(H159))),"",H78-H159)</f>
        <v/>
      </c>
      <c r="I240" s="50" t="str">
        <f aca="false">IF(OR(NOT(ISNUMBER(I78)),NOT(ISNUMBER(I159))),"",I78-I159)</f>
        <v/>
      </c>
      <c r="J240" s="50" t="str">
        <f aca="false">IF(OR(NOT(ISNUMBER(J78)),NOT(ISNUMBER(J159))),"",J78-J159)</f>
        <v/>
      </c>
      <c r="K240" s="50" t="str">
        <f aca="false">IF(OR(NOT(ISNUMBER(K78)),NOT(ISNUMBER(K159))),"",K78-K159)</f>
        <v/>
      </c>
      <c r="L240" s="50" t="str">
        <f aca="false">IF(OR(NOT(ISNUMBER(L78)),NOT(ISNUMBER(L159))),"",L78-L159)</f>
        <v/>
      </c>
      <c r="M240" s="50" t="str">
        <f aca="false">IF(OR(NOT(ISNUMBER(M78)),NOT(ISNUMBER(M159))),"",M78-M159)</f>
        <v/>
      </c>
      <c r="N240" s="50" t="str">
        <f aca="false">IF(OR(NOT(ISNUMBER(N78)),NOT(ISNUMBER(N159))),"",N78-N159)</f>
        <v/>
      </c>
      <c r="O240" s="68" t="str">
        <f aca="false">IF(OR(NOT(ISNUMBER(O78)),NOT(ISNUMBER(O159))),"",O78-O159)</f>
        <v/>
      </c>
      <c r="P240" s="11" t="str">
        <f aca="false">IF(COUNT(D240:N240)=0,"",IF(AND(MAX(D240:N240)&lt;0.005,MIN(D240:N240)&gt;-0.005),"Sin diferencia","Diferencia a explicar"))</f>
        <v/>
      </c>
    </row>
    <row r="241" customFormat="false" ht="15" hidden="true" customHeight="false" outlineLevel="1" collapsed="false">
      <c r="A241" s="11" t="s">
        <v>2073</v>
      </c>
      <c r="B241" s="53" t="str">
        <f aca="false">IF(INDEX(Prod_Nombre,24)="","Producto 24",INDEX(Prod_Nombre,24))&amp;" — venta"</f>
        <v>Producto 24 — venta</v>
      </c>
      <c r="C241" s="11" t="s">
        <v>508</v>
      </c>
      <c r="D241" s="48" t="str">
        <f aca="false">IF(OR(NOT(ISNUMBER(D79)),NOT(ISNUMBER(D160))),"",D79-D160)</f>
        <v/>
      </c>
      <c r="E241" s="48" t="str">
        <f aca="false">IF(OR(NOT(ISNUMBER(E79)),NOT(ISNUMBER(E160))),"",E79-E160)</f>
        <v/>
      </c>
      <c r="F241" s="48" t="str">
        <f aca="false">IF(OR(NOT(ISNUMBER(F79)),NOT(ISNUMBER(F160))),"",F79-F160)</f>
        <v/>
      </c>
      <c r="G241" s="48" t="str">
        <f aca="false">IF(OR(NOT(ISNUMBER(G79)),NOT(ISNUMBER(G160))),"",G79-G160)</f>
        <v/>
      </c>
      <c r="H241" s="48" t="str">
        <f aca="false">IF(OR(NOT(ISNUMBER(H79)),NOT(ISNUMBER(H160))),"",H79-H160)</f>
        <v/>
      </c>
      <c r="I241" s="48" t="str">
        <f aca="false">IF(OR(NOT(ISNUMBER(I79)),NOT(ISNUMBER(I160))),"",I79-I160)</f>
        <v/>
      </c>
      <c r="J241" s="48" t="str">
        <f aca="false">IF(OR(NOT(ISNUMBER(J79)),NOT(ISNUMBER(J160))),"",J79-J160)</f>
        <v/>
      </c>
      <c r="K241" s="48" t="str">
        <f aca="false">IF(OR(NOT(ISNUMBER(K79)),NOT(ISNUMBER(K160))),"",K79-K160)</f>
        <v/>
      </c>
      <c r="L241" s="48" t="str">
        <f aca="false">IF(OR(NOT(ISNUMBER(L79)),NOT(ISNUMBER(L160))),"",L79-L160)</f>
        <v/>
      </c>
      <c r="M241" s="48" t="str">
        <f aca="false">IF(OR(NOT(ISNUMBER(M79)),NOT(ISNUMBER(M160))),"",M79-M160)</f>
        <v/>
      </c>
      <c r="N241" s="48" t="str">
        <f aca="false">IF(OR(NOT(ISNUMBER(N79)),NOT(ISNUMBER(N160))),"",N79-N160)</f>
        <v/>
      </c>
      <c r="O241" s="54" t="str">
        <f aca="false">IF(OR(NOT(ISNUMBER(O79)),NOT(ISNUMBER(O160))),"",O79-O160)</f>
        <v/>
      </c>
      <c r="P241" s="11" t="str">
        <f aca="false">IF(COUNT(D241:N241)=0,"",IF(AND(MAX(D241:N241)&lt;2,MIN(D241:N241)&gt;-2),"Sin diferencia","Diferencia a explicar"))</f>
        <v/>
      </c>
    </row>
    <row r="242" customFormat="false" ht="15" hidden="true" customHeight="false" outlineLevel="1" collapsed="false">
      <c r="A242" s="11" t="s">
        <v>2074</v>
      </c>
      <c r="B242" s="15" t="s">
        <v>2004</v>
      </c>
      <c r="C242" s="11" t="s">
        <v>544</v>
      </c>
      <c r="D242" s="48" t="str">
        <f aca="false">IF(OR(NOT(ISNUMBER(D80)),NOT(ISNUMBER(D161))),"",D80-D161)</f>
        <v/>
      </c>
      <c r="E242" s="48" t="str">
        <f aca="false">IF(OR(NOT(ISNUMBER(E80)),NOT(ISNUMBER(E161))),"",E80-E161)</f>
        <v/>
      </c>
      <c r="F242" s="48" t="str">
        <f aca="false">IF(OR(NOT(ISNUMBER(F80)),NOT(ISNUMBER(F161))),"",F80-F161)</f>
        <v/>
      </c>
      <c r="G242" s="48" t="str">
        <f aca="false">IF(OR(NOT(ISNUMBER(G80)),NOT(ISNUMBER(G161))),"",G80-G161)</f>
        <v/>
      </c>
      <c r="H242" s="48" t="str">
        <f aca="false">IF(OR(NOT(ISNUMBER(H80)),NOT(ISNUMBER(H161))),"",H80-H161)</f>
        <v/>
      </c>
      <c r="I242" s="48" t="str">
        <f aca="false">IF(OR(NOT(ISNUMBER(I80)),NOT(ISNUMBER(I161))),"",I80-I161)</f>
        <v/>
      </c>
      <c r="J242" s="48" t="str">
        <f aca="false">IF(OR(NOT(ISNUMBER(J80)),NOT(ISNUMBER(J161))),"",J80-J161)</f>
        <v/>
      </c>
      <c r="K242" s="48" t="str">
        <f aca="false">IF(OR(NOT(ISNUMBER(K80)),NOT(ISNUMBER(K161))),"",K80-K161)</f>
        <v/>
      </c>
      <c r="L242" s="48" t="str">
        <f aca="false">IF(OR(NOT(ISNUMBER(L80)),NOT(ISNUMBER(L161))),"",L80-L161)</f>
        <v/>
      </c>
      <c r="M242" s="48" t="str">
        <f aca="false">IF(OR(NOT(ISNUMBER(M80)),NOT(ISNUMBER(M161))),"",M80-M161)</f>
        <v/>
      </c>
      <c r="N242" s="48" t="str">
        <f aca="false">IF(OR(NOT(ISNUMBER(N80)),NOT(ISNUMBER(N161))),"",N80-N161)</f>
        <v/>
      </c>
      <c r="O242" s="54" t="str">
        <f aca="false">IF(OR(NOT(ISNUMBER(O80)),NOT(ISNUMBER(O161))),"",O80-O161)</f>
        <v/>
      </c>
      <c r="P242" s="11" t="str">
        <f aca="false">IF(COUNT(D242:N242)=0,"",IF(AND(MAX(D242:N242)&lt;2,MIN(D242:N242)&gt;-2),"Sin diferencia","Diferencia a explicar"))</f>
        <v/>
      </c>
    </row>
    <row r="243" customFormat="false" ht="15" hidden="true" customHeight="false" outlineLevel="1" collapsed="false">
      <c r="A243" s="11" t="s">
        <v>2075</v>
      </c>
      <c r="B243" s="15" t="s">
        <v>2006</v>
      </c>
      <c r="C243" s="11" t="s">
        <v>748</v>
      </c>
      <c r="D243" s="50" t="str">
        <f aca="false">IF(OR(NOT(ISNUMBER(D81)),NOT(ISNUMBER(D162))),"",D81-D162)</f>
        <v/>
      </c>
      <c r="E243" s="50" t="str">
        <f aca="false">IF(OR(NOT(ISNUMBER(E81)),NOT(ISNUMBER(E162))),"",E81-E162)</f>
        <v/>
      </c>
      <c r="F243" s="50" t="str">
        <f aca="false">IF(OR(NOT(ISNUMBER(F81)),NOT(ISNUMBER(F162))),"",F81-F162)</f>
        <v/>
      </c>
      <c r="G243" s="50" t="str">
        <f aca="false">IF(OR(NOT(ISNUMBER(G81)),NOT(ISNUMBER(G162))),"",G81-G162)</f>
        <v/>
      </c>
      <c r="H243" s="50" t="str">
        <f aca="false">IF(OR(NOT(ISNUMBER(H81)),NOT(ISNUMBER(H162))),"",H81-H162)</f>
        <v/>
      </c>
      <c r="I243" s="50" t="str">
        <f aca="false">IF(OR(NOT(ISNUMBER(I81)),NOT(ISNUMBER(I162))),"",I81-I162)</f>
        <v/>
      </c>
      <c r="J243" s="50" t="str">
        <f aca="false">IF(OR(NOT(ISNUMBER(J81)),NOT(ISNUMBER(J162))),"",J81-J162)</f>
        <v/>
      </c>
      <c r="K243" s="50" t="str">
        <f aca="false">IF(OR(NOT(ISNUMBER(K81)),NOT(ISNUMBER(K162))),"",K81-K162)</f>
        <v/>
      </c>
      <c r="L243" s="50" t="str">
        <f aca="false">IF(OR(NOT(ISNUMBER(L81)),NOT(ISNUMBER(L162))),"",L81-L162)</f>
        <v/>
      </c>
      <c r="M243" s="50" t="str">
        <f aca="false">IF(OR(NOT(ISNUMBER(M81)),NOT(ISNUMBER(M162))),"",M81-M162)</f>
        <v/>
      </c>
      <c r="N243" s="50" t="str">
        <f aca="false">IF(OR(NOT(ISNUMBER(N81)),NOT(ISNUMBER(N162))),"",N81-N162)</f>
        <v/>
      </c>
      <c r="O243" s="68" t="str">
        <f aca="false">IF(OR(NOT(ISNUMBER(O81)),NOT(ISNUMBER(O162))),"",O81-O162)</f>
        <v/>
      </c>
      <c r="P243" s="11" t="str">
        <f aca="false">IF(COUNT(D243:N243)=0,"",IF(AND(MAX(D243:N243)&lt;0.005,MIN(D243:N243)&gt;-0.005),"Sin diferencia","Diferencia a explicar"))</f>
        <v/>
      </c>
    </row>
    <row r="244" customFormat="false" ht="15" hidden="true" customHeight="false" outlineLevel="1" collapsed="false">
      <c r="A244" s="11" t="s">
        <v>2076</v>
      </c>
      <c r="B244" s="53" t="str">
        <f aca="false">IF(INDEX(Prod_Nombre,25)="","Producto 25",INDEX(Prod_Nombre,25))&amp;" — venta"</f>
        <v>Producto 25 — venta</v>
      </c>
      <c r="C244" s="11" t="s">
        <v>508</v>
      </c>
      <c r="D244" s="48" t="str">
        <f aca="false">IF(OR(NOT(ISNUMBER(D82)),NOT(ISNUMBER(D163))),"",D82-D163)</f>
        <v/>
      </c>
      <c r="E244" s="48" t="str">
        <f aca="false">IF(OR(NOT(ISNUMBER(E82)),NOT(ISNUMBER(E163))),"",E82-E163)</f>
        <v/>
      </c>
      <c r="F244" s="48" t="str">
        <f aca="false">IF(OR(NOT(ISNUMBER(F82)),NOT(ISNUMBER(F163))),"",F82-F163)</f>
        <v/>
      </c>
      <c r="G244" s="48" t="str">
        <f aca="false">IF(OR(NOT(ISNUMBER(G82)),NOT(ISNUMBER(G163))),"",G82-G163)</f>
        <v/>
      </c>
      <c r="H244" s="48" t="str">
        <f aca="false">IF(OR(NOT(ISNUMBER(H82)),NOT(ISNUMBER(H163))),"",H82-H163)</f>
        <v/>
      </c>
      <c r="I244" s="48" t="str">
        <f aca="false">IF(OR(NOT(ISNUMBER(I82)),NOT(ISNUMBER(I163))),"",I82-I163)</f>
        <v/>
      </c>
      <c r="J244" s="48" t="str">
        <f aca="false">IF(OR(NOT(ISNUMBER(J82)),NOT(ISNUMBER(J163))),"",J82-J163)</f>
        <v/>
      </c>
      <c r="K244" s="48" t="str">
        <f aca="false">IF(OR(NOT(ISNUMBER(K82)),NOT(ISNUMBER(K163))),"",K82-K163)</f>
        <v/>
      </c>
      <c r="L244" s="48" t="str">
        <f aca="false">IF(OR(NOT(ISNUMBER(L82)),NOT(ISNUMBER(L163))),"",L82-L163)</f>
        <v/>
      </c>
      <c r="M244" s="48" t="str">
        <f aca="false">IF(OR(NOT(ISNUMBER(M82)),NOT(ISNUMBER(M163))),"",M82-M163)</f>
        <v/>
      </c>
      <c r="N244" s="48" t="str">
        <f aca="false">IF(OR(NOT(ISNUMBER(N82)),NOT(ISNUMBER(N163))),"",N82-N163)</f>
        <v/>
      </c>
      <c r="O244" s="54" t="str">
        <f aca="false">IF(OR(NOT(ISNUMBER(O82)),NOT(ISNUMBER(O163))),"",O82-O163)</f>
        <v/>
      </c>
      <c r="P244" s="11" t="str">
        <f aca="false">IF(COUNT(D244:N244)=0,"",IF(AND(MAX(D244:N244)&lt;2,MIN(D244:N244)&gt;-2),"Sin diferencia","Diferencia a explicar"))</f>
        <v/>
      </c>
    </row>
    <row r="245" customFormat="false" ht="15" hidden="true" customHeight="false" outlineLevel="1" collapsed="false">
      <c r="A245" s="11" t="s">
        <v>2077</v>
      </c>
      <c r="B245" s="15" t="s">
        <v>2004</v>
      </c>
      <c r="C245" s="11" t="s">
        <v>544</v>
      </c>
      <c r="D245" s="48" t="str">
        <f aca="false">IF(OR(NOT(ISNUMBER(D83)),NOT(ISNUMBER(D164))),"",D83-D164)</f>
        <v/>
      </c>
      <c r="E245" s="48" t="str">
        <f aca="false">IF(OR(NOT(ISNUMBER(E83)),NOT(ISNUMBER(E164))),"",E83-E164)</f>
        <v/>
      </c>
      <c r="F245" s="48" t="str">
        <f aca="false">IF(OR(NOT(ISNUMBER(F83)),NOT(ISNUMBER(F164))),"",F83-F164)</f>
        <v/>
      </c>
      <c r="G245" s="48" t="str">
        <f aca="false">IF(OR(NOT(ISNUMBER(G83)),NOT(ISNUMBER(G164))),"",G83-G164)</f>
        <v/>
      </c>
      <c r="H245" s="48" t="str">
        <f aca="false">IF(OR(NOT(ISNUMBER(H83)),NOT(ISNUMBER(H164))),"",H83-H164)</f>
        <v/>
      </c>
      <c r="I245" s="48" t="str">
        <f aca="false">IF(OR(NOT(ISNUMBER(I83)),NOT(ISNUMBER(I164))),"",I83-I164)</f>
        <v/>
      </c>
      <c r="J245" s="48" t="str">
        <f aca="false">IF(OR(NOT(ISNUMBER(J83)),NOT(ISNUMBER(J164))),"",J83-J164)</f>
        <v/>
      </c>
      <c r="K245" s="48" t="str">
        <f aca="false">IF(OR(NOT(ISNUMBER(K83)),NOT(ISNUMBER(K164))),"",K83-K164)</f>
        <v/>
      </c>
      <c r="L245" s="48" t="str">
        <f aca="false">IF(OR(NOT(ISNUMBER(L83)),NOT(ISNUMBER(L164))),"",L83-L164)</f>
        <v/>
      </c>
      <c r="M245" s="48" t="str">
        <f aca="false">IF(OR(NOT(ISNUMBER(M83)),NOT(ISNUMBER(M164))),"",M83-M164)</f>
        <v/>
      </c>
      <c r="N245" s="48" t="str">
        <f aca="false">IF(OR(NOT(ISNUMBER(N83)),NOT(ISNUMBER(N164))),"",N83-N164)</f>
        <v/>
      </c>
      <c r="O245" s="54" t="str">
        <f aca="false">IF(OR(NOT(ISNUMBER(O83)),NOT(ISNUMBER(O164))),"",O83-O164)</f>
        <v/>
      </c>
      <c r="P245" s="11" t="str">
        <f aca="false">IF(COUNT(D245:N245)=0,"",IF(AND(MAX(D245:N245)&lt;2,MIN(D245:N245)&gt;-2),"Sin diferencia","Diferencia a explicar"))</f>
        <v/>
      </c>
    </row>
    <row r="246" customFormat="false" ht="15" hidden="true" customHeight="false" outlineLevel="1" collapsed="false">
      <c r="A246" s="11" t="s">
        <v>2078</v>
      </c>
      <c r="B246" s="15" t="s">
        <v>2006</v>
      </c>
      <c r="C246" s="11" t="s">
        <v>748</v>
      </c>
      <c r="D246" s="50" t="str">
        <f aca="false">IF(OR(NOT(ISNUMBER(D84)),NOT(ISNUMBER(D165))),"",D84-D165)</f>
        <v/>
      </c>
      <c r="E246" s="50" t="str">
        <f aca="false">IF(OR(NOT(ISNUMBER(E84)),NOT(ISNUMBER(E165))),"",E84-E165)</f>
        <v/>
      </c>
      <c r="F246" s="50" t="str">
        <f aca="false">IF(OR(NOT(ISNUMBER(F84)),NOT(ISNUMBER(F165))),"",F84-F165)</f>
        <v/>
      </c>
      <c r="G246" s="50" t="str">
        <f aca="false">IF(OR(NOT(ISNUMBER(G84)),NOT(ISNUMBER(G165))),"",G84-G165)</f>
        <v/>
      </c>
      <c r="H246" s="50" t="str">
        <f aca="false">IF(OR(NOT(ISNUMBER(H84)),NOT(ISNUMBER(H165))),"",H84-H165)</f>
        <v/>
      </c>
      <c r="I246" s="50" t="str">
        <f aca="false">IF(OR(NOT(ISNUMBER(I84)),NOT(ISNUMBER(I165))),"",I84-I165)</f>
        <v/>
      </c>
      <c r="J246" s="50" t="str">
        <f aca="false">IF(OR(NOT(ISNUMBER(J84)),NOT(ISNUMBER(J165))),"",J84-J165)</f>
        <v/>
      </c>
      <c r="K246" s="50" t="str">
        <f aca="false">IF(OR(NOT(ISNUMBER(K84)),NOT(ISNUMBER(K165))),"",K84-K165)</f>
        <v/>
      </c>
      <c r="L246" s="50" t="str">
        <f aca="false">IF(OR(NOT(ISNUMBER(L84)),NOT(ISNUMBER(L165))),"",L84-L165)</f>
        <v/>
      </c>
      <c r="M246" s="50" t="str">
        <f aca="false">IF(OR(NOT(ISNUMBER(M84)),NOT(ISNUMBER(M165))),"",M84-M165)</f>
        <v/>
      </c>
      <c r="N246" s="50" t="str">
        <f aca="false">IF(OR(NOT(ISNUMBER(N84)),NOT(ISNUMBER(N165))),"",N84-N165)</f>
        <v/>
      </c>
      <c r="O246" s="68" t="str">
        <f aca="false">IF(OR(NOT(ISNUMBER(O84)),NOT(ISNUMBER(O165))),"",O84-O165)</f>
        <v/>
      </c>
      <c r="P246" s="11" t="str">
        <f aca="false">IF(COUNT(D246:N246)=0,"",IF(AND(MAX(D246:N246)&lt;0.005,MIN(D246:N246)&gt;-0.005),"Sin diferencia","Diferencia a explicar"))</f>
        <v/>
      </c>
    </row>
    <row r="248" customFormat="false" ht="15" hidden="false" customHeight="false" outlineLevel="0" collapsed="false">
      <c r="A248" s="12" t="s">
        <v>240</v>
      </c>
      <c r="B248" s="13"/>
      <c r="C248" s="13"/>
      <c r="D248" s="13"/>
      <c r="E248" s="13"/>
      <c r="F248" s="13"/>
      <c r="G248" s="13"/>
      <c r="H248" s="13"/>
      <c r="I248" s="13"/>
      <c r="J248" s="13"/>
      <c r="K248" s="13"/>
      <c r="L248" s="13"/>
      <c r="M248" s="13"/>
      <c r="N248" s="13"/>
      <c r="O248" s="13"/>
    </row>
    <row r="249" customFormat="false" ht="15" hidden="false" customHeight="false" outlineLevel="0" collapsed="false">
      <c r="B249" s="11" t="s">
        <v>2079</v>
      </c>
    </row>
    <row r="250" customFormat="false" ht="15" hidden="false" customHeight="false" outlineLevel="0" collapsed="false">
      <c r="B250" s="11" t="s">
        <v>2080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57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2081</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cuadros 9a y 9b, pág. 17-18"</f>
        <v>Plan de referencia: Plan CIE–PERG Oct-2025 — cuadros 9a y 9b, pág. 17-18</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2082</v>
      </c>
      <c r="C8" s="13"/>
      <c r="D8" s="13"/>
      <c r="E8" s="13"/>
      <c r="F8" s="13"/>
      <c r="G8" s="13"/>
      <c r="H8" s="13"/>
      <c r="I8" s="13"/>
      <c r="J8" s="13"/>
      <c r="K8" s="13"/>
      <c r="L8" s="13"/>
      <c r="M8" s="13"/>
      <c r="N8" s="13"/>
      <c r="O8" s="13"/>
    </row>
    <row r="9" customFormat="false" ht="15" hidden="false" customHeight="false" outlineLevel="0" collapsed="false">
      <c r="A9" s="11" t="s">
        <v>2083</v>
      </c>
      <c r="B9" s="67" t="s">
        <v>2084</v>
      </c>
      <c r="C9" s="11" t="s">
        <v>508</v>
      </c>
      <c r="D9" s="54" t="n">
        <f aca="false">IF(cu_P=1,SUMIFS(Calculo!$F$73:$ES$73,Calculo!$F$16:$ES$16,1),SUMIFS(Calculo!$F$229:$ES$229,Calculo!$F$172:$ES$172,1))</f>
        <v>0</v>
      </c>
      <c r="E9" s="54" t="n">
        <f aca="false">IF(cu_P=1,SUMIFS(Calculo!$F$73:$ES$73,Calculo!$F$14:$ES$14,1),SUMIFS(Calculo!$F$229:$ES$229,Calculo!$F$170:$ES$170,1))</f>
        <v>1510500</v>
      </c>
      <c r="F9" s="54" t="n">
        <f aca="false">IF(cu_P=1,SUMIFS(Calculo!$F$73:$ES$73,Calculo!$F$14:$ES$14,2),SUMIFS(Calculo!$F$229:$ES$229,Calculo!$F$170:$ES$170,2))</f>
        <v>1925716.5</v>
      </c>
      <c r="G9" s="54" t="n">
        <f aca="false">IF(cu_P=1,SUMIFS(Calculo!$F$73:$ES$73,Calculo!$F$14:$ES$14,3),SUMIFS(Calculo!$F$229:$ES$229,Calculo!$F$170:$ES$170,3))</f>
        <v>2349086.28</v>
      </c>
      <c r="H9" s="54" t="n">
        <f aca="false">IF(cu_P=1,SUMIFS(Calculo!$F$73:$ES$73,Calculo!$F$14:$ES$14,4),SUMIFS(Calculo!$F$229:$ES$229,Calculo!$F$170:$ES$170,4))</f>
        <v>2704385.57985</v>
      </c>
      <c r="I9" s="54" t="n">
        <f aca="false">IF(cu_P=1,SUMIFS(Calculo!$F$73:$ES$73,Calculo!$F$14:$ES$14,5),SUMIFS(Calculo!$F$229:$ES$229,Calculo!$F$170:$ES$170,5))</f>
        <v>2731429.4356485</v>
      </c>
      <c r="J9" s="54" t="n">
        <f aca="false">IF(cu_P=1,SUMIFS(Calculo!$F$73:$ES$73,Calculo!$F$14:$ES$14,6),SUMIFS(Calculo!$F$229:$ES$229,Calculo!$F$170:$ES$170,6))</f>
        <v>2758743.73000499</v>
      </c>
      <c r="K9" s="54" t="n">
        <f aca="false">IF(cu_P=1,SUMIFS(Calculo!$F$73:$ES$73,Calculo!$F$14:$ES$14,7),SUMIFS(Calculo!$F$229:$ES$229,Calculo!$F$170:$ES$170,7))</f>
        <v>2786331.16730504</v>
      </c>
      <c r="L9" s="54" t="n">
        <f aca="false">IF(cu_P=1,SUMIFS(Calculo!$F$73:$ES$73,Calculo!$F$14:$ES$14,8),SUMIFS(Calculo!$F$229:$ES$229,Calculo!$F$170:$ES$170,8))</f>
        <v>2814194.47897809</v>
      </c>
      <c r="M9" s="54" t="n">
        <f aca="false">IF(cu_P=1,SUMIFS(Calculo!$F$73:$ES$73,Calculo!$F$14:$ES$14,9),SUMIFS(Calculo!$F$229:$ES$229,Calculo!$F$170:$ES$170,9))</f>
        <v>2842336.42376787</v>
      </c>
      <c r="N9" s="54" t="n">
        <f aca="false">IF(cu_P=1,SUMIFS(Calculo!$F$73:$ES$73,Calculo!$F$14:$ES$14,10),SUMIFS(Calculo!$F$229:$ES$229,Calculo!$F$170:$ES$170,10))</f>
        <v>2870759.78800555</v>
      </c>
      <c r="O9" s="54" t="n">
        <f aca="false">SUM(D9:N9)</f>
        <v>25293483.38356</v>
      </c>
    </row>
    <row r="10" customFormat="false" ht="15" hidden="false" customHeight="false" outlineLevel="0" collapsed="false">
      <c r="A10" s="11" t="s">
        <v>2085</v>
      </c>
      <c r="B10" s="53" t="str">
        <f aca="false">IF(INDEX(Prod_Nombre,1)="","Producto 1",INDEX(Prod_Nombre,1))</f>
        <v>Gabinetes metálicos 153 kg</v>
      </c>
      <c r="C10" s="11" t="s">
        <v>508</v>
      </c>
      <c r="D10" s="48" t="n">
        <f aca="false">IF(cu_P=1,SUMIFS(Calculo!$F$21:$ES$21,Calculo!$F$16:$ES$16,1)*N(INDEX(MP_O,1))*INDEX(IdxMP_O,1,1)*(1+P_dMat)/(1-P_Merma),SUMIFS(Calculo!$F$177:$ES$177,Calculo!$F$172:$ES$172,1)*N(INDEX(MP_V,1))*INDEX(IdxMP_V,1,1)*(1+V_dMat)/(1-V_Merma))</f>
        <v>0</v>
      </c>
      <c r="E10" s="48" t="n">
        <f aca="false">IF(cu_P=1,SUMIFS(Calculo!$F$21:$ES$21,Calculo!$F$14:$ES$14,1)*N(INDEX(MP_O,1))*INDEX(IdxMP_O,1,1)*(1+P_dMat)/(1-P_Merma),SUMIFS(Calculo!$F$177:$ES$177,Calculo!$F$170:$ES$170,1)*N(INDEX(MP_V,1))*INDEX(IdxMP_V,1,1)*(1+V_dMat)/(1-V_Merma))</f>
        <v>991800</v>
      </c>
      <c r="F10" s="48" t="n">
        <f aca="false">IF(cu_P=1,SUMIFS(Calculo!$F$21:$ES$21,Calculo!$F$14:$ES$14,2)*N(INDEX(MP_O,1))*INDEX(IdxMP_O,1,2)*(1+P_dMat)/(1-P_Merma),SUMIFS(Calculo!$F$177:$ES$177,Calculo!$F$170:$ES$170,2)*N(INDEX(MP_V,1))*INDEX(IdxMP_V,1,2)*(1+V_dMat)/(1-V_Merma))</f>
        <v>1252147.5</v>
      </c>
      <c r="G10" s="48" t="n">
        <f aca="false">IF(cu_P=1,SUMIFS(Calculo!$F$21:$ES$21,Calculo!$F$14:$ES$14,3)*N(INDEX(MP_O,1))*INDEX(IdxMP_O,1,3)*(1+P_dMat)/(1-P_Merma),SUMIFS(Calculo!$F$177:$ES$177,Calculo!$F$170:$ES$170,3)*N(INDEX(MP_V,1))*INDEX(IdxMP_V,1,3)*(1+V_dMat)/(1-V_Merma))</f>
        <v>1517602.77</v>
      </c>
      <c r="H10" s="48" t="n">
        <f aca="false">IF(cu_P=1,SUMIFS(Calculo!$F$21:$ES$21,Calculo!$F$14:$ES$14,4)*N(INDEX(MP_O,1))*INDEX(IdxMP_O,1,4)*(1+P_dMat)/(1-P_Merma),SUMIFS(Calculo!$F$177:$ES$177,Calculo!$F$170:$ES$170,4)*N(INDEX(MP_V,1))*INDEX(IdxMP_V,1,4)*(1+V_dMat)/(1-V_Merma))</f>
        <v>1788241.93065</v>
      </c>
      <c r="I10" s="48" t="n">
        <f aca="false">IF(cu_P=1,SUMIFS(Calculo!$F$21:$ES$21,Calculo!$F$14:$ES$14,5)*N(INDEX(MP_O,1))*INDEX(IdxMP_O,1,5)*(1+P_dMat)/(1-P_Merma),SUMIFS(Calculo!$F$177:$ES$177,Calculo!$F$170:$ES$170,5)*N(INDEX(MP_V,1))*INDEX(IdxMP_V,1,5)*(1+V_dMat)/(1-V_Merma))</f>
        <v>1806124.3499565</v>
      </c>
      <c r="J10" s="48" t="n">
        <f aca="false">IF(cu_P=1,SUMIFS(Calculo!$F$21:$ES$21,Calculo!$F$14:$ES$14,6)*N(INDEX(MP_O,1))*INDEX(IdxMP_O,1,6)*(1+P_dMat)/(1-P_Merma),SUMIFS(Calculo!$F$177:$ES$177,Calculo!$F$170:$ES$170,6)*N(INDEX(MP_V,1))*INDEX(IdxMP_V,1,6)*(1+V_dMat)/(1-V_Merma))</f>
        <v>1824185.59345607</v>
      </c>
      <c r="K10" s="48" t="n">
        <f aca="false">IF(cu_P=1,SUMIFS(Calculo!$F$21:$ES$21,Calculo!$F$14:$ES$14,7)*N(INDEX(MP_O,1))*INDEX(IdxMP_O,1,7)*(1+P_dMat)/(1-P_Merma),SUMIFS(Calculo!$F$177:$ES$177,Calculo!$F$170:$ES$170,7)*N(INDEX(MP_V,1))*INDEX(IdxMP_V,1,7)*(1+V_dMat)/(1-V_Merma))</f>
        <v>1842427.44939063</v>
      </c>
      <c r="L10" s="48" t="n">
        <f aca="false">IF(cu_P=1,SUMIFS(Calculo!$F$21:$ES$21,Calculo!$F$14:$ES$14,8)*N(INDEX(MP_O,1))*INDEX(IdxMP_O,1,8)*(1+P_dMat)/(1-P_Merma),SUMIFS(Calculo!$F$177:$ES$177,Calculo!$F$170:$ES$170,8)*N(INDEX(MP_V,1))*INDEX(IdxMP_V,1,8)*(1+V_dMat)/(1-V_Merma))</f>
        <v>1860851.72388453</v>
      </c>
      <c r="M10" s="48" t="n">
        <f aca="false">IF(cu_P=1,SUMIFS(Calculo!$F$21:$ES$21,Calculo!$F$14:$ES$14,9)*N(INDEX(MP_O,1))*INDEX(IdxMP_O,1,9)*(1+P_dMat)/(1-P_Merma),SUMIFS(Calculo!$F$177:$ES$177,Calculo!$F$170:$ES$170,9)*N(INDEX(MP_V,1))*INDEX(IdxMP_V,1,9)*(1+V_dMat)/(1-V_Merma))</f>
        <v>1879460.24112338</v>
      </c>
      <c r="N10" s="48" t="n">
        <f aca="false">IF(cu_P=1,SUMIFS(Calculo!$F$21:$ES$21,Calculo!$F$14:$ES$14,10)*N(INDEX(MP_O,1))*INDEX(IdxMP_O,1,10)*(1+P_dMat)/(1-P_Merma),SUMIFS(Calculo!$F$177:$ES$177,Calculo!$F$170:$ES$170,10)*N(INDEX(MP_V,1))*INDEX(IdxMP_V,1,10)*(1+V_dMat)/(1-V_Merma))</f>
        <v>1898254.84353461</v>
      </c>
      <c r="O10" s="54" t="n">
        <f aca="false">SUM(D10:N10)</f>
        <v>16661096.4019957</v>
      </c>
    </row>
    <row r="11" customFormat="false" ht="15" hidden="false" customHeight="false" outlineLevel="0" collapsed="false">
      <c r="A11" s="11" t="s">
        <v>2086</v>
      </c>
      <c r="B11" s="15" t="s">
        <v>2087</v>
      </c>
      <c r="C11" s="11" t="s">
        <v>748</v>
      </c>
      <c r="E11" s="50" t="n">
        <f aca="false">IFERROR(IF(OR(NOT(ISNUMBER(E10)),N(E12)=0),"",E10/E12),"")</f>
        <v>82.65</v>
      </c>
      <c r="F11" s="50" t="n">
        <f aca="false">IFERROR(IF(OR(NOT(ISNUMBER(F10)),N(F12)=0),"",F10/F12),"")</f>
        <v>83.4765</v>
      </c>
      <c r="G11" s="50" t="n">
        <f aca="false">IFERROR(IF(OR(NOT(ISNUMBER(G10)),N(G12)=0),"",G10/G12),"")</f>
        <v>84.311265</v>
      </c>
      <c r="H11" s="50" t="n">
        <f aca="false">IFERROR(IF(OR(NOT(ISNUMBER(H10)),N(H12)=0),"",H10/H12),"")</f>
        <v>85.15437765</v>
      </c>
      <c r="I11" s="50" t="n">
        <f aca="false">IFERROR(IF(OR(NOT(ISNUMBER(I10)),N(I12)=0),"",I10/I12),"")</f>
        <v>86.0059214265</v>
      </c>
      <c r="J11" s="50" t="n">
        <f aca="false">IFERROR(IF(OR(NOT(ISNUMBER(J10)),N(J12)=0),"",J10/J12),"")</f>
        <v>86.865980640765</v>
      </c>
      <c r="K11" s="50" t="n">
        <f aca="false">IFERROR(IF(OR(NOT(ISNUMBER(K10)),N(K12)=0),"",K10/K12),"")</f>
        <v>87.7346404471727</v>
      </c>
      <c r="L11" s="50" t="n">
        <f aca="false">IFERROR(IF(OR(NOT(ISNUMBER(L10)),N(L12)=0),"",L10/L12),"")</f>
        <v>88.6119868516444</v>
      </c>
      <c r="M11" s="50" t="n">
        <f aca="false">IFERROR(IF(OR(NOT(ISNUMBER(M10)),N(M12)=0),"",M10/M12),"")</f>
        <v>89.4981067201608</v>
      </c>
      <c r="N11" s="50" t="n">
        <f aca="false">IFERROR(IF(OR(NOT(ISNUMBER(N10)),N(N12)=0),"",N10/N12),"")</f>
        <v>90.3930877873624</v>
      </c>
      <c r="O11" s="68" t="n">
        <f aca="false">IFERROR(IF(OR(NOT(ISNUMBER(O10)),N(O12)=0),"",O10/O12),"")</f>
        <v>86.7765437603943</v>
      </c>
    </row>
    <row r="12" customFormat="false" ht="15" hidden="false" customHeight="false" outlineLevel="0" collapsed="false">
      <c r="A12" s="11" t="s">
        <v>2088</v>
      </c>
      <c r="B12" s="15" t="s">
        <v>2089</v>
      </c>
      <c r="C12" s="11" t="s">
        <v>544</v>
      </c>
      <c r="D12" s="48" t="n">
        <f aca="false">IF(cu_P=1,SUMIFS(Calculo!$F$21:$ES$21,Calculo!$F$16:$ES$16,1),SUMIFS(Calculo!$F$177:$ES$177,Calculo!$F$172:$ES$172,1))</f>
        <v>0</v>
      </c>
      <c r="E12" s="48" t="n">
        <f aca="false">IF(cu_P=1,SUMIFS(Calculo!$F$21:$ES$21,Calculo!$F$14:$ES$14,1),SUMIFS(Calculo!$F$177:$ES$177,Calculo!$F$170:$ES$170,1))</f>
        <v>12000</v>
      </c>
      <c r="F12" s="48" t="n">
        <f aca="false">IF(cu_P=1,SUMIFS(Calculo!$F$21:$ES$21,Calculo!$F$14:$ES$14,2),SUMIFS(Calculo!$F$177:$ES$177,Calculo!$F$170:$ES$170,2))</f>
        <v>15000</v>
      </c>
      <c r="G12" s="48" t="n">
        <f aca="false">IF(cu_P=1,SUMIFS(Calculo!$F$21:$ES$21,Calculo!$F$14:$ES$14,3),SUMIFS(Calculo!$F$177:$ES$177,Calculo!$F$170:$ES$170,3))</f>
        <v>18000</v>
      </c>
      <c r="H12" s="48" t="n">
        <f aca="false">IF(cu_P=1,SUMIFS(Calculo!$F$21:$ES$21,Calculo!$F$14:$ES$14,4),SUMIFS(Calculo!$F$177:$ES$177,Calculo!$F$170:$ES$170,4))</f>
        <v>21000</v>
      </c>
      <c r="I12" s="48" t="n">
        <f aca="false">IF(cu_P=1,SUMIFS(Calculo!$F$21:$ES$21,Calculo!$F$14:$ES$14,5),SUMIFS(Calculo!$F$177:$ES$177,Calculo!$F$170:$ES$170,5))</f>
        <v>21000</v>
      </c>
      <c r="J12" s="48" t="n">
        <f aca="false">IF(cu_P=1,SUMIFS(Calculo!$F$21:$ES$21,Calculo!$F$14:$ES$14,6),SUMIFS(Calculo!$F$177:$ES$177,Calculo!$F$170:$ES$170,6))</f>
        <v>21000</v>
      </c>
      <c r="K12" s="48" t="n">
        <f aca="false">IF(cu_P=1,SUMIFS(Calculo!$F$21:$ES$21,Calculo!$F$14:$ES$14,7),SUMIFS(Calculo!$F$177:$ES$177,Calculo!$F$170:$ES$170,7))</f>
        <v>21000</v>
      </c>
      <c r="L12" s="48" t="n">
        <f aca="false">IF(cu_P=1,SUMIFS(Calculo!$F$21:$ES$21,Calculo!$F$14:$ES$14,8),SUMIFS(Calculo!$F$177:$ES$177,Calculo!$F$170:$ES$170,8))</f>
        <v>21000</v>
      </c>
      <c r="M12" s="48" t="n">
        <f aca="false">IF(cu_P=1,SUMIFS(Calculo!$F$21:$ES$21,Calculo!$F$14:$ES$14,9),SUMIFS(Calculo!$F$177:$ES$177,Calculo!$F$170:$ES$170,9))</f>
        <v>21000</v>
      </c>
      <c r="N12" s="48" t="n">
        <f aca="false">IF(cu_P=1,SUMIFS(Calculo!$F$21:$ES$21,Calculo!$F$14:$ES$14,10),SUMIFS(Calculo!$F$177:$ES$177,Calculo!$F$170:$ES$170,10))</f>
        <v>21000</v>
      </c>
      <c r="O12" s="54" t="n">
        <f aca="false">SUM(D12:N12)</f>
        <v>192000</v>
      </c>
    </row>
    <row r="13" customFormat="false" ht="15" hidden="false" customHeight="false" outlineLevel="0" collapsed="false">
      <c r="A13" s="11" t="s">
        <v>2090</v>
      </c>
      <c r="B13" s="53" t="str">
        <f aca="false">IF(INDEX(Prod_Nombre,2)="","Producto 2",INDEX(Prod_Nombre,2))</f>
        <v>Cajas metálicas 13 kg</v>
      </c>
      <c r="C13" s="11" t="s">
        <v>508</v>
      </c>
      <c r="D13" s="48" t="n">
        <f aca="false">IF(cu_P=1,SUMIFS(Calculo!$F$22:$ES$22,Calculo!$F$16:$ES$16,1)*N(INDEX(MP_O,2))*INDEX(IdxMP_O,1,1)*(1+P_dMat)/(1-P_Merma),SUMIFS(Calculo!$F$178:$ES$178,Calculo!$F$172:$ES$172,1)*N(INDEX(MP_V,2))*INDEX(IdxMP_V,1,1)*(1+V_dMat)/(1-V_Merma))</f>
        <v>0</v>
      </c>
      <c r="E13" s="48" t="n">
        <f aca="false">IF(cu_P=1,SUMIFS(Calculo!$F$22:$ES$22,Calculo!$F$14:$ES$14,1)*N(INDEX(MP_O,2))*INDEX(IdxMP_O,1,1)*(1+P_dMat)/(1-P_Merma),SUMIFS(Calculo!$F$178:$ES$178,Calculo!$F$170:$ES$170,1)*N(INDEX(MP_V,2))*INDEX(IdxMP_V,1,1)*(1+V_dMat)/(1-V_Merma))</f>
        <v>518700</v>
      </c>
      <c r="F13" s="48" t="n">
        <f aca="false">IF(cu_P=1,SUMIFS(Calculo!$F$22:$ES$22,Calculo!$F$14:$ES$14,2)*N(INDEX(MP_O,2))*INDEX(IdxMP_O,1,2)*(1+P_dMat)/(1-P_Merma),SUMIFS(Calculo!$F$178:$ES$178,Calculo!$F$170:$ES$170,2)*N(INDEX(MP_V,2))*INDEX(IdxMP_V,1,2)*(1+V_dMat)/(1-V_Merma))</f>
        <v>673569</v>
      </c>
      <c r="G13" s="48" t="n">
        <f aca="false">IF(cu_P=1,SUMIFS(Calculo!$F$22:$ES$22,Calculo!$F$14:$ES$14,3)*N(INDEX(MP_O,2))*INDEX(IdxMP_O,1,3)*(1+P_dMat)/(1-P_Merma),SUMIFS(Calculo!$F$178:$ES$178,Calculo!$F$170:$ES$170,3)*N(INDEX(MP_V,2))*INDEX(IdxMP_V,1,3)*(1+V_dMat)/(1-V_Merma))</f>
        <v>831483.51</v>
      </c>
      <c r="H13" s="48" t="n">
        <f aca="false">IF(cu_P=1,SUMIFS(Calculo!$F$22:$ES$22,Calculo!$F$14:$ES$14,4)*N(INDEX(MP_O,2))*INDEX(IdxMP_O,1,4)*(1+P_dMat)/(1-P_Merma),SUMIFS(Calculo!$F$178:$ES$178,Calculo!$F$170:$ES$170,4)*N(INDEX(MP_V,2))*INDEX(IdxMP_V,1,4)*(1+V_dMat)/(1-V_Merma))</f>
        <v>916143.6492</v>
      </c>
      <c r="I13" s="48" t="n">
        <f aca="false">IF(cu_P=1,SUMIFS(Calculo!$F$22:$ES$22,Calculo!$F$14:$ES$14,5)*N(INDEX(MP_O,2))*INDEX(IdxMP_O,1,5)*(1+P_dMat)/(1-P_Merma),SUMIFS(Calculo!$F$178:$ES$178,Calculo!$F$170:$ES$170,5)*N(INDEX(MP_V,2))*INDEX(IdxMP_V,1,5)*(1+V_dMat)/(1-V_Merma))</f>
        <v>925305.085692</v>
      </c>
      <c r="J13" s="48" t="n">
        <f aca="false">IF(cu_P=1,SUMIFS(Calculo!$F$22:$ES$22,Calculo!$F$14:$ES$14,6)*N(INDEX(MP_O,2))*INDEX(IdxMP_O,1,6)*(1+P_dMat)/(1-P_Merma),SUMIFS(Calculo!$F$178:$ES$178,Calculo!$F$170:$ES$170,6)*N(INDEX(MP_V,2))*INDEX(IdxMP_V,1,6)*(1+V_dMat)/(1-V_Merma))</f>
        <v>934558.13654892</v>
      </c>
      <c r="K13" s="48" t="n">
        <f aca="false">IF(cu_P=1,SUMIFS(Calculo!$F$22:$ES$22,Calculo!$F$14:$ES$14,7)*N(INDEX(MP_O,2))*INDEX(IdxMP_O,1,7)*(1+P_dMat)/(1-P_Merma),SUMIFS(Calculo!$F$178:$ES$178,Calculo!$F$170:$ES$170,7)*N(INDEX(MP_V,2))*INDEX(IdxMP_V,1,7)*(1+V_dMat)/(1-V_Merma))</f>
        <v>943903.717914409</v>
      </c>
      <c r="L13" s="48" t="n">
        <f aca="false">IF(cu_P=1,SUMIFS(Calculo!$F$22:$ES$22,Calculo!$F$14:$ES$14,8)*N(INDEX(MP_O,2))*INDEX(IdxMP_O,1,8)*(1+P_dMat)/(1-P_Merma),SUMIFS(Calculo!$F$178:$ES$178,Calculo!$F$170:$ES$170,8)*N(INDEX(MP_V,2))*INDEX(IdxMP_V,1,8)*(1+V_dMat)/(1-V_Merma))</f>
        <v>953342.755093553</v>
      </c>
      <c r="M13" s="48" t="n">
        <f aca="false">IF(cu_P=1,SUMIFS(Calculo!$F$22:$ES$22,Calculo!$F$14:$ES$14,9)*N(INDEX(MP_O,2))*INDEX(IdxMP_O,1,9)*(1+P_dMat)/(1-P_Merma),SUMIFS(Calculo!$F$178:$ES$178,Calculo!$F$170:$ES$170,9)*N(INDEX(MP_V,2))*INDEX(IdxMP_V,1,9)*(1+V_dMat)/(1-V_Merma))</f>
        <v>962876.182644489</v>
      </c>
      <c r="N13" s="48" t="n">
        <f aca="false">IF(cu_P=1,SUMIFS(Calculo!$F$22:$ES$22,Calculo!$F$14:$ES$14,10)*N(INDEX(MP_O,2))*INDEX(IdxMP_O,1,10)*(1+P_dMat)/(1-P_Merma),SUMIFS(Calculo!$F$178:$ES$178,Calculo!$F$170:$ES$170,10)*N(INDEX(MP_V,2))*INDEX(IdxMP_V,1,10)*(1+V_dMat)/(1-V_Merma))</f>
        <v>972504.944470934</v>
      </c>
      <c r="O13" s="54" t="n">
        <f aca="false">SUM(D13:N13)</f>
        <v>8632386.98156431</v>
      </c>
    </row>
    <row r="14" customFormat="false" ht="15" hidden="false" customHeight="false" outlineLevel="0" collapsed="false">
      <c r="A14" s="11" t="s">
        <v>2091</v>
      </c>
      <c r="B14" s="15" t="s">
        <v>2087</v>
      </c>
      <c r="C14" s="11" t="s">
        <v>748</v>
      </c>
      <c r="E14" s="50" t="n">
        <f aca="false">IFERROR(IF(OR(NOT(ISNUMBER(E13)),N(E15)=0),"",E13/E15),"")</f>
        <v>7.41</v>
      </c>
      <c r="F14" s="50" t="n">
        <f aca="false">IFERROR(IF(OR(NOT(ISNUMBER(F13)),N(F15)=0),"",F13/F15),"")</f>
        <v>7.4841</v>
      </c>
      <c r="G14" s="50" t="n">
        <f aca="false">IFERROR(IF(OR(NOT(ISNUMBER(G13)),N(G15)=0),"",G13/G15),"")</f>
        <v>7.558941</v>
      </c>
      <c r="H14" s="50" t="n">
        <f aca="false">IFERROR(IF(OR(NOT(ISNUMBER(H13)),N(H15)=0),"",H13/H15),"")</f>
        <v>7.63453041</v>
      </c>
      <c r="I14" s="50" t="n">
        <f aca="false">IFERROR(IF(OR(NOT(ISNUMBER(I13)),N(I15)=0),"",I13/I15),"")</f>
        <v>7.7108757141</v>
      </c>
      <c r="J14" s="50" t="n">
        <f aca="false">IFERROR(IF(OR(NOT(ISNUMBER(J13)),N(J15)=0),"",J13/J15),"")</f>
        <v>7.787984471241</v>
      </c>
      <c r="K14" s="50" t="n">
        <f aca="false">IFERROR(IF(OR(NOT(ISNUMBER(K13)),N(K15)=0),"",K13/K15),"")</f>
        <v>7.86586431595341</v>
      </c>
      <c r="L14" s="50" t="n">
        <f aca="false">IFERROR(IF(OR(NOT(ISNUMBER(L13)),N(L15)=0),"",L13/L15),"")</f>
        <v>7.94452295911294</v>
      </c>
      <c r="M14" s="50" t="n">
        <f aca="false">IFERROR(IF(OR(NOT(ISNUMBER(M13)),N(M15)=0),"",M13/M15),"")</f>
        <v>8.02396818870407</v>
      </c>
      <c r="N14" s="50" t="n">
        <f aca="false">IFERROR(IF(OR(NOT(ISNUMBER(N13)),N(N15)=0),"",N13/N15),"")</f>
        <v>8.10420787059111</v>
      </c>
      <c r="O14" s="68" t="n">
        <f aca="false">IFERROR(IF(OR(NOT(ISNUMBER(O13)),N(O15)=0),"",O13/O15),"")</f>
        <v>7.77692520861649</v>
      </c>
    </row>
    <row r="15" customFormat="false" ht="15" hidden="false" customHeight="false" outlineLevel="0" collapsed="false">
      <c r="A15" s="11" t="s">
        <v>2092</v>
      </c>
      <c r="B15" s="15" t="s">
        <v>2089</v>
      </c>
      <c r="C15" s="11" t="s">
        <v>544</v>
      </c>
      <c r="D15" s="48" t="n">
        <f aca="false">IF(cu_P=1,SUMIFS(Calculo!$F$22:$ES$22,Calculo!$F$16:$ES$16,1),SUMIFS(Calculo!$F$178:$ES$178,Calculo!$F$172:$ES$172,1))</f>
        <v>0</v>
      </c>
      <c r="E15" s="48" t="n">
        <f aca="false">IF(cu_P=1,SUMIFS(Calculo!$F$22:$ES$22,Calculo!$F$14:$ES$14,1),SUMIFS(Calculo!$F$178:$ES$178,Calculo!$F$170:$ES$170,1))</f>
        <v>70000</v>
      </c>
      <c r="F15" s="48" t="n">
        <f aca="false">IF(cu_P=1,SUMIFS(Calculo!$F$22:$ES$22,Calculo!$F$14:$ES$14,2),SUMIFS(Calculo!$F$178:$ES$178,Calculo!$F$170:$ES$170,2))</f>
        <v>90000</v>
      </c>
      <c r="G15" s="48" t="n">
        <f aca="false">IF(cu_P=1,SUMIFS(Calculo!$F$22:$ES$22,Calculo!$F$14:$ES$14,3),SUMIFS(Calculo!$F$178:$ES$178,Calculo!$F$170:$ES$170,3))</f>
        <v>110000</v>
      </c>
      <c r="H15" s="48" t="n">
        <f aca="false">IF(cu_P=1,SUMIFS(Calculo!$F$22:$ES$22,Calculo!$F$14:$ES$14,4),SUMIFS(Calculo!$F$178:$ES$178,Calculo!$F$170:$ES$170,4))</f>
        <v>120000</v>
      </c>
      <c r="I15" s="48" t="n">
        <f aca="false">IF(cu_P=1,SUMIFS(Calculo!$F$22:$ES$22,Calculo!$F$14:$ES$14,5),SUMIFS(Calculo!$F$178:$ES$178,Calculo!$F$170:$ES$170,5))</f>
        <v>120000</v>
      </c>
      <c r="J15" s="48" t="n">
        <f aca="false">IF(cu_P=1,SUMIFS(Calculo!$F$22:$ES$22,Calculo!$F$14:$ES$14,6),SUMIFS(Calculo!$F$178:$ES$178,Calculo!$F$170:$ES$170,6))</f>
        <v>120000</v>
      </c>
      <c r="K15" s="48" t="n">
        <f aca="false">IF(cu_P=1,SUMIFS(Calculo!$F$22:$ES$22,Calculo!$F$14:$ES$14,7),SUMIFS(Calculo!$F$178:$ES$178,Calculo!$F$170:$ES$170,7))</f>
        <v>120000</v>
      </c>
      <c r="L15" s="48" t="n">
        <f aca="false">IF(cu_P=1,SUMIFS(Calculo!$F$22:$ES$22,Calculo!$F$14:$ES$14,8),SUMIFS(Calculo!$F$178:$ES$178,Calculo!$F$170:$ES$170,8))</f>
        <v>120000</v>
      </c>
      <c r="M15" s="48" t="n">
        <f aca="false">IF(cu_P=1,SUMIFS(Calculo!$F$22:$ES$22,Calculo!$F$14:$ES$14,9),SUMIFS(Calculo!$F$178:$ES$178,Calculo!$F$170:$ES$170,9))</f>
        <v>120000</v>
      </c>
      <c r="N15" s="48" t="n">
        <f aca="false">IF(cu_P=1,SUMIFS(Calculo!$F$22:$ES$22,Calculo!$F$14:$ES$14,10),SUMIFS(Calculo!$F$178:$ES$178,Calculo!$F$170:$ES$170,10))</f>
        <v>120000</v>
      </c>
      <c r="O15" s="54" t="n">
        <f aca="false">SUM(D15:N15)</f>
        <v>1110000</v>
      </c>
    </row>
    <row r="16" customFormat="false" ht="15" hidden="true" customHeight="false" outlineLevel="1" collapsed="false">
      <c r="A16" s="11" t="s">
        <v>2093</v>
      </c>
      <c r="B16" s="53" t="str">
        <f aca="false">IF(INDEX(Prod_Nombre,3)="","Producto 3",INDEX(Prod_Nombre,3))</f>
        <v>Producto 3</v>
      </c>
      <c r="C16" s="11" t="s">
        <v>508</v>
      </c>
      <c r="D16" s="48" t="n">
        <f aca="false">IF(cu_P=1,SUMIFS(Calculo!$F$23:$ES$23,Calculo!$F$16:$ES$16,1)*N(INDEX(MP_O,3))*INDEX(IdxMP_O,1,1)*(1+P_dMat)/(1-P_Merma),SUMIFS(Calculo!$F$179:$ES$179,Calculo!$F$172:$ES$172,1)*N(INDEX(MP_V,3))*INDEX(IdxMP_V,1,1)*(1+V_dMat)/(1-V_Merma))</f>
        <v>0</v>
      </c>
      <c r="E16" s="48" t="n">
        <f aca="false">IF(cu_P=1,SUMIFS(Calculo!$F$23:$ES$23,Calculo!$F$14:$ES$14,1)*N(INDEX(MP_O,3))*INDEX(IdxMP_O,1,1)*(1+P_dMat)/(1-P_Merma),SUMIFS(Calculo!$F$179:$ES$179,Calculo!$F$170:$ES$170,1)*N(INDEX(MP_V,3))*INDEX(IdxMP_V,1,1)*(1+V_dMat)/(1-V_Merma))</f>
        <v>0</v>
      </c>
      <c r="F16" s="48" t="n">
        <f aca="false">IF(cu_P=1,SUMIFS(Calculo!$F$23:$ES$23,Calculo!$F$14:$ES$14,2)*N(INDEX(MP_O,3))*INDEX(IdxMP_O,1,2)*(1+P_dMat)/(1-P_Merma),SUMIFS(Calculo!$F$179:$ES$179,Calculo!$F$170:$ES$170,2)*N(INDEX(MP_V,3))*INDEX(IdxMP_V,1,2)*(1+V_dMat)/(1-V_Merma))</f>
        <v>0</v>
      </c>
      <c r="G16" s="48" t="n">
        <f aca="false">IF(cu_P=1,SUMIFS(Calculo!$F$23:$ES$23,Calculo!$F$14:$ES$14,3)*N(INDEX(MP_O,3))*INDEX(IdxMP_O,1,3)*(1+P_dMat)/(1-P_Merma),SUMIFS(Calculo!$F$179:$ES$179,Calculo!$F$170:$ES$170,3)*N(INDEX(MP_V,3))*INDEX(IdxMP_V,1,3)*(1+V_dMat)/(1-V_Merma))</f>
        <v>0</v>
      </c>
      <c r="H16" s="48" t="n">
        <f aca="false">IF(cu_P=1,SUMIFS(Calculo!$F$23:$ES$23,Calculo!$F$14:$ES$14,4)*N(INDEX(MP_O,3))*INDEX(IdxMP_O,1,4)*(1+P_dMat)/(1-P_Merma),SUMIFS(Calculo!$F$179:$ES$179,Calculo!$F$170:$ES$170,4)*N(INDEX(MP_V,3))*INDEX(IdxMP_V,1,4)*(1+V_dMat)/(1-V_Merma))</f>
        <v>0</v>
      </c>
      <c r="I16" s="48" t="n">
        <f aca="false">IF(cu_P=1,SUMIFS(Calculo!$F$23:$ES$23,Calculo!$F$14:$ES$14,5)*N(INDEX(MP_O,3))*INDEX(IdxMP_O,1,5)*(1+P_dMat)/(1-P_Merma),SUMIFS(Calculo!$F$179:$ES$179,Calculo!$F$170:$ES$170,5)*N(INDEX(MP_V,3))*INDEX(IdxMP_V,1,5)*(1+V_dMat)/(1-V_Merma))</f>
        <v>0</v>
      </c>
      <c r="J16" s="48" t="n">
        <f aca="false">IF(cu_P=1,SUMIFS(Calculo!$F$23:$ES$23,Calculo!$F$14:$ES$14,6)*N(INDEX(MP_O,3))*INDEX(IdxMP_O,1,6)*(1+P_dMat)/(1-P_Merma),SUMIFS(Calculo!$F$179:$ES$179,Calculo!$F$170:$ES$170,6)*N(INDEX(MP_V,3))*INDEX(IdxMP_V,1,6)*(1+V_dMat)/(1-V_Merma))</f>
        <v>0</v>
      </c>
      <c r="K16" s="48" t="n">
        <f aca="false">IF(cu_P=1,SUMIFS(Calculo!$F$23:$ES$23,Calculo!$F$14:$ES$14,7)*N(INDEX(MP_O,3))*INDEX(IdxMP_O,1,7)*(1+P_dMat)/(1-P_Merma),SUMIFS(Calculo!$F$179:$ES$179,Calculo!$F$170:$ES$170,7)*N(INDEX(MP_V,3))*INDEX(IdxMP_V,1,7)*(1+V_dMat)/(1-V_Merma))</f>
        <v>0</v>
      </c>
      <c r="L16" s="48" t="n">
        <f aca="false">IF(cu_P=1,SUMIFS(Calculo!$F$23:$ES$23,Calculo!$F$14:$ES$14,8)*N(INDEX(MP_O,3))*INDEX(IdxMP_O,1,8)*(1+P_dMat)/(1-P_Merma),SUMIFS(Calculo!$F$179:$ES$179,Calculo!$F$170:$ES$170,8)*N(INDEX(MP_V,3))*INDEX(IdxMP_V,1,8)*(1+V_dMat)/(1-V_Merma))</f>
        <v>0</v>
      </c>
      <c r="M16" s="48" t="n">
        <f aca="false">IF(cu_P=1,SUMIFS(Calculo!$F$23:$ES$23,Calculo!$F$14:$ES$14,9)*N(INDEX(MP_O,3))*INDEX(IdxMP_O,1,9)*(1+P_dMat)/(1-P_Merma),SUMIFS(Calculo!$F$179:$ES$179,Calculo!$F$170:$ES$170,9)*N(INDEX(MP_V,3))*INDEX(IdxMP_V,1,9)*(1+V_dMat)/(1-V_Merma))</f>
        <v>0</v>
      </c>
      <c r="N16" s="48" t="n">
        <f aca="false">IF(cu_P=1,SUMIFS(Calculo!$F$23:$ES$23,Calculo!$F$14:$ES$14,10)*N(INDEX(MP_O,3))*INDEX(IdxMP_O,1,10)*(1+P_dMat)/(1-P_Merma),SUMIFS(Calculo!$F$179:$ES$179,Calculo!$F$170:$ES$170,10)*N(INDEX(MP_V,3))*INDEX(IdxMP_V,1,10)*(1+V_dMat)/(1-V_Merma))</f>
        <v>0</v>
      </c>
      <c r="O16" s="54" t="n">
        <f aca="false">SUM(D16:N16)</f>
        <v>0</v>
      </c>
    </row>
    <row r="17" customFormat="false" ht="15" hidden="true" customHeight="false" outlineLevel="1" collapsed="false">
      <c r="A17" s="11" t="s">
        <v>2094</v>
      </c>
      <c r="B17" s="15" t="s">
        <v>2087</v>
      </c>
      <c r="C17" s="11" t="s">
        <v>748</v>
      </c>
      <c r="E17" s="50" t="str">
        <f aca="false">IFERROR(IF(OR(NOT(ISNUMBER(E16)),N(E18)=0),"",E16/E18),"")</f>
        <v/>
      </c>
      <c r="F17" s="50" t="str">
        <f aca="false">IFERROR(IF(OR(NOT(ISNUMBER(F16)),N(F18)=0),"",F16/F18),"")</f>
        <v/>
      </c>
      <c r="G17" s="50" t="str">
        <f aca="false">IFERROR(IF(OR(NOT(ISNUMBER(G16)),N(G18)=0),"",G16/G18),"")</f>
        <v/>
      </c>
      <c r="H17" s="50" t="str">
        <f aca="false">IFERROR(IF(OR(NOT(ISNUMBER(H16)),N(H18)=0),"",H16/H18),"")</f>
        <v/>
      </c>
      <c r="I17" s="50" t="str">
        <f aca="false">IFERROR(IF(OR(NOT(ISNUMBER(I16)),N(I18)=0),"",I16/I18),"")</f>
        <v/>
      </c>
      <c r="J17" s="50" t="str">
        <f aca="false">IFERROR(IF(OR(NOT(ISNUMBER(J16)),N(J18)=0),"",J16/J18),"")</f>
        <v/>
      </c>
      <c r="K17" s="50" t="str">
        <f aca="false">IFERROR(IF(OR(NOT(ISNUMBER(K16)),N(K18)=0),"",K16/K18),"")</f>
        <v/>
      </c>
      <c r="L17" s="50" t="str">
        <f aca="false">IFERROR(IF(OR(NOT(ISNUMBER(L16)),N(L18)=0),"",L16/L18),"")</f>
        <v/>
      </c>
      <c r="M17" s="50" t="str">
        <f aca="false">IFERROR(IF(OR(NOT(ISNUMBER(M16)),N(M18)=0),"",M16/M18),"")</f>
        <v/>
      </c>
      <c r="N17" s="50" t="str">
        <f aca="false">IFERROR(IF(OR(NOT(ISNUMBER(N16)),N(N18)=0),"",N16/N18),"")</f>
        <v/>
      </c>
      <c r="O17" s="68" t="str">
        <f aca="false">IFERROR(IF(OR(NOT(ISNUMBER(O16)),N(O18)=0),"",O16/O18),"")</f>
        <v/>
      </c>
    </row>
    <row r="18" customFormat="false" ht="15" hidden="true" customHeight="false" outlineLevel="1" collapsed="false">
      <c r="A18" s="11" t="s">
        <v>2095</v>
      </c>
      <c r="B18" s="15" t="s">
        <v>2089</v>
      </c>
      <c r="C18" s="11" t="s">
        <v>544</v>
      </c>
      <c r="D18" s="48" t="n">
        <f aca="false">IF(cu_P=1,SUMIFS(Calculo!$F$23:$ES$23,Calculo!$F$16:$ES$16,1),SUMIFS(Calculo!$F$179:$ES$179,Calculo!$F$172:$ES$172,1))</f>
        <v>0</v>
      </c>
      <c r="E18" s="48" t="n">
        <f aca="false">IF(cu_P=1,SUMIFS(Calculo!$F$23:$ES$23,Calculo!$F$14:$ES$14,1),SUMIFS(Calculo!$F$179:$ES$179,Calculo!$F$170:$ES$170,1))</f>
        <v>0</v>
      </c>
      <c r="F18" s="48" t="n">
        <f aca="false">IF(cu_P=1,SUMIFS(Calculo!$F$23:$ES$23,Calculo!$F$14:$ES$14,2),SUMIFS(Calculo!$F$179:$ES$179,Calculo!$F$170:$ES$170,2))</f>
        <v>0</v>
      </c>
      <c r="G18" s="48" t="n">
        <f aca="false">IF(cu_P=1,SUMIFS(Calculo!$F$23:$ES$23,Calculo!$F$14:$ES$14,3),SUMIFS(Calculo!$F$179:$ES$179,Calculo!$F$170:$ES$170,3))</f>
        <v>0</v>
      </c>
      <c r="H18" s="48" t="n">
        <f aca="false">IF(cu_P=1,SUMIFS(Calculo!$F$23:$ES$23,Calculo!$F$14:$ES$14,4),SUMIFS(Calculo!$F$179:$ES$179,Calculo!$F$170:$ES$170,4))</f>
        <v>0</v>
      </c>
      <c r="I18" s="48" t="n">
        <f aca="false">IF(cu_P=1,SUMIFS(Calculo!$F$23:$ES$23,Calculo!$F$14:$ES$14,5),SUMIFS(Calculo!$F$179:$ES$179,Calculo!$F$170:$ES$170,5))</f>
        <v>0</v>
      </c>
      <c r="J18" s="48" t="n">
        <f aca="false">IF(cu_P=1,SUMIFS(Calculo!$F$23:$ES$23,Calculo!$F$14:$ES$14,6),SUMIFS(Calculo!$F$179:$ES$179,Calculo!$F$170:$ES$170,6))</f>
        <v>0</v>
      </c>
      <c r="K18" s="48" t="n">
        <f aca="false">IF(cu_P=1,SUMIFS(Calculo!$F$23:$ES$23,Calculo!$F$14:$ES$14,7),SUMIFS(Calculo!$F$179:$ES$179,Calculo!$F$170:$ES$170,7))</f>
        <v>0</v>
      </c>
      <c r="L18" s="48" t="n">
        <f aca="false">IF(cu_P=1,SUMIFS(Calculo!$F$23:$ES$23,Calculo!$F$14:$ES$14,8),SUMIFS(Calculo!$F$179:$ES$179,Calculo!$F$170:$ES$170,8))</f>
        <v>0</v>
      </c>
      <c r="M18" s="48" t="n">
        <f aca="false">IF(cu_P=1,SUMIFS(Calculo!$F$23:$ES$23,Calculo!$F$14:$ES$14,9),SUMIFS(Calculo!$F$179:$ES$179,Calculo!$F$170:$ES$170,9))</f>
        <v>0</v>
      </c>
      <c r="N18" s="48" t="n">
        <f aca="false">IF(cu_P=1,SUMIFS(Calculo!$F$23:$ES$23,Calculo!$F$14:$ES$14,10),SUMIFS(Calculo!$F$179:$ES$179,Calculo!$F$170:$ES$170,10))</f>
        <v>0</v>
      </c>
      <c r="O18" s="54" t="n">
        <f aca="false">SUM(D18:N18)</f>
        <v>0</v>
      </c>
    </row>
    <row r="19" customFormat="false" ht="15" hidden="true" customHeight="false" outlineLevel="1" collapsed="false">
      <c r="A19" s="11" t="s">
        <v>2096</v>
      </c>
      <c r="B19" s="53" t="str">
        <f aca="false">IF(INDEX(Prod_Nombre,4)="","Producto 4",INDEX(Prod_Nombre,4))</f>
        <v>Producto 4</v>
      </c>
      <c r="C19" s="11" t="s">
        <v>508</v>
      </c>
      <c r="D19" s="48" t="n">
        <f aca="false">IF(cu_P=1,SUMIFS(Calculo!$F$24:$ES$24,Calculo!$F$16:$ES$16,1)*N(INDEX(MP_O,4))*INDEX(IdxMP_O,1,1)*(1+P_dMat)/(1-P_Merma),SUMIFS(Calculo!$F$180:$ES$180,Calculo!$F$172:$ES$172,1)*N(INDEX(MP_V,4))*INDEX(IdxMP_V,1,1)*(1+V_dMat)/(1-V_Merma))</f>
        <v>0</v>
      </c>
      <c r="E19" s="48" t="n">
        <f aca="false">IF(cu_P=1,SUMIFS(Calculo!$F$24:$ES$24,Calculo!$F$14:$ES$14,1)*N(INDEX(MP_O,4))*INDEX(IdxMP_O,1,1)*(1+P_dMat)/(1-P_Merma),SUMIFS(Calculo!$F$180:$ES$180,Calculo!$F$170:$ES$170,1)*N(INDEX(MP_V,4))*INDEX(IdxMP_V,1,1)*(1+V_dMat)/(1-V_Merma))</f>
        <v>0</v>
      </c>
      <c r="F19" s="48" t="n">
        <f aca="false">IF(cu_P=1,SUMIFS(Calculo!$F$24:$ES$24,Calculo!$F$14:$ES$14,2)*N(INDEX(MP_O,4))*INDEX(IdxMP_O,1,2)*(1+P_dMat)/(1-P_Merma),SUMIFS(Calculo!$F$180:$ES$180,Calculo!$F$170:$ES$170,2)*N(INDEX(MP_V,4))*INDEX(IdxMP_V,1,2)*(1+V_dMat)/(1-V_Merma))</f>
        <v>0</v>
      </c>
      <c r="G19" s="48" t="n">
        <f aca="false">IF(cu_P=1,SUMIFS(Calculo!$F$24:$ES$24,Calculo!$F$14:$ES$14,3)*N(INDEX(MP_O,4))*INDEX(IdxMP_O,1,3)*(1+P_dMat)/(1-P_Merma),SUMIFS(Calculo!$F$180:$ES$180,Calculo!$F$170:$ES$170,3)*N(INDEX(MP_V,4))*INDEX(IdxMP_V,1,3)*(1+V_dMat)/(1-V_Merma))</f>
        <v>0</v>
      </c>
      <c r="H19" s="48" t="n">
        <f aca="false">IF(cu_P=1,SUMIFS(Calculo!$F$24:$ES$24,Calculo!$F$14:$ES$14,4)*N(INDEX(MP_O,4))*INDEX(IdxMP_O,1,4)*(1+P_dMat)/(1-P_Merma),SUMIFS(Calculo!$F$180:$ES$180,Calculo!$F$170:$ES$170,4)*N(INDEX(MP_V,4))*INDEX(IdxMP_V,1,4)*(1+V_dMat)/(1-V_Merma))</f>
        <v>0</v>
      </c>
      <c r="I19" s="48" t="n">
        <f aca="false">IF(cu_P=1,SUMIFS(Calculo!$F$24:$ES$24,Calculo!$F$14:$ES$14,5)*N(INDEX(MP_O,4))*INDEX(IdxMP_O,1,5)*(1+P_dMat)/(1-P_Merma),SUMIFS(Calculo!$F$180:$ES$180,Calculo!$F$170:$ES$170,5)*N(INDEX(MP_V,4))*INDEX(IdxMP_V,1,5)*(1+V_dMat)/(1-V_Merma))</f>
        <v>0</v>
      </c>
      <c r="J19" s="48" t="n">
        <f aca="false">IF(cu_P=1,SUMIFS(Calculo!$F$24:$ES$24,Calculo!$F$14:$ES$14,6)*N(INDEX(MP_O,4))*INDEX(IdxMP_O,1,6)*(1+P_dMat)/(1-P_Merma),SUMIFS(Calculo!$F$180:$ES$180,Calculo!$F$170:$ES$170,6)*N(INDEX(MP_V,4))*INDEX(IdxMP_V,1,6)*(1+V_dMat)/(1-V_Merma))</f>
        <v>0</v>
      </c>
      <c r="K19" s="48" t="n">
        <f aca="false">IF(cu_P=1,SUMIFS(Calculo!$F$24:$ES$24,Calculo!$F$14:$ES$14,7)*N(INDEX(MP_O,4))*INDEX(IdxMP_O,1,7)*(1+P_dMat)/(1-P_Merma),SUMIFS(Calculo!$F$180:$ES$180,Calculo!$F$170:$ES$170,7)*N(INDEX(MP_V,4))*INDEX(IdxMP_V,1,7)*(1+V_dMat)/(1-V_Merma))</f>
        <v>0</v>
      </c>
      <c r="L19" s="48" t="n">
        <f aca="false">IF(cu_P=1,SUMIFS(Calculo!$F$24:$ES$24,Calculo!$F$14:$ES$14,8)*N(INDEX(MP_O,4))*INDEX(IdxMP_O,1,8)*(1+P_dMat)/(1-P_Merma),SUMIFS(Calculo!$F$180:$ES$180,Calculo!$F$170:$ES$170,8)*N(INDEX(MP_V,4))*INDEX(IdxMP_V,1,8)*(1+V_dMat)/(1-V_Merma))</f>
        <v>0</v>
      </c>
      <c r="M19" s="48" t="n">
        <f aca="false">IF(cu_P=1,SUMIFS(Calculo!$F$24:$ES$24,Calculo!$F$14:$ES$14,9)*N(INDEX(MP_O,4))*INDEX(IdxMP_O,1,9)*(1+P_dMat)/(1-P_Merma),SUMIFS(Calculo!$F$180:$ES$180,Calculo!$F$170:$ES$170,9)*N(INDEX(MP_V,4))*INDEX(IdxMP_V,1,9)*(1+V_dMat)/(1-V_Merma))</f>
        <v>0</v>
      </c>
      <c r="N19" s="48" t="n">
        <f aca="false">IF(cu_P=1,SUMIFS(Calculo!$F$24:$ES$24,Calculo!$F$14:$ES$14,10)*N(INDEX(MP_O,4))*INDEX(IdxMP_O,1,10)*(1+P_dMat)/(1-P_Merma),SUMIFS(Calculo!$F$180:$ES$180,Calculo!$F$170:$ES$170,10)*N(INDEX(MP_V,4))*INDEX(IdxMP_V,1,10)*(1+V_dMat)/(1-V_Merma))</f>
        <v>0</v>
      </c>
      <c r="O19" s="54" t="n">
        <f aca="false">SUM(D19:N19)</f>
        <v>0</v>
      </c>
    </row>
    <row r="20" customFormat="false" ht="15" hidden="true" customHeight="false" outlineLevel="1" collapsed="false">
      <c r="A20" s="11" t="s">
        <v>2097</v>
      </c>
      <c r="B20" s="15" t="s">
        <v>2087</v>
      </c>
      <c r="C20" s="11" t="s">
        <v>748</v>
      </c>
      <c r="E20" s="50" t="str">
        <f aca="false">IFERROR(IF(OR(NOT(ISNUMBER(E19)),N(E21)=0),"",E19/E21),"")</f>
        <v/>
      </c>
      <c r="F20" s="50" t="str">
        <f aca="false">IFERROR(IF(OR(NOT(ISNUMBER(F19)),N(F21)=0),"",F19/F21),"")</f>
        <v/>
      </c>
      <c r="G20" s="50" t="str">
        <f aca="false">IFERROR(IF(OR(NOT(ISNUMBER(G19)),N(G21)=0),"",G19/G21),"")</f>
        <v/>
      </c>
      <c r="H20" s="50" t="str">
        <f aca="false">IFERROR(IF(OR(NOT(ISNUMBER(H19)),N(H21)=0),"",H19/H21),"")</f>
        <v/>
      </c>
      <c r="I20" s="50" t="str">
        <f aca="false">IFERROR(IF(OR(NOT(ISNUMBER(I19)),N(I21)=0),"",I19/I21),"")</f>
        <v/>
      </c>
      <c r="J20" s="50" t="str">
        <f aca="false">IFERROR(IF(OR(NOT(ISNUMBER(J19)),N(J21)=0),"",J19/J21),"")</f>
        <v/>
      </c>
      <c r="K20" s="50" t="str">
        <f aca="false">IFERROR(IF(OR(NOT(ISNUMBER(K19)),N(K21)=0),"",K19/K21),"")</f>
        <v/>
      </c>
      <c r="L20" s="50" t="str">
        <f aca="false">IFERROR(IF(OR(NOT(ISNUMBER(L19)),N(L21)=0),"",L19/L21),"")</f>
        <v/>
      </c>
      <c r="M20" s="50" t="str">
        <f aca="false">IFERROR(IF(OR(NOT(ISNUMBER(M19)),N(M21)=0),"",M19/M21),"")</f>
        <v/>
      </c>
      <c r="N20" s="50" t="str">
        <f aca="false">IFERROR(IF(OR(NOT(ISNUMBER(N19)),N(N21)=0),"",N19/N21),"")</f>
        <v/>
      </c>
      <c r="O20" s="68" t="str">
        <f aca="false">IFERROR(IF(OR(NOT(ISNUMBER(O19)),N(O21)=0),"",O19/O21),"")</f>
        <v/>
      </c>
    </row>
    <row r="21" customFormat="false" ht="15" hidden="true" customHeight="false" outlineLevel="1" collapsed="false">
      <c r="A21" s="11" t="s">
        <v>2098</v>
      </c>
      <c r="B21" s="15" t="s">
        <v>2089</v>
      </c>
      <c r="C21" s="11" t="s">
        <v>544</v>
      </c>
      <c r="D21" s="48" t="n">
        <f aca="false">IF(cu_P=1,SUMIFS(Calculo!$F$24:$ES$24,Calculo!$F$16:$ES$16,1),SUMIFS(Calculo!$F$180:$ES$180,Calculo!$F$172:$ES$172,1))</f>
        <v>0</v>
      </c>
      <c r="E21" s="48" t="n">
        <f aca="false">IF(cu_P=1,SUMIFS(Calculo!$F$24:$ES$24,Calculo!$F$14:$ES$14,1),SUMIFS(Calculo!$F$180:$ES$180,Calculo!$F$170:$ES$170,1))</f>
        <v>0</v>
      </c>
      <c r="F21" s="48" t="n">
        <f aca="false">IF(cu_P=1,SUMIFS(Calculo!$F$24:$ES$24,Calculo!$F$14:$ES$14,2),SUMIFS(Calculo!$F$180:$ES$180,Calculo!$F$170:$ES$170,2))</f>
        <v>0</v>
      </c>
      <c r="G21" s="48" t="n">
        <f aca="false">IF(cu_P=1,SUMIFS(Calculo!$F$24:$ES$24,Calculo!$F$14:$ES$14,3),SUMIFS(Calculo!$F$180:$ES$180,Calculo!$F$170:$ES$170,3))</f>
        <v>0</v>
      </c>
      <c r="H21" s="48" t="n">
        <f aca="false">IF(cu_P=1,SUMIFS(Calculo!$F$24:$ES$24,Calculo!$F$14:$ES$14,4),SUMIFS(Calculo!$F$180:$ES$180,Calculo!$F$170:$ES$170,4))</f>
        <v>0</v>
      </c>
      <c r="I21" s="48" t="n">
        <f aca="false">IF(cu_P=1,SUMIFS(Calculo!$F$24:$ES$24,Calculo!$F$14:$ES$14,5),SUMIFS(Calculo!$F$180:$ES$180,Calculo!$F$170:$ES$170,5))</f>
        <v>0</v>
      </c>
      <c r="J21" s="48" t="n">
        <f aca="false">IF(cu_P=1,SUMIFS(Calculo!$F$24:$ES$24,Calculo!$F$14:$ES$14,6),SUMIFS(Calculo!$F$180:$ES$180,Calculo!$F$170:$ES$170,6))</f>
        <v>0</v>
      </c>
      <c r="K21" s="48" t="n">
        <f aca="false">IF(cu_P=1,SUMIFS(Calculo!$F$24:$ES$24,Calculo!$F$14:$ES$14,7),SUMIFS(Calculo!$F$180:$ES$180,Calculo!$F$170:$ES$170,7))</f>
        <v>0</v>
      </c>
      <c r="L21" s="48" t="n">
        <f aca="false">IF(cu_P=1,SUMIFS(Calculo!$F$24:$ES$24,Calculo!$F$14:$ES$14,8),SUMIFS(Calculo!$F$180:$ES$180,Calculo!$F$170:$ES$170,8))</f>
        <v>0</v>
      </c>
      <c r="M21" s="48" t="n">
        <f aca="false">IF(cu_P=1,SUMIFS(Calculo!$F$24:$ES$24,Calculo!$F$14:$ES$14,9),SUMIFS(Calculo!$F$180:$ES$180,Calculo!$F$170:$ES$170,9))</f>
        <v>0</v>
      </c>
      <c r="N21" s="48" t="n">
        <f aca="false">IF(cu_P=1,SUMIFS(Calculo!$F$24:$ES$24,Calculo!$F$14:$ES$14,10),SUMIFS(Calculo!$F$180:$ES$180,Calculo!$F$170:$ES$170,10))</f>
        <v>0</v>
      </c>
      <c r="O21" s="54" t="n">
        <f aca="false">SUM(D21:N21)</f>
        <v>0</v>
      </c>
    </row>
    <row r="22" customFormat="false" ht="15" hidden="true" customHeight="false" outlineLevel="1" collapsed="false">
      <c r="A22" s="11" t="s">
        <v>2099</v>
      </c>
      <c r="B22" s="53" t="str">
        <f aca="false">IF(INDEX(Prod_Nombre,5)="","Producto 5",INDEX(Prod_Nombre,5))</f>
        <v>Producto 5</v>
      </c>
      <c r="C22" s="11" t="s">
        <v>508</v>
      </c>
      <c r="D22" s="48" t="n">
        <f aca="false">IF(cu_P=1,SUMIFS(Calculo!$F$25:$ES$25,Calculo!$F$16:$ES$16,1)*N(INDEX(MP_O,5))*INDEX(IdxMP_O,1,1)*(1+P_dMat)/(1-P_Merma),SUMIFS(Calculo!$F$181:$ES$181,Calculo!$F$172:$ES$172,1)*N(INDEX(MP_V,5))*INDEX(IdxMP_V,1,1)*(1+V_dMat)/(1-V_Merma))</f>
        <v>0</v>
      </c>
      <c r="E22" s="48" t="n">
        <f aca="false">IF(cu_P=1,SUMIFS(Calculo!$F$25:$ES$25,Calculo!$F$14:$ES$14,1)*N(INDEX(MP_O,5))*INDEX(IdxMP_O,1,1)*(1+P_dMat)/(1-P_Merma),SUMIFS(Calculo!$F$181:$ES$181,Calculo!$F$170:$ES$170,1)*N(INDEX(MP_V,5))*INDEX(IdxMP_V,1,1)*(1+V_dMat)/(1-V_Merma))</f>
        <v>0</v>
      </c>
      <c r="F22" s="48" t="n">
        <f aca="false">IF(cu_P=1,SUMIFS(Calculo!$F$25:$ES$25,Calculo!$F$14:$ES$14,2)*N(INDEX(MP_O,5))*INDEX(IdxMP_O,1,2)*(1+P_dMat)/(1-P_Merma),SUMIFS(Calculo!$F$181:$ES$181,Calculo!$F$170:$ES$170,2)*N(INDEX(MP_V,5))*INDEX(IdxMP_V,1,2)*(1+V_dMat)/(1-V_Merma))</f>
        <v>0</v>
      </c>
      <c r="G22" s="48" t="n">
        <f aca="false">IF(cu_P=1,SUMIFS(Calculo!$F$25:$ES$25,Calculo!$F$14:$ES$14,3)*N(INDEX(MP_O,5))*INDEX(IdxMP_O,1,3)*(1+P_dMat)/(1-P_Merma),SUMIFS(Calculo!$F$181:$ES$181,Calculo!$F$170:$ES$170,3)*N(INDEX(MP_V,5))*INDEX(IdxMP_V,1,3)*(1+V_dMat)/(1-V_Merma))</f>
        <v>0</v>
      </c>
      <c r="H22" s="48" t="n">
        <f aca="false">IF(cu_P=1,SUMIFS(Calculo!$F$25:$ES$25,Calculo!$F$14:$ES$14,4)*N(INDEX(MP_O,5))*INDEX(IdxMP_O,1,4)*(1+P_dMat)/(1-P_Merma),SUMIFS(Calculo!$F$181:$ES$181,Calculo!$F$170:$ES$170,4)*N(INDEX(MP_V,5))*INDEX(IdxMP_V,1,4)*(1+V_dMat)/(1-V_Merma))</f>
        <v>0</v>
      </c>
      <c r="I22" s="48" t="n">
        <f aca="false">IF(cu_P=1,SUMIFS(Calculo!$F$25:$ES$25,Calculo!$F$14:$ES$14,5)*N(INDEX(MP_O,5))*INDEX(IdxMP_O,1,5)*(1+P_dMat)/(1-P_Merma),SUMIFS(Calculo!$F$181:$ES$181,Calculo!$F$170:$ES$170,5)*N(INDEX(MP_V,5))*INDEX(IdxMP_V,1,5)*(1+V_dMat)/(1-V_Merma))</f>
        <v>0</v>
      </c>
      <c r="J22" s="48" t="n">
        <f aca="false">IF(cu_P=1,SUMIFS(Calculo!$F$25:$ES$25,Calculo!$F$14:$ES$14,6)*N(INDEX(MP_O,5))*INDEX(IdxMP_O,1,6)*(1+P_dMat)/(1-P_Merma),SUMIFS(Calculo!$F$181:$ES$181,Calculo!$F$170:$ES$170,6)*N(INDEX(MP_V,5))*INDEX(IdxMP_V,1,6)*(1+V_dMat)/(1-V_Merma))</f>
        <v>0</v>
      </c>
      <c r="K22" s="48" t="n">
        <f aca="false">IF(cu_P=1,SUMIFS(Calculo!$F$25:$ES$25,Calculo!$F$14:$ES$14,7)*N(INDEX(MP_O,5))*INDEX(IdxMP_O,1,7)*(1+P_dMat)/(1-P_Merma),SUMIFS(Calculo!$F$181:$ES$181,Calculo!$F$170:$ES$170,7)*N(INDEX(MP_V,5))*INDEX(IdxMP_V,1,7)*(1+V_dMat)/(1-V_Merma))</f>
        <v>0</v>
      </c>
      <c r="L22" s="48" t="n">
        <f aca="false">IF(cu_P=1,SUMIFS(Calculo!$F$25:$ES$25,Calculo!$F$14:$ES$14,8)*N(INDEX(MP_O,5))*INDEX(IdxMP_O,1,8)*(1+P_dMat)/(1-P_Merma),SUMIFS(Calculo!$F$181:$ES$181,Calculo!$F$170:$ES$170,8)*N(INDEX(MP_V,5))*INDEX(IdxMP_V,1,8)*(1+V_dMat)/(1-V_Merma))</f>
        <v>0</v>
      </c>
      <c r="M22" s="48" t="n">
        <f aca="false">IF(cu_P=1,SUMIFS(Calculo!$F$25:$ES$25,Calculo!$F$14:$ES$14,9)*N(INDEX(MP_O,5))*INDEX(IdxMP_O,1,9)*(1+P_dMat)/(1-P_Merma),SUMIFS(Calculo!$F$181:$ES$181,Calculo!$F$170:$ES$170,9)*N(INDEX(MP_V,5))*INDEX(IdxMP_V,1,9)*(1+V_dMat)/(1-V_Merma))</f>
        <v>0</v>
      </c>
      <c r="N22" s="48" t="n">
        <f aca="false">IF(cu_P=1,SUMIFS(Calculo!$F$25:$ES$25,Calculo!$F$14:$ES$14,10)*N(INDEX(MP_O,5))*INDEX(IdxMP_O,1,10)*(1+P_dMat)/(1-P_Merma),SUMIFS(Calculo!$F$181:$ES$181,Calculo!$F$170:$ES$170,10)*N(INDEX(MP_V,5))*INDEX(IdxMP_V,1,10)*(1+V_dMat)/(1-V_Merma))</f>
        <v>0</v>
      </c>
      <c r="O22" s="54" t="n">
        <f aca="false">SUM(D22:N22)</f>
        <v>0</v>
      </c>
    </row>
    <row r="23" customFormat="false" ht="15" hidden="true" customHeight="false" outlineLevel="1" collapsed="false">
      <c r="A23" s="11" t="s">
        <v>2100</v>
      </c>
      <c r="B23" s="15" t="s">
        <v>2087</v>
      </c>
      <c r="C23" s="11" t="s">
        <v>748</v>
      </c>
      <c r="E23" s="50" t="str">
        <f aca="false">IFERROR(IF(OR(NOT(ISNUMBER(E22)),N(E24)=0),"",E22/E24),"")</f>
        <v/>
      </c>
      <c r="F23" s="50" t="str">
        <f aca="false">IFERROR(IF(OR(NOT(ISNUMBER(F22)),N(F24)=0),"",F22/F24),"")</f>
        <v/>
      </c>
      <c r="G23" s="50" t="str">
        <f aca="false">IFERROR(IF(OR(NOT(ISNUMBER(G22)),N(G24)=0),"",G22/G24),"")</f>
        <v/>
      </c>
      <c r="H23" s="50" t="str">
        <f aca="false">IFERROR(IF(OR(NOT(ISNUMBER(H22)),N(H24)=0),"",H22/H24),"")</f>
        <v/>
      </c>
      <c r="I23" s="50" t="str">
        <f aca="false">IFERROR(IF(OR(NOT(ISNUMBER(I22)),N(I24)=0),"",I22/I24),"")</f>
        <v/>
      </c>
      <c r="J23" s="50" t="str">
        <f aca="false">IFERROR(IF(OR(NOT(ISNUMBER(J22)),N(J24)=0),"",J22/J24),"")</f>
        <v/>
      </c>
      <c r="K23" s="50" t="str">
        <f aca="false">IFERROR(IF(OR(NOT(ISNUMBER(K22)),N(K24)=0),"",K22/K24),"")</f>
        <v/>
      </c>
      <c r="L23" s="50" t="str">
        <f aca="false">IFERROR(IF(OR(NOT(ISNUMBER(L22)),N(L24)=0),"",L22/L24),"")</f>
        <v/>
      </c>
      <c r="M23" s="50" t="str">
        <f aca="false">IFERROR(IF(OR(NOT(ISNUMBER(M22)),N(M24)=0),"",M22/M24),"")</f>
        <v/>
      </c>
      <c r="N23" s="50" t="str">
        <f aca="false">IFERROR(IF(OR(NOT(ISNUMBER(N22)),N(N24)=0),"",N22/N24),"")</f>
        <v/>
      </c>
      <c r="O23" s="68" t="str">
        <f aca="false">IFERROR(IF(OR(NOT(ISNUMBER(O22)),N(O24)=0),"",O22/O24),"")</f>
        <v/>
      </c>
    </row>
    <row r="24" customFormat="false" ht="15" hidden="true" customHeight="false" outlineLevel="1" collapsed="false">
      <c r="A24" s="11" t="s">
        <v>2101</v>
      </c>
      <c r="B24" s="15" t="s">
        <v>2089</v>
      </c>
      <c r="C24" s="11" t="s">
        <v>544</v>
      </c>
      <c r="D24" s="48" t="n">
        <f aca="false">IF(cu_P=1,SUMIFS(Calculo!$F$25:$ES$25,Calculo!$F$16:$ES$16,1),SUMIFS(Calculo!$F$181:$ES$181,Calculo!$F$172:$ES$172,1))</f>
        <v>0</v>
      </c>
      <c r="E24" s="48" t="n">
        <f aca="false">IF(cu_P=1,SUMIFS(Calculo!$F$25:$ES$25,Calculo!$F$14:$ES$14,1),SUMIFS(Calculo!$F$181:$ES$181,Calculo!$F$170:$ES$170,1))</f>
        <v>0</v>
      </c>
      <c r="F24" s="48" t="n">
        <f aca="false">IF(cu_P=1,SUMIFS(Calculo!$F$25:$ES$25,Calculo!$F$14:$ES$14,2),SUMIFS(Calculo!$F$181:$ES$181,Calculo!$F$170:$ES$170,2))</f>
        <v>0</v>
      </c>
      <c r="G24" s="48" t="n">
        <f aca="false">IF(cu_P=1,SUMIFS(Calculo!$F$25:$ES$25,Calculo!$F$14:$ES$14,3),SUMIFS(Calculo!$F$181:$ES$181,Calculo!$F$170:$ES$170,3))</f>
        <v>0</v>
      </c>
      <c r="H24" s="48" t="n">
        <f aca="false">IF(cu_P=1,SUMIFS(Calculo!$F$25:$ES$25,Calculo!$F$14:$ES$14,4),SUMIFS(Calculo!$F$181:$ES$181,Calculo!$F$170:$ES$170,4))</f>
        <v>0</v>
      </c>
      <c r="I24" s="48" t="n">
        <f aca="false">IF(cu_P=1,SUMIFS(Calculo!$F$25:$ES$25,Calculo!$F$14:$ES$14,5),SUMIFS(Calculo!$F$181:$ES$181,Calculo!$F$170:$ES$170,5))</f>
        <v>0</v>
      </c>
      <c r="J24" s="48" t="n">
        <f aca="false">IF(cu_P=1,SUMIFS(Calculo!$F$25:$ES$25,Calculo!$F$14:$ES$14,6),SUMIFS(Calculo!$F$181:$ES$181,Calculo!$F$170:$ES$170,6))</f>
        <v>0</v>
      </c>
      <c r="K24" s="48" t="n">
        <f aca="false">IF(cu_P=1,SUMIFS(Calculo!$F$25:$ES$25,Calculo!$F$14:$ES$14,7),SUMIFS(Calculo!$F$181:$ES$181,Calculo!$F$170:$ES$170,7))</f>
        <v>0</v>
      </c>
      <c r="L24" s="48" t="n">
        <f aca="false">IF(cu_P=1,SUMIFS(Calculo!$F$25:$ES$25,Calculo!$F$14:$ES$14,8),SUMIFS(Calculo!$F$181:$ES$181,Calculo!$F$170:$ES$170,8))</f>
        <v>0</v>
      </c>
      <c r="M24" s="48" t="n">
        <f aca="false">IF(cu_P=1,SUMIFS(Calculo!$F$25:$ES$25,Calculo!$F$14:$ES$14,9),SUMIFS(Calculo!$F$181:$ES$181,Calculo!$F$170:$ES$170,9))</f>
        <v>0</v>
      </c>
      <c r="N24" s="48" t="n">
        <f aca="false">IF(cu_P=1,SUMIFS(Calculo!$F$25:$ES$25,Calculo!$F$14:$ES$14,10),SUMIFS(Calculo!$F$181:$ES$181,Calculo!$F$170:$ES$170,10))</f>
        <v>0</v>
      </c>
      <c r="O24" s="54" t="n">
        <f aca="false">SUM(D24:N24)</f>
        <v>0</v>
      </c>
    </row>
    <row r="25" customFormat="false" ht="15" hidden="true" customHeight="false" outlineLevel="1" collapsed="false">
      <c r="A25" s="11" t="s">
        <v>2102</v>
      </c>
      <c r="B25" s="53" t="str">
        <f aca="false">IF(INDEX(Prod_Nombre,6)="","Producto 6",INDEX(Prod_Nombre,6))</f>
        <v>Producto 6</v>
      </c>
      <c r="C25" s="11" t="s">
        <v>508</v>
      </c>
      <c r="D25" s="48" t="n">
        <f aca="false">IF(cu_P=1,SUMIFS(Calculo!$F$26:$ES$26,Calculo!$F$16:$ES$16,1)*N(INDEX(MP_O,6))*INDEX(IdxMP_O,1,1)*(1+P_dMat)/(1-P_Merma),SUMIFS(Calculo!$F$182:$ES$182,Calculo!$F$172:$ES$172,1)*N(INDEX(MP_V,6))*INDEX(IdxMP_V,1,1)*(1+V_dMat)/(1-V_Merma))</f>
        <v>0</v>
      </c>
      <c r="E25" s="48" t="n">
        <f aca="false">IF(cu_P=1,SUMIFS(Calculo!$F$26:$ES$26,Calculo!$F$14:$ES$14,1)*N(INDEX(MP_O,6))*INDEX(IdxMP_O,1,1)*(1+P_dMat)/(1-P_Merma),SUMIFS(Calculo!$F$182:$ES$182,Calculo!$F$170:$ES$170,1)*N(INDEX(MP_V,6))*INDEX(IdxMP_V,1,1)*(1+V_dMat)/(1-V_Merma))</f>
        <v>0</v>
      </c>
      <c r="F25" s="48" t="n">
        <f aca="false">IF(cu_P=1,SUMIFS(Calculo!$F$26:$ES$26,Calculo!$F$14:$ES$14,2)*N(INDEX(MP_O,6))*INDEX(IdxMP_O,1,2)*(1+P_dMat)/(1-P_Merma),SUMIFS(Calculo!$F$182:$ES$182,Calculo!$F$170:$ES$170,2)*N(INDEX(MP_V,6))*INDEX(IdxMP_V,1,2)*(1+V_dMat)/(1-V_Merma))</f>
        <v>0</v>
      </c>
      <c r="G25" s="48" t="n">
        <f aca="false">IF(cu_P=1,SUMIFS(Calculo!$F$26:$ES$26,Calculo!$F$14:$ES$14,3)*N(INDEX(MP_O,6))*INDEX(IdxMP_O,1,3)*(1+P_dMat)/(1-P_Merma),SUMIFS(Calculo!$F$182:$ES$182,Calculo!$F$170:$ES$170,3)*N(INDEX(MP_V,6))*INDEX(IdxMP_V,1,3)*(1+V_dMat)/(1-V_Merma))</f>
        <v>0</v>
      </c>
      <c r="H25" s="48" t="n">
        <f aca="false">IF(cu_P=1,SUMIFS(Calculo!$F$26:$ES$26,Calculo!$F$14:$ES$14,4)*N(INDEX(MP_O,6))*INDEX(IdxMP_O,1,4)*(1+P_dMat)/(1-P_Merma),SUMIFS(Calculo!$F$182:$ES$182,Calculo!$F$170:$ES$170,4)*N(INDEX(MP_V,6))*INDEX(IdxMP_V,1,4)*(1+V_dMat)/(1-V_Merma))</f>
        <v>0</v>
      </c>
      <c r="I25" s="48" t="n">
        <f aca="false">IF(cu_P=1,SUMIFS(Calculo!$F$26:$ES$26,Calculo!$F$14:$ES$14,5)*N(INDEX(MP_O,6))*INDEX(IdxMP_O,1,5)*(1+P_dMat)/(1-P_Merma),SUMIFS(Calculo!$F$182:$ES$182,Calculo!$F$170:$ES$170,5)*N(INDEX(MP_V,6))*INDEX(IdxMP_V,1,5)*(1+V_dMat)/(1-V_Merma))</f>
        <v>0</v>
      </c>
      <c r="J25" s="48" t="n">
        <f aca="false">IF(cu_P=1,SUMIFS(Calculo!$F$26:$ES$26,Calculo!$F$14:$ES$14,6)*N(INDEX(MP_O,6))*INDEX(IdxMP_O,1,6)*(1+P_dMat)/(1-P_Merma),SUMIFS(Calculo!$F$182:$ES$182,Calculo!$F$170:$ES$170,6)*N(INDEX(MP_V,6))*INDEX(IdxMP_V,1,6)*(1+V_dMat)/(1-V_Merma))</f>
        <v>0</v>
      </c>
      <c r="K25" s="48" t="n">
        <f aca="false">IF(cu_P=1,SUMIFS(Calculo!$F$26:$ES$26,Calculo!$F$14:$ES$14,7)*N(INDEX(MP_O,6))*INDEX(IdxMP_O,1,7)*(1+P_dMat)/(1-P_Merma),SUMIFS(Calculo!$F$182:$ES$182,Calculo!$F$170:$ES$170,7)*N(INDEX(MP_V,6))*INDEX(IdxMP_V,1,7)*(1+V_dMat)/(1-V_Merma))</f>
        <v>0</v>
      </c>
      <c r="L25" s="48" t="n">
        <f aca="false">IF(cu_P=1,SUMIFS(Calculo!$F$26:$ES$26,Calculo!$F$14:$ES$14,8)*N(INDEX(MP_O,6))*INDEX(IdxMP_O,1,8)*(1+P_dMat)/(1-P_Merma),SUMIFS(Calculo!$F$182:$ES$182,Calculo!$F$170:$ES$170,8)*N(INDEX(MP_V,6))*INDEX(IdxMP_V,1,8)*(1+V_dMat)/(1-V_Merma))</f>
        <v>0</v>
      </c>
      <c r="M25" s="48" t="n">
        <f aca="false">IF(cu_P=1,SUMIFS(Calculo!$F$26:$ES$26,Calculo!$F$14:$ES$14,9)*N(INDEX(MP_O,6))*INDEX(IdxMP_O,1,9)*(1+P_dMat)/(1-P_Merma),SUMIFS(Calculo!$F$182:$ES$182,Calculo!$F$170:$ES$170,9)*N(INDEX(MP_V,6))*INDEX(IdxMP_V,1,9)*(1+V_dMat)/(1-V_Merma))</f>
        <v>0</v>
      </c>
      <c r="N25" s="48" t="n">
        <f aca="false">IF(cu_P=1,SUMIFS(Calculo!$F$26:$ES$26,Calculo!$F$14:$ES$14,10)*N(INDEX(MP_O,6))*INDEX(IdxMP_O,1,10)*(1+P_dMat)/(1-P_Merma),SUMIFS(Calculo!$F$182:$ES$182,Calculo!$F$170:$ES$170,10)*N(INDEX(MP_V,6))*INDEX(IdxMP_V,1,10)*(1+V_dMat)/(1-V_Merma))</f>
        <v>0</v>
      </c>
      <c r="O25" s="54" t="n">
        <f aca="false">SUM(D25:N25)</f>
        <v>0</v>
      </c>
    </row>
    <row r="26" customFormat="false" ht="15" hidden="true" customHeight="false" outlineLevel="1" collapsed="false">
      <c r="A26" s="11" t="s">
        <v>2103</v>
      </c>
      <c r="B26" s="15" t="s">
        <v>2087</v>
      </c>
      <c r="C26" s="11" t="s">
        <v>748</v>
      </c>
      <c r="E26" s="50" t="str">
        <f aca="false">IFERROR(IF(OR(NOT(ISNUMBER(E25)),N(E27)=0),"",E25/E27),"")</f>
        <v/>
      </c>
      <c r="F26" s="50" t="str">
        <f aca="false">IFERROR(IF(OR(NOT(ISNUMBER(F25)),N(F27)=0),"",F25/F27),"")</f>
        <v/>
      </c>
      <c r="G26" s="50" t="str">
        <f aca="false">IFERROR(IF(OR(NOT(ISNUMBER(G25)),N(G27)=0),"",G25/G27),"")</f>
        <v/>
      </c>
      <c r="H26" s="50" t="str">
        <f aca="false">IFERROR(IF(OR(NOT(ISNUMBER(H25)),N(H27)=0),"",H25/H27),"")</f>
        <v/>
      </c>
      <c r="I26" s="50" t="str">
        <f aca="false">IFERROR(IF(OR(NOT(ISNUMBER(I25)),N(I27)=0),"",I25/I27),"")</f>
        <v/>
      </c>
      <c r="J26" s="50" t="str">
        <f aca="false">IFERROR(IF(OR(NOT(ISNUMBER(J25)),N(J27)=0),"",J25/J27),"")</f>
        <v/>
      </c>
      <c r="K26" s="50" t="str">
        <f aca="false">IFERROR(IF(OR(NOT(ISNUMBER(K25)),N(K27)=0),"",K25/K27),"")</f>
        <v/>
      </c>
      <c r="L26" s="50" t="str">
        <f aca="false">IFERROR(IF(OR(NOT(ISNUMBER(L25)),N(L27)=0),"",L25/L27),"")</f>
        <v/>
      </c>
      <c r="M26" s="50" t="str">
        <f aca="false">IFERROR(IF(OR(NOT(ISNUMBER(M25)),N(M27)=0),"",M25/M27),"")</f>
        <v/>
      </c>
      <c r="N26" s="50" t="str">
        <f aca="false">IFERROR(IF(OR(NOT(ISNUMBER(N25)),N(N27)=0),"",N25/N27),"")</f>
        <v/>
      </c>
      <c r="O26" s="68" t="str">
        <f aca="false">IFERROR(IF(OR(NOT(ISNUMBER(O25)),N(O27)=0),"",O25/O27),"")</f>
        <v/>
      </c>
    </row>
    <row r="27" customFormat="false" ht="15" hidden="true" customHeight="false" outlineLevel="1" collapsed="false">
      <c r="A27" s="11" t="s">
        <v>2104</v>
      </c>
      <c r="B27" s="15" t="s">
        <v>2089</v>
      </c>
      <c r="C27" s="11" t="s">
        <v>544</v>
      </c>
      <c r="D27" s="48" t="n">
        <f aca="false">IF(cu_P=1,SUMIFS(Calculo!$F$26:$ES$26,Calculo!$F$16:$ES$16,1),SUMIFS(Calculo!$F$182:$ES$182,Calculo!$F$172:$ES$172,1))</f>
        <v>0</v>
      </c>
      <c r="E27" s="48" t="n">
        <f aca="false">IF(cu_P=1,SUMIFS(Calculo!$F$26:$ES$26,Calculo!$F$14:$ES$14,1),SUMIFS(Calculo!$F$182:$ES$182,Calculo!$F$170:$ES$170,1))</f>
        <v>0</v>
      </c>
      <c r="F27" s="48" t="n">
        <f aca="false">IF(cu_P=1,SUMIFS(Calculo!$F$26:$ES$26,Calculo!$F$14:$ES$14,2),SUMIFS(Calculo!$F$182:$ES$182,Calculo!$F$170:$ES$170,2))</f>
        <v>0</v>
      </c>
      <c r="G27" s="48" t="n">
        <f aca="false">IF(cu_P=1,SUMIFS(Calculo!$F$26:$ES$26,Calculo!$F$14:$ES$14,3),SUMIFS(Calculo!$F$182:$ES$182,Calculo!$F$170:$ES$170,3))</f>
        <v>0</v>
      </c>
      <c r="H27" s="48" t="n">
        <f aca="false">IF(cu_P=1,SUMIFS(Calculo!$F$26:$ES$26,Calculo!$F$14:$ES$14,4),SUMIFS(Calculo!$F$182:$ES$182,Calculo!$F$170:$ES$170,4))</f>
        <v>0</v>
      </c>
      <c r="I27" s="48" t="n">
        <f aca="false">IF(cu_P=1,SUMIFS(Calculo!$F$26:$ES$26,Calculo!$F$14:$ES$14,5),SUMIFS(Calculo!$F$182:$ES$182,Calculo!$F$170:$ES$170,5))</f>
        <v>0</v>
      </c>
      <c r="J27" s="48" t="n">
        <f aca="false">IF(cu_P=1,SUMIFS(Calculo!$F$26:$ES$26,Calculo!$F$14:$ES$14,6),SUMIFS(Calculo!$F$182:$ES$182,Calculo!$F$170:$ES$170,6))</f>
        <v>0</v>
      </c>
      <c r="K27" s="48" t="n">
        <f aca="false">IF(cu_P=1,SUMIFS(Calculo!$F$26:$ES$26,Calculo!$F$14:$ES$14,7),SUMIFS(Calculo!$F$182:$ES$182,Calculo!$F$170:$ES$170,7))</f>
        <v>0</v>
      </c>
      <c r="L27" s="48" t="n">
        <f aca="false">IF(cu_P=1,SUMIFS(Calculo!$F$26:$ES$26,Calculo!$F$14:$ES$14,8),SUMIFS(Calculo!$F$182:$ES$182,Calculo!$F$170:$ES$170,8))</f>
        <v>0</v>
      </c>
      <c r="M27" s="48" t="n">
        <f aca="false">IF(cu_P=1,SUMIFS(Calculo!$F$26:$ES$26,Calculo!$F$14:$ES$14,9),SUMIFS(Calculo!$F$182:$ES$182,Calculo!$F$170:$ES$170,9))</f>
        <v>0</v>
      </c>
      <c r="N27" s="48" t="n">
        <f aca="false">IF(cu_P=1,SUMIFS(Calculo!$F$26:$ES$26,Calculo!$F$14:$ES$14,10),SUMIFS(Calculo!$F$182:$ES$182,Calculo!$F$170:$ES$170,10))</f>
        <v>0</v>
      </c>
      <c r="O27" s="54" t="n">
        <f aca="false">SUM(D27:N27)</f>
        <v>0</v>
      </c>
    </row>
    <row r="28" customFormat="false" ht="15" hidden="true" customHeight="false" outlineLevel="1" collapsed="false">
      <c r="A28" s="11" t="s">
        <v>2105</v>
      </c>
      <c r="B28" s="53" t="str">
        <f aca="false">IF(INDEX(Prod_Nombre,7)="","Producto 7",INDEX(Prod_Nombre,7))</f>
        <v>Producto 7</v>
      </c>
      <c r="C28" s="11" t="s">
        <v>508</v>
      </c>
      <c r="D28" s="48" t="n">
        <f aca="false">IF(cu_P=1,SUMIFS(Calculo!$F$27:$ES$27,Calculo!$F$16:$ES$16,1)*N(INDEX(MP_O,7))*INDEX(IdxMP_O,1,1)*(1+P_dMat)/(1-P_Merma),SUMIFS(Calculo!$F$183:$ES$183,Calculo!$F$172:$ES$172,1)*N(INDEX(MP_V,7))*INDEX(IdxMP_V,1,1)*(1+V_dMat)/(1-V_Merma))</f>
        <v>0</v>
      </c>
      <c r="E28" s="48" t="n">
        <f aca="false">IF(cu_P=1,SUMIFS(Calculo!$F$27:$ES$27,Calculo!$F$14:$ES$14,1)*N(INDEX(MP_O,7))*INDEX(IdxMP_O,1,1)*(1+P_dMat)/(1-P_Merma),SUMIFS(Calculo!$F$183:$ES$183,Calculo!$F$170:$ES$170,1)*N(INDEX(MP_V,7))*INDEX(IdxMP_V,1,1)*(1+V_dMat)/(1-V_Merma))</f>
        <v>0</v>
      </c>
      <c r="F28" s="48" t="n">
        <f aca="false">IF(cu_P=1,SUMIFS(Calculo!$F$27:$ES$27,Calculo!$F$14:$ES$14,2)*N(INDEX(MP_O,7))*INDEX(IdxMP_O,1,2)*(1+P_dMat)/(1-P_Merma),SUMIFS(Calculo!$F$183:$ES$183,Calculo!$F$170:$ES$170,2)*N(INDEX(MP_V,7))*INDEX(IdxMP_V,1,2)*(1+V_dMat)/(1-V_Merma))</f>
        <v>0</v>
      </c>
      <c r="G28" s="48" t="n">
        <f aca="false">IF(cu_P=1,SUMIFS(Calculo!$F$27:$ES$27,Calculo!$F$14:$ES$14,3)*N(INDEX(MP_O,7))*INDEX(IdxMP_O,1,3)*(1+P_dMat)/(1-P_Merma),SUMIFS(Calculo!$F$183:$ES$183,Calculo!$F$170:$ES$170,3)*N(INDEX(MP_V,7))*INDEX(IdxMP_V,1,3)*(1+V_dMat)/(1-V_Merma))</f>
        <v>0</v>
      </c>
      <c r="H28" s="48" t="n">
        <f aca="false">IF(cu_P=1,SUMIFS(Calculo!$F$27:$ES$27,Calculo!$F$14:$ES$14,4)*N(INDEX(MP_O,7))*INDEX(IdxMP_O,1,4)*(1+P_dMat)/(1-P_Merma),SUMIFS(Calculo!$F$183:$ES$183,Calculo!$F$170:$ES$170,4)*N(INDEX(MP_V,7))*INDEX(IdxMP_V,1,4)*(1+V_dMat)/(1-V_Merma))</f>
        <v>0</v>
      </c>
      <c r="I28" s="48" t="n">
        <f aca="false">IF(cu_P=1,SUMIFS(Calculo!$F$27:$ES$27,Calculo!$F$14:$ES$14,5)*N(INDEX(MP_O,7))*INDEX(IdxMP_O,1,5)*(1+P_dMat)/(1-P_Merma),SUMIFS(Calculo!$F$183:$ES$183,Calculo!$F$170:$ES$170,5)*N(INDEX(MP_V,7))*INDEX(IdxMP_V,1,5)*(1+V_dMat)/(1-V_Merma))</f>
        <v>0</v>
      </c>
      <c r="J28" s="48" t="n">
        <f aca="false">IF(cu_P=1,SUMIFS(Calculo!$F$27:$ES$27,Calculo!$F$14:$ES$14,6)*N(INDEX(MP_O,7))*INDEX(IdxMP_O,1,6)*(1+P_dMat)/(1-P_Merma),SUMIFS(Calculo!$F$183:$ES$183,Calculo!$F$170:$ES$170,6)*N(INDEX(MP_V,7))*INDEX(IdxMP_V,1,6)*(1+V_dMat)/(1-V_Merma))</f>
        <v>0</v>
      </c>
      <c r="K28" s="48" t="n">
        <f aca="false">IF(cu_P=1,SUMIFS(Calculo!$F$27:$ES$27,Calculo!$F$14:$ES$14,7)*N(INDEX(MP_O,7))*INDEX(IdxMP_O,1,7)*(1+P_dMat)/(1-P_Merma),SUMIFS(Calculo!$F$183:$ES$183,Calculo!$F$170:$ES$170,7)*N(INDEX(MP_V,7))*INDEX(IdxMP_V,1,7)*(1+V_dMat)/(1-V_Merma))</f>
        <v>0</v>
      </c>
      <c r="L28" s="48" t="n">
        <f aca="false">IF(cu_P=1,SUMIFS(Calculo!$F$27:$ES$27,Calculo!$F$14:$ES$14,8)*N(INDEX(MP_O,7))*INDEX(IdxMP_O,1,8)*(1+P_dMat)/(1-P_Merma),SUMIFS(Calculo!$F$183:$ES$183,Calculo!$F$170:$ES$170,8)*N(INDEX(MP_V,7))*INDEX(IdxMP_V,1,8)*(1+V_dMat)/(1-V_Merma))</f>
        <v>0</v>
      </c>
      <c r="M28" s="48" t="n">
        <f aca="false">IF(cu_P=1,SUMIFS(Calculo!$F$27:$ES$27,Calculo!$F$14:$ES$14,9)*N(INDEX(MP_O,7))*INDEX(IdxMP_O,1,9)*(1+P_dMat)/(1-P_Merma),SUMIFS(Calculo!$F$183:$ES$183,Calculo!$F$170:$ES$170,9)*N(INDEX(MP_V,7))*INDEX(IdxMP_V,1,9)*(1+V_dMat)/(1-V_Merma))</f>
        <v>0</v>
      </c>
      <c r="N28" s="48" t="n">
        <f aca="false">IF(cu_P=1,SUMIFS(Calculo!$F$27:$ES$27,Calculo!$F$14:$ES$14,10)*N(INDEX(MP_O,7))*INDEX(IdxMP_O,1,10)*(1+P_dMat)/(1-P_Merma),SUMIFS(Calculo!$F$183:$ES$183,Calculo!$F$170:$ES$170,10)*N(INDEX(MP_V,7))*INDEX(IdxMP_V,1,10)*(1+V_dMat)/(1-V_Merma))</f>
        <v>0</v>
      </c>
      <c r="O28" s="54" t="n">
        <f aca="false">SUM(D28:N28)</f>
        <v>0</v>
      </c>
    </row>
    <row r="29" customFormat="false" ht="15" hidden="true" customHeight="false" outlineLevel="1" collapsed="false">
      <c r="A29" s="11" t="s">
        <v>2106</v>
      </c>
      <c r="B29" s="15" t="s">
        <v>2087</v>
      </c>
      <c r="C29" s="11" t="s">
        <v>748</v>
      </c>
      <c r="E29" s="50" t="str">
        <f aca="false">IFERROR(IF(OR(NOT(ISNUMBER(E28)),N(E30)=0),"",E28/E30),"")</f>
        <v/>
      </c>
      <c r="F29" s="50" t="str">
        <f aca="false">IFERROR(IF(OR(NOT(ISNUMBER(F28)),N(F30)=0),"",F28/F30),"")</f>
        <v/>
      </c>
      <c r="G29" s="50" t="str">
        <f aca="false">IFERROR(IF(OR(NOT(ISNUMBER(G28)),N(G30)=0),"",G28/G30),"")</f>
        <v/>
      </c>
      <c r="H29" s="50" t="str">
        <f aca="false">IFERROR(IF(OR(NOT(ISNUMBER(H28)),N(H30)=0),"",H28/H30),"")</f>
        <v/>
      </c>
      <c r="I29" s="50" t="str">
        <f aca="false">IFERROR(IF(OR(NOT(ISNUMBER(I28)),N(I30)=0),"",I28/I30),"")</f>
        <v/>
      </c>
      <c r="J29" s="50" t="str">
        <f aca="false">IFERROR(IF(OR(NOT(ISNUMBER(J28)),N(J30)=0),"",J28/J30),"")</f>
        <v/>
      </c>
      <c r="K29" s="50" t="str">
        <f aca="false">IFERROR(IF(OR(NOT(ISNUMBER(K28)),N(K30)=0),"",K28/K30),"")</f>
        <v/>
      </c>
      <c r="L29" s="50" t="str">
        <f aca="false">IFERROR(IF(OR(NOT(ISNUMBER(L28)),N(L30)=0),"",L28/L30),"")</f>
        <v/>
      </c>
      <c r="M29" s="50" t="str">
        <f aca="false">IFERROR(IF(OR(NOT(ISNUMBER(M28)),N(M30)=0),"",M28/M30),"")</f>
        <v/>
      </c>
      <c r="N29" s="50" t="str">
        <f aca="false">IFERROR(IF(OR(NOT(ISNUMBER(N28)),N(N30)=0),"",N28/N30),"")</f>
        <v/>
      </c>
      <c r="O29" s="68" t="str">
        <f aca="false">IFERROR(IF(OR(NOT(ISNUMBER(O28)),N(O30)=0),"",O28/O30),"")</f>
        <v/>
      </c>
    </row>
    <row r="30" customFormat="false" ht="15" hidden="true" customHeight="false" outlineLevel="1" collapsed="false">
      <c r="A30" s="11" t="s">
        <v>2107</v>
      </c>
      <c r="B30" s="15" t="s">
        <v>2089</v>
      </c>
      <c r="C30" s="11" t="s">
        <v>544</v>
      </c>
      <c r="D30" s="48" t="n">
        <f aca="false">IF(cu_P=1,SUMIFS(Calculo!$F$27:$ES$27,Calculo!$F$16:$ES$16,1),SUMIFS(Calculo!$F$183:$ES$183,Calculo!$F$172:$ES$172,1))</f>
        <v>0</v>
      </c>
      <c r="E30" s="48" t="n">
        <f aca="false">IF(cu_P=1,SUMIFS(Calculo!$F$27:$ES$27,Calculo!$F$14:$ES$14,1),SUMIFS(Calculo!$F$183:$ES$183,Calculo!$F$170:$ES$170,1))</f>
        <v>0</v>
      </c>
      <c r="F30" s="48" t="n">
        <f aca="false">IF(cu_P=1,SUMIFS(Calculo!$F$27:$ES$27,Calculo!$F$14:$ES$14,2),SUMIFS(Calculo!$F$183:$ES$183,Calculo!$F$170:$ES$170,2))</f>
        <v>0</v>
      </c>
      <c r="G30" s="48" t="n">
        <f aca="false">IF(cu_P=1,SUMIFS(Calculo!$F$27:$ES$27,Calculo!$F$14:$ES$14,3),SUMIFS(Calculo!$F$183:$ES$183,Calculo!$F$170:$ES$170,3))</f>
        <v>0</v>
      </c>
      <c r="H30" s="48" t="n">
        <f aca="false">IF(cu_P=1,SUMIFS(Calculo!$F$27:$ES$27,Calculo!$F$14:$ES$14,4),SUMIFS(Calculo!$F$183:$ES$183,Calculo!$F$170:$ES$170,4))</f>
        <v>0</v>
      </c>
      <c r="I30" s="48" t="n">
        <f aca="false">IF(cu_P=1,SUMIFS(Calculo!$F$27:$ES$27,Calculo!$F$14:$ES$14,5),SUMIFS(Calculo!$F$183:$ES$183,Calculo!$F$170:$ES$170,5))</f>
        <v>0</v>
      </c>
      <c r="J30" s="48" t="n">
        <f aca="false">IF(cu_P=1,SUMIFS(Calculo!$F$27:$ES$27,Calculo!$F$14:$ES$14,6),SUMIFS(Calculo!$F$183:$ES$183,Calculo!$F$170:$ES$170,6))</f>
        <v>0</v>
      </c>
      <c r="K30" s="48" t="n">
        <f aca="false">IF(cu_P=1,SUMIFS(Calculo!$F$27:$ES$27,Calculo!$F$14:$ES$14,7),SUMIFS(Calculo!$F$183:$ES$183,Calculo!$F$170:$ES$170,7))</f>
        <v>0</v>
      </c>
      <c r="L30" s="48" t="n">
        <f aca="false">IF(cu_P=1,SUMIFS(Calculo!$F$27:$ES$27,Calculo!$F$14:$ES$14,8),SUMIFS(Calculo!$F$183:$ES$183,Calculo!$F$170:$ES$170,8))</f>
        <v>0</v>
      </c>
      <c r="M30" s="48" t="n">
        <f aca="false">IF(cu_P=1,SUMIFS(Calculo!$F$27:$ES$27,Calculo!$F$14:$ES$14,9),SUMIFS(Calculo!$F$183:$ES$183,Calculo!$F$170:$ES$170,9))</f>
        <v>0</v>
      </c>
      <c r="N30" s="48" t="n">
        <f aca="false">IF(cu_P=1,SUMIFS(Calculo!$F$27:$ES$27,Calculo!$F$14:$ES$14,10),SUMIFS(Calculo!$F$183:$ES$183,Calculo!$F$170:$ES$170,10))</f>
        <v>0</v>
      </c>
      <c r="O30" s="54" t="n">
        <f aca="false">SUM(D30:N30)</f>
        <v>0</v>
      </c>
    </row>
    <row r="31" customFormat="false" ht="15" hidden="true" customHeight="false" outlineLevel="1" collapsed="false">
      <c r="A31" s="11" t="s">
        <v>2108</v>
      </c>
      <c r="B31" s="53" t="str">
        <f aca="false">IF(INDEX(Prod_Nombre,8)="","Producto 8",INDEX(Prod_Nombre,8))</f>
        <v>Producto 8</v>
      </c>
      <c r="C31" s="11" t="s">
        <v>508</v>
      </c>
      <c r="D31" s="48" t="n">
        <f aca="false">IF(cu_P=1,SUMIFS(Calculo!$F$28:$ES$28,Calculo!$F$16:$ES$16,1)*N(INDEX(MP_O,8))*INDEX(IdxMP_O,1,1)*(1+P_dMat)/(1-P_Merma),SUMIFS(Calculo!$F$184:$ES$184,Calculo!$F$172:$ES$172,1)*N(INDEX(MP_V,8))*INDEX(IdxMP_V,1,1)*(1+V_dMat)/(1-V_Merma))</f>
        <v>0</v>
      </c>
      <c r="E31" s="48" t="n">
        <f aca="false">IF(cu_P=1,SUMIFS(Calculo!$F$28:$ES$28,Calculo!$F$14:$ES$14,1)*N(INDEX(MP_O,8))*INDEX(IdxMP_O,1,1)*(1+P_dMat)/(1-P_Merma),SUMIFS(Calculo!$F$184:$ES$184,Calculo!$F$170:$ES$170,1)*N(INDEX(MP_V,8))*INDEX(IdxMP_V,1,1)*(1+V_dMat)/(1-V_Merma))</f>
        <v>0</v>
      </c>
      <c r="F31" s="48" t="n">
        <f aca="false">IF(cu_P=1,SUMIFS(Calculo!$F$28:$ES$28,Calculo!$F$14:$ES$14,2)*N(INDEX(MP_O,8))*INDEX(IdxMP_O,1,2)*(1+P_dMat)/(1-P_Merma),SUMIFS(Calculo!$F$184:$ES$184,Calculo!$F$170:$ES$170,2)*N(INDEX(MP_V,8))*INDEX(IdxMP_V,1,2)*(1+V_dMat)/(1-V_Merma))</f>
        <v>0</v>
      </c>
      <c r="G31" s="48" t="n">
        <f aca="false">IF(cu_P=1,SUMIFS(Calculo!$F$28:$ES$28,Calculo!$F$14:$ES$14,3)*N(INDEX(MP_O,8))*INDEX(IdxMP_O,1,3)*(1+P_dMat)/(1-P_Merma),SUMIFS(Calculo!$F$184:$ES$184,Calculo!$F$170:$ES$170,3)*N(INDEX(MP_V,8))*INDEX(IdxMP_V,1,3)*(1+V_dMat)/(1-V_Merma))</f>
        <v>0</v>
      </c>
      <c r="H31" s="48" t="n">
        <f aca="false">IF(cu_P=1,SUMIFS(Calculo!$F$28:$ES$28,Calculo!$F$14:$ES$14,4)*N(INDEX(MP_O,8))*INDEX(IdxMP_O,1,4)*(1+P_dMat)/(1-P_Merma),SUMIFS(Calculo!$F$184:$ES$184,Calculo!$F$170:$ES$170,4)*N(INDEX(MP_V,8))*INDEX(IdxMP_V,1,4)*(1+V_dMat)/(1-V_Merma))</f>
        <v>0</v>
      </c>
      <c r="I31" s="48" t="n">
        <f aca="false">IF(cu_P=1,SUMIFS(Calculo!$F$28:$ES$28,Calculo!$F$14:$ES$14,5)*N(INDEX(MP_O,8))*INDEX(IdxMP_O,1,5)*(1+P_dMat)/(1-P_Merma),SUMIFS(Calculo!$F$184:$ES$184,Calculo!$F$170:$ES$170,5)*N(INDEX(MP_V,8))*INDEX(IdxMP_V,1,5)*(1+V_dMat)/(1-V_Merma))</f>
        <v>0</v>
      </c>
      <c r="J31" s="48" t="n">
        <f aca="false">IF(cu_P=1,SUMIFS(Calculo!$F$28:$ES$28,Calculo!$F$14:$ES$14,6)*N(INDEX(MP_O,8))*INDEX(IdxMP_O,1,6)*(1+P_dMat)/(1-P_Merma),SUMIFS(Calculo!$F$184:$ES$184,Calculo!$F$170:$ES$170,6)*N(INDEX(MP_V,8))*INDEX(IdxMP_V,1,6)*(1+V_dMat)/(1-V_Merma))</f>
        <v>0</v>
      </c>
      <c r="K31" s="48" t="n">
        <f aca="false">IF(cu_P=1,SUMIFS(Calculo!$F$28:$ES$28,Calculo!$F$14:$ES$14,7)*N(INDEX(MP_O,8))*INDEX(IdxMP_O,1,7)*(1+P_dMat)/(1-P_Merma),SUMIFS(Calculo!$F$184:$ES$184,Calculo!$F$170:$ES$170,7)*N(INDEX(MP_V,8))*INDEX(IdxMP_V,1,7)*(1+V_dMat)/(1-V_Merma))</f>
        <v>0</v>
      </c>
      <c r="L31" s="48" t="n">
        <f aca="false">IF(cu_P=1,SUMIFS(Calculo!$F$28:$ES$28,Calculo!$F$14:$ES$14,8)*N(INDEX(MP_O,8))*INDEX(IdxMP_O,1,8)*(1+P_dMat)/(1-P_Merma),SUMIFS(Calculo!$F$184:$ES$184,Calculo!$F$170:$ES$170,8)*N(INDEX(MP_V,8))*INDEX(IdxMP_V,1,8)*(1+V_dMat)/(1-V_Merma))</f>
        <v>0</v>
      </c>
      <c r="M31" s="48" t="n">
        <f aca="false">IF(cu_P=1,SUMIFS(Calculo!$F$28:$ES$28,Calculo!$F$14:$ES$14,9)*N(INDEX(MP_O,8))*INDEX(IdxMP_O,1,9)*(1+P_dMat)/(1-P_Merma),SUMIFS(Calculo!$F$184:$ES$184,Calculo!$F$170:$ES$170,9)*N(INDEX(MP_V,8))*INDEX(IdxMP_V,1,9)*(1+V_dMat)/(1-V_Merma))</f>
        <v>0</v>
      </c>
      <c r="N31" s="48" t="n">
        <f aca="false">IF(cu_P=1,SUMIFS(Calculo!$F$28:$ES$28,Calculo!$F$14:$ES$14,10)*N(INDEX(MP_O,8))*INDEX(IdxMP_O,1,10)*(1+P_dMat)/(1-P_Merma),SUMIFS(Calculo!$F$184:$ES$184,Calculo!$F$170:$ES$170,10)*N(INDEX(MP_V,8))*INDEX(IdxMP_V,1,10)*(1+V_dMat)/(1-V_Merma))</f>
        <v>0</v>
      </c>
      <c r="O31" s="54" t="n">
        <f aca="false">SUM(D31:N31)</f>
        <v>0</v>
      </c>
    </row>
    <row r="32" customFormat="false" ht="15" hidden="true" customHeight="false" outlineLevel="1" collapsed="false">
      <c r="A32" s="11" t="s">
        <v>2109</v>
      </c>
      <c r="B32" s="15" t="s">
        <v>2087</v>
      </c>
      <c r="C32" s="11" t="s">
        <v>748</v>
      </c>
      <c r="E32" s="50" t="str">
        <f aca="false">IFERROR(IF(OR(NOT(ISNUMBER(E31)),N(E33)=0),"",E31/E33),"")</f>
        <v/>
      </c>
      <c r="F32" s="50" t="str">
        <f aca="false">IFERROR(IF(OR(NOT(ISNUMBER(F31)),N(F33)=0),"",F31/F33),"")</f>
        <v/>
      </c>
      <c r="G32" s="50" t="str">
        <f aca="false">IFERROR(IF(OR(NOT(ISNUMBER(G31)),N(G33)=0),"",G31/G33),"")</f>
        <v/>
      </c>
      <c r="H32" s="50" t="str">
        <f aca="false">IFERROR(IF(OR(NOT(ISNUMBER(H31)),N(H33)=0),"",H31/H33),"")</f>
        <v/>
      </c>
      <c r="I32" s="50" t="str">
        <f aca="false">IFERROR(IF(OR(NOT(ISNUMBER(I31)),N(I33)=0),"",I31/I33),"")</f>
        <v/>
      </c>
      <c r="J32" s="50" t="str">
        <f aca="false">IFERROR(IF(OR(NOT(ISNUMBER(J31)),N(J33)=0),"",J31/J33),"")</f>
        <v/>
      </c>
      <c r="K32" s="50" t="str">
        <f aca="false">IFERROR(IF(OR(NOT(ISNUMBER(K31)),N(K33)=0),"",K31/K33),"")</f>
        <v/>
      </c>
      <c r="L32" s="50" t="str">
        <f aca="false">IFERROR(IF(OR(NOT(ISNUMBER(L31)),N(L33)=0),"",L31/L33),"")</f>
        <v/>
      </c>
      <c r="M32" s="50" t="str">
        <f aca="false">IFERROR(IF(OR(NOT(ISNUMBER(M31)),N(M33)=0),"",M31/M33),"")</f>
        <v/>
      </c>
      <c r="N32" s="50" t="str">
        <f aca="false">IFERROR(IF(OR(NOT(ISNUMBER(N31)),N(N33)=0),"",N31/N33),"")</f>
        <v/>
      </c>
      <c r="O32" s="68" t="str">
        <f aca="false">IFERROR(IF(OR(NOT(ISNUMBER(O31)),N(O33)=0),"",O31/O33),"")</f>
        <v/>
      </c>
    </row>
    <row r="33" customFormat="false" ht="15" hidden="true" customHeight="false" outlineLevel="1" collapsed="false">
      <c r="A33" s="11" t="s">
        <v>2110</v>
      </c>
      <c r="B33" s="15" t="s">
        <v>2089</v>
      </c>
      <c r="C33" s="11" t="s">
        <v>544</v>
      </c>
      <c r="D33" s="48" t="n">
        <f aca="false">IF(cu_P=1,SUMIFS(Calculo!$F$28:$ES$28,Calculo!$F$16:$ES$16,1),SUMIFS(Calculo!$F$184:$ES$184,Calculo!$F$172:$ES$172,1))</f>
        <v>0</v>
      </c>
      <c r="E33" s="48" t="n">
        <f aca="false">IF(cu_P=1,SUMIFS(Calculo!$F$28:$ES$28,Calculo!$F$14:$ES$14,1),SUMIFS(Calculo!$F$184:$ES$184,Calculo!$F$170:$ES$170,1))</f>
        <v>0</v>
      </c>
      <c r="F33" s="48" t="n">
        <f aca="false">IF(cu_P=1,SUMIFS(Calculo!$F$28:$ES$28,Calculo!$F$14:$ES$14,2),SUMIFS(Calculo!$F$184:$ES$184,Calculo!$F$170:$ES$170,2))</f>
        <v>0</v>
      </c>
      <c r="G33" s="48" t="n">
        <f aca="false">IF(cu_P=1,SUMIFS(Calculo!$F$28:$ES$28,Calculo!$F$14:$ES$14,3),SUMIFS(Calculo!$F$184:$ES$184,Calculo!$F$170:$ES$170,3))</f>
        <v>0</v>
      </c>
      <c r="H33" s="48" t="n">
        <f aca="false">IF(cu_P=1,SUMIFS(Calculo!$F$28:$ES$28,Calculo!$F$14:$ES$14,4),SUMIFS(Calculo!$F$184:$ES$184,Calculo!$F$170:$ES$170,4))</f>
        <v>0</v>
      </c>
      <c r="I33" s="48" t="n">
        <f aca="false">IF(cu_P=1,SUMIFS(Calculo!$F$28:$ES$28,Calculo!$F$14:$ES$14,5),SUMIFS(Calculo!$F$184:$ES$184,Calculo!$F$170:$ES$170,5))</f>
        <v>0</v>
      </c>
      <c r="J33" s="48" t="n">
        <f aca="false">IF(cu_P=1,SUMIFS(Calculo!$F$28:$ES$28,Calculo!$F$14:$ES$14,6),SUMIFS(Calculo!$F$184:$ES$184,Calculo!$F$170:$ES$170,6))</f>
        <v>0</v>
      </c>
      <c r="K33" s="48" t="n">
        <f aca="false">IF(cu_P=1,SUMIFS(Calculo!$F$28:$ES$28,Calculo!$F$14:$ES$14,7),SUMIFS(Calculo!$F$184:$ES$184,Calculo!$F$170:$ES$170,7))</f>
        <v>0</v>
      </c>
      <c r="L33" s="48" t="n">
        <f aca="false">IF(cu_P=1,SUMIFS(Calculo!$F$28:$ES$28,Calculo!$F$14:$ES$14,8),SUMIFS(Calculo!$F$184:$ES$184,Calculo!$F$170:$ES$170,8))</f>
        <v>0</v>
      </c>
      <c r="M33" s="48" t="n">
        <f aca="false">IF(cu_P=1,SUMIFS(Calculo!$F$28:$ES$28,Calculo!$F$14:$ES$14,9),SUMIFS(Calculo!$F$184:$ES$184,Calculo!$F$170:$ES$170,9))</f>
        <v>0</v>
      </c>
      <c r="N33" s="48" t="n">
        <f aca="false">IF(cu_P=1,SUMIFS(Calculo!$F$28:$ES$28,Calculo!$F$14:$ES$14,10),SUMIFS(Calculo!$F$184:$ES$184,Calculo!$F$170:$ES$170,10))</f>
        <v>0</v>
      </c>
      <c r="O33" s="54" t="n">
        <f aca="false">SUM(D33:N33)</f>
        <v>0</v>
      </c>
    </row>
    <row r="34" customFormat="false" ht="15" hidden="true" customHeight="false" outlineLevel="1" collapsed="false">
      <c r="A34" s="11" t="s">
        <v>2111</v>
      </c>
      <c r="B34" s="53" t="str">
        <f aca="false">IF(INDEX(Prod_Nombre,9)="","Producto 9",INDEX(Prod_Nombre,9))</f>
        <v>Producto 9</v>
      </c>
      <c r="C34" s="11" t="s">
        <v>508</v>
      </c>
      <c r="D34" s="48" t="n">
        <f aca="false">IF(cu_P=1,SUMIFS(Calculo!$F$29:$ES$29,Calculo!$F$16:$ES$16,1)*N(INDEX(MP_O,9))*INDEX(IdxMP_O,1,1)*(1+P_dMat)/(1-P_Merma),SUMIFS(Calculo!$F$185:$ES$185,Calculo!$F$172:$ES$172,1)*N(INDEX(MP_V,9))*INDEX(IdxMP_V,1,1)*(1+V_dMat)/(1-V_Merma))</f>
        <v>0</v>
      </c>
      <c r="E34" s="48" t="n">
        <f aca="false">IF(cu_P=1,SUMIFS(Calculo!$F$29:$ES$29,Calculo!$F$14:$ES$14,1)*N(INDEX(MP_O,9))*INDEX(IdxMP_O,1,1)*(1+P_dMat)/(1-P_Merma),SUMIFS(Calculo!$F$185:$ES$185,Calculo!$F$170:$ES$170,1)*N(INDEX(MP_V,9))*INDEX(IdxMP_V,1,1)*(1+V_dMat)/(1-V_Merma))</f>
        <v>0</v>
      </c>
      <c r="F34" s="48" t="n">
        <f aca="false">IF(cu_P=1,SUMIFS(Calculo!$F$29:$ES$29,Calculo!$F$14:$ES$14,2)*N(INDEX(MP_O,9))*INDEX(IdxMP_O,1,2)*(1+P_dMat)/(1-P_Merma),SUMIFS(Calculo!$F$185:$ES$185,Calculo!$F$170:$ES$170,2)*N(INDEX(MP_V,9))*INDEX(IdxMP_V,1,2)*(1+V_dMat)/(1-V_Merma))</f>
        <v>0</v>
      </c>
      <c r="G34" s="48" t="n">
        <f aca="false">IF(cu_P=1,SUMIFS(Calculo!$F$29:$ES$29,Calculo!$F$14:$ES$14,3)*N(INDEX(MP_O,9))*INDEX(IdxMP_O,1,3)*(1+P_dMat)/(1-P_Merma),SUMIFS(Calculo!$F$185:$ES$185,Calculo!$F$170:$ES$170,3)*N(INDEX(MP_V,9))*INDEX(IdxMP_V,1,3)*(1+V_dMat)/(1-V_Merma))</f>
        <v>0</v>
      </c>
      <c r="H34" s="48" t="n">
        <f aca="false">IF(cu_P=1,SUMIFS(Calculo!$F$29:$ES$29,Calculo!$F$14:$ES$14,4)*N(INDEX(MP_O,9))*INDEX(IdxMP_O,1,4)*(1+P_dMat)/(1-P_Merma),SUMIFS(Calculo!$F$185:$ES$185,Calculo!$F$170:$ES$170,4)*N(INDEX(MP_V,9))*INDEX(IdxMP_V,1,4)*(1+V_dMat)/(1-V_Merma))</f>
        <v>0</v>
      </c>
      <c r="I34" s="48" t="n">
        <f aca="false">IF(cu_P=1,SUMIFS(Calculo!$F$29:$ES$29,Calculo!$F$14:$ES$14,5)*N(INDEX(MP_O,9))*INDEX(IdxMP_O,1,5)*(1+P_dMat)/(1-P_Merma),SUMIFS(Calculo!$F$185:$ES$185,Calculo!$F$170:$ES$170,5)*N(INDEX(MP_V,9))*INDEX(IdxMP_V,1,5)*(1+V_dMat)/(1-V_Merma))</f>
        <v>0</v>
      </c>
      <c r="J34" s="48" t="n">
        <f aca="false">IF(cu_P=1,SUMIFS(Calculo!$F$29:$ES$29,Calculo!$F$14:$ES$14,6)*N(INDEX(MP_O,9))*INDEX(IdxMP_O,1,6)*(1+P_dMat)/(1-P_Merma),SUMIFS(Calculo!$F$185:$ES$185,Calculo!$F$170:$ES$170,6)*N(INDEX(MP_V,9))*INDEX(IdxMP_V,1,6)*(1+V_dMat)/(1-V_Merma))</f>
        <v>0</v>
      </c>
      <c r="K34" s="48" t="n">
        <f aca="false">IF(cu_P=1,SUMIFS(Calculo!$F$29:$ES$29,Calculo!$F$14:$ES$14,7)*N(INDEX(MP_O,9))*INDEX(IdxMP_O,1,7)*(1+P_dMat)/(1-P_Merma),SUMIFS(Calculo!$F$185:$ES$185,Calculo!$F$170:$ES$170,7)*N(INDEX(MP_V,9))*INDEX(IdxMP_V,1,7)*(1+V_dMat)/(1-V_Merma))</f>
        <v>0</v>
      </c>
      <c r="L34" s="48" t="n">
        <f aca="false">IF(cu_P=1,SUMIFS(Calculo!$F$29:$ES$29,Calculo!$F$14:$ES$14,8)*N(INDEX(MP_O,9))*INDEX(IdxMP_O,1,8)*(1+P_dMat)/(1-P_Merma),SUMIFS(Calculo!$F$185:$ES$185,Calculo!$F$170:$ES$170,8)*N(INDEX(MP_V,9))*INDEX(IdxMP_V,1,8)*(1+V_dMat)/(1-V_Merma))</f>
        <v>0</v>
      </c>
      <c r="M34" s="48" t="n">
        <f aca="false">IF(cu_P=1,SUMIFS(Calculo!$F$29:$ES$29,Calculo!$F$14:$ES$14,9)*N(INDEX(MP_O,9))*INDEX(IdxMP_O,1,9)*(1+P_dMat)/(1-P_Merma),SUMIFS(Calculo!$F$185:$ES$185,Calculo!$F$170:$ES$170,9)*N(INDEX(MP_V,9))*INDEX(IdxMP_V,1,9)*(1+V_dMat)/(1-V_Merma))</f>
        <v>0</v>
      </c>
      <c r="N34" s="48" t="n">
        <f aca="false">IF(cu_P=1,SUMIFS(Calculo!$F$29:$ES$29,Calculo!$F$14:$ES$14,10)*N(INDEX(MP_O,9))*INDEX(IdxMP_O,1,10)*(1+P_dMat)/(1-P_Merma),SUMIFS(Calculo!$F$185:$ES$185,Calculo!$F$170:$ES$170,10)*N(INDEX(MP_V,9))*INDEX(IdxMP_V,1,10)*(1+V_dMat)/(1-V_Merma))</f>
        <v>0</v>
      </c>
      <c r="O34" s="54" t="n">
        <f aca="false">SUM(D34:N34)</f>
        <v>0</v>
      </c>
    </row>
    <row r="35" customFormat="false" ht="15" hidden="true" customHeight="false" outlineLevel="1" collapsed="false">
      <c r="A35" s="11" t="s">
        <v>2112</v>
      </c>
      <c r="B35" s="15" t="s">
        <v>2087</v>
      </c>
      <c r="C35" s="11" t="s">
        <v>748</v>
      </c>
      <c r="E35" s="50" t="str">
        <f aca="false">IFERROR(IF(OR(NOT(ISNUMBER(E34)),N(E36)=0),"",E34/E36),"")</f>
        <v/>
      </c>
      <c r="F35" s="50" t="str">
        <f aca="false">IFERROR(IF(OR(NOT(ISNUMBER(F34)),N(F36)=0),"",F34/F36),"")</f>
        <v/>
      </c>
      <c r="G35" s="50" t="str">
        <f aca="false">IFERROR(IF(OR(NOT(ISNUMBER(G34)),N(G36)=0),"",G34/G36),"")</f>
        <v/>
      </c>
      <c r="H35" s="50" t="str">
        <f aca="false">IFERROR(IF(OR(NOT(ISNUMBER(H34)),N(H36)=0),"",H34/H36),"")</f>
        <v/>
      </c>
      <c r="I35" s="50" t="str">
        <f aca="false">IFERROR(IF(OR(NOT(ISNUMBER(I34)),N(I36)=0),"",I34/I36),"")</f>
        <v/>
      </c>
      <c r="J35" s="50" t="str">
        <f aca="false">IFERROR(IF(OR(NOT(ISNUMBER(J34)),N(J36)=0),"",J34/J36),"")</f>
        <v/>
      </c>
      <c r="K35" s="50" t="str">
        <f aca="false">IFERROR(IF(OR(NOT(ISNUMBER(K34)),N(K36)=0),"",K34/K36),"")</f>
        <v/>
      </c>
      <c r="L35" s="50" t="str">
        <f aca="false">IFERROR(IF(OR(NOT(ISNUMBER(L34)),N(L36)=0),"",L34/L36),"")</f>
        <v/>
      </c>
      <c r="M35" s="50" t="str">
        <f aca="false">IFERROR(IF(OR(NOT(ISNUMBER(M34)),N(M36)=0),"",M34/M36),"")</f>
        <v/>
      </c>
      <c r="N35" s="50" t="str">
        <f aca="false">IFERROR(IF(OR(NOT(ISNUMBER(N34)),N(N36)=0),"",N34/N36),"")</f>
        <v/>
      </c>
      <c r="O35" s="68" t="str">
        <f aca="false">IFERROR(IF(OR(NOT(ISNUMBER(O34)),N(O36)=0),"",O34/O36),"")</f>
        <v/>
      </c>
    </row>
    <row r="36" customFormat="false" ht="15" hidden="true" customHeight="false" outlineLevel="1" collapsed="false">
      <c r="A36" s="11" t="s">
        <v>2113</v>
      </c>
      <c r="B36" s="15" t="s">
        <v>2089</v>
      </c>
      <c r="C36" s="11" t="s">
        <v>544</v>
      </c>
      <c r="D36" s="48" t="n">
        <f aca="false">IF(cu_P=1,SUMIFS(Calculo!$F$29:$ES$29,Calculo!$F$16:$ES$16,1),SUMIFS(Calculo!$F$185:$ES$185,Calculo!$F$172:$ES$172,1))</f>
        <v>0</v>
      </c>
      <c r="E36" s="48" t="n">
        <f aca="false">IF(cu_P=1,SUMIFS(Calculo!$F$29:$ES$29,Calculo!$F$14:$ES$14,1),SUMIFS(Calculo!$F$185:$ES$185,Calculo!$F$170:$ES$170,1))</f>
        <v>0</v>
      </c>
      <c r="F36" s="48" t="n">
        <f aca="false">IF(cu_P=1,SUMIFS(Calculo!$F$29:$ES$29,Calculo!$F$14:$ES$14,2),SUMIFS(Calculo!$F$185:$ES$185,Calculo!$F$170:$ES$170,2))</f>
        <v>0</v>
      </c>
      <c r="G36" s="48" t="n">
        <f aca="false">IF(cu_P=1,SUMIFS(Calculo!$F$29:$ES$29,Calculo!$F$14:$ES$14,3),SUMIFS(Calculo!$F$185:$ES$185,Calculo!$F$170:$ES$170,3))</f>
        <v>0</v>
      </c>
      <c r="H36" s="48" t="n">
        <f aca="false">IF(cu_P=1,SUMIFS(Calculo!$F$29:$ES$29,Calculo!$F$14:$ES$14,4),SUMIFS(Calculo!$F$185:$ES$185,Calculo!$F$170:$ES$170,4))</f>
        <v>0</v>
      </c>
      <c r="I36" s="48" t="n">
        <f aca="false">IF(cu_P=1,SUMIFS(Calculo!$F$29:$ES$29,Calculo!$F$14:$ES$14,5),SUMIFS(Calculo!$F$185:$ES$185,Calculo!$F$170:$ES$170,5))</f>
        <v>0</v>
      </c>
      <c r="J36" s="48" t="n">
        <f aca="false">IF(cu_P=1,SUMIFS(Calculo!$F$29:$ES$29,Calculo!$F$14:$ES$14,6),SUMIFS(Calculo!$F$185:$ES$185,Calculo!$F$170:$ES$170,6))</f>
        <v>0</v>
      </c>
      <c r="K36" s="48" t="n">
        <f aca="false">IF(cu_P=1,SUMIFS(Calculo!$F$29:$ES$29,Calculo!$F$14:$ES$14,7),SUMIFS(Calculo!$F$185:$ES$185,Calculo!$F$170:$ES$170,7))</f>
        <v>0</v>
      </c>
      <c r="L36" s="48" t="n">
        <f aca="false">IF(cu_P=1,SUMIFS(Calculo!$F$29:$ES$29,Calculo!$F$14:$ES$14,8),SUMIFS(Calculo!$F$185:$ES$185,Calculo!$F$170:$ES$170,8))</f>
        <v>0</v>
      </c>
      <c r="M36" s="48" t="n">
        <f aca="false">IF(cu_P=1,SUMIFS(Calculo!$F$29:$ES$29,Calculo!$F$14:$ES$14,9),SUMIFS(Calculo!$F$185:$ES$185,Calculo!$F$170:$ES$170,9))</f>
        <v>0</v>
      </c>
      <c r="N36" s="48" t="n">
        <f aca="false">IF(cu_P=1,SUMIFS(Calculo!$F$29:$ES$29,Calculo!$F$14:$ES$14,10),SUMIFS(Calculo!$F$185:$ES$185,Calculo!$F$170:$ES$170,10))</f>
        <v>0</v>
      </c>
      <c r="O36" s="54" t="n">
        <f aca="false">SUM(D36:N36)</f>
        <v>0</v>
      </c>
    </row>
    <row r="37" customFormat="false" ht="15" hidden="true" customHeight="false" outlineLevel="1" collapsed="false">
      <c r="A37" s="11" t="s">
        <v>2114</v>
      </c>
      <c r="B37" s="53" t="str">
        <f aca="false">IF(INDEX(Prod_Nombre,10)="","Producto 10",INDEX(Prod_Nombre,10))</f>
        <v>Producto 10</v>
      </c>
      <c r="C37" s="11" t="s">
        <v>508</v>
      </c>
      <c r="D37" s="48" t="n">
        <f aca="false">IF(cu_P=1,SUMIFS(Calculo!$F$30:$ES$30,Calculo!$F$16:$ES$16,1)*N(INDEX(MP_O,10))*INDEX(IdxMP_O,1,1)*(1+P_dMat)/(1-P_Merma),SUMIFS(Calculo!$F$186:$ES$186,Calculo!$F$172:$ES$172,1)*N(INDEX(MP_V,10))*INDEX(IdxMP_V,1,1)*(1+V_dMat)/(1-V_Merma))</f>
        <v>0</v>
      </c>
      <c r="E37" s="48" t="n">
        <f aca="false">IF(cu_P=1,SUMIFS(Calculo!$F$30:$ES$30,Calculo!$F$14:$ES$14,1)*N(INDEX(MP_O,10))*INDEX(IdxMP_O,1,1)*(1+P_dMat)/(1-P_Merma),SUMIFS(Calculo!$F$186:$ES$186,Calculo!$F$170:$ES$170,1)*N(INDEX(MP_V,10))*INDEX(IdxMP_V,1,1)*(1+V_dMat)/(1-V_Merma))</f>
        <v>0</v>
      </c>
      <c r="F37" s="48" t="n">
        <f aca="false">IF(cu_P=1,SUMIFS(Calculo!$F$30:$ES$30,Calculo!$F$14:$ES$14,2)*N(INDEX(MP_O,10))*INDEX(IdxMP_O,1,2)*(1+P_dMat)/(1-P_Merma),SUMIFS(Calculo!$F$186:$ES$186,Calculo!$F$170:$ES$170,2)*N(INDEX(MP_V,10))*INDEX(IdxMP_V,1,2)*(1+V_dMat)/(1-V_Merma))</f>
        <v>0</v>
      </c>
      <c r="G37" s="48" t="n">
        <f aca="false">IF(cu_P=1,SUMIFS(Calculo!$F$30:$ES$30,Calculo!$F$14:$ES$14,3)*N(INDEX(MP_O,10))*INDEX(IdxMP_O,1,3)*(1+P_dMat)/(1-P_Merma),SUMIFS(Calculo!$F$186:$ES$186,Calculo!$F$170:$ES$170,3)*N(INDEX(MP_V,10))*INDEX(IdxMP_V,1,3)*(1+V_dMat)/(1-V_Merma))</f>
        <v>0</v>
      </c>
      <c r="H37" s="48" t="n">
        <f aca="false">IF(cu_P=1,SUMIFS(Calculo!$F$30:$ES$30,Calculo!$F$14:$ES$14,4)*N(INDEX(MP_O,10))*INDEX(IdxMP_O,1,4)*(1+P_dMat)/(1-P_Merma),SUMIFS(Calculo!$F$186:$ES$186,Calculo!$F$170:$ES$170,4)*N(INDEX(MP_V,10))*INDEX(IdxMP_V,1,4)*(1+V_dMat)/(1-V_Merma))</f>
        <v>0</v>
      </c>
      <c r="I37" s="48" t="n">
        <f aca="false">IF(cu_P=1,SUMIFS(Calculo!$F$30:$ES$30,Calculo!$F$14:$ES$14,5)*N(INDEX(MP_O,10))*INDEX(IdxMP_O,1,5)*(1+P_dMat)/(1-P_Merma),SUMIFS(Calculo!$F$186:$ES$186,Calculo!$F$170:$ES$170,5)*N(INDEX(MP_V,10))*INDEX(IdxMP_V,1,5)*(1+V_dMat)/(1-V_Merma))</f>
        <v>0</v>
      </c>
      <c r="J37" s="48" t="n">
        <f aca="false">IF(cu_P=1,SUMIFS(Calculo!$F$30:$ES$30,Calculo!$F$14:$ES$14,6)*N(INDEX(MP_O,10))*INDEX(IdxMP_O,1,6)*(1+P_dMat)/(1-P_Merma),SUMIFS(Calculo!$F$186:$ES$186,Calculo!$F$170:$ES$170,6)*N(INDEX(MP_V,10))*INDEX(IdxMP_V,1,6)*(1+V_dMat)/(1-V_Merma))</f>
        <v>0</v>
      </c>
      <c r="K37" s="48" t="n">
        <f aca="false">IF(cu_P=1,SUMIFS(Calculo!$F$30:$ES$30,Calculo!$F$14:$ES$14,7)*N(INDEX(MP_O,10))*INDEX(IdxMP_O,1,7)*(1+P_dMat)/(1-P_Merma),SUMIFS(Calculo!$F$186:$ES$186,Calculo!$F$170:$ES$170,7)*N(INDEX(MP_V,10))*INDEX(IdxMP_V,1,7)*(1+V_dMat)/(1-V_Merma))</f>
        <v>0</v>
      </c>
      <c r="L37" s="48" t="n">
        <f aca="false">IF(cu_P=1,SUMIFS(Calculo!$F$30:$ES$30,Calculo!$F$14:$ES$14,8)*N(INDEX(MP_O,10))*INDEX(IdxMP_O,1,8)*(1+P_dMat)/(1-P_Merma),SUMIFS(Calculo!$F$186:$ES$186,Calculo!$F$170:$ES$170,8)*N(INDEX(MP_V,10))*INDEX(IdxMP_V,1,8)*(1+V_dMat)/(1-V_Merma))</f>
        <v>0</v>
      </c>
      <c r="M37" s="48" t="n">
        <f aca="false">IF(cu_P=1,SUMIFS(Calculo!$F$30:$ES$30,Calculo!$F$14:$ES$14,9)*N(INDEX(MP_O,10))*INDEX(IdxMP_O,1,9)*(1+P_dMat)/(1-P_Merma),SUMIFS(Calculo!$F$186:$ES$186,Calculo!$F$170:$ES$170,9)*N(INDEX(MP_V,10))*INDEX(IdxMP_V,1,9)*(1+V_dMat)/(1-V_Merma))</f>
        <v>0</v>
      </c>
      <c r="N37" s="48" t="n">
        <f aca="false">IF(cu_P=1,SUMIFS(Calculo!$F$30:$ES$30,Calculo!$F$14:$ES$14,10)*N(INDEX(MP_O,10))*INDEX(IdxMP_O,1,10)*(1+P_dMat)/(1-P_Merma),SUMIFS(Calculo!$F$186:$ES$186,Calculo!$F$170:$ES$170,10)*N(INDEX(MP_V,10))*INDEX(IdxMP_V,1,10)*(1+V_dMat)/(1-V_Merma))</f>
        <v>0</v>
      </c>
      <c r="O37" s="54" t="n">
        <f aca="false">SUM(D37:N37)</f>
        <v>0</v>
      </c>
    </row>
    <row r="38" customFormat="false" ht="15" hidden="true" customHeight="false" outlineLevel="1" collapsed="false">
      <c r="A38" s="11" t="s">
        <v>2115</v>
      </c>
      <c r="B38" s="15" t="s">
        <v>2087</v>
      </c>
      <c r="C38" s="11" t="s">
        <v>748</v>
      </c>
      <c r="E38" s="50" t="str">
        <f aca="false">IFERROR(IF(OR(NOT(ISNUMBER(E37)),N(E39)=0),"",E37/E39),"")</f>
        <v/>
      </c>
      <c r="F38" s="50" t="str">
        <f aca="false">IFERROR(IF(OR(NOT(ISNUMBER(F37)),N(F39)=0),"",F37/F39),"")</f>
        <v/>
      </c>
      <c r="G38" s="50" t="str">
        <f aca="false">IFERROR(IF(OR(NOT(ISNUMBER(G37)),N(G39)=0),"",G37/G39),"")</f>
        <v/>
      </c>
      <c r="H38" s="50" t="str">
        <f aca="false">IFERROR(IF(OR(NOT(ISNUMBER(H37)),N(H39)=0),"",H37/H39),"")</f>
        <v/>
      </c>
      <c r="I38" s="50" t="str">
        <f aca="false">IFERROR(IF(OR(NOT(ISNUMBER(I37)),N(I39)=0),"",I37/I39),"")</f>
        <v/>
      </c>
      <c r="J38" s="50" t="str">
        <f aca="false">IFERROR(IF(OR(NOT(ISNUMBER(J37)),N(J39)=0),"",J37/J39),"")</f>
        <v/>
      </c>
      <c r="K38" s="50" t="str">
        <f aca="false">IFERROR(IF(OR(NOT(ISNUMBER(K37)),N(K39)=0),"",K37/K39),"")</f>
        <v/>
      </c>
      <c r="L38" s="50" t="str">
        <f aca="false">IFERROR(IF(OR(NOT(ISNUMBER(L37)),N(L39)=0),"",L37/L39),"")</f>
        <v/>
      </c>
      <c r="M38" s="50" t="str">
        <f aca="false">IFERROR(IF(OR(NOT(ISNUMBER(M37)),N(M39)=0),"",M37/M39),"")</f>
        <v/>
      </c>
      <c r="N38" s="50" t="str">
        <f aca="false">IFERROR(IF(OR(NOT(ISNUMBER(N37)),N(N39)=0),"",N37/N39),"")</f>
        <v/>
      </c>
      <c r="O38" s="68" t="str">
        <f aca="false">IFERROR(IF(OR(NOT(ISNUMBER(O37)),N(O39)=0),"",O37/O39),"")</f>
        <v/>
      </c>
    </row>
    <row r="39" customFormat="false" ht="15" hidden="true" customHeight="false" outlineLevel="1" collapsed="false">
      <c r="A39" s="11" t="s">
        <v>2116</v>
      </c>
      <c r="B39" s="15" t="s">
        <v>2089</v>
      </c>
      <c r="C39" s="11" t="s">
        <v>544</v>
      </c>
      <c r="D39" s="48" t="n">
        <f aca="false">IF(cu_P=1,SUMIFS(Calculo!$F$30:$ES$30,Calculo!$F$16:$ES$16,1),SUMIFS(Calculo!$F$186:$ES$186,Calculo!$F$172:$ES$172,1))</f>
        <v>0</v>
      </c>
      <c r="E39" s="48" t="n">
        <f aca="false">IF(cu_P=1,SUMIFS(Calculo!$F$30:$ES$30,Calculo!$F$14:$ES$14,1),SUMIFS(Calculo!$F$186:$ES$186,Calculo!$F$170:$ES$170,1))</f>
        <v>0</v>
      </c>
      <c r="F39" s="48" t="n">
        <f aca="false">IF(cu_P=1,SUMIFS(Calculo!$F$30:$ES$30,Calculo!$F$14:$ES$14,2),SUMIFS(Calculo!$F$186:$ES$186,Calculo!$F$170:$ES$170,2))</f>
        <v>0</v>
      </c>
      <c r="G39" s="48" t="n">
        <f aca="false">IF(cu_P=1,SUMIFS(Calculo!$F$30:$ES$30,Calculo!$F$14:$ES$14,3),SUMIFS(Calculo!$F$186:$ES$186,Calculo!$F$170:$ES$170,3))</f>
        <v>0</v>
      </c>
      <c r="H39" s="48" t="n">
        <f aca="false">IF(cu_P=1,SUMIFS(Calculo!$F$30:$ES$30,Calculo!$F$14:$ES$14,4),SUMIFS(Calculo!$F$186:$ES$186,Calculo!$F$170:$ES$170,4))</f>
        <v>0</v>
      </c>
      <c r="I39" s="48" t="n">
        <f aca="false">IF(cu_P=1,SUMIFS(Calculo!$F$30:$ES$30,Calculo!$F$14:$ES$14,5),SUMIFS(Calculo!$F$186:$ES$186,Calculo!$F$170:$ES$170,5))</f>
        <v>0</v>
      </c>
      <c r="J39" s="48" t="n">
        <f aca="false">IF(cu_P=1,SUMIFS(Calculo!$F$30:$ES$30,Calculo!$F$14:$ES$14,6),SUMIFS(Calculo!$F$186:$ES$186,Calculo!$F$170:$ES$170,6))</f>
        <v>0</v>
      </c>
      <c r="K39" s="48" t="n">
        <f aca="false">IF(cu_P=1,SUMIFS(Calculo!$F$30:$ES$30,Calculo!$F$14:$ES$14,7),SUMIFS(Calculo!$F$186:$ES$186,Calculo!$F$170:$ES$170,7))</f>
        <v>0</v>
      </c>
      <c r="L39" s="48" t="n">
        <f aca="false">IF(cu_P=1,SUMIFS(Calculo!$F$30:$ES$30,Calculo!$F$14:$ES$14,8),SUMIFS(Calculo!$F$186:$ES$186,Calculo!$F$170:$ES$170,8))</f>
        <v>0</v>
      </c>
      <c r="M39" s="48" t="n">
        <f aca="false">IF(cu_P=1,SUMIFS(Calculo!$F$30:$ES$30,Calculo!$F$14:$ES$14,9),SUMIFS(Calculo!$F$186:$ES$186,Calculo!$F$170:$ES$170,9))</f>
        <v>0</v>
      </c>
      <c r="N39" s="48" t="n">
        <f aca="false">IF(cu_P=1,SUMIFS(Calculo!$F$30:$ES$30,Calculo!$F$14:$ES$14,10),SUMIFS(Calculo!$F$186:$ES$186,Calculo!$F$170:$ES$170,10))</f>
        <v>0</v>
      </c>
      <c r="O39" s="54" t="n">
        <f aca="false">SUM(D39:N39)</f>
        <v>0</v>
      </c>
    </row>
    <row r="40" customFormat="false" ht="15" hidden="true" customHeight="false" outlineLevel="1" collapsed="false">
      <c r="A40" s="11" t="s">
        <v>2117</v>
      </c>
      <c r="B40" s="53" t="str">
        <f aca="false">IF(INDEX(Prod_Nombre,11)="","Producto 11",INDEX(Prod_Nombre,11))</f>
        <v>Producto 11</v>
      </c>
      <c r="C40" s="11" t="s">
        <v>508</v>
      </c>
      <c r="D40" s="48" t="n">
        <f aca="false">IF(cu_P=1,SUMIFS(Calculo!$F$31:$ES$31,Calculo!$F$16:$ES$16,1)*N(INDEX(MP_O,11))*INDEX(IdxMP_O,1,1)*(1+P_dMat)/(1-P_Merma),SUMIFS(Calculo!$F$187:$ES$187,Calculo!$F$172:$ES$172,1)*N(INDEX(MP_V,11))*INDEX(IdxMP_V,1,1)*(1+V_dMat)/(1-V_Merma))</f>
        <v>0</v>
      </c>
      <c r="E40" s="48" t="n">
        <f aca="false">IF(cu_P=1,SUMIFS(Calculo!$F$31:$ES$31,Calculo!$F$14:$ES$14,1)*N(INDEX(MP_O,11))*INDEX(IdxMP_O,1,1)*(1+P_dMat)/(1-P_Merma),SUMIFS(Calculo!$F$187:$ES$187,Calculo!$F$170:$ES$170,1)*N(INDEX(MP_V,11))*INDEX(IdxMP_V,1,1)*(1+V_dMat)/(1-V_Merma))</f>
        <v>0</v>
      </c>
      <c r="F40" s="48" t="n">
        <f aca="false">IF(cu_P=1,SUMIFS(Calculo!$F$31:$ES$31,Calculo!$F$14:$ES$14,2)*N(INDEX(MP_O,11))*INDEX(IdxMP_O,1,2)*(1+P_dMat)/(1-P_Merma),SUMIFS(Calculo!$F$187:$ES$187,Calculo!$F$170:$ES$170,2)*N(INDEX(MP_V,11))*INDEX(IdxMP_V,1,2)*(1+V_dMat)/(1-V_Merma))</f>
        <v>0</v>
      </c>
      <c r="G40" s="48" t="n">
        <f aca="false">IF(cu_P=1,SUMIFS(Calculo!$F$31:$ES$31,Calculo!$F$14:$ES$14,3)*N(INDEX(MP_O,11))*INDEX(IdxMP_O,1,3)*(1+P_dMat)/(1-P_Merma),SUMIFS(Calculo!$F$187:$ES$187,Calculo!$F$170:$ES$170,3)*N(INDEX(MP_V,11))*INDEX(IdxMP_V,1,3)*(1+V_dMat)/(1-V_Merma))</f>
        <v>0</v>
      </c>
      <c r="H40" s="48" t="n">
        <f aca="false">IF(cu_P=1,SUMIFS(Calculo!$F$31:$ES$31,Calculo!$F$14:$ES$14,4)*N(INDEX(MP_O,11))*INDEX(IdxMP_O,1,4)*(1+P_dMat)/(1-P_Merma),SUMIFS(Calculo!$F$187:$ES$187,Calculo!$F$170:$ES$170,4)*N(INDEX(MP_V,11))*INDEX(IdxMP_V,1,4)*(1+V_dMat)/(1-V_Merma))</f>
        <v>0</v>
      </c>
      <c r="I40" s="48" t="n">
        <f aca="false">IF(cu_P=1,SUMIFS(Calculo!$F$31:$ES$31,Calculo!$F$14:$ES$14,5)*N(INDEX(MP_O,11))*INDEX(IdxMP_O,1,5)*(1+P_dMat)/(1-P_Merma),SUMIFS(Calculo!$F$187:$ES$187,Calculo!$F$170:$ES$170,5)*N(INDEX(MP_V,11))*INDEX(IdxMP_V,1,5)*(1+V_dMat)/(1-V_Merma))</f>
        <v>0</v>
      </c>
      <c r="J40" s="48" t="n">
        <f aca="false">IF(cu_P=1,SUMIFS(Calculo!$F$31:$ES$31,Calculo!$F$14:$ES$14,6)*N(INDEX(MP_O,11))*INDEX(IdxMP_O,1,6)*(1+P_dMat)/(1-P_Merma),SUMIFS(Calculo!$F$187:$ES$187,Calculo!$F$170:$ES$170,6)*N(INDEX(MP_V,11))*INDEX(IdxMP_V,1,6)*(1+V_dMat)/(1-V_Merma))</f>
        <v>0</v>
      </c>
      <c r="K40" s="48" t="n">
        <f aca="false">IF(cu_P=1,SUMIFS(Calculo!$F$31:$ES$31,Calculo!$F$14:$ES$14,7)*N(INDEX(MP_O,11))*INDEX(IdxMP_O,1,7)*(1+P_dMat)/(1-P_Merma),SUMIFS(Calculo!$F$187:$ES$187,Calculo!$F$170:$ES$170,7)*N(INDEX(MP_V,11))*INDEX(IdxMP_V,1,7)*(1+V_dMat)/(1-V_Merma))</f>
        <v>0</v>
      </c>
      <c r="L40" s="48" t="n">
        <f aca="false">IF(cu_P=1,SUMIFS(Calculo!$F$31:$ES$31,Calculo!$F$14:$ES$14,8)*N(INDEX(MP_O,11))*INDEX(IdxMP_O,1,8)*(1+P_dMat)/(1-P_Merma),SUMIFS(Calculo!$F$187:$ES$187,Calculo!$F$170:$ES$170,8)*N(INDEX(MP_V,11))*INDEX(IdxMP_V,1,8)*(1+V_dMat)/(1-V_Merma))</f>
        <v>0</v>
      </c>
      <c r="M40" s="48" t="n">
        <f aca="false">IF(cu_P=1,SUMIFS(Calculo!$F$31:$ES$31,Calculo!$F$14:$ES$14,9)*N(INDEX(MP_O,11))*INDEX(IdxMP_O,1,9)*(1+P_dMat)/(1-P_Merma),SUMIFS(Calculo!$F$187:$ES$187,Calculo!$F$170:$ES$170,9)*N(INDEX(MP_V,11))*INDEX(IdxMP_V,1,9)*(1+V_dMat)/(1-V_Merma))</f>
        <v>0</v>
      </c>
      <c r="N40" s="48" t="n">
        <f aca="false">IF(cu_P=1,SUMIFS(Calculo!$F$31:$ES$31,Calculo!$F$14:$ES$14,10)*N(INDEX(MP_O,11))*INDEX(IdxMP_O,1,10)*(1+P_dMat)/(1-P_Merma),SUMIFS(Calculo!$F$187:$ES$187,Calculo!$F$170:$ES$170,10)*N(INDEX(MP_V,11))*INDEX(IdxMP_V,1,10)*(1+V_dMat)/(1-V_Merma))</f>
        <v>0</v>
      </c>
      <c r="O40" s="54" t="n">
        <f aca="false">SUM(D40:N40)</f>
        <v>0</v>
      </c>
    </row>
    <row r="41" customFormat="false" ht="15" hidden="true" customHeight="false" outlineLevel="1" collapsed="false">
      <c r="A41" s="11" t="s">
        <v>2118</v>
      </c>
      <c r="B41" s="15" t="s">
        <v>2087</v>
      </c>
      <c r="C41" s="11" t="s">
        <v>748</v>
      </c>
      <c r="E41" s="50" t="str">
        <f aca="false">IFERROR(IF(OR(NOT(ISNUMBER(E40)),N(E42)=0),"",E40/E42),"")</f>
        <v/>
      </c>
      <c r="F41" s="50" t="str">
        <f aca="false">IFERROR(IF(OR(NOT(ISNUMBER(F40)),N(F42)=0),"",F40/F42),"")</f>
        <v/>
      </c>
      <c r="G41" s="50" t="str">
        <f aca="false">IFERROR(IF(OR(NOT(ISNUMBER(G40)),N(G42)=0),"",G40/G42),"")</f>
        <v/>
      </c>
      <c r="H41" s="50" t="str">
        <f aca="false">IFERROR(IF(OR(NOT(ISNUMBER(H40)),N(H42)=0),"",H40/H42),"")</f>
        <v/>
      </c>
      <c r="I41" s="50" t="str">
        <f aca="false">IFERROR(IF(OR(NOT(ISNUMBER(I40)),N(I42)=0),"",I40/I42),"")</f>
        <v/>
      </c>
      <c r="J41" s="50" t="str">
        <f aca="false">IFERROR(IF(OR(NOT(ISNUMBER(J40)),N(J42)=0),"",J40/J42),"")</f>
        <v/>
      </c>
      <c r="K41" s="50" t="str">
        <f aca="false">IFERROR(IF(OR(NOT(ISNUMBER(K40)),N(K42)=0),"",K40/K42),"")</f>
        <v/>
      </c>
      <c r="L41" s="50" t="str">
        <f aca="false">IFERROR(IF(OR(NOT(ISNUMBER(L40)),N(L42)=0),"",L40/L42),"")</f>
        <v/>
      </c>
      <c r="M41" s="50" t="str">
        <f aca="false">IFERROR(IF(OR(NOT(ISNUMBER(M40)),N(M42)=0),"",M40/M42),"")</f>
        <v/>
      </c>
      <c r="N41" s="50" t="str">
        <f aca="false">IFERROR(IF(OR(NOT(ISNUMBER(N40)),N(N42)=0),"",N40/N42),"")</f>
        <v/>
      </c>
      <c r="O41" s="68" t="str">
        <f aca="false">IFERROR(IF(OR(NOT(ISNUMBER(O40)),N(O42)=0),"",O40/O42),"")</f>
        <v/>
      </c>
    </row>
    <row r="42" customFormat="false" ht="15" hidden="true" customHeight="false" outlineLevel="1" collapsed="false">
      <c r="A42" s="11" t="s">
        <v>2119</v>
      </c>
      <c r="B42" s="15" t="s">
        <v>2089</v>
      </c>
      <c r="C42" s="11" t="s">
        <v>544</v>
      </c>
      <c r="D42" s="48" t="n">
        <f aca="false">IF(cu_P=1,SUMIFS(Calculo!$F$31:$ES$31,Calculo!$F$16:$ES$16,1),SUMIFS(Calculo!$F$187:$ES$187,Calculo!$F$172:$ES$172,1))</f>
        <v>0</v>
      </c>
      <c r="E42" s="48" t="n">
        <f aca="false">IF(cu_P=1,SUMIFS(Calculo!$F$31:$ES$31,Calculo!$F$14:$ES$14,1),SUMIFS(Calculo!$F$187:$ES$187,Calculo!$F$170:$ES$170,1))</f>
        <v>0</v>
      </c>
      <c r="F42" s="48" t="n">
        <f aca="false">IF(cu_P=1,SUMIFS(Calculo!$F$31:$ES$31,Calculo!$F$14:$ES$14,2),SUMIFS(Calculo!$F$187:$ES$187,Calculo!$F$170:$ES$170,2))</f>
        <v>0</v>
      </c>
      <c r="G42" s="48" t="n">
        <f aca="false">IF(cu_P=1,SUMIFS(Calculo!$F$31:$ES$31,Calculo!$F$14:$ES$14,3),SUMIFS(Calculo!$F$187:$ES$187,Calculo!$F$170:$ES$170,3))</f>
        <v>0</v>
      </c>
      <c r="H42" s="48" t="n">
        <f aca="false">IF(cu_P=1,SUMIFS(Calculo!$F$31:$ES$31,Calculo!$F$14:$ES$14,4),SUMIFS(Calculo!$F$187:$ES$187,Calculo!$F$170:$ES$170,4))</f>
        <v>0</v>
      </c>
      <c r="I42" s="48" t="n">
        <f aca="false">IF(cu_P=1,SUMIFS(Calculo!$F$31:$ES$31,Calculo!$F$14:$ES$14,5),SUMIFS(Calculo!$F$187:$ES$187,Calculo!$F$170:$ES$170,5))</f>
        <v>0</v>
      </c>
      <c r="J42" s="48" t="n">
        <f aca="false">IF(cu_P=1,SUMIFS(Calculo!$F$31:$ES$31,Calculo!$F$14:$ES$14,6),SUMIFS(Calculo!$F$187:$ES$187,Calculo!$F$170:$ES$170,6))</f>
        <v>0</v>
      </c>
      <c r="K42" s="48" t="n">
        <f aca="false">IF(cu_P=1,SUMIFS(Calculo!$F$31:$ES$31,Calculo!$F$14:$ES$14,7),SUMIFS(Calculo!$F$187:$ES$187,Calculo!$F$170:$ES$170,7))</f>
        <v>0</v>
      </c>
      <c r="L42" s="48" t="n">
        <f aca="false">IF(cu_P=1,SUMIFS(Calculo!$F$31:$ES$31,Calculo!$F$14:$ES$14,8),SUMIFS(Calculo!$F$187:$ES$187,Calculo!$F$170:$ES$170,8))</f>
        <v>0</v>
      </c>
      <c r="M42" s="48" t="n">
        <f aca="false">IF(cu_P=1,SUMIFS(Calculo!$F$31:$ES$31,Calculo!$F$14:$ES$14,9),SUMIFS(Calculo!$F$187:$ES$187,Calculo!$F$170:$ES$170,9))</f>
        <v>0</v>
      </c>
      <c r="N42" s="48" t="n">
        <f aca="false">IF(cu_P=1,SUMIFS(Calculo!$F$31:$ES$31,Calculo!$F$14:$ES$14,10),SUMIFS(Calculo!$F$187:$ES$187,Calculo!$F$170:$ES$170,10))</f>
        <v>0</v>
      </c>
      <c r="O42" s="54" t="n">
        <f aca="false">SUM(D42:N42)</f>
        <v>0</v>
      </c>
    </row>
    <row r="43" customFormat="false" ht="15" hidden="true" customHeight="false" outlineLevel="1" collapsed="false">
      <c r="A43" s="11" t="s">
        <v>2120</v>
      </c>
      <c r="B43" s="53" t="str">
        <f aca="false">IF(INDEX(Prod_Nombre,12)="","Producto 12",INDEX(Prod_Nombre,12))</f>
        <v>Producto 12</v>
      </c>
      <c r="C43" s="11" t="s">
        <v>508</v>
      </c>
      <c r="D43" s="48" t="n">
        <f aca="false">IF(cu_P=1,SUMIFS(Calculo!$F$32:$ES$32,Calculo!$F$16:$ES$16,1)*N(INDEX(MP_O,12))*INDEX(IdxMP_O,1,1)*(1+P_dMat)/(1-P_Merma),SUMIFS(Calculo!$F$188:$ES$188,Calculo!$F$172:$ES$172,1)*N(INDEX(MP_V,12))*INDEX(IdxMP_V,1,1)*(1+V_dMat)/(1-V_Merma))</f>
        <v>0</v>
      </c>
      <c r="E43" s="48" t="n">
        <f aca="false">IF(cu_P=1,SUMIFS(Calculo!$F$32:$ES$32,Calculo!$F$14:$ES$14,1)*N(INDEX(MP_O,12))*INDEX(IdxMP_O,1,1)*(1+P_dMat)/(1-P_Merma),SUMIFS(Calculo!$F$188:$ES$188,Calculo!$F$170:$ES$170,1)*N(INDEX(MP_V,12))*INDEX(IdxMP_V,1,1)*(1+V_dMat)/(1-V_Merma))</f>
        <v>0</v>
      </c>
      <c r="F43" s="48" t="n">
        <f aca="false">IF(cu_P=1,SUMIFS(Calculo!$F$32:$ES$32,Calculo!$F$14:$ES$14,2)*N(INDEX(MP_O,12))*INDEX(IdxMP_O,1,2)*(1+P_dMat)/(1-P_Merma),SUMIFS(Calculo!$F$188:$ES$188,Calculo!$F$170:$ES$170,2)*N(INDEX(MP_V,12))*INDEX(IdxMP_V,1,2)*(1+V_dMat)/(1-V_Merma))</f>
        <v>0</v>
      </c>
      <c r="G43" s="48" t="n">
        <f aca="false">IF(cu_P=1,SUMIFS(Calculo!$F$32:$ES$32,Calculo!$F$14:$ES$14,3)*N(INDEX(MP_O,12))*INDEX(IdxMP_O,1,3)*(1+P_dMat)/(1-P_Merma),SUMIFS(Calculo!$F$188:$ES$188,Calculo!$F$170:$ES$170,3)*N(INDEX(MP_V,12))*INDEX(IdxMP_V,1,3)*(1+V_dMat)/(1-V_Merma))</f>
        <v>0</v>
      </c>
      <c r="H43" s="48" t="n">
        <f aca="false">IF(cu_P=1,SUMIFS(Calculo!$F$32:$ES$32,Calculo!$F$14:$ES$14,4)*N(INDEX(MP_O,12))*INDEX(IdxMP_O,1,4)*(1+P_dMat)/(1-P_Merma),SUMIFS(Calculo!$F$188:$ES$188,Calculo!$F$170:$ES$170,4)*N(INDEX(MP_V,12))*INDEX(IdxMP_V,1,4)*(1+V_dMat)/(1-V_Merma))</f>
        <v>0</v>
      </c>
      <c r="I43" s="48" t="n">
        <f aca="false">IF(cu_P=1,SUMIFS(Calculo!$F$32:$ES$32,Calculo!$F$14:$ES$14,5)*N(INDEX(MP_O,12))*INDEX(IdxMP_O,1,5)*(1+P_dMat)/(1-P_Merma),SUMIFS(Calculo!$F$188:$ES$188,Calculo!$F$170:$ES$170,5)*N(INDEX(MP_V,12))*INDEX(IdxMP_V,1,5)*(1+V_dMat)/(1-V_Merma))</f>
        <v>0</v>
      </c>
      <c r="J43" s="48" t="n">
        <f aca="false">IF(cu_P=1,SUMIFS(Calculo!$F$32:$ES$32,Calculo!$F$14:$ES$14,6)*N(INDEX(MP_O,12))*INDEX(IdxMP_O,1,6)*(1+P_dMat)/(1-P_Merma),SUMIFS(Calculo!$F$188:$ES$188,Calculo!$F$170:$ES$170,6)*N(INDEX(MP_V,12))*INDEX(IdxMP_V,1,6)*(1+V_dMat)/(1-V_Merma))</f>
        <v>0</v>
      </c>
      <c r="K43" s="48" t="n">
        <f aca="false">IF(cu_P=1,SUMIFS(Calculo!$F$32:$ES$32,Calculo!$F$14:$ES$14,7)*N(INDEX(MP_O,12))*INDEX(IdxMP_O,1,7)*(1+P_dMat)/(1-P_Merma),SUMIFS(Calculo!$F$188:$ES$188,Calculo!$F$170:$ES$170,7)*N(INDEX(MP_V,12))*INDEX(IdxMP_V,1,7)*(1+V_dMat)/(1-V_Merma))</f>
        <v>0</v>
      </c>
      <c r="L43" s="48" t="n">
        <f aca="false">IF(cu_P=1,SUMIFS(Calculo!$F$32:$ES$32,Calculo!$F$14:$ES$14,8)*N(INDEX(MP_O,12))*INDEX(IdxMP_O,1,8)*(1+P_dMat)/(1-P_Merma),SUMIFS(Calculo!$F$188:$ES$188,Calculo!$F$170:$ES$170,8)*N(INDEX(MP_V,12))*INDEX(IdxMP_V,1,8)*(1+V_dMat)/(1-V_Merma))</f>
        <v>0</v>
      </c>
      <c r="M43" s="48" t="n">
        <f aca="false">IF(cu_P=1,SUMIFS(Calculo!$F$32:$ES$32,Calculo!$F$14:$ES$14,9)*N(INDEX(MP_O,12))*INDEX(IdxMP_O,1,9)*(1+P_dMat)/(1-P_Merma),SUMIFS(Calculo!$F$188:$ES$188,Calculo!$F$170:$ES$170,9)*N(INDEX(MP_V,12))*INDEX(IdxMP_V,1,9)*(1+V_dMat)/(1-V_Merma))</f>
        <v>0</v>
      </c>
      <c r="N43" s="48" t="n">
        <f aca="false">IF(cu_P=1,SUMIFS(Calculo!$F$32:$ES$32,Calculo!$F$14:$ES$14,10)*N(INDEX(MP_O,12))*INDEX(IdxMP_O,1,10)*(1+P_dMat)/(1-P_Merma),SUMIFS(Calculo!$F$188:$ES$188,Calculo!$F$170:$ES$170,10)*N(INDEX(MP_V,12))*INDEX(IdxMP_V,1,10)*(1+V_dMat)/(1-V_Merma))</f>
        <v>0</v>
      </c>
      <c r="O43" s="54" t="n">
        <f aca="false">SUM(D43:N43)</f>
        <v>0</v>
      </c>
    </row>
    <row r="44" customFormat="false" ht="15" hidden="true" customHeight="false" outlineLevel="1" collapsed="false">
      <c r="A44" s="11" t="s">
        <v>2121</v>
      </c>
      <c r="B44" s="15" t="s">
        <v>2087</v>
      </c>
      <c r="C44" s="11" t="s">
        <v>748</v>
      </c>
      <c r="E44" s="50" t="str">
        <f aca="false">IFERROR(IF(OR(NOT(ISNUMBER(E43)),N(E45)=0),"",E43/E45),"")</f>
        <v/>
      </c>
      <c r="F44" s="50" t="str">
        <f aca="false">IFERROR(IF(OR(NOT(ISNUMBER(F43)),N(F45)=0),"",F43/F45),"")</f>
        <v/>
      </c>
      <c r="G44" s="50" t="str">
        <f aca="false">IFERROR(IF(OR(NOT(ISNUMBER(G43)),N(G45)=0),"",G43/G45),"")</f>
        <v/>
      </c>
      <c r="H44" s="50" t="str">
        <f aca="false">IFERROR(IF(OR(NOT(ISNUMBER(H43)),N(H45)=0),"",H43/H45),"")</f>
        <v/>
      </c>
      <c r="I44" s="50" t="str">
        <f aca="false">IFERROR(IF(OR(NOT(ISNUMBER(I43)),N(I45)=0),"",I43/I45),"")</f>
        <v/>
      </c>
      <c r="J44" s="50" t="str">
        <f aca="false">IFERROR(IF(OR(NOT(ISNUMBER(J43)),N(J45)=0),"",J43/J45),"")</f>
        <v/>
      </c>
      <c r="K44" s="50" t="str">
        <f aca="false">IFERROR(IF(OR(NOT(ISNUMBER(K43)),N(K45)=0),"",K43/K45),"")</f>
        <v/>
      </c>
      <c r="L44" s="50" t="str">
        <f aca="false">IFERROR(IF(OR(NOT(ISNUMBER(L43)),N(L45)=0),"",L43/L45),"")</f>
        <v/>
      </c>
      <c r="M44" s="50" t="str">
        <f aca="false">IFERROR(IF(OR(NOT(ISNUMBER(M43)),N(M45)=0),"",M43/M45),"")</f>
        <v/>
      </c>
      <c r="N44" s="50" t="str">
        <f aca="false">IFERROR(IF(OR(NOT(ISNUMBER(N43)),N(N45)=0),"",N43/N45),"")</f>
        <v/>
      </c>
      <c r="O44" s="68" t="str">
        <f aca="false">IFERROR(IF(OR(NOT(ISNUMBER(O43)),N(O45)=0),"",O43/O45),"")</f>
        <v/>
      </c>
    </row>
    <row r="45" customFormat="false" ht="15" hidden="true" customHeight="false" outlineLevel="1" collapsed="false">
      <c r="A45" s="11" t="s">
        <v>2122</v>
      </c>
      <c r="B45" s="15" t="s">
        <v>2089</v>
      </c>
      <c r="C45" s="11" t="s">
        <v>544</v>
      </c>
      <c r="D45" s="48" t="n">
        <f aca="false">IF(cu_P=1,SUMIFS(Calculo!$F$32:$ES$32,Calculo!$F$16:$ES$16,1),SUMIFS(Calculo!$F$188:$ES$188,Calculo!$F$172:$ES$172,1))</f>
        <v>0</v>
      </c>
      <c r="E45" s="48" t="n">
        <f aca="false">IF(cu_P=1,SUMIFS(Calculo!$F$32:$ES$32,Calculo!$F$14:$ES$14,1),SUMIFS(Calculo!$F$188:$ES$188,Calculo!$F$170:$ES$170,1))</f>
        <v>0</v>
      </c>
      <c r="F45" s="48" t="n">
        <f aca="false">IF(cu_P=1,SUMIFS(Calculo!$F$32:$ES$32,Calculo!$F$14:$ES$14,2),SUMIFS(Calculo!$F$188:$ES$188,Calculo!$F$170:$ES$170,2))</f>
        <v>0</v>
      </c>
      <c r="G45" s="48" t="n">
        <f aca="false">IF(cu_P=1,SUMIFS(Calculo!$F$32:$ES$32,Calculo!$F$14:$ES$14,3),SUMIFS(Calculo!$F$188:$ES$188,Calculo!$F$170:$ES$170,3))</f>
        <v>0</v>
      </c>
      <c r="H45" s="48" t="n">
        <f aca="false">IF(cu_P=1,SUMIFS(Calculo!$F$32:$ES$32,Calculo!$F$14:$ES$14,4),SUMIFS(Calculo!$F$188:$ES$188,Calculo!$F$170:$ES$170,4))</f>
        <v>0</v>
      </c>
      <c r="I45" s="48" t="n">
        <f aca="false">IF(cu_P=1,SUMIFS(Calculo!$F$32:$ES$32,Calculo!$F$14:$ES$14,5),SUMIFS(Calculo!$F$188:$ES$188,Calculo!$F$170:$ES$170,5))</f>
        <v>0</v>
      </c>
      <c r="J45" s="48" t="n">
        <f aca="false">IF(cu_P=1,SUMIFS(Calculo!$F$32:$ES$32,Calculo!$F$14:$ES$14,6),SUMIFS(Calculo!$F$188:$ES$188,Calculo!$F$170:$ES$170,6))</f>
        <v>0</v>
      </c>
      <c r="K45" s="48" t="n">
        <f aca="false">IF(cu_P=1,SUMIFS(Calculo!$F$32:$ES$32,Calculo!$F$14:$ES$14,7),SUMIFS(Calculo!$F$188:$ES$188,Calculo!$F$170:$ES$170,7))</f>
        <v>0</v>
      </c>
      <c r="L45" s="48" t="n">
        <f aca="false">IF(cu_P=1,SUMIFS(Calculo!$F$32:$ES$32,Calculo!$F$14:$ES$14,8),SUMIFS(Calculo!$F$188:$ES$188,Calculo!$F$170:$ES$170,8))</f>
        <v>0</v>
      </c>
      <c r="M45" s="48" t="n">
        <f aca="false">IF(cu_P=1,SUMIFS(Calculo!$F$32:$ES$32,Calculo!$F$14:$ES$14,9),SUMIFS(Calculo!$F$188:$ES$188,Calculo!$F$170:$ES$170,9))</f>
        <v>0</v>
      </c>
      <c r="N45" s="48" t="n">
        <f aca="false">IF(cu_P=1,SUMIFS(Calculo!$F$32:$ES$32,Calculo!$F$14:$ES$14,10),SUMIFS(Calculo!$F$188:$ES$188,Calculo!$F$170:$ES$170,10))</f>
        <v>0</v>
      </c>
      <c r="O45" s="54" t="n">
        <f aca="false">SUM(D45:N45)</f>
        <v>0</v>
      </c>
    </row>
    <row r="46" customFormat="false" ht="15" hidden="true" customHeight="false" outlineLevel="1" collapsed="false">
      <c r="A46" s="11" t="s">
        <v>2123</v>
      </c>
      <c r="B46" s="53" t="str">
        <f aca="false">IF(INDEX(Prod_Nombre,13)="","Producto 13",INDEX(Prod_Nombre,13))</f>
        <v>Producto 13</v>
      </c>
      <c r="C46" s="11" t="s">
        <v>508</v>
      </c>
      <c r="D46" s="48" t="n">
        <f aca="false">IF(cu_P=1,SUMIFS(Calculo!$F$33:$ES$33,Calculo!$F$16:$ES$16,1)*N(INDEX(MP_O,13))*INDEX(IdxMP_O,1,1)*(1+P_dMat)/(1-P_Merma),SUMIFS(Calculo!$F$189:$ES$189,Calculo!$F$172:$ES$172,1)*N(INDEX(MP_V,13))*INDEX(IdxMP_V,1,1)*(1+V_dMat)/(1-V_Merma))</f>
        <v>0</v>
      </c>
      <c r="E46" s="48" t="n">
        <f aca="false">IF(cu_P=1,SUMIFS(Calculo!$F$33:$ES$33,Calculo!$F$14:$ES$14,1)*N(INDEX(MP_O,13))*INDEX(IdxMP_O,1,1)*(1+P_dMat)/(1-P_Merma),SUMIFS(Calculo!$F$189:$ES$189,Calculo!$F$170:$ES$170,1)*N(INDEX(MP_V,13))*INDEX(IdxMP_V,1,1)*(1+V_dMat)/(1-V_Merma))</f>
        <v>0</v>
      </c>
      <c r="F46" s="48" t="n">
        <f aca="false">IF(cu_P=1,SUMIFS(Calculo!$F$33:$ES$33,Calculo!$F$14:$ES$14,2)*N(INDEX(MP_O,13))*INDEX(IdxMP_O,1,2)*(1+P_dMat)/(1-P_Merma),SUMIFS(Calculo!$F$189:$ES$189,Calculo!$F$170:$ES$170,2)*N(INDEX(MP_V,13))*INDEX(IdxMP_V,1,2)*(1+V_dMat)/(1-V_Merma))</f>
        <v>0</v>
      </c>
      <c r="G46" s="48" t="n">
        <f aca="false">IF(cu_P=1,SUMIFS(Calculo!$F$33:$ES$33,Calculo!$F$14:$ES$14,3)*N(INDEX(MP_O,13))*INDEX(IdxMP_O,1,3)*(1+P_dMat)/(1-P_Merma),SUMIFS(Calculo!$F$189:$ES$189,Calculo!$F$170:$ES$170,3)*N(INDEX(MP_V,13))*INDEX(IdxMP_V,1,3)*(1+V_dMat)/(1-V_Merma))</f>
        <v>0</v>
      </c>
      <c r="H46" s="48" t="n">
        <f aca="false">IF(cu_P=1,SUMIFS(Calculo!$F$33:$ES$33,Calculo!$F$14:$ES$14,4)*N(INDEX(MP_O,13))*INDEX(IdxMP_O,1,4)*(1+P_dMat)/(1-P_Merma),SUMIFS(Calculo!$F$189:$ES$189,Calculo!$F$170:$ES$170,4)*N(INDEX(MP_V,13))*INDEX(IdxMP_V,1,4)*(1+V_dMat)/(1-V_Merma))</f>
        <v>0</v>
      </c>
      <c r="I46" s="48" t="n">
        <f aca="false">IF(cu_P=1,SUMIFS(Calculo!$F$33:$ES$33,Calculo!$F$14:$ES$14,5)*N(INDEX(MP_O,13))*INDEX(IdxMP_O,1,5)*(1+P_dMat)/(1-P_Merma),SUMIFS(Calculo!$F$189:$ES$189,Calculo!$F$170:$ES$170,5)*N(INDEX(MP_V,13))*INDEX(IdxMP_V,1,5)*(1+V_dMat)/(1-V_Merma))</f>
        <v>0</v>
      </c>
      <c r="J46" s="48" t="n">
        <f aca="false">IF(cu_P=1,SUMIFS(Calculo!$F$33:$ES$33,Calculo!$F$14:$ES$14,6)*N(INDEX(MP_O,13))*INDEX(IdxMP_O,1,6)*(1+P_dMat)/(1-P_Merma),SUMIFS(Calculo!$F$189:$ES$189,Calculo!$F$170:$ES$170,6)*N(INDEX(MP_V,13))*INDEX(IdxMP_V,1,6)*(1+V_dMat)/(1-V_Merma))</f>
        <v>0</v>
      </c>
      <c r="K46" s="48" t="n">
        <f aca="false">IF(cu_P=1,SUMIFS(Calculo!$F$33:$ES$33,Calculo!$F$14:$ES$14,7)*N(INDEX(MP_O,13))*INDEX(IdxMP_O,1,7)*(1+P_dMat)/(1-P_Merma),SUMIFS(Calculo!$F$189:$ES$189,Calculo!$F$170:$ES$170,7)*N(INDEX(MP_V,13))*INDEX(IdxMP_V,1,7)*(1+V_dMat)/(1-V_Merma))</f>
        <v>0</v>
      </c>
      <c r="L46" s="48" t="n">
        <f aca="false">IF(cu_P=1,SUMIFS(Calculo!$F$33:$ES$33,Calculo!$F$14:$ES$14,8)*N(INDEX(MP_O,13))*INDEX(IdxMP_O,1,8)*(1+P_dMat)/(1-P_Merma),SUMIFS(Calculo!$F$189:$ES$189,Calculo!$F$170:$ES$170,8)*N(INDEX(MP_V,13))*INDEX(IdxMP_V,1,8)*(1+V_dMat)/(1-V_Merma))</f>
        <v>0</v>
      </c>
      <c r="M46" s="48" t="n">
        <f aca="false">IF(cu_P=1,SUMIFS(Calculo!$F$33:$ES$33,Calculo!$F$14:$ES$14,9)*N(INDEX(MP_O,13))*INDEX(IdxMP_O,1,9)*(1+P_dMat)/(1-P_Merma),SUMIFS(Calculo!$F$189:$ES$189,Calculo!$F$170:$ES$170,9)*N(INDEX(MP_V,13))*INDEX(IdxMP_V,1,9)*(1+V_dMat)/(1-V_Merma))</f>
        <v>0</v>
      </c>
      <c r="N46" s="48" t="n">
        <f aca="false">IF(cu_P=1,SUMIFS(Calculo!$F$33:$ES$33,Calculo!$F$14:$ES$14,10)*N(INDEX(MP_O,13))*INDEX(IdxMP_O,1,10)*(1+P_dMat)/(1-P_Merma),SUMIFS(Calculo!$F$189:$ES$189,Calculo!$F$170:$ES$170,10)*N(INDEX(MP_V,13))*INDEX(IdxMP_V,1,10)*(1+V_dMat)/(1-V_Merma))</f>
        <v>0</v>
      </c>
      <c r="O46" s="54" t="n">
        <f aca="false">SUM(D46:N46)</f>
        <v>0</v>
      </c>
    </row>
    <row r="47" customFormat="false" ht="15" hidden="true" customHeight="false" outlineLevel="1" collapsed="false">
      <c r="A47" s="11" t="s">
        <v>2124</v>
      </c>
      <c r="B47" s="15" t="s">
        <v>2087</v>
      </c>
      <c r="C47" s="11" t="s">
        <v>748</v>
      </c>
      <c r="E47" s="50" t="str">
        <f aca="false">IFERROR(IF(OR(NOT(ISNUMBER(E46)),N(E48)=0),"",E46/E48),"")</f>
        <v/>
      </c>
      <c r="F47" s="50" t="str">
        <f aca="false">IFERROR(IF(OR(NOT(ISNUMBER(F46)),N(F48)=0),"",F46/F48),"")</f>
        <v/>
      </c>
      <c r="G47" s="50" t="str">
        <f aca="false">IFERROR(IF(OR(NOT(ISNUMBER(G46)),N(G48)=0),"",G46/G48),"")</f>
        <v/>
      </c>
      <c r="H47" s="50" t="str">
        <f aca="false">IFERROR(IF(OR(NOT(ISNUMBER(H46)),N(H48)=0),"",H46/H48),"")</f>
        <v/>
      </c>
      <c r="I47" s="50" t="str">
        <f aca="false">IFERROR(IF(OR(NOT(ISNUMBER(I46)),N(I48)=0),"",I46/I48),"")</f>
        <v/>
      </c>
      <c r="J47" s="50" t="str">
        <f aca="false">IFERROR(IF(OR(NOT(ISNUMBER(J46)),N(J48)=0),"",J46/J48),"")</f>
        <v/>
      </c>
      <c r="K47" s="50" t="str">
        <f aca="false">IFERROR(IF(OR(NOT(ISNUMBER(K46)),N(K48)=0),"",K46/K48),"")</f>
        <v/>
      </c>
      <c r="L47" s="50" t="str">
        <f aca="false">IFERROR(IF(OR(NOT(ISNUMBER(L46)),N(L48)=0),"",L46/L48),"")</f>
        <v/>
      </c>
      <c r="M47" s="50" t="str">
        <f aca="false">IFERROR(IF(OR(NOT(ISNUMBER(M46)),N(M48)=0),"",M46/M48),"")</f>
        <v/>
      </c>
      <c r="N47" s="50" t="str">
        <f aca="false">IFERROR(IF(OR(NOT(ISNUMBER(N46)),N(N48)=0),"",N46/N48),"")</f>
        <v/>
      </c>
      <c r="O47" s="68" t="str">
        <f aca="false">IFERROR(IF(OR(NOT(ISNUMBER(O46)),N(O48)=0),"",O46/O48),"")</f>
        <v/>
      </c>
    </row>
    <row r="48" customFormat="false" ht="15" hidden="true" customHeight="false" outlineLevel="1" collapsed="false">
      <c r="A48" s="11" t="s">
        <v>2125</v>
      </c>
      <c r="B48" s="15" t="s">
        <v>2089</v>
      </c>
      <c r="C48" s="11" t="s">
        <v>544</v>
      </c>
      <c r="D48" s="48" t="n">
        <f aca="false">IF(cu_P=1,SUMIFS(Calculo!$F$33:$ES$33,Calculo!$F$16:$ES$16,1),SUMIFS(Calculo!$F$189:$ES$189,Calculo!$F$172:$ES$172,1))</f>
        <v>0</v>
      </c>
      <c r="E48" s="48" t="n">
        <f aca="false">IF(cu_P=1,SUMIFS(Calculo!$F$33:$ES$33,Calculo!$F$14:$ES$14,1),SUMIFS(Calculo!$F$189:$ES$189,Calculo!$F$170:$ES$170,1))</f>
        <v>0</v>
      </c>
      <c r="F48" s="48" t="n">
        <f aca="false">IF(cu_P=1,SUMIFS(Calculo!$F$33:$ES$33,Calculo!$F$14:$ES$14,2),SUMIFS(Calculo!$F$189:$ES$189,Calculo!$F$170:$ES$170,2))</f>
        <v>0</v>
      </c>
      <c r="G48" s="48" t="n">
        <f aca="false">IF(cu_P=1,SUMIFS(Calculo!$F$33:$ES$33,Calculo!$F$14:$ES$14,3),SUMIFS(Calculo!$F$189:$ES$189,Calculo!$F$170:$ES$170,3))</f>
        <v>0</v>
      </c>
      <c r="H48" s="48" t="n">
        <f aca="false">IF(cu_P=1,SUMIFS(Calculo!$F$33:$ES$33,Calculo!$F$14:$ES$14,4),SUMIFS(Calculo!$F$189:$ES$189,Calculo!$F$170:$ES$170,4))</f>
        <v>0</v>
      </c>
      <c r="I48" s="48" t="n">
        <f aca="false">IF(cu_P=1,SUMIFS(Calculo!$F$33:$ES$33,Calculo!$F$14:$ES$14,5),SUMIFS(Calculo!$F$189:$ES$189,Calculo!$F$170:$ES$170,5))</f>
        <v>0</v>
      </c>
      <c r="J48" s="48" t="n">
        <f aca="false">IF(cu_P=1,SUMIFS(Calculo!$F$33:$ES$33,Calculo!$F$14:$ES$14,6),SUMIFS(Calculo!$F$189:$ES$189,Calculo!$F$170:$ES$170,6))</f>
        <v>0</v>
      </c>
      <c r="K48" s="48" t="n">
        <f aca="false">IF(cu_P=1,SUMIFS(Calculo!$F$33:$ES$33,Calculo!$F$14:$ES$14,7),SUMIFS(Calculo!$F$189:$ES$189,Calculo!$F$170:$ES$170,7))</f>
        <v>0</v>
      </c>
      <c r="L48" s="48" t="n">
        <f aca="false">IF(cu_P=1,SUMIFS(Calculo!$F$33:$ES$33,Calculo!$F$14:$ES$14,8),SUMIFS(Calculo!$F$189:$ES$189,Calculo!$F$170:$ES$170,8))</f>
        <v>0</v>
      </c>
      <c r="M48" s="48" t="n">
        <f aca="false">IF(cu_P=1,SUMIFS(Calculo!$F$33:$ES$33,Calculo!$F$14:$ES$14,9),SUMIFS(Calculo!$F$189:$ES$189,Calculo!$F$170:$ES$170,9))</f>
        <v>0</v>
      </c>
      <c r="N48" s="48" t="n">
        <f aca="false">IF(cu_P=1,SUMIFS(Calculo!$F$33:$ES$33,Calculo!$F$14:$ES$14,10),SUMIFS(Calculo!$F$189:$ES$189,Calculo!$F$170:$ES$170,10))</f>
        <v>0</v>
      </c>
      <c r="O48" s="54" t="n">
        <f aca="false">SUM(D48:N48)</f>
        <v>0</v>
      </c>
    </row>
    <row r="49" customFormat="false" ht="15" hidden="true" customHeight="false" outlineLevel="1" collapsed="false">
      <c r="A49" s="11" t="s">
        <v>2126</v>
      </c>
      <c r="B49" s="53" t="str">
        <f aca="false">IF(INDEX(Prod_Nombre,14)="","Producto 14",INDEX(Prod_Nombre,14))</f>
        <v>Producto 14</v>
      </c>
      <c r="C49" s="11" t="s">
        <v>508</v>
      </c>
      <c r="D49" s="48" t="n">
        <f aca="false">IF(cu_P=1,SUMIFS(Calculo!$F$34:$ES$34,Calculo!$F$16:$ES$16,1)*N(INDEX(MP_O,14))*INDEX(IdxMP_O,1,1)*(1+P_dMat)/(1-P_Merma),SUMIFS(Calculo!$F$190:$ES$190,Calculo!$F$172:$ES$172,1)*N(INDEX(MP_V,14))*INDEX(IdxMP_V,1,1)*(1+V_dMat)/(1-V_Merma))</f>
        <v>0</v>
      </c>
      <c r="E49" s="48" t="n">
        <f aca="false">IF(cu_P=1,SUMIFS(Calculo!$F$34:$ES$34,Calculo!$F$14:$ES$14,1)*N(INDEX(MP_O,14))*INDEX(IdxMP_O,1,1)*(1+P_dMat)/(1-P_Merma),SUMIFS(Calculo!$F$190:$ES$190,Calculo!$F$170:$ES$170,1)*N(INDEX(MP_V,14))*INDEX(IdxMP_V,1,1)*(1+V_dMat)/(1-V_Merma))</f>
        <v>0</v>
      </c>
      <c r="F49" s="48" t="n">
        <f aca="false">IF(cu_P=1,SUMIFS(Calculo!$F$34:$ES$34,Calculo!$F$14:$ES$14,2)*N(INDEX(MP_O,14))*INDEX(IdxMP_O,1,2)*(1+P_dMat)/(1-P_Merma),SUMIFS(Calculo!$F$190:$ES$190,Calculo!$F$170:$ES$170,2)*N(INDEX(MP_V,14))*INDEX(IdxMP_V,1,2)*(1+V_dMat)/(1-V_Merma))</f>
        <v>0</v>
      </c>
      <c r="G49" s="48" t="n">
        <f aca="false">IF(cu_P=1,SUMIFS(Calculo!$F$34:$ES$34,Calculo!$F$14:$ES$14,3)*N(INDEX(MP_O,14))*INDEX(IdxMP_O,1,3)*(1+P_dMat)/(1-P_Merma),SUMIFS(Calculo!$F$190:$ES$190,Calculo!$F$170:$ES$170,3)*N(INDEX(MP_V,14))*INDEX(IdxMP_V,1,3)*(1+V_dMat)/(1-V_Merma))</f>
        <v>0</v>
      </c>
      <c r="H49" s="48" t="n">
        <f aca="false">IF(cu_P=1,SUMIFS(Calculo!$F$34:$ES$34,Calculo!$F$14:$ES$14,4)*N(INDEX(MP_O,14))*INDEX(IdxMP_O,1,4)*(1+P_dMat)/(1-P_Merma),SUMIFS(Calculo!$F$190:$ES$190,Calculo!$F$170:$ES$170,4)*N(INDEX(MP_V,14))*INDEX(IdxMP_V,1,4)*(1+V_dMat)/(1-V_Merma))</f>
        <v>0</v>
      </c>
      <c r="I49" s="48" t="n">
        <f aca="false">IF(cu_P=1,SUMIFS(Calculo!$F$34:$ES$34,Calculo!$F$14:$ES$14,5)*N(INDEX(MP_O,14))*INDEX(IdxMP_O,1,5)*(1+P_dMat)/(1-P_Merma),SUMIFS(Calculo!$F$190:$ES$190,Calculo!$F$170:$ES$170,5)*N(INDEX(MP_V,14))*INDEX(IdxMP_V,1,5)*(1+V_dMat)/(1-V_Merma))</f>
        <v>0</v>
      </c>
      <c r="J49" s="48" t="n">
        <f aca="false">IF(cu_P=1,SUMIFS(Calculo!$F$34:$ES$34,Calculo!$F$14:$ES$14,6)*N(INDEX(MP_O,14))*INDEX(IdxMP_O,1,6)*(1+P_dMat)/(1-P_Merma),SUMIFS(Calculo!$F$190:$ES$190,Calculo!$F$170:$ES$170,6)*N(INDEX(MP_V,14))*INDEX(IdxMP_V,1,6)*(1+V_dMat)/(1-V_Merma))</f>
        <v>0</v>
      </c>
      <c r="K49" s="48" t="n">
        <f aca="false">IF(cu_P=1,SUMIFS(Calculo!$F$34:$ES$34,Calculo!$F$14:$ES$14,7)*N(INDEX(MP_O,14))*INDEX(IdxMP_O,1,7)*(1+P_dMat)/(1-P_Merma),SUMIFS(Calculo!$F$190:$ES$190,Calculo!$F$170:$ES$170,7)*N(INDEX(MP_V,14))*INDEX(IdxMP_V,1,7)*(1+V_dMat)/(1-V_Merma))</f>
        <v>0</v>
      </c>
      <c r="L49" s="48" t="n">
        <f aca="false">IF(cu_P=1,SUMIFS(Calculo!$F$34:$ES$34,Calculo!$F$14:$ES$14,8)*N(INDEX(MP_O,14))*INDEX(IdxMP_O,1,8)*(1+P_dMat)/(1-P_Merma),SUMIFS(Calculo!$F$190:$ES$190,Calculo!$F$170:$ES$170,8)*N(INDEX(MP_V,14))*INDEX(IdxMP_V,1,8)*(1+V_dMat)/(1-V_Merma))</f>
        <v>0</v>
      </c>
      <c r="M49" s="48" t="n">
        <f aca="false">IF(cu_P=1,SUMIFS(Calculo!$F$34:$ES$34,Calculo!$F$14:$ES$14,9)*N(INDEX(MP_O,14))*INDEX(IdxMP_O,1,9)*(1+P_dMat)/(1-P_Merma),SUMIFS(Calculo!$F$190:$ES$190,Calculo!$F$170:$ES$170,9)*N(INDEX(MP_V,14))*INDEX(IdxMP_V,1,9)*(1+V_dMat)/(1-V_Merma))</f>
        <v>0</v>
      </c>
      <c r="N49" s="48" t="n">
        <f aca="false">IF(cu_P=1,SUMIFS(Calculo!$F$34:$ES$34,Calculo!$F$14:$ES$14,10)*N(INDEX(MP_O,14))*INDEX(IdxMP_O,1,10)*(1+P_dMat)/(1-P_Merma),SUMIFS(Calculo!$F$190:$ES$190,Calculo!$F$170:$ES$170,10)*N(INDEX(MP_V,14))*INDEX(IdxMP_V,1,10)*(1+V_dMat)/(1-V_Merma))</f>
        <v>0</v>
      </c>
      <c r="O49" s="54" t="n">
        <f aca="false">SUM(D49:N49)</f>
        <v>0</v>
      </c>
    </row>
    <row r="50" customFormat="false" ht="15" hidden="true" customHeight="false" outlineLevel="1" collapsed="false">
      <c r="A50" s="11" t="s">
        <v>2127</v>
      </c>
      <c r="B50" s="15" t="s">
        <v>2087</v>
      </c>
      <c r="C50" s="11" t="s">
        <v>748</v>
      </c>
      <c r="E50" s="50" t="str">
        <f aca="false">IFERROR(IF(OR(NOT(ISNUMBER(E49)),N(E51)=0),"",E49/E51),"")</f>
        <v/>
      </c>
      <c r="F50" s="50" t="str">
        <f aca="false">IFERROR(IF(OR(NOT(ISNUMBER(F49)),N(F51)=0),"",F49/F51),"")</f>
        <v/>
      </c>
      <c r="G50" s="50" t="str">
        <f aca="false">IFERROR(IF(OR(NOT(ISNUMBER(G49)),N(G51)=0),"",G49/G51),"")</f>
        <v/>
      </c>
      <c r="H50" s="50" t="str">
        <f aca="false">IFERROR(IF(OR(NOT(ISNUMBER(H49)),N(H51)=0),"",H49/H51),"")</f>
        <v/>
      </c>
      <c r="I50" s="50" t="str">
        <f aca="false">IFERROR(IF(OR(NOT(ISNUMBER(I49)),N(I51)=0),"",I49/I51),"")</f>
        <v/>
      </c>
      <c r="J50" s="50" t="str">
        <f aca="false">IFERROR(IF(OR(NOT(ISNUMBER(J49)),N(J51)=0),"",J49/J51),"")</f>
        <v/>
      </c>
      <c r="K50" s="50" t="str">
        <f aca="false">IFERROR(IF(OR(NOT(ISNUMBER(K49)),N(K51)=0),"",K49/K51),"")</f>
        <v/>
      </c>
      <c r="L50" s="50" t="str">
        <f aca="false">IFERROR(IF(OR(NOT(ISNUMBER(L49)),N(L51)=0),"",L49/L51),"")</f>
        <v/>
      </c>
      <c r="M50" s="50" t="str">
        <f aca="false">IFERROR(IF(OR(NOT(ISNUMBER(M49)),N(M51)=0),"",M49/M51),"")</f>
        <v/>
      </c>
      <c r="N50" s="50" t="str">
        <f aca="false">IFERROR(IF(OR(NOT(ISNUMBER(N49)),N(N51)=0),"",N49/N51),"")</f>
        <v/>
      </c>
      <c r="O50" s="68" t="str">
        <f aca="false">IFERROR(IF(OR(NOT(ISNUMBER(O49)),N(O51)=0),"",O49/O51),"")</f>
        <v/>
      </c>
    </row>
    <row r="51" customFormat="false" ht="15" hidden="true" customHeight="false" outlineLevel="1" collapsed="false">
      <c r="A51" s="11" t="s">
        <v>2128</v>
      </c>
      <c r="B51" s="15" t="s">
        <v>2089</v>
      </c>
      <c r="C51" s="11" t="s">
        <v>544</v>
      </c>
      <c r="D51" s="48" t="n">
        <f aca="false">IF(cu_P=1,SUMIFS(Calculo!$F$34:$ES$34,Calculo!$F$16:$ES$16,1),SUMIFS(Calculo!$F$190:$ES$190,Calculo!$F$172:$ES$172,1))</f>
        <v>0</v>
      </c>
      <c r="E51" s="48" t="n">
        <f aca="false">IF(cu_P=1,SUMIFS(Calculo!$F$34:$ES$34,Calculo!$F$14:$ES$14,1),SUMIFS(Calculo!$F$190:$ES$190,Calculo!$F$170:$ES$170,1))</f>
        <v>0</v>
      </c>
      <c r="F51" s="48" t="n">
        <f aca="false">IF(cu_P=1,SUMIFS(Calculo!$F$34:$ES$34,Calculo!$F$14:$ES$14,2),SUMIFS(Calculo!$F$190:$ES$190,Calculo!$F$170:$ES$170,2))</f>
        <v>0</v>
      </c>
      <c r="G51" s="48" t="n">
        <f aca="false">IF(cu_P=1,SUMIFS(Calculo!$F$34:$ES$34,Calculo!$F$14:$ES$14,3),SUMIFS(Calculo!$F$190:$ES$190,Calculo!$F$170:$ES$170,3))</f>
        <v>0</v>
      </c>
      <c r="H51" s="48" t="n">
        <f aca="false">IF(cu_P=1,SUMIFS(Calculo!$F$34:$ES$34,Calculo!$F$14:$ES$14,4),SUMIFS(Calculo!$F$190:$ES$190,Calculo!$F$170:$ES$170,4))</f>
        <v>0</v>
      </c>
      <c r="I51" s="48" t="n">
        <f aca="false">IF(cu_P=1,SUMIFS(Calculo!$F$34:$ES$34,Calculo!$F$14:$ES$14,5),SUMIFS(Calculo!$F$190:$ES$190,Calculo!$F$170:$ES$170,5))</f>
        <v>0</v>
      </c>
      <c r="J51" s="48" t="n">
        <f aca="false">IF(cu_P=1,SUMIFS(Calculo!$F$34:$ES$34,Calculo!$F$14:$ES$14,6),SUMIFS(Calculo!$F$190:$ES$190,Calculo!$F$170:$ES$170,6))</f>
        <v>0</v>
      </c>
      <c r="K51" s="48" t="n">
        <f aca="false">IF(cu_P=1,SUMIFS(Calculo!$F$34:$ES$34,Calculo!$F$14:$ES$14,7),SUMIFS(Calculo!$F$190:$ES$190,Calculo!$F$170:$ES$170,7))</f>
        <v>0</v>
      </c>
      <c r="L51" s="48" t="n">
        <f aca="false">IF(cu_P=1,SUMIFS(Calculo!$F$34:$ES$34,Calculo!$F$14:$ES$14,8),SUMIFS(Calculo!$F$190:$ES$190,Calculo!$F$170:$ES$170,8))</f>
        <v>0</v>
      </c>
      <c r="M51" s="48" t="n">
        <f aca="false">IF(cu_P=1,SUMIFS(Calculo!$F$34:$ES$34,Calculo!$F$14:$ES$14,9),SUMIFS(Calculo!$F$190:$ES$190,Calculo!$F$170:$ES$170,9))</f>
        <v>0</v>
      </c>
      <c r="N51" s="48" t="n">
        <f aca="false">IF(cu_P=1,SUMIFS(Calculo!$F$34:$ES$34,Calculo!$F$14:$ES$14,10),SUMIFS(Calculo!$F$190:$ES$190,Calculo!$F$170:$ES$170,10))</f>
        <v>0</v>
      </c>
      <c r="O51" s="54" t="n">
        <f aca="false">SUM(D51:N51)</f>
        <v>0</v>
      </c>
    </row>
    <row r="52" customFormat="false" ht="15" hidden="true" customHeight="false" outlineLevel="1" collapsed="false">
      <c r="A52" s="11" t="s">
        <v>2129</v>
      </c>
      <c r="B52" s="53" t="str">
        <f aca="false">IF(INDEX(Prod_Nombre,15)="","Producto 15",INDEX(Prod_Nombre,15))</f>
        <v>Producto 15</v>
      </c>
      <c r="C52" s="11" t="s">
        <v>508</v>
      </c>
      <c r="D52" s="48" t="n">
        <f aca="false">IF(cu_P=1,SUMIFS(Calculo!$F$35:$ES$35,Calculo!$F$16:$ES$16,1)*N(INDEX(MP_O,15))*INDEX(IdxMP_O,1,1)*(1+P_dMat)/(1-P_Merma),SUMIFS(Calculo!$F$191:$ES$191,Calculo!$F$172:$ES$172,1)*N(INDEX(MP_V,15))*INDEX(IdxMP_V,1,1)*(1+V_dMat)/(1-V_Merma))</f>
        <v>0</v>
      </c>
      <c r="E52" s="48" t="n">
        <f aca="false">IF(cu_P=1,SUMIFS(Calculo!$F$35:$ES$35,Calculo!$F$14:$ES$14,1)*N(INDEX(MP_O,15))*INDEX(IdxMP_O,1,1)*(1+P_dMat)/(1-P_Merma),SUMIFS(Calculo!$F$191:$ES$191,Calculo!$F$170:$ES$170,1)*N(INDEX(MP_V,15))*INDEX(IdxMP_V,1,1)*(1+V_dMat)/(1-V_Merma))</f>
        <v>0</v>
      </c>
      <c r="F52" s="48" t="n">
        <f aca="false">IF(cu_P=1,SUMIFS(Calculo!$F$35:$ES$35,Calculo!$F$14:$ES$14,2)*N(INDEX(MP_O,15))*INDEX(IdxMP_O,1,2)*(1+P_dMat)/(1-P_Merma),SUMIFS(Calculo!$F$191:$ES$191,Calculo!$F$170:$ES$170,2)*N(INDEX(MP_V,15))*INDEX(IdxMP_V,1,2)*(1+V_dMat)/(1-V_Merma))</f>
        <v>0</v>
      </c>
      <c r="G52" s="48" t="n">
        <f aca="false">IF(cu_P=1,SUMIFS(Calculo!$F$35:$ES$35,Calculo!$F$14:$ES$14,3)*N(INDEX(MP_O,15))*INDEX(IdxMP_O,1,3)*(1+P_dMat)/(1-P_Merma),SUMIFS(Calculo!$F$191:$ES$191,Calculo!$F$170:$ES$170,3)*N(INDEX(MP_V,15))*INDEX(IdxMP_V,1,3)*(1+V_dMat)/(1-V_Merma))</f>
        <v>0</v>
      </c>
      <c r="H52" s="48" t="n">
        <f aca="false">IF(cu_P=1,SUMIFS(Calculo!$F$35:$ES$35,Calculo!$F$14:$ES$14,4)*N(INDEX(MP_O,15))*INDEX(IdxMP_O,1,4)*(1+P_dMat)/(1-P_Merma),SUMIFS(Calculo!$F$191:$ES$191,Calculo!$F$170:$ES$170,4)*N(INDEX(MP_V,15))*INDEX(IdxMP_V,1,4)*(1+V_dMat)/(1-V_Merma))</f>
        <v>0</v>
      </c>
      <c r="I52" s="48" t="n">
        <f aca="false">IF(cu_P=1,SUMIFS(Calculo!$F$35:$ES$35,Calculo!$F$14:$ES$14,5)*N(INDEX(MP_O,15))*INDEX(IdxMP_O,1,5)*(1+P_dMat)/(1-P_Merma),SUMIFS(Calculo!$F$191:$ES$191,Calculo!$F$170:$ES$170,5)*N(INDEX(MP_V,15))*INDEX(IdxMP_V,1,5)*(1+V_dMat)/(1-V_Merma))</f>
        <v>0</v>
      </c>
      <c r="J52" s="48" t="n">
        <f aca="false">IF(cu_P=1,SUMIFS(Calculo!$F$35:$ES$35,Calculo!$F$14:$ES$14,6)*N(INDEX(MP_O,15))*INDEX(IdxMP_O,1,6)*(1+P_dMat)/(1-P_Merma),SUMIFS(Calculo!$F$191:$ES$191,Calculo!$F$170:$ES$170,6)*N(INDEX(MP_V,15))*INDEX(IdxMP_V,1,6)*(1+V_dMat)/(1-V_Merma))</f>
        <v>0</v>
      </c>
      <c r="K52" s="48" t="n">
        <f aca="false">IF(cu_P=1,SUMIFS(Calculo!$F$35:$ES$35,Calculo!$F$14:$ES$14,7)*N(INDEX(MP_O,15))*INDEX(IdxMP_O,1,7)*(1+P_dMat)/(1-P_Merma),SUMIFS(Calculo!$F$191:$ES$191,Calculo!$F$170:$ES$170,7)*N(INDEX(MP_V,15))*INDEX(IdxMP_V,1,7)*(1+V_dMat)/(1-V_Merma))</f>
        <v>0</v>
      </c>
      <c r="L52" s="48" t="n">
        <f aca="false">IF(cu_P=1,SUMIFS(Calculo!$F$35:$ES$35,Calculo!$F$14:$ES$14,8)*N(INDEX(MP_O,15))*INDEX(IdxMP_O,1,8)*(1+P_dMat)/(1-P_Merma),SUMIFS(Calculo!$F$191:$ES$191,Calculo!$F$170:$ES$170,8)*N(INDEX(MP_V,15))*INDEX(IdxMP_V,1,8)*(1+V_dMat)/(1-V_Merma))</f>
        <v>0</v>
      </c>
      <c r="M52" s="48" t="n">
        <f aca="false">IF(cu_P=1,SUMIFS(Calculo!$F$35:$ES$35,Calculo!$F$14:$ES$14,9)*N(INDEX(MP_O,15))*INDEX(IdxMP_O,1,9)*(1+P_dMat)/(1-P_Merma),SUMIFS(Calculo!$F$191:$ES$191,Calculo!$F$170:$ES$170,9)*N(INDEX(MP_V,15))*INDEX(IdxMP_V,1,9)*(1+V_dMat)/(1-V_Merma))</f>
        <v>0</v>
      </c>
      <c r="N52" s="48" t="n">
        <f aca="false">IF(cu_P=1,SUMIFS(Calculo!$F$35:$ES$35,Calculo!$F$14:$ES$14,10)*N(INDEX(MP_O,15))*INDEX(IdxMP_O,1,10)*(1+P_dMat)/(1-P_Merma),SUMIFS(Calculo!$F$191:$ES$191,Calculo!$F$170:$ES$170,10)*N(INDEX(MP_V,15))*INDEX(IdxMP_V,1,10)*(1+V_dMat)/(1-V_Merma))</f>
        <v>0</v>
      </c>
      <c r="O52" s="54" t="n">
        <f aca="false">SUM(D52:N52)</f>
        <v>0</v>
      </c>
    </row>
    <row r="53" customFormat="false" ht="15" hidden="true" customHeight="false" outlineLevel="1" collapsed="false">
      <c r="A53" s="11" t="s">
        <v>2130</v>
      </c>
      <c r="B53" s="15" t="s">
        <v>2087</v>
      </c>
      <c r="C53" s="11" t="s">
        <v>748</v>
      </c>
      <c r="E53" s="50" t="str">
        <f aca="false">IFERROR(IF(OR(NOT(ISNUMBER(E52)),N(E54)=0),"",E52/E54),"")</f>
        <v/>
      </c>
      <c r="F53" s="50" t="str">
        <f aca="false">IFERROR(IF(OR(NOT(ISNUMBER(F52)),N(F54)=0),"",F52/F54),"")</f>
        <v/>
      </c>
      <c r="G53" s="50" t="str">
        <f aca="false">IFERROR(IF(OR(NOT(ISNUMBER(G52)),N(G54)=0),"",G52/G54),"")</f>
        <v/>
      </c>
      <c r="H53" s="50" t="str">
        <f aca="false">IFERROR(IF(OR(NOT(ISNUMBER(H52)),N(H54)=0),"",H52/H54),"")</f>
        <v/>
      </c>
      <c r="I53" s="50" t="str">
        <f aca="false">IFERROR(IF(OR(NOT(ISNUMBER(I52)),N(I54)=0),"",I52/I54),"")</f>
        <v/>
      </c>
      <c r="J53" s="50" t="str">
        <f aca="false">IFERROR(IF(OR(NOT(ISNUMBER(J52)),N(J54)=0),"",J52/J54),"")</f>
        <v/>
      </c>
      <c r="K53" s="50" t="str">
        <f aca="false">IFERROR(IF(OR(NOT(ISNUMBER(K52)),N(K54)=0),"",K52/K54),"")</f>
        <v/>
      </c>
      <c r="L53" s="50" t="str">
        <f aca="false">IFERROR(IF(OR(NOT(ISNUMBER(L52)),N(L54)=0),"",L52/L54),"")</f>
        <v/>
      </c>
      <c r="M53" s="50" t="str">
        <f aca="false">IFERROR(IF(OR(NOT(ISNUMBER(M52)),N(M54)=0),"",M52/M54),"")</f>
        <v/>
      </c>
      <c r="N53" s="50" t="str">
        <f aca="false">IFERROR(IF(OR(NOT(ISNUMBER(N52)),N(N54)=0),"",N52/N54),"")</f>
        <v/>
      </c>
      <c r="O53" s="68" t="str">
        <f aca="false">IFERROR(IF(OR(NOT(ISNUMBER(O52)),N(O54)=0),"",O52/O54),"")</f>
        <v/>
      </c>
    </row>
    <row r="54" customFormat="false" ht="15" hidden="true" customHeight="false" outlineLevel="1" collapsed="false">
      <c r="A54" s="11" t="s">
        <v>2131</v>
      </c>
      <c r="B54" s="15" t="s">
        <v>2089</v>
      </c>
      <c r="C54" s="11" t="s">
        <v>544</v>
      </c>
      <c r="D54" s="48" t="n">
        <f aca="false">IF(cu_P=1,SUMIFS(Calculo!$F$35:$ES$35,Calculo!$F$16:$ES$16,1),SUMIFS(Calculo!$F$191:$ES$191,Calculo!$F$172:$ES$172,1))</f>
        <v>0</v>
      </c>
      <c r="E54" s="48" t="n">
        <f aca="false">IF(cu_P=1,SUMIFS(Calculo!$F$35:$ES$35,Calculo!$F$14:$ES$14,1),SUMIFS(Calculo!$F$191:$ES$191,Calculo!$F$170:$ES$170,1))</f>
        <v>0</v>
      </c>
      <c r="F54" s="48" t="n">
        <f aca="false">IF(cu_P=1,SUMIFS(Calculo!$F$35:$ES$35,Calculo!$F$14:$ES$14,2),SUMIFS(Calculo!$F$191:$ES$191,Calculo!$F$170:$ES$170,2))</f>
        <v>0</v>
      </c>
      <c r="G54" s="48" t="n">
        <f aca="false">IF(cu_P=1,SUMIFS(Calculo!$F$35:$ES$35,Calculo!$F$14:$ES$14,3),SUMIFS(Calculo!$F$191:$ES$191,Calculo!$F$170:$ES$170,3))</f>
        <v>0</v>
      </c>
      <c r="H54" s="48" t="n">
        <f aca="false">IF(cu_P=1,SUMIFS(Calculo!$F$35:$ES$35,Calculo!$F$14:$ES$14,4),SUMIFS(Calculo!$F$191:$ES$191,Calculo!$F$170:$ES$170,4))</f>
        <v>0</v>
      </c>
      <c r="I54" s="48" t="n">
        <f aca="false">IF(cu_P=1,SUMIFS(Calculo!$F$35:$ES$35,Calculo!$F$14:$ES$14,5),SUMIFS(Calculo!$F$191:$ES$191,Calculo!$F$170:$ES$170,5))</f>
        <v>0</v>
      </c>
      <c r="J54" s="48" t="n">
        <f aca="false">IF(cu_P=1,SUMIFS(Calculo!$F$35:$ES$35,Calculo!$F$14:$ES$14,6),SUMIFS(Calculo!$F$191:$ES$191,Calculo!$F$170:$ES$170,6))</f>
        <v>0</v>
      </c>
      <c r="K54" s="48" t="n">
        <f aca="false">IF(cu_P=1,SUMIFS(Calculo!$F$35:$ES$35,Calculo!$F$14:$ES$14,7),SUMIFS(Calculo!$F$191:$ES$191,Calculo!$F$170:$ES$170,7))</f>
        <v>0</v>
      </c>
      <c r="L54" s="48" t="n">
        <f aca="false">IF(cu_P=1,SUMIFS(Calculo!$F$35:$ES$35,Calculo!$F$14:$ES$14,8),SUMIFS(Calculo!$F$191:$ES$191,Calculo!$F$170:$ES$170,8))</f>
        <v>0</v>
      </c>
      <c r="M54" s="48" t="n">
        <f aca="false">IF(cu_P=1,SUMIFS(Calculo!$F$35:$ES$35,Calculo!$F$14:$ES$14,9),SUMIFS(Calculo!$F$191:$ES$191,Calculo!$F$170:$ES$170,9))</f>
        <v>0</v>
      </c>
      <c r="N54" s="48" t="n">
        <f aca="false">IF(cu_P=1,SUMIFS(Calculo!$F$35:$ES$35,Calculo!$F$14:$ES$14,10),SUMIFS(Calculo!$F$191:$ES$191,Calculo!$F$170:$ES$170,10))</f>
        <v>0</v>
      </c>
      <c r="O54" s="54" t="n">
        <f aca="false">SUM(D54:N54)</f>
        <v>0</v>
      </c>
    </row>
    <row r="55" customFormat="false" ht="15" hidden="true" customHeight="false" outlineLevel="1" collapsed="false">
      <c r="A55" s="11" t="s">
        <v>2132</v>
      </c>
      <c r="B55" s="53" t="str">
        <f aca="false">IF(INDEX(Prod_Nombre,16)="","Producto 16",INDEX(Prod_Nombre,16))</f>
        <v>Producto 16</v>
      </c>
      <c r="C55" s="11" t="s">
        <v>508</v>
      </c>
      <c r="D55" s="48" t="n">
        <f aca="false">IF(cu_P=1,SUMIFS(Calculo!$F$36:$ES$36,Calculo!$F$16:$ES$16,1)*N(INDEX(MP_O,16))*INDEX(IdxMP_O,1,1)*(1+P_dMat)/(1-P_Merma),SUMIFS(Calculo!$F$192:$ES$192,Calculo!$F$172:$ES$172,1)*N(INDEX(MP_V,16))*INDEX(IdxMP_V,1,1)*(1+V_dMat)/(1-V_Merma))</f>
        <v>0</v>
      </c>
      <c r="E55" s="48" t="n">
        <f aca="false">IF(cu_P=1,SUMIFS(Calculo!$F$36:$ES$36,Calculo!$F$14:$ES$14,1)*N(INDEX(MP_O,16))*INDEX(IdxMP_O,1,1)*(1+P_dMat)/(1-P_Merma),SUMIFS(Calculo!$F$192:$ES$192,Calculo!$F$170:$ES$170,1)*N(INDEX(MP_V,16))*INDEX(IdxMP_V,1,1)*(1+V_dMat)/(1-V_Merma))</f>
        <v>0</v>
      </c>
      <c r="F55" s="48" t="n">
        <f aca="false">IF(cu_P=1,SUMIFS(Calculo!$F$36:$ES$36,Calculo!$F$14:$ES$14,2)*N(INDEX(MP_O,16))*INDEX(IdxMP_O,1,2)*(1+P_dMat)/(1-P_Merma),SUMIFS(Calculo!$F$192:$ES$192,Calculo!$F$170:$ES$170,2)*N(INDEX(MP_V,16))*INDEX(IdxMP_V,1,2)*(1+V_dMat)/(1-V_Merma))</f>
        <v>0</v>
      </c>
      <c r="G55" s="48" t="n">
        <f aca="false">IF(cu_P=1,SUMIFS(Calculo!$F$36:$ES$36,Calculo!$F$14:$ES$14,3)*N(INDEX(MP_O,16))*INDEX(IdxMP_O,1,3)*(1+P_dMat)/(1-P_Merma),SUMIFS(Calculo!$F$192:$ES$192,Calculo!$F$170:$ES$170,3)*N(INDEX(MP_V,16))*INDEX(IdxMP_V,1,3)*(1+V_dMat)/(1-V_Merma))</f>
        <v>0</v>
      </c>
      <c r="H55" s="48" t="n">
        <f aca="false">IF(cu_P=1,SUMIFS(Calculo!$F$36:$ES$36,Calculo!$F$14:$ES$14,4)*N(INDEX(MP_O,16))*INDEX(IdxMP_O,1,4)*(1+P_dMat)/(1-P_Merma),SUMIFS(Calculo!$F$192:$ES$192,Calculo!$F$170:$ES$170,4)*N(INDEX(MP_V,16))*INDEX(IdxMP_V,1,4)*(1+V_dMat)/(1-V_Merma))</f>
        <v>0</v>
      </c>
      <c r="I55" s="48" t="n">
        <f aca="false">IF(cu_P=1,SUMIFS(Calculo!$F$36:$ES$36,Calculo!$F$14:$ES$14,5)*N(INDEX(MP_O,16))*INDEX(IdxMP_O,1,5)*(1+P_dMat)/(1-P_Merma),SUMIFS(Calculo!$F$192:$ES$192,Calculo!$F$170:$ES$170,5)*N(INDEX(MP_V,16))*INDEX(IdxMP_V,1,5)*(1+V_dMat)/(1-V_Merma))</f>
        <v>0</v>
      </c>
      <c r="J55" s="48" t="n">
        <f aca="false">IF(cu_P=1,SUMIFS(Calculo!$F$36:$ES$36,Calculo!$F$14:$ES$14,6)*N(INDEX(MP_O,16))*INDEX(IdxMP_O,1,6)*(1+P_dMat)/(1-P_Merma),SUMIFS(Calculo!$F$192:$ES$192,Calculo!$F$170:$ES$170,6)*N(INDEX(MP_V,16))*INDEX(IdxMP_V,1,6)*(1+V_dMat)/(1-V_Merma))</f>
        <v>0</v>
      </c>
      <c r="K55" s="48" t="n">
        <f aca="false">IF(cu_P=1,SUMIFS(Calculo!$F$36:$ES$36,Calculo!$F$14:$ES$14,7)*N(INDEX(MP_O,16))*INDEX(IdxMP_O,1,7)*(1+P_dMat)/(1-P_Merma),SUMIFS(Calculo!$F$192:$ES$192,Calculo!$F$170:$ES$170,7)*N(INDEX(MP_V,16))*INDEX(IdxMP_V,1,7)*(1+V_dMat)/(1-V_Merma))</f>
        <v>0</v>
      </c>
      <c r="L55" s="48" t="n">
        <f aca="false">IF(cu_P=1,SUMIFS(Calculo!$F$36:$ES$36,Calculo!$F$14:$ES$14,8)*N(INDEX(MP_O,16))*INDEX(IdxMP_O,1,8)*(1+P_dMat)/(1-P_Merma),SUMIFS(Calculo!$F$192:$ES$192,Calculo!$F$170:$ES$170,8)*N(INDEX(MP_V,16))*INDEX(IdxMP_V,1,8)*(1+V_dMat)/(1-V_Merma))</f>
        <v>0</v>
      </c>
      <c r="M55" s="48" t="n">
        <f aca="false">IF(cu_P=1,SUMIFS(Calculo!$F$36:$ES$36,Calculo!$F$14:$ES$14,9)*N(INDEX(MP_O,16))*INDEX(IdxMP_O,1,9)*(1+P_dMat)/(1-P_Merma),SUMIFS(Calculo!$F$192:$ES$192,Calculo!$F$170:$ES$170,9)*N(INDEX(MP_V,16))*INDEX(IdxMP_V,1,9)*(1+V_dMat)/(1-V_Merma))</f>
        <v>0</v>
      </c>
      <c r="N55" s="48" t="n">
        <f aca="false">IF(cu_P=1,SUMIFS(Calculo!$F$36:$ES$36,Calculo!$F$14:$ES$14,10)*N(INDEX(MP_O,16))*INDEX(IdxMP_O,1,10)*(1+P_dMat)/(1-P_Merma),SUMIFS(Calculo!$F$192:$ES$192,Calculo!$F$170:$ES$170,10)*N(INDEX(MP_V,16))*INDEX(IdxMP_V,1,10)*(1+V_dMat)/(1-V_Merma))</f>
        <v>0</v>
      </c>
      <c r="O55" s="54" t="n">
        <f aca="false">SUM(D55:N55)</f>
        <v>0</v>
      </c>
    </row>
    <row r="56" customFormat="false" ht="15" hidden="true" customHeight="false" outlineLevel="1" collapsed="false">
      <c r="A56" s="11" t="s">
        <v>2133</v>
      </c>
      <c r="B56" s="15" t="s">
        <v>2087</v>
      </c>
      <c r="C56" s="11" t="s">
        <v>748</v>
      </c>
      <c r="E56" s="50" t="str">
        <f aca="false">IFERROR(IF(OR(NOT(ISNUMBER(E55)),N(E57)=0),"",E55/E57),"")</f>
        <v/>
      </c>
      <c r="F56" s="50" t="str">
        <f aca="false">IFERROR(IF(OR(NOT(ISNUMBER(F55)),N(F57)=0),"",F55/F57),"")</f>
        <v/>
      </c>
      <c r="G56" s="50" t="str">
        <f aca="false">IFERROR(IF(OR(NOT(ISNUMBER(G55)),N(G57)=0),"",G55/G57),"")</f>
        <v/>
      </c>
      <c r="H56" s="50" t="str">
        <f aca="false">IFERROR(IF(OR(NOT(ISNUMBER(H55)),N(H57)=0),"",H55/H57),"")</f>
        <v/>
      </c>
      <c r="I56" s="50" t="str">
        <f aca="false">IFERROR(IF(OR(NOT(ISNUMBER(I55)),N(I57)=0),"",I55/I57),"")</f>
        <v/>
      </c>
      <c r="J56" s="50" t="str">
        <f aca="false">IFERROR(IF(OR(NOT(ISNUMBER(J55)),N(J57)=0),"",J55/J57),"")</f>
        <v/>
      </c>
      <c r="K56" s="50" t="str">
        <f aca="false">IFERROR(IF(OR(NOT(ISNUMBER(K55)),N(K57)=0),"",K55/K57),"")</f>
        <v/>
      </c>
      <c r="L56" s="50" t="str">
        <f aca="false">IFERROR(IF(OR(NOT(ISNUMBER(L55)),N(L57)=0),"",L55/L57),"")</f>
        <v/>
      </c>
      <c r="M56" s="50" t="str">
        <f aca="false">IFERROR(IF(OR(NOT(ISNUMBER(M55)),N(M57)=0),"",M55/M57),"")</f>
        <v/>
      </c>
      <c r="N56" s="50" t="str">
        <f aca="false">IFERROR(IF(OR(NOT(ISNUMBER(N55)),N(N57)=0),"",N55/N57),"")</f>
        <v/>
      </c>
      <c r="O56" s="68" t="str">
        <f aca="false">IFERROR(IF(OR(NOT(ISNUMBER(O55)),N(O57)=0),"",O55/O57),"")</f>
        <v/>
      </c>
    </row>
    <row r="57" customFormat="false" ht="15" hidden="true" customHeight="false" outlineLevel="1" collapsed="false">
      <c r="A57" s="11" t="s">
        <v>2134</v>
      </c>
      <c r="B57" s="15" t="s">
        <v>2089</v>
      </c>
      <c r="C57" s="11" t="s">
        <v>544</v>
      </c>
      <c r="D57" s="48" t="n">
        <f aca="false">IF(cu_P=1,SUMIFS(Calculo!$F$36:$ES$36,Calculo!$F$16:$ES$16,1),SUMIFS(Calculo!$F$192:$ES$192,Calculo!$F$172:$ES$172,1))</f>
        <v>0</v>
      </c>
      <c r="E57" s="48" t="n">
        <f aca="false">IF(cu_P=1,SUMIFS(Calculo!$F$36:$ES$36,Calculo!$F$14:$ES$14,1),SUMIFS(Calculo!$F$192:$ES$192,Calculo!$F$170:$ES$170,1))</f>
        <v>0</v>
      </c>
      <c r="F57" s="48" t="n">
        <f aca="false">IF(cu_P=1,SUMIFS(Calculo!$F$36:$ES$36,Calculo!$F$14:$ES$14,2),SUMIFS(Calculo!$F$192:$ES$192,Calculo!$F$170:$ES$170,2))</f>
        <v>0</v>
      </c>
      <c r="G57" s="48" t="n">
        <f aca="false">IF(cu_P=1,SUMIFS(Calculo!$F$36:$ES$36,Calculo!$F$14:$ES$14,3),SUMIFS(Calculo!$F$192:$ES$192,Calculo!$F$170:$ES$170,3))</f>
        <v>0</v>
      </c>
      <c r="H57" s="48" t="n">
        <f aca="false">IF(cu_P=1,SUMIFS(Calculo!$F$36:$ES$36,Calculo!$F$14:$ES$14,4),SUMIFS(Calculo!$F$192:$ES$192,Calculo!$F$170:$ES$170,4))</f>
        <v>0</v>
      </c>
      <c r="I57" s="48" t="n">
        <f aca="false">IF(cu_P=1,SUMIFS(Calculo!$F$36:$ES$36,Calculo!$F$14:$ES$14,5),SUMIFS(Calculo!$F$192:$ES$192,Calculo!$F$170:$ES$170,5))</f>
        <v>0</v>
      </c>
      <c r="J57" s="48" t="n">
        <f aca="false">IF(cu_P=1,SUMIFS(Calculo!$F$36:$ES$36,Calculo!$F$14:$ES$14,6),SUMIFS(Calculo!$F$192:$ES$192,Calculo!$F$170:$ES$170,6))</f>
        <v>0</v>
      </c>
      <c r="K57" s="48" t="n">
        <f aca="false">IF(cu_P=1,SUMIFS(Calculo!$F$36:$ES$36,Calculo!$F$14:$ES$14,7),SUMIFS(Calculo!$F$192:$ES$192,Calculo!$F$170:$ES$170,7))</f>
        <v>0</v>
      </c>
      <c r="L57" s="48" t="n">
        <f aca="false">IF(cu_P=1,SUMIFS(Calculo!$F$36:$ES$36,Calculo!$F$14:$ES$14,8),SUMIFS(Calculo!$F$192:$ES$192,Calculo!$F$170:$ES$170,8))</f>
        <v>0</v>
      </c>
      <c r="M57" s="48" t="n">
        <f aca="false">IF(cu_P=1,SUMIFS(Calculo!$F$36:$ES$36,Calculo!$F$14:$ES$14,9),SUMIFS(Calculo!$F$192:$ES$192,Calculo!$F$170:$ES$170,9))</f>
        <v>0</v>
      </c>
      <c r="N57" s="48" t="n">
        <f aca="false">IF(cu_P=1,SUMIFS(Calculo!$F$36:$ES$36,Calculo!$F$14:$ES$14,10),SUMIFS(Calculo!$F$192:$ES$192,Calculo!$F$170:$ES$170,10))</f>
        <v>0</v>
      </c>
      <c r="O57" s="54" t="n">
        <f aca="false">SUM(D57:N57)</f>
        <v>0</v>
      </c>
    </row>
    <row r="58" customFormat="false" ht="15" hidden="true" customHeight="false" outlineLevel="1" collapsed="false">
      <c r="A58" s="11" t="s">
        <v>2135</v>
      </c>
      <c r="B58" s="53" t="str">
        <f aca="false">IF(INDEX(Prod_Nombre,17)="","Producto 17",INDEX(Prod_Nombre,17))</f>
        <v>Producto 17</v>
      </c>
      <c r="C58" s="11" t="s">
        <v>508</v>
      </c>
      <c r="D58" s="48" t="n">
        <f aca="false">IF(cu_P=1,SUMIFS(Calculo!$F$37:$ES$37,Calculo!$F$16:$ES$16,1)*N(INDEX(MP_O,17))*INDEX(IdxMP_O,1,1)*(1+P_dMat)/(1-P_Merma),SUMIFS(Calculo!$F$193:$ES$193,Calculo!$F$172:$ES$172,1)*N(INDEX(MP_V,17))*INDEX(IdxMP_V,1,1)*(1+V_dMat)/(1-V_Merma))</f>
        <v>0</v>
      </c>
      <c r="E58" s="48" t="n">
        <f aca="false">IF(cu_P=1,SUMIFS(Calculo!$F$37:$ES$37,Calculo!$F$14:$ES$14,1)*N(INDEX(MP_O,17))*INDEX(IdxMP_O,1,1)*(1+P_dMat)/(1-P_Merma),SUMIFS(Calculo!$F$193:$ES$193,Calculo!$F$170:$ES$170,1)*N(INDEX(MP_V,17))*INDEX(IdxMP_V,1,1)*(1+V_dMat)/(1-V_Merma))</f>
        <v>0</v>
      </c>
      <c r="F58" s="48" t="n">
        <f aca="false">IF(cu_P=1,SUMIFS(Calculo!$F$37:$ES$37,Calculo!$F$14:$ES$14,2)*N(INDEX(MP_O,17))*INDEX(IdxMP_O,1,2)*(1+P_dMat)/(1-P_Merma),SUMIFS(Calculo!$F$193:$ES$193,Calculo!$F$170:$ES$170,2)*N(INDEX(MP_V,17))*INDEX(IdxMP_V,1,2)*(1+V_dMat)/(1-V_Merma))</f>
        <v>0</v>
      </c>
      <c r="G58" s="48" t="n">
        <f aca="false">IF(cu_P=1,SUMIFS(Calculo!$F$37:$ES$37,Calculo!$F$14:$ES$14,3)*N(INDEX(MP_O,17))*INDEX(IdxMP_O,1,3)*(1+P_dMat)/(1-P_Merma),SUMIFS(Calculo!$F$193:$ES$193,Calculo!$F$170:$ES$170,3)*N(INDEX(MP_V,17))*INDEX(IdxMP_V,1,3)*(1+V_dMat)/(1-V_Merma))</f>
        <v>0</v>
      </c>
      <c r="H58" s="48" t="n">
        <f aca="false">IF(cu_P=1,SUMIFS(Calculo!$F$37:$ES$37,Calculo!$F$14:$ES$14,4)*N(INDEX(MP_O,17))*INDEX(IdxMP_O,1,4)*(1+P_dMat)/(1-P_Merma),SUMIFS(Calculo!$F$193:$ES$193,Calculo!$F$170:$ES$170,4)*N(INDEX(MP_V,17))*INDEX(IdxMP_V,1,4)*(1+V_dMat)/(1-V_Merma))</f>
        <v>0</v>
      </c>
      <c r="I58" s="48" t="n">
        <f aca="false">IF(cu_P=1,SUMIFS(Calculo!$F$37:$ES$37,Calculo!$F$14:$ES$14,5)*N(INDEX(MP_O,17))*INDEX(IdxMP_O,1,5)*(1+P_dMat)/(1-P_Merma),SUMIFS(Calculo!$F$193:$ES$193,Calculo!$F$170:$ES$170,5)*N(INDEX(MP_V,17))*INDEX(IdxMP_V,1,5)*(1+V_dMat)/(1-V_Merma))</f>
        <v>0</v>
      </c>
      <c r="J58" s="48" t="n">
        <f aca="false">IF(cu_P=1,SUMIFS(Calculo!$F$37:$ES$37,Calculo!$F$14:$ES$14,6)*N(INDEX(MP_O,17))*INDEX(IdxMP_O,1,6)*(1+P_dMat)/(1-P_Merma),SUMIFS(Calculo!$F$193:$ES$193,Calculo!$F$170:$ES$170,6)*N(INDEX(MP_V,17))*INDEX(IdxMP_V,1,6)*(1+V_dMat)/(1-V_Merma))</f>
        <v>0</v>
      </c>
      <c r="K58" s="48" t="n">
        <f aca="false">IF(cu_P=1,SUMIFS(Calculo!$F$37:$ES$37,Calculo!$F$14:$ES$14,7)*N(INDEX(MP_O,17))*INDEX(IdxMP_O,1,7)*(1+P_dMat)/(1-P_Merma),SUMIFS(Calculo!$F$193:$ES$193,Calculo!$F$170:$ES$170,7)*N(INDEX(MP_V,17))*INDEX(IdxMP_V,1,7)*(1+V_dMat)/(1-V_Merma))</f>
        <v>0</v>
      </c>
      <c r="L58" s="48" t="n">
        <f aca="false">IF(cu_P=1,SUMIFS(Calculo!$F$37:$ES$37,Calculo!$F$14:$ES$14,8)*N(INDEX(MP_O,17))*INDEX(IdxMP_O,1,8)*(1+P_dMat)/(1-P_Merma),SUMIFS(Calculo!$F$193:$ES$193,Calculo!$F$170:$ES$170,8)*N(INDEX(MP_V,17))*INDEX(IdxMP_V,1,8)*(1+V_dMat)/(1-V_Merma))</f>
        <v>0</v>
      </c>
      <c r="M58" s="48" t="n">
        <f aca="false">IF(cu_P=1,SUMIFS(Calculo!$F$37:$ES$37,Calculo!$F$14:$ES$14,9)*N(INDEX(MP_O,17))*INDEX(IdxMP_O,1,9)*(1+P_dMat)/(1-P_Merma),SUMIFS(Calculo!$F$193:$ES$193,Calculo!$F$170:$ES$170,9)*N(INDEX(MP_V,17))*INDEX(IdxMP_V,1,9)*(1+V_dMat)/(1-V_Merma))</f>
        <v>0</v>
      </c>
      <c r="N58" s="48" t="n">
        <f aca="false">IF(cu_P=1,SUMIFS(Calculo!$F$37:$ES$37,Calculo!$F$14:$ES$14,10)*N(INDEX(MP_O,17))*INDEX(IdxMP_O,1,10)*(1+P_dMat)/(1-P_Merma),SUMIFS(Calculo!$F$193:$ES$193,Calculo!$F$170:$ES$170,10)*N(INDEX(MP_V,17))*INDEX(IdxMP_V,1,10)*(1+V_dMat)/(1-V_Merma))</f>
        <v>0</v>
      </c>
      <c r="O58" s="54" t="n">
        <f aca="false">SUM(D58:N58)</f>
        <v>0</v>
      </c>
    </row>
    <row r="59" customFormat="false" ht="15" hidden="true" customHeight="false" outlineLevel="1" collapsed="false">
      <c r="A59" s="11" t="s">
        <v>2136</v>
      </c>
      <c r="B59" s="15" t="s">
        <v>2087</v>
      </c>
      <c r="C59" s="11" t="s">
        <v>748</v>
      </c>
      <c r="E59" s="50" t="str">
        <f aca="false">IFERROR(IF(OR(NOT(ISNUMBER(E58)),N(E60)=0),"",E58/E60),"")</f>
        <v/>
      </c>
      <c r="F59" s="50" t="str">
        <f aca="false">IFERROR(IF(OR(NOT(ISNUMBER(F58)),N(F60)=0),"",F58/F60),"")</f>
        <v/>
      </c>
      <c r="G59" s="50" t="str">
        <f aca="false">IFERROR(IF(OR(NOT(ISNUMBER(G58)),N(G60)=0),"",G58/G60),"")</f>
        <v/>
      </c>
      <c r="H59" s="50" t="str">
        <f aca="false">IFERROR(IF(OR(NOT(ISNUMBER(H58)),N(H60)=0),"",H58/H60),"")</f>
        <v/>
      </c>
      <c r="I59" s="50" t="str">
        <f aca="false">IFERROR(IF(OR(NOT(ISNUMBER(I58)),N(I60)=0),"",I58/I60),"")</f>
        <v/>
      </c>
      <c r="J59" s="50" t="str">
        <f aca="false">IFERROR(IF(OR(NOT(ISNUMBER(J58)),N(J60)=0),"",J58/J60),"")</f>
        <v/>
      </c>
      <c r="K59" s="50" t="str">
        <f aca="false">IFERROR(IF(OR(NOT(ISNUMBER(K58)),N(K60)=0),"",K58/K60),"")</f>
        <v/>
      </c>
      <c r="L59" s="50" t="str">
        <f aca="false">IFERROR(IF(OR(NOT(ISNUMBER(L58)),N(L60)=0),"",L58/L60),"")</f>
        <v/>
      </c>
      <c r="M59" s="50" t="str">
        <f aca="false">IFERROR(IF(OR(NOT(ISNUMBER(M58)),N(M60)=0),"",M58/M60),"")</f>
        <v/>
      </c>
      <c r="N59" s="50" t="str">
        <f aca="false">IFERROR(IF(OR(NOT(ISNUMBER(N58)),N(N60)=0),"",N58/N60),"")</f>
        <v/>
      </c>
      <c r="O59" s="68" t="str">
        <f aca="false">IFERROR(IF(OR(NOT(ISNUMBER(O58)),N(O60)=0),"",O58/O60),"")</f>
        <v/>
      </c>
    </row>
    <row r="60" customFormat="false" ht="15" hidden="true" customHeight="false" outlineLevel="1" collapsed="false">
      <c r="A60" s="11" t="s">
        <v>2137</v>
      </c>
      <c r="B60" s="15" t="s">
        <v>2089</v>
      </c>
      <c r="C60" s="11" t="s">
        <v>544</v>
      </c>
      <c r="D60" s="48" t="n">
        <f aca="false">IF(cu_P=1,SUMIFS(Calculo!$F$37:$ES$37,Calculo!$F$16:$ES$16,1),SUMIFS(Calculo!$F$193:$ES$193,Calculo!$F$172:$ES$172,1))</f>
        <v>0</v>
      </c>
      <c r="E60" s="48" t="n">
        <f aca="false">IF(cu_P=1,SUMIFS(Calculo!$F$37:$ES$37,Calculo!$F$14:$ES$14,1),SUMIFS(Calculo!$F$193:$ES$193,Calculo!$F$170:$ES$170,1))</f>
        <v>0</v>
      </c>
      <c r="F60" s="48" t="n">
        <f aca="false">IF(cu_P=1,SUMIFS(Calculo!$F$37:$ES$37,Calculo!$F$14:$ES$14,2),SUMIFS(Calculo!$F$193:$ES$193,Calculo!$F$170:$ES$170,2))</f>
        <v>0</v>
      </c>
      <c r="G60" s="48" t="n">
        <f aca="false">IF(cu_P=1,SUMIFS(Calculo!$F$37:$ES$37,Calculo!$F$14:$ES$14,3),SUMIFS(Calculo!$F$193:$ES$193,Calculo!$F$170:$ES$170,3))</f>
        <v>0</v>
      </c>
      <c r="H60" s="48" t="n">
        <f aca="false">IF(cu_P=1,SUMIFS(Calculo!$F$37:$ES$37,Calculo!$F$14:$ES$14,4),SUMIFS(Calculo!$F$193:$ES$193,Calculo!$F$170:$ES$170,4))</f>
        <v>0</v>
      </c>
      <c r="I60" s="48" t="n">
        <f aca="false">IF(cu_P=1,SUMIFS(Calculo!$F$37:$ES$37,Calculo!$F$14:$ES$14,5),SUMIFS(Calculo!$F$193:$ES$193,Calculo!$F$170:$ES$170,5))</f>
        <v>0</v>
      </c>
      <c r="J60" s="48" t="n">
        <f aca="false">IF(cu_P=1,SUMIFS(Calculo!$F$37:$ES$37,Calculo!$F$14:$ES$14,6),SUMIFS(Calculo!$F$193:$ES$193,Calculo!$F$170:$ES$170,6))</f>
        <v>0</v>
      </c>
      <c r="K60" s="48" t="n">
        <f aca="false">IF(cu_P=1,SUMIFS(Calculo!$F$37:$ES$37,Calculo!$F$14:$ES$14,7),SUMIFS(Calculo!$F$193:$ES$193,Calculo!$F$170:$ES$170,7))</f>
        <v>0</v>
      </c>
      <c r="L60" s="48" t="n">
        <f aca="false">IF(cu_P=1,SUMIFS(Calculo!$F$37:$ES$37,Calculo!$F$14:$ES$14,8),SUMIFS(Calculo!$F$193:$ES$193,Calculo!$F$170:$ES$170,8))</f>
        <v>0</v>
      </c>
      <c r="M60" s="48" t="n">
        <f aca="false">IF(cu_P=1,SUMIFS(Calculo!$F$37:$ES$37,Calculo!$F$14:$ES$14,9),SUMIFS(Calculo!$F$193:$ES$193,Calculo!$F$170:$ES$170,9))</f>
        <v>0</v>
      </c>
      <c r="N60" s="48" t="n">
        <f aca="false">IF(cu_P=1,SUMIFS(Calculo!$F$37:$ES$37,Calculo!$F$14:$ES$14,10),SUMIFS(Calculo!$F$193:$ES$193,Calculo!$F$170:$ES$170,10))</f>
        <v>0</v>
      </c>
      <c r="O60" s="54" t="n">
        <f aca="false">SUM(D60:N60)</f>
        <v>0</v>
      </c>
    </row>
    <row r="61" customFormat="false" ht="15" hidden="true" customHeight="false" outlineLevel="1" collapsed="false">
      <c r="A61" s="11" t="s">
        <v>2138</v>
      </c>
      <c r="B61" s="53" t="str">
        <f aca="false">IF(INDEX(Prod_Nombre,18)="","Producto 18",INDEX(Prod_Nombre,18))</f>
        <v>Producto 18</v>
      </c>
      <c r="C61" s="11" t="s">
        <v>508</v>
      </c>
      <c r="D61" s="48" t="n">
        <f aca="false">IF(cu_P=1,SUMIFS(Calculo!$F$38:$ES$38,Calculo!$F$16:$ES$16,1)*N(INDEX(MP_O,18))*INDEX(IdxMP_O,1,1)*(1+P_dMat)/(1-P_Merma),SUMIFS(Calculo!$F$194:$ES$194,Calculo!$F$172:$ES$172,1)*N(INDEX(MP_V,18))*INDEX(IdxMP_V,1,1)*(1+V_dMat)/(1-V_Merma))</f>
        <v>0</v>
      </c>
      <c r="E61" s="48" t="n">
        <f aca="false">IF(cu_P=1,SUMIFS(Calculo!$F$38:$ES$38,Calculo!$F$14:$ES$14,1)*N(INDEX(MP_O,18))*INDEX(IdxMP_O,1,1)*(1+P_dMat)/(1-P_Merma),SUMIFS(Calculo!$F$194:$ES$194,Calculo!$F$170:$ES$170,1)*N(INDEX(MP_V,18))*INDEX(IdxMP_V,1,1)*(1+V_dMat)/(1-V_Merma))</f>
        <v>0</v>
      </c>
      <c r="F61" s="48" t="n">
        <f aca="false">IF(cu_P=1,SUMIFS(Calculo!$F$38:$ES$38,Calculo!$F$14:$ES$14,2)*N(INDEX(MP_O,18))*INDEX(IdxMP_O,1,2)*(1+P_dMat)/(1-P_Merma),SUMIFS(Calculo!$F$194:$ES$194,Calculo!$F$170:$ES$170,2)*N(INDEX(MP_V,18))*INDEX(IdxMP_V,1,2)*(1+V_dMat)/(1-V_Merma))</f>
        <v>0</v>
      </c>
      <c r="G61" s="48" t="n">
        <f aca="false">IF(cu_P=1,SUMIFS(Calculo!$F$38:$ES$38,Calculo!$F$14:$ES$14,3)*N(INDEX(MP_O,18))*INDEX(IdxMP_O,1,3)*(1+P_dMat)/(1-P_Merma),SUMIFS(Calculo!$F$194:$ES$194,Calculo!$F$170:$ES$170,3)*N(INDEX(MP_V,18))*INDEX(IdxMP_V,1,3)*(1+V_dMat)/(1-V_Merma))</f>
        <v>0</v>
      </c>
      <c r="H61" s="48" t="n">
        <f aca="false">IF(cu_P=1,SUMIFS(Calculo!$F$38:$ES$38,Calculo!$F$14:$ES$14,4)*N(INDEX(MP_O,18))*INDEX(IdxMP_O,1,4)*(1+P_dMat)/(1-P_Merma),SUMIFS(Calculo!$F$194:$ES$194,Calculo!$F$170:$ES$170,4)*N(INDEX(MP_V,18))*INDEX(IdxMP_V,1,4)*(1+V_dMat)/(1-V_Merma))</f>
        <v>0</v>
      </c>
      <c r="I61" s="48" t="n">
        <f aca="false">IF(cu_P=1,SUMIFS(Calculo!$F$38:$ES$38,Calculo!$F$14:$ES$14,5)*N(INDEX(MP_O,18))*INDEX(IdxMP_O,1,5)*(1+P_dMat)/(1-P_Merma),SUMIFS(Calculo!$F$194:$ES$194,Calculo!$F$170:$ES$170,5)*N(INDEX(MP_V,18))*INDEX(IdxMP_V,1,5)*(1+V_dMat)/(1-V_Merma))</f>
        <v>0</v>
      </c>
      <c r="J61" s="48" t="n">
        <f aca="false">IF(cu_P=1,SUMIFS(Calculo!$F$38:$ES$38,Calculo!$F$14:$ES$14,6)*N(INDEX(MP_O,18))*INDEX(IdxMP_O,1,6)*(1+P_dMat)/(1-P_Merma),SUMIFS(Calculo!$F$194:$ES$194,Calculo!$F$170:$ES$170,6)*N(INDEX(MP_V,18))*INDEX(IdxMP_V,1,6)*(1+V_dMat)/(1-V_Merma))</f>
        <v>0</v>
      </c>
      <c r="K61" s="48" t="n">
        <f aca="false">IF(cu_P=1,SUMIFS(Calculo!$F$38:$ES$38,Calculo!$F$14:$ES$14,7)*N(INDEX(MP_O,18))*INDEX(IdxMP_O,1,7)*(1+P_dMat)/(1-P_Merma),SUMIFS(Calculo!$F$194:$ES$194,Calculo!$F$170:$ES$170,7)*N(INDEX(MP_V,18))*INDEX(IdxMP_V,1,7)*(1+V_dMat)/(1-V_Merma))</f>
        <v>0</v>
      </c>
      <c r="L61" s="48" t="n">
        <f aca="false">IF(cu_P=1,SUMIFS(Calculo!$F$38:$ES$38,Calculo!$F$14:$ES$14,8)*N(INDEX(MP_O,18))*INDEX(IdxMP_O,1,8)*(1+P_dMat)/(1-P_Merma),SUMIFS(Calculo!$F$194:$ES$194,Calculo!$F$170:$ES$170,8)*N(INDEX(MP_V,18))*INDEX(IdxMP_V,1,8)*(1+V_dMat)/(1-V_Merma))</f>
        <v>0</v>
      </c>
      <c r="M61" s="48" t="n">
        <f aca="false">IF(cu_P=1,SUMIFS(Calculo!$F$38:$ES$38,Calculo!$F$14:$ES$14,9)*N(INDEX(MP_O,18))*INDEX(IdxMP_O,1,9)*(1+P_dMat)/(1-P_Merma),SUMIFS(Calculo!$F$194:$ES$194,Calculo!$F$170:$ES$170,9)*N(INDEX(MP_V,18))*INDEX(IdxMP_V,1,9)*(1+V_dMat)/(1-V_Merma))</f>
        <v>0</v>
      </c>
      <c r="N61" s="48" t="n">
        <f aca="false">IF(cu_P=1,SUMIFS(Calculo!$F$38:$ES$38,Calculo!$F$14:$ES$14,10)*N(INDEX(MP_O,18))*INDEX(IdxMP_O,1,10)*(1+P_dMat)/(1-P_Merma),SUMIFS(Calculo!$F$194:$ES$194,Calculo!$F$170:$ES$170,10)*N(INDEX(MP_V,18))*INDEX(IdxMP_V,1,10)*(1+V_dMat)/(1-V_Merma))</f>
        <v>0</v>
      </c>
      <c r="O61" s="54" t="n">
        <f aca="false">SUM(D61:N61)</f>
        <v>0</v>
      </c>
    </row>
    <row r="62" customFormat="false" ht="15" hidden="true" customHeight="false" outlineLevel="1" collapsed="false">
      <c r="A62" s="11" t="s">
        <v>2139</v>
      </c>
      <c r="B62" s="15" t="s">
        <v>2087</v>
      </c>
      <c r="C62" s="11" t="s">
        <v>748</v>
      </c>
      <c r="E62" s="50" t="str">
        <f aca="false">IFERROR(IF(OR(NOT(ISNUMBER(E61)),N(E63)=0),"",E61/E63),"")</f>
        <v/>
      </c>
      <c r="F62" s="50" t="str">
        <f aca="false">IFERROR(IF(OR(NOT(ISNUMBER(F61)),N(F63)=0),"",F61/F63),"")</f>
        <v/>
      </c>
      <c r="G62" s="50" t="str">
        <f aca="false">IFERROR(IF(OR(NOT(ISNUMBER(G61)),N(G63)=0),"",G61/G63),"")</f>
        <v/>
      </c>
      <c r="H62" s="50" t="str">
        <f aca="false">IFERROR(IF(OR(NOT(ISNUMBER(H61)),N(H63)=0),"",H61/H63),"")</f>
        <v/>
      </c>
      <c r="I62" s="50" t="str">
        <f aca="false">IFERROR(IF(OR(NOT(ISNUMBER(I61)),N(I63)=0),"",I61/I63),"")</f>
        <v/>
      </c>
      <c r="J62" s="50" t="str">
        <f aca="false">IFERROR(IF(OR(NOT(ISNUMBER(J61)),N(J63)=0),"",J61/J63),"")</f>
        <v/>
      </c>
      <c r="K62" s="50" t="str">
        <f aca="false">IFERROR(IF(OR(NOT(ISNUMBER(K61)),N(K63)=0),"",K61/K63),"")</f>
        <v/>
      </c>
      <c r="L62" s="50" t="str">
        <f aca="false">IFERROR(IF(OR(NOT(ISNUMBER(L61)),N(L63)=0),"",L61/L63),"")</f>
        <v/>
      </c>
      <c r="M62" s="50" t="str">
        <f aca="false">IFERROR(IF(OR(NOT(ISNUMBER(M61)),N(M63)=0),"",M61/M63),"")</f>
        <v/>
      </c>
      <c r="N62" s="50" t="str">
        <f aca="false">IFERROR(IF(OR(NOT(ISNUMBER(N61)),N(N63)=0),"",N61/N63),"")</f>
        <v/>
      </c>
      <c r="O62" s="68" t="str">
        <f aca="false">IFERROR(IF(OR(NOT(ISNUMBER(O61)),N(O63)=0),"",O61/O63),"")</f>
        <v/>
      </c>
    </row>
    <row r="63" customFormat="false" ht="15" hidden="true" customHeight="false" outlineLevel="1" collapsed="false">
      <c r="A63" s="11" t="s">
        <v>2140</v>
      </c>
      <c r="B63" s="15" t="s">
        <v>2089</v>
      </c>
      <c r="C63" s="11" t="s">
        <v>544</v>
      </c>
      <c r="D63" s="48" t="n">
        <f aca="false">IF(cu_P=1,SUMIFS(Calculo!$F$38:$ES$38,Calculo!$F$16:$ES$16,1),SUMIFS(Calculo!$F$194:$ES$194,Calculo!$F$172:$ES$172,1))</f>
        <v>0</v>
      </c>
      <c r="E63" s="48" t="n">
        <f aca="false">IF(cu_P=1,SUMIFS(Calculo!$F$38:$ES$38,Calculo!$F$14:$ES$14,1),SUMIFS(Calculo!$F$194:$ES$194,Calculo!$F$170:$ES$170,1))</f>
        <v>0</v>
      </c>
      <c r="F63" s="48" t="n">
        <f aca="false">IF(cu_P=1,SUMIFS(Calculo!$F$38:$ES$38,Calculo!$F$14:$ES$14,2),SUMIFS(Calculo!$F$194:$ES$194,Calculo!$F$170:$ES$170,2))</f>
        <v>0</v>
      </c>
      <c r="G63" s="48" t="n">
        <f aca="false">IF(cu_P=1,SUMIFS(Calculo!$F$38:$ES$38,Calculo!$F$14:$ES$14,3),SUMIFS(Calculo!$F$194:$ES$194,Calculo!$F$170:$ES$170,3))</f>
        <v>0</v>
      </c>
      <c r="H63" s="48" t="n">
        <f aca="false">IF(cu_P=1,SUMIFS(Calculo!$F$38:$ES$38,Calculo!$F$14:$ES$14,4),SUMIFS(Calculo!$F$194:$ES$194,Calculo!$F$170:$ES$170,4))</f>
        <v>0</v>
      </c>
      <c r="I63" s="48" t="n">
        <f aca="false">IF(cu_P=1,SUMIFS(Calculo!$F$38:$ES$38,Calculo!$F$14:$ES$14,5),SUMIFS(Calculo!$F$194:$ES$194,Calculo!$F$170:$ES$170,5))</f>
        <v>0</v>
      </c>
      <c r="J63" s="48" t="n">
        <f aca="false">IF(cu_P=1,SUMIFS(Calculo!$F$38:$ES$38,Calculo!$F$14:$ES$14,6),SUMIFS(Calculo!$F$194:$ES$194,Calculo!$F$170:$ES$170,6))</f>
        <v>0</v>
      </c>
      <c r="K63" s="48" t="n">
        <f aca="false">IF(cu_P=1,SUMIFS(Calculo!$F$38:$ES$38,Calculo!$F$14:$ES$14,7),SUMIFS(Calculo!$F$194:$ES$194,Calculo!$F$170:$ES$170,7))</f>
        <v>0</v>
      </c>
      <c r="L63" s="48" t="n">
        <f aca="false">IF(cu_P=1,SUMIFS(Calculo!$F$38:$ES$38,Calculo!$F$14:$ES$14,8),SUMIFS(Calculo!$F$194:$ES$194,Calculo!$F$170:$ES$170,8))</f>
        <v>0</v>
      </c>
      <c r="M63" s="48" t="n">
        <f aca="false">IF(cu_P=1,SUMIFS(Calculo!$F$38:$ES$38,Calculo!$F$14:$ES$14,9),SUMIFS(Calculo!$F$194:$ES$194,Calculo!$F$170:$ES$170,9))</f>
        <v>0</v>
      </c>
      <c r="N63" s="48" t="n">
        <f aca="false">IF(cu_P=1,SUMIFS(Calculo!$F$38:$ES$38,Calculo!$F$14:$ES$14,10),SUMIFS(Calculo!$F$194:$ES$194,Calculo!$F$170:$ES$170,10))</f>
        <v>0</v>
      </c>
      <c r="O63" s="54" t="n">
        <f aca="false">SUM(D63:N63)</f>
        <v>0</v>
      </c>
    </row>
    <row r="64" customFormat="false" ht="15" hidden="true" customHeight="false" outlineLevel="1" collapsed="false">
      <c r="A64" s="11" t="s">
        <v>2141</v>
      </c>
      <c r="B64" s="53" t="str">
        <f aca="false">IF(INDEX(Prod_Nombre,19)="","Producto 19",INDEX(Prod_Nombre,19))</f>
        <v>Producto 19</v>
      </c>
      <c r="C64" s="11" t="s">
        <v>508</v>
      </c>
      <c r="D64" s="48" t="n">
        <f aca="false">IF(cu_P=1,SUMIFS(Calculo!$F$39:$ES$39,Calculo!$F$16:$ES$16,1)*N(INDEX(MP_O,19))*INDEX(IdxMP_O,1,1)*(1+P_dMat)/(1-P_Merma),SUMIFS(Calculo!$F$195:$ES$195,Calculo!$F$172:$ES$172,1)*N(INDEX(MP_V,19))*INDEX(IdxMP_V,1,1)*(1+V_dMat)/(1-V_Merma))</f>
        <v>0</v>
      </c>
      <c r="E64" s="48" t="n">
        <f aca="false">IF(cu_P=1,SUMIFS(Calculo!$F$39:$ES$39,Calculo!$F$14:$ES$14,1)*N(INDEX(MP_O,19))*INDEX(IdxMP_O,1,1)*(1+P_dMat)/(1-P_Merma),SUMIFS(Calculo!$F$195:$ES$195,Calculo!$F$170:$ES$170,1)*N(INDEX(MP_V,19))*INDEX(IdxMP_V,1,1)*(1+V_dMat)/(1-V_Merma))</f>
        <v>0</v>
      </c>
      <c r="F64" s="48" t="n">
        <f aca="false">IF(cu_P=1,SUMIFS(Calculo!$F$39:$ES$39,Calculo!$F$14:$ES$14,2)*N(INDEX(MP_O,19))*INDEX(IdxMP_O,1,2)*(1+P_dMat)/(1-P_Merma),SUMIFS(Calculo!$F$195:$ES$195,Calculo!$F$170:$ES$170,2)*N(INDEX(MP_V,19))*INDEX(IdxMP_V,1,2)*(1+V_dMat)/(1-V_Merma))</f>
        <v>0</v>
      </c>
      <c r="G64" s="48" t="n">
        <f aca="false">IF(cu_P=1,SUMIFS(Calculo!$F$39:$ES$39,Calculo!$F$14:$ES$14,3)*N(INDEX(MP_O,19))*INDEX(IdxMP_O,1,3)*(1+P_dMat)/(1-P_Merma),SUMIFS(Calculo!$F$195:$ES$195,Calculo!$F$170:$ES$170,3)*N(INDEX(MP_V,19))*INDEX(IdxMP_V,1,3)*(1+V_dMat)/(1-V_Merma))</f>
        <v>0</v>
      </c>
      <c r="H64" s="48" t="n">
        <f aca="false">IF(cu_P=1,SUMIFS(Calculo!$F$39:$ES$39,Calculo!$F$14:$ES$14,4)*N(INDEX(MP_O,19))*INDEX(IdxMP_O,1,4)*(1+P_dMat)/(1-P_Merma),SUMIFS(Calculo!$F$195:$ES$195,Calculo!$F$170:$ES$170,4)*N(INDEX(MP_V,19))*INDEX(IdxMP_V,1,4)*(1+V_dMat)/(1-V_Merma))</f>
        <v>0</v>
      </c>
      <c r="I64" s="48" t="n">
        <f aca="false">IF(cu_P=1,SUMIFS(Calculo!$F$39:$ES$39,Calculo!$F$14:$ES$14,5)*N(INDEX(MP_O,19))*INDEX(IdxMP_O,1,5)*(1+P_dMat)/(1-P_Merma),SUMIFS(Calculo!$F$195:$ES$195,Calculo!$F$170:$ES$170,5)*N(INDEX(MP_V,19))*INDEX(IdxMP_V,1,5)*(1+V_dMat)/(1-V_Merma))</f>
        <v>0</v>
      </c>
      <c r="J64" s="48" t="n">
        <f aca="false">IF(cu_P=1,SUMIFS(Calculo!$F$39:$ES$39,Calculo!$F$14:$ES$14,6)*N(INDEX(MP_O,19))*INDEX(IdxMP_O,1,6)*(1+P_dMat)/(1-P_Merma),SUMIFS(Calculo!$F$195:$ES$195,Calculo!$F$170:$ES$170,6)*N(INDEX(MP_V,19))*INDEX(IdxMP_V,1,6)*(1+V_dMat)/(1-V_Merma))</f>
        <v>0</v>
      </c>
      <c r="K64" s="48" t="n">
        <f aca="false">IF(cu_P=1,SUMIFS(Calculo!$F$39:$ES$39,Calculo!$F$14:$ES$14,7)*N(INDEX(MP_O,19))*INDEX(IdxMP_O,1,7)*(1+P_dMat)/(1-P_Merma),SUMIFS(Calculo!$F$195:$ES$195,Calculo!$F$170:$ES$170,7)*N(INDEX(MP_V,19))*INDEX(IdxMP_V,1,7)*(1+V_dMat)/(1-V_Merma))</f>
        <v>0</v>
      </c>
      <c r="L64" s="48" t="n">
        <f aca="false">IF(cu_P=1,SUMIFS(Calculo!$F$39:$ES$39,Calculo!$F$14:$ES$14,8)*N(INDEX(MP_O,19))*INDEX(IdxMP_O,1,8)*(1+P_dMat)/(1-P_Merma),SUMIFS(Calculo!$F$195:$ES$195,Calculo!$F$170:$ES$170,8)*N(INDEX(MP_V,19))*INDEX(IdxMP_V,1,8)*(1+V_dMat)/(1-V_Merma))</f>
        <v>0</v>
      </c>
      <c r="M64" s="48" t="n">
        <f aca="false">IF(cu_P=1,SUMIFS(Calculo!$F$39:$ES$39,Calculo!$F$14:$ES$14,9)*N(INDEX(MP_O,19))*INDEX(IdxMP_O,1,9)*(1+P_dMat)/(1-P_Merma),SUMIFS(Calculo!$F$195:$ES$195,Calculo!$F$170:$ES$170,9)*N(INDEX(MP_V,19))*INDEX(IdxMP_V,1,9)*(1+V_dMat)/(1-V_Merma))</f>
        <v>0</v>
      </c>
      <c r="N64" s="48" t="n">
        <f aca="false">IF(cu_P=1,SUMIFS(Calculo!$F$39:$ES$39,Calculo!$F$14:$ES$14,10)*N(INDEX(MP_O,19))*INDEX(IdxMP_O,1,10)*(1+P_dMat)/(1-P_Merma),SUMIFS(Calculo!$F$195:$ES$195,Calculo!$F$170:$ES$170,10)*N(INDEX(MP_V,19))*INDEX(IdxMP_V,1,10)*(1+V_dMat)/(1-V_Merma))</f>
        <v>0</v>
      </c>
      <c r="O64" s="54" t="n">
        <f aca="false">SUM(D64:N64)</f>
        <v>0</v>
      </c>
    </row>
    <row r="65" customFormat="false" ht="15" hidden="true" customHeight="false" outlineLevel="1" collapsed="false">
      <c r="A65" s="11" t="s">
        <v>2142</v>
      </c>
      <c r="B65" s="15" t="s">
        <v>2087</v>
      </c>
      <c r="C65" s="11" t="s">
        <v>748</v>
      </c>
      <c r="E65" s="50" t="str">
        <f aca="false">IFERROR(IF(OR(NOT(ISNUMBER(E64)),N(E66)=0),"",E64/E66),"")</f>
        <v/>
      </c>
      <c r="F65" s="50" t="str">
        <f aca="false">IFERROR(IF(OR(NOT(ISNUMBER(F64)),N(F66)=0),"",F64/F66),"")</f>
        <v/>
      </c>
      <c r="G65" s="50" t="str">
        <f aca="false">IFERROR(IF(OR(NOT(ISNUMBER(G64)),N(G66)=0),"",G64/G66),"")</f>
        <v/>
      </c>
      <c r="H65" s="50" t="str">
        <f aca="false">IFERROR(IF(OR(NOT(ISNUMBER(H64)),N(H66)=0),"",H64/H66),"")</f>
        <v/>
      </c>
      <c r="I65" s="50" t="str">
        <f aca="false">IFERROR(IF(OR(NOT(ISNUMBER(I64)),N(I66)=0),"",I64/I66),"")</f>
        <v/>
      </c>
      <c r="J65" s="50" t="str">
        <f aca="false">IFERROR(IF(OR(NOT(ISNUMBER(J64)),N(J66)=0),"",J64/J66),"")</f>
        <v/>
      </c>
      <c r="K65" s="50" t="str">
        <f aca="false">IFERROR(IF(OR(NOT(ISNUMBER(K64)),N(K66)=0),"",K64/K66),"")</f>
        <v/>
      </c>
      <c r="L65" s="50" t="str">
        <f aca="false">IFERROR(IF(OR(NOT(ISNUMBER(L64)),N(L66)=0),"",L64/L66),"")</f>
        <v/>
      </c>
      <c r="M65" s="50" t="str">
        <f aca="false">IFERROR(IF(OR(NOT(ISNUMBER(M64)),N(M66)=0),"",M64/M66),"")</f>
        <v/>
      </c>
      <c r="N65" s="50" t="str">
        <f aca="false">IFERROR(IF(OR(NOT(ISNUMBER(N64)),N(N66)=0),"",N64/N66),"")</f>
        <v/>
      </c>
      <c r="O65" s="68" t="str">
        <f aca="false">IFERROR(IF(OR(NOT(ISNUMBER(O64)),N(O66)=0),"",O64/O66),"")</f>
        <v/>
      </c>
    </row>
    <row r="66" customFormat="false" ht="15" hidden="true" customHeight="false" outlineLevel="1" collapsed="false">
      <c r="A66" s="11" t="s">
        <v>2143</v>
      </c>
      <c r="B66" s="15" t="s">
        <v>2089</v>
      </c>
      <c r="C66" s="11" t="s">
        <v>544</v>
      </c>
      <c r="D66" s="48" t="n">
        <f aca="false">IF(cu_P=1,SUMIFS(Calculo!$F$39:$ES$39,Calculo!$F$16:$ES$16,1),SUMIFS(Calculo!$F$195:$ES$195,Calculo!$F$172:$ES$172,1))</f>
        <v>0</v>
      </c>
      <c r="E66" s="48" t="n">
        <f aca="false">IF(cu_P=1,SUMIFS(Calculo!$F$39:$ES$39,Calculo!$F$14:$ES$14,1),SUMIFS(Calculo!$F$195:$ES$195,Calculo!$F$170:$ES$170,1))</f>
        <v>0</v>
      </c>
      <c r="F66" s="48" t="n">
        <f aca="false">IF(cu_P=1,SUMIFS(Calculo!$F$39:$ES$39,Calculo!$F$14:$ES$14,2),SUMIFS(Calculo!$F$195:$ES$195,Calculo!$F$170:$ES$170,2))</f>
        <v>0</v>
      </c>
      <c r="G66" s="48" t="n">
        <f aca="false">IF(cu_P=1,SUMIFS(Calculo!$F$39:$ES$39,Calculo!$F$14:$ES$14,3),SUMIFS(Calculo!$F$195:$ES$195,Calculo!$F$170:$ES$170,3))</f>
        <v>0</v>
      </c>
      <c r="H66" s="48" t="n">
        <f aca="false">IF(cu_P=1,SUMIFS(Calculo!$F$39:$ES$39,Calculo!$F$14:$ES$14,4),SUMIFS(Calculo!$F$195:$ES$195,Calculo!$F$170:$ES$170,4))</f>
        <v>0</v>
      </c>
      <c r="I66" s="48" t="n">
        <f aca="false">IF(cu_P=1,SUMIFS(Calculo!$F$39:$ES$39,Calculo!$F$14:$ES$14,5),SUMIFS(Calculo!$F$195:$ES$195,Calculo!$F$170:$ES$170,5))</f>
        <v>0</v>
      </c>
      <c r="J66" s="48" t="n">
        <f aca="false">IF(cu_P=1,SUMIFS(Calculo!$F$39:$ES$39,Calculo!$F$14:$ES$14,6),SUMIFS(Calculo!$F$195:$ES$195,Calculo!$F$170:$ES$170,6))</f>
        <v>0</v>
      </c>
      <c r="K66" s="48" t="n">
        <f aca="false">IF(cu_P=1,SUMIFS(Calculo!$F$39:$ES$39,Calculo!$F$14:$ES$14,7),SUMIFS(Calculo!$F$195:$ES$195,Calculo!$F$170:$ES$170,7))</f>
        <v>0</v>
      </c>
      <c r="L66" s="48" t="n">
        <f aca="false">IF(cu_P=1,SUMIFS(Calculo!$F$39:$ES$39,Calculo!$F$14:$ES$14,8),SUMIFS(Calculo!$F$195:$ES$195,Calculo!$F$170:$ES$170,8))</f>
        <v>0</v>
      </c>
      <c r="M66" s="48" t="n">
        <f aca="false">IF(cu_P=1,SUMIFS(Calculo!$F$39:$ES$39,Calculo!$F$14:$ES$14,9),SUMIFS(Calculo!$F$195:$ES$195,Calculo!$F$170:$ES$170,9))</f>
        <v>0</v>
      </c>
      <c r="N66" s="48" t="n">
        <f aca="false">IF(cu_P=1,SUMIFS(Calculo!$F$39:$ES$39,Calculo!$F$14:$ES$14,10),SUMIFS(Calculo!$F$195:$ES$195,Calculo!$F$170:$ES$170,10))</f>
        <v>0</v>
      </c>
      <c r="O66" s="54" t="n">
        <f aca="false">SUM(D66:N66)</f>
        <v>0</v>
      </c>
    </row>
    <row r="67" customFormat="false" ht="15" hidden="true" customHeight="false" outlineLevel="1" collapsed="false">
      <c r="A67" s="11" t="s">
        <v>2144</v>
      </c>
      <c r="B67" s="53" t="str">
        <f aca="false">IF(INDEX(Prod_Nombre,20)="","Producto 20",INDEX(Prod_Nombre,20))</f>
        <v>Producto 20</v>
      </c>
      <c r="C67" s="11" t="s">
        <v>508</v>
      </c>
      <c r="D67" s="48" t="n">
        <f aca="false">IF(cu_P=1,SUMIFS(Calculo!$F$40:$ES$40,Calculo!$F$16:$ES$16,1)*N(INDEX(MP_O,20))*INDEX(IdxMP_O,1,1)*(1+P_dMat)/(1-P_Merma),SUMIFS(Calculo!$F$196:$ES$196,Calculo!$F$172:$ES$172,1)*N(INDEX(MP_V,20))*INDEX(IdxMP_V,1,1)*(1+V_dMat)/(1-V_Merma))</f>
        <v>0</v>
      </c>
      <c r="E67" s="48" t="n">
        <f aca="false">IF(cu_P=1,SUMIFS(Calculo!$F$40:$ES$40,Calculo!$F$14:$ES$14,1)*N(INDEX(MP_O,20))*INDEX(IdxMP_O,1,1)*(1+P_dMat)/(1-P_Merma),SUMIFS(Calculo!$F$196:$ES$196,Calculo!$F$170:$ES$170,1)*N(INDEX(MP_V,20))*INDEX(IdxMP_V,1,1)*(1+V_dMat)/(1-V_Merma))</f>
        <v>0</v>
      </c>
      <c r="F67" s="48" t="n">
        <f aca="false">IF(cu_P=1,SUMIFS(Calculo!$F$40:$ES$40,Calculo!$F$14:$ES$14,2)*N(INDEX(MP_O,20))*INDEX(IdxMP_O,1,2)*(1+P_dMat)/(1-P_Merma),SUMIFS(Calculo!$F$196:$ES$196,Calculo!$F$170:$ES$170,2)*N(INDEX(MP_V,20))*INDEX(IdxMP_V,1,2)*(1+V_dMat)/(1-V_Merma))</f>
        <v>0</v>
      </c>
      <c r="G67" s="48" t="n">
        <f aca="false">IF(cu_P=1,SUMIFS(Calculo!$F$40:$ES$40,Calculo!$F$14:$ES$14,3)*N(INDEX(MP_O,20))*INDEX(IdxMP_O,1,3)*(1+P_dMat)/(1-P_Merma),SUMIFS(Calculo!$F$196:$ES$196,Calculo!$F$170:$ES$170,3)*N(INDEX(MP_V,20))*INDEX(IdxMP_V,1,3)*(1+V_dMat)/(1-V_Merma))</f>
        <v>0</v>
      </c>
      <c r="H67" s="48" t="n">
        <f aca="false">IF(cu_P=1,SUMIFS(Calculo!$F$40:$ES$40,Calculo!$F$14:$ES$14,4)*N(INDEX(MP_O,20))*INDEX(IdxMP_O,1,4)*(1+P_dMat)/(1-P_Merma),SUMIFS(Calculo!$F$196:$ES$196,Calculo!$F$170:$ES$170,4)*N(INDEX(MP_V,20))*INDEX(IdxMP_V,1,4)*(1+V_dMat)/(1-V_Merma))</f>
        <v>0</v>
      </c>
      <c r="I67" s="48" t="n">
        <f aca="false">IF(cu_P=1,SUMIFS(Calculo!$F$40:$ES$40,Calculo!$F$14:$ES$14,5)*N(INDEX(MP_O,20))*INDEX(IdxMP_O,1,5)*(1+P_dMat)/(1-P_Merma),SUMIFS(Calculo!$F$196:$ES$196,Calculo!$F$170:$ES$170,5)*N(INDEX(MP_V,20))*INDEX(IdxMP_V,1,5)*(1+V_dMat)/(1-V_Merma))</f>
        <v>0</v>
      </c>
      <c r="J67" s="48" t="n">
        <f aca="false">IF(cu_P=1,SUMIFS(Calculo!$F$40:$ES$40,Calculo!$F$14:$ES$14,6)*N(INDEX(MP_O,20))*INDEX(IdxMP_O,1,6)*(1+P_dMat)/(1-P_Merma),SUMIFS(Calculo!$F$196:$ES$196,Calculo!$F$170:$ES$170,6)*N(INDEX(MP_V,20))*INDEX(IdxMP_V,1,6)*(1+V_dMat)/(1-V_Merma))</f>
        <v>0</v>
      </c>
      <c r="K67" s="48" t="n">
        <f aca="false">IF(cu_P=1,SUMIFS(Calculo!$F$40:$ES$40,Calculo!$F$14:$ES$14,7)*N(INDEX(MP_O,20))*INDEX(IdxMP_O,1,7)*(1+P_dMat)/(1-P_Merma),SUMIFS(Calculo!$F$196:$ES$196,Calculo!$F$170:$ES$170,7)*N(INDEX(MP_V,20))*INDEX(IdxMP_V,1,7)*(1+V_dMat)/(1-V_Merma))</f>
        <v>0</v>
      </c>
      <c r="L67" s="48" t="n">
        <f aca="false">IF(cu_P=1,SUMIFS(Calculo!$F$40:$ES$40,Calculo!$F$14:$ES$14,8)*N(INDEX(MP_O,20))*INDEX(IdxMP_O,1,8)*(1+P_dMat)/(1-P_Merma),SUMIFS(Calculo!$F$196:$ES$196,Calculo!$F$170:$ES$170,8)*N(INDEX(MP_V,20))*INDEX(IdxMP_V,1,8)*(1+V_dMat)/(1-V_Merma))</f>
        <v>0</v>
      </c>
      <c r="M67" s="48" t="n">
        <f aca="false">IF(cu_P=1,SUMIFS(Calculo!$F$40:$ES$40,Calculo!$F$14:$ES$14,9)*N(INDEX(MP_O,20))*INDEX(IdxMP_O,1,9)*(1+P_dMat)/(1-P_Merma),SUMIFS(Calculo!$F$196:$ES$196,Calculo!$F$170:$ES$170,9)*N(INDEX(MP_V,20))*INDEX(IdxMP_V,1,9)*(1+V_dMat)/(1-V_Merma))</f>
        <v>0</v>
      </c>
      <c r="N67" s="48" t="n">
        <f aca="false">IF(cu_P=1,SUMIFS(Calculo!$F$40:$ES$40,Calculo!$F$14:$ES$14,10)*N(INDEX(MP_O,20))*INDEX(IdxMP_O,1,10)*(1+P_dMat)/(1-P_Merma),SUMIFS(Calculo!$F$196:$ES$196,Calculo!$F$170:$ES$170,10)*N(INDEX(MP_V,20))*INDEX(IdxMP_V,1,10)*(1+V_dMat)/(1-V_Merma))</f>
        <v>0</v>
      </c>
      <c r="O67" s="54" t="n">
        <f aca="false">SUM(D67:N67)</f>
        <v>0</v>
      </c>
    </row>
    <row r="68" customFormat="false" ht="15" hidden="true" customHeight="false" outlineLevel="1" collapsed="false">
      <c r="A68" s="11" t="s">
        <v>2145</v>
      </c>
      <c r="B68" s="15" t="s">
        <v>2087</v>
      </c>
      <c r="C68" s="11" t="s">
        <v>748</v>
      </c>
      <c r="E68" s="50" t="str">
        <f aca="false">IFERROR(IF(OR(NOT(ISNUMBER(E67)),N(E69)=0),"",E67/E69),"")</f>
        <v/>
      </c>
      <c r="F68" s="50" t="str">
        <f aca="false">IFERROR(IF(OR(NOT(ISNUMBER(F67)),N(F69)=0),"",F67/F69),"")</f>
        <v/>
      </c>
      <c r="G68" s="50" t="str">
        <f aca="false">IFERROR(IF(OR(NOT(ISNUMBER(G67)),N(G69)=0),"",G67/G69),"")</f>
        <v/>
      </c>
      <c r="H68" s="50" t="str">
        <f aca="false">IFERROR(IF(OR(NOT(ISNUMBER(H67)),N(H69)=0),"",H67/H69),"")</f>
        <v/>
      </c>
      <c r="I68" s="50" t="str">
        <f aca="false">IFERROR(IF(OR(NOT(ISNUMBER(I67)),N(I69)=0),"",I67/I69),"")</f>
        <v/>
      </c>
      <c r="J68" s="50" t="str">
        <f aca="false">IFERROR(IF(OR(NOT(ISNUMBER(J67)),N(J69)=0),"",J67/J69),"")</f>
        <v/>
      </c>
      <c r="K68" s="50" t="str">
        <f aca="false">IFERROR(IF(OR(NOT(ISNUMBER(K67)),N(K69)=0),"",K67/K69),"")</f>
        <v/>
      </c>
      <c r="L68" s="50" t="str">
        <f aca="false">IFERROR(IF(OR(NOT(ISNUMBER(L67)),N(L69)=0),"",L67/L69),"")</f>
        <v/>
      </c>
      <c r="M68" s="50" t="str">
        <f aca="false">IFERROR(IF(OR(NOT(ISNUMBER(M67)),N(M69)=0),"",M67/M69),"")</f>
        <v/>
      </c>
      <c r="N68" s="50" t="str">
        <f aca="false">IFERROR(IF(OR(NOT(ISNUMBER(N67)),N(N69)=0),"",N67/N69),"")</f>
        <v/>
      </c>
      <c r="O68" s="68" t="str">
        <f aca="false">IFERROR(IF(OR(NOT(ISNUMBER(O67)),N(O69)=0),"",O67/O69),"")</f>
        <v/>
      </c>
    </row>
    <row r="69" customFormat="false" ht="15" hidden="true" customHeight="false" outlineLevel="1" collapsed="false">
      <c r="A69" s="11" t="s">
        <v>2146</v>
      </c>
      <c r="B69" s="15" t="s">
        <v>2089</v>
      </c>
      <c r="C69" s="11" t="s">
        <v>544</v>
      </c>
      <c r="D69" s="48" t="n">
        <f aca="false">IF(cu_P=1,SUMIFS(Calculo!$F$40:$ES$40,Calculo!$F$16:$ES$16,1),SUMIFS(Calculo!$F$196:$ES$196,Calculo!$F$172:$ES$172,1))</f>
        <v>0</v>
      </c>
      <c r="E69" s="48" t="n">
        <f aca="false">IF(cu_P=1,SUMIFS(Calculo!$F$40:$ES$40,Calculo!$F$14:$ES$14,1),SUMIFS(Calculo!$F$196:$ES$196,Calculo!$F$170:$ES$170,1))</f>
        <v>0</v>
      </c>
      <c r="F69" s="48" t="n">
        <f aca="false">IF(cu_P=1,SUMIFS(Calculo!$F$40:$ES$40,Calculo!$F$14:$ES$14,2),SUMIFS(Calculo!$F$196:$ES$196,Calculo!$F$170:$ES$170,2))</f>
        <v>0</v>
      </c>
      <c r="G69" s="48" t="n">
        <f aca="false">IF(cu_P=1,SUMIFS(Calculo!$F$40:$ES$40,Calculo!$F$14:$ES$14,3),SUMIFS(Calculo!$F$196:$ES$196,Calculo!$F$170:$ES$170,3))</f>
        <v>0</v>
      </c>
      <c r="H69" s="48" t="n">
        <f aca="false">IF(cu_P=1,SUMIFS(Calculo!$F$40:$ES$40,Calculo!$F$14:$ES$14,4),SUMIFS(Calculo!$F$196:$ES$196,Calculo!$F$170:$ES$170,4))</f>
        <v>0</v>
      </c>
      <c r="I69" s="48" t="n">
        <f aca="false">IF(cu_P=1,SUMIFS(Calculo!$F$40:$ES$40,Calculo!$F$14:$ES$14,5),SUMIFS(Calculo!$F$196:$ES$196,Calculo!$F$170:$ES$170,5))</f>
        <v>0</v>
      </c>
      <c r="J69" s="48" t="n">
        <f aca="false">IF(cu_P=1,SUMIFS(Calculo!$F$40:$ES$40,Calculo!$F$14:$ES$14,6),SUMIFS(Calculo!$F$196:$ES$196,Calculo!$F$170:$ES$170,6))</f>
        <v>0</v>
      </c>
      <c r="K69" s="48" t="n">
        <f aca="false">IF(cu_P=1,SUMIFS(Calculo!$F$40:$ES$40,Calculo!$F$14:$ES$14,7),SUMIFS(Calculo!$F$196:$ES$196,Calculo!$F$170:$ES$170,7))</f>
        <v>0</v>
      </c>
      <c r="L69" s="48" t="n">
        <f aca="false">IF(cu_P=1,SUMIFS(Calculo!$F$40:$ES$40,Calculo!$F$14:$ES$14,8),SUMIFS(Calculo!$F$196:$ES$196,Calculo!$F$170:$ES$170,8))</f>
        <v>0</v>
      </c>
      <c r="M69" s="48" t="n">
        <f aca="false">IF(cu_P=1,SUMIFS(Calculo!$F$40:$ES$40,Calculo!$F$14:$ES$14,9),SUMIFS(Calculo!$F$196:$ES$196,Calculo!$F$170:$ES$170,9))</f>
        <v>0</v>
      </c>
      <c r="N69" s="48" t="n">
        <f aca="false">IF(cu_P=1,SUMIFS(Calculo!$F$40:$ES$40,Calculo!$F$14:$ES$14,10),SUMIFS(Calculo!$F$196:$ES$196,Calculo!$F$170:$ES$170,10))</f>
        <v>0</v>
      </c>
      <c r="O69" s="54" t="n">
        <f aca="false">SUM(D69:N69)</f>
        <v>0</v>
      </c>
    </row>
    <row r="70" customFormat="false" ht="15" hidden="true" customHeight="false" outlineLevel="1" collapsed="false">
      <c r="A70" s="11" t="s">
        <v>2147</v>
      </c>
      <c r="B70" s="53" t="str">
        <f aca="false">IF(INDEX(Prod_Nombre,21)="","Producto 21",INDEX(Prod_Nombre,21))</f>
        <v>Producto 21</v>
      </c>
      <c r="C70" s="11" t="s">
        <v>508</v>
      </c>
      <c r="D70" s="48" t="n">
        <f aca="false">IF(cu_P=1,SUMIFS(Calculo!$F$41:$ES$41,Calculo!$F$16:$ES$16,1)*N(INDEX(MP_O,21))*INDEX(IdxMP_O,1,1)*(1+P_dMat)/(1-P_Merma),SUMIFS(Calculo!$F$197:$ES$197,Calculo!$F$172:$ES$172,1)*N(INDEX(MP_V,21))*INDEX(IdxMP_V,1,1)*(1+V_dMat)/(1-V_Merma))</f>
        <v>0</v>
      </c>
      <c r="E70" s="48" t="n">
        <f aca="false">IF(cu_P=1,SUMIFS(Calculo!$F$41:$ES$41,Calculo!$F$14:$ES$14,1)*N(INDEX(MP_O,21))*INDEX(IdxMP_O,1,1)*(1+P_dMat)/(1-P_Merma),SUMIFS(Calculo!$F$197:$ES$197,Calculo!$F$170:$ES$170,1)*N(INDEX(MP_V,21))*INDEX(IdxMP_V,1,1)*(1+V_dMat)/(1-V_Merma))</f>
        <v>0</v>
      </c>
      <c r="F70" s="48" t="n">
        <f aca="false">IF(cu_P=1,SUMIFS(Calculo!$F$41:$ES$41,Calculo!$F$14:$ES$14,2)*N(INDEX(MP_O,21))*INDEX(IdxMP_O,1,2)*(1+P_dMat)/(1-P_Merma),SUMIFS(Calculo!$F$197:$ES$197,Calculo!$F$170:$ES$170,2)*N(INDEX(MP_V,21))*INDEX(IdxMP_V,1,2)*(1+V_dMat)/(1-V_Merma))</f>
        <v>0</v>
      </c>
      <c r="G70" s="48" t="n">
        <f aca="false">IF(cu_P=1,SUMIFS(Calculo!$F$41:$ES$41,Calculo!$F$14:$ES$14,3)*N(INDEX(MP_O,21))*INDEX(IdxMP_O,1,3)*(1+P_dMat)/(1-P_Merma),SUMIFS(Calculo!$F$197:$ES$197,Calculo!$F$170:$ES$170,3)*N(INDEX(MP_V,21))*INDEX(IdxMP_V,1,3)*(1+V_dMat)/(1-V_Merma))</f>
        <v>0</v>
      </c>
      <c r="H70" s="48" t="n">
        <f aca="false">IF(cu_P=1,SUMIFS(Calculo!$F$41:$ES$41,Calculo!$F$14:$ES$14,4)*N(INDEX(MP_O,21))*INDEX(IdxMP_O,1,4)*(1+P_dMat)/(1-P_Merma),SUMIFS(Calculo!$F$197:$ES$197,Calculo!$F$170:$ES$170,4)*N(INDEX(MP_V,21))*INDEX(IdxMP_V,1,4)*(1+V_dMat)/(1-V_Merma))</f>
        <v>0</v>
      </c>
      <c r="I70" s="48" t="n">
        <f aca="false">IF(cu_P=1,SUMIFS(Calculo!$F$41:$ES$41,Calculo!$F$14:$ES$14,5)*N(INDEX(MP_O,21))*INDEX(IdxMP_O,1,5)*(1+P_dMat)/(1-P_Merma),SUMIFS(Calculo!$F$197:$ES$197,Calculo!$F$170:$ES$170,5)*N(INDEX(MP_V,21))*INDEX(IdxMP_V,1,5)*(1+V_dMat)/(1-V_Merma))</f>
        <v>0</v>
      </c>
      <c r="J70" s="48" t="n">
        <f aca="false">IF(cu_P=1,SUMIFS(Calculo!$F$41:$ES$41,Calculo!$F$14:$ES$14,6)*N(INDEX(MP_O,21))*INDEX(IdxMP_O,1,6)*(1+P_dMat)/(1-P_Merma),SUMIFS(Calculo!$F$197:$ES$197,Calculo!$F$170:$ES$170,6)*N(INDEX(MP_V,21))*INDEX(IdxMP_V,1,6)*(1+V_dMat)/(1-V_Merma))</f>
        <v>0</v>
      </c>
      <c r="K70" s="48" t="n">
        <f aca="false">IF(cu_P=1,SUMIFS(Calculo!$F$41:$ES$41,Calculo!$F$14:$ES$14,7)*N(INDEX(MP_O,21))*INDEX(IdxMP_O,1,7)*(1+P_dMat)/(1-P_Merma),SUMIFS(Calculo!$F$197:$ES$197,Calculo!$F$170:$ES$170,7)*N(INDEX(MP_V,21))*INDEX(IdxMP_V,1,7)*(1+V_dMat)/(1-V_Merma))</f>
        <v>0</v>
      </c>
      <c r="L70" s="48" t="n">
        <f aca="false">IF(cu_P=1,SUMIFS(Calculo!$F$41:$ES$41,Calculo!$F$14:$ES$14,8)*N(INDEX(MP_O,21))*INDEX(IdxMP_O,1,8)*(1+P_dMat)/(1-P_Merma),SUMIFS(Calculo!$F$197:$ES$197,Calculo!$F$170:$ES$170,8)*N(INDEX(MP_V,21))*INDEX(IdxMP_V,1,8)*(1+V_dMat)/(1-V_Merma))</f>
        <v>0</v>
      </c>
      <c r="M70" s="48" t="n">
        <f aca="false">IF(cu_P=1,SUMIFS(Calculo!$F$41:$ES$41,Calculo!$F$14:$ES$14,9)*N(INDEX(MP_O,21))*INDEX(IdxMP_O,1,9)*(1+P_dMat)/(1-P_Merma),SUMIFS(Calculo!$F$197:$ES$197,Calculo!$F$170:$ES$170,9)*N(INDEX(MP_V,21))*INDEX(IdxMP_V,1,9)*(1+V_dMat)/(1-V_Merma))</f>
        <v>0</v>
      </c>
      <c r="N70" s="48" t="n">
        <f aca="false">IF(cu_P=1,SUMIFS(Calculo!$F$41:$ES$41,Calculo!$F$14:$ES$14,10)*N(INDEX(MP_O,21))*INDEX(IdxMP_O,1,10)*(1+P_dMat)/(1-P_Merma),SUMIFS(Calculo!$F$197:$ES$197,Calculo!$F$170:$ES$170,10)*N(INDEX(MP_V,21))*INDEX(IdxMP_V,1,10)*(1+V_dMat)/(1-V_Merma))</f>
        <v>0</v>
      </c>
      <c r="O70" s="54" t="n">
        <f aca="false">SUM(D70:N70)</f>
        <v>0</v>
      </c>
    </row>
    <row r="71" customFormat="false" ht="15" hidden="true" customHeight="false" outlineLevel="1" collapsed="false">
      <c r="A71" s="11" t="s">
        <v>2148</v>
      </c>
      <c r="B71" s="15" t="s">
        <v>2087</v>
      </c>
      <c r="C71" s="11" t="s">
        <v>748</v>
      </c>
      <c r="E71" s="50" t="str">
        <f aca="false">IFERROR(IF(OR(NOT(ISNUMBER(E70)),N(E72)=0),"",E70/E72),"")</f>
        <v/>
      </c>
      <c r="F71" s="50" t="str">
        <f aca="false">IFERROR(IF(OR(NOT(ISNUMBER(F70)),N(F72)=0),"",F70/F72),"")</f>
        <v/>
      </c>
      <c r="G71" s="50" t="str">
        <f aca="false">IFERROR(IF(OR(NOT(ISNUMBER(G70)),N(G72)=0),"",G70/G72),"")</f>
        <v/>
      </c>
      <c r="H71" s="50" t="str">
        <f aca="false">IFERROR(IF(OR(NOT(ISNUMBER(H70)),N(H72)=0),"",H70/H72),"")</f>
        <v/>
      </c>
      <c r="I71" s="50" t="str">
        <f aca="false">IFERROR(IF(OR(NOT(ISNUMBER(I70)),N(I72)=0),"",I70/I72),"")</f>
        <v/>
      </c>
      <c r="J71" s="50" t="str">
        <f aca="false">IFERROR(IF(OR(NOT(ISNUMBER(J70)),N(J72)=0),"",J70/J72),"")</f>
        <v/>
      </c>
      <c r="K71" s="50" t="str">
        <f aca="false">IFERROR(IF(OR(NOT(ISNUMBER(K70)),N(K72)=0),"",K70/K72),"")</f>
        <v/>
      </c>
      <c r="L71" s="50" t="str">
        <f aca="false">IFERROR(IF(OR(NOT(ISNUMBER(L70)),N(L72)=0),"",L70/L72),"")</f>
        <v/>
      </c>
      <c r="M71" s="50" t="str">
        <f aca="false">IFERROR(IF(OR(NOT(ISNUMBER(M70)),N(M72)=0),"",M70/M72),"")</f>
        <v/>
      </c>
      <c r="N71" s="50" t="str">
        <f aca="false">IFERROR(IF(OR(NOT(ISNUMBER(N70)),N(N72)=0),"",N70/N72),"")</f>
        <v/>
      </c>
      <c r="O71" s="68" t="str">
        <f aca="false">IFERROR(IF(OR(NOT(ISNUMBER(O70)),N(O72)=0),"",O70/O72),"")</f>
        <v/>
      </c>
    </row>
    <row r="72" customFormat="false" ht="15" hidden="true" customHeight="false" outlineLevel="1" collapsed="false">
      <c r="A72" s="11" t="s">
        <v>2149</v>
      </c>
      <c r="B72" s="15" t="s">
        <v>2089</v>
      </c>
      <c r="C72" s="11" t="s">
        <v>544</v>
      </c>
      <c r="D72" s="48" t="n">
        <f aca="false">IF(cu_P=1,SUMIFS(Calculo!$F$41:$ES$41,Calculo!$F$16:$ES$16,1),SUMIFS(Calculo!$F$197:$ES$197,Calculo!$F$172:$ES$172,1))</f>
        <v>0</v>
      </c>
      <c r="E72" s="48" t="n">
        <f aca="false">IF(cu_P=1,SUMIFS(Calculo!$F$41:$ES$41,Calculo!$F$14:$ES$14,1),SUMIFS(Calculo!$F$197:$ES$197,Calculo!$F$170:$ES$170,1))</f>
        <v>0</v>
      </c>
      <c r="F72" s="48" t="n">
        <f aca="false">IF(cu_P=1,SUMIFS(Calculo!$F$41:$ES$41,Calculo!$F$14:$ES$14,2),SUMIFS(Calculo!$F$197:$ES$197,Calculo!$F$170:$ES$170,2))</f>
        <v>0</v>
      </c>
      <c r="G72" s="48" t="n">
        <f aca="false">IF(cu_P=1,SUMIFS(Calculo!$F$41:$ES$41,Calculo!$F$14:$ES$14,3),SUMIFS(Calculo!$F$197:$ES$197,Calculo!$F$170:$ES$170,3))</f>
        <v>0</v>
      </c>
      <c r="H72" s="48" t="n">
        <f aca="false">IF(cu_P=1,SUMIFS(Calculo!$F$41:$ES$41,Calculo!$F$14:$ES$14,4),SUMIFS(Calculo!$F$197:$ES$197,Calculo!$F$170:$ES$170,4))</f>
        <v>0</v>
      </c>
      <c r="I72" s="48" t="n">
        <f aca="false">IF(cu_P=1,SUMIFS(Calculo!$F$41:$ES$41,Calculo!$F$14:$ES$14,5),SUMIFS(Calculo!$F$197:$ES$197,Calculo!$F$170:$ES$170,5))</f>
        <v>0</v>
      </c>
      <c r="J72" s="48" t="n">
        <f aca="false">IF(cu_P=1,SUMIFS(Calculo!$F$41:$ES$41,Calculo!$F$14:$ES$14,6),SUMIFS(Calculo!$F$197:$ES$197,Calculo!$F$170:$ES$170,6))</f>
        <v>0</v>
      </c>
      <c r="K72" s="48" t="n">
        <f aca="false">IF(cu_P=1,SUMIFS(Calculo!$F$41:$ES$41,Calculo!$F$14:$ES$14,7),SUMIFS(Calculo!$F$197:$ES$197,Calculo!$F$170:$ES$170,7))</f>
        <v>0</v>
      </c>
      <c r="L72" s="48" t="n">
        <f aca="false">IF(cu_P=1,SUMIFS(Calculo!$F$41:$ES$41,Calculo!$F$14:$ES$14,8),SUMIFS(Calculo!$F$197:$ES$197,Calculo!$F$170:$ES$170,8))</f>
        <v>0</v>
      </c>
      <c r="M72" s="48" t="n">
        <f aca="false">IF(cu_P=1,SUMIFS(Calculo!$F$41:$ES$41,Calculo!$F$14:$ES$14,9),SUMIFS(Calculo!$F$197:$ES$197,Calculo!$F$170:$ES$170,9))</f>
        <v>0</v>
      </c>
      <c r="N72" s="48" t="n">
        <f aca="false">IF(cu_P=1,SUMIFS(Calculo!$F$41:$ES$41,Calculo!$F$14:$ES$14,10),SUMIFS(Calculo!$F$197:$ES$197,Calculo!$F$170:$ES$170,10))</f>
        <v>0</v>
      </c>
      <c r="O72" s="54" t="n">
        <f aca="false">SUM(D72:N72)</f>
        <v>0</v>
      </c>
    </row>
    <row r="73" customFormat="false" ht="15" hidden="true" customHeight="false" outlineLevel="1" collapsed="false">
      <c r="A73" s="11" t="s">
        <v>2150</v>
      </c>
      <c r="B73" s="53" t="str">
        <f aca="false">IF(INDEX(Prod_Nombre,22)="","Producto 22",INDEX(Prod_Nombre,22))</f>
        <v>Producto 22</v>
      </c>
      <c r="C73" s="11" t="s">
        <v>508</v>
      </c>
      <c r="D73" s="48" t="n">
        <f aca="false">IF(cu_P=1,SUMIFS(Calculo!$F$42:$ES$42,Calculo!$F$16:$ES$16,1)*N(INDEX(MP_O,22))*INDEX(IdxMP_O,1,1)*(1+P_dMat)/(1-P_Merma),SUMIFS(Calculo!$F$198:$ES$198,Calculo!$F$172:$ES$172,1)*N(INDEX(MP_V,22))*INDEX(IdxMP_V,1,1)*(1+V_dMat)/(1-V_Merma))</f>
        <v>0</v>
      </c>
      <c r="E73" s="48" t="n">
        <f aca="false">IF(cu_P=1,SUMIFS(Calculo!$F$42:$ES$42,Calculo!$F$14:$ES$14,1)*N(INDEX(MP_O,22))*INDEX(IdxMP_O,1,1)*(1+P_dMat)/(1-P_Merma),SUMIFS(Calculo!$F$198:$ES$198,Calculo!$F$170:$ES$170,1)*N(INDEX(MP_V,22))*INDEX(IdxMP_V,1,1)*(1+V_dMat)/(1-V_Merma))</f>
        <v>0</v>
      </c>
      <c r="F73" s="48" t="n">
        <f aca="false">IF(cu_P=1,SUMIFS(Calculo!$F$42:$ES$42,Calculo!$F$14:$ES$14,2)*N(INDEX(MP_O,22))*INDEX(IdxMP_O,1,2)*(1+P_dMat)/(1-P_Merma),SUMIFS(Calculo!$F$198:$ES$198,Calculo!$F$170:$ES$170,2)*N(INDEX(MP_V,22))*INDEX(IdxMP_V,1,2)*(1+V_dMat)/(1-V_Merma))</f>
        <v>0</v>
      </c>
      <c r="G73" s="48" t="n">
        <f aca="false">IF(cu_P=1,SUMIFS(Calculo!$F$42:$ES$42,Calculo!$F$14:$ES$14,3)*N(INDEX(MP_O,22))*INDEX(IdxMP_O,1,3)*(1+P_dMat)/(1-P_Merma),SUMIFS(Calculo!$F$198:$ES$198,Calculo!$F$170:$ES$170,3)*N(INDEX(MP_V,22))*INDEX(IdxMP_V,1,3)*(1+V_dMat)/(1-V_Merma))</f>
        <v>0</v>
      </c>
      <c r="H73" s="48" t="n">
        <f aca="false">IF(cu_P=1,SUMIFS(Calculo!$F$42:$ES$42,Calculo!$F$14:$ES$14,4)*N(INDEX(MP_O,22))*INDEX(IdxMP_O,1,4)*(1+P_dMat)/(1-P_Merma),SUMIFS(Calculo!$F$198:$ES$198,Calculo!$F$170:$ES$170,4)*N(INDEX(MP_V,22))*INDEX(IdxMP_V,1,4)*(1+V_dMat)/(1-V_Merma))</f>
        <v>0</v>
      </c>
      <c r="I73" s="48" t="n">
        <f aca="false">IF(cu_P=1,SUMIFS(Calculo!$F$42:$ES$42,Calculo!$F$14:$ES$14,5)*N(INDEX(MP_O,22))*INDEX(IdxMP_O,1,5)*(1+P_dMat)/(1-P_Merma),SUMIFS(Calculo!$F$198:$ES$198,Calculo!$F$170:$ES$170,5)*N(INDEX(MP_V,22))*INDEX(IdxMP_V,1,5)*(1+V_dMat)/(1-V_Merma))</f>
        <v>0</v>
      </c>
      <c r="J73" s="48" t="n">
        <f aca="false">IF(cu_P=1,SUMIFS(Calculo!$F$42:$ES$42,Calculo!$F$14:$ES$14,6)*N(INDEX(MP_O,22))*INDEX(IdxMP_O,1,6)*(1+P_dMat)/(1-P_Merma),SUMIFS(Calculo!$F$198:$ES$198,Calculo!$F$170:$ES$170,6)*N(INDEX(MP_V,22))*INDEX(IdxMP_V,1,6)*(1+V_dMat)/(1-V_Merma))</f>
        <v>0</v>
      </c>
      <c r="K73" s="48" t="n">
        <f aca="false">IF(cu_P=1,SUMIFS(Calculo!$F$42:$ES$42,Calculo!$F$14:$ES$14,7)*N(INDEX(MP_O,22))*INDEX(IdxMP_O,1,7)*(1+P_dMat)/(1-P_Merma),SUMIFS(Calculo!$F$198:$ES$198,Calculo!$F$170:$ES$170,7)*N(INDEX(MP_V,22))*INDEX(IdxMP_V,1,7)*(1+V_dMat)/(1-V_Merma))</f>
        <v>0</v>
      </c>
      <c r="L73" s="48" t="n">
        <f aca="false">IF(cu_P=1,SUMIFS(Calculo!$F$42:$ES$42,Calculo!$F$14:$ES$14,8)*N(INDEX(MP_O,22))*INDEX(IdxMP_O,1,8)*(1+P_dMat)/(1-P_Merma),SUMIFS(Calculo!$F$198:$ES$198,Calculo!$F$170:$ES$170,8)*N(INDEX(MP_V,22))*INDEX(IdxMP_V,1,8)*(1+V_dMat)/(1-V_Merma))</f>
        <v>0</v>
      </c>
      <c r="M73" s="48" t="n">
        <f aca="false">IF(cu_P=1,SUMIFS(Calculo!$F$42:$ES$42,Calculo!$F$14:$ES$14,9)*N(INDEX(MP_O,22))*INDEX(IdxMP_O,1,9)*(1+P_dMat)/(1-P_Merma),SUMIFS(Calculo!$F$198:$ES$198,Calculo!$F$170:$ES$170,9)*N(INDEX(MP_V,22))*INDEX(IdxMP_V,1,9)*(1+V_dMat)/(1-V_Merma))</f>
        <v>0</v>
      </c>
      <c r="N73" s="48" t="n">
        <f aca="false">IF(cu_P=1,SUMIFS(Calculo!$F$42:$ES$42,Calculo!$F$14:$ES$14,10)*N(INDEX(MP_O,22))*INDEX(IdxMP_O,1,10)*(1+P_dMat)/(1-P_Merma),SUMIFS(Calculo!$F$198:$ES$198,Calculo!$F$170:$ES$170,10)*N(INDEX(MP_V,22))*INDEX(IdxMP_V,1,10)*(1+V_dMat)/(1-V_Merma))</f>
        <v>0</v>
      </c>
      <c r="O73" s="54" t="n">
        <f aca="false">SUM(D73:N73)</f>
        <v>0</v>
      </c>
    </row>
    <row r="74" customFormat="false" ht="15" hidden="true" customHeight="false" outlineLevel="1" collapsed="false">
      <c r="A74" s="11" t="s">
        <v>2151</v>
      </c>
      <c r="B74" s="15" t="s">
        <v>2087</v>
      </c>
      <c r="C74" s="11" t="s">
        <v>748</v>
      </c>
      <c r="E74" s="50" t="str">
        <f aca="false">IFERROR(IF(OR(NOT(ISNUMBER(E73)),N(E75)=0),"",E73/E75),"")</f>
        <v/>
      </c>
      <c r="F74" s="50" t="str">
        <f aca="false">IFERROR(IF(OR(NOT(ISNUMBER(F73)),N(F75)=0),"",F73/F75),"")</f>
        <v/>
      </c>
      <c r="G74" s="50" t="str">
        <f aca="false">IFERROR(IF(OR(NOT(ISNUMBER(G73)),N(G75)=0),"",G73/G75),"")</f>
        <v/>
      </c>
      <c r="H74" s="50" t="str">
        <f aca="false">IFERROR(IF(OR(NOT(ISNUMBER(H73)),N(H75)=0),"",H73/H75),"")</f>
        <v/>
      </c>
      <c r="I74" s="50" t="str">
        <f aca="false">IFERROR(IF(OR(NOT(ISNUMBER(I73)),N(I75)=0),"",I73/I75),"")</f>
        <v/>
      </c>
      <c r="J74" s="50" t="str">
        <f aca="false">IFERROR(IF(OR(NOT(ISNUMBER(J73)),N(J75)=0),"",J73/J75),"")</f>
        <v/>
      </c>
      <c r="K74" s="50" t="str">
        <f aca="false">IFERROR(IF(OR(NOT(ISNUMBER(K73)),N(K75)=0),"",K73/K75),"")</f>
        <v/>
      </c>
      <c r="L74" s="50" t="str">
        <f aca="false">IFERROR(IF(OR(NOT(ISNUMBER(L73)),N(L75)=0),"",L73/L75),"")</f>
        <v/>
      </c>
      <c r="M74" s="50" t="str">
        <f aca="false">IFERROR(IF(OR(NOT(ISNUMBER(M73)),N(M75)=0),"",M73/M75),"")</f>
        <v/>
      </c>
      <c r="N74" s="50" t="str">
        <f aca="false">IFERROR(IF(OR(NOT(ISNUMBER(N73)),N(N75)=0),"",N73/N75),"")</f>
        <v/>
      </c>
      <c r="O74" s="68" t="str">
        <f aca="false">IFERROR(IF(OR(NOT(ISNUMBER(O73)),N(O75)=0),"",O73/O75),"")</f>
        <v/>
      </c>
    </row>
    <row r="75" customFormat="false" ht="15" hidden="true" customHeight="false" outlineLevel="1" collapsed="false">
      <c r="A75" s="11" t="s">
        <v>2152</v>
      </c>
      <c r="B75" s="15" t="s">
        <v>2089</v>
      </c>
      <c r="C75" s="11" t="s">
        <v>544</v>
      </c>
      <c r="D75" s="48" t="n">
        <f aca="false">IF(cu_P=1,SUMIFS(Calculo!$F$42:$ES$42,Calculo!$F$16:$ES$16,1),SUMIFS(Calculo!$F$198:$ES$198,Calculo!$F$172:$ES$172,1))</f>
        <v>0</v>
      </c>
      <c r="E75" s="48" t="n">
        <f aca="false">IF(cu_P=1,SUMIFS(Calculo!$F$42:$ES$42,Calculo!$F$14:$ES$14,1),SUMIFS(Calculo!$F$198:$ES$198,Calculo!$F$170:$ES$170,1))</f>
        <v>0</v>
      </c>
      <c r="F75" s="48" t="n">
        <f aca="false">IF(cu_P=1,SUMIFS(Calculo!$F$42:$ES$42,Calculo!$F$14:$ES$14,2),SUMIFS(Calculo!$F$198:$ES$198,Calculo!$F$170:$ES$170,2))</f>
        <v>0</v>
      </c>
      <c r="G75" s="48" t="n">
        <f aca="false">IF(cu_P=1,SUMIFS(Calculo!$F$42:$ES$42,Calculo!$F$14:$ES$14,3),SUMIFS(Calculo!$F$198:$ES$198,Calculo!$F$170:$ES$170,3))</f>
        <v>0</v>
      </c>
      <c r="H75" s="48" t="n">
        <f aca="false">IF(cu_P=1,SUMIFS(Calculo!$F$42:$ES$42,Calculo!$F$14:$ES$14,4),SUMIFS(Calculo!$F$198:$ES$198,Calculo!$F$170:$ES$170,4))</f>
        <v>0</v>
      </c>
      <c r="I75" s="48" t="n">
        <f aca="false">IF(cu_P=1,SUMIFS(Calculo!$F$42:$ES$42,Calculo!$F$14:$ES$14,5),SUMIFS(Calculo!$F$198:$ES$198,Calculo!$F$170:$ES$170,5))</f>
        <v>0</v>
      </c>
      <c r="J75" s="48" t="n">
        <f aca="false">IF(cu_P=1,SUMIFS(Calculo!$F$42:$ES$42,Calculo!$F$14:$ES$14,6),SUMIFS(Calculo!$F$198:$ES$198,Calculo!$F$170:$ES$170,6))</f>
        <v>0</v>
      </c>
      <c r="K75" s="48" t="n">
        <f aca="false">IF(cu_P=1,SUMIFS(Calculo!$F$42:$ES$42,Calculo!$F$14:$ES$14,7),SUMIFS(Calculo!$F$198:$ES$198,Calculo!$F$170:$ES$170,7))</f>
        <v>0</v>
      </c>
      <c r="L75" s="48" t="n">
        <f aca="false">IF(cu_P=1,SUMIFS(Calculo!$F$42:$ES$42,Calculo!$F$14:$ES$14,8),SUMIFS(Calculo!$F$198:$ES$198,Calculo!$F$170:$ES$170,8))</f>
        <v>0</v>
      </c>
      <c r="M75" s="48" t="n">
        <f aca="false">IF(cu_P=1,SUMIFS(Calculo!$F$42:$ES$42,Calculo!$F$14:$ES$14,9),SUMIFS(Calculo!$F$198:$ES$198,Calculo!$F$170:$ES$170,9))</f>
        <v>0</v>
      </c>
      <c r="N75" s="48" t="n">
        <f aca="false">IF(cu_P=1,SUMIFS(Calculo!$F$42:$ES$42,Calculo!$F$14:$ES$14,10),SUMIFS(Calculo!$F$198:$ES$198,Calculo!$F$170:$ES$170,10))</f>
        <v>0</v>
      </c>
      <c r="O75" s="54" t="n">
        <f aca="false">SUM(D75:N75)</f>
        <v>0</v>
      </c>
    </row>
    <row r="76" customFormat="false" ht="15" hidden="true" customHeight="false" outlineLevel="1" collapsed="false">
      <c r="A76" s="11" t="s">
        <v>2153</v>
      </c>
      <c r="B76" s="53" t="str">
        <f aca="false">IF(INDEX(Prod_Nombre,23)="","Producto 23",INDEX(Prod_Nombre,23))</f>
        <v>Producto 23</v>
      </c>
      <c r="C76" s="11" t="s">
        <v>508</v>
      </c>
      <c r="D76" s="48" t="n">
        <f aca="false">IF(cu_P=1,SUMIFS(Calculo!$F$43:$ES$43,Calculo!$F$16:$ES$16,1)*N(INDEX(MP_O,23))*INDEX(IdxMP_O,1,1)*(1+P_dMat)/(1-P_Merma),SUMIFS(Calculo!$F$199:$ES$199,Calculo!$F$172:$ES$172,1)*N(INDEX(MP_V,23))*INDEX(IdxMP_V,1,1)*(1+V_dMat)/(1-V_Merma))</f>
        <v>0</v>
      </c>
      <c r="E76" s="48" t="n">
        <f aca="false">IF(cu_P=1,SUMIFS(Calculo!$F$43:$ES$43,Calculo!$F$14:$ES$14,1)*N(INDEX(MP_O,23))*INDEX(IdxMP_O,1,1)*(1+P_dMat)/(1-P_Merma),SUMIFS(Calculo!$F$199:$ES$199,Calculo!$F$170:$ES$170,1)*N(INDEX(MP_V,23))*INDEX(IdxMP_V,1,1)*(1+V_dMat)/(1-V_Merma))</f>
        <v>0</v>
      </c>
      <c r="F76" s="48" t="n">
        <f aca="false">IF(cu_P=1,SUMIFS(Calculo!$F$43:$ES$43,Calculo!$F$14:$ES$14,2)*N(INDEX(MP_O,23))*INDEX(IdxMP_O,1,2)*(1+P_dMat)/(1-P_Merma),SUMIFS(Calculo!$F$199:$ES$199,Calculo!$F$170:$ES$170,2)*N(INDEX(MP_V,23))*INDEX(IdxMP_V,1,2)*(1+V_dMat)/(1-V_Merma))</f>
        <v>0</v>
      </c>
      <c r="G76" s="48" t="n">
        <f aca="false">IF(cu_P=1,SUMIFS(Calculo!$F$43:$ES$43,Calculo!$F$14:$ES$14,3)*N(INDEX(MP_O,23))*INDEX(IdxMP_O,1,3)*(1+P_dMat)/(1-P_Merma),SUMIFS(Calculo!$F$199:$ES$199,Calculo!$F$170:$ES$170,3)*N(INDEX(MP_V,23))*INDEX(IdxMP_V,1,3)*(1+V_dMat)/(1-V_Merma))</f>
        <v>0</v>
      </c>
      <c r="H76" s="48" t="n">
        <f aca="false">IF(cu_P=1,SUMIFS(Calculo!$F$43:$ES$43,Calculo!$F$14:$ES$14,4)*N(INDEX(MP_O,23))*INDEX(IdxMP_O,1,4)*(1+P_dMat)/(1-P_Merma),SUMIFS(Calculo!$F$199:$ES$199,Calculo!$F$170:$ES$170,4)*N(INDEX(MP_V,23))*INDEX(IdxMP_V,1,4)*(1+V_dMat)/(1-V_Merma))</f>
        <v>0</v>
      </c>
      <c r="I76" s="48" t="n">
        <f aca="false">IF(cu_P=1,SUMIFS(Calculo!$F$43:$ES$43,Calculo!$F$14:$ES$14,5)*N(INDEX(MP_O,23))*INDEX(IdxMP_O,1,5)*(1+P_dMat)/(1-P_Merma),SUMIFS(Calculo!$F$199:$ES$199,Calculo!$F$170:$ES$170,5)*N(INDEX(MP_V,23))*INDEX(IdxMP_V,1,5)*(1+V_dMat)/(1-V_Merma))</f>
        <v>0</v>
      </c>
      <c r="J76" s="48" t="n">
        <f aca="false">IF(cu_P=1,SUMIFS(Calculo!$F$43:$ES$43,Calculo!$F$14:$ES$14,6)*N(INDEX(MP_O,23))*INDEX(IdxMP_O,1,6)*(1+P_dMat)/(1-P_Merma),SUMIFS(Calculo!$F$199:$ES$199,Calculo!$F$170:$ES$170,6)*N(INDEX(MP_V,23))*INDEX(IdxMP_V,1,6)*(1+V_dMat)/(1-V_Merma))</f>
        <v>0</v>
      </c>
      <c r="K76" s="48" t="n">
        <f aca="false">IF(cu_P=1,SUMIFS(Calculo!$F$43:$ES$43,Calculo!$F$14:$ES$14,7)*N(INDEX(MP_O,23))*INDEX(IdxMP_O,1,7)*(1+P_dMat)/(1-P_Merma),SUMIFS(Calculo!$F$199:$ES$199,Calculo!$F$170:$ES$170,7)*N(INDEX(MP_V,23))*INDEX(IdxMP_V,1,7)*(1+V_dMat)/(1-V_Merma))</f>
        <v>0</v>
      </c>
      <c r="L76" s="48" t="n">
        <f aca="false">IF(cu_P=1,SUMIFS(Calculo!$F$43:$ES$43,Calculo!$F$14:$ES$14,8)*N(INDEX(MP_O,23))*INDEX(IdxMP_O,1,8)*(1+P_dMat)/(1-P_Merma),SUMIFS(Calculo!$F$199:$ES$199,Calculo!$F$170:$ES$170,8)*N(INDEX(MP_V,23))*INDEX(IdxMP_V,1,8)*(1+V_dMat)/(1-V_Merma))</f>
        <v>0</v>
      </c>
      <c r="M76" s="48" t="n">
        <f aca="false">IF(cu_P=1,SUMIFS(Calculo!$F$43:$ES$43,Calculo!$F$14:$ES$14,9)*N(INDEX(MP_O,23))*INDEX(IdxMP_O,1,9)*(1+P_dMat)/(1-P_Merma),SUMIFS(Calculo!$F$199:$ES$199,Calculo!$F$170:$ES$170,9)*N(INDEX(MP_V,23))*INDEX(IdxMP_V,1,9)*(1+V_dMat)/(1-V_Merma))</f>
        <v>0</v>
      </c>
      <c r="N76" s="48" t="n">
        <f aca="false">IF(cu_P=1,SUMIFS(Calculo!$F$43:$ES$43,Calculo!$F$14:$ES$14,10)*N(INDEX(MP_O,23))*INDEX(IdxMP_O,1,10)*(1+P_dMat)/(1-P_Merma),SUMIFS(Calculo!$F$199:$ES$199,Calculo!$F$170:$ES$170,10)*N(INDEX(MP_V,23))*INDEX(IdxMP_V,1,10)*(1+V_dMat)/(1-V_Merma))</f>
        <v>0</v>
      </c>
      <c r="O76" s="54" t="n">
        <f aca="false">SUM(D76:N76)</f>
        <v>0</v>
      </c>
    </row>
    <row r="77" customFormat="false" ht="15" hidden="true" customHeight="false" outlineLevel="1" collapsed="false">
      <c r="A77" s="11" t="s">
        <v>2154</v>
      </c>
      <c r="B77" s="15" t="s">
        <v>2087</v>
      </c>
      <c r="C77" s="11" t="s">
        <v>748</v>
      </c>
      <c r="E77" s="50" t="str">
        <f aca="false">IFERROR(IF(OR(NOT(ISNUMBER(E76)),N(E78)=0),"",E76/E78),"")</f>
        <v/>
      </c>
      <c r="F77" s="50" t="str">
        <f aca="false">IFERROR(IF(OR(NOT(ISNUMBER(F76)),N(F78)=0),"",F76/F78),"")</f>
        <v/>
      </c>
      <c r="G77" s="50" t="str">
        <f aca="false">IFERROR(IF(OR(NOT(ISNUMBER(G76)),N(G78)=0),"",G76/G78),"")</f>
        <v/>
      </c>
      <c r="H77" s="50" t="str">
        <f aca="false">IFERROR(IF(OR(NOT(ISNUMBER(H76)),N(H78)=0),"",H76/H78),"")</f>
        <v/>
      </c>
      <c r="I77" s="50" t="str">
        <f aca="false">IFERROR(IF(OR(NOT(ISNUMBER(I76)),N(I78)=0),"",I76/I78),"")</f>
        <v/>
      </c>
      <c r="J77" s="50" t="str">
        <f aca="false">IFERROR(IF(OR(NOT(ISNUMBER(J76)),N(J78)=0),"",J76/J78),"")</f>
        <v/>
      </c>
      <c r="K77" s="50" t="str">
        <f aca="false">IFERROR(IF(OR(NOT(ISNUMBER(K76)),N(K78)=0),"",K76/K78),"")</f>
        <v/>
      </c>
      <c r="L77" s="50" t="str">
        <f aca="false">IFERROR(IF(OR(NOT(ISNUMBER(L76)),N(L78)=0),"",L76/L78),"")</f>
        <v/>
      </c>
      <c r="M77" s="50" t="str">
        <f aca="false">IFERROR(IF(OR(NOT(ISNUMBER(M76)),N(M78)=0),"",M76/M78),"")</f>
        <v/>
      </c>
      <c r="N77" s="50" t="str">
        <f aca="false">IFERROR(IF(OR(NOT(ISNUMBER(N76)),N(N78)=0),"",N76/N78),"")</f>
        <v/>
      </c>
      <c r="O77" s="68" t="str">
        <f aca="false">IFERROR(IF(OR(NOT(ISNUMBER(O76)),N(O78)=0),"",O76/O78),"")</f>
        <v/>
      </c>
    </row>
    <row r="78" customFormat="false" ht="15" hidden="true" customHeight="false" outlineLevel="1" collapsed="false">
      <c r="A78" s="11" t="s">
        <v>2155</v>
      </c>
      <c r="B78" s="15" t="s">
        <v>2089</v>
      </c>
      <c r="C78" s="11" t="s">
        <v>544</v>
      </c>
      <c r="D78" s="48" t="n">
        <f aca="false">IF(cu_P=1,SUMIFS(Calculo!$F$43:$ES$43,Calculo!$F$16:$ES$16,1),SUMIFS(Calculo!$F$199:$ES$199,Calculo!$F$172:$ES$172,1))</f>
        <v>0</v>
      </c>
      <c r="E78" s="48" t="n">
        <f aca="false">IF(cu_P=1,SUMIFS(Calculo!$F$43:$ES$43,Calculo!$F$14:$ES$14,1),SUMIFS(Calculo!$F$199:$ES$199,Calculo!$F$170:$ES$170,1))</f>
        <v>0</v>
      </c>
      <c r="F78" s="48" t="n">
        <f aca="false">IF(cu_P=1,SUMIFS(Calculo!$F$43:$ES$43,Calculo!$F$14:$ES$14,2),SUMIFS(Calculo!$F$199:$ES$199,Calculo!$F$170:$ES$170,2))</f>
        <v>0</v>
      </c>
      <c r="G78" s="48" t="n">
        <f aca="false">IF(cu_P=1,SUMIFS(Calculo!$F$43:$ES$43,Calculo!$F$14:$ES$14,3),SUMIFS(Calculo!$F$199:$ES$199,Calculo!$F$170:$ES$170,3))</f>
        <v>0</v>
      </c>
      <c r="H78" s="48" t="n">
        <f aca="false">IF(cu_P=1,SUMIFS(Calculo!$F$43:$ES$43,Calculo!$F$14:$ES$14,4),SUMIFS(Calculo!$F$199:$ES$199,Calculo!$F$170:$ES$170,4))</f>
        <v>0</v>
      </c>
      <c r="I78" s="48" t="n">
        <f aca="false">IF(cu_P=1,SUMIFS(Calculo!$F$43:$ES$43,Calculo!$F$14:$ES$14,5),SUMIFS(Calculo!$F$199:$ES$199,Calculo!$F$170:$ES$170,5))</f>
        <v>0</v>
      </c>
      <c r="J78" s="48" t="n">
        <f aca="false">IF(cu_P=1,SUMIFS(Calculo!$F$43:$ES$43,Calculo!$F$14:$ES$14,6),SUMIFS(Calculo!$F$199:$ES$199,Calculo!$F$170:$ES$170,6))</f>
        <v>0</v>
      </c>
      <c r="K78" s="48" t="n">
        <f aca="false">IF(cu_P=1,SUMIFS(Calculo!$F$43:$ES$43,Calculo!$F$14:$ES$14,7),SUMIFS(Calculo!$F$199:$ES$199,Calculo!$F$170:$ES$170,7))</f>
        <v>0</v>
      </c>
      <c r="L78" s="48" t="n">
        <f aca="false">IF(cu_P=1,SUMIFS(Calculo!$F$43:$ES$43,Calculo!$F$14:$ES$14,8),SUMIFS(Calculo!$F$199:$ES$199,Calculo!$F$170:$ES$170,8))</f>
        <v>0</v>
      </c>
      <c r="M78" s="48" t="n">
        <f aca="false">IF(cu_P=1,SUMIFS(Calculo!$F$43:$ES$43,Calculo!$F$14:$ES$14,9),SUMIFS(Calculo!$F$199:$ES$199,Calculo!$F$170:$ES$170,9))</f>
        <v>0</v>
      </c>
      <c r="N78" s="48" t="n">
        <f aca="false">IF(cu_P=1,SUMIFS(Calculo!$F$43:$ES$43,Calculo!$F$14:$ES$14,10),SUMIFS(Calculo!$F$199:$ES$199,Calculo!$F$170:$ES$170,10))</f>
        <v>0</v>
      </c>
      <c r="O78" s="54" t="n">
        <f aca="false">SUM(D78:N78)</f>
        <v>0</v>
      </c>
    </row>
    <row r="79" customFormat="false" ht="15" hidden="true" customHeight="false" outlineLevel="1" collapsed="false">
      <c r="A79" s="11" t="s">
        <v>2156</v>
      </c>
      <c r="B79" s="53" t="str">
        <f aca="false">IF(INDEX(Prod_Nombre,24)="","Producto 24",INDEX(Prod_Nombre,24))</f>
        <v>Producto 24</v>
      </c>
      <c r="C79" s="11" t="s">
        <v>508</v>
      </c>
      <c r="D79" s="48" t="n">
        <f aca="false">IF(cu_P=1,SUMIFS(Calculo!$F$44:$ES$44,Calculo!$F$16:$ES$16,1)*N(INDEX(MP_O,24))*INDEX(IdxMP_O,1,1)*(1+P_dMat)/(1-P_Merma),SUMIFS(Calculo!$F$200:$ES$200,Calculo!$F$172:$ES$172,1)*N(INDEX(MP_V,24))*INDEX(IdxMP_V,1,1)*(1+V_dMat)/(1-V_Merma))</f>
        <v>0</v>
      </c>
      <c r="E79" s="48" t="n">
        <f aca="false">IF(cu_P=1,SUMIFS(Calculo!$F$44:$ES$44,Calculo!$F$14:$ES$14,1)*N(INDEX(MP_O,24))*INDEX(IdxMP_O,1,1)*(1+P_dMat)/(1-P_Merma),SUMIFS(Calculo!$F$200:$ES$200,Calculo!$F$170:$ES$170,1)*N(INDEX(MP_V,24))*INDEX(IdxMP_V,1,1)*(1+V_dMat)/(1-V_Merma))</f>
        <v>0</v>
      </c>
      <c r="F79" s="48" t="n">
        <f aca="false">IF(cu_P=1,SUMIFS(Calculo!$F$44:$ES$44,Calculo!$F$14:$ES$14,2)*N(INDEX(MP_O,24))*INDEX(IdxMP_O,1,2)*(1+P_dMat)/(1-P_Merma),SUMIFS(Calculo!$F$200:$ES$200,Calculo!$F$170:$ES$170,2)*N(INDEX(MP_V,24))*INDEX(IdxMP_V,1,2)*(1+V_dMat)/(1-V_Merma))</f>
        <v>0</v>
      </c>
      <c r="G79" s="48" t="n">
        <f aca="false">IF(cu_P=1,SUMIFS(Calculo!$F$44:$ES$44,Calculo!$F$14:$ES$14,3)*N(INDEX(MP_O,24))*INDEX(IdxMP_O,1,3)*(1+P_dMat)/(1-P_Merma),SUMIFS(Calculo!$F$200:$ES$200,Calculo!$F$170:$ES$170,3)*N(INDEX(MP_V,24))*INDEX(IdxMP_V,1,3)*(1+V_dMat)/(1-V_Merma))</f>
        <v>0</v>
      </c>
      <c r="H79" s="48" t="n">
        <f aca="false">IF(cu_P=1,SUMIFS(Calculo!$F$44:$ES$44,Calculo!$F$14:$ES$14,4)*N(INDEX(MP_O,24))*INDEX(IdxMP_O,1,4)*(1+P_dMat)/(1-P_Merma),SUMIFS(Calculo!$F$200:$ES$200,Calculo!$F$170:$ES$170,4)*N(INDEX(MP_V,24))*INDEX(IdxMP_V,1,4)*(1+V_dMat)/(1-V_Merma))</f>
        <v>0</v>
      </c>
      <c r="I79" s="48" t="n">
        <f aca="false">IF(cu_P=1,SUMIFS(Calculo!$F$44:$ES$44,Calculo!$F$14:$ES$14,5)*N(INDEX(MP_O,24))*INDEX(IdxMP_O,1,5)*(1+P_dMat)/(1-P_Merma),SUMIFS(Calculo!$F$200:$ES$200,Calculo!$F$170:$ES$170,5)*N(INDEX(MP_V,24))*INDEX(IdxMP_V,1,5)*(1+V_dMat)/(1-V_Merma))</f>
        <v>0</v>
      </c>
      <c r="J79" s="48" t="n">
        <f aca="false">IF(cu_P=1,SUMIFS(Calculo!$F$44:$ES$44,Calculo!$F$14:$ES$14,6)*N(INDEX(MP_O,24))*INDEX(IdxMP_O,1,6)*(1+P_dMat)/(1-P_Merma),SUMIFS(Calculo!$F$200:$ES$200,Calculo!$F$170:$ES$170,6)*N(INDEX(MP_V,24))*INDEX(IdxMP_V,1,6)*(1+V_dMat)/(1-V_Merma))</f>
        <v>0</v>
      </c>
      <c r="K79" s="48" t="n">
        <f aca="false">IF(cu_P=1,SUMIFS(Calculo!$F$44:$ES$44,Calculo!$F$14:$ES$14,7)*N(INDEX(MP_O,24))*INDEX(IdxMP_O,1,7)*(1+P_dMat)/(1-P_Merma),SUMIFS(Calculo!$F$200:$ES$200,Calculo!$F$170:$ES$170,7)*N(INDEX(MP_V,24))*INDEX(IdxMP_V,1,7)*(1+V_dMat)/(1-V_Merma))</f>
        <v>0</v>
      </c>
      <c r="L79" s="48" t="n">
        <f aca="false">IF(cu_P=1,SUMIFS(Calculo!$F$44:$ES$44,Calculo!$F$14:$ES$14,8)*N(INDEX(MP_O,24))*INDEX(IdxMP_O,1,8)*(1+P_dMat)/(1-P_Merma),SUMIFS(Calculo!$F$200:$ES$200,Calculo!$F$170:$ES$170,8)*N(INDEX(MP_V,24))*INDEX(IdxMP_V,1,8)*(1+V_dMat)/(1-V_Merma))</f>
        <v>0</v>
      </c>
      <c r="M79" s="48" t="n">
        <f aca="false">IF(cu_P=1,SUMIFS(Calculo!$F$44:$ES$44,Calculo!$F$14:$ES$14,9)*N(INDEX(MP_O,24))*INDEX(IdxMP_O,1,9)*(1+P_dMat)/(1-P_Merma),SUMIFS(Calculo!$F$200:$ES$200,Calculo!$F$170:$ES$170,9)*N(INDEX(MP_V,24))*INDEX(IdxMP_V,1,9)*(1+V_dMat)/(1-V_Merma))</f>
        <v>0</v>
      </c>
      <c r="N79" s="48" t="n">
        <f aca="false">IF(cu_P=1,SUMIFS(Calculo!$F$44:$ES$44,Calculo!$F$14:$ES$14,10)*N(INDEX(MP_O,24))*INDEX(IdxMP_O,1,10)*(1+P_dMat)/(1-P_Merma),SUMIFS(Calculo!$F$200:$ES$200,Calculo!$F$170:$ES$170,10)*N(INDEX(MP_V,24))*INDEX(IdxMP_V,1,10)*(1+V_dMat)/(1-V_Merma))</f>
        <v>0</v>
      </c>
      <c r="O79" s="54" t="n">
        <f aca="false">SUM(D79:N79)</f>
        <v>0</v>
      </c>
    </row>
    <row r="80" customFormat="false" ht="15" hidden="true" customHeight="false" outlineLevel="1" collapsed="false">
      <c r="A80" s="11" t="s">
        <v>2157</v>
      </c>
      <c r="B80" s="15" t="s">
        <v>2087</v>
      </c>
      <c r="C80" s="11" t="s">
        <v>748</v>
      </c>
      <c r="E80" s="50" t="str">
        <f aca="false">IFERROR(IF(OR(NOT(ISNUMBER(E79)),N(E81)=0),"",E79/E81),"")</f>
        <v/>
      </c>
      <c r="F80" s="50" t="str">
        <f aca="false">IFERROR(IF(OR(NOT(ISNUMBER(F79)),N(F81)=0),"",F79/F81),"")</f>
        <v/>
      </c>
      <c r="G80" s="50" t="str">
        <f aca="false">IFERROR(IF(OR(NOT(ISNUMBER(G79)),N(G81)=0),"",G79/G81),"")</f>
        <v/>
      </c>
      <c r="H80" s="50" t="str">
        <f aca="false">IFERROR(IF(OR(NOT(ISNUMBER(H79)),N(H81)=0),"",H79/H81),"")</f>
        <v/>
      </c>
      <c r="I80" s="50" t="str">
        <f aca="false">IFERROR(IF(OR(NOT(ISNUMBER(I79)),N(I81)=0),"",I79/I81),"")</f>
        <v/>
      </c>
      <c r="J80" s="50" t="str">
        <f aca="false">IFERROR(IF(OR(NOT(ISNUMBER(J79)),N(J81)=0),"",J79/J81),"")</f>
        <v/>
      </c>
      <c r="K80" s="50" t="str">
        <f aca="false">IFERROR(IF(OR(NOT(ISNUMBER(K79)),N(K81)=0),"",K79/K81),"")</f>
        <v/>
      </c>
      <c r="L80" s="50" t="str">
        <f aca="false">IFERROR(IF(OR(NOT(ISNUMBER(L79)),N(L81)=0),"",L79/L81),"")</f>
        <v/>
      </c>
      <c r="M80" s="50" t="str">
        <f aca="false">IFERROR(IF(OR(NOT(ISNUMBER(M79)),N(M81)=0),"",M79/M81),"")</f>
        <v/>
      </c>
      <c r="N80" s="50" t="str">
        <f aca="false">IFERROR(IF(OR(NOT(ISNUMBER(N79)),N(N81)=0),"",N79/N81),"")</f>
        <v/>
      </c>
      <c r="O80" s="68" t="str">
        <f aca="false">IFERROR(IF(OR(NOT(ISNUMBER(O79)),N(O81)=0),"",O79/O81),"")</f>
        <v/>
      </c>
    </row>
    <row r="81" customFormat="false" ht="15" hidden="true" customHeight="false" outlineLevel="1" collapsed="false">
      <c r="A81" s="11" t="s">
        <v>2158</v>
      </c>
      <c r="B81" s="15" t="s">
        <v>2089</v>
      </c>
      <c r="C81" s="11" t="s">
        <v>544</v>
      </c>
      <c r="D81" s="48" t="n">
        <f aca="false">IF(cu_P=1,SUMIFS(Calculo!$F$44:$ES$44,Calculo!$F$16:$ES$16,1),SUMIFS(Calculo!$F$200:$ES$200,Calculo!$F$172:$ES$172,1))</f>
        <v>0</v>
      </c>
      <c r="E81" s="48" t="n">
        <f aca="false">IF(cu_P=1,SUMIFS(Calculo!$F$44:$ES$44,Calculo!$F$14:$ES$14,1),SUMIFS(Calculo!$F$200:$ES$200,Calculo!$F$170:$ES$170,1))</f>
        <v>0</v>
      </c>
      <c r="F81" s="48" t="n">
        <f aca="false">IF(cu_P=1,SUMIFS(Calculo!$F$44:$ES$44,Calculo!$F$14:$ES$14,2),SUMIFS(Calculo!$F$200:$ES$200,Calculo!$F$170:$ES$170,2))</f>
        <v>0</v>
      </c>
      <c r="G81" s="48" t="n">
        <f aca="false">IF(cu_P=1,SUMIFS(Calculo!$F$44:$ES$44,Calculo!$F$14:$ES$14,3),SUMIFS(Calculo!$F$200:$ES$200,Calculo!$F$170:$ES$170,3))</f>
        <v>0</v>
      </c>
      <c r="H81" s="48" t="n">
        <f aca="false">IF(cu_P=1,SUMIFS(Calculo!$F$44:$ES$44,Calculo!$F$14:$ES$14,4),SUMIFS(Calculo!$F$200:$ES$200,Calculo!$F$170:$ES$170,4))</f>
        <v>0</v>
      </c>
      <c r="I81" s="48" t="n">
        <f aca="false">IF(cu_P=1,SUMIFS(Calculo!$F$44:$ES$44,Calculo!$F$14:$ES$14,5),SUMIFS(Calculo!$F$200:$ES$200,Calculo!$F$170:$ES$170,5))</f>
        <v>0</v>
      </c>
      <c r="J81" s="48" t="n">
        <f aca="false">IF(cu_P=1,SUMIFS(Calculo!$F$44:$ES$44,Calculo!$F$14:$ES$14,6),SUMIFS(Calculo!$F$200:$ES$200,Calculo!$F$170:$ES$170,6))</f>
        <v>0</v>
      </c>
      <c r="K81" s="48" t="n">
        <f aca="false">IF(cu_P=1,SUMIFS(Calculo!$F$44:$ES$44,Calculo!$F$14:$ES$14,7),SUMIFS(Calculo!$F$200:$ES$200,Calculo!$F$170:$ES$170,7))</f>
        <v>0</v>
      </c>
      <c r="L81" s="48" t="n">
        <f aca="false">IF(cu_P=1,SUMIFS(Calculo!$F$44:$ES$44,Calculo!$F$14:$ES$14,8),SUMIFS(Calculo!$F$200:$ES$200,Calculo!$F$170:$ES$170,8))</f>
        <v>0</v>
      </c>
      <c r="M81" s="48" t="n">
        <f aca="false">IF(cu_P=1,SUMIFS(Calculo!$F$44:$ES$44,Calculo!$F$14:$ES$14,9),SUMIFS(Calculo!$F$200:$ES$200,Calculo!$F$170:$ES$170,9))</f>
        <v>0</v>
      </c>
      <c r="N81" s="48" t="n">
        <f aca="false">IF(cu_P=1,SUMIFS(Calculo!$F$44:$ES$44,Calculo!$F$14:$ES$14,10),SUMIFS(Calculo!$F$200:$ES$200,Calculo!$F$170:$ES$170,10))</f>
        <v>0</v>
      </c>
      <c r="O81" s="54" t="n">
        <f aca="false">SUM(D81:N81)</f>
        <v>0</v>
      </c>
    </row>
    <row r="82" customFormat="false" ht="15" hidden="true" customHeight="false" outlineLevel="1" collapsed="false">
      <c r="A82" s="11" t="s">
        <v>2159</v>
      </c>
      <c r="B82" s="53" t="str">
        <f aca="false">IF(INDEX(Prod_Nombre,25)="","Producto 25",INDEX(Prod_Nombre,25))</f>
        <v>Producto 25</v>
      </c>
      <c r="C82" s="11" t="s">
        <v>508</v>
      </c>
      <c r="D82" s="48" t="n">
        <f aca="false">IF(cu_P=1,SUMIFS(Calculo!$F$45:$ES$45,Calculo!$F$16:$ES$16,1)*N(INDEX(MP_O,25))*INDEX(IdxMP_O,1,1)*(1+P_dMat)/(1-P_Merma),SUMIFS(Calculo!$F$201:$ES$201,Calculo!$F$172:$ES$172,1)*N(INDEX(MP_V,25))*INDEX(IdxMP_V,1,1)*(1+V_dMat)/(1-V_Merma))</f>
        <v>0</v>
      </c>
      <c r="E82" s="48" t="n">
        <f aca="false">IF(cu_P=1,SUMIFS(Calculo!$F$45:$ES$45,Calculo!$F$14:$ES$14,1)*N(INDEX(MP_O,25))*INDEX(IdxMP_O,1,1)*(1+P_dMat)/(1-P_Merma),SUMIFS(Calculo!$F$201:$ES$201,Calculo!$F$170:$ES$170,1)*N(INDEX(MP_V,25))*INDEX(IdxMP_V,1,1)*(1+V_dMat)/(1-V_Merma))</f>
        <v>0</v>
      </c>
      <c r="F82" s="48" t="n">
        <f aca="false">IF(cu_P=1,SUMIFS(Calculo!$F$45:$ES$45,Calculo!$F$14:$ES$14,2)*N(INDEX(MP_O,25))*INDEX(IdxMP_O,1,2)*(1+P_dMat)/(1-P_Merma),SUMIFS(Calculo!$F$201:$ES$201,Calculo!$F$170:$ES$170,2)*N(INDEX(MP_V,25))*INDEX(IdxMP_V,1,2)*(1+V_dMat)/(1-V_Merma))</f>
        <v>0</v>
      </c>
      <c r="G82" s="48" t="n">
        <f aca="false">IF(cu_P=1,SUMIFS(Calculo!$F$45:$ES$45,Calculo!$F$14:$ES$14,3)*N(INDEX(MP_O,25))*INDEX(IdxMP_O,1,3)*(1+P_dMat)/(1-P_Merma),SUMIFS(Calculo!$F$201:$ES$201,Calculo!$F$170:$ES$170,3)*N(INDEX(MP_V,25))*INDEX(IdxMP_V,1,3)*(1+V_dMat)/(1-V_Merma))</f>
        <v>0</v>
      </c>
      <c r="H82" s="48" t="n">
        <f aca="false">IF(cu_P=1,SUMIFS(Calculo!$F$45:$ES$45,Calculo!$F$14:$ES$14,4)*N(INDEX(MP_O,25))*INDEX(IdxMP_O,1,4)*(1+P_dMat)/(1-P_Merma),SUMIFS(Calculo!$F$201:$ES$201,Calculo!$F$170:$ES$170,4)*N(INDEX(MP_V,25))*INDEX(IdxMP_V,1,4)*(1+V_dMat)/(1-V_Merma))</f>
        <v>0</v>
      </c>
      <c r="I82" s="48" t="n">
        <f aca="false">IF(cu_P=1,SUMIFS(Calculo!$F$45:$ES$45,Calculo!$F$14:$ES$14,5)*N(INDEX(MP_O,25))*INDEX(IdxMP_O,1,5)*(1+P_dMat)/(1-P_Merma),SUMIFS(Calculo!$F$201:$ES$201,Calculo!$F$170:$ES$170,5)*N(INDEX(MP_V,25))*INDEX(IdxMP_V,1,5)*(1+V_dMat)/(1-V_Merma))</f>
        <v>0</v>
      </c>
      <c r="J82" s="48" t="n">
        <f aca="false">IF(cu_P=1,SUMIFS(Calculo!$F$45:$ES$45,Calculo!$F$14:$ES$14,6)*N(INDEX(MP_O,25))*INDEX(IdxMP_O,1,6)*(1+P_dMat)/(1-P_Merma),SUMIFS(Calculo!$F$201:$ES$201,Calculo!$F$170:$ES$170,6)*N(INDEX(MP_V,25))*INDEX(IdxMP_V,1,6)*(1+V_dMat)/(1-V_Merma))</f>
        <v>0</v>
      </c>
      <c r="K82" s="48" t="n">
        <f aca="false">IF(cu_P=1,SUMIFS(Calculo!$F$45:$ES$45,Calculo!$F$14:$ES$14,7)*N(INDEX(MP_O,25))*INDEX(IdxMP_O,1,7)*(1+P_dMat)/(1-P_Merma),SUMIFS(Calculo!$F$201:$ES$201,Calculo!$F$170:$ES$170,7)*N(INDEX(MP_V,25))*INDEX(IdxMP_V,1,7)*(1+V_dMat)/(1-V_Merma))</f>
        <v>0</v>
      </c>
      <c r="L82" s="48" t="n">
        <f aca="false">IF(cu_P=1,SUMIFS(Calculo!$F$45:$ES$45,Calculo!$F$14:$ES$14,8)*N(INDEX(MP_O,25))*INDEX(IdxMP_O,1,8)*(1+P_dMat)/(1-P_Merma),SUMIFS(Calculo!$F$201:$ES$201,Calculo!$F$170:$ES$170,8)*N(INDEX(MP_V,25))*INDEX(IdxMP_V,1,8)*(1+V_dMat)/(1-V_Merma))</f>
        <v>0</v>
      </c>
      <c r="M82" s="48" t="n">
        <f aca="false">IF(cu_P=1,SUMIFS(Calculo!$F$45:$ES$45,Calculo!$F$14:$ES$14,9)*N(INDEX(MP_O,25))*INDEX(IdxMP_O,1,9)*(1+P_dMat)/(1-P_Merma),SUMIFS(Calculo!$F$201:$ES$201,Calculo!$F$170:$ES$170,9)*N(INDEX(MP_V,25))*INDEX(IdxMP_V,1,9)*(1+V_dMat)/(1-V_Merma))</f>
        <v>0</v>
      </c>
      <c r="N82" s="48" t="n">
        <f aca="false">IF(cu_P=1,SUMIFS(Calculo!$F$45:$ES$45,Calculo!$F$14:$ES$14,10)*N(INDEX(MP_O,25))*INDEX(IdxMP_O,1,10)*(1+P_dMat)/(1-P_Merma),SUMIFS(Calculo!$F$201:$ES$201,Calculo!$F$170:$ES$170,10)*N(INDEX(MP_V,25))*INDEX(IdxMP_V,1,10)*(1+V_dMat)/(1-V_Merma))</f>
        <v>0</v>
      </c>
      <c r="O82" s="54" t="n">
        <f aca="false">SUM(D82:N82)</f>
        <v>0</v>
      </c>
    </row>
    <row r="83" customFormat="false" ht="15" hidden="true" customHeight="false" outlineLevel="1" collapsed="false">
      <c r="A83" s="11" t="s">
        <v>2160</v>
      </c>
      <c r="B83" s="15" t="s">
        <v>2087</v>
      </c>
      <c r="C83" s="11" t="s">
        <v>748</v>
      </c>
      <c r="E83" s="50" t="str">
        <f aca="false">IFERROR(IF(OR(NOT(ISNUMBER(E82)),N(E84)=0),"",E82/E84),"")</f>
        <v/>
      </c>
      <c r="F83" s="50" t="str">
        <f aca="false">IFERROR(IF(OR(NOT(ISNUMBER(F82)),N(F84)=0),"",F82/F84),"")</f>
        <v/>
      </c>
      <c r="G83" s="50" t="str">
        <f aca="false">IFERROR(IF(OR(NOT(ISNUMBER(G82)),N(G84)=0),"",G82/G84),"")</f>
        <v/>
      </c>
      <c r="H83" s="50" t="str">
        <f aca="false">IFERROR(IF(OR(NOT(ISNUMBER(H82)),N(H84)=0),"",H82/H84),"")</f>
        <v/>
      </c>
      <c r="I83" s="50" t="str">
        <f aca="false">IFERROR(IF(OR(NOT(ISNUMBER(I82)),N(I84)=0),"",I82/I84),"")</f>
        <v/>
      </c>
      <c r="J83" s="50" t="str">
        <f aca="false">IFERROR(IF(OR(NOT(ISNUMBER(J82)),N(J84)=0),"",J82/J84),"")</f>
        <v/>
      </c>
      <c r="K83" s="50" t="str">
        <f aca="false">IFERROR(IF(OR(NOT(ISNUMBER(K82)),N(K84)=0),"",K82/K84),"")</f>
        <v/>
      </c>
      <c r="L83" s="50" t="str">
        <f aca="false">IFERROR(IF(OR(NOT(ISNUMBER(L82)),N(L84)=0),"",L82/L84),"")</f>
        <v/>
      </c>
      <c r="M83" s="50" t="str">
        <f aca="false">IFERROR(IF(OR(NOT(ISNUMBER(M82)),N(M84)=0),"",M82/M84),"")</f>
        <v/>
      </c>
      <c r="N83" s="50" t="str">
        <f aca="false">IFERROR(IF(OR(NOT(ISNUMBER(N82)),N(N84)=0),"",N82/N84),"")</f>
        <v/>
      </c>
      <c r="O83" s="68" t="str">
        <f aca="false">IFERROR(IF(OR(NOT(ISNUMBER(O82)),N(O84)=0),"",O82/O84),"")</f>
        <v/>
      </c>
    </row>
    <row r="84" customFormat="false" ht="15" hidden="true" customHeight="false" outlineLevel="1" collapsed="false">
      <c r="A84" s="11" t="s">
        <v>2161</v>
      </c>
      <c r="B84" s="15" t="s">
        <v>2089</v>
      </c>
      <c r="C84" s="11" t="s">
        <v>544</v>
      </c>
      <c r="D84" s="48" t="n">
        <f aca="false">IF(cu_P=1,SUMIFS(Calculo!$F$45:$ES$45,Calculo!$F$16:$ES$16,1),SUMIFS(Calculo!$F$201:$ES$201,Calculo!$F$172:$ES$172,1))</f>
        <v>0</v>
      </c>
      <c r="E84" s="48" t="n">
        <f aca="false">IF(cu_P=1,SUMIFS(Calculo!$F$45:$ES$45,Calculo!$F$14:$ES$14,1),SUMIFS(Calculo!$F$201:$ES$201,Calculo!$F$170:$ES$170,1))</f>
        <v>0</v>
      </c>
      <c r="F84" s="48" t="n">
        <f aca="false">IF(cu_P=1,SUMIFS(Calculo!$F$45:$ES$45,Calculo!$F$14:$ES$14,2),SUMIFS(Calculo!$F$201:$ES$201,Calculo!$F$170:$ES$170,2))</f>
        <v>0</v>
      </c>
      <c r="G84" s="48" t="n">
        <f aca="false">IF(cu_P=1,SUMIFS(Calculo!$F$45:$ES$45,Calculo!$F$14:$ES$14,3),SUMIFS(Calculo!$F$201:$ES$201,Calculo!$F$170:$ES$170,3))</f>
        <v>0</v>
      </c>
      <c r="H84" s="48" t="n">
        <f aca="false">IF(cu_P=1,SUMIFS(Calculo!$F$45:$ES$45,Calculo!$F$14:$ES$14,4),SUMIFS(Calculo!$F$201:$ES$201,Calculo!$F$170:$ES$170,4))</f>
        <v>0</v>
      </c>
      <c r="I84" s="48" t="n">
        <f aca="false">IF(cu_P=1,SUMIFS(Calculo!$F$45:$ES$45,Calculo!$F$14:$ES$14,5),SUMIFS(Calculo!$F$201:$ES$201,Calculo!$F$170:$ES$170,5))</f>
        <v>0</v>
      </c>
      <c r="J84" s="48" t="n">
        <f aca="false">IF(cu_P=1,SUMIFS(Calculo!$F$45:$ES$45,Calculo!$F$14:$ES$14,6),SUMIFS(Calculo!$F$201:$ES$201,Calculo!$F$170:$ES$170,6))</f>
        <v>0</v>
      </c>
      <c r="K84" s="48" t="n">
        <f aca="false">IF(cu_P=1,SUMIFS(Calculo!$F$45:$ES$45,Calculo!$F$14:$ES$14,7),SUMIFS(Calculo!$F$201:$ES$201,Calculo!$F$170:$ES$170,7))</f>
        <v>0</v>
      </c>
      <c r="L84" s="48" t="n">
        <f aca="false">IF(cu_P=1,SUMIFS(Calculo!$F$45:$ES$45,Calculo!$F$14:$ES$14,8),SUMIFS(Calculo!$F$201:$ES$201,Calculo!$F$170:$ES$170,8))</f>
        <v>0</v>
      </c>
      <c r="M84" s="48" t="n">
        <f aca="false">IF(cu_P=1,SUMIFS(Calculo!$F$45:$ES$45,Calculo!$F$14:$ES$14,9),SUMIFS(Calculo!$F$201:$ES$201,Calculo!$F$170:$ES$170,9))</f>
        <v>0</v>
      </c>
      <c r="N84" s="48" t="n">
        <f aca="false">IF(cu_P=1,SUMIFS(Calculo!$F$45:$ES$45,Calculo!$F$14:$ES$14,10),SUMIFS(Calculo!$F$201:$ES$201,Calculo!$F$170:$ES$170,10))</f>
        <v>0</v>
      </c>
      <c r="O84" s="54" t="n">
        <f aca="false">SUM(D84:N84)</f>
        <v>0</v>
      </c>
    </row>
    <row r="85" customFormat="false" ht="15" hidden="false" customHeight="false" outlineLevel="0" collapsed="false">
      <c r="A85" s="11" t="s">
        <v>2162</v>
      </c>
      <c r="B85" s="15" t="s">
        <v>2163</v>
      </c>
      <c r="C85" s="11" t="s">
        <v>508</v>
      </c>
      <c r="D85" s="48" t="n">
        <f aca="false">IFERROR(IF(COUNT(D9,D10,D13,D16,D19,D22,D25,D28,D31,D34,D37,D40,D43,D46,D49,D52,D55,D58,D61,D64,D67,D70,D73,D76,D79,D82)=0,"",N(D9)-(N(D10)+N(D13)+N(D16)+N(D19)+N(D22)+N(D25)+N(D28)+N(D31)+N(D34)+N(D37)+N(D40)+N(D43)+N(D46)+N(D49)+N(D52)+N(D55)+N(D58)+N(D61)+N(D64)+N(D67)+N(D70)+N(D73)+N(D76)+N(D79)+N(D82))),"")</f>
        <v>0</v>
      </c>
      <c r="E85" s="48" t="n">
        <f aca="false">IFERROR(IF(COUNT(E9,E10,E13,E16,E19,E22,E25,E28,E31,E34,E37,E40,E43,E46,E49,E52,E55,E58,E61,E64,E67,E70,E73,E76,E79,E82)=0,"",N(E9)-(N(E10)+N(E13)+N(E16)+N(E19)+N(E22)+N(E25)+N(E28)+N(E31)+N(E34)+N(E37)+N(E40)+N(E43)+N(E46)+N(E49)+N(E52)+N(E55)+N(E58)+N(E61)+N(E64)+N(E67)+N(E70)+N(E73)+N(E76)+N(E79)+N(E82))),"")</f>
        <v>0</v>
      </c>
      <c r="F85" s="48" t="n">
        <f aca="false">IFERROR(IF(COUNT(F9,F10,F13,F16,F19,F22,F25,F28,F31,F34,F37,F40,F43,F46,F49,F52,F55,F58,F61,F64,F67,F70,F73,F76,F79,F82)=0,"",N(F9)-(N(F10)+N(F13)+N(F16)+N(F19)+N(F22)+N(F25)+N(F28)+N(F31)+N(F34)+N(F37)+N(F40)+N(F43)+N(F46)+N(F49)+N(F52)+N(F55)+N(F58)+N(F61)+N(F64)+N(F67)+N(F70)+N(F73)+N(F76)+N(F79)+N(F82))),"")</f>
        <v>0</v>
      </c>
      <c r="G85" s="48" t="n">
        <f aca="false">IFERROR(IF(COUNT(G9,G10,G13,G16,G19,G22,G25,G28,G31,G34,G37,G40,G43,G46,G49,G52,G55,G58,G61,G64,G67,G70,G73,G76,G79,G82)=0,"",N(G9)-(N(G10)+N(G13)+N(G16)+N(G19)+N(G22)+N(G25)+N(G28)+N(G31)+N(G34)+N(G37)+N(G40)+N(G43)+N(G46)+N(G49)+N(G52)+N(G55)+N(G58)+N(G61)+N(G64)+N(G67)+N(G70)+N(G73)+N(G76)+N(G79)+N(G82))),"")</f>
        <v>0</v>
      </c>
      <c r="H85" s="48" t="n">
        <f aca="false">IFERROR(IF(COUNT(H9,H10,H13,H16,H19,H22,H25,H28,H31,H34,H37,H40,H43,H46,H49,H52,H55,H58,H61,H64,H67,H70,H73,H76,H79,H82)=0,"",N(H9)-(N(H10)+N(H13)+N(H16)+N(H19)+N(H22)+N(H25)+N(H28)+N(H31)+N(H34)+N(H37)+N(H40)+N(H43)+N(H46)+N(H49)+N(H52)+N(H55)+N(H58)+N(H61)+N(H64)+N(H67)+N(H70)+N(H73)+N(H76)+N(H79)+N(H82))),"")</f>
        <v>0</v>
      </c>
      <c r="I85" s="48" t="n">
        <f aca="false">IFERROR(IF(COUNT(I9,I10,I13,I16,I19,I22,I25,I28,I31,I34,I37,I40,I43,I46,I49,I52,I55,I58,I61,I64,I67,I70,I73,I76,I79,I82)=0,"",N(I9)-(N(I10)+N(I13)+N(I16)+N(I19)+N(I22)+N(I25)+N(I28)+N(I31)+N(I34)+N(I37)+N(I40)+N(I43)+N(I46)+N(I49)+N(I52)+N(I55)+N(I58)+N(I61)+N(I64)+N(I67)+N(I70)+N(I73)+N(I76)+N(I79)+N(I82))),"")</f>
        <v>0</v>
      </c>
      <c r="J85" s="48" t="n">
        <f aca="false">IFERROR(IF(COUNT(J9,J10,J13,J16,J19,J22,J25,J28,J31,J34,J37,J40,J43,J46,J49,J52,J55,J58,J61,J64,J67,J70,J73,J76,J79,J82)=0,"",N(J9)-(N(J10)+N(J13)+N(J16)+N(J19)+N(J22)+N(J25)+N(J28)+N(J31)+N(J34)+N(J37)+N(J40)+N(J43)+N(J46)+N(J49)+N(J52)+N(J55)+N(J58)+N(J61)+N(J64)+N(J67)+N(J70)+N(J73)+N(J76)+N(J79)+N(J82))),"")</f>
        <v>0</v>
      </c>
      <c r="K85" s="48" t="n">
        <f aca="false">IFERROR(IF(COUNT(K9,K10,K13,K16,K19,K22,K25,K28,K31,K34,K37,K40,K43,K46,K49,K52,K55,K58,K61,K64,K67,K70,K73,K76,K79,K82)=0,"",N(K9)-(N(K10)+N(K13)+N(K16)+N(K19)+N(K22)+N(K25)+N(K28)+N(K31)+N(K34)+N(K37)+N(K40)+N(K43)+N(K46)+N(K49)+N(K52)+N(K55)+N(K58)+N(K61)+N(K64)+N(K67)+N(K70)+N(K73)+N(K76)+N(K79)+N(K82))),"")</f>
        <v>0</v>
      </c>
      <c r="L85" s="48" t="n">
        <f aca="false">IFERROR(IF(COUNT(L9,L10,L13,L16,L19,L22,L25,L28,L31,L34,L37,L40,L43,L46,L49,L52,L55,L58,L61,L64,L67,L70,L73,L76,L79,L82)=0,"",N(L9)-(N(L10)+N(L13)+N(L16)+N(L19)+N(L22)+N(L25)+N(L28)+N(L31)+N(L34)+N(L37)+N(L40)+N(L43)+N(L46)+N(L49)+N(L52)+N(L55)+N(L58)+N(L61)+N(L64)+N(L67)+N(L70)+N(L73)+N(L76)+N(L79)+N(L82))),"")</f>
        <v>0</v>
      </c>
      <c r="M85" s="48" t="n">
        <f aca="false">IFERROR(IF(COUNT(M9,M10,M13,M16,M19,M22,M25,M28,M31,M34,M37,M40,M43,M46,M49,M52,M55,M58,M61,M64,M67,M70,M73,M76,M79,M82)=0,"",N(M9)-(N(M10)+N(M13)+N(M16)+N(M19)+N(M22)+N(M25)+N(M28)+N(M31)+N(M34)+N(M37)+N(M40)+N(M43)+N(M46)+N(M49)+N(M52)+N(M55)+N(M58)+N(M61)+N(M64)+N(M67)+N(M70)+N(M73)+N(M76)+N(M79)+N(M82))),"")</f>
        <v>0</v>
      </c>
      <c r="N85" s="48" t="n">
        <f aca="false">IFERROR(IF(COUNT(N9,N10,N13,N16,N19,N22,N25,N28,N31,N34,N37,N40,N43,N46,N49,N52,N55,N58,N61,N64,N67,N70,N73,N76,N79,N82)=0,"",N(N9)-(N(N10)+N(N13)+N(N16)+N(N19)+N(N22)+N(N25)+N(N28)+N(N31)+N(N34)+N(N37)+N(N40)+N(N43)+N(N46)+N(N49)+N(N52)+N(N55)+N(N58)+N(N61)+N(N64)+N(N67)+N(N70)+N(N73)+N(N76)+N(N79)+N(N82))),"")</f>
        <v>0</v>
      </c>
      <c r="O85" s="54" t="n">
        <f aca="false">SUM(D85:N85)</f>
        <v>0</v>
      </c>
    </row>
    <row r="86" customFormat="false" ht="15" hidden="false" customHeight="false" outlineLevel="0" collapsed="false">
      <c r="A86" s="13"/>
      <c r="B86" s="100" t="s">
        <v>2164</v>
      </c>
      <c r="C86" s="13"/>
      <c r="D86" s="13"/>
      <c r="E86" s="13"/>
      <c r="F86" s="13"/>
      <c r="G86" s="13"/>
      <c r="H86" s="13"/>
      <c r="I86" s="13"/>
      <c r="J86" s="13"/>
      <c r="K86" s="13"/>
      <c r="L86" s="13"/>
      <c r="M86" s="13"/>
      <c r="N86" s="13"/>
      <c r="O86" s="13"/>
    </row>
    <row r="87" customFormat="false" ht="15" hidden="false" customHeight="false" outlineLevel="0" collapsed="false">
      <c r="A87" s="11" t="s">
        <v>2165</v>
      </c>
      <c r="B87" s="67" t="s">
        <v>2166</v>
      </c>
      <c r="C87" s="11" t="s">
        <v>508</v>
      </c>
      <c r="D87" s="54" t="n">
        <f aca="false">IF(cu_P=1,SUMIFS(Calculo!$F$74:$ES$74,Calculo!$F$16:$ES$16,1),SUMIFS(Calculo!$F$230:$ES$230,Calculo!$F$172:$ES$172,1))</f>
        <v>0</v>
      </c>
      <c r="E87" s="54" t="n">
        <f aca="false">IF(cu_P=1,SUMIFS(Calculo!$F$74:$ES$74,Calculo!$F$14:$ES$14,1),SUMIFS(Calculo!$F$230:$ES$230,Calculo!$F$170:$ES$170,1))</f>
        <v>879570</v>
      </c>
      <c r="F87" s="54" t="n">
        <f aca="false">IF(cu_P=1,SUMIFS(Calculo!$F$74:$ES$74,Calculo!$F$14:$ES$14,2),SUMIFS(Calculo!$F$230:$ES$230,Calculo!$F$170:$ES$170,2))</f>
        <v>1111590</v>
      </c>
      <c r="G87" s="54" t="n">
        <f aca="false">IF(cu_P=1,SUMIFS(Calculo!$F$74:$ES$74,Calculo!$F$14:$ES$14,3),SUMIFS(Calculo!$F$230:$ES$230,Calculo!$F$170:$ES$170,3))</f>
        <v>1343610</v>
      </c>
      <c r="H87" s="54" t="n">
        <f aca="false">IF(cu_P=1,SUMIFS(Calculo!$F$74:$ES$74,Calculo!$F$14:$ES$14,4),SUMIFS(Calculo!$F$230:$ES$230,Calculo!$F$170:$ES$170,4))</f>
        <v>1527120</v>
      </c>
      <c r="I87" s="54" t="n">
        <f aca="false">IF(cu_P=1,SUMIFS(Calculo!$F$74:$ES$74,Calculo!$F$14:$ES$14,5),SUMIFS(Calculo!$F$230:$ES$230,Calculo!$F$170:$ES$170,5))</f>
        <v>1527120</v>
      </c>
      <c r="J87" s="54" t="n">
        <f aca="false">IF(cu_P=1,SUMIFS(Calculo!$F$74:$ES$74,Calculo!$F$14:$ES$14,6),SUMIFS(Calculo!$F$230:$ES$230,Calculo!$F$170:$ES$170,6))</f>
        <v>1527120</v>
      </c>
      <c r="K87" s="54" t="n">
        <f aca="false">IF(cu_P=1,SUMIFS(Calculo!$F$74:$ES$74,Calculo!$F$14:$ES$14,7),SUMIFS(Calculo!$F$230:$ES$230,Calculo!$F$170:$ES$170,7))</f>
        <v>1527120</v>
      </c>
      <c r="L87" s="54" t="n">
        <f aca="false">IF(cu_P=1,SUMIFS(Calculo!$F$74:$ES$74,Calculo!$F$14:$ES$14,8),SUMIFS(Calculo!$F$230:$ES$230,Calculo!$F$170:$ES$170,8))</f>
        <v>1527120</v>
      </c>
      <c r="M87" s="54" t="n">
        <f aca="false">IF(cu_P=1,SUMIFS(Calculo!$F$74:$ES$74,Calculo!$F$14:$ES$14,9),SUMIFS(Calculo!$F$230:$ES$230,Calculo!$F$170:$ES$170,9))</f>
        <v>1527120</v>
      </c>
      <c r="N87" s="54" t="n">
        <f aca="false">IF(cu_P=1,SUMIFS(Calculo!$F$74:$ES$74,Calculo!$F$14:$ES$14,10),SUMIFS(Calculo!$F$230:$ES$230,Calculo!$F$170:$ES$170,10))</f>
        <v>1527120</v>
      </c>
      <c r="O87" s="54" t="n">
        <f aca="false">SUM(D87:N87)</f>
        <v>14024610</v>
      </c>
    </row>
    <row r="88" customFormat="false" ht="15" hidden="false" customHeight="false" outlineLevel="0" collapsed="false">
      <c r="A88" s="11" t="s">
        <v>2167</v>
      </c>
      <c r="B88" s="53" t="str">
        <f aca="false">IF(INDEX(Prod_Nombre,1)="","Producto 1",INDEX(Prod_Nombre,1))</f>
        <v>Gabinetes metálicos 153 kg</v>
      </c>
      <c r="C88" s="11" t="s">
        <v>508</v>
      </c>
      <c r="D88" s="48" t="n">
        <f aca="false">IF(cu_P=1,SUMIFS(Calculo!$F$21:$ES$21,Calculo!$F$16:$ES$16,1)*N(INDEX(INS_O,1))*INDEX(IdxOV_O,1,1)*(1+P_dMat)/(1-P_Merma),SUMIFS(Calculo!$F$177:$ES$177,Calculo!$F$172:$ES$172,1)*N(INDEX(INS_V,1))*INDEX(IdxOV_V,1,1)*(1+V_dMat)/(1-V_Merma))</f>
        <v>0</v>
      </c>
      <c r="E88" s="48" t="n">
        <f aca="false">IF(cu_P=1,SUMIFS(Calculo!$F$21:$ES$21,Calculo!$F$14:$ES$14,1)*N(INDEX(INS_O,1))*INDEX(IdxOV_O,1,1)*(1+P_dMat)/(1-P_Merma),SUMIFS(Calculo!$F$177:$ES$177,Calculo!$F$170:$ES$170,1)*N(INDEX(INS_V,1))*INDEX(IdxOV_V,1,1)*(1+V_dMat)/(1-V_Merma))</f>
        <v>540000</v>
      </c>
      <c r="F88" s="48" t="n">
        <f aca="false">IF(cu_P=1,SUMIFS(Calculo!$F$21:$ES$21,Calculo!$F$14:$ES$14,2)*N(INDEX(INS_O,1))*INDEX(IdxOV_O,1,2)*(1+P_dMat)/(1-P_Merma),SUMIFS(Calculo!$F$177:$ES$177,Calculo!$F$170:$ES$170,2)*N(INDEX(INS_V,1))*INDEX(IdxOV_V,1,2)*(1+V_dMat)/(1-V_Merma))</f>
        <v>675000</v>
      </c>
      <c r="G88" s="48" t="n">
        <f aca="false">IF(cu_P=1,SUMIFS(Calculo!$F$21:$ES$21,Calculo!$F$14:$ES$14,3)*N(INDEX(INS_O,1))*INDEX(IdxOV_O,1,3)*(1+P_dMat)/(1-P_Merma),SUMIFS(Calculo!$F$177:$ES$177,Calculo!$F$170:$ES$170,3)*N(INDEX(INS_V,1))*INDEX(IdxOV_V,1,3)*(1+V_dMat)/(1-V_Merma))</f>
        <v>810000</v>
      </c>
      <c r="H88" s="48" t="n">
        <f aca="false">IF(cu_P=1,SUMIFS(Calculo!$F$21:$ES$21,Calculo!$F$14:$ES$14,4)*N(INDEX(INS_O,1))*INDEX(IdxOV_O,1,4)*(1+P_dMat)/(1-P_Merma),SUMIFS(Calculo!$F$177:$ES$177,Calculo!$F$170:$ES$170,4)*N(INDEX(INS_V,1))*INDEX(IdxOV_V,1,4)*(1+V_dMat)/(1-V_Merma))</f>
        <v>945000</v>
      </c>
      <c r="I88" s="48" t="n">
        <f aca="false">IF(cu_P=1,SUMIFS(Calculo!$F$21:$ES$21,Calculo!$F$14:$ES$14,5)*N(INDEX(INS_O,1))*INDEX(IdxOV_O,1,5)*(1+P_dMat)/(1-P_Merma),SUMIFS(Calculo!$F$177:$ES$177,Calculo!$F$170:$ES$170,5)*N(INDEX(INS_V,1))*INDEX(IdxOV_V,1,5)*(1+V_dMat)/(1-V_Merma))</f>
        <v>945000</v>
      </c>
      <c r="J88" s="48" t="n">
        <f aca="false">IF(cu_P=1,SUMIFS(Calculo!$F$21:$ES$21,Calculo!$F$14:$ES$14,6)*N(INDEX(INS_O,1))*INDEX(IdxOV_O,1,6)*(1+P_dMat)/(1-P_Merma),SUMIFS(Calculo!$F$177:$ES$177,Calculo!$F$170:$ES$170,6)*N(INDEX(INS_V,1))*INDEX(IdxOV_V,1,6)*(1+V_dMat)/(1-V_Merma))</f>
        <v>945000</v>
      </c>
      <c r="K88" s="48" t="n">
        <f aca="false">IF(cu_P=1,SUMIFS(Calculo!$F$21:$ES$21,Calculo!$F$14:$ES$14,7)*N(INDEX(INS_O,1))*INDEX(IdxOV_O,1,7)*(1+P_dMat)/(1-P_Merma),SUMIFS(Calculo!$F$177:$ES$177,Calculo!$F$170:$ES$170,7)*N(INDEX(INS_V,1))*INDEX(IdxOV_V,1,7)*(1+V_dMat)/(1-V_Merma))</f>
        <v>945000</v>
      </c>
      <c r="L88" s="48" t="n">
        <f aca="false">IF(cu_P=1,SUMIFS(Calculo!$F$21:$ES$21,Calculo!$F$14:$ES$14,8)*N(INDEX(INS_O,1))*INDEX(IdxOV_O,1,8)*(1+P_dMat)/(1-P_Merma),SUMIFS(Calculo!$F$177:$ES$177,Calculo!$F$170:$ES$170,8)*N(INDEX(INS_V,1))*INDEX(IdxOV_V,1,8)*(1+V_dMat)/(1-V_Merma))</f>
        <v>945000</v>
      </c>
      <c r="M88" s="48" t="n">
        <f aca="false">IF(cu_P=1,SUMIFS(Calculo!$F$21:$ES$21,Calculo!$F$14:$ES$14,9)*N(INDEX(INS_O,1))*INDEX(IdxOV_O,1,9)*(1+P_dMat)/(1-P_Merma),SUMIFS(Calculo!$F$177:$ES$177,Calculo!$F$170:$ES$170,9)*N(INDEX(INS_V,1))*INDEX(IdxOV_V,1,9)*(1+V_dMat)/(1-V_Merma))</f>
        <v>945000</v>
      </c>
      <c r="N88" s="48" t="n">
        <f aca="false">IF(cu_P=1,SUMIFS(Calculo!$F$21:$ES$21,Calculo!$F$14:$ES$14,10)*N(INDEX(INS_O,1))*INDEX(IdxOV_O,1,10)*(1+P_dMat)/(1-P_Merma),SUMIFS(Calculo!$F$177:$ES$177,Calculo!$F$170:$ES$170,10)*N(INDEX(INS_V,1))*INDEX(IdxOV_V,1,10)*(1+V_dMat)/(1-V_Merma))</f>
        <v>945000</v>
      </c>
      <c r="O88" s="54" t="n">
        <f aca="false">SUM(D88:N88)</f>
        <v>8640000</v>
      </c>
    </row>
    <row r="89" customFormat="false" ht="15" hidden="false" customHeight="false" outlineLevel="0" collapsed="false">
      <c r="A89" s="11" t="s">
        <v>2168</v>
      </c>
      <c r="B89" s="15" t="s">
        <v>2087</v>
      </c>
      <c r="C89" s="11" t="s">
        <v>748</v>
      </c>
      <c r="E89" s="50" t="n">
        <f aca="false">IFERROR(IF(OR(NOT(ISNUMBER(E88)),N(E12)=0),"",E88/E12),"")</f>
        <v>45</v>
      </c>
      <c r="F89" s="50" t="n">
        <f aca="false">IFERROR(IF(OR(NOT(ISNUMBER(F88)),N(F12)=0),"",F88/F12),"")</f>
        <v>45</v>
      </c>
      <c r="G89" s="50" t="n">
        <f aca="false">IFERROR(IF(OR(NOT(ISNUMBER(G88)),N(G12)=0),"",G88/G12),"")</f>
        <v>45</v>
      </c>
      <c r="H89" s="50" t="n">
        <f aca="false">IFERROR(IF(OR(NOT(ISNUMBER(H88)),N(H12)=0),"",H88/H12),"")</f>
        <v>45</v>
      </c>
      <c r="I89" s="50" t="n">
        <f aca="false">IFERROR(IF(OR(NOT(ISNUMBER(I88)),N(I12)=0),"",I88/I12),"")</f>
        <v>45</v>
      </c>
      <c r="J89" s="50" t="n">
        <f aca="false">IFERROR(IF(OR(NOT(ISNUMBER(J88)),N(J12)=0),"",J88/J12),"")</f>
        <v>45</v>
      </c>
      <c r="K89" s="50" t="n">
        <f aca="false">IFERROR(IF(OR(NOT(ISNUMBER(K88)),N(K12)=0),"",K88/K12),"")</f>
        <v>45</v>
      </c>
      <c r="L89" s="50" t="n">
        <f aca="false">IFERROR(IF(OR(NOT(ISNUMBER(L88)),N(L12)=0),"",L88/L12),"")</f>
        <v>45</v>
      </c>
      <c r="M89" s="50" t="n">
        <f aca="false">IFERROR(IF(OR(NOT(ISNUMBER(M88)),N(M12)=0),"",M88/M12),"")</f>
        <v>45</v>
      </c>
      <c r="N89" s="50" t="n">
        <f aca="false">IFERROR(IF(OR(NOT(ISNUMBER(N88)),N(N12)=0),"",N88/N12),"")</f>
        <v>45</v>
      </c>
      <c r="O89" s="68" t="n">
        <f aca="false">IFERROR(IF(OR(NOT(ISNUMBER(O88)),N(O12)=0),"",O88/O12),"")</f>
        <v>45</v>
      </c>
    </row>
    <row r="90" customFormat="false" ht="15" hidden="false" customHeight="false" outlineLevel="0" collapsed="false">
      <c r="A90" s="11" t="s">
        <v>2169</v>
      </c>
      <c r="B90" s="53" t="str">
        <f aca="false">IF(INDEX(Prod_Nombre,2)="","Producto 2",INDEX(Prod_Nombre,2))</f>
        <v>Cajas metálicas 13 kg</v>
      </c>
      <c r="C90" s="11" t="s">
        <v>508</v>
      </c>
      <c r="D90" s="48" t="n">
        <f aca="false">IF(cu_P=1,SUMIFS(Calculo!$F$22:$ES$22,Calculo!$F$16:$ES$16,1)*N(INDEX(INS_O,2))*INDEX(IdxOV_O,1,1)*(1+P_dMat)/(1-P_Merma),SUMIFS(Calculo!$F$178:$ES$178,Calculo!$F$172:$ES$172,1)*N(INDEX(INS_V,2))*INDEX(IdxOV_V,1,1)*(1+V_dMat)/(1-V_Merma))</f>
        <v>0</v>
      </c>
      <c r="E90" s="48" t="n">
        <f aca="false">IF(cu_P=1,SUMIFS(Calculo!$F$22:$ES$22,Calculo!$F$14:$ES$14,1)*N(INDEX(INS_O,2))*INDEX(IdxOV_O,1,1)*(1+P_dMat)/(1-P_Merma),SUMIFS(Calculo!$F$178:$ES$178,Calculo!$F$170:$ES$170,1)*N(INDEX(INS_V,2))*INDEX(IdxOV_V,1,1)*(1+V_dMat)/(1-V_Merma))</f>
        <v>339570</v>
      </c>
      <c r="F90" s="48" t="n">
        <f aca="false">IF(cu_P=1,SUMIFS(Calculo!$F$22:$ES$22,Calculo!$F$14:$ES$14,2)*N(INDEX(INS_O,2))*INDEX(IdxOV_O,1,2)*(1+P_dMat)/(1-P_Merma),SUMIFS(Calculo!$F$178:$ES$178,Calculo!$F$170:$ES$170,2)*N(INDEX(INS_V,2))*INDEX(IdxOV_V,1,2)*(1+V_dMat)/(1-V_Merma))</f>
        <v>436590</v>
      </c>
      <c r="G90" s="48" t="n">
        <f aca="false">IF(cu_P=1,SUMIFS(Calculo!$F$22:$ES$22,Calculo!$F$14:$ES$14,3)*N(INDEX(INS_O,2))*INDEX(IdxOV_O,1,3)*(1+P_dMat)/(1-P_Merma),SUMIFS(Calculo!$F$178:$ES$178,Calculo!$F$170:$ES$170,3)*N(INDEX(INS_V,2))*INDEX(IdxOV_V,1,3)*(1+V_dMat)/(1-V_Merma))</f>
        <v>533610</v>
      </c>
      <c r="H90" s="48" t="n">
        <f aca="false">IF(cu_P=1,SUMIFS(Calculo!$F$22:$ES$22,Calculo!$F$14:$ES$14,4)*N(INDEX(INS_O,2))*INDEX(IdxOV_O,1,4)*(1+P_dMat)/(1-P_Merma),SUMIFS(Calculo!$F$178:$ES$178,Calculo!$F$170:$ES$170,4)*N(INDEX(INS_V,2))*INDEX(IdxOV_V,1,4)*(1+V_dMat)/(1-V_Merma))</f>
        <v>582120</v>
      </c>
      <c r="I90" s="48" t="n">
        <f aca="false">IF(cu_P=1,SUMIFS(Calculo!$F$22:$ES$22,Calculo!$F$14:$ES$14,5)*N(INDEX(INS_O,2))*INDEX(IdxOV_O,1,5)*(1+P_dMat)/(1-P_Merma),SUMIFS(Calculo!$F$178:$ES$178,Calculo!$F$170:$ES$170,5)*N(INDEX(INS_V,2))*INDEX(IdxOV_V,1,5)*(1+V_dMat)/(1-V_Merma))</f>
        <v>582120</v>
      </c>
      <c r="J90" s="48" t="n">
        <f aca="false">IF(cu_P=1,SUMIFS(Calculo!$F$22:$ES$22,Calculo!$F$14:$ES$14,6)*N(INDEX(INS_O,2))*INDEX(IdxOV_O,1,6)*(1+P_dMat)/(1-P_Merma),SUMIFS(Calculo!$F$178:$ES$178,Calculo!$F$170:$ES$170,6)*N(INDEX(INS_V,2))*INDEX(IdxOV_V,1,6)*(1+V_dMat)/(1-V_Merma))</f>
        <v>582120</v>
      </c>
      <c r="K90" s="48" t="n">
        <f aca="false">IF(cu_P=1,SUMIFS(Calculo!$F$22:$ES$22,Calculo!$F$14:$ES$14,7)*N(INDEX(INS_O,2))*INDEX(IdxOV_O,1,7)*(1+P_dMat)/(1-P_Merma),SUMIFS(Calculo!$F$178:$ES$178,Calculo!$F$170:$ES$170,7)*N(INDEX(INS_V,2))*INDEX(IdxOV_V,1,7)*(1+V_dMat)/(1-V_Merma))</f>
        <v>582120</v>
      </c>
      <c r="L90" s="48" t="n">
        <f aca="false">IF(cu_P=1,SUMIFS(Calculo!$F$22:$ES$22,Calculo!$F$14:$ES$14,8)*N(INDEX(INS_O,2))*INDEX(IdxOV_O,1,8)*(1+P_dMat)/(1-P_Merma),SUMIFS(Calculo!$F$178:$ES$178,Calculo!$F$170:$ES$170,8)*N(INDEX(INS_V,2))*INDEX(IdxOV_V,1,8)*(1+V_dMat)/(1-V_Merma))</f>
        <v>582120</v>
      </c>
      <c r="M90" s="48" t="n">
        <f aca="false">IF(cu_P=1,SUMIFS(Calculo!$F$22:$ES$22,Calculo!$F$14:$ES$14,9)*N(INDEX(INS_O,2))*INDEX(IdxOV_O,1,9)*(1+P_dMat)/(1-P_Merma),SUMIFS(Calculo!$F$178:$ES$178,Calculo!$F$170:$ES$170,9)*N(INDEX(INS_V,2))*INDEX(IdxOV_V,1,9)*(1+V_dMat)/(1-V_Merma))</f>
        <v>582120</v>
      </c>
      <c r="N90" s="48" t="n">
        <f aca="false">IF(cu_P=1,SUMIFS(Calculo!$F$22:$ES$22,Calculo!$F$14:$ES$14,10)*N(INDEX(INS_O,2))*INDEX(IdxOV_O,1,10)*(1+P_dMat)/(1-P_Merma),SUMIFS(Calculo!$F$178:$ES$178,Calculo!$F$170:$ES$170,10)*N(INDEX(INS_V,2))*INDEX(IdxOV_V,1,10)*(1+V_dMat)/(1-V_Merma))</f>
        <v>582120</v>
      </c>
      <c r="O90" s="54" t="n">
        <f aca="false">SUM(D90:N90)</f>
        <v>5384610</v>
      </c>
    </row>
    <row r="91" customFormat="false" ht="15" hidden="false" customHeight="false" outlineLevel="0" collapsed="false">
      <c r="A91" s="11" t="s">
        <v>2170</v>
      </c>
      <c r="B91" s="15" t="s">
        <v>2087</v>
      </c>
      <c r="C91" s="11" t="s">
        <v>748</v>
      </c>
      <c r="E91" s="50" t="n">
        <f aca="false">IFERROR(IF(OR(NOT(ISNUMBER(E90)),N(E15)=0),"",E90/E15),"")</f>
        <v>4.851</v>
      </c>
      <c r="F91" s="50" t="n">
        <f aca="false">IFERROR(IF(OR(NOT(ISNUMBER(F90)),N(F15)=0),"",F90/F15),"")</f>
        <v>4.851</v>
      </c>
      <c r="G91" s="50" t="n">
        <f aca="false">IFERROR(IF(OR(NOT(ISNUMBER(G90)),N(G15)=0),"",G90/G15),"")</f>
        <v>4.851</v>
      </c>
      <c r="H91" s="50" t="n">
        <f aca="false">IFERROR(IF(OR(NOT(ISNUMBER(H90)),N(H15)=0),"",H90/H15),"")</f>
        <v>4.851</v>
      </c>
      <c r="I91" s="50" t="n">
        <f aca="false">IFERROR(IF(OR(NOT(ISNUMBER(I90)),N(I15)=0),"",I90/I15),"")</f>
        <v>4.851</v>
      </c>
      <c r="J91" s="50" t="n">
        <f aca="false">IFERROR(IF(OR(NOT(ISNUMBER(J90)),N(J15)=0),"",J90/J15),"")</f>
        <v>4.851</v>
      </c>
      <c r="K91" s="50" t="n">
        <f aca="false">IFERROR(IF(OR(NOT(ISNUMBER(K90)),N(K15)=0),"",K90/K15),"")</f>
        <v>4.851</v>
      </c>
      <c r="L91" s="50" t="n">
        <f aca="false">IFERROR(IF(OR(NOT(ISNUMBER(L90)),N(L15)=0),"",L90/L15),"")</f>
        <v>4.851</v>
      </c>
      <c r="M91" s="50" t="n">
        <f aca="false">IFERROR(IF(OR(NOT(ISNUMBER(M90)),N(M15)=0),"",M90/M15),"")</f>
        <v>4.851</v>
      </c>
      <c r="N91" s="50" t="n">
        <f aca="false">IFERROR(IF(OR(NOT(ISNUMBER(N90)),N(N15)=0),"",N90/N15),"")</f>
        <v>4.851</v>
      </c>
      <c r="O91" s="68" t="n">
        <f aca="false">IFERROR(IF(OR(NOT(ISNUMBER(O90)),N(O15)=0),"",O90/O15),"")</f>
        <v>4.851</v>
      </c>
    </row>
    <row r="92" customFormat="false" ht="15" hidden="true" customHeight="false" outlineLevel="1" collapsed="false">
      <c r="A92" s="11" t="s">
        <v>2171</v>
      </c>
      <c r="B92" s="53" t="str">
        <f aca="false">IF(INDEX(Prod_Nombre,3)="","Producto 3",INDEX(Prod_Nombre,3))</f>
        <v>Producto 3</v>
      </c>
      <c r="C92" s="11" t="s">
        <v>508</v>
      </c>
      <c r="D92" s="48" t="n">
        <f aca="false">IF(cu_P=1,SUMIFS(Calculo!$F$23:$ES$23,Calculo!$F$16:$ES$16,1)*N(INDEX(INS_O,3))*INDEX(IdxOV_O,1,1)*(1+P_dMat)/(1-P_Merma),SUMIFS(Calculo!$F$179:$ES$179,Calculo!$F$172:$ES$172,1)*N(INDEX(INS_V,3))*INDEX(IdxOV_V,1,1)*(1+V_dMat)/(1-V_Merma))</f>
        <v>0</v>
      </c>
      <c r="E92" s="48" t="n">
        <f aca="false">IF(cu_P=1,SUMIFS(Calculo!$F$23:$ES$23,Calculo!$F$14:$ES$14,1)*N(INDEX(INS_O,3))*INDEX(IdxOV_O,1,1)*(1+P_dMat)/(1-P_Merma),SUMIFS(Calculo!$F$179:$ES$179,Calculo!$F$170:$ES$170,1)*N(INDEX(INS_V,3))*INDEX(IdxOV_V,1,1)*(1+V_dMat)/(1-V_Merma))</f>
        <v>0</v>
      </c>
      <c r="F92" s="48" t="n">
        <f aca="false">IF(cu_P=1,SUMIFS(Calculo!$F$23:$ES$23,Calculo!$F$14:$ES$14,2)*N(INDEX(INS_O,3))*INDEX(IdxOV_O,1,2)*(1+P_dMat)/(1-P_Merma),SUMIFS(Calculo!$F$179:$ES$179,Calculo!$F$170:$ES$170,2)*N(INDEX(INS_V,3))*INDEX(IdxOV_V,1,2)*(1+V_dMat)/(1-V_Merma))</f>
        <v>0</v>
      </c>
      <c r="G92" s="48" t="n">
        <f aca="false">IF(cu_P=1,SUMIFS(Calculo!$F$23:$ES$23,Calculo!$F$14:$ES$14,3)*N(INDEX(INS_O,3))*INDEX(IdxOV_O,1,3)*(1+P_dMat)/(1-P_Merma),SUMIFS(Calculo!$F$179:$ES$179,Calculo!$F$170:$ES$170,3)*N(INDEX(INS_V,3))*INDEX(IdxOV_V,1,3)*(1+V_dMat)/(1-V_Merma))</f>
        <v>0</v>
      </c>
      <c r="H92" s="48" t="n">
        <f aca="false">IF(cu_P=1,SUMIFS(Calculo!$F$23:$ES$23,Calculo!$F$14:$ES$14,4)*N(INDEX(INS_O,3))*INDEX(IdxOV_O,1,4)*(1+P_dMat)/(1-P_Merma),SUMIFS(Calculo!$F$179:$ES$179,Calculo!$F$170:$ES$170,4)*N(INDEX(INS_V,3))*INDEX(IdxOV_V,1,4)*(1+V_dMat)/(1-V_Merma))</f>
        <v>0</v>
      </c>
      <c r="I92" s="48" t="n">
        <f aca="false">IF(cu_P=1,SUMIFS(Calculo!$F$23:$ES$23,Calculo!$F$14:$ES$14,5)*N(INDEX(INS_O,3))*INDEX(IdxOV_O,1,5)*(1+P_dMat)/(1-P_Merma),SUMIFS(Calculo!$F$179:$ES$179,Calculo!$F$170:$ES$170,5)*N(INDEX(INS_V,3))*INDEX(IdxOV_V,1,5)*(1+V_dMat)/(1-V_Merma))</f>
        <v>0</v>
      </c>
      <c r="J92" s="48" t="n">
        <f aca="false">IF(cu_P=1,SUMIFS(Calculo!$F$23:$ES$23,Calculo!$F$14:$ES$14,6)*N(INDEX(INS_O,3))*INDEX(IdxOV_O,1,6)*(1+P_dMat)/(1-P_Merma),SUMIFS(Calculo!$F$179:$ES$179,Calculo!$F$170:$ES$170,6)*N(INDEX(INS_V,3))*INDEX(IdxOV_V,1,6)*(1+V_dMat)/(1-V_Merma))</f>
        <v>0</v>
      </c>
      <c r="K92" s="48" t="n">
        <f aca="false">IF(cu_P=1,SUMIFS(Calculo!$F$23:$ES$23,Calculo!$F$14:$ES$14,7)*N(INDEX(INS_O,3))*INDEX(IdxOV_O,1,7)*(1+P_dMat)/(1-P_Merma),SUMIFS(Calculo!$F$179:$ES$179,Calculo!$F$170:$ES$170,7)*N(INDEX(INS_V,3))*INDEX(IdxOV_V,1,7)*(1+V_dMat)/(1-V_Merma))</f>
        <v>0</v>
      </c>
      <c r="L92" s="48" t="n">
        <f aca="false">IF(cu_P=1,SUMIFS(Calculo!$F$23:$ES$23,Calculo!$F$14:$ES$14,8)*N(INDEX(INS_O,3))*INDEX(IdxOV_O,1,8)*(1+P_dMat)/(1-P_Merma),SUMIFS(Calculo!$F$179:$ES$179,Calculo!$F$170:$ES$170,8)*N(INDEX(INS_V,3))*INDEX(IdxOV_V,1,8)*(1+V_dMat)/(1-V_Merma))</f>
        <v>0</v>
      </c>
      <c r="M92" s="48" t="n">
        <f aca="false">IF(cu_P=1,SUMIFS(Calculo!$F$23:$ES$23,Calculo!$F$14:$ES$14,9)*N(INDEX(INS_O,3))*INDEX(IdxOV_O,1,9)*(1+P_dMat)/(1-P_Merma),SUMIFS(Calculo!$F$179:$ES$179,Calculo!$F$170:$ES$170,9)*N(INDEX(INS_V,3))*INDEX(IdxOV_V,1,9)*(1+V_dMat)/(1-V_Merma))</f>
        <v>0</v>
      </c>
      <c r="N92" s="48" t="n">
        <f aca="false">IF(cu_P=1,SUMIFS(Calculo!$F$23:$ES$23,Calculo!$F$14:$ES$14,10)*N(INDEX(INS_O,3))*INDEX(IdxOV_O,1,10)*(1+P_dMat)/(1-P_Merma),SUMIFS(Calculo!$F$179:$ES$179,Calculo!$F$170:$ES$170,10)*N(INDEX(INS_V,3))*INDEX(IdxOV_V,1,10)*(1+V_dMat)/(1-V_Merma))</f>
        <v>0</v>
      </c>
      <c r="O92" s="54" t="n">
        <f aca="false">SUM(D92:N92)</f>
        <v>0</v>
      </c>
    </row>
    <row r="93" customFormat="false" ht="15" hidden="true" customHeight="false" outlineLevel="1" collapsed="false">
      <c r="A93" s="11" t="s">
        <v>2172</v>
      </c>
      <c r="B93" s="15" t="s">
        <v>2087</v>
      </c>
      <c r="C93" s="11" t="s">
        <v>748</v>
      </c>
      <c r="E93" s="50" t="str">
        <f aca="false">IFERROR(IF(OR(NOT(ISNUMBER(E92)),N(E18)=0),"",E92/E18),"")</f>
        <v/>
      </c>
      <c r="F93" s="50" t="str">
        <f aca="false">IFERROR(IF(OR(NOT(ISNUMBER(F92)),N(F18)=0),"",F92/F18),"")</f>
        <v/>
      </c>
      <c r="G93" s="50" t="str">
        <f aca="false">IFERROR(IF(OR(NOT(ISNUMBER(G92)),N(G18)=0),"",G92/G18),"")</f>
        <v/>
      </c>
      <c r="H93" s="50" t="str">
        <f aca="false">IFERROR(IF(OR(NOT(ISNUMBER(H92)),N(H18)=0),"",H92/H18),"")</f>
        <v/>
      </c>
      <c r="I93" s="50" t="str">
        <f aca="false">IFERROR(IF(OR(NOT(ISNUMBER(I92)),N(I18)=0),"",I92/I18),"")</f>
        <v/>
      </c>
      <c r="J93" s="50" t="str">
        <f aca="false">IFERROR(IF(OR(NOT(ISNUMBER(J92)),N(J18)=0),"",J92/J18),"")</f>
        <v/>
      </c>
      <c r="K93" s="50" t="str">
        <f aca="false">IFERROR(IF(OR(NOT(ISNUMBER(K92)),N(K18)=0),"",K92/K18),"")</f>
        <v/>
      </c>
      <c r="L93" s="50" t="str">
        <f aca="false">IFERROR(IF(OR(NOT(ISNUMBER(L92)),N(L18)=0),"",L92/L18),"")</f>
        <v/>
      </c>
      <c r="M93" s="50" t="str">
        <f aca="false">IFERROR(IF(OR(NOT(ISNUMBER(M92)),N(M18)=0),"",M92/M18),"")</f>
        <v/>
      </c>
      <c r="N93" s="50" t="str">
        <f aca="false">IFERROR(IF(OR(NOT(ISNUMBER(N92)),N(N18)=0),"",N92/N18),"")</f>
        <v/>
      </c>
      <c r="O93" s="68" t="str">
        <f aca="false">IFERROR(IF(OR(NOT(ISNUMBER(O92)),N(O18)=0),"",O92/O18),"")</f>
        <v/>
      </c>
    </row>
    <row r="94" customFormat="false" ht="15" hidden="true" customHeight="false" outlineLevel="1" collapsed="false">
      <c r="A94" s="11" t="s">
        <v>2173</v>
      </c>
      <c r="B94" s="53" t="str">
        <f aca="false">IF(INDEX(Prod_Nombre,4)="","Producto 4",INDEX(Prod_Nombre,4))</f>
        <v>Producto 4</v>
      </c>
      <c r="C94" s="11" t="s">
        <v>508</v>
      </c>
      <c r="D94" s="48" t="n">
        <f aca="false">IF(cu_P=1,SUMIFS(Calculo!$F$24:$ES$24,Calculo!$F$16:$ES$16,1)*N(INDEX(INS_O,4))*INDEX(IdxOV_O,1,1)*(1+P_dMat)/(1-P_Merma),SUMIFS(Calculo!$F$180:$ES$180,Calculo!$F$172:$ES$172,1)*N(INDEX(INS_V,4))*INDEX(IdxOV_V,1,1)*(1+V_dMat)/(1-V_Merma))</f>
        <v>0</v>
      </c>
      <c r="E94" s="48" t="n">
        <f aca="false">IF(cu_P=1,SUMIFS(Calculo!$F$24:$ES$24,Calculo!$F$14:$ES$14,1)*N(INDEX(INS_O,4))*INDEX(IdxOV_O,1,1)*(1+P_dMat)/(1-P_Merma),SUMIFS(Calculo!$F$180:$ES$180,Calculo!$F$170:$ES$170,1)*N(INDEX(INS_V,4))*INDEX(IdxOV_V,1,1)*(1+V_dMat)/(1-V_Merma))</f>
        <v>0</v>
      </c>
      <c r="F94" s="48" t="n">
        <f aca="false">IF(cu_P=1,SUMIFS(Calculo!$F$24:$ES$24,Calculo!$F$14:$ES$14,2)*N(INDEX(INS_O,4))*INDEX(IdxOV_O,1,2)*(1+P_dMat)/(1-P_Merma),SUMIFS(Calculo!$F$180:$ES$180,Calculo!$F$170:$ES$170,2)*N(INDEX(INS_V,4))*INDEX(IdxOV_V,1,2)*(1+V_dMat)/(1-V_Merma))</f>
        <v>0</v>
      </c>
      <c r="G94" s="48" t="n">
        <f aca="false">IF(cu_P=1,SUMIFS(Calculo!$F$24:$ES$24,Calculo!$F$14:$ES$14,3)*N(INDEX(INS_O,4))*INDEX(IdxOV_O,1,3)*(1+P_dMat)/(1-P_Merma),SUMIFS(Calculo!$F$180:$ES$180,Calculo!$F$170:$ES$170,3)*N(INDEX(INS_V,4))*INDEX(IdxOV_V,1,3)*(1+V_dMat)/(1-V_Merma))</f>
        <v>0</v>
      </c>
      <c r="H94" s="48" t="n">
        <f aca="false">IF(cu_P=1,SUMIFS(Calculo!$F$24:$ES$24,Calculo!$F$14:$ES$14,4)*N(INDEX(INS_O,4))*INDEX(IdxOV_O,1,4)*(1+P_dMat)/(1-P_Merma),SUMIFS(Calculo!$F$180:$ES$180,Calculo!$F$170:$ES$170,4)*N(INDEX(INS_V,4))*INDEX(IdxOV_V,1,4)*(1+V_dMat)/(1-V_Merma))</f>
        <v>0</v>
      </c>
      <c r="I94" s="48" t="n">
        <f aca="false">IF(cu_P=1,SUMIFS(Calculo!$F$24:$ES$24,Calculo!$F$14:$ES$14,5)*N(INDEX(INS_O,4))*INDEX(IdxOV_O,1,5)*(1+P_dMat)/(1-P_Merma),SUMIFS(Calculo!$F$180:$ES$180,Calculo!$F$170:$ES$170,5)*N(INDEX(INS_V,4))*INDEX(IdxOV_V,1,5)*(1+V_dMat)/(1-V_Merma))</f>
        <v>0</v>
      </c>
      <c r="J94" s="48" t="n">
        <f aca="false">IF(cu_P=1,SUMIFS(Calculo!$F$24:$ES$24,Calculo!$F$14:$ES$14,6)*N(INDEX(INS_O,4))*INDEX(IdxOV_O,1,6)*(1+P_dMat)/(1-P_Merma),SUMIFS(Calculo!$F$180:$ES$180,Calculo!$F$170:$ES$170,6)*N(INDEX(INS_V,4))*INDEX(IdxOV_V,1,6)*(1+V_dMat)/(1-V_Merma))</f>
        <v>0</v>
      </c>
      <c r="K94" s="48" t="n">
        <f aca="false">IF(cu_P=1,SUMIFS(Calculo!$F$24:$ES$24,Calculo!$F$14:$ES$14,7)*N(INDEX(INS_O,4))*INDEX(IdxOV_O,1,7)*(1+P_dMat)/(1-P_Merma),SUMIFS(Calculo!$F$180:$ES$180,Calculo!$F$170:$ES$170,7)*N(INDEX(INS_V,4))*INDEX(IdxOV_V,1,7)*(1+V_dMat)/(1-V_Merma))</f>
        <v>0</v>
      </c>
      <c r="L94" s="48" t="n">
        <f aca="false">IF(cu_P=1,SUMIFS(Calculo!$F$24:$ES$24,Calculo!$F$14:$ES$14,8)*N(INDEX(INS_O,4))*INDEX(IdxOV_O,1,8)*(1+P_dMat)/(1-P_Merma),SUMIFS(Calculo!$F$180:$ES$180,Calculo!$F$170:$ES$170,8)*N(INDEX(INS_V,4))*INDEX(IdxOV_V,1,8)*(1+V_dMat)/(1-V_Merma))</f>
        <v>0</v>
      </c>
      <c r="M94" s="48" t="n">
        <f aca="false">IF(cu_P=1,SUMIFS(Calculo!$F$24:$ES$24,Calculo!$F$14:$ES$14,9)*N(INDEX(INS_O,4))*INDEX(IdxOV_O,1,9)*(1+P_dMat)/(1-P_Merma),SUMIFS(Calculo!$F$180:$ES$180,Calculo!$F$170:$ES$170,9)*N(INDEX(INS_V,4))*INDEX(IdxOV_V,1,9)*(1+V_dMat)/(1-V_Merma))</f>
        <v>0</v>
      </c>
      <c r="N94" s="48" t="n">
        <f aca="false">IF(cu_P=1,SUMIFS(Calculo!$F$24:$ES$24,Calculo!$F$14:$ES$14,10)*N(INDEX(INS_O,4))*INDEX(IdxOV_O,1,10)*(1+P_dMat)/(1-P_Merma),SUMIFS(Calculo!$F$180:$ES$180,Calculo!$F$170:$ES$170,10)*N(INDEX(INS_V,4))*INDEX(IdxOV_V,1,10)*(1+V_dMat)/(1-V_Merma))</f>
        <v>0</v>
      </c>
      <c r="O94" s="54" t="n">
        <f aca="false">SUM(D94:N94)</f>
        <v>0</v>
      </c>
    </row>
    <row r="95" customFormat="false" ht="15" hidden="true" customHeight="false" outlineLevel="1" collapsed="false">
      <c r="A95" s="11" t="s">
        <v>2174</v>
      </c>
      <c r="B95" s="15" t="s">
        <v>2087</v>
      </c>
      <c r="C95" s="11" t="s">
        <v>748</v>
      </c>
      <c r="E95" s="50" t="str">
        <f aca="false">IFERROR(IF(OR(NOT(ISNUMBER(E94)),N(E21)=0),"",E94/E21),"")</f>
        <v/>
      </c>
      <c r="F95" s="50" t="str">
        <f aca="false">IFERROR(IF(OR(NOT(ISNUMBER(F94)),N(F21)=0),"",F94/F21),"")</f>
        <v/>
      </c>
      <c r="G95" s="50" t="str">
        <f aca="false">IFERROR(IF(OR(NOT(ISNUMBER(G94)),N(G21)=0),"",G94/G21),"")</f>
        <v/>
      </c>
      <c r="H95" s="50" t="str">
        <f aca="false">IFERROR(IF(OR(NOT(ISNUMBER(H94)),N(H21)=0),"",H94/H21),"")</f>
        <v/>
      </c>
      <c r="I95" s="50" t="str">
        <f aca="false">IFERROR(IF(OR(NOT(ISNUMBER(I94)),N(I21)=0),"",I94/I21),"")</f>
        <v/>
      </c>
      <c r="J95" s="50" t="str">
        <f aca="false">IFERROR(IF(OR(NOT(ISNUMBER(J94)),N(J21)=0),"",J94/J21),"")</f>
        <v/>
      </c>
      <c r="K95" s="50" t="str">
        <f aca="false">IFERROR(IF(OR(NOT(ISNUMBER(K94)),N(K21)=0),"",K94/K21),"")</f>
        <v/>
      </c>
      <c r="L95" s="50" t="str">
        <f aca="false">IFERROR(IF(OR(NOT(ISNUMBER(L94)),N(L21)=0),"",L94/L21),"")</f>
        <v/>
      </c>
      <c r="M95" s="50" t="str">
        <f aca="false">IFERROR(IF(OR(NOT(ISNUMBER(M94)),N(M21)=0),"",M94/M21),"")</f>
        <v/>
      </c>
      <c r="N95" s="50" t="str">
        <f aca="false">IFERROR(IF(OR(NOT(ISNUMBER(N94)),N(N21)=0),"",N94/N21),"")</f>
        <v/>
      </c>
      <c r="O95" s="68" t="str">
        <f aca="false">IFERROR(IF(OR(NOT(ISNUMBER(O94)),N(O21)=0),"",O94/O21),"")</f>
        <v/>
      </c>
    </row>
    <row r="96" customFormat="false" ht="15" hidden="true" customHeight="false" outlineLevel="1" collapsed="false">
      <c r="A96" s="11" t="s">
        <v>2175</v>
      </c>
      <c r="B96" s="53" t="str">
        <f aca="false">IF(INDEX(Prod_Nombre,5)="","Producto 5",INDEX(Prod_Nombre,5))</f>
        <v>Producto 5</v>
      </c>
      <c r="C96" s="11" t="s">
        <v>508</v>
      </c>
      <c r="D96" s="48" t="n">
        <f aca="false">IF(cu_P=1,SUMIFS(Calculo!$F$25:$ES$25,Calculo!$F$16:$ES$16,1)*N(INDEX(INS_O,5))*INDEX(IdxOV_O,1,1)*(1+P_dMat)/(1-P_Merma),SUMIFS(Calculo!$F$181:$ES$181,Calculo!$F$172:$ES$172,1)*N(INDEX(INS_V,5))*INDEX(IdxOV_V,1,1)*(1+V_dMat)/(1-V_Merma))</f>
        <v>0</v>
      </c>
      <c r="E96" s="48" t="n">
        <f aca="false">IF(cu_P=1,SUMIFS(Calculo!$F$25:$ES$25,Calculo!$F$14:$ES$14,1)*N(INDEX(INS_O,5))*INDEX(IdxOV_O,1,1)*(1+P_dMat)/(1-P_Merma),SUMIFS(Calculo!$F$181:$ES$181,Calculo!$F$170:$ES$170,1)*N(INDEX(INS_V,5))*INDEX(IdxOV_V,1,1)*(1+V_dMat)/(1-V_Merma))</f>
        <v>0</v>
      </c>
      <c r="F96" s="48" t="n">
        <f aca="false">IF(cu_P=1,SUMIFS(Calculo!$F$25:$ES$25,Calculo!$F$14:$ES$14,2)*N(INDEX(INS_O,5))*INDEX(IdxOV_O,1,2)*(1+P_dMat)/(1-P_Merma),SUMIFS(Calculo!$F$181:$ES$181,Calculo!$F$170:$ES$170,2)*N(INDEX(INS_V,5))*INDEX(IdxOV_V,1,2)*(1+V_dMat)/(1-V_Merma))</f>
        <v>0</v>
      </c>
      <c r="G96" s="48" t="n">
        <f aca="false">IF(cu_P=1,SUMIFS(Calculo!$F$25:$ES$25,Calculo!$F$14:$ES$14,3)*N(INDEX(INS_O,5))*INDEX(IdxOV_O,1,3)*(1+P_dMat)/(1-P_Merma),SUMIFS(Calculo!$F$181:$ES$181,Calculo!$F$170:$ES$170,3)*N(INDEX(INS_V,5))*INDEX(IdxOV_V,1,3)*(1+V_dMat)/(1-V_Merma))</f>
        <v>0</v>
      </c>
      <c r="H96" s="48" t="n">
        <f aca="false">IF(cu_P=1,SUMIFS(Calculo!$F$25:$ES$25,Calculo!$F$14:$ES$14,4)*N(INDEX(INS_O,5))*INDEX(IdxOV_O,1,4)*(1+P_dMat)/(1-P_Merma),SUMIFS(Calculo!$F$181:$ES$181,Calculo!$F$170:$ES$170,4)*N(INDEX(INS_V,5))*INDEX(IdxOV_V,1,4)*(1+V_dMat)/(1-V_Merma))</f>
        <v>0</v>
      </c>
      <c r="I96" s="48" t="n">
        <f aca="false">IF(cu_P=1,SUMIFS(Calculo!$F$25:$ES$25,Calculo!$F$14:$ES$14,5)*N(INDEX(INS_O,5))*INDEX(IdxOV_O,1,5)*(1+P_dMat)/(1-P_Merma),SUMIFS(Calculo!$F$181:$ES$181,Calculo!$F$170:$ES$170,5)*N(INDEX(INS_V,5))*INDEX(IdxOV_V,1,5)*(1+V_dMat)/(1-V_Merma))</f>
        <v>0</v>
      </c>
      <c r="J96" s="48" t="n">
        <f aca="false">IF(cu_P=1,SUMIFS(Calculo!$F$25:$ES$25,Calculo!$F$14:$ES$14,6)*N(INDEX(INS_O,5))*INDEX(IdxOV_O,1,6)*(1+P_dMat)/(1-P_Merma),SUMIFS(Calculo!$F$181:$ES$181,Calculo!$F$170:$ES$170,6)*N(INDEX(INS_V,5))*INDEX(IdxOV_V,1,6)*(1+V_dMat)/(1-V_Merma))</f>
        <v>0</v>
      </c>
      <c r="K96" s="48" t="n">
        <f aca="false">IF(cu_P=1,SUMIFS(Calculo!$F$25:$ES$25,Calculo!$F$14:$ES$14,7)*N(INDEX(INS_O,5))*INDEX(IdxOV_O,1,7)*(1+P_dMat)/(1-P_Merma),SUMIFS(Calculo!$F$181:$ES$181,Calculo!$F$170:$ES$170,7)*N(INDEX(INS_V,5))*INDEX(IdxOV_V,1,7)*(1+V_dMat)/(1-V_Merma))</f>
        <v>0</v>
      </c>
      <c r="L96" s="48" t="n">
        <f aca="false">IF(cu_P=1,SUMIFS(Calculo!$F$25:$ES$25,Calculo!$F$14:$ES$14,8)*N(INDEX(INS_O,5))*INDEX(IdxOV_O,1,8)*(1+P_dMat)/(1-P_Merma),SUMIFS(Calculo!$F$181:$ES$181,Calculo!$F$170:$ES$170,8)*N(INDEX(INS_V,5))*INDEX(IdxOV_V,1,8)*(1+V_dMat)/(1-V_Merma))</f>
        <v>0</v>
      </c>
      <c r="M96" s="48" t="n">
        <f aca="false">IF(cu_P=1,SUMIFS(Calculo!$F$25:$ES$25,Calculo!$F$14:$ES$14,9)*N(INDEX(INS_O,5))*INDEX(IdxOV_O,1,9)*(1+P_dMat)/(1-P_Merma),SUMIFS(Calculo!$F$181:$ES$181,Calculo!$F$170:$ES$170,9)*N(INDEX(INS_V,5))*INDEX(IdxOV_V,1,9)*(1+V_dMat)/(1-V_Merma))</f>
        <v>0</v>
      </c>
      <c r="N96" s="48" t="n">
        <f aca="false">IF(cu_P=1,SUMIFS(Calculo!$F$25:$ES$25,Calculo!$F$14:$ES$14,10)*N(INDEX(INS_O,5))*INDEX(IdxOV_O,1,10)*(1+P_dMat)/(1-P_Merma),SUMIFS(Calculo!$F$181:$ES$181,Calculo!$F$170:$ES$170,10)*N(INDEX(INS_V,5))*INDEX(IdxOV_V,1,10)*(1+V_dMat)/(1-V_Merma))</f>
        <v>0</v>
      </c>
      <c r="O96" s="54" t="n">
        <f aca="false">SUM(D96:N96)</f>
        <v>0</v>
      </c>
    </row>
    <row r="97" customFormat="false" ht="15" hidden="true" customHeight="false" outlineLevel="1" collapsed="false">
      <c r="A97" s="11" t="s">
        <v>2176</v>
      </c>
      <c r="B97" s="15" t="s">
        <v>2087</v>
      </c>
      <c r="C97" s="11" t="s">
        <v>748</v>
      </c>
      <c r="E97" s="50" t="str">
        <f aca="false">IFERROR(IF(OR(NOT(ISNUMBER(E96)),N(E24)=0),"",E96/E24),"")</f>
        <v/>
      </c>
      <c r="F97" s="50" t="str">
        <f aca="false">IFERROR(IF(OR(NOT(ISNUMBER(F96)),N(F24)=0),"",F96/F24),"")</f>
        <v/>
      </c>
      <c r="G97" s="50" t="str">
        <f aca="false">IFERROR(IF(OR(NOT(ISNUMBER(G96)),N(G24)=0),"",G96/G24),"")</f>
        <v/>
      </c>
      <c r="H97" s="50" t="str">
        <f aca="false">IFERROR(IF(OR(NOT(ISNUMBER(H96)),N(H24)=0),"",H96/H24),"")</f>
        <v/>
      </c>
      <c r="I97" s="50" t="str">
        <f aca="false">IFERROR(IF(OR(NOT(ISNUMBER(I96)),N(I24)=0),"",I96/I24),"")</f>
        <v/>
      </c>
      <c r="J97" s="50" t="str">
        <f aca="false">IFERROR(IF(OR(NOT(ISNUMBER(J96)),N(J24)=0),"",J96/J24),"")</f>
        <v/>
      </c>
      <c r="K97" s="50" t="str">
        <f aca="false">IFERROR(IF(OR(NOT(ISNUMBER(K96)),N(K24)=0),"",K96/K24),"")</f>
        <v/>
      </c>
      <c r="L97" s="50" t="str">
        <f aca="false">IFERROR(IF(OR(NOT(ISNUMBER(L96)),N(L24)=0),"",L96/L24),"")</f>
        <v/>
      </c>
      <c r="M97" s="50" t="str">
        <f aca="false">IFERROR(IF(OR(NOT(ISNUMBER(M96)),N(M24)=0),"",M96/M24),"")</f>
        <v/>
      </c>
      <c r="N97" s="50" t="str">
        <f aca="false">IFERROR(IF(OR(NOT(ISNUMBER(N96)),N(N24)=0),"",N96/N24),"")</f>
        <v/>
      </c>
      <c r="O97" s="68" t="str">
        <f aca="false">IFERROR(IF(OR(NOT(ISNUMBER(O96)),N(O24)=0),"",O96/O24),"")</f>
        <v/>
      </c>
    </row>
    <row r="98" customFormat="false" ht="15" hidden="true" customHeight="false" outlineLevel="1" collapsed="false">
      <c r="A98" s="11" t="s">
        <v>2177</v>
      </c>
      <c r="B98" s="53" t="str">
        <f aca="false">IF(INDEX(Prod_Nombre,6)="","Producto 6",INDEX(Prod_Nombre,6))</f>
        <v>Producto 6</v>
      </c>
      <c r="C98" s="11" t="s">
        <v>508</v>
      </c>
      <c r="D98" s="48" t="n">
        <f aca="false">IF(cu_P=1,SUMIFS(Calculo!$F$26:$ES$26,Calculo!$F$16:$ES$16,1)*N(INDEX(INS_O,6))*INDEX(IdxOV_O,1,1)*(1+P_dMat)/(1-P_Merma),SUMIFS(Calculo!$F$182:$ES$182,Calculo!$F$172:$ES$172,1)*N(INDEX(INS_V,6))*INDEX(IdxOV_V,1,1)*(1+V_dMat)/(1-V_Merma))</f>
        <v>0</v>
      </c>
      <c r="E98" s="48" t="n">
        <f aca="false">IF(cu_P=1,SUMIFS(Calculo!$F$26:$ES$26,Calculo!$F$14:$ES$14,1)*N(INDEX(INS_O,6))*INDEX(IdxOV_O,1,1)*(1+P_dMat)/(1-P_Merma),SUMIFS(Calculo!$F$182:$ES$182,Calculo!$F$170:$ES$170,1)*N(INDEX(INS_V,6))*INDEX(IdxOV_V,1,1)*(1+V_dMat)/(1-V_Merma))</f>
        <v>0</v>
      </c>
      <c r="F98" s="48" t="n">
        <f aca="false">IF(cu_P=1,SUMIFS(Calculo!$F$26:$ES$26,Calculo!$F$14:$ES$14,2)*N(INDEX(INS_O,6))*INDEX(IdxOV_O,1,2)*(1+P_dMat)/(1-P_Merma),SUMIFS(Calculo!$F$182:$ES$182,Calculo!$F$170:$ES$170,2)*N(INDEX(INS_V,6))*INDEX(IdxOV_V,1,2)*(1+V_dMat)/(1-V_Merma))</f>
        <v>0</v>
      </c>
      <c r="G98" s="48" t="n">
        <f aca="false">IF(cu_P=1,SUMIFS(Calculo!$F$26:$ES$26,Calculo!$F$14:$ES$14,3)*N(INDEX(INS_O,6))*INDEX(IdxOV_O,1,3)*(1+P_dMat)/(1-P_Merma),SUMIFS(Calculo!$F$182:$ES$182,Calculo!$F$170:$ES$170,3)*N(INDEX(INS_V,6))*INDEX(IdxOV_V,1,3)*(1+V_dMat)/(1-V_Merma))</f>
        <v>0</v>
      </c>
      <c r="H98" s="48" t="n">
        <f aca="false">IF(cu_P=1,SUMIFS(Calculo!$F$26:$ES$26,Calculo!$F$14:$ES$14,4)*N(INDEX(INS_O,6))*INDEX(IdxOV_O,1,4)*(1+P_dMat)/(1-P_Merma),SUMIFS(Calculo!$F$182:$ES$182,Calculo!$F$170:$ES$170,4)*N(INDEX(INS_V,6))*INDEX(IdxOV_V,1,4)*(1+V_dMat)/(1-V_Merma))</f>
        <v>0</v>
      </c>
      <c r="I98" s="48" t="n">
        <f aca="false">IF(cu_P=1,SUMIFS(Calculo!$F$26:$ES$26,Calculo!$F$14:$ES$14,5)*N(INDEX(INS_O,6))*INDEX(IdxOV_O,1,5)*(1+P_dMat)/(1-P_Merma),SUMIFS(Calculo!$F$182:$ES$182,Calculo!$F$170:$ES$170,5)*N(INDEX(INS_V,6))*INDEX(IdxOV_V,1,5)*(1+V_dMat)/(1-V_Merma))</f>
        <v>0</v>
      </c>
      <c r="J98" s="48" t="n">
        <f aca="false">IF(cu_P=1,SUMIFS(Calculo!$F$26:$ES$26,Calculo!$F$14:$ES$14,6)*N(INDEX(INS_O,6))*INDEX(IdxOV_O,1,6)*(1+P_dMat)/(1-P_Merma),SUMIFS(Calculo!$F$182:$ES$182,Calculo!$F$170:$ES$170,6)*N(INDEX(INS_V,6))*INDEX(IdxOV_V,1,6)*(1+V_dMat)/(1-V_Merma))</f>
        <v>0</v>
      </c>
      <c r="K98" s="48" t="n">
        <f aca="false">IF(cu_P=1,SUMIFS(Calculo!$F$26:$ES$26,Calculo!$F$14:$ES$14,7)*N(INDEX(INS_O,6))*INDEX(IdxOV_O,1,7)*(1+P_dMat)/(1-P_Merma),SUMIFS(Calculo!$F$182:$ES$182,Calculo!$F$170:$ES$170,7)*N(INDEX(INS_V,6))*INDEX(IdxOV_V,1,7)*(1+V_dMat)/(1-V_Merma))</f>
        <v>0</v>
      </c>
      <c r="L98" s="48" t="n">
        <f aca="false">IF(cu_P=1,SUMIFS(Calculo!$F$26:$ES$26,Calculo!$F$14:$ES$14,8)*N(INDEX(INS_O,6))*INDEX(IdxOV_O,1,8)*(1+P_dMat)/(1-P_Merma),SUMIFS(Calculo!$F$182:$ES$182,Calculo!$F$170:$ES$170,8)*N(INDEX(INS_V,6))*INDEX(IdxOV_V,1,8)*(1+V_dMat)/(1-V_Merma))</f>
        <v>0</v>
      </c>
      <c r="M98" s="48" t="n">
        <f aca="false">IF(cu_P=1,SUMIFS(Calculo!$F$26:$ES$26,Calculo!$F$14:$ES$14,9)*N(INDEX(INS_O,6))*INDEX(IdxOV_O,1,9)*(1+P_dMat)/(1-P_Merma),SUMIFS(Calculo!$F$182:$ES$182,Calculo!$F$170:$ES$170,9)*N(INDEX(INS_V,6))*INDEX(IdxOV_V,1,9)*(1+V_dMat)/(1-V_Merma))</f>
        <v>0</v>
      </c>
      <c r="N98" s="48" t="n">
        <f aca="false">IF(cu_P=1,SUMIFS(Calculo!$F$26:$ES$26,Calculo!$F$14:$ES$14,10)*N(INDEX(INS_O,6))*INDEX(IdxOV_O,1,10)*(1+P_dMat)/(1-P_Merma),SUMIFS(Calculo!$F$182:$ES$182,Calculo!$F$170:$ES$170,10)*N(INDEX(INS_V,6))*INDEX(IdxOV_V,1,10)*(1+V_dMat)/(1-V_Merma))</f>
        <v>0</v>
      </c>
      <c r="O98" s="54" t="n">
        <f aca="false">SUM(D98:N98)</f>
        <v>0</v>
      </c>
    </row>
    <row r="99" customFormat="false" ht="15" hidden="true" customHeight="false" outlineLevel="1" collapsed="false">
      <c r="A99" s="11" t="s">
        <v>2178</v>
      </c>
      <c r="B99" s="15" t="s">
        <v>2087</v>
      </c>
      <c r="C99" s="11" t="s">
        <v>748</v>
      </c>
      <c r="E99" s="50" t="str">
        <f aca="false">IFERROR(IF(OR(NOT(ISNUMBER(E98)),N(E27)=0),"",E98/E27),"")</f>
        <v/>
      </c>
      <c r="F99" s="50" t="str">
        <f aca="false">IFERROR(IF(OR(NOT(ISNUMBER(F98)),N(F27)=0),"",F98/F27),"")</f>
        <v/>
      </c>
      <c r="G99" s="50" t="str">
        <f aca="false">IFERROR(IF(OR(NOT(ISNUMBER(G98)),N(G27)=0),"",G98/G27),"")</f>
        <v/>
      </c>
      <c r="H99" s="50" t="str">
        <f aca="false">IFERROR(IF(OR(NOT(ISNUMBER(H98)),N(H27)=0),"",H98/H27),"")</f>
        <v/>
      </c>
      <c r="I99" s="50" t="str">
        <f aca="false">IFERROR(IF(OR(NOT(ISNUMBER(I98)),N(I27)=0),"",I98/I27),"")</f>
        <v/>
      </c>
      <c r="J99" s="50" t="str">
        <f aca="false">IFERROR(IF(OR(NOT(ISNUMBER(J98)),N(J27)=0),"",J98/J27),"")</f>
        <v/>
      </c>
      <c r="K99" s="50" t="str">
        <f aca="false">IFERROR(IF(OR(NOT(ISNUMBER(K98)),N(K27)=0),"",K98/K27),"")</f>
        <v/>
      </c>
      <c r="L99" s="50" t="str">
        <f aca="false">IFERROR(IF(OR(NOT(ISNUMBER(L98)),N(L27)=0),"",L98/L27),"")</f>
        <v/>
      </c>
      <c r="M99" s="50" t="str">
        <f aca="false">IFERROR(IF(OR(NOT(ISNUMBER(M98)),N(M27)=0),"",M98/M27),"")</f>
        <v/>
      </c>
      <c r="N99" s="50" t="str">
        <f aca="false">IFERROR(IF(OR(NOT(ISNUMBER(N98)),N(N27)=0),"",N98/N27),"")</f>
        <v/>
      </c>
      <c r="O99" s="68" t="str">
        <f aca="false">IFERROR(IF(OR(NOT(ISNUMBER(O98)),N(O27)=0),"",O98/O27),"")</f>
        <v/>
      </c>
    </row>
    <row r="100" customFormat="false" ht="15" hidden="true" customHeight="false" outlineLevel="1" collapsed="false">
      <c r="A100" s="11" t="s">
        <v>2179</v>
      </c>
      <c r="B100" s="53" t="str">
        <f aca="false">IF(INDEX(Prod_Nombre,7)="","Producto 7",INDEX(Prod_Nombre,7))</f>
        <v>Producto 7</v>
      </c>
      <c r="C100" s="11" t="s">
        <v>508</v>
      </c>
      <c r="D100" s="48" t="n">
        <f aca="false">IF(cu_P=1,SUMIFS(Calculo!$F$27:$ES$27,Calculo!$F$16:$ES$16,1)*N(INDEX(INS_O,7))*INDEX(IdxOV_O,1,1)*(1+P_dMat)/(1-P_Merma),SUMIFS(Calculo!$F$183:$ES$183,Calculo!$F$172:$ES$172,1)*N(INDEX(INS_V,7))*INDEX(IdxOV_V,1,1)*(1+V_dMat)/(1-V_Merma))</f>
        <v>0</v>
      </c>
      <c r="E100" s="48" t="n">
        <f aca="false">IF(cu_P=1,SUMIFS(Calculo!$F$27:$ES$27,Calculo!$F$14:$ES$14,1)*N(INDEX(INS_O,7))*INDEX(IdxOV_O,1,1)*(1+P_dMat)/(1-P_Merma),SUMIFS(Calculo!$F$183:$ES$183,Calculo!$F$170:$ES$170,1)*N(INDEX(INS_V,7))*INDEX(IdxOV_V,1,1)*(1+V_dMat)/(1-V_Merma))</f>
        <v>0</v>
      </c>
      <c r="F100" s="48" t="n">
        <f aca="false">IF(cu_P=1,SUMIFS(Calculo!$F$27:$ES$27,Calculo!$F$14:$ES$14,2)*N(INDEX(INS_O,7))*INDEX(IdxOV_O,1,2)*(1+P_dMat)/(1-P_Merma),SUMIFS(Calculo!$F$183:$ES$183,Calculo!$F$170:$ES$170,2)*N(INDEX(INS_V,7))*INDEX(IdxOV_V,1,2)*(1+V_dMat)/(1-V_Merma))</f>
        <v>0</v>
      </c>
      <c r="G100" s="48" t="n">
        <f aca="false">IF(cu_P=1,SUMIFS(Calculo!$F$27:$ES$27,Calculo!$F$14:$ES$14,3)*N(INDEX(INS_O,7))*INDEX(IdxOV_O,1,3)*(1+P_dMat)/(1-P_Merma),SUMIFS(Calculo!$F$183:$ES$183,Calculo!$F$170:$ES$170,3)*N(INDEX(INS_V,7))*INDEX(IdxOV_V,1,3)*(1+V_dMat)/(1-V_Merma))</f>
        <v>0</v>
      </c>
      <c r="H100" s="48" t="n">
        <f aca="false">IF(cu_P=1,SUMIFS(Calculo!$F$27:$ES$27,Calculo!$F$14:$ES$14,4)*N(INDEX(INS_O,7))*INDEX(IdxOV_O,1,4)*(1+P_dMat)/(1-P_Merma),SUMIFS(Calculo!$F$183:$ES$183,Calculo!$F$170:$ES$170,4)*N(INDEX(INS_V,7))*INDEX(IdxOV_V,1,4)*(1+V_dMat)/(1-V_Merma))</f>
        <v>0</v>
      </c>
      <c r="I100" s="48" t="n">
        <f aca="false">IF(cu_P=1,SUMIFS(Calculo!$F$27:$ES$27,Calculo!$F$14:$ES$14,5)*N(INDEX(INS_O,7))*INDEX(IdxOV_O,1,5)*(1+P_dMat)/(1-P_Merma),SUMIFS(Calculo!$F$183:$ES$183,Calculo!$F$170:$ES$170,5)*N(INDEX(INS_V,7))*INDEX(IdxOV_V,1,5)*(1+V_dMat)/(1-V_Merma))</f>
        <v>0</v>
      </c>
      <c r="J100" s="48" t="n">
        <f aca="false">IF(cu_P=1,SUMIFS(Calculo!$F$27:$ES$27,Calculo!$F$14:$ES$14,6)*N(INDEX(INS_O,7))*INDEX(IdxOV_O,1,6)*(1+P_dMat)/(1-P_Merma),SUMIFS(Calculo!$F$183:$ES$183,Calculo!$F$170:$ES$170,6)*N(INDEX(INS_V,7))*INDEX(IdxOV_V,1,6)*(1+V_dMat)/(1-V_Merma))</f>
        <v>0</v>
      </c>
      <c r="K100" s="48" t="n">
        <f aca="false">IF(cu_P=1,SUMIFS(Calculo!$F$27:$ES$27,Calculo!$F$14:$ES$14,7)*N(INDEX(INS_O,7))*INDEX(IdxOV_O,1,7)*(1+P_dMat)/(1-P_Merma),SUMIFS(Calculo!$F$183:$ES$183,Calculo!$F$170:$ES$170,7)*N(INDEX(INS_V,7))*INDEX(IdxOV_V,1,7)*(1+V_dMat)/(1-V_Merma))</f>
        <v>0</v>
      </c>
      <c r="L100" s="48" t="n">
        <f aca="false">IF(cu_P=1,SUMIFS(Calculo!$F$27:$ES$27,Calculo!$F$14:$ES$14,8)*N(INDEX(INS_O,7))*INDEX(IdxOV_O,1,8)*(1+P_dMat)/(1-P_Merma),SUMIFS(Calculo!$F$183:$ES$183,Calculo!$F$170:$ES$170,8)*N(INDEX(INS_V,7))*INDEX(IdxOV_V,1,8)*(1+V_dMat)/(1-V_Merma))</f>
        <v>0</v>
      </c>
      <c r="M100" s="48" t="n">
        <f aca="false">IF(cu_P=1,SUMIFS(Calculo!$F$27:$ES$27,Calculo!$F$14:$ES$14,9)*N(INDEX(INS_O,7))*INDEX(IdxOV_O,1,9)*(1+P_dMat)/(1-P_Merma),SUMIFS(Calculo!$F$183:$ES$183,Calculo!$F$170:$ES$170,9)*N(INDEX(INS_V,7))*INDEX(IdxOV_V,1,9)*(1+V_dMat)/(1-V_Merma))</f>
        <v>0</v>
      </c>
      <c r="N100" s="48" t="n">
        <f aca="false">IF(cu_P=1,SUMIFS(Calculo!$F$27:$ES$27,Calculo!$F$14:$ES$14,10)*N(INDEX(INS_O,7))*INDEX(IdxOV_O,1,10)*(1+P_dMat)/(1-P_Merma),SUMIFS(Calculo!$F$183:$ES$183,Calculo!$F$170:$ES$170,10)*N(INDEX(INS_V,7))*INDEX(IdxOV_V,1,10)*(1+V_dMat)/(1-V_Merma))</f>
        <v>0</v>
      </c>
      <c r="O100" s="54" t="n">
        <f aca="false">SUM(D100:N100)</f>
        <v>0</v>
      </c>
    </row>
    <row r="101" customFormat="false" ht="15" hidden="true" customHeight="false" outlineLevel="1" collapsed="false">
      <c r="A101" s="11" t="s">
        <v>2180</v>
      </c>
      <c r="B101" s="15" t="s">
        <v>2087</v>
      </c>
      <c r="C101" s="11" t="s">
        <v>748</v>
      </c>
      <c r="E101" s="50" t="str">
        <f aca="false">IFERROR(IF(OR(NOT(ISNUMBER(E100)),N(E30)=0),"",E100/E30),"")</f>
        <v/>
      </c>
      <c r="F101" s="50" t="str">
        <f aca="false">IFERROR(IF(OR(NOT(ISNUMBER(F100)),N(F30)=0),"",F100/F30),"")</f>
        <v/>
      </c>
      <c r="G101" s="50" t="str">
        <f aca="false">IFERROR(IF(OR(NOT(ISNUMBER(G100)),N(G30)=0),"",G100/G30),"")</f>
        <v/>
      </c>
      <c r="H101" s="50" t="str">
        <f aca="false">IFERROR(IF(OR(NOT(ISNUMBER(H100)),N(H30)=0),"",H100/H30),"")</f>
        <v/>
      </c>
      <c r="I101" s="50" t="str">
        <f aca="false">IFERROR(IF(OR(NOT(ISNUMBER(I100)),N(I30)=0),"",I100/I30),"")</f>
        <v/>
      </c>
      <c r="J101" s="50" t="str">
        <f aca="false">IFERROR(IF(OR(NOT(ISNUMBER(J100)),N(J30)=0),"",J100/J30),"")</f>
        <v/>
      </c>
      <c r="K101" s="50" t="str">
        <f aca="false">IFERROR(IF(OR(NOT(ISNUMBER(K100)),N(K30)=0),"",K100/K30),"")</f>
        <v/>
      </c>
      <c r="L101" s="50" t="str">
        <f aca="false">IFERROR(IF(OR(NOT(ISNUMBER(L100)),N(L30)=0),"",L100/L30),"")</f>
        <v/>
      </c>
      <c r="M101" s="50" t="str">
        <f aca="false">IFERROR(IF(OR(NOT(ISNUMBER(M100)),N(M30)=0),"",M100/M30),"")</f>
        <v/>
      </c>
      <c r="N101" s="50" t="str">
        <f aca="false">IFERROR(IF(OR(NOT(ISNUMBER(N100)),N(N30)=0),"",N100/N30),"")</f>
        <v/>
      </c>
      <c r="O101" s="68" t="str">
        <f aca="false">IFERROR(IF(OR(NOT(ISNUMBER(O100)),N(O30)=0),"",O100/O30),"")</f>
        <v/>
      </c>
    </row>
    <row r="102" customFormat="false" ht="15" hidden="true" customHeight="false" outlineLevel="1" collapsed="false">
      <c r="A102" s="11" t="s">
        <v>2181</v>
      </c>
      <c r="B102" s="53" t="str">
        <f aca="false">IF(INDEX(Prod_Nombre,8)="","Producto 8",INDEX(Prod_Nombre,8))</f>
        <v>Producto 8</v>
      </c>
      <c r="C102" s="11" t="s">
        <v>508</v>
      </c>
      <c r="D102" s="48" t="n">
        <f aca="false">IF(cu_P=1,SUMIFS(Calculo!$F$28:$ES$28,Calculo!$F$16:$ES$16,1)*N(INDEX(INS_O,8))*INDEX(IdxOV_O,1,1)*(1+P_dMat)/(1-P_Merma),SUMIFS(Calculo!$F$184:$ES$184,Calculo!$F$172:$ES$172,1)*N(INDEX(INS_V,8))*INDEX(IdxOV_V,1,1)*(1+V_dMat)/(1-V_Merma))</f>
        <v>0</v>
      </c>
      <c r="E102" s="48" t="n">
        <f aca="false">IF(cu_P=1,SUMIFS(Calculo!$F$28:$ES$28,Calculo!$F$14:$ES$14,1)*N(INDEX(INS_O,8))*INDEX(IdxOV_O,1,1)*(1+P_dMat)/(1-P_Merma),SUMIFS(Calculo!$F$184:$ES$184,Calculo!$F$170:$ES$170,1)*N(INDEX(INS_V,8))*INDEX(IdxOV_V,1,1)*(1+V_dMat)/(1-V_Merma))</f>
        <v>0</v>
      </c>
      <c r="F102" s="48" t="n">
        <f aca="false">IF(cu_P=1,SUMIFS(Calculo!$F$28:$ES$28,Calculo!$F$14:$ES$14,2)*N(INDEX(INS_O,8))*INDEX(IdxOV_O,1,2)*(1+P_dMat)/(1-P_Merma),SUMIFS(Calculo!$F$184:$ES$184,Calculo!$F$170:$ES$170,2)*N(INDEX(INS_V,8))*INDEX(IdxOV_V,1,2)*(1+V_dMat)/(1-V_Merma))</f>
        <v>0</v>
      </c>
      <c r="G102" s="48" t="n">
        <f aca="false">IF(cu_P=1,SUMIFS(Calculo!$F$28:$ES$28,Calculo!$F$14:$ES$14,3)*N(INDEX(INS_O,8))*INDEX(IdxOV_O,1,3)*(1+P_dMat)/(1-P_Merma),SUMIFS(Calculo!$F$184:$ES$184,Calculo!$F$170:$ES$170,3)*N(INDEX(INS_V,8))*INDEX(IdxOV_V,1,3)*(1+V_dMat)/(1-V_Merma))</f>
        <v>0</v>
      </c>
      <c r="H102" s="48" t="n">
        <f aca="false">IF(cu_P=1,SUMIFS(Calculo!$F$28:$ES$28,Calculo!$F$14:$ES$14,4)*N(INDEX(INS_O,8))*INDEX(IdxOV_O,1,4)*(1+P_dMat)/(1-P_Merma),SUMIFS(Calculo!$F$184:$ES$184,Calculo!$F$170:$ES$170,4)*N(INDEX(INS_V,8))*INDEX(IdxOV_V,1,4)*(1+V_dMat)/(1-V_Merma))</f>
        <v>0</v>
      </c>
      <c r="I102" s="48" t="n">
        <f aca="false">IF(cu_P=1,SUMIFS(Calculo!$F$28:$ES$28,Calculo!$F$14:$ES$14,5)*N(INDEX(INS_O,8))*INDEX(IdxOV_O,1,5)*(1+P_dMat)/(1-P_Merma),SUMIFS(Calculo!$F$184:$ES$184,Calculo!$F$170:$ES$170,5)*N(INDEX(INS_V,8))*INDEX(IdxOV_V,1,5)*(1+V_dMat)/(1-V_Merma))</f>
        <v>0</v>
      </c>
      <c r="J102" s="48" t="n">
        <f aca="false">IF(cu_P=1,SUMIFS(Calculo!$F$28:$ES$28,Calculo!$F$14:$ES$14,6)*N(INDEX(INS_O,8))*INDEX(IdxOV_O,1,6)*(1+P_dMat)/(1-P_Merma),SUMIFS(Calculo!$F$184:$ES$184,Calculo!$F$170:$ES$170,6)*N(INDEX(INS_V,8))*INDEX(IdxOV_V,1,6)*(1+V_dMat)/(1-V_Merma))</f>
        <v>0</v>
      </c>
      <c r="K102" s="48" t="n">
        <f aca="false">IF(cu_P=1,SUMIFS(Calculo!$F$28:$ES$28,Calculo!$F$14:$ES$14,7)*N(INDEX(INS_O,8))*INDEX(IdxOV_O,1,7)*(1+P_dMat)/(1-P_Merma),SUMIFS(Calculo!$F$184:$ES$184,Calculo!$F$170:$ES$170,7)*N(INDEX(INS_V,8))*INDEX(IdxOV_V,1,7)*(1+V_dMat)/(1-V_Merma))</f>
        <v>0</v>
      </c>
      <c r="L102" s="48" t="n">
        <f aca="false">IF(cu_P=1,SUMIFS(Calculo!$F$28:$ES$28,Calculo!$F$14:$ES$14,8)*N(INDEX(INS_O,8))*INDEX(IdxOV_O,1,8)*(1+P_dMat)/(1-P_Merma),SUMIFS(Calculo!$F$184:$ES$184,Calculo!$F$170:$ES$170,8)*N(INDEX(INS_V,8))*INDEX(IdxOV_V,1,8)*(1+V_dMat)/(1-V_Merma))</f>
        <v>0</v>
      </c>
      <c r="M102" s="48" t="n">
        <f aca="false">IF(cu_P=1,SUMIFS(Calculo!$F$28:$ES$28,Calculo!$F$14:$ES$14,9)*N(INDEX(INS_O,8))*INDEX(IdxOV_O,1,9)*(1+P_dMat)/(1-P_Merma),SUMIFS(Calculo!$F$184:$ES$184,Calculo!$F$170:$ES$170,9)*N(INDEX(INS_V,8))*INDEX(IdxOV_V,1,9)*(1+V_dMat)/(1-V_Merma))</f>
        <v>0</v>
      </c>
      <c r="N102" s="48" t="n">
        <f aca="false">IF(cu_P=1,SUMIFS(Calculo!$F$28:$ES$28,Calculo!$F$14:$ES$14,10)*N(INDEX(INS_O,8))*INDEX(IdxOV_O,1,10)*(1+P_dMat)/(1-P_Merma),SUMIFS(Calculo!$F$184:$ES$184,Calculo!$F$170:$ES$170,10)*N(INDEX(INS_V,8))*INDEX(IdxOV_V,1,10)*(1+V_dMat)/(1-V_Merma))</f>
        <v>0</v>
      </c>
      <c r="O102" s="54" t="n">
        <f aca="false">SUM(D102:N102)</f>
        <v>0</v>
      </c>
    </row>
    <row r="103" customFormat="false" ht="15" hidden="true" customHeight="false" outlineLevel="1" collapsed="false">
      <c r="A103" s="11" t="s">
        <v>2182</v>
      </c>
      <c r="B103" s="15" t="s">
        <v>2087</v>
      </c>
      <c r="C103" s="11" t="s">
        <v>748</v>
      </c>
      <c r="E103" s="50" t="str">
        <f aca="false">IFERROR(IF(OR(NOT(ISNUMBER(E102)),N(E33)=0),"",E102/E33),"")</f>
        <v/>
      </c>
      <c r="F103" s="50" t="str">
        <f aca="false">IFERROR(IF(OR(NOT(ISNUMBER(F102)),N(F33)=0),"",F102/F33),"")</f>
        <v/>
      </c>
      <c r="G103" s="50" t="str">
        <f aca="false">IFERROR(IF(OR(NOT(ISNUMBER(G102)),N(G33)=0),"",G102/G33),"")</f>
        <v/>
      </c>
      <c r="H103" s="50" t="str">
        <f aca="false">IFERROR(IF(OR(NOT(ISNUMBER(H102)),N(H33)=0),"",H102/H33),"")</f>
        <v/>
      </c>
      <c r="I103" s="50" t="str">
        <f aca="false">IFERROR(IF(OR(NOT(ISNUMBER(I102)),N(I33)=0),"",I102/I33),"")</f>
        <v/>
      </c>
      <c r="J103" s="50" t="str">
        <f aca="false">IFERROR(IF(OR(NOT(ISNUMBER(J102)),N(J33)=0),"",J102/J33),"")</f>
        <v/>
      </c>
      <c r="K103" s="50" t="str">
        <f aca="false">IFERROR(IF(OR(NOT(ISNUMBER(K102)),N(K33)=0),"",K102/K33),"")</f>
        <v/>
      </c>
      <c r="L103" s="50" t="str">
        <f aca="false">IFERROR(IF(OR(NOT(ISNUMBER(L102)),N(L33)=0),"",L102/L33),"")</f>
        <v/>
      </c>
      <c r="M103" s="50" t="str">
        <f aca="false">IFERROR(IF(OR(NOT(ISNUMBER(M102)),N(M33)=0),"",M102/M33),"")</f>
        <v/>
      </c>
      <c r="N103" s="50" t="str">
        <f aca="false">IFERROR(IF(OR(NOT(ISNUMBER(N102)),N(N33)=0),"",N102/N33),"")</f>
        <v/>
      </c>
      <c r="O103" s="68" t="str">
        <f aca="false">IFERROR(IF(OR(NOT(ISNUMBER(O102)),N(O33)=0),"",O102/O33),"")</f>
        <v/>
      </c>
    </row>
    <row r="104" customFormat="false" ht="15" hidden="true" customHeight="false" outlineLevel="1" collapsed="false">
      <c r="A104" s="11" t="s">
        <v>2183</v>
      </c>
      <c r="B104" s="53" t="str">
        <f aca="false">IF(INDEX(Prod_Nombre,9)="","Producto 9",INDEX(Prod_Nombre,9))</f>
        <v>Producto 9</v>
      </c>
      <c r="C104" s="11" t="s">
        <v>508</v>
      </c>
      <c r="D104" s="48" t="n">
        <f aca="false">IF(cu_P=1,SUMIFS(Calculo!$F$29:$ES$29,Calculo!$F$16:$ES$16,1)*N(INDEX(INS_O,9))*INDEX(IdxOV_O,1,1)*(1+P_dMat)/(1-P_Merma),SUMIFS(Calculo!$F$185:$ES$185,Calculo!$F$172:$ES$172,1)*N(INDEX(INS_V,9))*INDEX(IdxOV_V,1,1)*(1+V_dMat)/(1-V_Merma))</f>
        <v>0</v>
      </c>
      <c r="E104" s="48" t="n">
        <f aca="false">IF(cu_P=1,SUMIFS(Calculo!$F$29:$ES$29,Calculo!$F$14:$ES$14,1)*N(INDEX(INS_O,9))*INDEX(IdxOV_O,1,1)*(1+P_dMat)/(1-P_Merma),SUMIFS(Calculo!$F$185:$ES$185,Calculo!$F$170:$ES$170,1)*N(INDEX(INS_V,9))*INDEX(IdxOV_V,1,1)*(1+V_dMat)/(1-V_Merma))</f>
        <v>0</v>
      </c>
      <c r="F104" s="48" t="n">
        <f aca="false">IF(cu_P=1,SUMIFS(Calculo!$F$29:$ES$29,Calculo!$F$14:$ES$14,2)*N(INDEX(INS_O,9))*INDEX(IdxOV_O,1,2)*(1+P_dMat)/(1-P_Merma),SUMIFS(Calculo!$F$185:$ES$185,Calculo!$F$170:$ES$170,2)*N(INDEX(INS_V,9))*INDEX(IdxOV_V,1,2)*(1+V_dMat)/(1-V_Merma))</f>
        <v>0</v>
      </c>
      <c r="G104" s="48" t="n">
        <f aca="false">IF(cu_P=1,SUMIFS(Calculo!$F$29:$ES$29,Calculo!$F$14:$ES$14,3)*N(INDEX(INS_O,9))*INDEX(IdxOV_O,1,3)*(1+P_dMat)/(1-P_Merma),SUMIFS(Calculo!$F$185:$ES$185,Calculo!$F$170:$ES$170,3)*N(INDEX(INS_V,9))*INDEX(IdxOV_V,1,3)*(1+V_dMat)/(1-V_Merma))</f>
        <v>0</v>
      </c>
      <c r="H104" s="48" t="n">
        <f aca="false">IF(cu_P=1,SUMIFS(Calculo!$F$29:$ES$29,Calculo!$F$14:$ES$14,4)*N(INDEX(INS_O,9))*INDEX(IdxOV_O,1,4)*(1+P_dMat)/(1-P_Merma),SUMIFS(Calculo!$F$185:$ES$185,Calculo!$F$170:$ES$170,4)*N(INDEX(INS_V,9))*INDEX(IdxOV_V,1,4)*(1+V_dMat)/(1-V_Merma))</f>
        <v>0</v>
      </c>
      <c r="I104" s="48" t="n">
        <f aca="false">IF(cu_P=1,SUMIFS(Calculo!$F$29:$ES$29,Calculo!$F$14:$ES$14,5)*N(INDEX(INS_O,9))*INDEX(IdxOV_O,1,5)*(1+P_dMat)/(1-P_Merma),SUMIFS(Calculo!$F$185:$ES$185,Calculo!$F$170:$ES$170,5)*N(INDEX(INS_V,9))*INDEX(IdxOV_V,1,5)*(1+V_dMat)/(1-V_Merma))</f>
        <v>0</v>
      </c>
      <c r="J104" s="48" t="n">
        <f aca="false">IF(cu_P=1,SUMIFS(Calculo!$F$29:$ES$29,Calculo!$F$14:$ES$14,6)*N(INDEX(INS_O,9))*INDEX(IdxOV_O,1,6)*(1+P_dMat)/(1-P_Merma),SUMIFS(Calculo!$F$185:$ES$185,Calculo!$F$170:$ES$170,6)*N(INDEX(INS_V,9))*INDEX(IdxOV_V,1,6)*(1+V_dMat)/(1-V_Merma))</f>
        <v>0</v>
      </c>
      <c r="K104" s="48" t="n">
        <f aca="false">IF(cu_P=1,SUMIFS(Calculo!$F$29:$ES$29,Calculo!$F$14:$ES$14,7)*N(INDEX(INS_O,9))*INDEX(IdxOV_O,1,7)*(1+P_dMat)/(1-P_Merma),SUMIFS(Calculo!$F$185:$ES$185,Calculo!$F$170:$ES$170,7)*N(INDEX(INS_V,9))*INDEX(IdxOV_V,1,7)*(1+V_dMat)/(1-V_Merma))</f>
        <v>0</v>
      </c>
      <c r="L104" s="48" t="n">
        <f aca="false">IF(cu_P=1,SUMIFS(Calculo!$F$29:$ES$29,Calculo!$F$14:$ES$14,8)*N(INDEX(INS_O,9))*INDEX(IdxOV_O,1,8)*(1+P_dMat)/(1-P_Merma),SUMIFS(Calculo!$F$185:$ES$185,Calculo!$F$170:$ES$170,8)*N(INDEX(INS_V,9))*INDEX(IdxOV_V,1,8)*(1+V_dMat)/(1-V_Merma))</f>
        <v>0</v>
      </c>
      <c r="M104" s="48" t="n">
        <f aca="false">IF(cu_P=1,SUMIFS(Calculo!$F$29:$ES$29,Calculo!$F$14:$ES$14,9)*N(INDEX(INS_O,9))*INDEX(IdxOV_O,1,9)*(1+P_dMat)/(1-P_Merma),SUMIFS(Calculo!$F$185:$ES$185,Calculo!$F$170:$ES$170,9)*N(INDEX(INS_V,9))*INDEX(IdxOV_V,1,9)*(1+V_dMat)/(1-V_Merma))</f>
        <v>0</v>
      </c>
      <c r="N104" s="48" t="n">
        <f aca="false">IF(cu_P=1,SUMIFS(Calculo!$F$29:$ES$29,Calculo!$F$14:$ES$14,10)*N(INDEX(INS_O,9))*INDEX(IdxOV_O,1,10)*(1+P_dMat)/(1-P_Merma),SUMIFS(Calculo!$F$185:$ES$185,Calculo!$F$170:$ES$170,10)*N(INDEX(INS_V,9))*INDEX(IdxOV_V,1,10)*(1+V_dMat)/(1-V_Merma))</f>
        <v>0</v>
      </c>
      <c r="O104" s="54" t="n">
        <f aca="false">SUM(D104:N104)</f>
        <v>0</v>
      </c>
    </row>
    <row r="105" customFormat="false" ht="15" hidden="true" customHeight="false" outlineLevel="1" collapsed="false">
      <c r="A105" s="11" t="s">
        <v>2184</v>
      </c>
      <c r="B105" s="15" t="s">
        <v>2087</v>
      </c>
      <c r="C105" s="11" t="s">
        <v>748</v>
      </c>
      <c r="E105" s="50" t="str">
        <f aca="false">IFERROR(IF(OR(NOT(ISNUMBER(E104)),N(E36)=0),"",E104/E36),"")</f>
        <v/>
      </c>
      <c r="F105" s="50" t="str">
        <f aca="false">IFERROR(IF(OR(NOT(ISNUMBER(F104)),N(F36)=0),"",F104/F36),"")</f>
        <v/>
      </c>
      <c r="G105" s="50" t="str">
        <f aca="false">IFERROR(IF(OR(NOT(ISNUMBER(G104)),N(G36)=0),"",G104/G36),"")</f>
        <v/>
      </c>
      <c r="H105" s="50" t="str">
        <f aca="false">IFERROR(IF(OR(NOT(ISNUMBER(H104)),N(H36)=0),"",H104/H36),"")</f>
        <v/>
      </c>
      <c r="I105" s="50" t="str">
        <f aca="false">IFERROR(IF(OR(NOT(ISNUMBER(I104)),N(I36)=0),"",I104/I36),"")</f>
        <v/>
      </c>
      <c r="J105" s="50" t="str">
        <f aca="false">IFERROR(IF(OR(NOT(ISNUMBER(J104)),N(J36)=0),"",J104/J36),"")</f>
        <v/>
      </c>
      <c r="K105" s="50" t="str">
        <f aca="false">IFERROR(IF(OR(NOT(ISNUMBER(K104)),N(K36)=0),"",K104/K36),"")</f>
        <v/>
      </c>
      <c r="L105" s="50" t="str">
        <f aca="false">IFERROR(IF(OR(NOT(ISNUMBER(L104)),N(L36)=0),"",L104/L36),"")</f>
        <v/>
      </c>
      <c r="M105" s="50" t="str">
        <f aca="false">IFERROR(IF(OR(NOT(ISNUMBER(M104)),N(M36)=0),"",M104/M36),"")</f>
        <v/>
      </c>
      <c r="N105" s="50" t="str">
        <f aca="false">IFERROR(IF(OR(NOT(ISNUMBER(N104)),N(N36)=0),"",N104/N36),"")</f>
        <v/>
      </c>
      <c r="O105" s="68" t="str">
        <f aca="false">IFERROR(IF(OR(NOT(ISNUMBER(O104)),N(O36)=0),"",O104/O36),"")</f>
        <v/>
      </c>
    </row>
    <row r="106" customFormat="false" ht="15" hidden="true" customHeight="false" outlineLevel="1" collapsed="false">
      <c r="A106" s="11" t="s">
        <v>2185</v>
      </c>
      <c r="B106" s="53" t="str">
        <f aca="false">IF(INDEX(Prod_Nombre,10)="","Producto 10",INDEX(Prod_Nombre,10))</f>
        <v>Producto 10</v>
      </c>
      <c r="C106" s="11" t="s">
        <v>508</v>
      </c>
      <c r="D106" s="48" t="n">
        <f aca="false">IF(cu_P=1,SUMIFS(Calculo!$F$30:$ES$30,Calculo!$F$16:$ES$16,1)*N(INDEX(INS_O,10))*INDEX(IdxOV_O,1,1)*(1+P_dMat)/(1-P_Merma),SUMIFS(Calculo!$F$186:$ES$186,Calculo!$F$172:$ES$172,1)*N(INDEX(INS_V,10))*INDEX(IdxOV_V,1,1)*(1+V_dMat)/(1-V_Merma))</f>
        <v>0</v>
      </c>
      <c r="E106" s="48" t="n">
        <f aca="false">IF(cu_P=1,SUMIFS(Calculo!$F$30:$ES$30,Calculo!$F$14:$ES$14,1)*N(INDEX(INS_O,10))*INDEX(IdxOV_O,1,1)*(1+P_dMat)/(1-P_Merma),SUMIFS(Calculo!$F$186:$ES$186,Calculo!$F$170:$ES$170,1)*N(INDEX(INS_V,10))*INDEX(IdxOV_V,1,1)*(1+V_dMat)/(1-V_Merma))</f>
        <v>0</v>
      </c>
      <c r="F106" s="48" t="n">
        <f aca="false">IF(cu_P=1,SUMIFS(Calculo!$F$30:$ES$30,Calculo!$F$14:$ES$14,2)*N(INDEX(INS_O,10))*INDEX(IdxOV_O,1,2)*(1+P_dMat)/(1-P_Merma),SUMIFS(Calculo!$F$186:$ES$186,Calculo!$F$170:$ES$170,2)*N(INDEX(INS_V,10))*INDEX(IdxOV_V,1,2)*(1+V_dMat)/(1-V_Merma))</f>
        <v>0</v>
      </c>
      <c r="G106" s="48" t="n">
        <f aca="false">IF(cu_P=1,SUMIFS(Calculo!$F$30:$ES$30,Calculo!$F$14:$ES$14,3)*N(INDEX(INS_O,10))*INDEX(IdxOV_O,1,3)*(1+P_dMat)/(1-P_Merma),SUMIFS(Calculo!$F$186:$ES$186,Calculo!$F$170:$ES$170,3)*N(INDEX(INS_V,10))*INDEX(IdxOV_V,1,3)*(1+V_dMat)/(1-V_Merma))</f>
        <v>0</v>
      </c>
      <c r="H106" s="48" t="n">
        <f aca="false">IF(cu_P=1,SUMIFS(Calculo!$F$30:$ES$30,Calculo!$F$14:$ES$14,4)*N(INDEX(INS_O,10))*INDEX(IdxOV_O,1,4)*(1+P_dMat)/(1-P_Merma),SUMIFS(Calculo!$F$186:$ES$186,Calculo!$F$170:$ES$170,4)*N(INDEX(INS_V,10))*INDEX(IdxOV_V,1,4)*(1+V_dMat)/(1-V_Merma))</f>
        <v>0</v>
      </c>
      <c r="I106" s="48" t="n">
        <f aca="false">IF(cu_P=1,SUMIFS(Calculo!$F$30:$ES$30,Calculo!$F$14:$ES$14,5)*N(INDEX(INS_O,10))*INDEX(IdxOV_O,1,5)*(1+P_dMat)/(1-P_Merma),SUMIFS(Calculo!$F$186:$ES$186,Calculo!$F$170:$ES$170,5)*N(INDEX(INS_V,10))*INDEX(IdxOV_V,1,5)*(1+V_dMat)/(1-V_Merma))</f>
        <v>0</v>
      </c>
      <c r="J106" s="48" t="n">
        <f aca="false">IF(cu_P=1,SUMIFS(Calculo!$F$30:$ES$30,Calculo!$F$14:$ES$14,6)*N(INDEX(INS_O,10))*INDEX(IdxOV_O,1,6)*(1+P_dMat)/(1-P_Merma),SUMIFS(Calculo!$F$186:$ES$186,Calculo!$F$170:$ES$170,6)*N(INDEX(INS_V,10))*INDEX(IdxOV_V,1,6)*(1+V_dMat)/(1-V_Merma))</f>
        <v>0</v>
      </c>
      <c r="K106" s="48" t="n">
        <f aca="false">IF(cu_P=1,SUMIFS(Calculo!$F$30:$ES$30,Calculo!$F$14:$ES$14,7)*N(INDEX(INS_O,10))*INDEX(IdxOV_O,1,7)*(1+P_dMat)/(1-P_Merma),SUMIFS(Calculo!$F$186:$ES$186,Calculo!$F$170:$ES$170,7)*N(INDEX(INS_V,10))*INDEX(IdxOV_V,1,7)*(1+V_dMat)/(1-V_Merma))</f>
        <v>0</v>
      </c>
      <c r="L106" s="48" t="n">
        <f aca="false">IF(cu_P=1,SUMIFS(Calculo!$F$30:$ES$30,Calculo!$F$14:$ES$14,8)*N(INDEX(INS_O,10))*INDEX(IdxOV_O,1,8)*(1+P_dMat)/(1-P_Merma),SUMIFS(Calculo!$F$186:$ES$186,Calculo!$F$170:$ES$170,8)*N(INDEX(INS_V,10))*INDEX(IdxOV_V,1,8)*(1+V_dMat)/(1-V_Merma))</f>
        <v>0</v>
      </c>
      <c r="M106" s="48" t="n">
        <f aca="false">IF(cu_P=1,SUMIFS(Calculo!$F$30:$ES$30,Calculo!$F$14:$ES$14,9)*N(INDEX(INS_O,10))*INDEX(IdxOV_O,1,9)*(1+P_dMat)/(1-P_Merma),SUMIFS(Calculo!$F$186:$ES$186,Calculo!$F$170:$ES$170,9)*N(INDEX(INS_V,10))*INDEX(IdxOV_V,1,9)*(1+V_dMat)/(1-V_Merma))</f>
        <v>0</v>
      </c>
      <c r="N106" s="48" t="n">
        <f aca="false">IF(cu_P=1,SUMIFS(Calculo!$F$30:$ES$30,Calculo!$F$14:$ES$14,10)*N(INDEX(INS_O,10))*INDEX(IdxOV_O,1,10)*(1+P_dMat)/(1-P_Merma),SUMIFS(Calculo!$F$186:$ES$186,Calculo!$F$170:$ES$170,10)*N(INDEX(INS_V,10))*INDEX(IdxOV_V,1,10)*(1+V_dMat)/(1-V_Merma))</f>
        <v>0</v>
      </c>
      <c r="O106" s="54" t="n">
        <f aca="false">SUM(D106:N106)</f>
        <v>0</v>
      </c>
    </row>
    <row r="107" customFormat="false" ht="15" hidden="true" customHeight="false" outlineLevel="1" collapsed="false">
      <c r="A107" s="11" t="s">
        <v>2186</v>
      </c>
      <c r="B107" s="15" t="s">
        <v>2087</v>
      </c>
      <c r="C107" s="11" t="s">
        <v>748</v>
      </c>
      <c r="E107" s="50" t="str">
        <f aca="false">IFERROR(IF(OR(NOT(ISNUMBER(E106)),N(E39)=0),"",E106/E39),"")</f>
        <v/>
      </c>
      <c r="F107" s="50" t="str">
        <f aca="false">IFERROR(IF(OR(NOT(ISNUMBER(F106)),N(F39)=0),"",F106/F39),"")</f>
        <v/>
      </c>
      <c r="G107" s="50" t="str">
        <f aca="false">IFERROR(IF(OR(NOT(ISNUMBER(G106)),N(G39)=0),"",G106/G39),"")</f>
        <v/>
      </c>
      <c r="H107" s="50" t="str">
        <f aca="false">IFERROR(IF(OR(NOT(ISNUMBER(H106)),N(H39)=0),"",H106/H39),"")</f>
        <v/>
      </c>
      <c r="I107" s="50" t="str">
        <f aca="false">IFERROR(IF(OR(NOT(ISNUMBER(I106)),N(I39)=0),"",I106/I39),"")</f>
        <v/>
      </c>
      <c r="J107" s="50" t="str">
        <f aca="false">IFERROR(IF(OR(NOT(ISNUMBER(J106)),N(J39)=0),"",J106/J39),"")</f>
        <v/>
      </c>
      <c r="K107" s="50" t="str">
        <f aca="false">IFERROR(IF(OR(NOT(ISNUMBER(K106)),N(K39)=0),"",K106/K39),"")</f>
        <v/>
      </c>
      <c r="L107" s="50" t="str">
        <f aca="false">IFERROR(IF(OR(NOT(ISNUMBER(L106)),N(L39)=0),"",L106/L39),"")</f>
        <v/>
      </c>
      <c r="M107" s="50" t="str">
        <f aca="false">IFERROR(IF(OR(NOT(ISNUMBER(M106)),N(M39)=0),"",M106/M39),"")</f>
        <v/>
      </c>
      <c r="N107" s="50" t="str">
        <f aca="false">IFERROR(IF(OR(NOT(ISNUMBER(N106)),N(N39)=0),"",N106/N39),"")</f>
        <v/>
      </c>
      <c r="O107" s="68" t="str">
        <f aca="false">IFERROR(IF(OR(NOT(ISNUMBER(O106)),N(O39)=0),"",O106/O39),"")</f>
        <v/>
      </c>
    </row>
    <row r="108" customFormat="false" ht="15" hidden="true" customHeight="false" outlineLevel="1" collapsed="false">
      <c r="A108" s="11" t="s">
        <v>2187</v>
      </c>
      <c r="B108" s="53" t="str">
        <f aca="false">IF(INDEX(Prod_Nombre,11)="","Producto 11",INDEX(Prod_Nombre,11))</f>
        <v>Producto 11</v>
      </c>
      <c r="C108" s="11" t="s">
        <v>508</v>
      </c>
      <c r="D108" s="48" t="n">
        <f aca="false">IF(cu_P=1,SUMIFS(Calculo!$F$31:$ES$31,Calculo!$F$16:$ES$16,1)*N(INDEX(INS_O,11))*INDEX(IdxOV_O,1,1)*(1+P_dMat)/(1-P_Merma),SUMIFS(Calculo!$F$187:$ES$187,Calculo!$F$172:$ES$172,1)*N(INDEX(INS_V,11))*INDEX(IdxOV_V,1,1)*(1+V_dMat)/(1-V_Merma))</f>
        <v>0</v>
      </c>
      <c r="E108" s="48" t="n">
        <f aca="false">IF(cu_P=1,SUMIFS(Calculo!$F$31:$ES$31,Calculo!$F$14:$ES$14,1)*N(INDEX(INS_O,11))*INDEX(IdxOV_O,1,1)*(1+P_dMat)/(1-P_Merma),SUMIFS(Calculo!$F$187:$ES$187,Calculo!$F$170:$ES$170,1)*N(INDEX(INS_V,11))*INDEX(IdxOV_V,1,1)*(1+V_dMat)/(1-V_Merma))</f>
        <v>0</v>
      </c>
      <c r="F108" s="48" t="n">
        <f aca="false">IF(cu_P=1,SUMIFS(Calculo!$F$31:$ES$31,Calculo!$F$14:$ES$14,2)*N(INDEX(INS_O,11))*INDEX(IdxOV_O,1,2)*(1+P_dMat)/(1-P_Merma),SUMIFS(Calculo!$F$187:$ES$187,Calculo!$F$170:$ES$170,2)*N(INDEX(INS_V,11))*INDEX(IdxOV_V,1,2)*(1+V_dMat)/(1-V_Merma))</f>
        <v>0</v>
      </c>
      <c r="G108" s="48" t="n">
        <f aca="false">IF(cu_P=1,SUMIFS(Calculo!$F$31:$ES$31,Calculo!$F$14:$ES$14,3)*N(INDEX(INS_O,11))*INDEX(IdxOV_O,1,3)*(1+P_dMat)/(1-P_Merma),SUMIFS(Calculo!$F$187:$ES$187,Calculo!$F$170:$ES$170,3)*N(INDEX(INS_V,11))*INDEX(IdxOV_V,1,3)*(1+V_dMat)/(1-V_Merma))</f>
        <v>0</v>
      </c>
      <c r="H108" s="48" t="n">
        <f aca="false">IF(cu_P=1,SUMIFS(Calculo!$F$31:$ES$31,Calculo!$F$14:$ES$14,4)*N(INDEX(INS_O,11))*INDEX(IdxOV_O,1,4)*(1+P_dMat)/(1-P_Merma),SUMIFS(Calculo!$F$187:$ES$187,Calculo!$F$170:$ES$170,4)*N(INDEX(INS_V,11))*INDEX(IdxOV_V,1,4)*(1+V_dMat)/(1-V_Merma))</f>
        <v>0</v>
      </c>
      <c r="I108" s="48" t="n">
        <f aca="false">IF(cu_P=1,SUMIFS(Calculo!$F$31:$ES$31,Calculo!$F$14:$ES$14,5)*N(INDEX(INS_O,11))*INDEX(IdxOV_O,1,5)*(1+P_dMat)/(1-P_Merma),SUMIFS(Calculo!$F$187:$ES$187,Calculo!$F$170:$ES$170,5)*N(INDEX(INS_V,11))*INDEX(IdxOV_V,1,5)*(1+V_dMat)/(1-V_Merma))</f>
        <v>0</v>
      </c>
      <c r="J108" s="48" t="n">
        <f aca="false">IF(cu_P=1,SUMIFS(Calculo!$F$31:$ES$31,Calculo!$F$14:$ES$14,6)*N(INDEX(INS_O,11))*INDEX(IdxOV_O,1,6)*(1+P_dMat)/(1-P_Merma),SUMIFS(Calculo!$F$187:$ES$187,Calculo!$F$170:$ES$170,6)*N(INDEX(INS_V,11))*INDEX(IdxOV_V,1,6)*(1+V_dMat)/(1-V_Merma))</f>
        <v>0</v>
      </c>
      <c r="K108" s="48" t="n">
        <f aca="false">IF(cu_P=1,SUMIFS(Calculo!$F$31:$ES$31,Calculo!$F$14:$ES$14,7)*N(INDEX(INS_O,11))*INDEX(IdxOV_O,1,7)*(1+P_dMat)/(1-P_Merma),SUMIFS(Calculo!$F$187:$ES$187,Calculo!$F$170:$ES$170,7)*N(INDEX(INS_V,11))*INDEX(IdxOV_V,1,7)*(1+V_dMat)/(1-V_Merma))</f>
        <v>0</v>
      </c>
      <c r="L108" s="48" t="n">
        <f aca="false">IF(cu_P=1,SUMIFS(Calculo!$F$31:$ES$31,Calculo!$F$14:$ES$14,8)*N(INDEX(INS_O,11))*INDEX(IdxOV_O,1,8)*(1+P_dMat)/(1-P_Merma),SUMIFS(Calculo!$F$187:$ES$187,Calculo!$F$170:$ES$170,8)*N(INDEX(INS_V,11))*INDEX(IdxOV_V,1,8)*(1+V_dMat)/(1-V_Merma))</f>
        <v>0</v>
      </c>
      <c r="M108" s="48" t="n">
        <f aca="false">IF(cu_P=1,SUMIFS(Calculo!$F$31:$ES$31,Calculo!$F$14:$ES$14,9)*N(INDEX(INS_O,11))*INDEX(IdxOV_O,1,9)*(1+P_dMat)/(1-P_Merma),SUMIFS(Calculo!$F$187:$ES$187,Calculo!$F$170:$ES$170,9)*N(INDEX(INS_V,11))*INDEX(IdxOV_V,1,9)*(1+V_dMat)/(1-V_Merma))</f>
        <v>0</v>
      </c>
      <c r="N108" s="48" t="n">
        <f aca="false">IF(cu_P=1,SUMIFS(Calculo!$F$31:$ES$31,Calculo!$F$14:$ES$14,10)*N(INDEX(INS_O,11))*INDEX(IdxOV_O,1,10)*(1+P_dMat)/(1-P_Merma),SUMIFS(Calculo!$F$187:$ES$187,Calculo!$F$170:$ES$170,10)*N(INDEX(INS_V,11))*INDEX(IdxOV_V,1,10)*(1+V_dMat)/(1-V_Merma))</f>
        <v>0</v>
      </c>
      <c r="O108" s="54" t="n">
        <f aca="false">SUM(D108:N108)</f>
        <v>0</v>
      </c>
    </row>
    <row r="109" customFormat="false" ht="15" hidden="true" customHeight="false" outlineLevel="1" collapsed="false">
      <c r="A109" s="11" t="s">
        <v>2188</v>
      </c>
      <c r="B109" s="15" t="s">
        <v>2087</v>
      </c>
      <c r="C109" s="11" t="s">
        <v>748</v>
      </c>
      <c r="E109" s="50" t="str">
        <f aca="false">IFERROR(IF(OR(NOT(ISNUMBER(E108)),N(E42)=0),"",E108/E42),"")</f>
        <v/>
      </c>
      <c r="F109" s="50" t="str">
        <f aca="false">IFERROR(IF(OR(NOT(ISNUMBER(F108)),N(F42)=0),"",F108/F42),"")</f>
        <v/>
      </c>
      <c r="G109" s="50" t="str">
        <f aca="false">IFERROR(IF(OR(NOT(ISNUMBER(G108)),N(G42)=0),"",G108/G42),"")</f>
        <v/>
      </c>
      <c r="H109" s="50" t="str">
        <f aca="false">IFERROR(IF(OR(NOT(ISNUMBER(H108)),N(H42)=0),"",H108/H42),"")</f>
        <v/>
      </c>
      <c r="I109" s="50" t="str">
        <f aca="false">IFERROR(IF(OR(NOT(ISNUMBER(I108)),N(I42)=0),"",I108/I42),"")</f>
        <v/>
      </c>
      <c r="J109" s="50" t="str">
        <f aca="false">IFERROR(IF(OR(NOT(ISNUMBER(J108)),N(J42)=0),"",J108/J42),"")</f>
        <v/>
      </c>
      <c r="K109" s="50" t="str">
        <f aca="false">IFERROR(IF(OR(NOT(ISNUMBER(K108)),N(K42)=0),"",K108/K42),"")</f>
        <v/>
      </c>
      <c r="L109" s="50" t="str">
        <f aca="false">IFERROR(IF(OR(NOT(ISNUMBER(L108)),N(L42)=0),"",L108/L42),"")</f>
        <v/>
      </c>
      <c r="M109" s="50" t="str">
        <f aca="false">IFERROR(IF(OR(NOT(ISNUMBER(M108)),N(M42)=0),"",M108/M42),"")</f>
        <v/>
      </c>
      <c r="N109" s="50" t="str">
        <f aca="false">IFERROR(IF(OR(NOT(ISNUMBER(N108)),N(N42)=0),"",N108/N42),"")</f>
        <v/>
      </c>
      <c r="O109" s="68" t="str">
        <f aca="false">IFERROR(IF(OR(NOT(ISNUMBER(O108)),N(O42)=0),"",O108/O42),"")</f>
        <v/>
      </c>
    </row>
    <row r="110" customFormat="false" ht="15" hidden="true" customHeight="false" outlineLevel="1" collapsed="false">
      <c r="A110" s="11" t="s">
        <v>2189</v>
      </c>
      <c r="B110" s="53" t="str">
        <f aca="false">IF(INDEX(Prod_Nombre,12)="","Producto 12",INDEX(Prod_Nombre,12))</f>
        <v>Producto 12</v>
      </c>
      <c r="C110" s="11" t="s">
        <v>508</v>
      </c>
      <c r="D110" s="48" t="n">
        <f aca="false">IF(cu_P=1,SUMIFS(Calculo!$F$32:$ES$32,Calculo!$F$16:$ES$16,1)*N(INDEX(INS_O,12))*INDEX(IdxOV_O,1,1)*(1+P_dMat)/(1-P_Merma),SUMIFS(Calculo!$F$188:$ES$188,Calculo!$F$172:$ES$172,1)*N(INDEX(INS_V,12))*INDEX(IdxOV_V,1,1)*(1+V_dMat)/(1-V_Merma))</f>
        <v>0</v>
      </c>
      <c r="E110" s="48" t="n">
        <f aca="false">IF(cu_P=1,SUMIFS(Calculo!$F$32:$ES$32,Calculo!$F$14:$ES$14,1)*N(INDEX(INS_O,12))*INDEX(IdxOV_O,1,1)*(1+P_dMat)/(1-P_Merma),SUMIFS(Calculo!$F$188:$ES$188,Calculo!$F$170:$ES$170,1)*N(INDEX(INS_V,12))*INDEX(IdxOV_V,1,1)*(1+V_dMat)/(1-V_Merma))</f>
        <v>0</v>
      </c>
      <c r="F110" s="48" t="n">
        <f aca="false">IF(cu_P=1,SUMIFS(Calculo!$F$32:$ES$32,Calculo!$F$14:$ES$14,2)*N(INDEX(INS_O,12))*INDEX(IdxOV_O,1,2)*(1+P_dMat)/(1-P_Merma),SUMIFS(Calculo!$F$188:$ES$188,Calculo!$F$170:$ES$170,2)*N(INDEX(INS_V,12))*INDEX(IdxOV_V,1,2)*(1+V_dMat)/(1-V_Merma))</f>
        <v>0</v>
      </c>
      <c r="G110" s="48" t="n">
        <f aca="false">IF(cu_P=1,SUMIFS(Calculo!$F$32:$ES$32,Calculo!$F$14:$ES$14,3)*N(INDEX(INS_O,12))*INDEX(IdxOV_O,1,3)*(1+P_dMat)/(1-P_Merma),SUMIFS(Calculo!$F$188:$ES$188,Calculo!$F$170:$ES$170,3)*N(INDEX(INS_V,12))*INDEX(IdxOV_V,1,3)*(1+V_dMat)/(1-V_Merma))</f>
        <v>0</v>
      </c>
      <c r="H110" s="48" t="n">
        <f aca="false">IF(cu_P=1,SUMIFS(Calculo!$F$32:$ES$32,Calculo!$F$14:$ES$14,4)*N(INDEX(INS_O,12))*INDEX(IdxOV_O,1,4)*(1+P_dMat)/(1-P_Merma),SUMIFS(Calculo!$F$188:$ES$188,Calculo!$F$170:$ES$170,4)*N(INDEX(INS_V,12))*INDEX(IdxOV_V,1,4)*(1+V_dMat)/(1-V_Merma))</f>
        <v>0</v>
      </c>
      <c r="I110" s="48" t="n">
        <f aca="false">IF(cu_P=1,SUMIFS(Calculo!$F$32:$ES$32,Calculo!$F$14:$ES$14,5)*N(INDEX(INS_O,12))*INDEX(IdxOV_O,1,5)*(1+P_dMat)/(1-P_Merma),SUMIFS(Calculo!$F$188:$ES$188,Calculo!$F$170:$ES$170,5)*N(INDEX(INS_V,12))*INDEX(IdxOV_V,1,5)*(1+V_dMat)/(1-V_Merma))</f>
        <v>0</v>
      </c>
      <c r="J110" s="48" t="n">
        <f aca="false">IF(cu_P=1,SUMIFS(Calculo!$F$32:$ES$32,Calculo!$F$14:$ES$14,6)*N(INDEX(INS_O,12))*INDEX(IdxOV_O,1,6)*(1+P_dMat)/(1-P_Merma),SUMIFS(Calculo!$F$188:$ES$188,Calculo!$F$170:$ES$170,6)*N(INDEX(INS_V,12))*INDEX(IdxOV_V,1,6)*(1+V_dMat)/(1-V_Merma))</f>
        <v>0</v>
      </c>
      <c r="K110" s="48" t="n">
        <f aca="false">IF(cu_P=1,SUMIFS(Calculo!$F$32:$ES$32,Calculo!$F$14:$ES$14,7)*N(INDEX(INS_O,12))*INDEX(IdxOV_O,1,7)*(1+P_dMat)/(1-P_Merma),SUMIFS(Calculo!$F$188:$ES$188,Calculo!$F$170:$ES$170,7)*N(INDEX(INS_V,12))*INDEX(IdxOV_V,1,7)*(1+V_dMat)/(1-V_Merma))</f>
        <v>0</v>
      </c>
      <c r="L110" s="48" t="n">
        <f aca="false">IF(cu_P=1,SUMIFS(Calculo!$F$32:$ES$32,Calculo!$F$14:$ES$14,8)*N(INDEX(INS_O,12))*INDEX(IdxOV_O,1,8)*(1+P_dMat)/(1-P_Merma),SUMIFS(Calculo!$F$188:$ES$188,Calculo!$F$170:$ES$170,8)*N(INDEX(INS_V,12))*INDEX(IdxOV_V,1,8)*(1+V_dMat)/(1-V_Merma))</f>
        <v>0</v>
      </c>
      <c r="M110" s="48" t="n">
        <f aca="false">IF(cu_P=1,SUMIFS(Calculo!$F$32:$ES$32,Calculo!$F$14:$ES$14,9)*N(INDEX(INS_O,12))*INDEX(IdxOV_O,1,9)*(1+P_dMat)/(1-P_Merma),SUMIFS(Calculo!$F$188:$ES$188,Calculo!$F$170:$ES$170,9)*N(INDEX(INS_V,12))*INDEX(IdxOV_V,1,9)*(1+V_dMat)/(1-V_Merma))</f>
        <v>0</v>
      </c>
      <c r="N110" s="48" t="n">
        <f aca="false">IF(cu_P=1,SUMIFS(Calculo!$F$32:$ES$32,Calculo!$F$14:$ES$14,10)*N(INDEX(INS_O,12))*INDEX(IdxOV_O,1,10)*(1+P_dMat)/(1-P_Merma),SUMIFS(Calculo!$F$188:$ES$188,Calculo!$F$170:$ES$170,10)*N(INDEX(INS_V,12))*INDEX(IdxOV_V,1,10)*(1+V_dMat)/(1-V_Merma))</f>
        <v>0</v>
      </c>
      <c r="O110" s="54" t="n">
        <f aca="false">SUM(D110:N110)</f>
        <v>0</v>
      </c>
    </row>
    <row r="111" customFormat="false" ht="15" hidden="true" customHeight="false" outlineLevel="1" collapsed="false">
      <c r="A111" s="11" t="s">
        <v>2190</v>
      </c>
      <c r="B111" s="15" t="s">
        <v>2087</v>
      </c>
      <c r="C111" s="11" t="s">
        <v>748</v>
      </c>
      <c r="E111" s="50" t="str">
        <f aca="false">IFERROR(IF(OR(NOT(ISNUMBER(E110)),N(E45)=0),"",E110/E45),"")</f>
        <v/>
      </c>
      <c r="F111" s="50" t="str">
        <f aca="false">IFERROR(IF(OR(NOT(ISNUMBER(F110)),N(F45)=0),"",F110/F45),"")</f>
        <v/>
      </c>
      <c r="G111" s="50" t="str">
        <f aca="false">IFERROR(IF(OR(NOT(ISNUMBER(G110)),N(G45)=0),"",G110/G45),"")</f>
        <v/>
      </c>
      <c r="H111" s="50" t="str">
        <f aca="false">IFERROR(IF(OR(NOT(ISNUMBER(H110)),N(H45)=0),"",H110/H45),"")</f>
        <v/>
      </c>
      <c r="I111" s="50" t="str">
        <f aca="false">IFERROR(IF(OR(NOT(ISNUMBER(I110)),N(I45)=0),"",I110/I45),"")</f>
        <v/>
      </c>
      <c r="J111" s="50" t="str">
        <f aca="false">IFERROR(IF(OR(NOT(ISNUMBER(J110)),N(J45)=0),"",J110/J45),"")</f>
        <v/>
      </c>
      <c r="K111" s="50" t="str">
        <f aca="false">IFERROR(IF(OR(NOT(ISNUMBER(K110)),N(K45)=0),"",K110/K45),"")</f>
        <v/>
      </c>
      <c r="L111" s="50" t="str">
        <f aca="false">IFERROR(IF(OR(NOT(ISNUMBER(L110)),N(L45)=0),"",L110/L45),"")</f>
        <v/>
      </c>
      <c r="M111" s="50" t="str">
        <f aca="false">IFERROR(IF(OR(NOT(ISNUMBER(M110)),N(M45)=0),"",M110/M45),"")</f>
        <v/>
      </c>
      <c r="N111" s="50" t="str">
        <f aca="false">IFERROR(IF(OR(NOT(ISNUMBER(N110)),N(N45)=0),"",N110/N45),"")</f>
        <v/>
      </c>
      <c r="O111" s="68" t="str">
        <f aca="false">IFERROR(IF(OR(NOT(ISNUMBER(O110)),N(O45)=0),"",O110/O45),"")</f>
        <v/>
      </c>
    </row>
    <row r="112" customFormat="false" ht="15" hidden="true" customHeight="false" outlineLevel="1" collapsed="false">
      <c r="A112" s="11" t="s">
        <v>2191</v>
      </c>
      <c r="B112" s="53" t="str">
        <f aca="false">IF(INDEX(Prod_Nombre,13)="","Producto 13",INDEX(Prod_Nombre,13))</f>
        <v>Producto 13</v>
      </c>
      <c r="C112" s="11" t="s">
        <v>508</v>
      </c>
      <c r="D112" s="48" t="n">
        <f aca="false">IF(cu_P=1,SUMIFS(Calculo!$F$33:$ES$33,Calculo!$F$16:$ES$16,1)*N(INDEX(INS_O,13))*INDEX(IdxOV_O,1,1)*(1+P_dMat)/(1-P_Merma),SUMIFS(Calculo!$F$189:$ES$189,Calculo!$F$172:$ES$172,1)*N(INDEX(INS_V,13))*INDEX(IdxOV_V,1,1)*(1+V_dMat)/(1-V_Merma))</f>
        <v>0</v>
      </c>
      <c r="E112" s="48" t="n">
        <f aca="false">IF(cu_P=1,SUMIFS(Calculo!$F$33:$ES$33,Calculo!$F$14:$ES$14,1)*N(INDEX(INS_O,13))*INDEX(IdxOV_O,1,1)*(1+P_dMat)/(1-P_Merma),SUMIFS(Calculo!$F$189:$ES$189,Calculo!$F$170:$ES$170,1)*N(INDEX(INS_V,13))*INDEX(IdxOV_V,1,1)*(1+V_dMat)/(1-V_Merma))</f>
        <v>0</v>
      </c>
      <c r="F112" s="48" t="n">
        <f aca="false">IF(cu_P=1,SUMIFS(Calculo!$F$33:$ES$33,Calculo!$F$14:$ES$14,2)*N(INDEX(INS_O,13))*INDEX(IdxOV_O,1,2)*(1+P_dMat)/(1-P_Merma),SUMIFS(Calculo!$F$189:$ES$189,Calculo!$F$170:$ES$170,2)*N(INDEX(INS_V,13))*INDEX(IdxOV_V,1,2)*(1+V_dMat)/(1-V_Merma))</f>
        <v>0</v>
      </c>
      <c r="G112" s="48" t="n">
        <f aca="false">IF(cu_P=1,SUMIFS(Calculo!$F$33:$ES$33,Calculo!$F$14:$ES$14,3)*N(INDEX(INS_O,13))*INDEX(IdxOV_O,1,3)*(1+P_dMat)/(1-P_Merma),SUMIFS(Calculo!$F$189:$ES$189,Calculo!$F$170:$ES$170,3)*N(INDEX(INS_V,13))*INDEX(IdxOV_V,1,3)*(1+V_dMat)/(1-V_Merma))</f>
        <v>0</v>
      </c>
      <c r="H112" s="48" t="n">
        <f aca="false">IF(cu_P=1,SUMIFS(Calculo!$F$33:$ES$33,Calculo!$F$14:$ES$14,4)*N(INDEX(INS_O,13))*INDEX(IdxOV_O,1,4)*(1+P_dMat)/(1-P_Merma),SUMIFS(Calculo!$F$189:$ES$189,Calculo!$F$170:$ES$170,4)*N(INDEX(INS_V,13))*INDEX(IdxOV_V,1,4)*(1+V_dMat)/(1-V_Merma))</f>
        <v>0</v>
      </c>
      <c r="I112" s="48" t="n">
        <f aca="false">IF(cu_P=1,SUMIFS(Calculo!$F$33:$ES$33,Calculo!$F$14:$ES$14,5)*N(INDEX(INS_O,13))*INDEX(IdxOV_O,1,5)*(1+P_dMat)/(1-P_Merma),SUMIFS(Calculo!$F$189:$ES$189,Calculo!$F$170:$ES$170,5)*N(INDEX(INS_V,13))*INDEX(IdxOV_V,1,5)*(1+V_dMat)/(1-V_Merma))</f>
        <v>0</v>
      </c>
      <c r="J112" s="48" t="n">
        <f aca="false">IF(cu_P=1,SUMIFS(Calculo!$F$33:$ES$33,Calculo!$F$14:$ES$14,6)*N(INDEX(INS_O,13))*INDEX(IdxOV_O,1,6)*(1+P_dMat)/(1-P_Merma),SUMIFS(Calculo!$F$189:$ES$189,Calculo!$F$170:$ES$170,6)*N(INDEX(INS_V,13))*INDEX(IdxOV_V,1,6)*(1+V_dMat)/(1-V_Merma))</f>
        <v>0</v>
      </c>
      <c r="K112" s="48" t="n">
        <f aca="false">IF(cu_P=1,SUMIFS(Calculo!$F$33:$ES$33,Calculo!$F$14:$ES$14,7)*N(INDEX(INS_O,13))*INDEX(IdxOV_O,1,7)*(1+P_dMat)/(1-P_Merma),SUMIFS(Calculo!$F$189:$ES$189,Calculo!$F$170:$ES$170,7)*N(INDEX(INS_V,13))*INDEX(IdxOV_V,1,7)*(1+V_dMat)/(1-V_Merma))</f>
        <v>0</v>
      </c>
      <c r="L112" s="48" t="n">
        <f aca="false">IF(cu_P=1,SUMIFS(Calculo!$F$33:$ES$33,Calculo!$F$14:$ES$14,8)*N(INDEX(INS_O,13))*INDEX(IdxOV_O,1,8)*(1+P_dMat)/(1-P_Merma),SUMIFS(Calculo!$F$189:$ES$189,Calculo!$F$170:$ES$170,8)*N(INDEX(INS_V,13))*INDEX(IdxOV_V,1,8)*(1+V_dMat)/(1-V_Merma))</f>
        <v>0</v>
      </c>
      <c r="M112" s="48" t="n">
        <f aca="false">IF(cu_P=1,SUMIFS(Calculo!$F$33:$ES$33,Calculo!$F$14:$ES$14,9)*N(INDEX(INS_O,13))*INDEX(IdxOV_O,1,9)*(1+P_dMat)/(1-P_Merma),SUMIFS(Calculo!$F$189:$ES$189,Calculo!$F$170:$ES$170,9)*N(INDEX(INS_V,13))*INDEX(IdxOV_V,1,9)*(1+V_dMat)/(1-V_Merma))</f>
        <v>0</v>
      </c>
      <c r="N112" s="48" t="n">
        <f aca="false">IF(cu_P=1,SUMIFS(Calculo!$F$33:$ES$33,Calculo!$F$14:$ES$14,10)*N(INDEX(INS_O,13))*INDEX(IdxOV_O,1,10)*(1+P_dMat)/(1-P_Merma),SUMIFS(Calculo!$F$189:$ES$189,Calculo!$F$170:$ES$170,10)*N(INDEX(INS_V,13))*INDEX(IdxOV_V,1,10)*(1+V_dMat)/(1-V_Merma))</f>
        <v>0</v>
      </c>
      <c r="O112" s="54" t="n">
        <f aca="false">SUM(D112:N112)</f>
        <v>0</v>
      </c>
    </row>
    <row r="113" customFormat="false" ht="15" hidden="true" customHeight="false" outlineLevel="1" collapsed="false">
      <c r="A113" s="11" t="s">
        <v>2192</v>
      </c>
      <c r="B113" s="15" t="s">
        <v>2087</v>
      </c>
      <c r="C113" s="11" t="s">
        <v>748</v>
      </c>
      <c r="E113" s="50" t="str">
        <f aca="false">IFERROR(IF(OR(NOT(ISNUMBER(E112)),N(E48)=0),"",E112/E48),"")</f>
        <v/>
      </c>
      <c r="F113" s="50" t="str">
        <f aca="false">IFERROR(IF(OR(NOT(ISNUMBER(F112)),N(F48)=0),"",F112/F48),"")</f>
        <v/>
      </c>
      <c r="G113" s="50" t="str">
        <f aca="false">IFERROR(IF(OR(NOT(ISNUMBER(G112)),N(G48)=0),"",G112/G48),"")</f>
        <v/>
      </c>
      <c r="H113" s="50" t="str">
        <f aca="false">IFERROR(IF(OR(NOT(ISNUMBER(H112)),N(H48)=0),"",H112/H48),"")</f>
        <v/>
      </c>
      <c r="I113" s="50" t="str">
        <f aca="false">IFERROR(IF(OR(NOT(ISNUMBER(I112)),N(I48)=0),"",I112/I48),"")</f>
        <v/>
      </c>
      <c r="J113" s="50" t="str">
        <f aca="false">IFERROR(IF(OR(NOT(ISNUMBER(J112)),N(J48)=0),"",J112/J48),"")</f>
        <v/>
      </c>
      <c r="K113" s="50" t="str">
        <f aca="false">IFERROR(IF(OR(NOT(ISNUMBER(K112)),N(K48)=0),"",K112/K48),"")</f>
        <v/>
      </c>
      <c r="L113" s="50" t="str">
        <f aca="false">IFERROR(IF(OR(NOT(ISNUMBER(L112)),N(L48)=0),"",L112/L48),"")</f>
        <v/>
      </c>
      <c r="M113" s="50" t="str">
        <f aca="false">IFERROR(IF(OR(NOT(ISNUMBER(M112)),N(M48)=0),"",M112/M48),"")</f>
        <v/>
      </c>
      <c r="N113" s="50" t="str">
        <f aca="false">IFERROR(IF(OR(NOT(ISNUMBER(N112)),N(N48)=0),"",N112/N48),"")</f>
        <v/>
      </c>
      <c r="O113" s="68" t="str">
        <f aca="false">IFERROR(IF(OR(NOT(ISNUMBER(O112)),N(O48)=0),"",O112/O48),"")</f>
        <v/>
      </c>
    </row>
    <row r="114" customFormat="false" ht="15" hidden="true" customHeight="false" outlineLevel="1" collapsed="false">
      <c r="A114" s="11" t="s">
        <v>2193</v>
      </c>
      <c r="B114" s="53" t="str">
        <f aca="false">IF(INDEX(Prod_Nombre,14)="","Producto 14",INDEX(Prod_Nombre,14))</f>
        <v>Producto 14</v>
      </c>
      <c r="C114" s="11" t="s">
        <v>508</v>
      </c>
      <c r="D114" s="48" t="n">
        <f aca="false">IF(cu_P=1,SUMIFS(Calculo!$F$34:$ES$34,Calculo!$F$16:$ES$16,1)*N(INDEX(INS_O,14))*INDEX(IdxOV_O,1,1)*(1+P_dMat)/(1-P_Merma),SUMIFS(Calculo!$F$190:$ES$190,Calculo!$F$172:$ES$172,1)*N(INDEX(INS_V,14))*INDEX(IdxOV_V,1,1)*(1+V_dMat)/(1-V_Merma))</f>
        <v>0</v>
      </c>
      <c r="E114" s="48" t="n">
        <f aca="false">IF(cu_P=1,SUMIFS(Calculo!$F$34:$ES$34,Calculo!$F$14:$ES$14,1)*N(INDEX(INS_O,14))*INDEX(IdxOV_O,1,1)*(1+P_dMat)/(1-P_Merma),SUMIFS(Calculo!$F$190:$ES$190,Calculo!$F$170:$ES$170,1)*N(INDEX(INS_V,14))*INDEX(IdxOV_V,1,1)*(1+V_dMat)/(1-V_Merma))</f>
        <v>0</v>
      </c>
      <c r="F114" s="48" t="n">
        <f aca="false">IF(cu_P=1,SUMIFS(Calculo!$F$34:$ES$34,Calculo!$F$14:$ES$14,2)*N(INDEX(INS_O,14))*INDEX(IdxOV_O,1,2)*(1+P_dMat)/(1-P_Merma),SUMIFS(Calculo!$F$190:$ES$190,Calculo!$F$170:$ES$170,2)*N(INDEX(INS_V,14))*INDEX(IdxOV_V,1,2)*(1+V_dMat)/(1-V_Merma))</f>
        <v>0</v>
      </c>
      <c r="G114" s="48" t="n">
        <f aca="false">IF(cu_P=1,SUMIFS(Calculo!$F$34:$ES$34,Calculo!$F$14:$ES$14,3)*N(INDEX(INS_O,14))*INDEX(IdxOV_O,1,3)*(1+P_dMat)/(1-P_Merma),SUMIFS(Calculo!$F$190:$ES$190,Calculo!$F$170:$ES$170,3)*N(INDEX(INS_V,14))*INDEX(IdxOV_V,1,3)*(1+V_dMat)/(1-V_Merma))</f>
        <v>0</v>
      </c>
      <c r="H114" s="48" t="n">
        <f aca="false">IF(cu_P=1,SUMIFS(Calculo!$F$34:$ES$34,Calculo!$F$14:$ES$14,4)*N(INDEX(INS_O,14))*INDEX(IdxOV_O,1,4)*(1+P_dMat)/(1-P_Merma),SUMIFS(Calculo!$F$190:$ES$190,Calculo!$F$170:$ES$170,4)*N(INDEX(INS_V,14))*INDEX(IdxOV_V,1,4)*(1+V_dMat)/(1-V_Merma))</f>
        <v>0</v>
      </c>
      <c r="I114" s="48" t="n">
        <f aca="false">IF(cu_P=1,SUMIFS(Calculo!$F$34:$ES$34,Calculo!$F$14:$ES$14,5)*N(INDEX(INS_O,14))*INDEX(IdxOV_O,1,5)*(1+P_dMat)/(1-P_Merma),SUMIFS(Calculo!$F$190:$ES$190,Calculo!$F$170:$ES$170,5)*N(INDEX(INS_V,14))*INDEX(IdxOV_V,1,5)*(1+V_dMat)/(1-V_Merma))</f>
        <v>0</v>
      </c>
      <c r="J114" s="48" t="n">
        <f aca="false">IF(cu_P=1,SUMIFS(Calculo!$F$34:$ES$34,Calculo!$F$14:$ES$14,6)*N(INDEX(INS_O,14))*INDEX(IdxOV_O,1,6)*(1+P_dMat)/(1-P_Merma),SUMIFS(Calculo!$F$190:$ES$190,Calculo!$F$170:$ES$170,6)*N(INDEX(INS_V,14))*INDEX(IdxOV_V,1,6)*(1+V_dMat)/(1-V_Merma))</f>
        <v>0</v>
      </c>
      <c r="K114" s="48" t="n">
        <f aca="false">IF(cu_P=1,SUMIFS(Calculo!$F$34:$ES$34,Calculo!$F$14:$ES$14,7)*N(INDEX(INS_O,14))*INDEX(IdxOV_O,1,7)*(1+P_dMat)/(1-P_Merma),SUMIFS(Calculo!$F$190:$ES$190,Calculo!$F$170:$ES$170,7)*N(INDEX(INS_V,14))*INDEX(IdxOV_V,1,7)*(1+V_dMat)/(1-V_Merma))</f>
        <v>0</v>
      </c>
      <c r="L114" s="48" t="n">
        <f aca="false">IF(cu_P=1,SUMIFS(Calculo!$F$34:$ES$34,Calculo!$F$14:$ES$14,8)*N(INDEX(INS_O,14))*INDEX(IdxOV_O,1,8)*(1+P_dMat)/(1-P_Merma),SUMIFS(Calculo!$F$190:$ES$190,Calculo!$F$170:$ES$170,8)*N(INDEX(INS_V,14))*INDEX(IdxOV_V,1,8)*(1+V_dMat)/(1-V_Merma))</f>
        <v>0</v>
      </c>
      <c r="M114" s="48" t="n">
        <f aca="false">IF(cu_P=1,SUMIFS(Calculo!$F$34:$ES$34,Calculo!$F$14:$ES$14,9)*N(INDEX(INS_O,14))*INDEX(IdxOV_O,1,9)*(1+P_dMat)/(1-P_Merma),SUMIFS(Calculo!$F$190:$ES$190,Calculo!$F$170:$ES$170,9)*N(INDEX(INS_V,14))*INDEX(IdxOV_V,1,9)*(1+V_dMat)/(1-V_Merma))</f>
        <v>0</v>
      </c>
      <c r="N114" s="48" t="n">
        <f aca="false">IF(cu_P=1,SUMIFS(Calculo!$F$34:$ES$34,Calculo!$F$14:$ES$14,10)*N(INDEX(INS_O,14))*INDEX(IdxOV_O,1,10)*(1+P_dMat)/(1-P_Merma),SUMIFS(Calculo!$F$190:$ES$190,Calculo!$F$170:$ES$170,10)*N(INDEX(INS_V,14))*INDEX(IdxOV_V,1,10)*(1+V_dMat)/(1-V_Merma))</f>
        <v>0</v>
      </c>
      <c r="O114" s="54" t="n">
        <f aca="false">SUM(D114:N114)</f>
        <v>0</v>
      </c>
    </row>
    <row r="115" customFormat="false" ht="15" hidden="true" customHeight="false" outlineLevel="1" collapsed="false">
      <c r="A115" s="11" t="s">
        <v>2194</v>
      </c>
      <c r="B115" s="15" t="s">
        <v>2087</v>
      </c>
      <c r="C115" s="11" t="s">
        <v>748</v>
      </c>
      <c r="E115" s="50" t="str">
        <f aca="false">IFERROR(IF(OR(NOT(ISNUMBER(E114)),N(E51)=0),"",E114/E51),"")</f>
        <v/>
      </c>
      <c r="F115" s="50" t="str">
        <f aca="false">IFERROR(IF(OR(NOT(ISNUMBER(F114)),N(F51)=0),"",F114/F51),"")</f>
        <v/>
      </c>
      <c r="G115" s="50" t="str">
        <f aca="false">IFERROR(IF(OR(NOT(ISNUMBER(G114)),N(G51)=0),"",G114/G51),"")</f>
        <v/>
      </c>
      <c r="H115" s="50" t="str">
        <f aca="false">IFERROR(IF(OR(NOT(ISNUMBER(H114)),N(H51)=0),"",H114/H51),"")</f>
        <v/>
      </c>
      <c r="I115" s="50" t="str">
        <f aca="false">IFERROR(IF(OR(NOT(ISNUMBER(I114)),N(I51)=0),"",I114/I51),"")</f>
        <v/>
      </c>
      <c r="J115" s="50" t="str">
        <f aca="false">IFERROR(IF(OR(NOT(ISNUMBER(J114)),N(J51)=0),"",J114/J51),"")</f>
        <v/>
      </c>
      <c r="K115" s="50" t="str">
        <f aca="false">IFERROR(IF(OR(NOT(ISNUMBER(K114)),N(K51)=0),"",K114/K51),"")</f>
        <v/>
      </c>
      <c r="L115" s="50" t="str">
        <f aca="false">IFERROR(IF(OR(NOT(ISNUMBER(L114)),N(L51)=0),"",L114/L51),"")</f>
        <v/>
      </c>
      <c r="M115" s="50" t="str">
        <f aca="false">IFERROR(IF(OR(NOT(ISNUMBER(M114)),N(M51)=0),"",M114/M51),"")</f>
        <v/>
      </c>
      <c r="N115" s="50" t="str">
        <f aca="false">IFERROR(IF(OR(NOT(ISNUMBER(N114)),N(N51)=0),"",N114/N51),"")</f>
        <v/>
      </c>
      <c r="O115" s="68" t="str">
        <f aca="false">IFERROR(IF(OR(NOT(ISNUMBER(O114)),N(O51)=0),"",O114/O51),"")</f>
        <v/>
      </c>
    </row>
    <row r="116" customFormat="false" ht="15" hidden="true" customHeight="false" outlineLevel="1" collapsed="false">
      <c r="A116" s="11" t="s">
        <v>2195</v>
      </c>
      <c r="B116" s="53" t="str">
        <f aca="false">IF(INDEX(Prod_Nombre,15)="","Producto 15",INDEX(Prod_Nombre,15))</f>
        <v>Producto 15</v>
      </c>
      <c r="C116" s="11" t="s">
        <v>508</v>
      </c>
      <c r="D116" s="48" t="n">
        <f aca="false">IF(cu_P=1,SUMIFS(Calculo!$F$35:$ES$35,Calculo!$F$16:$ES$16,1)*N(INDEX(INS_O,15))*INDEX(IdxOV_O,1,1)*(1+P_dMat)/(1-P_Merma),SUMIFS(Calculo!$F$191:$ES$191,Calculo!$F$172:$ES$172,1)*N(INDEX(INS_V,15))*INDEX(IdxOV_V,1,1)*(1+V_dMat)/(1-V_Merma))</f>
        <v>0</v>
      </c>
      <c r="E116" s="48" t="n">
        <f aca="false">IF(cu_P=1,SUMIFS(Calculo!$F$35:$ES$35,Calculo!$F$14:$ES$14,1)*N(INDEX(INS_O,15))*INDEX(IdxOV_O,1,1)*(1+P_dMat)/(1-P_Merma),SUMIFS(Calculo!$F$191:$ES$191,Calculo!$F$170:$ES$170,1)*N(INDEX(INS_V,15))*INDEX(IdxOV_V,1,1)*(1+V_dMat)/(1-V_Merma))</f>
        <v>0</v>
      </c>
      <c r="F116" s="48" t="n">
        <f aca="false">IF(cu_P=1,SUMIFS(Calculo!$F$35:$ES$35,Calculo!$F$14:$ES$14,2)*N(INDEX(INS_O,15))*INDEX(IdxOV_O,1,2)*(1+P_dMat)/(1-P_Merma),SUMIFS(Calculo!$F$191:$ES$191,Calculo!$F$170:$ES$170,2)*N(INDEX(INS_V,15))*INDEX(IdxOV_V,1,2)*(1+V_dMat)/(1-V_Merma))</f>
        <v>0</v>
      </c>
      <c r="G116" s="48" t="n">
        <f aca="false">IF(cu_P=1,SUMIFS(Calculo!$F$35:$ES$35,Calculo!$F$14:$ES$14,3)*N(INDEX(INS_O,15))*INDEX(IdxOV_O,1,3)*(1+P_dMat)/(1-P_Merma),SUMIFS(Calculo!$F$191:$ES$191,Calculo!$F$170:$ES$170,3)*N(INDEX(INS_V,15))*INDEX(IdxOV_V,1,3)*(1+V_dMat)/(1-V_Merma))</f>
        <v>0</v>
      </c>
      <c r="H116" s="48" t="n">
        <f aca="false">IF(cu_P=1,SUMIFS(Calculo!$F$35:$ES$35,Calculo!$F$14:$ES$14,4)*N(INDEX(INS_O,15))*INDEX(IdxOV_O,1,4)*(1+P_dMat)/(1-P_Merma),SUMIFS(Calculo!$F$191:$ES$191,Calculo!$F$170:$ES$170,4)*N(INDEX(INS_V,15))*INDEX(IdxOV_V,1,4)*(1+V_dMat)/(1-V_Merma))</f>
        <v>0</v>
      </c>
      <c r="I116" s="48" t="n">
        <f aca="false">IF(cu_P=1,SUMIFS(Calculo!$F$35:$ES$35,Calculo!$F$14:$ES$14,5)*N(INDEX(INS_O,15))*INDEX(IdxOV_O,1,5)*(1+P_dMat)/(1-P_Merma),SUMIFS(Calculo!$F$191:$ES$191,Calculo!$F$170:$ES$170,5)*N(INDEX(INS_V,15))*INDEX(IdxOV_V,1,5)*(1+V_dMat)/(1-V_Merma))</f>
        <v>0</v>
      </c>
      <c r="J116" s="48" t="n">
        <f aca="false">IF(cu_P=1,SUMIFS(Calculo!$F$35:$ES$35,Calculo!$F$14:$ES$14,6)*N(INDEX(INS_O,15))*INDEX(IdxOV_O,1,6)*(1+P_dMat)/(1-P_Merma),SUMIFS(Calculo!$F$191:$ES$191,Calculo!$F$170:$ES$170,6)*N(INDEX(INS_V,15))*INDEX(IdxOV_V,1,6)*(1+V_dMat)/(1-V_Merma))</f>
        <v>0</v>
      </c>
      <c r="K116" s="48" t="n">
        <f aca="false">IF(cu_P=1,SUMIFS(Calculo!$F$35:$ES$35,Calculo!$F$14:$ES$14,7)*N(INDEX(INS_O,15))*INDEX(IdxOV_O,1,7)*(1+P_dMat)/(1-P_Merma),SUMIFS(Calculo!$F$191:$ES$191,Calculo!$F$170:$ES$170,7)*N(INDEX(INS_V,15))*INDEX(IdxOV_V,1,7)*(1+V_dMat)/(1-V_Merma))</f>
        <v>0</v>
      </c>
      <c r="L116" s="48" t="n">
        <f aca="false">IF(cu_P=1,SUMIFS(Calculo!$F$35:$ES$35,Calculo!$F$14:$ES$14,8)*N(INDEX(INS_O,15))*INDEX(IdxOV_O,1,8)*(1+P_dMat)/(1-P_Merma),SUMIFS(Calculo!$F$191:$ES$191,Calculo!$F$170:$ES$170,8)*N(INDEX(INS_V,15))*INDEX(IdxOV_V,1,8)*(1+V_dMat)/(1-V_Merma))</f>
        <v>0</v>
      </c>
      <c r="M116" s="48" t="n">
        <f aca="false">IF(cu_P=1,SUMIFS(Calculo!$F$35:$ES$35,Calculo!$F$14:$ES$14,9)*N(INDEX(INS_O,15))*INDEX(IdxOV_O,1,9)*(1+P_dMat)/(1-P_Merma),SUMIFS(Calculo!$F$191:$ES$191,Calculo!$F$170:$ES$170,9)*N(INDEX(INS_V,15))*INDEX(IdxOV_V,1,9)*(1+V_dMat)/(1-V_Merma))</f>
        <v>0</v>
      </c>
      <c r="N116" s="48" t="n">
        <f aca="false">IF(cu_P=1,SUMIFS(Calculo!$F$35:$ES$35,Calculo!$F$14:$ES$14,10)*N(INDEX(INS_O,15))*INDEX(IdxOV_O,1,10)*(1+P_dMat)/(1-P_Merma),SUMIFS(Calculo!$F$191:$ES$191,Calculo!$F$170:$ES$170,10)*N(INDEX(INS_V,15))*INDEX(IdxOV_V,1,10)*(1+V_dMat)/(1-V_Merma))</f>
        <v>0</v>
      </c>
      <c r="O116" s="54" t="n">
        <f aca="false">SUM(D116:N116)</f>
        <v>0</v>
      </c>
    </row>
    <row r="117" customFormat="false" ht="15" hidden="true" customHeight="false" outlineLevel="1" collapsed="false">
      <c r="A117" s="11" t="s">
        <v>2196</v>
      </c>
      <c r="B117" s="15" t="s">
        <v>2087</v>
      </c>
      <c r="C117" s="11" t="s">
        <v>748</v>
      </c>
      <c r="E117" s="50" t="str">
        <f aca="false">IFERROR(IF(OR(NOT(ISNUMBER(E116)),N(E54)=0),"",E116/E54),"")</f>
        <v/>
      </c>
      <c r="F117" s="50" t="str">
        <f aca="false">IFERROR(IF(OR(NOT(ISNUMBER(F116)),N(F54)=0),"",F116/F54),"")</f>
        <v/>
      </c>
      <c r="G117" s="50" t="str">
        <f aca="false">IFERROR(IF(OR(NOT(ISNUMBER(G116)),N(G54)=0),"",G116/G54),"")</f>
        <v/>
      </c>
      <c r="H117" s="50" t="str">
        <f aca="false">IFERROR(IF(OR(NOT(ISNUMBER(H116)),N(H54)=0),"",H116/H54),"")</f>
        <v/>
      </c>
      <c r="I117" s="50" t="str">
        <f aca="false">IFERROR(IF(OR(NOT(ISNUMBER(I116)),N(I54)=0),"",I116/I54),"")</f>
        <v/>
      </c>
      <c r="J117" s="50" t="str">
        <f aca="false">IFERROR(IF(OR(NOT(ISNUMBER(J116)),N(J54)=0),"",J116/J54),"")</f>
        <v/>
      </c>
      <c r="K117" s="50" t="str">
        <f aca="false">IFERROR(IF(OR(NOT(ISNUMBER(K116)),N(K54)=0),"",K116/K54),"")</f>
        <v/>
      </c>
      <c r="L117" s="50" t="str">
        <f aca="false">IFERROR(IF(OR(NOT(ISNUMBER(L116)),N(L54)=0),"",L116/L54),"")</f>
        <v/>
      </c>
      <c r="M117" s="50" t="str">
        <f aca="false">IFERROR(IF(OR(NOT(ISNUMBER(M116)),N(M54)=0),"",M116/M54),"")</f>
        <v/>
      </c>
      <c r="N117" s="50" t="str">
        <f aca="false">IFERROR(IF(OR(NOT(ISNUMBER(N116)),N(N54)=0),"",N116/N54),"")</f>
        <v/>
      </c>
      <c r="O117" s="68" t="str">
        <f aca="false">IFERROR(IF(OR(NOT(ISNUMBER(O116)),N(O54)=0),"",O116/O54),"")</f>
        <v/>
      </c>
    </row>
    <row r="118" customFormat="false" ht="15" hidden="true" customHeight="false" outlineLevel="1" collapsed="false">
      <c r="A118" s="11" t="s">
        <v>2197</v>
      </c>
      <c r="B118" s="53" t="str">
        <f aca="false">IF(INDEX(Prod_Nombre,16)="","Producto 16",INDEX(Prod_Nombre,16))</f>
        <v>Producto 16</v>
      </c>
      <c r="C118" s="11" t="s">
        <v>508</v>
      </c>
      <c r="D118" s="48" t="n">
        <f aca="false">IF(cu_P=1,SUMIFS(Calculo!$F$36:$ES$36,Calculo!$F$16:$ES$16,1)*N(INDEX(INS_O,16))*INDEX(IdxOV_O,1,1)*(1+P_dMat)/(1-P_Merma),SUMIFS(Calculo!$F$192:$ES$192,Calculo!$F$172:$ES$172,1)*N(INDEX(INS_V,16))*INDEX(IdxOV_V,1,1)*(1+V_dMat)/(1-V_Merma))</f>
        <v>0</v>
      </c>
      <c r="E118" s="48" t="n">
        <f aca="false">IF(cu_P=1,SUMIFS(Calculo!$F$36:$ES$36,Calculo!$F$14:$ES$14,1)*N(INDEX(INS_O,16))*INDEX(IdxOV_O,1,1)*(1+P_dMat)/(1-P_Merma),SUMIFS(Calculo!$F$192:$ES$192,Calculo!$F$170:$ES$170,1)*N(INDEX(INS_V,16))*INDEX(IdxOV_V,1,1)*(1+V_dMat)/(1-V_Merma))</f>
        <v>0</v>
      </c>
      <c r="F118" s="48" t="n">
        <f aca="false">IF(cu_P=1,SUMIFS(Calculo!$F$36:$ES$36,Calculo!$F$14:$ES$14,2)*N(INDEX(INS_O,16))*INDEX(IdxOV_O,1,2)*(1+P_dMat)/(1-P_Merma),SUMIFS(Calculo!$F$192:$ES$192,Calculo!$F$170:$ES$170,2)*N(INDEX(INS_V,16))*INDEX(IdxOV_V,1,2)*(1+V_dMat)/(1-V_Merma))</f>
        <v>0</v>
      </c>
      <c r="G118" s="48" t="n">
        <f aca="false">IF(cu_P=1,SUMIFS(Calculo!$F$36:$ES$36,Calculo!$F$14:$ES$14,3)*N(INDEX(INS_O,16))*INDEX(IdxOV_O,1,3)*(1+P_dMat)/(1-P_Merma),SUMIFS(Calculo!$F$192:$ES$192,Calculo!$F$170:$ES$170,3)*N(INDEX(INS_V,16))*INDEX(IdxOV_V,1,3)*(1+V_dMat)/(1-V_Merma))</f>
        <v>0</v>
      </c>
      <c r="H118" s="48" t="n">
        <f aca="false">IF(cu_P=1,SUMIFS(Calculo!$F$36:$ES$36,Calculo!$F$14:$ES$14,4)*N(INDEX(INS_O,16))*INDEX(IdxOV_O,1,4)*(1+P_dMat)/(1-P_Merma),SUMIFS(Calculo!$F$192:$ES$192,Calculo!$F$170:$ES$170,4)*N(INDEX(INS_V,16))*INDEX(IdxOV_V,1,4)*(1+V_dMat)/(1-V_Merma))</f>
        <v>0</v>
      </c>
      <c r="I118" s="48" t="n">
        <f aca="false">IF(cu_P=1,SUMIFS(Calculo!$F$36:$ES$36,Calculo!$F$14:$ES$14,5)*N(INDEX(INS_O,16))*INDEX(IdxOV_O,1,5)*(1+P_dMat)/(1-P_Merma),SUMIFS(Calculo!$F$192:$ES$192,Calculo!$F$170:$ES$170,5)*N(INDEX(INS_V,16))*INDEX(IdxOV_V,1,5)*(1+V_dMat)/(1-V_Merma))</f>
        <v>0</v>
      </c>
      <c r="J118" s="48" t="n">
        <f aca="false">IF(cu_P=1,SUMIFS(Calculo!$F$36:$ES$36,Calculo!$F$14:$ES$14,6)*N(INDEX(INS_O,16))*INDEX(IdxOV_O,1,6)*(1+P_dMat)/(1-P_Merma),SUMIFS(Calculo!$F$192:$ES$192,Calculo!$F$170:$ES$170,6)*N(INDEX(INS_V,16))*INDEX(IdxOV_V,1,6)*(1+V_dMat)/(1-V_Merma))</f>
        <v>0</v>
      </c>
      <c r="K118" s="48" t="n">
        <f aca="false">IF(cu_P=1,SUMIFS(Calculo!$F$36:$ES$36,Calculo!$F$14:$ES$14,7)*N(INDEX(INS_O,16))*INDEX(IdxOV_O,1,7)*(1+P_dMat)/(1-P_Merma),SUMIFS(Calculo!$F$192:$ES$192,Calculo!$F$170:$ES$170,7)*N(INDEX(INS_V,16))*INDEX(IdxOV_V,1,7)*(1+V_dMat)/(1-V_Merma))</f>
        <v>0</v>
      </c>
      <c r="L118" s="48" t="n">
        <f aca="false">IF(cu_P=1,SUMIFS(Calculo!$F$36:$ES$36,Calculo!$F$14:$ES$14,8)*N(INDEX(INS_O,16))*INDEX(IdxOV_O,1,8)*(1+P_dMat)/(1-P_Merma),SUMIFS(Calculo!$F$192:$ES$192,Calculo!$F$170:$ES$170,8)*N(INDEX(INS_V,16))*INDEX(IdxOV_V,1,8)*(1+V_dMat)/(1-V_Merma))</f>
        <v>0</v>
      </c>
      <c r="M118" s="48" t="n">
        <f aca="false">IF(cu_P=1,SUMIFS(Calculo!$F$36:$ES$36,Calculo!$F$14:$ES$14,9)*N(INDEX(INS_O,16))*INDEX(IdxOV_O,1,9)*(1+P_dMat)/(1-P_Merma),SUMIFS(Calculo!$F$192:$ES$192,Calculo!$F$170:$ES$170,9)*N(INDEX(INS_V,16))*INDEX(IdxOV_V,1,9)*(1+V_dMat)/(1-V_Merma))</f>
        <v>0</v>
      </c>
      <c r="N118" s="48" t="n">
        <f aca="false">IF(cu_P=1,SUMIFS(Calculo!$F$36:$ES$36,Calculo!$F$14:$ES$14,10)*N(INDEX(INS_O,16))*INDEX(IdxOV_O,1,10)*(1+P_dMat)/(1-P_Merma),SUMIFS(Calculo!$F$192:$ES$192,Calculo!$F$170:$ES$170,10)*N(INDEX(INS_V,16))*INDEX(IdxOV_V,1,10)*(1+V_dMat)/(1-V_Merma))</f>
        <v>0</v>
      </c>
      <c r="O118" s="54" t="n">
        <f aca="false">SUM(D118:N118)</f>
        <v>0</v>
      </c>
    </row>
    <row r="119" customFormat="false" ht="15" hidden="true" customHeight="false" outlineLevel="1" collapsed="false">
      <c r="A119" s="11" t="s">
        <v>2198</v>
      </c>
      <c r="B119" s="15" t="s">
        <v>2087</v>
      </c>
      <c r="C119" s="11" t="s">
        <v>748</v>
      </c>
      <c r="E119" s="50" t="str">
        <f aca="false">IFERROR(IF(OR(NOT(ISNUMBER(E118)),N(E57)=0),"",E118/E57),"")</f>
        <v/>
      </c>
      <c r="F119" s="50" t="str">
        <f aca="false">IFERROR(IF(OR(NOT(ISNUMBER(F118)),N(F57)=0),"",F118/F57),"")</f>
        <v/>
      </c>
      <c r="G119" s="50" t="str">
        <f aca="false">IFERROR(IF(OR(NOT(ISNUMBER(G118)),N(G57)=0),"",G118/G57),"")</f>
        <v/>
      </c>
      <c r="H119" s="50" t="str">
        <f aca="false">IFERROR(IF(OR(NOT(ISNUMBER(H118)),N(H57)=0),"",H118/H57),"")</f>
        <v/>
      </c>
      <c r="I119" s="50" t="str">
        <f aca="false">IFERROR(IF(OR(NOT(ISNUMBER(I118)),N(I57)=0),"",I118/I57),"")</f>
        <v/>
      </c>
      <c r="J119" s="50" t="str">
        <f aca="false">IFERROR(IF(OR(NOT(ISNUMBER(J118)),N(J57)=0),"",J118/J57),"")</f>
        <v/>
      </c>
      <c r="K119" s="50" t="str">
        <f aca="false">IFERROR(IF(OR(NOT(ISNUMBER(K118)),N(K57)=0),"",K118/K57),"")</f>
        <v/>
      </c>
      <c r="L119" s="50" t="str">
        <f aca="false">IFERROR(IF(OR(NOT(ISNUMBER(L118)),N(L57)=0),"",L118/L57),"")</f>
        <v/>
      </c>
      <c r="M119" s="50" t="str">
        <f aca="false">IFERROR(IF(OR(NOT(ISNUMBER(M118)),N(M57)=0),"",M118/M57),"")</f>
        <v/>
      </c>
      <c r="N119" s="50" t="str">
        <f aca="false">IFERROR(IF(OR(NOT(ISNUMBER(N118)),N(N57)=0),"",N118/N57),"")</f>
        <v/>
      </c>
      <c r="O119" s="68" t="str">
        <f aca="false">IFERROR(IF(OR(NOT(ISNUMBER(O118)),N(O57)=0),"",O118/O57),"")</f>
        <v/>
      </c>
    </row>
    <row r="120" customFormat="false" ht="15" hidden="true" customHeight="false" outlineLevel="1" collapsed="false">
      <c r="A120" s="11" t="s">
        <v>2199</v>
      </c>
      <c r="B120" s="53" t="str">
        <f aca="false">IF(INDEX(Prod_Nombre,17)="","Producto 17",INDEX(Prod_Nombre,17))</f>
        <v>Producto 17</v>
      </c>
      <c r="C120" s="11" t="s">
        <v>508</v>
      </c>
      <c r="D120" s="48" t="n">
        <f aca="false">IF(cu_P=1,SUMIFS(Calculo!$F$37:$ES$37,Calculo!$F$16:$ES$16,1)*N(INDEX(INS_O,17))*INDEX(IdxOV_O,1,1)*(1+P_dMat)/(1-P_Merma),SUMIFS(Calculo!$F$193:$ES$193,Calculo!$F$172:$ES$172,1)*N(INDEX(INS_V,17))*INDEX(IdxOV_V,1,1)*(1+V_dMat)/(1-V_Merma))</f>
        <v>0</v>
      </c>
      <c r="E120" s="48" t="n">
        <f aca="false">IF(cu_P=1,SUMIFS(Calculo!$F$37:$ES$37,Calculo!$F$14:$ES$14,1)*N(INDEX(INS_O,17))*INDEX(IdxOV_O,1,1)*(1+P_dMat)/(1-P_Merma),SUMIFS(Calculo!$F$193:$ES$193,Calculo!$F$170:$ES$170,1)*N(INDEX(INS_V,17))*INDEX(IdxOV_V,1,1)*(1+V_dMat)/(1-V_Merma))</f>
        <v>0</v>
      </c>
      <c r="F120" s="48" t="n">
        <f aca="false">IF(cu_P=1,SUMIFS(Calculo!$F$37:$ES$37,Calculo!$F$14:$ES$14,2)*N(INDEX(INS_O,17))*INDEX(IdxOV_O,1,2)*(1+P_dMat)/(1-P_Merma),SUMIFS(Calculo!$F$193:$ES$193,Calculo!$F$170:$ES$170,2)*N(INDEX(INS_V,17))*INDEX(IdxOV_V,1,2)*(1+V_dMat)/(1-V_Merma))</f>
        <v>0</v>
      </c>
      <c r="G120" s="48" t="n">
        <f aca="false">IF(cu_P=1,SUMIFS(Calculo!$F$37:$ES$37,Calculo!$F$14:$ES$14,3)*N(INDEX(INS_O,17))*INDEX(IdxOV_O,1,3)*(1+P_dMat)/(1-P_Merma),SUMIFS(Calculo!$F$193:$ES$193,Calculo!$F$170:$ES$170,3)*N(INDEX(INS_V,17))*INDEX(IdxOV_V,1,3)*(1+V_dMat)/(1-V_Merma))</f>
        <v>0</v>
      </c>
      <c r="H120" s="48" t="n">
        <f aca="false">IF(cu_P=1,SUMIFS(Calculo!$F$37:$ES$37,Calculo!$F$14:$ES$14,4)*N(INDEX(INS_O,17))*INDEX(IdxOV_O,1,4)*(1+P_dMat)/(1-P_Merma),SUMIFS(Calculo!$F$193:$ES$193,Calculo!$F$170:$ES$170,4)*N(INDEX(INS_V,17))*INDEX(IdxOV_V,1,4)*(1+V_dMat)/(1-V_Merma))</f>
        <v>0</v>
      </c>
      <c r="I120" s="48" t="n">
        <f aca="false">IF(cu_P=1,SUMIFS(Calculo!$F$37:$ES$37,Calculo!$F$14:$ES$14,5)*N(INDEX(INS_O,17))*INDEX(IdxOV_O,1,5)*(1+P_dMat)/(1-P_Merma),SUMIFS(Calculo!$F$193:$ES$193,Calculo!$F$170:$ES$170,5)*N(INDEX(INS_V,17))*INDEX(IdxOV_V,1,5)*(1+V_dMat)/(1-V_Merma))</f>
        <v>0</v>
      </c>
      <c r="J120" s="48" t="n">
        <f aca="false">IF(cu_P=1,SUMIFS(Calculo!$F$37:$ES$37,Calculo!$F$14:$ES$14,6)*N(INDEX(INS_O,17))*INDEX(IdxOV_O,1,6)*(1+P_dMat)/(1-P_Merma),SUMIFS(Calculo!$F$193:$ES$193,Calculo!$F$170:$ES$170,6)*N(INDEX(INS_V,17))*INDEX(IdxOV_V,1,6)*(1+V_dMat)/(1-V_Merma))</f>
        <v>0</v>
      </c>
      <c r="K120" s="48" t="n">
        <f aca="false">IF(cu_P=1,SUMIFS(Calculo!$F$37:$ES$37,Calculo!$F$14:$ES$14,7)*N(INDEX(INS_O,17))*INDEX(IdxOV_O,1,7)*(1+P_dMat)/(1-P_Merma),SUMIFS(Calculo!$F$193:$ES$193,Calculo!$F$170:$ES$170,7)*N(INDEX(INS_V,17))*INDEX(IdxOV_V,1,7)*(1+V_dMat)/(1-V_Merma))</f>
        <v>0</v>
      </c>
      <c r="L120" s="48" t="n">
        <f aca="false">IF(cu_P=1,SUMIFS(Calculo!$F$37:$ES$37,Calculo!$F$14:$ES$14,8)*N(INDEX(INS_O,17))*INDEX(IdxOV_O,1,8)*(1+P_dMat)/(1-P_Merma),SUMIFS(Calculo!$F$193:$ES$193,Calculo!$F$170:$ES$170,8)*N(INDEX(INS_V,17))*INDEX(IdxOV_V,1,8)*(1+V_dMat)/(1-V_Merma))</f>
        <v>0</v>
      </c>
      <c r="M120" s="48" t="n">
        <f aca="false">IF(cu_P=1,SUMIFS(Calculo!$F$37:$ES$37,Calculo!$F$14:$ES$14,9)*N(INDEX(INS_O,17))*INDEX(IdxOV_O,1,9)*(1+P_dMat)/(1-P_Merma),SUMIFS(Calculo!$F$193:$ES$193,Calculo!$F$170:$ES$170,9)*N(INDEX(INS_V,17))*INDEX(IdxOV_V,1,9)*(1+V_dMat)/(1-V_Merma))</f>
        <v>0</v>
      </c>
      <c r="N120" s="48" t="n">
        <f aca="false">IF(cu_P=1,SUMIFS(Calculo!$F$37:$ES$37,Calculo!$F$14:$ES$14,10)*N(INDEX(INS_O,17))*INDEX(IdxOV_O,1,10)*(1+P_dMat)/(1-P_Merma),SUMIFS(Calculo!$F$193:$ES$193,Calculo!$F$170:$ES$170,10)*N(INDEX(INS_V,17))*INDEX(IdxOV_V,1,10)*(1+V_dMat)/(1-V_Merma))</f>
        <v>0</v>
      </c>
      <c r="O120" s="54" t="n">
        <f aca="false">SUM(D120:N120)</f>
        <v>0</v>
      </c>
    </row>
    <row r="121" customFormat="false" ht="15" hidden="true" customHeight="false" outlineLevel="1" collapsed="false">
      <c r="A121" s="11" t="s">
        <v>2200</v>
      </c>
      <c r="B121" s="15" t="s">
        <v>2087</v>
      </c>
      <c r="C121" s="11" t="s">
        <v>748</v>
      </c>
      <c r="E121" s="50" t="str">
        <f aca="false">IFERROR(IF(OR(NOT(ISNUMBER(E120)),N(E60)=0),"",E120/E60),"")</f>
        <v/>
      </c>
      <c r="F121" s="50" t="str">
        <f aca="false">IFERROR(IF(OR(NOT(ISNUMBER(F120)),N(F60)=0),"",F120/F60),"")</f>
        <v/>
      </c>
      <c r="G121" s="50" t="str">
        <f aca="false">IFERROR(IF(OR(NOT(ISNUMBER(G120)),N(G60)=0),"",G120/G60),"")</f>
        <v/>
      </c>
      <c r="H121" s="50" t="str">
        <f aca="false">IFERROR(IF(OR(NOT(ISNUMBER(H120)),N(H60)=0),"",H120/H60),"")</f>
        <v/>
      </c>
      <c r="I121" s="50" t="str">
        <f aca="false">IFERROR(IF(OR(NOT(ISNUMBER(I120)),N(I60)=0),"",I120/I60),"")</f>
        <v/>
      </c>
      <c r="J121" s="50" t="str">
        <f aca="false">IFERROR(IF(OR(NOT(ISNUMBER(J120)),N(J60)=0),"",J120/J60),"")</f>
        <v/>
      </c>
      <c r="K121" s="50" t="str">
        <f aca="false">IFERROR(IF(OR(NOT(ISNUMBER(K120)),N(K60)=0),"",K120/K60),"")</f>
        <v/>
      </c>
      <c r="L121" s="50" t="str">
        <f aca="false">IFERROR(IF(OR(NOT(ISNUMBER(L120)),N(L60)=0),"",L120/L60),"")</f>
        <v/>
      </c>
      <c r="M121" s="50" t="str">
        <f aca="false">IFERROR(IF(OR(NOT(ISNUMBER(M120)),N(M60)=0),"",M120/M60),"")</f>
        <v/>
      </c>
      <c r="N121" s="50" t="str">
        <f aca="false">IFERROR(IF(OR(NOT(ISNUMBER(N120)),N(N60)=0),"",N120/N60),"")</f>
        <v/>
      </c>
      <c r="O121" s="68" t="str">
        <f aca="false">IFERROR(IF(OR(NOT(ISNUMBER(O120)),N(O60)=0),"",O120/O60),"")</f>
        <v/>
      </c>
    </row>
    <row r="122" customFormat="false" ht="15" hidden="true" customHeight="false" outlineLevel="1" collapsed="false">
      <c r="A122" s="11" t="s">
        <v>2201</v>
      </c>
      <c r="B122" s="53" t="str">
        <f aca="false">IF(INDEX(Prod_Nombre,18)="","Producto 18",INDEX(Prod_Nombre,18))</f>
        <v>Producto 18</v>
      </c>
      <c r="C122" s="11" t="s">
        <v>508</v>
      </c>
      <c r="D122" s="48" t="n">
        <f aca="false">IF(cu_P=1,SUMIFS(Calculo!$F$38:$ES$38,Calculo!$F$16:$ES$16,1)*N(INDEX(INS_O,18))*INDEX(IdxOV_O,1,1)*(1+P_dMat)/(1-P_Merma),SUMIFS(Calculo!$F$194:$ES$194,Calculo!$F$172:$ES$172,1)*N(INDEX(INS_V,18))*INDEX(IdxOV_V,1,1)*(1+V_dMat)/(1-V_Merma))</f>
        <v>0</v>
      </c>
      <c r="E122" s="48" t="n">
        <f aca="false">IF(cu_P=1,SUMIFS(Calculo!$F$38:$ES$38,Calculo!$F$14:$ES$14,1)*N(INDEX(INS_O,18))*INDEX(IdxOV_O,1,1)*(1+P_dMat)/(1-P_Merma),SUMIFS(Calculo!$F$194:$ES$194,Calculo!$F$170:$ES$170,1)*N(INDEX(INS_V,18))*INDEX(IdxOV_V,1,1)*(1+V_dMat)/(1-V_Merma))</f>
        <v>0</v>
      </c>
      <c r="F122" s="48" t="n">
        <f aca="false">IF(cu_P=1,SUMIFS(Calculo!$F$38:$ES$38,Calculo!$F$14:$ES$14,2)*N(INDEX(INS_O,18))*INDEX(IdxOV_O,1,2)*(1+P_dMat)/(1-P_Merma),SUMIFS(Calculo!$F$194:$ES$194,Calculo!$F$170:$ES$170,2)*N(INDEX(INS_V,18))*INDEX(IdxOV_V,1,2)*(1+V_dMat)/(1-V_Merma))</f>
        <v>0</v>
      </c>
      <c r="G122" s="48" t="n">
        <f aca="false">IF(cu_P=1,SUMIFS(Calculo!$F$38:$ES$38,Calculo!$F$14:$ES$14,3)*N(INDEX(INS_O,18))*INDEX(IdxOV_O,1,3)*(1+P_dMat)/(1-P_Merma),SUMIFS(Calculo!$F$194:$ES$194,Calculo!$F$170:$ES$170,3)*N(INDEX(INS_V,18))*INDEX(IdxOV_V,1,3)*(1+V_dMat)/(1-V_Merma))</f>
        <v>0</v>
      </c>
      <c r="H122" s="48" t="n">
        <f aca="false">IF(cu_P=1,SUMIFS(Calculo!$F$38:$ES$38,Calculo!$F$14:$ES$14,4)*N(INDEX(INS_O,18))*INDEX(IdxOV_O,1,4)*(1+P_dMat)/(1-P_Merma),SUMIFS(Calculo!$F$194:$ES$194,Calculo!$F$170:$ES$170,4)*N(INDEX(INS_V,18))*INDEX(IdxOV_V,1,4)*(1+V_dMat)/(1-V_Merma))</f>
        <v>0</v>
      </c>
      <c r="I122" s="48" t="n">
        <f aca="false">IF(cu_P=1,SUMIFS(Calculo!$F$38:$ES$38,Calculo!$F$14:$ES$14,5)*N(INDEX(INS_O,18))*INDEX(IdxOV_O,1,5)*(1+P_dMat)/(1-P_Merma),SUMIFS(Calculo!$F$194:$ES$194,Calculo!$F$170:$ES$170,5)*N(INDEX(INS_V,18))*INDEX(IdxOV_V,1,5)*(1+V_dMat)/(1-V_Merma))</f>
        <v>0</v>
      </c>
      <c r="J122" s="48" t="n">
        <f aca="false">IF(cu_P=1,SUMIFS(Calculo!$F$38:$ES$38,Calculo!$F$14:$ES$14,6)*N(INDEX(INS_O,18))*INDEX(IdxOV_O,1,6)*(1+P_dMat)/(1-P_Merma),SUMIFS(Calculo!$F$194:$ES$194,Calculo!$F$170:$ES$170,6)*N(INDEX(INS_V,18))*INDEX(IdxOV_V,1,6)*(1+V_dMat)/(1-V_Merma))</f>
        <v>0</v>
      </c>
      <c r="K122" s="48" t="n">
        <f aca="false">IF(cu_P=1,SUMIFS(Calculo!$F$38:$ES$38,Calculo!$F$14:$ES$14,7)*N(INDEX(INS_O,18))*INDEX(IdxOV_O,1,7)*(1+P_dMat)/(1-P_Merma),SUMIFS(Calculo!$F$194:$ES$194,Calculo!$F$170:$ES$170,7)*N(INDEX(INS_V,18))*INDEX(IdxOV_V,1,7)*(1+V_dMat)/(1-V_Merma))</f>
        <v>0</v>
      </c>
      <c r="L122" s="48" t="n">
        <f aca="false">IF(cu_P=1,SUMIFS(Calculo!$F$38:$ES$38,Calculo!$F$14:$ES$14,8)*N(INDEX(INS_O,18))*INDEX(IdxOV_O,1,8)*(1+P_dMat)/(1-P_Merma),SUMIFS(Calculo!$F$194:$ES$194,Calculo!$F$170:$ES$170,8)*N(INDEX(INS_V,18))*INDEX(IdxOV_V,1,8)*(1+V_dMat)/(1-V_Merma))</f>
        <v>0</v>
      </c>
      <c r="M122" s="48" t="n">
        <f aca="false">IF(cu_P=1,SUMIFS(Calculo!$F$38:$ES$38,Calculo!$F$14:$ES$14,9)*N(INDEX(INS_O,18))*INDEX(IdxOV_O,1,9)*(1+P_dMat)/(1-P_Merma),SUMIFS(Calculo!$F$194:$ES$194,Calculo!$F$170:$ES$170,9)*N(INDEX(INS_V,18))*INDEX(IdxOV_V,1,9)*(1+V_dMat)/(1-V_Merma))</f>
        <v>0</v>
      </c>
      <c r="N122" s="48" t="n">
        <f aca="false">IF(cu_P=1,SUMIFS(Calculo!$F$38:$ES$38,Calculo!$F$14:$ES$14,10)*N(INDEX(INS_O,18))*INDEX(IdxOV_O,1,10)*(1+P_dMat)/(1-P_Merma),SUMIFS(Calculo!$F$194:$ES$194,Calculo!$F$170:$ES$170,10)*N(INDEX(INS_V,18))*INDEX(IdxOV_V,1,10)*(1+V_dMat)/(1-V_Merma))</f>
        <v>0</v>
      </c>
      <c r="O122" s="54" t="n">
        <f aca="false">SUM(D122:N122)</f>
        <v>0</v>
      </c>
    </row>
    <row r="123" customFormat="false" ht="15" hidden="true" customHeight="false" outlineLevel="1" collapsed="false">
      <c r="A123" s="11" t="s">
        <v>2202</v>
      </c>
      <c r="B123" s="15" t="s">
        <v>2087</v>
      </c>
      <c r="C123" s="11" t="s">
        <v>748</v>
      </c>
      <c r="E123" s="50" t="str">
        <f aca="false">IFERROR(IF(OR(NOT(ISNUMBER(E122)),N(E63)=0),"",E122/E63),"")</f>
        <v/>
      </c>
      <c r="F123" s="50" t="str">
        <f aca="false">IFERROR(IF(OR(NOT(ISNUMBER(F122)),N(F63)=0),"",F122/F63),"")</f>
        <v/>
      </c>
      <c r="G123" s="50" t="str">
        <f aca="false">IFERROR(IF(OR(NOT(ISNUMBER(G122)),N(G63)=0),"",G122/G63),"")</f>
        <v/>
      </c>
      <c r="H123" s="50" t="str">
        <f aca="false">IFERROR(IF(OR(NOT(ISNUMBER(H122)),N(H63)=0),"",H122/H63),"")</f>
        <v/>
      </c>
      <c r="I123" s="50" t="str">
        <f aca="false">IFERROR(IF(OR(NOT(ISNUMBER(I122)),N(I63)=0),"",I122/I63),"")</f>
        <v/>
      </c>
      <c r="J123" s="50" t="str">
        <f aca="false">IFERROR(IF(OR(NOT(ISNUMBER(J122)),N(J63)=0),"",J122/J63),"")</f>
        <v/>
      </c>
      <c r="K123" s="50" t="str">
        <f aca="false">IFERROR(IF(OR(NOT(ISNUMBER(K122)),N(K63)=0),"",K122/K63),"")</f>
        <v/>
      </c>
      <c r="L123" s="50" t="str">
        <f aca="false">IFERROR(IF(OR(NOT(ISNUMBER(L122)),N(L63)=0),"",L122/L63),"")</f>
        <v/>
      </c>
      <c r="M123" s="50" t="str">
        <f aca="false">IFERROR(IF(OR(NOT(ISNUMBER(M122)),N(M63)=0),"",M122/M63),"")</f>
        <v/>
      </c>
      <c r="N123" s="50" t="str">
        <f aca="false">IFERROR(IF(OR(NOT(ISNUMBER(N122)),N(N63)=0),"",N122/N63),"")</f>
        <v/>
      </c>
      <c r="O123" s="68" t="str">
        <f aca="false">IFERROR(IF(OR(NOT(ISNUMBER(O122)),N(O63)=0),"",O122/O63),"")</f>
        <v/>
      </c>
    </row>
    <row r="124" customFormat="false" ht="15" hidden="true" customHeight="false" outlineLevel="1" collapsed="false">
      <c r="A124" s="11" t="s">
        <v>2203</v>
      </c>
      <c r="B124" s="53" t="str">
        <f aca="false">IF(INDEX(Prod_Nombre,19)="","Producto 19",INDEX(Prod_Nombre,19))</f>
        <v>Producto 19</v>
      </c>
      <c r="C124" s="11" t="s">
        <v>508</v>
      </c>
      <c r="D124" s="48" t="n">
        <f aca="false">IF(cu_P=1,SUMIFS(Calculo!$F$39:$ES$39,Calculo!$F$16:$ES$16,1)*N(INDEX(INS_O,19))*INDEX(IdxOV_O,1,1)*(1+P_dMat)/(1-P_Merma),SUMIFS(Calculo!$F$195:$ES$195,Calculo!$F$172:$ES$172,1)*N(INDEX(INS_V,19))*INDEX(IdxOV_V,1,1)*(1+V_dMat)/(1-V_Merma))</f>
        <v>0</v>
      </c>
      <c r="E124" s="48" t="n">
        <f aca="false">IF(cu_P=1,SUMIFS(Calculo!$F$39:$ES$39,Calculo!$F$14:$ES$14,1)*N(INDEX(INS_O,19))*INDEX(IdxOV_O,1,1)*(1+P_dMat)/(1-P_Merma),SUMIFS(Calculo!$F$195:$ES$195,Calculo!$F$170:$ES$170,1)*N(INDEX(INS_V,19))*INDEX(IdxOV_V,1,1)*(1+V_dMat)/(1-V_Merma))</f>
        <v>0</v>
      </c>
      <c r="F124" s="48" t="n">
        <f aca="false">IF(cu_P=1,SUMIFS(Calculo!$F$39:$ES$39,Calculo!$F$14:$ES$14,2)*N(INDEX(INS_O,19))*INDEX(IdxOV_O,1,2)*(1+P_dMat)/(1-P_Merma),SUMIFS(Calculo!$F$195:$ES$195,Calculo!$F$170:$ES$170,2)*N(INDEX(INS_V,19))*INDEX(IdxOV_V,1,2)*(1+V_dMat)/(1-V_Merma))</f>
        <v>0</v>
      </c>
      <c r="G124" s="48" t="n">
        <f aca="false">IF(cu_P=1,SUMIFS(Calculo!$F$39:$ES$39,Calculo!$F$14:$ES$14,3)*N(INDEX(INS_O,19))*INDEX(IdxOV_O,1,3)*(1+P_dMat)/(1-P_Merma),SUMIFS(Calculo!$F$195:$ES$195,Calculo!$F$170:$ES$170,3)*N(INDEX(INS_V,19))*INDEX(IdxOV_V,1,3)*(1+V_dMat)/(1-V_Merma))</f>
        <v>0</v>
      </c>
      <c r="H124" s="48" t="n">
        <f aca="false">IF(cu_P=1,SUMIFS(Calculo!$F$39:$ES$39,Calculo!$F$14:$ES$14,4)*N(INDEX(INS_O,19))*INDEX(IdxOV_O,1,4)*(1+P_dMat)/(1-P_Merma),SUMIFS(Calculo!$F$195:$ES$195,Calculo!$F$170:$ES$170,4)*N(INDEX(INS_V,19))*INDEX(IdxOV_V,1,4)*(1+V_dMat)/(1-V_Merma))</f>
        <v>0</v>
      </c>
      <c r="I124" s="48" t="n">
        <f aca="false">IF(cu_P=1,SUMIFS(Calculo!$F$39:$ES$39,Calculo!$F$14:$ES$14,5)*N(INDEX(INS_O,19))*INDEX(IdxOV_O,1,5)*(1+P_dMat)/(1-P_Merma),SUMIFS(Calculo!$F$195:$ES$195,Calculo!$F$170:$ES$170,5)*N(INDEX(INS_V,19))*INDEX(IdxOV_V,1,5)*(1+V_dMat)/(1-V_Merma))</f>
        <v>0</v>
      </c>
      <c r="J124" s="48" t="n">
        <f aca="false">IF(cu_P=1,SUMIFS(Calculo!$F$39:$ES$39,Calculo!$F$14:$ES$14,6)*N(INDEX(INS_O,19))*INDEX(IdxOV_O,1,6)*(1+P_dMat)/(1-P_Merma),SUMIFS(Calculo!$F$195:$ES$195,Calculo!$F$170:$ES$170,6)*N(INDEX(INS_V,19))*INDEX(IdxOV_V,1,6)*(1+V_dMat)/(1-V_Merma))</f>
        <v>0</v>
      </c>
      <c r="K124" s="48" t="n">
        <f aca="false">IF(cu_P=1,SUMIFS(Calculo!$F$39:$ES$39,Calculo!$F$14:$ES$14,7)*N(INDEX(INS_O,19))*INDEX(IdxOV_O,1,7)*(1+P_dMat)/(1-P_Merma),SUMIFS(Calculo!$F$195:$ES$195,Calculo!$F$170:$ES$170,7)*N(INDEX(INS_V,19))*INDEX(IdxOV_V,1,7)*(1+V_dMat)/(1-V_Merma))</f>
        <v>0</v>
      </c>
      <c r="L124" s="48" t="n">
        <f aca="false">IF(cu_P=1,SUMIFS(Calculo!$F$39:$ES$39,Calculo!$F$14:$ES$14,8)*N(INDEX(INS_O,19))*INDEX(IdxOV_O,1,8)*(1+P_dMat)/(1-P_Merma),SUMIFS(Calculo!$F$195:$ES$195,Calculo!$F$170:$ES$170,8)*N(INDEX(INS_V,19))*INDEX(IdxOV_V,1,8)*(1+V_dMat)/(1-V_Merma))</f>
        <v>0</v>
      </c>
      <c r="M124" s="48" t="n">
        <f aca="false">IF(cu_P=1,SUMIFS(Calculo!$F$39:$ES$39,Calculo!$F$14:$ES$14,9)*N(INDEX(INS_O,19))*INDEX(IdxOV_O,1,9)*(1+P_dMat)/(1-P_Merma),SUMIFS(Calculo!$F$195:$ES$195,Calculo!$F$170:$ES$170,9)*N(INDEX(INS_V,19))*INDEX(IdxOV_V,1,9)*(1+V_dMat)/(1-V_Merma))</f>
        <v>0</v>
      </c>
      <c r="N124" s="48" t="n">
        <f aca="false">IF(cu_P=1,SUMIFS(Calculo!$F$39:$ES$39,Calculo!$F$14:$ES$14,10)*N(INDEX(INS_O,19))*INDEX(IdxOV_O,1,10)*(1+P_dMat)/(1-P_Merma),SUMIFS(Calculo!$F$195:$ES$195,Calculo!$F$170:$ES$170,10)*N(INDEX(INS_V,19))*INDEX(IdxOV_V,1,10)*(1+V_dMat)/(1-V_Merma))</f>
        <v>0</v>
      </c>
      <c r="O124" s="54" t="n">
        <f aca="false">SUM(D124:N124)</f>
        <v>0</v>
      </c>
    </row>
    <row r="125" customFormat="false" ht="15" hidden="true" customHeight="false" outlineLevel="1" collapsed="false">
      <c r="A125" s="11" t="s">
        <v>2204</v>
      </c>
      <c r="B125" s="15" t="s">
        <v>2087</v>
      </c>
      <c r="C125" s="11" t="s">
        <v>748</v>
      </c>
      <c r="E125" s="50" t="str">
        <f aca="false">IFERROR(IF(OR(NOT(ISNUMBER(E124)),N(E66)=0),"",E124/E66),"")</f>
        <v/>
      </c>
      <c r="F125" s="50" t="str">
        <f aca="false">IFERROR(IF(OR(NOT(ISNUMBER(F124)),N(F66)=0),"",F124/F66),"")</f>
        <v/>
      </c>
      <c r="G125" s="50" t="str">
        <f aca="false">IFERROR(IF(OR(NOT(ISNUMBER(G124)),N(G66)=0),"",G124/G66),"")</f>
        <v/>
      </c>
      <c r="H125" s="50" t="str">
        <f aca="false">IFERROR(IF(OR(NOT(ISNUMBER(H124)),N(H66)=0),"",H124/H66),"")</f>
        <v/>
      </c>
      <c r="I125" s="50" t="str">
        <f aca="false">IFERROR(IF(OR(NOT(ISNUMBER(I124)),N(I66)=0),"",I124/I66),"")</f>
        <v/>
      </c>
      <c r="J125" s="50" t="str">
        <f aca="false">IFERROR(IF(OR(NOT(ISNUMBER(J124)),N(J66)=0),"",J124/J66),"")</f>
        <v/>
      </c>
      <c r="K125" s="50" t="str">
        <f aca="false">IFERROR(IF(OR(NOT(ISNUMBER(K124)),N(K66)=0),"",K124/K66),"")</f>
        <v/>
      </c>
      <c r="L125" s="50" t="str">
        <f aca="false">IFERROR(IF(OR(NOT(ISNUMBER(L124)),N(L66)=0),"",L124/L66),"")</f>
        <v/>
      </c>
      <c r="M125" s="50" t="str">
        <f aca="false">IFERROR(IF(OR(NOT(ISNUMBER(M124)),N(M66)=0),"",M124/M66),"")</f>
        <v/>
      </c>
      <c r="N125" s="50" t="str">
        <f aca="false">IFERROR(IF(OR(NOT(ISNUMBER(N124)),N(N66)=0),"",N124/N66),"")</f>
        <v/>
      </c>
      <c r="O125" s="68" t="str">
        <f aca="false">IFERROR(IF(OR(NOT(ISNUMBER(O124)),N(O66)=0),"",O124/O66),"")</f>
        <v/>
      </c>
    </row>
    <row r="126" customFormat="false" ht="15" hidden="true" customHeight="false" outlineLevel="1" collapsed="false">
      <c r="A126" s="11" t="s">
        <v>2205</v>
      </c>
      <c r="B126" s="53" t="str">
        <f aca="false">IF(INDEX(Prod_Nombre,20)="","Producto 20",INDEX(Prod_Nombre,20))</f>
        <v>Producto 20</v>
      </c>
      <c r="C126" s="11" t="s">
        <v>508</v>
      </c>
      <c r="D126" s="48" t="n">
        <f aca="false">IF(cu_P=1,SUMIFS(Calculo!$F$40:$ES$40,Calculo!$F$16:$ES$16,1)*N(INDEX(INS_O,20))*INDEX(IdxOV_O,1,1)*(1+P_dMat)/(1-P_Merma),SUMIFS(Calculo!$F$196:$ES$196,Calculo!$F$172:$ES$172,1)*N(INDEX(INS_V,20))*INDEX(IdxOV_V,1,1)*(1+V_dMat)/(1-V_Merma))</f>
        <v>0</v>
      </c>
      <c r="E126" s="48" t="n">
        <f aca="false">IF(cu_P=1,SUMIFS(Calculo!$F$40:$ES$40,Calculo!$F$14:$ES$14,1)*N(INDEX(INS_O,20))*INDEX(IdxOV_O,1,1)*(1+P_dMat)/(1-P_Merma),SUMIFS(Calculo!$F$196:$ES$196,Calculo!$F$170:$ES$170,1)*N(INDEX(INS_V,20))*INDEX(IdxOV_V,1,1)*(1+V_dMat)/(1-V_Merma))</f>
        <v>0</v>
      </c>
      <c r="F126" s="48" t="n">
        <f aca="false">IF(cu_P=1,SUMIFS(Calculo!$F$40:$ES$40,Calculo!$F$14:$ES$14,2)*N(INDEX(INS_O,20))*INDEX(IdxOV_O,1,2)*(1+P_dMat)/(1-P_Merma),SUMIFS(Calculo!$F$196:$ES$196,Calculo!$F$170:$ES$170,2)*N(INDEX(INS_V,20))*INDEX(IdxOV_V,1,2)*(1+V_dMat)/(1-V_Merma))</f>
        <v>0</v>
      </c>
      <c r="G126" s="48" t="n">
        <f aca="false">IF(cu_P=1,SUMIFS(Calculo!$F$40:$ES$40,Calculo!$F$14:$ES$14,3)*N(INDEX(INS_O,20))*INDEX(IdxOV_O,1,3)*(1+P_dMat)/(1-P_Merma),SUMIFS(Calculo!$F$196:$ES$196,Calculo!$F$170:$ES$170,3)*N(INDEX(INS_V,20))*INDEX(IdxOV_V,1,3)*(1+V_dMat)/(1-V_Merma))</f>
        <v>0</v>
      </c>
      <c r="H126" s="48" t="n">
        <f aca="false">IF(cu_P=1,SUMIFS(Calculo!$F$40:$ES$40,Calculo!$F$14:$ES$14,4)*N(INDEX(INS_O,20))*INDEX(IdxOV_O,1,4)*(1+P_dMat)/(1-P_Merma),SUMIFS(Calculo!$F$196:$ES$196,Calculo!$F$170:$ES$170,4)*N(INDEX(INS_V,20))*INDEX(IdxOV_V,1,4)*(1+V_dMat)/(1-V_Merma))</f>
        <v>0</v>
      </c>
      <c r="I126" s="48" t="n">
        <f aca="false">IF(cu_P=1,SUMIFS(Calculo!$F$40:$ES$40,Calculo!$F$14:$ES$14,5)*N(INDEX(INS_O,20))*INDEX(IdxOV_O,1,5)*(1+P_dMat)/(1-P_Merma),SUMIFS(Calculo!$F$196:$ES$196,Calculo!$F$170:$ES$170,5)*N(INDEX(INS_V,20))*INDEX(IdxOV_V,1,5)*(1+V_dMat)/(1-V_Merma))</f>
        <v>0</v>
      </c>
      <c r="J126" s="48" t="n">
        <f aca="false">IF(cu_P=1,SUMIFS(Calculo!$F$40:$ES$40,Calculo!$F$14:$ES$14,6)*N(INDEX(INS_O,20))*INDEX(IdxOV_O,1,6)*(1+P_dMat)/(1-P_Merma),SUMIFS(Calculo!$F$196:$ES$196,Calculo!$F$170:$ES$170,6)*N(INDEX(INS_V,20))*INDEX(IdxOV_V,1,6)*(1+V_dMat)/(1-V_Merma))</f>
        <v>0</v>
      </c>
      <c r="K126" s="48" t="n">
        <f aca="false">IF(cu_P=1,SUMIFS(Calculo!$F$40:$ES$40,Calculo!$F$14:$ES$14,7)*N(INDEX(INS_O,20))*INDEX(IdxOV_O,1,7)*(1+P_dMat)/(1-P_Merma),SUMIFS(Calculo!$F$196:$ES$196,Calculo!$F$170:$ES$170,7)*N(INDEX(INS_V,20))*INDEX(IdxOV_V,1,7)*(1+V_dMat)/(1-V_Merma))</f>
        <v>0</v>
      </c>
      <c r="L126" s="48" t="n">
        <f aca="false">IF(cu_P=1,SUMIFS(Calculo!$F$40:$ES$40,Calculo!$F$14:$ES$14,8)*N(INDEX(INS_O,20))*INDEX(IdxOV_O,1,8)*(1+P_dMat)/(1-P_Merma),SUMIFS(Calculo!$F$196:$ES$196,Calculo!$F$170:$ES$170,8)*N(INDEX(INS_V,20))*INDEX(IdxOV_V,1,8)*(1+V_dMat)/(1-V_Merma))</f>
        <v>0</v>
      </c>
      <c r="M126" s="48" t="n">
        <f aca="false">IF(cu_P=1,SUMIFS(Calculo!$F$40:$ES$40,Calculo!$F$14:$ES$14,9)*N(INDEX(INS_O,20))*INDEX(IdxOV_O,1,9)*(1+P_dMat)/(1-P_Merma),SUMIFS(Calculo!$F$196:$ES$196,Calculo!$F$170:$ES$170,9)*N(INDEX(INS_V,20))*INDEX(IdxOV_V,1,9)*(1+V_dMat)/(1-V_Merma))</f>
        <v>0</v>
      </c>
      <c r="N126" s="48" t="n">
        <f aca="false">IF(cu_P=1,SUMIFS(Calculo!$F$40:$ES$40,Calculo!$F$14:$ES$14,10)*N(INDEX(INS_O,20))*INDEX(IdxOV_O,1,10)*(1+P_dMat)/(1-P_Merma),SUMIFS(Calculo!$F$196:$ES$196,Calculo!$F$170:$ES$170,10)*N(INDEX(INS_V,20))*INDEX(IdxOV_V,1,10)*(1+V_dMat)/(1-V_Merma))</f>
        <v>0</v>
      </c>
      <c r="O126" s="54" t="n">
        <f aca="false">SUM(D126:N126)</f>
        <v>0</v>
      </c>
    </row>
    <row r="127" customFormat="false" ht="15" hidden="true" customHeight="false" outlineLevel="1" collapsed="false">
      <c r="A127" s="11" t="s">
        <v>2206</v>
      </c>
      <c r="B127" s="15" t="s">
        <v>2087</v>
      </c>
      <c r="C127" s="11" t="s">
        <v>748</v>
      </c>
      <c r="E127" s="50" t="str">
        <f aca="false">IFERROR(IF(OR(NOT(ISNUMBER(E126)),N(E69)=0),"",E126/E69),"")</f>
        <v/>
      </c>
      <c r="F127" s="50" t="str">
        <f aca="false">IFERROR(IF(OR(NOT(ISNUMBER(F126)),N(F69)=0),"",F126/F69),"")</f>
        <v/>
      </c>
      <c r="G127" s="50" t="str">
        <f aca="false">IFERROR(IF(OR(NOT(ISNUMBER(G126)),N(G69)=0),"",G126/G69),"")</f>
        <v/>
      </c>
      <c r="H127" s="50" t="str">
        <f aca="false">IFERROR(IF(OR(NOT(ISNUMBER(H126)),N(H69)=0),"",H126/H69),"")</f>
        <v/>
      </c>
      <c r="I127" s="50" t="str">
        <f aca="false">IFERROR(IF(OR(NOT(ISNUMBER(I126)),N(I69)=0),"",I126/I69),"")</f>
        <v/>
      </c>
      <c r="J127" s="50" t="str">
        <f aca="false">IFERROR(IF(OR(NOT(ISNUMBER(J126)),N(J69)=0),"",J126/J69),"")</f>
        <v/>
      </c>
      <c r="K127" s="50" t="str">
        <f aca="false">IFERROR(IF(OR(NOT(ISNUMBER(K126)),N(K69)=0),"",K126/K69),"")</f>
        <v/>
      </c>
      <c r="L127" s="50" t="str">
        <f aca="false">IFERROR(IF(OR(NOT(ISNUMBER(L126)),N(L69)=0),"",L126/L69),"")</f>
        <v/>
      </c>
      <c r="M127" s="50" t="str">
        <f aca="false">IFERROR(IF(OR(NOT(ISNUMBER(M126)),N(M69)=0),"",M126/M69),"")</f>
        <v/>
      </c>
      <c r="N127" s="50" t="str">
        <f aca="false">IFERROR(IF(OR(NOT(ISNUMBER(N126)),N(N69)=0),"",N126/N69),"")</f>
        <v/>
      </c>
      <c r="O127" s="68" t="str">
        <f aca="false">IFERROR(IF(OR(NOT(ISNUMBER(O126)),N(O69)=0),"",O126/O69),"")</f>
        <v/>
      </c>
    </row>
    <row r="128" customFormat="false" ht="15" hidden="true" customHeight="false" outlineLevel="1" collapsed="false">
      <c r="A128" s="11" t="s">
        <v>2207</v>
      </c>
      <c r="B128" s="53" t="str">
        <f aca="false">IF(INDEX(Prod_Nombre,21)="","Producto 21",INDEX(Prod_Nombre,21))</f>
        <v>Producto 21</v>
      </c>
      <c r="C128" s="11" t="s">
        <v>508</v>
      </c>
      <c r="D128" s="48" t="n">
        <f aca="false">IF(cu_P=1,SUMIFS(Calculo!$F$41:$ES$41,Calculo!$F$16:$ES$16,1)*N(INDEX(INS_O,21))*INDEX(IdxOV_O,1,1)*(1+P_dMat)/(1-P_Merma),SUMIFS(Calculo!$F$197:$ES$197,Calculo!$F$172:$ES$172,1)*N(INDEX(INS_V,21))*INDEX(IdxOV_V,1,1)*(1+V_dMat)/(1-V_Merma))</f>
        <v>0</v>
      </c>
      <c r="E128" s="48" t="n">
        <f aca="false">IF(cu_P=1,SUMIFS(Calculo!$F$41:$ES$41,Calculo!$F$14:$ES$14,1)*N(INDEX(INS_O,21))*INDEX(IdxOV_O,1,1)*(1+P_dMat)/(1-P_Merma),SUMIFS(Calculo!$F$197:$ES$197,Calculo!$F$170:$ES$170,1)*N(INDEX(INS_V,21))*INDEX(IdxOV_V,1,1)*(1+V_dMat)/(1-V_Merma))</f>
        <v>0</v>
      </c>
      <c r="F128" s="48" t="n">
        <f aca="false">IF(cu_P=1,SUMIFS(Calculo!$F$41:$ES$41,Calculo!$F$14:$ES$14,2)*N(INDEX(INS_O,21))*INDEX(IdxOV_O,1,2)*(1+P_dMat)/(1-P_Merma),SUMIFS(Calculo!$F$197:$ES$197,Calculo!$F$170:$ES$170,2)*N(INDEX(INS_V,21))*INDEX(IdxOV_V,1,2)*(1+V_dMat)/(1-V_Merma))</f>
        <v>0</v>
      </c>
      <c r="G128" s="48" t="n">
        <f aca="false">IF(cu_P=1,SUMIFS(Calculo!$F$41:$ES$41,Calculo!$F$14:$ES$14,3)*N(INDEX(INS_O,21))*INDEX(IdxOV_O,1,3)*(1+P_dMat)/(1-P_Merma),SUMIFS(Calculo!$F$197:$ES$197,Calculo!$F$170:$ES$170,3)*N(INDEX(INS_V,21))*INDEX(IdxOV_V,1,3)*(1+V_dMat)/(1-V_Merma))</f>
        <v>0</v>
      </c>
      <c r="H128" s="48" t="n">
        <f aca="false">IF(cu_P=1,SUMIFS(Calculo!$F$41:$ES$41,Calculo!$F$14:$ES$14,4)*N(INDEX(INS_O,21))*INDEX(IdxOV_O,1,4)*(1+P_dMat)/(1-P_Merma),SUMIFS(Calculo!$F$197:$ES$197,Calculo!$F$170:$ES$170,4)*N(INDEX(INS_V,21))*INDEX(IdxOV_V,1,4)*(1+V_dMat)/(1-V_Merma))</f>
        <v>0</v>
      </c>
      <c r="I128" s="48" t="n">
        <f aca="false">IF(cu_P=1,SUMIFS(Calculo!$F$41:$ES$41,Calculo!$F$14:$ES$14,5)*N(INDEX(INS_O,21))*INDEX(IdxOV_O,1,5)*(1+P_dMat)/(1-P_Merma),SUMIFS(Calculo!$F$197:$ES$197,Calculo!$F$170:$ES$170,5)*N(INDEX(INS_V,21))*INDEX(IdxOV_V,1,5)*(1+V_dMat)/(1-V_Merma))</f>
        <v>0</v>
      </c>
      <c r="J128" s="48" t="n">
        <f aca="false">IF(cu_P=1,SUMIFS(Calculo!$F$41:$ES$41,Calculo!$F$14:$ES$14,6)*N(INDEX(INS_O,21))*INDEX(IdxOV_O,1,6)*(1+P_dMat)/(1-P_Merma),SUMIFS(Calculo!$F$197:$ES$197,Calculo!$F$170:$ES$170,6)*N(INDEX(INS_V,21))*INDEX(IdxOV_V,1,6)*(1+V_dMat)/(1-V_Merma))</f>
        <v>0</v>
      </c>
      <c r="K128" s="48" t="n">
        <f aca="false">IF(cu_P=1,SUMIFS(Calculo!$F$41:$ES$41,Calculo!$F$14:$ES$14,7)*N(INDEX(INS_O,21))*INDEX(IdxOV_O,1,7)*(1+P_dMat)/(1-P_Merma),SUMIFS(Calculo!$F$197:$ES$197,Calculo!$F$170:$ES$170,7)*N(INDEX(INS_V,21))*INDEX(IdxOV_V,1,7)*(1+V_dMat)/(1-V_Merma))</f>
        <v>0</v>
      </c>
      <c r="L128" s="48" t="n">
        <f aca="false">IF(cu_P=1,SUMIFS(Calculo!$F$41:$ES$41,Calculo!$F$14:$ES$14,8)*N(INDEX(INS_O,21))*INDEX(IdxOV_O,1,8)*(1+P_dMat)/(1-P_Merma),SUMIFS(Calculo!$F$197:$ES$197,Calculo!$F$170:$ES$170,8)*N(INDEX(INS_V,21))*INDEX(IdxOV_V,1,8)*(1+V_dMat)/(1-V_Merma))</f>
        <v>0</v>
      </c>
      <c r="M128" s="48" t="n">
        <f aca="false">IF(cu_P=1,SUMIFS(Calculo!$F$41:$ES$41,Calculo!$F$14:$ES$14,9)*N(INDEX(INS_O,21))*INDEX(IdxOV_O,1,9)*(1+P_dMat)/(1-P_Merma),SUMIFS(Calculo!$F$197:$ES$197,Calculo!$F$170:$ES$170,9)*N(INDEX(INS_V,21))*INDEX(IdxOV_V,1,9)*(1+V_dMat)/(1-V_Merma))</f>
        <v>0</v>
      </c>
      <c r="N128" s="48" t="n">
        <f aca="false">IF(cu_P=1,SUMIFS(Calculo!$F$41:$ES$41,Calculo!$F$14:$ES$14,10)*N(INDEX(INS_O,21))*INDEX(IdxOV_O,1,10)*(1+P_dMat)/(1-P_Merma),SUMIFS(Calculo!$F$197:$ES$197,Calculo!$F$170:$ES$170,10)*N(INDEX(INS_V,21))*INDEX(IdxOV_V,1,10)*(1+V_dMat)/(1-V_Merma))</f>
        <v>0</v>
      </c>
      <c r="O128" s="54" t="n">
        <f aca="false">SUM(D128:N128)</f>
        <v>0</v>
      </c>
    </row>
    <row r="129" customFormat="false" ht="15" hidden="true" customHeight="false" outlineLevel="1" collapsed="false">
      <c r="A129" s="11" t="s">
        <v>2208</v>
      </c>
      <c r="B129" s="15" t="s">
        <v>2087</v>
      </c>
      <c r="C129" s="11" t="s">
        <v>748</v>
      </c>
      <c r="E129" s="50" t="str">
        <f aca="false">IFERROR(IF(OR(NOT(ISNUMBER(E128)),N(E72)=0),"",E128/E72),"")</f>
        <v/>
      </c>
      <c r="F129" s="50" t="str">
        <f aca="false">IFERROR(IF(OR(NOT(ISNUMBER(F128)),N(F72)=0),"",F128/F72),"")</f>
        <v/>
      </c>
      <c r="G129" s="50" t="str">
        <f aca="false">IFERROR(IF(OR(NOT(ISNUMBER(G128)),N(G72)=0),"",G128/G72),"")</f>
        <v/>
      </c>
      <c r="H129" s="50" t="str">
        <f aca="false">IFERROR(IF(OR(NOT(ISNUMBER(H128)),N(H72)=0),"",H128/H72),"")</f>
        <v/>
      </c>
      <c r="I129" s="50" t="str">
        <f aca="false">IFERROR(IF(OR(NOT(ISNUMBER(I128)),N(I72)=0),"",I128/I72),"")</f>
        <v/>
      </c>
      <c r="J129" s="50" t="str">
        <f aca="false">IFERROR(IF(OR(NOT(ISNUMBER(J128)),N(J72)=0),"",J128/J72),"")</f>
        <v/>
      </c>
      <c r="K129" s="50" t="str">
        <f aca="false">IFERROR(IF(OR(NOT(ISNUMBER(K128)),N(K72)=0),"",K128/K72),"")</f>
        <v/>
      </c>
      <c r="L129" s="50" t="str">
        <f aca="false">IFERROR(IF(OR(NOT(ISNUMBER(L128)),N(L72)=0),"",L128/L72),"")</f>
        <v/>
      </c>
      <c r="M129" s="50" t="str">
        <f aca="false">IFERROR(IF(OR(NOT(ISNUMBER(M128)),N(M72)=0),"",M128/M72),"")</f>
        <v/>
      </c>
      <c r="N129" s="50" t="str">
        <f aca="false">IFERROR(IF(OR(NOT(ISNUMBER(N128)),N(N72)=0),"",N128/N72),"")</f>
        <v/>
      </c>
      <c r="O129" s="68" t="str">
        <f aca="false">IFERROR(IF(OR(NOT(ISNUMBER(O128)),N(O72)=0),"",O128/O72),"")</f>
        <v/>
      </c>
    </row>
    <row r="130" customFormat="false" ht="15" hidden="true" customHeight="false" outlineLevel="1" collapsed="false">
      <c r="A130" s="11" t="s">
        <v>2209</v>
      </c>
      <c r="B130" s="53" t="str">
        <f aca="false">IF(INDEX(Prod_Nombre,22)="","Producto 22",INDEX(Prod_Nombre,22))</f>
        <v>Producto 22</v>
      </c>
      <c r="C130" s="11" t="s">
        <v>508</v>
      </c>
      <c r="D130" s="48" t="n">
        <f aca="false">IF(cu_P=1,SUMIFS(Calculo!$F$42:$ES$42,Calculo!$F$16:$ES$16,1)*N(INDEX(INS_O,22))*INDEX(IdxOV_O,1,1)*(1+P_dMat)/(1-P_Merma),SUMIFS(Calculo!$F$198:$ES$198,Calculo!$F$172:$ES$172,1)*N(INDEX(INS_V,22))*INDEX(IdxOV_V,1,1)*(1+V_dMat)/(1-V_Merma))</f>
        <v>0</v>
      </c>
      <c r="E130" s="48" t="n">
        <f aca="false">IF(cu_P=1,SUMIFS(Calculo!$F$42:$ES$42,Calculo!$F$14:$ES$14,1)*N(INDEX(INS_O,22))*INDEX(IdxOV_O,1,1)*(1+P_dMat)/(1-P_Merma),SUMIFS(Calculo!$F$198:$ES$198,Calculo!$F$170:$ES$170,1)*N(INDEX(INS_V,22))*INDEX(IdxOV_V,1,1)*(1+V_dMat)/(1-V_Merma))</f>
        <v>0</v>
      </c>
      <c r="F130" s="48" t="n">
        <f aca="false">IF(cu_P=1,SUMIFS(Calculo!$F$42:$ES$42,Calculo!$F$14:$ES$14,2)*N(INDEX(INS_O,22))*INDEX(IdxOV_O,1,2)*(1+P_dMat)/(1-P_Merma),SUMIFS(Calculo!$F$198:$ES$198,Calculo!$F$170:$ES$170,2)*N(INDEX(INS_V,22))*INDEX(IdxOV_V,1,2)*(1+V_dMat)/(1-V_Merma))</f>
        <v>0</v>
      </c>
      <c r="G130" s="48" t="n">
        <f aca="false">IF(cu_P=1,SUMIFS(Calculo!$F$42:$ES$42,Calculo!$F$14:$ES$14,3)*N(INDEX(INS_O,22))*INDEX(IdxOV_O,1,3)*(1+P_dMat)/(1-P_Merma),SUMIFS(Calculo!$F$198:$ES$198,Calculo!$F$170:$ES$170,3)*N(INDEX(INS_V,22))*INDEX(IdxOV_V,1,3)*(1+V_dMat)/(1-V_Merma))</f>
        <v>0</v>
      </c>
      <c r="H130" s="48" t="n">
        <f aca="false">IF(cu_P=1,SUMIFS(Calculo!$F$42:$ES$42,Calculo!$F$14:$ES$14,4)*N(INDEX(INS_O,22))*INDEX(IdxOV_O,1,4)*(1+P_dMat)/(1-P_Merma),SUMIFS(Calculo!$F$198:$ES$198,Calculo!$F$170:$ES$170,4)*N(INDEX(INS_V,22))*INDEX(IdxOV_V,1,4)*(1+V_dMat)/(1-V_Merma))</f>
        <v>0</v>
      </c>
      <c r="I130" s="48" t="n">
        <f aca="false">IF(cu_P=1,SUMIFS(Calculo!$F$42:$ES$42,Calculo!$F$14:$ES$14,5)*N(INDEX(INS_O,22))*INDEX(IdxOV_O,1,5)*(1+P_dMat)/(1-P_Merma),SUMIFS(Calculo!$F$198:$ES$198,Calculo!$F$170:$ES$170,5)*N(INDEX(INS_V,22))*INDEX(IdxOV_V,1,5)*(1+V_dMat)/(1-V_Merma))</f>
        <v>0</v>
      </c>
      <c r="J130" s="48" t="n">
        <f aca="false">IF(cu_P=1,SUMIFS(Calculo!$F$42:$ES$42,Calculo!$F$14:$ES$14,6)*N(INDEX(INS_O,22))*INDEX(IdxOV_O,1,6)*(1+P_dMat)/(1-P_Merma),SUMIFS(Calculo!$F$198:$ES$198,Calculo!$F$170:$ES$170,6)*N(INDEX(INS_V,22))*INDEX(IdxOV_V,1,6)*(1+V_dMat)/(1-V_Merma))</f>
        <v>0</v>
      </c>
      <c r="K130" s="48" t="n">
        <f aca="false">IF(cu_P=1,SUMIFS(Calculo!$F$42:$ES$42,Calculo!$F$14:$ES$14,7)*N(INDEX(INS_O,22))*INDEX(IdxOV_O,1,7)*(1+P_dMat)/(1-P_Merma),SUMIFS(Calculo!$F$198:$ES$198,Calculo!$F$170:$ES$170,7)*N(INDEX(INS_V,22))*INDEX(IdxOV_V,1,7)*(1+V_dMat)/(1-V_Merma))</f>
        <v>0</v>
      </c>
      <c r="L130" s="48" t="n">
        <f aca="false">IF(cu_P=1,SUMIFS(Calculo!$F$42:$ES$42,Calculo!$F$14:$ES$14,8)*N(INDEX(INS_O,22))*INDEX(IdxOV_O,1,8)*(1+P_dMat)/(1-P_Merma),SUMIFS(Calculo!$F$198:$ES$198,Calculo!$F$170:$ES$170,8)*N(INDEX(INS_V,22))*INDEX(IdxOV_V,1,8)*(1+V_dMat)/(1-V_Merma))</f>
        <v>0</v>
      </c>
      <c r="M130" s="48" t="n">
        <f aca="false">IF(cu_P=1,SUMIFS(Calculo!$F$42:$ES$42,Calculo!$F$14:$ES$14,9)*N(INDEX(INS_O,22))*INDEX(IdxOV_O,1,9)*(1+P_dMat)/(1-P_Merma),SUMIFS(Calculo!$F$198:$ES$198,Calculo!$F$170:$ES$170,9)*N(INDEX(INS_V,22))*INDEX(IdxOV_V,1,9)*(1+V_dMat)/(1-V_Merma))</f>
        <v>0</v>
      </c>
      <c r="N130" s="48" t="n">
        <f aca="false">IF(cu_P=1,SUMIFS(Calculo!$F$42:$ES$42,Calculo!$F$14:$ES$14,10)*N(INDEX(INS_O,22))*INDEX(IdxOV_O,1,10)*(1+P_dMat)/(1-P_Merma),SUMIFS(Calculo!$F$198:$ES$198,Calculo!$F$170:$ES$170,10)*N(INDEX(INS_V,22))*INDEX(IdxOV_V,1,10)*(1+V_dMat)/(1-V_Merma))</f>
        <v>0</v>
      </c>
      <c r="O130" s="54" t="n">
        <f aca="false">SUM(D130:N130)</f>
        <v>0</v>
      </c>
    </row>
    <row r="131" customFormat="false" ht="15" hidden="true" customHeight="false" outlineLevel="1" collapsed="false">
      <c r="A131" s="11" t="s">
        <v>2210</v>
      </c>
      <c r="B131" s="15" t="s">
        <v>2087</v>
      </c>
      <c r="C131" s="11" t="s">
        <v>748</v>
      </c>
      <c r="E131" s="50" t="str">
        <f aca="false">IFERROR(IF(OR(NOT(ISNUMBER(E130)),N(E75)=0),"",E130/E75),"")</f>
        <v/>
      </c>
      <c r="F131" s="50" t="str">
        <f aca="false">IFERROR(IF(OR(NOT(ISNUMBER(F130)),N(F75)=0),"",F130/F75),"")</f>
        <v/>
      </c>
      <c r="G131" s="50" t="str">
        <f aca="false">IFERROR(IF(OR(NOT(ISNUMBER(G130)),N(G75)=0),"",G130/G75),"")</f>
        <v/>
      </c>
      <c r="H131" s="50" t="str">
        <f aca="false">IFERROR(IF(OR(NOT(ISNUMBER(H130)),N(H75)=0),"",H130/H75),"")</f>
        <v/>
      </c>
      <c r="I131" s="50" t="str">
        <f aca="false">IFERROR(IF(OR(NOT(ISNUMBER(I130)),N(I75)=0),"",I130/I75),"")</f>
        <v/>
      </c>
      <c r="J131" s="50" t="str">
        <f aca="false">IFERROR(IF(OR(NOT(ISNUMBER(J130)),N(J75)=0),"",J130/J75),"")</f>
        <v/>
      </c>
      <c r="K131" s="50" t="str">
        <f aca="false">IFERROR(IF(OR(NOT(ISNUMBER(K130)),N(K75)=0),"",K130/K75),"")</f>
        <v/>
      </c>
      <c r="L131" s="50" t="str">
        <f aca="false">IFERROR(IF(OR(NOT(ISNUMBER(L130)),N(L75)=0),"",L130/L75),"")</f>
        <v/>
      </c>
      <c r="M131" s="50" t="str">
        <f aca="false">IFERROR(IF(OR(NOT(ISNUMBER(M130)),N(M75)=0),"",M130/M75),"")</f>
        <v/>
      </c>
      <c r="N131" s="50" t="str">
        <f aca="false">IFERROR(IF(OR(NOT(ISNUMBER(N130)),N(N75)=0),"",N130/N75),"")</f>
        <v/>
      </c>
      <c r="O131" s="68" t="str">
        <f aca="false">IFERROR(IF(OR(NOT(ISNUMBER(O130)),N(O75)=0),"",O130/O75),"")</f>
        <v/>
      </c>
    </row>
    <row r="132" customFormat="false" ht="15" hidden="true" customHeight="false" outlineLevel="1" collapsed="false">
      <c r="A132" s="11" t="s">
        <v>2211</v>
      </c>
      <c r="B132" s="53" t="str">
        <f aca="false">IF(INDEX(Prod_Nombre,23)="","Producto 23",INDEX(Prod_Nombre,23))</f>
        <v>Producto 23</v>
      </c>
      <c r="C132" s="11" t="s">
        <v>508</v>
      </c>
      <c r="D132" s="48" t="n">
        <f aca="false">IF(cu_P=1,SUMIFS(Calculo!$F$43:$ES$43,Calculo!$F$16:$ES$16,1)*N(INDEX(INS_O,23))*INDEX(IdxOV_O,1,1)*(1+P_dMat)/(1-P_Merma),SUMIFS(Calculo!$F$199:$ES$199,Calculo!$F$172:$ES$172,1)*N(INDEX(INS_V,23))*INDEX(IdxOV_V,1,1)*(1+V_dMat)/(1-V_Merma))</f>
        <v>0</v>
      </c>
      <c r="E132" s="48" t="n">
        <f aca="false">IF(cu_P=1,SUMIFS(Calculo!$F$43:$ES$43,Calculo!$F$14:$ES$14,1)*N(INDEX(INS_O,23))*INDEX(IdxOV_O,1,1)*(1+P_dMat)/(1-P_Merma),SUMIFS(Calculo!$F$199:$ES$199,Calculo!$F$170:$ES$170,1)*N(INDEX(INS_V,23))*INDEX(IdxOV_V,1,1)*(1+V_dMat)/(1-V_Merma))</f>
        <v>0</v>
      </c>
      <c r="F132" s="48" t="n">
        <f aca="false">IF(cu_P=1,SUMIFS(Calculo!$F$43:$ES$43,Calculo!$F$14:$ES$14,2)*N(INDEX(INS_O,23))*INDEX(IdxOV_O,1,2)*(1+P_dMat)/(1-P_Merma),SUMIFS(Calculo!$F$199:$ES$199,Calculo!$F$170:$ES$170,2)*N(INDEX(INS_V,23))*INDEX(IdxOV_V,1,2)*(1+V_dMat)/(1-V_Merma))</f>
        <v>0</v>
      </c>
      <c r="G132" s="48" t="n">
        <f aca="false">IF(cu_P=1,SUMIFS(Calculo!$F$43:$ES$43,Calculo!$F$14:$ES$14,3)*N(INDEX(INS_O,23))*INDEX(IdxOV_O,1,3)*(1+P_dMat)/(1-P_Merma),SUMIFS(Calculo!$F$199:$ES$199,Calculo!$F$170:$ES$170,3)*N(INDEX(INS_V,23))*INDEX(IdxOV_V,1,3)*(1+V_dMat)/(1-V_Merma))</f>
        <v>0</v>
      </c>
      <c r="H132" s="48" t="n">
        <f aca="false">IF(cu_P=1,SUMIFS(Calculo!$F$43:$ES$43,Calculo!$F$14:$ES$14,4)*N(INDEX(INS_O,23))*INDEX(IdxOV_O,1,4)*(1+P_dMat)/(1-P_Merma),SUMIFS(Calculo!$F$199:$ES$199,Calculo!$F$170:$ES$170,4)*N(INDEX(INS_V,23))*INDEX(IdxOV_V,1,4)*(1+V_dMat)/(1-V_Merma))</f>
        <v>0</v>
      </c>
      <c r="I132" s="48" t="n">
        <f aca="false">IF(cu_P=1,SUMIFS(Calculo!$F$43:$ES$43,Calculo!$F$14:$ES$14,5)*N(INDEX(INS_O,23))*INDEX(IdxOV_O,1,5)*(1+P_dMat)/(1-P_Merma),SUMIFS(Calculo!$F$199:$ES$199,Calculo!$F$170:$ES$170,5)*N(INDEX(INS_V,23))*INDEX(IdxOV_V,1,5)*(1+V_dMat)/(1-V_Merma))</f>
        <v>0</v>
      </c>
      <c r="J132" s="48" t="n">
        <f aca="false">IF(cu_P=1,SUMIFS(Calculo!$F$43:$ES$43,Calculo!$F$14:$ES$14,6)*N(INDEX(INS_O,23))*INDEX(IdxOV_O,1,6)*(1+P_dMat)/(1-P_Merma),SUMIFS(Calculo!$F$199:$ES$199,Calculo!$F$170:$ES$170,6)*N(INDEX(INS_V,23))*INDEX(IdxOV_V,1,6)*(1+V_dMat)/(1-V_Merma))</f>
        <v>0</v>
      </c>
      <c r="K132" s="48" t="n">
        <f aca="false">IF(cu_P=1,SUMIFS(Calculo!$F$43:$ES$43,Calculo!$F$14:$ES$14,7)*N(INDEX(INS_O,23))*INDEX(IdxOV_O,1,7)*(1+P_dMat)/(1-P_Merma),SUMIFS(Calculo!$F$199:$ES$199,Calculo!$F$170:$ES$170,7)*N(INDEX(INS_V,23))*INDEX(IdxOV_V,1,7)*(1+V_dMat)/(1-V_Merma))</f>
        <v>0</v>
      </c>
      <c r="L132" s="48" t="n">
        <f aca="false">IF(cu_P=1,SUMIFS(Calculo!$F$43:$ES$43,Calculo!$F$14:$ES$14,8)*N(INDEX(INS_O,23))*INDEX(IdxOV_O,1,8)*(1+P_dMat)/(1-P_Merma),SUMIFS(Calculo!$F$199:$ES$199,Calculo!$F$170:$ES$170,8)*N(INDEX(INS_V,23))*INDEX(IdxOV_V,1,8)*(1+V_dMat)/(1-V_Merma))</f>
        <v>0</v>
      </c>
      <c r="M132" s="48" t="n">
        <f aca="false">IF(cu_P=1,SUMIFS(Calculo!$F$43:$ES$43,Calculo!$F$14:$ES$14,9)*N(INDEX(INS_O,23))*INDEX(IdxOV_O,1,9)*(1+P_dMat)/(1-P_Merma),SUMIFS(Calculo!$F$199:$ES$199,Calculo!$F$170:$ES$170,9)*N(INDEX(INS_V,23))*INDEX(IdxOV_V,1,9)*(1+V_dMat)/(1-V_Merma))</f>
        <v>0</v>
      </c>
      <c r="N132" s="48" t="n">
        <f aca="false">IF(cu_P=1,SUMIFS(Calculo!$F$43:$ES$43,Calculo!$F$14:$ES$14,10)*N(INDEX(INS_O,23))*INDEX(IdxOV_O,1,10)*(1+P_dMat)/(1-P_Merma),SUMIFS(Calculo!$F$199:$ES$199,Calculo!$F$170:$ES$170,10)*N(INDEX(INS_V,23))*INDEX(IdxOV_V,1,10)*(1+V_dMat)/(1-V_Merma))</f>
        <v>0</v>
      </c>
      <c r="O132" s="54" t="n">
        <f aca="false">SUM(D132:N132)</f>
        <v>0</v>
      </c>
    </row>
    <row r="133" customFormat="false" ht="15" hidden="true" customHeight="false" outlineLevel="1" collapsed="false">
      <c r="A133" s="11" t="s">
        <v>2212</v>
      </c>
      <c r="B133" s="15" t="s">
        <v>2087</v>
      </c>
      <c r="C133" s="11" t="s">
        <v>748</v>
      </c>
      <c r="E133" s="50" t="str">
        <f aca="false">IFERROR(IF(OR(NOT(ISNUMBER(E132)),N(E78)=0),"",E132/E78),"")</f>
        <v/>
      </c>
      <c r="F133" s="50" t="str">
        <f aca="false">IFERROR(IF(OR(NOT(ISNUMBER(F132)),N(F78)=0),"",F132/F78),"")</f>
        <v/>
      </c>
      <c r="G133" s="50" t="str">
        <f aca="false">IFERROR(IF(OR(NOT(ISNUMBER(G132)),N(G78)=0),"",G132/G78),"")</f>
        <v/>
      </c>
      <c r="H133" s="50" t="str">
        <f aca="false">IFERROR(IF(OR(NOT(ISNUMBER(H132)),N(H78)=0),"",H132/H78),"")</f>
        <v/>
      </c>
      <c r="I133" s="50" t="str">
        <f aca="false">IFERROR(IF(OR(NOT(ISNUMBER(I132)),N(I78)=0),"",I132/I78),"")</f>
        <v/>
      </c>
      <c r="J133" s="50" t="str">
        <f aca="false">IFERROR(IF(OR(NOT(ISNUMBER(J132)),N(J78)=0),"",J132/J78),"")</f>
        <v/>
      </c>
      <c r="K133" s="50" t="str">
        <f aca="false">IFERROR(IF(OR(NOT(ISNUMBER(K132)),N(K78)=0),"",K132/K78),"")</f>
        <v/>
      </c>
      <c r="L133" s="50" t="str">
        <f aca="false">IFERROR(IF(OR(NOT(ISNUMBER(L132)),N(L78)=0),"",L132/L78),"")</f>
        <v/>
      </c>
      <c r="M133" s="50" t="str">
        <f aca="false">IFERROR(IF(OR(NOT(ISNUMBER(M132)),N(M78)=0),"",M132/M78),"")</f>
        <v/>
      </c>
      <c r="N133" s="50" t="str">
        <f aca="false">IFERROR(IF(OR(NOT(ISNUMBER(N132)),N(N78)=0),"",N132/N78),"")</f>
        <v/>
      </c>
      <c r="O133" s="68" t="str">
        <f aca="false">IFERROR(IF(OR(NOT(ISNUMBER(O132)),N(O78)=0),"",O132/O78),"")</f>
        <v/>
      </c>
    </row>
    <row r="134" customFormat="false" ht="15" hidden="true" customHeight="false" outlineLevel="1" collapsed="false">
      <c r="A134" s="11" t="s">
        <v>2213</v>
      </c>
      <c r="B134" s="53" t="str">
        <f aca="false">IF(INDEX(Prod_Nombre,24)="","Producto 24",INDEX(Prod_Nombre,24))</f>
        <v>Producto 24</v>
      </c>
      <c r="C134" s="11" t="s">
        <v>508</v>
      </c>
      <c r="D134" s="48" t="n">
        <f aca="false">IF(cu_P=1,SUMIFS(Calculo!$F$44:$ES$44,Calculo!$F$16:$ES$16,1)*N(INDEX(INS_O,24))*INDEX(IdxOV_O,1,1)*(1+P_dMat)/(1-P_Merma),SUMIFS(Calculo!$F$200:$ES$200,Calculo!$F$172:$ES$172,1)*N(INDEX(INS_V,24))*INDEX(IdxOV_V,1,1)*(1+V_dMat)/(1-V_Merma))</f>
        <v>0</v>
      </c>
      <c r="E134" s="48" t="n">
        <f aca="false">IF(cu_P=1,SUMIFS(Calculo!$F$44:$ES$44,Calculo!$F$14:$ES$14,1)*N(INDEX(INS_O,24))*INDEX(IdxOV_O,1,1)*(1+P_dMat)/(1-P_Merma),SUMIFS(Calculo!$F$200:$ES$200,Calculo!$F$170:$ES$170,1)*N(INDEX(INS_V,24))*INDEX(IdxOV_V,1,1)*(1+V_dMat)/(1-V_Merma))</f>
        <v>0</v>
      </c>
      <c r="F134" s="48" t="n">
        <f aca="false">IF(cu_P=1,SUMIFS(Calculo!$F$44:$ES$44,Calculo!$F$14:$ES$14,2)*N(INDEX(INS_O,24))*INDEX(IdxOV_O,1,2)*(1+P_dMat)/(1-P_Merma),SUMIFS(Calculo!$F$200:$ES$200,Calculo!$F$170:$ES$170,2)*N(INDEX(INS_V,24))*INDEX(IdxOV_V,1,2)*(1+V_dMat)/(1-V_Merma))</f>
        <v>0</v>
      </c>
      <c r="G134" s="48" t="n">
        <f aca="false">IF(cu_P=1,SUMIFS(Calculo!$F$44:$ES$44,Calculo!$F$14:$ES$14,3)*N(INDEX(INS_O,24))*INDEX(IdxOV_O,1,3)*(1+P_dMat)/(1-P_Merma),SUMIFS(Calculo!$F$200:$ES$200,Calculo!$F$170:$ES$170,3)*N(INDEX(INS_V,24))*INDEX(IdxOV_V,1,3)*(1+V_dMat)/(1-V_Merma))</f>
        <v>0</v>
      </c>
      <c r="H134" s="48" t="n">
        <f aca="false">IF(cu_P=1,SUMIFS(Calculo!$F$44:$ES$44,Calculo!$F$14:$ES$14,4)*N(INDEX(INS_O,24))*INDEX(IdxOV_O,1,4)*(1+P_dMat)/(1-P_Merma),SUMIFS(Calculo!$F$200:$ES$200,Calculo!$F$170:$ES$170,4)*N(INDEX(INS_V,24))*INDEX(IdxOV_V,1,4)*(1+V_dMat)/(1-V_Merma))</f>
        <v>0</v>
      </c>
      <c r="I134" s="48" t="n">
        <f aca="false">IF(cu_P=1,SUMIFS(Calculo!$F$44:$ES$44,Calculo!$F$14:$ES$14,5)*N(INDEX(INS_O,24))*INDEX(IdxOV_O,1,5)*(1+P_dMat)/(1-P_Merma),SUMIFS(Calculo!$F$200:$ES$200,Calculo!$F$170:$ES$170,5)*N(INDEX(INS_V,24))*INDEX(IdxOV_V,1,5)*(1+V_dMat)/(1-V_Merma))</f>
        <v>0</v>
      </c>
      <c r="J134" s="48" t="n">
        <f aca="false">IF(cu_P=1,SUMIFS(Calculo!$F$44:$ES$44,Calculo!$F$14:$ES$14,6)*N(INDEX(INS_O,24))*INDEX(IdxOV_O,1,6)*(1+P_dMat)/(1-P_Merma),SUMIFS(Calculo!$F$200:$ES$200,Calculo!$F$170:$ES$170,6)*N(INDEX(INS_V,24))*INDEX(IdxOV_V,1,6)*(1+V_dMat)/(1-V_Merma))</f>
        <v>0</v>
      </c>
      <c r="K134" s="48" t="n">
        <f aca="false">IF(cu_P=1,SUMIFS(Calculo!$F$44:$ES$44,Calculo!$F$14:$ES$14,7)*N(INDEX(INS_O,24))*INDEX(IdxOV_O,1,7)*(1+P_dMat)/(1-P_Merma),SUMIFS(Calculo!$F$200:$ES$200,Calculo!$F$170:$ES$170,7)*N(INDEX(INS_V,24))*INDEX(IdxOV_V,1,7)*(1+V_dMat)/(1-V_Merma))</f>
        <v>0</v>
      </c>
      <c r="L134" s="48" t="n">
        <f aca="false">IF(cu_P=1,SUMIFS(Calculo!$F$44:$ES$44,Calculo!$F$14:$ES$14,8)*N(INDEX(INS_O,24))*INDEX(IdxOV_O,1,8)*(1+P_dMat)/(1-P_Merma),SUMIFS(Calculo!$F$200:$ES$200,Calculo!$F$170:$ES$170,8)*N(INDEX(INS_V,24))*INDEX(IdxOV_V,1,8)*(1+V_dMat)/(1-V_Merma))</f>
        <v>0</v>
      </c>
      <c r="M134" s="48" t="n">
        <f aca="false">IF(cu_P=1,SUMIFS(Calculo!$F$44:$ES$44,Calculo!$F$14:$ES$14,9)*N(INDEX(INS_O,24))*INDEX(IdxOV_O,1,9)*(1+P_dMat)/(1-P_Merma),SUMIFS(Calculo!$F$200:$ES$200,Calculo!$F$170:$ES$170,9)*N(INDEX(INS_V,24))*INDEX(IdxOV_V,1,9)*(1+V_dMat)/(1-V_Merma))</f>
        <v>0</v>
      </c>
      <c r="N134" s="48" t="n">
        <f aca="false">IF(cu_P=1,SUMIFS(Calculo!$F$44:$ES$44,Calculo!$F$14:$ES$14,10)*N(INDEX(INS_O,24))*INDEX(IdxOV_O,1,10)*(1+P_dMat)/(1-P_Merma),SUMIFS(Calculo!$F$200:$ES$200,Calculo!$F$170:$ES$170,10)*N(INDEX(INS_V,24))*INDEX(IdxOV_V,1,10)*(1+V_dMat)/(1-V_Merma))</f>
        <v>0</v>
      </c>
      <c r="O134" s="54" t="n">
        <f aca="false">SUM(D134:N134)</f>
        <v>0</v>
      </c>
    </row>
    <row r="135" customFormat="false" ht="15" hidden="true" customHeight="false" outlineLevel="1" collapsed="false">
      <c r="A135" s="11" t="s">
        <v>2214</v>
      </c>
      <c r="B135" s="15" t="s">
        <v>2087</v>
      </c>
      <c r="C135" s="11" t="s">
        <v>748</v>
      </c>
      <c r="E135" s="50" t="str">
        <f aca="false">IFERROR(IF(OR(NOT(ISNUMBER(E134)),N(E81)=0),"",E134/E81),"")</f>
        <v/>
      </c>
      <c r="F135" s="50" t="str">
        <f aca="false">IFERROR(IF(OR(NOT(ISNUMBER(F134)),N(F81)=0),"",F134/F81),"")</f>
        <v/>
      </c>
      <c r="G135" s="50" t="str">
        <f aca="false">IFERROR(IF(OR(NOT(ISNUMBER(G134)),N(G81)=0),"",G134/G81),"")</f>
        <v/>
      </c>
      <c r="H135" s="50" t="str">
        <f aca="false">IFERROR(IF(OR(NOT(ISNUMBER(H134)),N(H81)=0),"",H134/H81),"")</f>
        <v/>
      </c>
      <c r="I135" s="50" t="str">
        <f aca="false">IFERROR(IF(OR(NOT(ISNUMBER(I134)),N(I81)=0),"",I134/I81),"")</f>
        <v/>
      </c>
      <c r="J135" s="50" t="str">
        <f aca="false">IFERROR(IF(OR(NOT(ISNUMBER(J134)),N(J81)=0),"",J134/J81),"")</f>
        <v/>
      </c>
      <c r="K135" s="50" t="str">
        <f aca="false">IFERROR(IF(OR(NOT(ISNUMBER(K134)),N(K81)=0),"",K134/K81),"")</f>
        <v/>
      </c>
      <c r="L135" s="50" t="str">
        <f aca="false">IFERROR(IF(OR(NOT(ISNUMBER(L134)),N(L81)=0),"",L134/L81),"")</f>
        <v/>
      </c>
      <c r="M135" s="50" t="str">
        <f aca="false">IFERROR(IF(OR(NOT(ISNUMBER(M134)),N(M81)=0),"",M134/M81),"")</f>
        <v/>
      </c>
      <c r="N135" s="50" t="str">
        <f aca="false">IFERROR(IF(OR(NOT(ISNUMBER(N134)),N(N81)=0),"",N134/N81),"")</f>
        <v/>
      </c>
      <c r="O135" s="68" t="str">
        <f aca="false">IFERROR(IF(OR(NOT(ISNUMBER(O134)),N(O81)=0),"",O134/O81),"")</f>
        <v/>
      </c>
    </row>
    <row r="136" customFormat="false" ht="15" hidden="true" customHeight="false" outlineLevel="1" collapsed="false">
      <c r="A136" s="11" t="s">
        <v>2215</v>
      </c>
      <c r="B136" s="53" t="str">
        <f aca="false">IF(INDEX(Prod_Nombre,25)="","Producto 25",INDEX(Prod_Nombre,25))</f>
        <v>Producto 25</v>
      </c>
      <c r="C136" s="11" t="s">
        <v>508</v>
      </c>
      <c r="D136" s="48" t="n">
        <f aca="false">IF(cu_P=1,SUMIFS(Calculo!$F$45:$ES$45,Calculo!$F$16:$ES$16,1)*N(INDEX(INS_O,25))*INDEX(IdxOV_O,1,1)*(1+P_dMat)/(1-P_Merma),SUMIFS(Calculo!$F$201:$ES$201,Calculo!$F$172:$ES$172,1)*N(INDEX(INS_V,25))*INDEX(IdxOV_V,1,1)*(1+V_dMat)/(1-V_Merma))</f>
        <v>0</v>
      </c>
      <c r="E136" s="48" t="n">
        <f aca="false">IF(cu_P=1,SUMIFS(Calculo!$F$45:$ES$45,Calculo!$F$14:$ES$14,1)*N(INDEX(INS_O,25))*INDEX(IdxOV_O,1,1)*(1+P_dMat)/(1-P_Merma),SUMIFS(Calculo!$F$201:$ES$201,Calculo!$F$170:$ES$170,1)*N(INDEX(INS_V,25))*INDEX(IdxOV_V,1,1)*(1+V_dMat)/(1-V_Merma))</f>
        <v>0</v>
      </c>
      <c r="F136" s="48" t="n">
        <f aca="false">IF(cu_P=1,SUMIFS(Calculo!$F$45:$ES$45,Calculo!$F$14:$ES$14,2)*N(INDEX(INS_O,25))*INDEX(IdxOV_O,1,2)*(1+P_dMat)/(1-P_Merma),SUMIFS(Calculo!$F$201:$ES$201,Calculo!$F$170:$ES$170,2)*N(INDEX(INS_V,25))*INDEX(IdxOV_V,1,2)*(1+V_dMat)/(1-V_Merma))</f>
        <v>0</v>
      </c>
      <c r="G136" s="48" t="n">
        <f aca="false">IF(cu_P=1,SUMIFS(Calculo!$F$45:$ES$45,Calculo!$F$14:$ES$14,3)*N(INDEX(INS_O,25))*INDEX(IdxOV_O,1,3)*(1+P_dMat)/(1-P_Merma),SUMIFS(Calculo!$F$201:$ES$201,Calculo!$F$170:$ES$170,3)*N(INDEX(INS_V,25))*INDEX(IdxOV_V,1,3)*(1+V_dMat)/(1-V_Merma))</f>
        <v>0</v>
      </c>
      <c r="H136" s="48" t="n">
        <f aca="false">IF(cu_P=1,SUMIFS(Calculo!$F$45:$ES$45,Calculo!$F$14:$ES$14,4)*N(INDEX(INS_O,25))*INDEX(IdxOV_O,1,4)*(1+P_dMat)/(1-P_Merma),SUMIFS(Calculo!$F$201:$ES$201,Calculo!$F$170:$ES$170,4)*N(INDEX(INS_V,25))*INDEX(IdxOV_V,1,4)*(1+V_dMat)/(1-V_Merma))</f>
        <v>0</v>
      </c>
      <c r="I136" s="48" t="n">
        <f aca="false">IF(cu_P=1,SUMIFS(Calculo!$F$45:$ES$45,Calculo!$F$14:$ES$14,5)*N(INDEX(INS_O,25))*INDEX(IdxOV_O,1,5)*(1+P_dMat)/(1-P_Merma),SUMIFS(Calculo!$F$201:$ES$201,Calculo!$F$170:$ES$170,5)*N(INDEX(INS_V,25))*INDEX(IdxOV_V,1,5)*(1+V_dMat)/(1-V_Merma))</f>
        <v>0</v>
      </c>
      <c r="J136" s="48" t="n">
        <f aca="false">IF(cu_P=1,SUMIFS(Calculo!$F$45:$ES$45,Calculo!$F$14:$ES$14,6)*N(INDEX(INS_O,25))*INDEX(IdxOV_O,1,6)*(1+P_dMat)/(1-P_Merma),SUMIFS(Calculo!$F$201:$ES$201,Calculo!$F$170:$ES$170,6)*N(INDEX(INS_V,25))*INDEX(IdxOV_V,1,6)*(1+V_dMat)/(1-V_Merma))</f>
        <v>0</v>
      </c>
      <c r="K136" s="48" t="n">
        <f aca="false">IF(cu_P=1,SUMIFS(Calculo!$F$45:$ES$45,Calculo!$F$14:$ES$14,7)*N(INDEX(INS_O,25))*INDEX(IdxOV_O,1,7)*(1+P_dMat)/(1-P_Merma),SUMIFS(Calculo!$F$201:$ES$201,Calculo!$F$170:$ES$170,7)*N(INDEX(INS_V,25))*INDEX(IdxOV_V,1,7)*(1+V_dMat)/(1-V_Merma))</f>
        <v>0</v>
      </c>
      <c r="L136" s="48" t="n">
        <f aca="false">IF(cu_P=1,SUMIFS(Calculo!$F$45:$ES$45,Calculo!$F$14:$ES$14,8)*N(INDEX(INS_O,25))*INDEX(IdxOV_O,1,8)*(1+P_dMat)/(1-P_Merma),SUMIFS(Calculo!$F$201:$ES$201,Calculo!$F$170:$ES$170,8)*N(INDEX(INS_V,25))*INDEX(IdxOV_V,1,8)*(1+V_dMat)/(1-V_Merma))</f>
        <v>0</v>
      </c>
      <c r="M136" s="48" t="n">
        <f aca="false">IF(cu_P=1,SUMIFS(Calculo!$F$45:$ES$45,Calculo!$F$14:$ES$14,9)*N(INDEX(INS_O,25))*INDEX(IdxOV_O,1,9)*(1+P_dMat)/(1-P_Merma),SUMIFS(Calculo!$F$201:$ES$201,Calculo!$F$170:$ES$170,9)*N(INDEX(INS_V,25))*INDEX(IdxOV_V,1,9)*(1+V_dMat)/(1-V_Merma))</f>
        <v>0</v>
      </c>
      <c r="N136" s="48" t="n">
        <f aca="false">IF(cu_P=1,SUMIFS(Calculo!$F$45:$ES$45,Calculo!$F$14:$ES$14,10)*N(INDEX(INS_O,25))*INDEX(IdxOV_O,1,10)*(1+P_dMat)/(1-P_Merma),SUMIFS(Calculo!$F$201:$ES$201,Calculo!$F$170:$ES$170,10)*N(INDEX(INS_V,25))*INDEX(IdxOV_V,1,10)*(1+V_dMat)/(1-V_Merma))</f>
        <v>0</v>
      </c>
      <c r="O136" s="54" t="n">
        <f aca="false">SUM(D136:N136)</f>
        <v>0</v>
      </c>
    </row>
    <row r="137" customFormat="false" ht="15" hidden="true" customHeight="false" outlineLevel="1" collapsed="false">
      <c r="A137" s="11" t="s">
        <v>2216</v>
      </c>
      <c r="B137" s="15" t="s">
        <v>2087</v>
      </c>
      <c r="C137" s="11" t="s">
        <v>748</v>
      </c>
      <c r="E137" s="50" t="str">
        <f aca="false">IFERROR(IF(OR(NOT(ISNUMBER(E136)),N(E84)=0),"",E136/E84),"")</f>
        <v/>
      </c>
      <c r="F137" s="50" t="str">
        <f aca="false">IFERROR(IF(OR(NOT(ISNUMBER(F136)),N(F84)=0),"",F136/F84),"")</f>
        <v/>
      </c>
      <c r="G137" s="50" t="str">
        <f aca="false">IFERROR(IF(OR(NOT(ISNUMBER(G136)),N(G84)=0),"",G136/G84),"")</f>
        <v/>
      </c>
      <c r="H137" s="50" t="str">
        <f aca="false">IFERROR(IF(OR(NOT(ISNUMBER(H136)),N(H84)=0),"",H136/H84),"")</f>
        <v/>
      </c>
      <c r="I137" s="50" t="str">
        <f aca="false">IFERROR(IF(OR(NOT(ISNUMBER(I136)),N(I84)=0),"",I136/I84),"")</f>
        <v/>
      </c>
      <c r="J137" s="50" t="str">
        <f aca="false">IFERROR(IF(OR(NOT(ISNUMBER(J136)),N(J84)=0),"",J136/J84),"")</f>
        <v/>
      </c>
      <c r="K137" s="50" t="str">
        <f aca="false">IFERROR(IF(OR(NOT(ISNUMBER(K136)),N(K84)=0),"",K136/K84),"")</f>
        <v/>
      </c>
      <c r="L137" s="50" t="str">
        <f aca="false">IFERROR(IF(OR(NOT(ISNUMBER(L136)),N(L84)=0),"",L136/L84),"")</f>
        <v/>
      </c>
      <c r="M137" s="50" t="str">
        <f aca="false">IFERROR(IF(OR(NOT(ISNUMBER(M136)),N(M84)=0),"",M136/M84),"")</f>
        <v/>
      </c>
      <c r="N137" s="50" t="str">
        <f aca="false">IFERROR(IF(OR(NOT(ISNUMBER(N136)),N(N84)=0),"",N136/N84),"")</f>
        <v/>
      </c>
      <c r="O137" s="68" t="str">
        <f aca="false">IFERROR(IF(OR(NOT(ISNUMBER(O136)),N(O84)=0),"",O136/O84),"")</f>
        <v/>
      </c>
    </row>
    <row r="138" customFormat="false" ht="15" hidden="false" customHeight="false" outlineLevel="0" collapsed="false">
      <c r="A138" s="11" t="s">
        <v>2217</v>
      </c>
      <c r="B138" s="15" t="s">
        <v>2163</v>
      </c>
      <c r="C138" s="11" t="s">
        <v>508</v>
      </c>
      <c r="D138" s="48" t="n">
        <f aca="false">IFERROR(IF(COUNT(D87,D88,D90,D92,D94,D96,D98,D100,D102,D104,D106,D108,D110,D112,D114,D116,D118,D120,D122,D124,D126,D128,D130,D132,D134,D136)=0,"",N(D87)-(N(D88)+N(D90)+N(D92)+N(D94)+N(D96)+N(D98)+N(D100)+N(D102)+N(D104)+N(D106)+N(D108)+N(D110)+N(D112)+N(D114)+N(D116)+N(D118)+N(D120)+N(D122)+N(D124)+N(D126)+N(D128)+N(D130)+N(D132)+N(D134)+N(D136))),"")</f>
        <v>0</v>
      </c>
      <c r="E138" s="48" t="n">
        <f aca="false">IFERROR(IF(COUNT(E87,E88,E90,E92,E94,E96,E98,E100,E102,E104,E106,E108,E110,E112,E114,E116,E118,E120,E122,E124,E126,E128,E130,E132,E134,E136)=0,"",N(E87)-(N(E88)+N(E90)+N(E92)+N(E94)+N(E96)+N(E98)+N(E100)+N(E102)+N(E104)+N(E106)+N(E108)+N(E110)+N(E112)+N(E114)+N(E116)+N(E118)+N(E120)+N(E122)+N(E124)+N(E126)+N(E128)+N(E130)+N(E132)+N(E134)+N(E136))),"")</f>
        <v>0</v>
      </c>
      <c r="F138" s="48" t="n">
        <f aca="false">IFERROR(IF(COUNT(F87,F88,F90,F92,F94,F96,F98,F100,F102,F104,F106,F108,F110,F112,F114,F116,F118,F120,F122,F124,F126,F128,F130,F132,F134,F136)=0,"",N(F87)-(N(F88)+N(F90)+N(F92)+N(F94)+N(F96)+N(F98)+N(F100)+N(F102)+N(F104)+N(F106)+N(F108)+N(F110)+N(F112)+N(F114)+N(F116)+N(F118)+N(F120)+N(F122)+N(F124)+N(F126)+N(F128)+N(F130)+N(F132)+N(F134)+N(F136))),"")</f>
        <v>0</v>
      </c>
      <c r="G138" s="48" t="n">
        <f aca="false">IFERROR(IF(COUNT(G87,G88,G90,G92,G94,G96,G98,G100,G102,G104,G106,G108,G110,G112,G114,G116,G118,G120,G122,G124,G126,G128,G130,G132,G134,G136)=0,"",N(G87)-(N(G88)+N(G90)+N(G92)+N(G94)+N(G96)+N(G98)+N(G100)+N(G102)+N(G104)+N(G106)+N(G108)+N(G110)+N(G112)+N(G114)+N(G116)+N(G118)+N(G120)+N(G122)+N(G124)+N(G126)+N(G128)+N(G130)+N(G132)+N(G134)+N(G136))),"")</f>
        <v>0</v>
      </c>
      <c r="H138" s="48" t="n">
        <f aca="false">IFERROR(IF(COUNT(H87,H88,H90,H92,H94,H96,H98,H100,H102,H104,H106,H108,H110,H112,H114,H116,H118,H120,H122,H124,H126,H128,H130,H132,H134,H136)=0,"",N(H87)-(N(H88)+N(H90)+N(H92)+N(H94)+N(H96)+N(H98)+N(H100)+N(H102)+N(H104)+N(H106)+N(H108)+N(H110)+N(H112)+N(H114)+N(H116)+N(H118)+N(H120)+N(H122)+N(H124)+N(H126)+N(H128)+N(H130)+N(H132)+N(H134)+N(H136))),"")</f>
        <v>0</v>
      </c>
      <c r="I138" s="48" t="n">
        <f aca="false">IFERROR(IF(COUNT(I87,I88,I90,I92,I94,I96,I98,I100,I102,I104,I106,I108,I110,I112,I114,I116,I118,I120,I122,I124,I126,I128,I130,I132,I134,I136)=0,"",N(I87)-(N(I88)+N(I90)+N(I92)+N(I94)+N(I96)+N(I98)+N(I100)+N(I102)+N(I104)+N(I106)+N(I108)+N(I110)+N(I112)+N(I114)+N(I116)+N(I118)+N(I120)+N(I122)+N(I124)+N(I126)+N(I128)+N(I130)+N(I132)+N(I134)+N(I136))),"")</f>
        <v>0</v>
      </c>
      <c r="J138" s="48" t="n">
        <f aca="false">IFERROR(IF(COUNT(J87,J88,J90,J92,J94,J96,J98,J100,J102,J104,J106,J108,J110,J112,J114,J116,J118,J120,J122,J124,J126,J128,J130,J132,J134,J136)=0,"",N(J87)-(N(J88)+N(J90)+N(J92)+N(J94)+N(J96)+N(J98)+N(J100)+N(J102)+N(J104)+N(J106)+N(J108)+N(J110)+N(J112)+N(J114)+N(J116)+N(J118)+N(J120)+N(J122)+N(J124)+N(J126)+N(J128)+N(J130)+N(J132)+N(J134)+N(J136))),"")</f>
        <v>0</v>
      </c>
      <c r="K138" s="48" t="n">
        <f aca="false">IFERROR(IF(COUNT(K87,K88,K90,K92,K94,K96,K98,K100,K102,K104,K106,K108,K110,K112,K114,K116,K118,K120,K122,K124,K126,K128,K130,K132,K134,K136)=0,"",N(K87)-(N(K88)+N(K90)+N(K92)+N(K94)+N(K96)+N(K98)+N(K100)+N(K102)+N(K104)+N(K106)+N(K108)+N(K110)+N(K112)+N(K114)+N(K116)+N(K118)+N(K120)+N(K122)+N(K124)+N(K126)+N(K128)+N(K130)+N(K132)+N(K134)+N(K136))),"")</f>
        <v>0</v>
      </c>
      <c r="L138" s="48" t="n">
        <f aca="false">IFERROR(IF(COUNT(L87,L88,L90,L92,L94,L96,L98,L100,L102,L104,L106,L108,L110,L112,L114,L116,L118,L120,L122,L124,L126,L128,L130,L132,L134,L136)=0,"",N(L87)-(N(L88)+N(L90)+N(L92)+N(L94)+N(L96)+N(L98)+N(L100)+N(L102)+N(L104)+N(L106)+N(L108)+N(L110)+N(L112)+N(L114)+N(L116)+N(L118)+N(L120)+N(L122)+N(L124)+N(L126)+N(L128)+N(L130)+N(L132)+N(L134)+N(L136))),"")</f>
        <v>0</v>
      </c>
      <c r="M138" s="48" t="n">
        <f aca="false">IFERROR(IF(COUNT(M87,M88,M90,M92,M94,M96,M98,M100,M102,M104,M106,M108,M110,M112,M114,M116,M118,M120,M122,M124,M126,M128,M130,M132,M134,M136)=0,"",N(M87)-(N(M88)+N(M90)+N(M92)+N(M94)+N(M96)+N(M98)+N(M100)+N(M102)+N(M104)+N(M106)+N(M108)+N(M110)+N(M112)+N(M114)+N(M116)+N(M118)+N(M120)+N(M122)+N(M124)+N(M126)+N(M128)+N(M130)+N(M132)+N(M134)+N(M136))),"")</f>
        <v>0</v>
      </c>
      <c r="N138" s="48" t="n">
        <f aca="false">IFERROR(IF(COUNT(N87,N88,N90,N92,N94,N96,N98,N100,N102,N104,N106,N108,N110,N112,N114,N116,N118,N120,N122,N124,N126,N128,N130,N132,N134,N136)=0,"",N(N87)-(N(N88)+N(N90)+N(N92)+N(N94)+N(N96)+N(N98)+N(N100)+N(N102)+N(N104)+N(N106)+N(N108)+N(N110)+N(N112)+N(N114)+N(N116)+N(N118)+N(N120)+N(N122)+N(N124)+N(N126)+N(N128)+N(N130)+N(N132)+N(N134)+N(N136))),"")</f>
        <v>0</v>
      </c>
      <c r="O138" s="54" t="n">
        <f aca="false">SUM(D138:N138)</f>
        <v>0</v>
      </c>
    </row>
    <row r="139" customFormat="false" ht="15" hidden="false" customHeight="false" outlineLevel="0" collapsed="false">
      <c r="A139" s="13"/>
      <c r="B139" s="100" t="s">
        <v>2218</v>
      </c>
      <c r="C139" s="13"/>
      <c r="D139" s="13"/>
      <c r="E139" s="13"/>
      <c r="F139" s="13"/>
      <c r="G139" s="13"/>
      <c r="H139" s="13"/>
      <c r="I139" s="13"/>
      <c r="J139" s="13"/>
      <c r="K139" s="13"/>
      <c r="L139" s="13"/>
      <c r="M139" s="13"/>
      <c r="N139" s="13"/>
      <c r="O139" s="13"/>
    </row>
    <row r="140" customFormat="false" ht="15" hidden="false" customHeight="false" outlineLevel="0" collapsed="false">
      <c r="A140" s="11" t="s">
        <v>2219</v>
      </c>
      <c r="B140" s="67" t="s">
        <v>2220</v>
      </c>
      <c r="C140" s="11" t="s">
        <v>508</v>
      </c>
      <c r="D140" s="54" t="n">
        <f aca="false">IF(cu_P=1,SUMIFS(Calculo!$F$75:$ES$75,Calculo!$F$16:$ES$16,1),SUMIFS(Calculo!$F$231:$ES$231,Calculo!$F$172:$ES$172,1))</f>
        <v>0</v>
      </c>
      <c r="E140" s="54" t="n">
        <f aca="false">IF(cu_P=1,SUMIFS(Calculo!$F$75:$ES$75,Calculo!$F$14:$ES$14,1),SUMIFS(Calculo!$F$231:$ES$231,Calculo!$F$170:$ES$170,1))</f>
        <v>526011.996</v>
      </c>
      <c r="F140" s="54" t="n">
        <f aca="false">IF(cu_P=1,SUMIFS(Calculo!$F$75:$ES$75,Calculo!$F$14:$ES$14,2),SUMIFS(Calculo!$F$231:$ES$231,Calculo!$F$170:$ES$170,2))</f>
        <v>664339.995</v>
      </c>
      <c r="G140" s="54" t="n">
        <f aca="false">IF(cu_P=1,SUMIFS(Calculo!$F$75:$ES$75,Calculo!$F$14:$ES$14,3),SUMIFS(Calculo!$F$231:$ES$231,Calculo!$F$170:$ES$170,3))</f>
        <v>802667.994</v>
      </c>
      <c r="H140" s="54" t="n">
        <f aca="false">IF(cu_P=1,SUMIFS(Calculo!$F$75:$ES$75,Calculo!$F$14:$ES$14,4),SUMIFS(Calculo!$F$231:$ES$231,Calculo!$F$170:$ES$170,4))</f>
        <v>913695.993</v>
      </c>
      <c r="I140" s="54" t="n">
        <f aca="false">IF(cu_P=1,SUMIFS(Calculo!$F$75:$ES$75,Calculo!$F$14:$ES$14,5),SUMIFS(Calculo!$F$231:$ES$231,Calculo!$F$170:$ES$170,5))</f>
        <v>913695.993</v>
      </c>
      <c r="J140" s="54" t="n">
        <f aca="false">IF(cu_P=1,SUMIFS(Calculo!$F$75:$ES$75,Calculo!$F$14:$ES$14,6),SUMIFS(Calculo!$F$231:$ES$231,Calculo!$F$170:$ES$170,6))</f>
        <v>913695.993</v>
      </c>
      <c r="K140" s="54" t="n">
        <f aca="false">IF(cu_P=1,SUMIFS(Calculo!$F$75:$ES$75,Calculo!$F$14:$ES$14,7),SUMIFS(Calculo!$F$231:$ES$231,Calculo!$F$170:$ES$170,7))</f>
        <v>913695.993</v>
      </c>
      <c r="L140" s="54" t="n">
        <f aca="false">IF(cu_P=1,SUMIFS(Calculo!$F$75:$ES$75,Calculo!$F$14:$ES$14,8),SUMIFS(Calculo!$F$231:$ES$231,Calculo!$F$170:$ES$170,8))</f>
        <v>913695.993</v>
      </c>
      <c r="M140" s="54" t="n">
        <f aca="false">IF(cu_P=1,SUMIFS(Calculo!$F$75:$ES$75,Calculo!$F$14:$ES$14,9),SUMIFS(Calculo!$F$231:$ES$231,Calculo!$F$170:$ES$170,9))</f>
        <v>913695.993</v>
      </c>
      <c r="N140" s="54" t="n">
        <f aca="false">IF(cu_P=1,SUMIFS(Calculo!$F$75:$ES$75,Calculo!$F$14:$ES$14,10),SUMIFS(Calculo!$F$231:$ES$231,Calculo!$F$170:$ES$170,10))</f>
        <v>913695.993</v>
      </c>
      <c r="O140" s="54" t="n">
        <f aca="false">SUM(D140:N140)</f>
        <v>8388891.936</v>
      </c>
    </row>
    <row r="141" customFormat="false" ht="15" hidden="false" customHeight="false" outlineLevel="0" collapsed="false">
      <c r="A141" s="11" t="s">
        <v>2221</v>
      </c>
      <c r="B141" s="53" t="str">
        <f aca="false">IF(INDEX(Prod_Nombre,1)="","Producto 1",INDEX(Prod_Nombre,1))</f>
        <v>Gabinetes metálicos 153 kg</v>
      </c>
      <c r="C141" s="11" t="s">
        <v>508</v>
      </c>
      <c r="D141" s="48" t="n">
        <f aca="false">IF(cu_P=1,SUMIFS(Calculo!$F$21:$ES$21,Calculo!$F$16:$ES$16,1)*N(INDEX(OV_O,1))*INDEX(IdxOV_O,1,1)*(1+P_dMat)/(1-P_Merma),SUMIFS(Calculo!$F$177:$ES$177,Calculo!$F$172:$ES$172,1)*N(INDEX(OV_V,1))*INDEX(IdxOV_V,1,1)*(1+V_dMat)/(1-V_Merma))</f>
        <v>0</v>
      </c>
      <c r="E141" s="48" t="n">
        <f aca="false">IF(cu_P=1,SUMIFS(Calculo!$F$21:$ES$21,Calculo!$F$14:$ES$14,1)*N(INDEX(OV_O,1))*INDEX(IdxOV_O,1,1)*(1+P_dMat)/(1-P_Merma),SUMIFS(Calculo!$F$177:$ES$177,Calculo!$F$170:$ES$170,1)*N(INDEX(OV_V,1))*INDEX(IdxOV_V,1,1)*(1+V_dMat)/(1-V_Merma))</f>
        <v>334911.996</v>
      </c>
      <c r="F141" s="48" t="n">
        <f aca="false">IF(cu_P=1,SUMIFS(Calculo!$F$21:$ES$21,Calculo!$F$14:$ES$14,2)*N(INDEX(OV_O,1))*INDEX(IdxOV_O,1,2)*(1+P_dMat)/(1-P_Merma),SUMIFS(Calculo!$F$177:$ES$177,Calculo!$F$170:$ES$170,2)*N(INDEX(OV_V,1))*INDEX(IdxOV_V,1,2)*(1+V_dMat)/(1-V_Merma))</f>
        <v>418639.995</v>
      </c>
      <c r="G141" s="48" t="n">
        <f aca="false">IF(cu_P=1,SUMIFS(Calculo!$F$21:$ES$21,Calculo!$F$14:$ES$14,3)*N(INDEX(OV_O,1))*INDEX(IdxOV_O,1,3)*(1+P_dMat)/(1-P_Merma),SUMIFS(Calculo!$F$177:$ES$177,Calculo!$F$170:$ES$170,3)*N(INDEX(OV_V,1))*INDEX(IdxOV_V,1,3)*(1+V_dMat)/(1-V_Merma))</f>
        <v>502367.994</v>
      </c>
      <c r="H141" s="48" t="n">
        <f aca="false">IF(cu_P=1,SUMIFS(Calculo!$F$21:$ES$21,Calculo!$F$14:$ES$14,4)*N(INDEX(OV_O,1))*INDEX(IdxOV_O,1,4)*(1+P_dMat)/(1-P_Merma),SUMIFS(Calculo!$F$177:$ES$177,Calculo!$F$170:$ES$170,4)*N(INDEX(OV_V,1))*INDEX(IdxOV_V,1,4)*(1+V_dMat)/(1-V_Merma))</f>
        <v>586095.993</v>
      </c>
      <c r="I141" s="48" t="n">
        <f aca="false">IF(cu_P=1,SUMIFS(Calculo!$F$21:$ES$21,Calculo!$F$14:$ES$14,5)*N(INDEX(OV_O,1))*INDEX(IdxOV_O,1,5)*(1+P_dMat)/(1-P_Merma),SUMIFS(Calculo!$F$177:$ES$177,Calculo!$F$170:$ES$170,5)*N(INDEX(OV_V,1))*INDEX(IdxOV_V,1,5)*(1+V_dMat)/(1-V_Merma))</f>
        <v>586095.993</v>
      </c>
      <c r="J141" s="48" t="n">
        <f aca="false">IF(cu_P=1,SUMIFS(Calculo!$F$21:$ES$21,Calculo!$F$14:$ES$14,6)*N(INDEX(OV_O,1))*INDEX(IdxOV_O,1,6)*(1+P_dMat)/(1-P_Merma),SUMIFS(Calculo!$F$177:$ES$177,Calculo!$F$170:$ES$170,6)*N(INDEX(OV_V,1))*INDEX(IdxOV_V,1,6)*(1+V_dMat)/(1-V_Merma))</f>
        <v>586095.993</v>
      </c>
      <c r="K141" s="48" t="n">
        <f aca="false">IF(cu_P=1,SUMIFS(Calculo!$F$21:$ES$21,Calculo!$F$14:$ES$14,7)*N(INDEX(OV_O,1))*INDEX(IdxOV_O,1,7)*(1+P_dMat)/(1-P_Merma),SUMIFS(Calculo!$F$177:$ES$177,Calculo!$F$170:$ES$170,7)*N(INDEX(OV_V,1))*INDEX(IdxOV_V,1,7)*(1+V_dMat)/(1-V_Merma))</f>
        <v>586095.993</v>
      </c>
      <c r="L141" s="48" t="n">
        <f aca="false">IF(cu_P=1,SUMIFS(Calculo!$F$21:$ES$21,Calculo!$F$14:$ES$14,8)*N(INDEX(OV_O,1))*INDEX(IdxOV_O,1,8)*(1+P_dMat)/(1-P_Merma),SUMIFS(Calculo!$F$177:$ES$177,Calculo!$F$170:$ES$170,8)*N(INDEX(OV_V,1))*INDEX(IdxOV_V,1,8)*(1+V_dMat)/(1-V_Merma))</f>
        <v>586095.993</v>
      </c>
      <c r="M141" s="48" t="n">
        <f aca="false">IF(cu_P=1,SUMIFS(Calculo!$F$21:$ES$21,Calculo!$F$14:$ES$14,9)*N(INDEX(OV_O,1))*INDEX(IdxOV_O,1,9)*(1+P_dMat)/(1-P_Merma),SUMIFS(Calculo!$F$177:$ES$177,Calculo!$F$170:$ES$170,9)*N(INDEX(OV_V,1))*INDEX(IdxOV_V,1,9)*(1+V_dMat)/(1-V_Merma))</f>
        <v>586095.993</v>
      </c>
      <c r="N141" s="48" t="n">
        <f aca="false">IF(cu_P=1,SUMIFS(Calculo!$F$21:$ES$21,Calculo!$F$14:$ES$14,10)*N(INDEX(OV_O,1))*INDEX(IdxOV_O,1,10)*(1+P_dMat)/(1-P_Merma),SUMIFS(Calculo!$F$177:$ES$177,Calculo!$F$170:$ES$170,10)*N(INDEX(OV_V,1))*INDEX(IdxOV_V,1,10)*(1+V_dMat)/(1-V_Merma))</f>
        <v>586095.993</v>
      </c>
      <c r="O141" s="54" t="n">
        <f aca="false">SUM(D141:N141)</f>
        <v>5358591.936</v>
      </c>
    </row>
    <row r="142" customFormat="false" ht="15" hidden="false" customHeight="false" outlineLevel="0" collapsed="false">
      <c r="A142" s="11" t="s">
        <v>2222</v>
      </c>
      <c r="B142" s="15" t="s">
        <v>2087</v>
      </c>
      <c r="C142" s="11" t="s">
        <v>748</v>
      </c>
      <c r="E142" s="50" t="n">
        <f aca="false">IFERROR(IF(OR(NOT(ISNUMBER(E141)),N(E12)=0),"",E141/E12),"")</f>
        <v>27.909333</v>
      </c>
      <c r="F142" s="50" t="n">
        <f aca="false">IFERROR(IF(OR(NOT(ISNUMBER(F141)),N(F12)=0),"",F141/F12),"")</f>
        <v>27.909333</v>
      </c>
      <c r="G142" s="50" t="n">
        <f aca="false">IFERROR(IF(OR(NOT(ISNUMBER(G141)),N(G12)=0),"",G141/G12),"")</f>
        <v>27.909333</v>
      </c>
      <c r="H142" s="50" t="n">
        <f aca="false">IFERROR(IF(OR(NOT(ISNUMBER(H141)),N(H12)=0),"",H141/H12),"")</f>
        <v>27.909333</v>
      </c>
      <c r="I142" s="50" t="n">
        <f aca="false">IFERROR(IF(OR(NOT(ISNUMBER(I141)),N(I12)=0),"",I141/I12),"")</f>
        <v>27.909333</v>
      </c>
      <c r="J142" s="50" t="n">
        <f aca="false">IFERROR(IF(OR(NOT(ISNUMBER(J141)),N(J12)=0),"",J141/J12),"")</f>
        <v>27.909333</v>
      </c>
      <c r="K142" s="50" t="n">
        <f aca="false">IFERROR(IF(OR(NOT(ISNUMBER(K141)),N(K12)=0),"",K141/K12),"")</f>
        <v>27.909333</v>
      </c>
      <c r="L142" s="50" t="n">
        <f aca="false">IFERROR(IF(OR(NOT(ISNUMBER(L141)),N(L12)=0),"",L141/L12),"")</f>
        <v>27.909333</v>
      </c>
      <c r="M142" s="50" t="n">
        <f aca="false">IFERROR(IF(OR(NOT(ISNUMBER(M141)),N(M12)=0),"",M141/M12),"")</f>
        <v>27.909333</v>
      </c>
      <c r="N142" s="50" t="n">
        <f aca="false">IFERROR(IF(OR(NOT(ISNUMBER(N141)),N(N12)=0),"",N141/N12),"")</f>
        <v>27.909333</v>
      </c>
      <c r="O142" s="68" t="n">
        <f aca="false">IFERROR(IF(OR(NOT(ISNUMBER(O141)),N(O12)=0),"",O141/O12),"")</f>
        <v>27.909333</v>
      </c>
    </row>
    <row r="143" customFormat="false" ht="15" hidden="false" customHeight="false" outlineLevel="0" collapsed="false">
      <c r="A143" s="11" t="s">
        <v>2223</v>
      </c>
      <c r="B143" s="53" t="str">
        <f aca="false">IF(INDEX(Prod_Nombre,2)="","Producto 2",INDEX(Prod_Nombre,2))</f>
        <v>Cajas metálicas 13 kg</v>
      </c>
      <c r="C143" s="11" t="s">
        <v>508</v>
      </c>
      <c r="D143" s="48" t="n">
        <f aca="false">IF(cu_P=1,SUMIFS(Calculo!$F$22:$ES$22,Calculo!$F$16:$ES$16,1)*N(INDEX(OV_O,2))*INDEX(IdxOV_O,1,1)*(1+P_dMat)/(1-P_Merma),SUMIFS(Calculo!$F$178:$ES$178,Calculo!$F$172:$ES$172,1)*N(INDEX(OV_V,2))*INDEX(IdxOV_V,1,1)*(1+V_dMat)/(1-V_Merma))</f>
        <v>0</v>
      </c>
      <c r="E143" s="48" t="n">
        <f aca="false">IF(cu_P=1,SUMIFS(Calculo!$F$22:$ES$22,Calculo!$F$14:$ES$14,1)*N(INDEX(OV_O,2))*INDEX(IdxOV_O,1,1)*(1+P_dMat)/(1-P_Merma),SUMIFS(Calculo!$F$178:$ES$178,Calculo!$F$170:$ES$170,1)*N(INDEX(OV_V,2))*INDEX(IdxOV_V,1,1)*(1+V_dMat)/(1-V_Merma))</f>
        <v>191100</v>
      </c>
      <c r="F143" s="48" t="n">
        <f aca="false">IF(cu_P=1,SUMIFS(Calculo!$F$22:$ES$22,Calculo!$F$14:$ES$14,2)*N(INDEX(OV_O,2))*INDEX(IdxOV_O,1,2)*(1+P_dMat)/(1-P_Merma),SUMIFS(Calculo!$F$178:$ES$178,Calculo!$F$170:$ES$170,2)*N(INDEX(OV_V,2))*INDEX(IdxOV_V,1,2)*(1+V_dMat)/(1-V_Merma))</f>
        <v>245700</v>
      </c>
      <c r="G143" s="48" t="n">
        <f aca="false">IF(cu_P=1,SUMIFS(Calculo!$F$22:$ES$22,Calculo!$F$14:$ES$14,3)*N(INDEX(OV_O,2))*INDEX(IdxOV_O,1,3)*(1+P_dMat)/(1-P_Merma),SUMIFS(Calculo!$F$178:$ES$178,Calculo!$F$170:$ES$170,3)*N(INDEX(OV_V,2))*INDEX(IdxOV_V,1,3)*(1+V_dMat)/(1-V_Merma))</f>
        <v>300300</v>
      </c>
      <c r="H143" s="48" t="n">
        <f aca="false">IF(cu_P=1,SUMIFS(Calculo!$F$22:$ES$22,Calculo!$F$14:$ES$14,4)*N(INDEX(OV_O,2))*INDEX(IdxOV_O,1,4)*(1+P_dMat)/(1-P_Merma),SUMIFS(Calculo!$F$178:$ES$178,Calculo!$F$170:$ES$170,4)*N(INDEX(OV_V,2))*INDEX(IdxOV_V,1,4)*(1+V_dMat)/(1-V_Merma))</f>
        <v>327600</v>
      </c>
      <c r="I143" s="48" t="n">
        <f aca="false">IF(cu_P=1,SUMIFS(Calculo!$F$22:$ES$22,Calculo!$F$14:$ES$14,5)*N(INDEX(OV_O,2))*INDEX(IdxOV_O,1,5)*(1+P_dMat)/(1-P_Merma),SUMIFS(Calculo!$F$178:$ES$178,Calculo!$F$170:$ES$170,5)*N(INDEX(OV_V,2))*INDEX(IdxOV_V,1,5)*(1+V_dMat)/(1-V_Merma))</f>
        <v>327600</v>
      </c>
      <c r="J143" s="48" t="n">
        <f aca="false">IF(cu_P=1,SUMIFS(Calculo!$F$22:$ES$22,Calculo!$F$14:$ES$14,6)*N(INDEX(OV_O,2))*INDEX(IdxOV_O,1,6)*(1+P_dMat)/(1-P_Merma),SUMIFS(Calculo!$F$178:$ES$178,Calculo!$F$170:$ES$170,6)*N(INDEX(OV_V,2))*INDEX(IdxOV_V,1,6)*(1+V_dMat)/(1-V_Merma))</f>
        <v>327600</v>
      </c>
      <c r="K143" s="48" t="n">
        <f aca="false">IF(cu_P=1,SUMIFS(Calculo!$F$22:$ES$22,Calculo!$F$14:$ES$14,7)*N(INDEX(OV_O,2))*INDEX(IdxOV_O,1,7)*(1+P_dMat)/(1-P_Merma),SUMIFS(Calculo!$F$178:$ES$178,Calculo!$F$170:$ES$170,7)*N(INDEX(OV_V,2))*INDEX(IdxOV_V,1,7)*(1+V_dMat)/(1-V_Merma))</f>
        <v>327600</v>
      </c>
      <c r="L143" s="48" t="n">
        <f aca="false">IF(cu_P=1,SUMIFS(Calculo!$F$22:$ES$22,Calculo!$F$14:$ES$14,8)*N(INDEX(OV_O,2))*INDEX(IdxOV_O,1,8)*(1+P_dMat)/(1-P_Merma),SUMIFS(Calculo!$F$178:$ES$178,Calculo!$F$170:$ES$170,8)*N(INDEX(OV_V,2))*INDEX(IdxOV_V,1,8)*(1+V_dMat)/(1-V_Merma))</f>
        <v>327600</v>
      </c>
      <c r="M143" s="48" t="n">
        <f aca="false">IF(cu_P=1,SUMIFS(Calculo!$F$22:$ES$22,Calculo!$F$14:$ES$14,9)*N(INDEX(OV_O,2))*INDEX(IdxOV_O,1,9)*(1+P_dMat)/(1-P_Merma),SUMIFS(Calculo!$F$178:$ES$178,Calculo!$F$170:$ES$170,9)*N(INDEX(OV_V,2))*INDEX(IdxOV_V,1,9)*(1+V_dMat)/(1-V_Merma))</f>
        <v>327600</v>
      </c>
      <c r="N143" s="48" t="n">
        <f aca="false">IF(cu_P=1,SUMIFS(Calculo!$F$22:$ES$22,Calculo!$F$14:$ES$14,10)*N(INDEX(OV_O,2))*INDEX(IdxOV_O,1,10)*(1+P_dMat)/(1-P_Merma),SUMIFS(Calculo!$F$178:$ES$178,Calculo!$F$170:$ES$170,10)*N(INDEX(OV_V,2))*INDEX(IdxOV_V,1,10)*(1+V_dMat)/(1-V_Merma))</f>
        <v>327600</v>
      </c>
      <c r="O143" s="54" t="n">
        <f aca="false">SUM(D143:N143)</f>
        <v>3030300</v>
      </c>
    </row>
    <row r="144" customFormat="false" ht="15" hidden="false" customHeight="false" outlineLevel="0" collapsed="false">
      <c r="A144" s="11" t="s">
        <v>2224</v>
      </c>
      <c r="B144" s="15" t="s">
        <v>2087</v>
      </c>
      <c r="C144" s="11" t="s">
        <v>748</v>
      </c>
      <c r="E144" s="50" t="n">
        <f aca="false">IFERROR(IF(OR(NOT(ISNUMBER(E143)),N(E15)=0),"",E143/E15),"")</f>
        <v>2.73</v>
      </c>
      <c r="F144" s="50" t="n">
        <f aca="false">IFERROR(IF(OR(NOT(ISNUMBER(F143)),N(F15)=0),"",F143/F15),"")</f>
        <v>2.73</v>
      </c>
      <c r="G144" s="50" t="n">
        <f aca="false">IFERROR(IF(OR(NOT(ISNUMBER(G143)),N(G15)=0),"",G143/G15),"")</f>
        <v>2.73</v>
      </c>
      <c r="H144" s="50" t="n">
        <f aca="false">IFERROR(IF(OR(NOT(ISNUMBER(H143)),N(H15)=0),"",H143/H15),"")</f>
        <v>2.73</v>
      </c>
      <c r="I144" s="50" t="n">
        <f aca="false">IFERROR(IF(OR(NOT(ISNUMBER(I143)),N(I15)=0),"",I143/I15),"")</f>
        <v>2.73</v>
      </c>
      <c r="J144" s="50" t="n">
        <f aca="false">IFERROR(IF(OR(NOT(ISNUMBER(J143)),N(J15)=0),"",J143/J15),"")</f>
        <v>2.73</v>
      </c>
      <c r="K144" s="50" t="n">
        <f aca="false">IFERROR(IF(OR(NOT(ISNUMBER(K143)),N(K15)=0),"",K143/K15),"")</f>
        <v>2.73</v>
      </c>
      <c r="L144" s="50" t="n">
        <f aca="false">IFERROR(IF(OR(NOT(ISNUMBER(L143)),N(L15)=0),"",L143/L15),"")</f>
        <v>2.73</v>
      </c>
      <c r="M144" s="50" t="n">
        <f aca="false">IFERROR(IF(OR(NOT(ISNUMBER(M143)),N(M15)=0),"",M143/M15),"")</f>
        <v>2.73</v>
      </c>
      <c r="N144" s="50" t="n">
        <f aca="false">IFERROR(IF(OR(NOT(ISNUMBER(N143)),N(N15)=0),"",N143/N15),"")</f>
        <v>2.73</v>
      </c>
      <c r="O144" s="68" t="n">
        <f aca="false">IFERROR(IF(OR(NOT(ISNUMBER(O143)),N(O15)=0),"",O143/O15),"")</f>
        <v>2.73</v>
      </c>
    </row>
    <row r="145" customFormat="false" ht="15" hidden="true" customHeight="false" outlineLevel="1" collapsed="false">
      <c r="A145" s="11" t="s">
        <v>2225</v>
      </c>
      <c r="B145" s="53" t="str">
        <f aca="false">IF(INDEX(Prod_Nombre,3)="","Producto 3",INDEX(Prod_Nombre,3))</f>
        <v>Producto 3</v>
      </c>
      <c r="C145" s="11" t="s">
        <v>508</v>
      </c>
      <c r="D145" s="48" t="n">
        <f aca="false">IF(cu_P=1,SUMIFS(Calculo!$F$23:$ES$23,Calculo!$F$16:$ES$16,1)*N(INDEX(OV_O,3))*INDEX(IdxOV_O,1,1)*(1+P_dMat)/(1-P_Merma),SUMIFS(Calculo!$F$179:$ES$179,Calculo!$F$172:$ES$172,1)*N(INDEX(OV_V,3))*INDEX(IdxOV_V,1,1)*(1+V_dMat)/(1-V_Merma))</f>
        <v>0</v>
      </c>
      <c r="E145" s="48" t="n">
        <f aca="false">IF(cu_P=1,SUMIFS(Calculo!$F$23:$ES$23,Calculo!$F$14:$ES$14,1)*N(INDEX(OV_O,3))*INDEX(IdxOV_O,1,1)*(1+P_dMat)/(1-P_Merma),SUMIFS(Calculo!$F$179:$ES$179,Calculo!$F$170:$ES$170,1)*N(INDEX(OV_V,3))*INDEX(IdxOV_V,1,1)*(1+V_dMat)/(1-V_Merma))</f>
        <v>0</v>
      </c>
      <c r="F145" s="48" t="n">
        <f aca="false">IF(cu_P=1,SUMIFS(Calculo!$F$23:$ES$23,Calculo!$F$14:$ES$14,2)*N(INDEX(OV_O,3))*INDEX(IdxOV_O,1,2)*(1+P_dMat)/(1-P_Merma),SUMIFS(Calculo!$F$179:$ES$179,Calculo!$F$170:$ES$170,2)*N(INDEX(OV_V,3))*INDEX(IdxOV_V,1,2)*(1+V_dMat)/(1-V_Merma))</f>
        <v>0</v>
      </c>
      <c r="G145" s="48" t="n">
        <f aca="false">IF(cu_P=1,SUMIFS(Calculo!$F$23:$ES$23,Calculo!$F$14:$ES$14,3)*N(INDEX(OV_O,3))*INDEX(IdxOV_O,1,3)*(1+P_dMat)/(1-P_Merma),SUMIFS(Calculo!$F$179:$ES$179,Calculo!$F$170:$ES$170,3)*N(INDEX(OV_V,3))*INDEX(IdxOV_V,1,3)*(1+V_dMat)/(1-V_Merma))</f>
        <v>0</v>
      </c>
      <c r="H145" s="48" t="n">
        <f aca="false">IF(cu_P=1,SUMIFS(Calculo!$F$23:$ES$23,Calculo!$F$14:$ES$14,4)*N(INDEX(OV_O,3))*INDEX(IdxOV_O,1,4)*(1+P_dMat)/(1-P_Merma),SUMIFS(Calculo!$F$179:$ES$179,Calculo!$F$170:$ES$170,4)*N(INDEX(OV_V,3))*INDEX(IdxOV_V,1,4)*(1+V_dMat)/(1-V_Merma))</f>
        <v>0</v>
      </c>
      <c r="I145" s="48" t="n">
        <f aca="false">IF(cu_P=1,SUMIFS(Calculo!$F$23:$ES$23,Calculo!$F$14:$ES$14,5)*N(INDEX(OV_O,3))*INDEX(IdxOV_O,1,5)*(1+P_dMat)/(1-P_Merma),SUMIFS(Calculo!$F$179:$ES$179,Calculo!$F$170:$ES$170,5)*N(INDEX(OV_V,3))*INDEX(IdxOV_V,1,5)*(1+V_dMat)/(1-V_Merma))</f>
        <v>0</v>
      </c>
      <c r="J145" s="48" t="n">
        <f aca="false">IF(cu_P=1,SUMIFS(Calculo!$F$23:$ES$23,Calculo!$F$14:$ES$14,6)*N(INDEX(OV_O,3))*INDEX(IdxOV_O,1,6)*(1+P_dMat)/(1-P_Merma),SUMIFS(Calculo!$F$179:$ES$179,Calculo!$F$170:$ES$170,6)*N(INDEX(OV_V,3))*INDEX(IdxOV_V,1,6)*(1+V_dMat)/(1-V_Merma))</f>
        <v>0</v>
      </c>
      <c r="K145" s="48" t="n">
        <f aca="false">IF(cu_P=1,SUMIFS(Calculo!$F$23:$ES$23,Calculo!$F$14:$ES$14,7)*N(INDEX(OV_O,3))*INDEX(IdxOV_O,1,7)*(1+P_dMat)/(1-P_Merma),SUMIFS(Calculo!$F$179:$ES$179,Calculo!$F$170:$ES$170,7)*N(INDEX(OV_V,3))*INDEX(IdxOV_V,1,7)*(1+V_dMat)/(1-V_Merma))</f>
        <v>0</v>
      </c>
      <c r="L145" s="48" t="n">
        <f aca="false">IF(cu_P=1,SUMIFS(Calculo!$F$23:$ES$23,Calculo!$F$14:$ES$14,8)*N(INDEX(OV_O,3))*INDEX(IdxOV_O,1,8)*(1+P_dMat)/(1-P_Merma),SUMIFS(Calculo!$F$179:$ES$179,Calculo!$F$170:$ES$170,8)*N(INDEX(OV_V,3))*INDEX(IdxOV_V,1,8)*(1+V_dMat)/(1-V_Merma))</f>
        <v>0</v>
      </c>
      <c r="M145" s="48" t="n">
        <f aca="false">IF(cu_P=1,SUMIFS(Calculo!$F$23:$ES$23,Calculo!$F$14:$ES$14,9)*N(INDEX(OV_O,3))*INDEX(IdxOV_O,1,9)*(1+P_dMat)/(1-P_Merma),SUMIFS(Calculo!$F$179:$ES$179,Calculo!$F$170:$ES$170,9)*N(INDEX(OV_V,3))*INDEX(IdxOV_V,1,9)*(1+V_dMat)/(1-V_Merma))</f>
        <v>0</v>
      </c>
      <c r="N145" s="48" t="n">
        <f aca="false">IF(cu_P=1,SUMIFS(Calculo!$F$23:$ES$23,Calculo!$F$14:$ES$14,10)*N(INDEX(OV_O,3))*INDEX(IdxOV_O,1,10)*(1+P_dMat)/(1-P_Merma),SUMIFS(Calculo!$F$179:$ES$179,Calculo!$F$170:$ES$170,10)*N(INDEX(OV_V,3))*INDEX(IdxOV_V,1,10)*(1+V_dMat)/(1-V_Merma))</f>
        <v>0</v>
      </c>
      <c r="O145" s="54" t="n">
        <f aca="false">SUM(D145:N145)</f>
        <v>0</v>
      </c>
    </row>
    <row r="146" customFormat="false" ht="15" hidden="true" customHeight="false" outlineLevel="1" collapsed="false">
      <c r="A146" s="11" t="s">
        <v>2226</v>
      </c>
      <c r="B146" s="15" t="s">
        <v>2087</v>
      </c>
      <c r="C146" s="11" t="s">
        <v>748</v>
      </c>
      <c r="E146" s="50" t="str">
        <f aca="false">IFERROR(IF(OR(NOT(ISNUMBER(E145)),N(E18)=0),"",E145/E18),"")</f>
        <v/>
      </c>
      <c r="F146" s="50" t="str">
        <f aca="false">IFERROR(IF(OR(NOT(ISNUMBER(F145)),N(F18)=0),"",F145/F18),"")</f>
        <v/>
      </c>
      <c r="G146" s="50" t="str">
        <f aca="false">IFERROR(IF(OR(NOT(ISNUMBER(G145)),N(G18)=0),"",G145/G18),"")</f>
        <v/>
      </c>
      <c r="H146" s="50" t="str">
        <f aca="false">IFERROR(IF(OR(NOT(ISNUMBER(H145)),N(H18)=0),"",H145/H18),"")</f>
        <v/>
      </c>
      <c r="I146" s="50" t="str">
        <f aca="false">IFERROR(IF(OR(NOT(ISNUMBER(I145)),N(I18)=0),"",I145/I18),"")</f>
        <v/>
      </c>
      <c r="J146" s="50" t="str">
        <f aca="false">IFERROR(IF(OR(NOT(ISNUMBER(J145)),N(J18)=0),"",J145/J18),"")</f>
        <v/>
      </c>
      <c r="K146" s="50" t="str">
        <f aca="false">IFERROR(IF(OR(NOT(ISNUMBER(K145)),N(K18)=0),"",K145/K18),"")</f>
        <v/>
      </c>
      <c r="L146" s="50" t="str">
        <f aca="false">IFERROR(IF(OR(NOT(ISNUMBER(L145)),N(L18)=0),"",L145/L18),"")</f>
        <v/>
      </c>
      <c r="M146" s="50" t="str">
        <f aca="false">IFERROR(IF(OR(NOT(ISNUMBER(M145)),N(M18)=0),"",M145/M18),"")</f>
        <v/>
      </c>
      <c r="N146" s="50" t="str">
        <f aca="false">IFERROR(IF(OR(NOT(ISNUMBER(N145)),N(N18)=0),"",N145/N18),"")</f>
        <v/>
      </c>
      <c r="O146" s="68" t="str">
        <f aca="false">IFERROR(IF(OR(NOT(ISNUMBER(O145)),N(O18)=0),"",O145/O18),"")</f>
        <v/>
      </c>
    </row>
    <row r="147" customFormat="false" ht="15" hidden="true" customHeight="false" outlineLevel="1" collapsed="false">
      <c r="A147" s="11" t="s">
        <v>2227</v>
      </c>
      <c r="B147" s="53" t="str">
        <f aca="false">IF(INDEX(Prod_Nombre,4)="","Producto 4",INDEX(Prod_Nombre,4))</f>
        <v>Producto 4</v>
      </c>
      <c r="C147" s="11" t="s">
        <v>508</v>
      </c>
      <c r="D147" s="48" t="n">
        <f aca="false">IF(cu_P=1,SUMIFS(Calculo!$F$24:$ES$24,Calculo!$F$16:$ES$16,1)*N(INDEX(OV_O,4))*INDEX(IdxOV_O,1,1)*(1+P_dMat)/(1-P_Merma),SUMIFS(Calculo!$F$180:$ES$180,Calculo!$F$172:$ES$172,1)*N(INDEX(OV_V,4))*INDEX(IdxOV_V,1,1)*(1+V_dMat)/(1-V_Merma))</f>
        <v>0</v>
      </c>
      <c r="E147" s="48" t="n">
        <f aca="false">IF(cu_P=1,SUMIFS(Calculo!$F$24:$ES$24,Calculo!$F$14:$ES$14,1)*N(INDEX(OV_O,4))*INDEX(IdxOV_O,1,1)*(1+P_dMat)/(1-P_Merma),SUMIFS(Calculo!$F$180:$ES$180,Calculo!$F$170:$ES$170,1)*N(INDEX(OV_V,4))*INDEX(IdxOV_V,1,1)*(1+V_dMat)/(1-V_Merma))</f>
        <v>0</v>
      </c>
      <c r="F147" s="48" t="n">
        <f aca="false">IF(cu_P=1,SUMIFS(Calculo!$F$24:$ES$24,Calculo!$F$14:$ES$14,2)*N(INDEX(OV_O,4))*INDEX(IdxOV_O,1,2)*(1+P_dMat)/(1-P_Merma),SUMIFS(Calculo!$F$180:$ES$180,Calculo!$F$170:$ES$170,2)*N(INDEX(OV_V,4))*INDEX(IdxOV_V,1,2)*(1+V_dMat)/(1-V_Merma))</f>
        <v>0</v>
      </c>
      <c r="G147" s="48" t="n">
        <f aca="false">IF(cu_P=1,SUMIFS(Calculo!$F$24:$ES$24,Calculo!$F$14:$ES$14,3)*N(INDEX(OV_O,4))*INDEX(IdxOV_O,1,3)*(1+P_dMat)/(1-P_Merma),SUMIFS(Calculo!$F$180:$ES$180,Calculo!$F$170:$ES$170,3)*N(INDEX(OV_V,4))*INDEX(IdxOV_V,1,3)*(1+V_dMat)/(1-V_Merma))</f>
        <v>0</v>
      </c>
      <c r="H147" s="48" t="n">
        <f aca="false">IF(cu_P=1,SUMIFS(Calculo!$F$24:$ES$24,Calculo!$F$14:$ES$14,4)*N(INDEX(OV_O,4))*INDEX(IdxOV_O,1,4)*(1+P_dMat)/(1-P_Merma),SUMIFS(Calculo!$F$180:$ES$180,Calculo!$F$170:$ES$170,4)*N(INDEX(OV_V,4))*INDEX(IdxOV_V,1,4)*(1+V_dMat)/(1-V_Merma))</f>
        <v>0</v>
      </c>
      <c r="I147" s="48" t="n">
        <f aca="false">IF(cu_P=1,SUMIFS(Calculo!$F$24:$ES$24,Calculo!$F$14:$ES$14,5)*N(INDEX(OV_O,4))*INDEX(IdxOV_O,1,5)*(1+P_dMat)/(1-P_Merma),SUMIFS(Calculo!$F$180:$ES$180,Calculo!$F$170:$ES$170,5)*N(INDEX(OV_V,4))*INDEX(IdxOV_V,1,5)*(1+V_dMat)/(1-V_Merma))</f>
        <v>0</v>
      </c>
      <c r="J147" s="48" t="n">
        <f aca="false">IF(cu_P=1,SUMIFS(Calculo!$F$24:$ES$24,Calculo!$F$14:$ES$14,6)*N(INDEX(OV_O,4))*INDEX(IdxOV_O,1,6)*(1+P_dMat)/(1-P_Merma),SUMIFS(Calculo!$F$180:$ES$180,Calculo!$F$170:$ES$170,6)*N(INDEX(OV_V,4))*INDEX(IdxOV_V,1,6)*(1+V_dMat)/(1-V_Merma))</f>
        <v>0</v>
      </c>
      <c r="K147" s="48" t="n">
        <f aca="false">IF(cu_P=1,SUMIFS(Calculo!$F$24:$ES$24,Calculo!$F$14:$ES$14,7)*N(INDEX(OV_O,4))*INDEX(IdxOV_O,1,7)*(1+P_dMat)/(1-P_Merma),SUMIFS(Calculo!$F$180:$ES$180,Calculo!$F$170:$ES$170,7)*N(INDEX(OV_V,4))*INDEX(IdxOV_V,1,7)*(1+V_dMat)/(1-V_Merma))</f>
        <v>0</v>
      </c>
      <c r="L147" s="48" t="n">
        <f aca="false">IF(cu_P=1,SUMIFS(Calculo!$F$24:$ES$24,Calculo!$F$14:$ES$14,8)*N(INDEX(OV_O,4))*INDEX(IdxOV_O,1,8)*(1+P_dMat)/(1-P_Merma),SUMIFS(Calculo!$F$180:$ES$180,Calculo!$F$170:$ES$170,8)*N(INDEX(OV_V,4))*INDEX(IdxOV_V,1,8)*(1+V_dMat)/(1-V_Merma))</f>
        <v>0</v>
      </c>
      <c r="M147" s="48" t="n">
        <f aca="false">IF(cu_P=1,SUMIFS(Calculo!$F$24:$ES$24,Calculo!$F$14:$ES$14,9)*N(INDEX(OV_O,4))*INDEX(IdxOV_O,1,9)*(1+P_dMat)/(1-P_Merma),SUMIFS(Calculo!$F$180:$ES$180,Calculo!$F$170:$ES$170,9)*N(INDEX(OV_V,4))*INDEX(IdxOV_V,1,9)*(1+V_dMat)/(1-V_Merma))</f>
        <v>0</v>
      </c>
      <c r="N147" s="48" t="n">
        <f aca="false">IF(cu_P=1,SUMIFS(Calculo!$F$24:$ES$24,Calculo!$F$14:$ES$14,10)*N(INDEX(OV_O,4))*INDEX(IdxOV_O,1,10)*(1+P_dMat)/(1-P_Merma),SUMIFS(Calculo!$F$180:$ES$180,Calculo!$F$170:$ES$170,10)*N(INDEX(OV_V,4))*INDEX(IdxOV_V,1,10)*(1+V_dMat)/(1-V_Merma))</f>
        <v>0</v>
      </c>
      <c r="O147" s="54" t="n">
        <f aca="false">SUM(D147:N147)</f>
        <v>0</v>
      </c>
    </row>
    <row r="148" customFormat="false" ht="15" hidden="true" customHeight="false" outlineLevel="1" collapsed="false">
      <c r="A148" s="11" t="s">
        <v>2228</v>
      </c>
      <c r="B148" s="15" t="s">
        <v>2087</v>
      </c>
      <c r="C148" s="11" t="s">
        <v>748</v>
      </c>
      <c r="E148" s="50" t="str">
        <f aca="false">IFERROR(IF(OR(NOT(ISNUMBER(E147)),N(E21)=0),"",E147/E21),"")</f>
        <v/>
      </c>
      <c r="F148" s="50" t="str">
        <f aca="false">IFERROR(IF(OR(NOT(ISNUMBER(F147)),N(F21)=0),"",F147/F21),"")</f>
        <v/>
      </c>
      <c r="G148" s="50" t="str">
        <f aca="false">IFERROR(IF(OR(NOT(ISNUMBER(G147)),N(G21)=0),"",G147/G21),"")</f>
        <v/>
      </c>
      <c r="H148" s="50" t="str">
        <f aca="false">IFERROR(IF(OR(NOT(ISNUMBER(H147)),N(H21)=0),"",H147/H21),"")</f>
        <v/>
      </c>
      <c r="I148" s="50" t="str">
        <f aca="false">IFERROR(IF(OR(NOT(ISNUMBER(I147)),N(I21)=0),"",I147/I21),"")</f>
        <v/>
      </c>
      <c r="J148" s="50" t="str">
        <f aca="false">IFERROR(IF(OR(NOT(ISNUMBER(J147)),N(J21)=0),"",J147/J21),"")</f>
        <v/>
      </c>
      <c r="K148" s="50" t="str">
        <f aca="false">IFERROR(IF(OR(NOT(ISNUMBER(K147)),N(K21)=0),"",K147/K21),"")</f>
        <v/>
      </c>
      <c r="L148" s="50" t="str">
        <f aca="false">IFERROR(IF(OR(NOT(ISNUMBER(L147)),N(L21)=0),"",L147/L21),"")</f>
        <v/>
      </c>
      <c r="M148" s="50" t="str">
        <f aca="false">IFERROR(IF(OR(NOT(ISNUMBER(M147)),N(M21)=0),"",M147/M21),"")</f>
        <v/>
      </c>
      <c r="N148" s="50" t="str">
        <f aca="false">IFERROR(IF(OR(NOT(ISNUMBER(N147)),N(N21)=0),"",N147/N21),"")</f>
        <v/>
      </c>
      <c r="O148" s="68" t="str">
        <f aca="false">IFERROR(IF(OR(NOT(ISNUMBER(O147)),N(O21)=0),"",O147/O21),"")</f>
        <v/>
      </c>
    </row>
    <row r="149" customFormat="false" ht="15" hidden="true" customHeight="false" outlineLevel="1" collapsed="false">
      <c r="A149" s="11" t="s">
        <v>2229</v>
      </c>
      <c r="B149" s="53" t="str">
        <f aca="false">IF(INDEX(Prod_Nombre,5)="","Producto 5",INDEX(Prod_Nombre,5))</f>
        <v>Producto 5</v>
      </c>
      <c r="C149" s="11" t="s">
        <v>508</v>
      </c>
      <c r="D149" s="48" t="n">
        <f aca="false">IF(cu_P=1,SUMIFS(Calculo!$F$25:$ES$25,Calculo!$F$16:$ES$16,1)*N(INDEX(OV_O,5))*INDEX(IdxOV_O,1,1)*(1+P_dMat)/(1-P_Merma),SUMIFS(Calculo!$F$181:$ES$181,Calculo!$F$172:$ES$172,1)*N(INDEX(OV_V,5))*INDEX(IdxOV_V,1,1)*(1+V_dMat)/(1-V_Merma))</f>
        <v>0</v>
      </c>
      <c r="E149" s="48" t="n">
        <f aca="false">IF(cu_P=1,SUMIFS(Calculo!$F$25:$ES$25,Calculo!$F$14:$ES$14,1)*N(INDEX(OV_O,5))*INDEX(IdxOV_O,1,1)*(1+P_dMat)/(1-P_Merma),SUMIFS(Calculo!$F$181:$ES$181,Calculo!$F$170:$ES$170,1)*N(INDEX(OV_V,5))*INDEX(IdxOV_V,1,1)*(1+V_dMat)/(1-V_Merma))</f>
        <v>0</v>
      </c>
      <c r="F149" s="48" t="n">
        <f aca="false">IF(cu_P=1,SUMIFS(Calculo!$F$25:$ES$25,Calculo!$F$14:$ES$14,2)*N(INDEX(OV_O,5))*INDEX(IdxOV_O,1,2)*(1+P_dMat)/(1-P_Merma),SUMIFS(Calculo!$F$181:$ES$181,Calculo!$F$170:$ES$170,2)*N(INDEX(OV_V,5))*INDEX(IdxOV_V,1,2)*(1+V_dMat)/(1-V_Merma))</f>
        <v>0</v>
      </c>
      <c r="G149" s="48" t="n">
        <f aca="false">IF(cu_P=1,SUMIFS(Calculo!$F$25:$ES$25,Calculo!$F$14:$ES$14,3)*N(INDEX(OV_O,5))*INDEX(IdxOV_O,1,3)*(1+P_dMat)/(1-P_Merma),SUMIFS(Calculo!$F$181:$ES$181,Calculo!$F$170:$ES$170,3)*N(INDEX(OV_V,5))*INDEX(IdxOV_V,1,3)*(1+V_dMat)/(1-V_Merma))</f>
        <v>0</v>
      </c>
      <c r="H149" s="48" t="n">
        <f aca="false">IF(cu_P=1,SUMIFS(Calculo!$F$25:$ES$25,Calculo!$F$14:$ES$14,4)*N(INDEX(OV_O,5))*INDEX(IdxOV_O,1,4)*(1+P_dMat)/(1-P_Merma),SUMIFS(Calculo!$F$181:$ES$181,Calculo!$F$170:$ES$170,4)*N(INDEX(OV_V,5))*INDEX(IdxOV_V,1,4)*(1+V_dMat)/(1-V_Merma))</f>
        <v>0</v>
      </c>
      <c r="I149" s="48" t="n">
        <f aca="false">IF(cu_P=1,SUMIFS(Calculo!$F$25:$ES$25,Calculo!$F$14:$ES$14,5)*N(INDEX(OV_O,5))*INDEX(IdxOV_O,1,5)*(1+P_dMat)/(1-P_Merma),SUMIFS(Calculo!$F$181:$ES$181,Calculo!$F$170:$ES$170,5)*N(INDEX(OV_V,5))*INDEX(IdxOV_V,1,5)*(1+V_dMat)/(1-V_Merma))</f>
        <v>0</v>
      </c>
      <c r="J149" s="48" t="n">
        <f aca="false">IF(cu_P=1,SUMIFS(Calculo!$F$25:$ES$25,Calculo!$F$14:$ES$14,6)*N(INDEX(OV_O,5))*INDEX(IdxOV_O,1,6)*(1+P_dMat)/(1-P_Merma),SUMIFS(Calculo!$F$181:$ES$181,Calculo!$F$170:$ES$170,6)*N(INDEX(OV_V,5))*INDEX(IdxOV_V,1,6)*(1+V_dMat)/(1-V_Merma))</f>
        <v>0</v>
      </c>
      <c r="K149" s="48" t="n">
        <f aca="false">IF(cu_P=1,SUMIFS(Calculo!$F$25:$ES$25,Calculo!$F$14:$ES$14,7)*N(INDEX(OV_O,5))*INDEX(IdxOV_O,1,7)*(1+P_dMat)/(1-P_Merma),SUMIFS(Calculo!$F$181:$ES$181,Calculo!$F$170:$ES$170,7)*N(INDEX(OV_V,5))*INDEX(IdxOV_V,1,7)*(1+V_dMat)/(1-V_Merma))</f>
        <v>0</v>
      </c>
      <c r="L149" s="48" t="n">
        <f aca="false">IF(cu_P=1,SUMIFS(Calculo!$F$25:$ES$25,Calculo!$F$14:$ES$14,8)*N(INDEX(OV_O,5))*INDEX(IdxOV_O,1,8)*(1+P_dMat)/(1-P_Merma),SUMIFS(Calculo!$F$181:$ES$181,Calculo!$F$170:$ES$170,8)*N(INDEX(OV_V,5))*INDEX(IdxOV_V,1,8)*(1+V_dMat)/(1-V_Merma))</f>
        <v>0</v>
      </c>
      <c r="M149" s="48" t="n">
        <f aca="false">IF(cu_P=1,SUMIFS(Calculo!$F$25:$ES$25,Calculo!$F$14:$ES$14,9)*N(INDEX(OV_O,5))*INDEX(IdxOV_O,1,9)*(1+P_dMat)/(1-P_Merma),SUMIFS(Calculo!$F$181:$ES$181,Calculo!$F$170:$ES$170,9)*N(INDEX(OV_V,5))*INDEX(IdxOV_V,1,9)*(1+V_dMat)/(1-V_Merma))</f>
        <v>0</v>
      </c>
      <c r="N149" s="48" t="n">
        <f aca="false">IF(cu_P=1,SUMIFS(Calculo!$F$25:$ES$25,Calculo!$F$14:$ES$14,10)*N(INDEX(OV_O,5))*INDEX(IdxOV_O,1,10)*(1+P_dMat)/(1-P_Merma),SUMIFS(Calculo!$F$181:$ES$181,Calculo!$F$170:$ES$170,10)*N(INDEX(OV_V,5))*INDEX(IdxOV_V,1,10)*(1+V_dMat)/(1-V_Merma))</f>
        <v>0</v>
      </c>
      <c r="O149" s="54" t="n">
        <f aca="false">SUM(D149:N149)</f>
        <v>0</v>
      </c>
    </row>
    <row r="150" customFormat="false" ht="15" hidden="true" customHeight="false" outlineLevel="1" collapsed="false">
      <c r="A150" s="11" t="s">
        <v>2230</v>
      </c>
      <c r="B150" s="15" t="s">
        <v>2087</v>
      </c>
      <c r="C150" s="11" t="s">
        <v>748</v>
      </c>
      <c r="E150" s="50" t="str">
        <f aca="false">IFERROR(IF(OR(NOT(ISNUMBER(E149)),N(E24)=0),"",E149/E24),"")</f>
        <v/>
      </c>
      <c r="F150" s="50" t="str">
        <f aca="false">IFERROR(IF(OR(NOT(ISNUMBER(F149)),N(F24)=0),"",F149/F24),"")</f>
        <v/>
      </c>
      <c r="G150" s="50" t="str">
        <f aca="false">IFERROR(IF(OR(NOT(ISNUMBER(G149)),N(G24)=0),"",G149/G24),"")</f>
        <v/>
      </c>
      <c r="H150" s="50" t="str">
        <f aca="false">IFERROR(IF(OR(NOT(ISNUMBER(H149)),N(H24)=0),"",H149/H24),"")</f>
        <v/>
      </c>
      <c r="I150" s="50" t="str">
        <f aca="false">IFERROR(IF(OR(NOT(ISNUMBER(I149)),N(I24)=0),"",I149/I24),"")</f>
        <v/>
      </c>
      <c r="J150" s="50" t="str">
        <f aca="false">IFERROR(IF(OR(NOT(ISNUMBER(J149)),N(J24)=0),"",J149/J24),"")</f>
        <v/>
      </c>
      <c r="K150" s="50" t="str">
        <f aca="false">IFERROR(IF(OR(NOT(ISNUMBER(K149)),N(K24)=0),"",K149/K24),"")</f>
        <v/>
      </c>
      <c r="L150" s="50" t="str">
        <f aca="false">IFERROR(IF(OR(NOT(ISNUMBER(L149)),N(L24)=0),"",L149/L24),"")</f>
        <v/>
      </c>
      <c r="M150" s="50" t="str">
        <f aca="false">IFERROR(IF(OR(NOT(ISNUMBER(M149)),N(M24)=0),"",M149/M24),"")</f>
        <v/>
      </c>
      <c r="N150" s="50" t="str">
        <f aca="false">IFERROR(IF(OR(NOT(ISNUMBER(N149)),N(N24)=0),"",N149/N24),"")</f>
        <v/>
      </c>
      <c r="O150" s="68" t="str">
        <f aca="false">IFERROR(IF(OR(NOT(ISNUMBER(O149)),N(O24)=0),"",O149/O24),"")</f>
        <v/>
      </c>
    </row>
    <row r="151" customFormat="false" ht="15" hidden="true" customHeight="false" outlineLevel="1" collapsed="false">
      <c r="A151" s="11" t="s">
        <v>2231</v>
      </c>
      <c r="B151" s="53" t="str">
        <f aca="false">IF(INDEX(Prod_Nombre,6)="","Producto 6",INDEX(Prod_Nombre,6))</f>
        <v>Producto 6</v>
      </c>
      <c r="C151" s="11" t="s">
        <v>508</v>
      </c>
      <c r="D151" s="48" t="n">
        <f aca="false">IF(cu_P=1,SUMIFS(Calculo!$F$26:$ES$26,Calculo!$F$16:$ES$16,1)*N(INDEX(OV_O,6))*INDEX(IdxOV_O,1,1)*(1+P_dMat)/(1-P_Merma),SUMIFS(Calculo!$F$182:$ES$182,Calculo!$F$172:$ES$172,1)*N(INDEX(OV_V,6))*INDEX(IdxOV_V,1,1)*(1+V_dMat)/(1-V_Merma))</f>
        <v>0</v>
      </c>
      <c r="E151" s="48" t="n">
        <f aca="false">IF(cu_P=1,SUMIFS(Calculo!$F$26:$ES$26,Calculo!$F$14:$ES$14,1)*N(INDEX(OV_O,6))*INDEX(IdxOV_O,1,1)*(1+P_dMat)/(1-P_Merma),SUMIFS(Calculo!$F$182:$ES$182,Calculo!$F$170:$ES$170,1)*N(INDEX(OV_V,6))*INDEX(IdxOV_V,1,1)*(1+V_dMat)/(1-V_Merma))</f>
        <v>0</v>
      </c>
      <c r="F151" s="48" t="n">
        <f aca="false">IF(cu_P=1,SUMIFS(Calculo!$F$26:$ES$26,Calculo!$F$14:$ES$14,2)*N(INDEX(OV_O,6))*INDEX(IdxOV_O,1,2)*(1+P_dMat)/(1-P_Merma),SUMIFS(Calculo!$F$182:$ES$182,Calculo!$F$170:$ES$170,2)*N(INDEX(OV_V,6))*INDEX(IdxOV_V,1,2)*(1+V_dMat)/(1-V_Merma))</f>
        <v>0</v>
      </c>
      <c r="G151" s="48" t="n">
        <f aca="false">IF(cu_P=1,SUMIFS(Calculo!$F$26:$ES$26,Calculo!$F$14:$ES$14,3)*N(INDEX(OV_O,6))*INDEX(IdxOV_O,1,3)*(1+P_dMat)/(1-P_Merma),SUMIFS(Calculo!$F$182:$ES$182,Calculo!$F$170:$ES$170,3)*N(INDEX(OV_V,6))*INDEX(IdxOV_V,1,3)*(1+V_dMat)/(1-V_Merma))</f>
        <v>0</v>
      </c>
      <c r="H151" s="48" t="n">
        <f aca="false">IF(cu_P=1,SUMIFS(Calculo!$F$26:$ES$26,Calculo!$F$14:$ES$14,4)*N(INDEX(OV_O,6))*INDEX(IdxOV_O,1,4)*(1+P_dMat)/(1-P_Merma),SUMIFS(Calculo!$F$182:$ES$182,Calculo!$F$170:$ES$170,4)*N(INDEX(OV_V,6))*INDEX(IdxOV_V,1,4)*(1+V_dMat)/(1-V_Merma))</f>
        <v>0</v>
      </c>
      <c r="I151" s="48" t="n">
        <f aca="false">IF(cu_P=1,SUMIFS(Calculo!$F$26:$ES$26,Calculo!$F$14:$ES$14,5)*N(INDEX(OV_O,6))*INDEX(IdxOV_O,1,5)*(1+P_dMat)/(1-P_Merma),SUMIFS(Calculo!$F$182:$ES$182,Calculo!$F$170:$ES$170,5)*N(INDEX(OV_V,6))*INDEX(IdxOV_V,1,5)*(1+V_dMat)/(1-V_Merma))</f>
        <v>0</v>
      </c>
      <c r="J151" s="48" t="n">
        <f aca="false">IF(cu_P=1,SUMIFS(Calculo!$F$26:$ES$26,Calculo!$F$14:$ES$14,6)*N(INDEX(OV_O,6))*INDEX(IdxOV_O,1,6)*(1+P_dMat)/(1-P_Merma),SUMIFS(Calculo!$F$182:$ES$182,Calculo!$F$170:$ES$170,6)*N(INDEX(OV_V,6))*INDEX(IdxOV_V,1,6)*(1+V_dMat)/(1-V_Merma))</f>
        <v>0</v>
      </c>
      <c r="K151" s="48" t="n">
        <f aca="false">IF(cu_P=1,SUMIFS(Calculo!$F$26:$ES$26,Calculo!$F$14:$ES$14,7)*N(INDEX(OV_O,6))*INDEX(IdxOV_O,1,7)*(1+P_dMat)/(1-P_Merma),SUMIFS(Calculo!$F$182:$ES$182,Calculo!$F$170:$ES$170,7)*N(INDEX(OV_V,6))*INDEX(IdxOV_V,1,7)*(1+V_dMat)/(1-V_Merma))</f>
        <v>0</v>
      </c>
      <c r="L151" s="48" t="n">
        <f aca="false">IF(cu_P=1,SUMIFS(Calculo!$F$26:$ES$26,Calculo!$F$14:$ES$14,8)*N(INDEX(OV_O,6))*INDEX(IdxOV_O,1,8)*(1+P_dMat)/(1-P_Merma),SUMIFS(Calculo!$F$182:$ES$182,Calculo!$F$170:$ES$170,8)*N(INDEX(OV_V,6))*INDEX(IdxOV_V,1,8)*(1+V_dMat)/(1-V_Merma))</f>
        <v>0</v>
      </c>
      <c r="M151" s="48" t="n">
        <f aca="false">IF(cu_P=1,SUMIFS(Calculo!$F$26:$ES$26,Calculo!$F$14:$ES$14,9)*N(INDEX(OV_O,6))*INDEX(IdxOV_O,1,9)*(1+P_dMat)/(1-P_Merma),SUMIFS(Calculo!$F$182:$ES$182,Calculo!$F$170:$ES$170,9)*N(INDEX(OV_V,6))*INDEX(IdxOV_V,1,9)*(1+V_dMat)/(1-V_Merma))</f>
        <v>0</v>
      </c>
      <c r="N151" s="48" t="n">
        <f aca="false">IF(cu_P=1,SUMIFS(Calculo!$F$26:$ES$26,Calculo!$F$14:$ES$14,10)*N(INDEX(OV_O,6))*INDEX(IdxOV_O,1,10)*(1+P_dMat)/(1-P_Merma),SUMIFS(Calculo!$F$182:$ES$182,Calculo!$F$170:$ES$170,10)*N(INDEX(OV_V,6))*INDEX(IdxOV_V,1,10)*(1+V_dMat)/(1-V_Merma))</f>
        <v>0</v>
      </c>
      <c r="O151" s="54" t="n">
        <f aca="false">SUM(D151:N151)</f>
        <v>0</v>
      </c>
    </row>
    <row r="152" customFormat="false" ht="15" hidden="true" customHeight="false" outlineLevel="1" collapsed="false">
      <c r="A152" s="11" t="s">
        <v>2232</v>
      </c>
      <c r="B152" s="15" t="s">
        <v>2087</v>
      </c>
      <c r="C152" s="11" t="s">
        <v>748</v>
      </c>
      <c r="E152" s="50" t="str">
        <f aca="false">IFERROR(IF(OR(NOT(ISNUMBER(E151)),N(E27)=0),"",E151/E27),"")</f>
        <v/>
      </c>
      <c r="F152" s="50" t="str">
        <f aca="false">IFERROR(IF(OR(NOT(ISNUMBER(F151)),N(F27)=0),"",F151/F27),"")</f>
        <v/>
      </c>
      <c r="G152" s="50" t="str">
        <f aca="false">IFERROR(IF(OR(NOT(ISNUMBER(G151)),N(G27)=0),"",G151/G27),"")</f>
        <v/>
      </c>
      <c r="H152" s="50" t="str">
        <f aca="false">IFERROR(IF(OR(NOT(ISNUMBER(H151)),N(H27)=0),"",H151/H27),"")</f>
        <v/>
      </c>
      <c r="I152" s="50" t="str">
        <f aca="false">IFERROR(IF(OR(NOT(ISNUMBER(I151)),N(I27)=0),"",I151/I27),"")</f>
        <v/>
      </c>
      <c r="J152" s="50" t="str">
        <f aca="false">IFERROR(IF(OR(NOT(ISNUMBER(J151)),N(J27)=0),"",J151/J27),"")</f>
        <v/>
      </c>
      <c r="K152" s="50" t="str">
        <f aca="false">IFERROR(IF(OR(NOT(ISNUMBER(K151)),N(K27)=0),"",K151/K27),"")</f>
        <v/>
      </c>
      <c r="L152" s="50" t="str">
        <f aca="false">IFERROR(IF(OR(NOT(ISNUMBER(L151)),N(L27)=0),"",L151/L27),"")</f>
        <v/>
      </c>
      <c r="M152" s="50" t="str">
        <f aca="false">IFERROR(IF(OR(NOT(ISNUMBER(M151)),N(M27)=0),"",M151/M27),"")</f>
        <v/>
      </c>
      <c r="N152" s="50" t="str">
        <f aca="false">IFERROR(IF(OR(NOT(ISNUMBER(N151)),N(N27)=0),"",N151/N27),"")</f>
        <v/>
      </c>
      <c r="O152" s="68" t="str">
        <f aca="false">IFERROR(IF(OR(NOT(ISNUMBER(O151)),N(O27)=0),"",O151/O27),"")</f>
        <v/>
      </c>
    </row>
    <row r="153" customFormat="false" ht="15" hidden="true" customHeight="false" outlineLevel="1" collapsed="false">
      <c r="A153" s="11" t="s">
        <v>2233</v>
      </c>
      <c r="B153" s="53" t="str">
        <f aca="false">IF(INDEX(Prod_Nombre,7)="","Producto 7",INDEX(Prod_Nombre,7))</f>
        <v>Producto 7</v>
      </c>
      <c r="C153" s="11" t="s">
        <v>508</v>
      </c>
      <c r="D153" s="48" t="n">
        <f aca="false">IF(cu_P=1,SUMIFS(Calculo!$F$27:$ES$27,Calculo!$F$16:$ES$16,1)*N(INDEX(OV_O,7))*INDEX(IdxOV_O,1,1)*(1+P_dMat)/(1-P_Merma),SUMIFS(Calculo!$F$183:$ES$183,Calculo!$F$172:$ES$172,1)*N(INDEX(OV_V,7))*INDEX(IdxOV_V,1,1)*(1+V_dMat)/(1-V_Merma))</f>
        <v>0</v>
      </c>
      <c r="E153" s="48" t="n">
        <f aca="false">IF(cu_P=1,SUMIFS(Calculo!$F$27:$ES$27,Calculo!$F$14:$ES$14,1)*N(INDEX(OV_O,7))*INDEX(IdxOV_O,1,1)*(1+P_dMat)/(1-P_Merma),SUMIFS(Calculo!$F$183:$ES$183,Calculo!$F$170:$ES$170,1)*N(INDEX(OV_V,7))*INDEX(IdxOV_V,1,1)*(1+V_dMat)/(1-V_Merma))</f>
        <v>0</v>
      </c>
      <c r="F153" s="48" t="n">
        <f aca="false">IF(cu_P=1,SUMIFS(Calculo!$F$27:$ES$27,Calculo!$F$14:$ES$14,2)*N(INDEX(OV_O,7))*INDEX(IdxOV_O,1,2)*(1+P_dMat)/(1-P_Merma),SUMIFS(Calculo!$F$183:$ES$183,Calculo!$F$170:$ES$170,2)*N(INDEX(OV_V,7))*INDEX(IdxOV_V,1,2)*(1+V_dMat)/(1-V_Merma))</f>
        <v>0</v>
      </c>
      <c r="G153" s="48" t="n">
        <f aca="false">IF(cu_P=1,SUMIFS(Calculo!$F$27:$ES$27,Calculo!$F$14:$ES$14,3)*N(INDEX(OV_O,7))*INDEX(IdxOV_O,1,3)*(1+P_dMat)/(1-P_Merma),SUMIFS(Calculo!$F$183:$ES$183,Calculo!$F$170:$ES$170,3)*N(INDEX(OV_V,7))*INDEX(IdxOV_V,1,3)*(1+V_dMat)/(1-V_Merma))</f>
        <v>0</v>
      </c>
      <c r="H153" s="48" t="n">
        <f aca="false">IF(cu_P=1,SUMIFS(Calculo!$F$27:$ES$27,Calculo!$F$14:$ES$14,4)*N(INDEX(OV_O,7))*INDEX(IdxOV_O,1,4)*(1+P_dMat)/(1-P_Merma),SUMIFS(Calculo!$F$183:$ES$183,Calculo!$F$170:$ES$170,4)*N(INDEX(OV_V,7))*INDEX(IdxOV_V,1,4)*(1+V_dMat)/(1-V_Merma))</f>
        <v>0</v>
      </c>
      <c r="I153" s="48" t="n">
        <f aca="false">IF(cu_P=1,SUMIFS(Calculo!$F$27:$ES$27,Calculo!$F$14:$ES$14,5)*N(INDEX(OV_O,7))*INDEX(IdxOV_O,1,5)*(1+P_dMat)/(1-P_Merma),SUMIFS(Calculo!$F$183:$ES$183,Calculo!$F$170:$ES$170,5)*N(INDEX(OV_V,7))*INDEX(IdxOV_V,1,5)*(1+V_dMat)/(1-V_Merma))</f>
        <v>0</v>
      </c>
      <c r="J153" s="48" t="n">
        <f aca="false">IF(cu_P=1,SUMIFS(Calculo!$F$27:$ES$27,Calculo!$F$14:$ES$14,6)*N(INDEX(OV_O,7))*INDEX(IdxOV_O,1,6)*(1+P_dMat)/(1-P_Merma),SUMIFS(Calculo!$F$183:$ES$183,Calculo!$F$170:$ES$170,6)*N(INDEX(OV_V,7))*INDEX(IdxOV_V,1,6)*(1+V_dMat)/(1-V_Merma))</f>
        <v>0</v>
      </c>
      <c r="K153" s="48" t="n">
        <f aca="false">IF(cu_P=1,SUMIFS(Calculo!$F$27:$ES$27,Calculo!$F$14:$ES$14,7)*N(INDEX(OV_O,7))*INDEX(IdxOV_O,1,7)*(1+P_dMat)/(1-P_Merma),SUMIFS(Calculo!$F$183:$ES$183,Calculo!$F$170:$ES$170,7)*N(INDEX(OV_V,7))*INDEX(IdxOV_V,1,7)*(1+V_dMat)/(1-V_Merma))</f>
        <v>0</v>
      </c>
      <c r="L153" s="48" t="n">
        <f aca="false">IF(cu_P=1,SUMIFS(Calculo!$F$27:$ES$27,Calculo!$F$14:$ES$14,8)*N(INDEX(OV_O,7))*INDEX(IdxOV_O,1,8)*(1+P_dMat)/(1-P_Merma),SUMIFS(Calculo!$F$183:$ES$183,Calculo!$F$170:$ES$170,8)*N(INDEX(OV_V,7))*INDEX(IdxOV_V,1,8)*(1+V_dMat)/(1-V_Merma))</f>
        <v>0</v>
      </c>
      <c r="M153" s="48" t="n">
        <f aca="false">IF(cu_P=1,SUMIFS(Calculo!$F$27:$ES$27,Calculo!$F$14:$ES$14,9)*N(INDEX(OV_O,7))*INDEX(IdxOV_O,1,9)*(1+P_dMat)/(1-P_Merma),SUMIFS(Calculo!$F$183:$ES$183,Calculo!$F$170:$ES$170,9)*N(INDEX(OV_V,7))*INDEX(IdxOV_V,1,9)*(1+V_dMat)/(1-V_Merma))</f>
        <v>0</v>
      </c>
      <c r="N153" s="48" t="n">
        <f aca="false">IF(cu_P=1,SUMIFS(Calculo!$F$27:$ES$27,Calculo!$F$14:$ES$14,10)*N(INDEX(OV_O,7))*INDEX(IdxOV_O,1,10)*(1+P_dMat)/(1-P_Merma),SUMIFS(Calculo!$F$183:$ES$183,Calculo!$F$170:$ES$170,10)*N(INDEX(OV_V,7))*INDEX(IdxOV_V,1,10)*(1+V_dMat)/(1-V_Merma))</f>
        <v>0</v>
      </c>
      <c r="O153" s="54" t="n">
        <f aca="false">SUM(D153:N153)</f>
        <v>0</v>
      </c>
    </row>
    <row r="154" customFormat="false" ht="15" hidden="true" customHeight="false" outlineLevel="1" collapsed="false">
      <c r="A154" s="11" t="s">
        <v>2234</v>
      </c>
      <c r="B154" s="15" t="s">
        <v>2087</v>
      </c>
      <c r="C154" s="11" t="s">
        <v>748</v>
      </c>
      <c r="E154" s="50" t="str">
        <f aca="false">IFERROR(IF(OR(NOT(ISNUMBER(E153)),N(E30)=0),"",E153/E30),"")</f>
        <v/>
      </c>
      <c r="F154" s="50" t="str">
        <f aca="false">IFERROR(IF(OR(NOT(ISNUMBER(F153)),N(F30)=0),"",F153/F30),"")</f>
        <v/>
      </c>
      <c r="G154" s="50" t="str">
        <f aca="false">IFERROR(IF(OR(NOT(ISNUMBER(G153)),N(G30)=0),"",G153/G30),"")</f>
        <v/>
      </c>
      <c r="H154" s="50" t="str">
        <f aca="false">IFERROR(IF(OR(NOT(ISNUMBER(H153)),N(H30)=0),"",H153/H30),"")</f>
        <v/>
      </c>
      <c r="I154" s="50" t="str">
        <f aca="false">IFERROR(IF(OR(NOT(ISNUMBER(I153)),N(I30)=0),"",I153/I30),"")</f>
        <v/>
      </c>
      <c r="J154" s="50" t="str">
        <f aca="false">IFERROR(IF(OR(NOT(ISNUMBER(J153)),N(J30)=0),"",J153/J30),"")</f>
        <v/>
      </c>
      <c r="K154" s="50" t="str">
        <f aca="false">IFERROR(IF(OR(NOT(ISNUMBER(K153)),N(K30)=0),"",K153/K30),"")</f>
        <v/>
      </c>
      <c r="L154" s="50" t="str">
        <f aca="false">IFERROR(IF(OR(NOT(ISNUMBER(L153)),N(L30)=0),"",L153/L30),"")</f>
        <v/>
      </c>
      <c r="M154" s="50" t="str">
        <f aca="false">IFERROR(IF(OR(NOT(ISNUMBER(M153)),N(M30)=0),"",M153/M30),"")</f>
        <v/>
      </c>
      <c r="N154" s="50" t="str">
        <f aca="false">IFERROR(IF(OR(NOT(ISNUMBER(N153)),N(N30)=0),"",N153/N30),"")</f>
        <v/>
      </c>
      <c r="O154" s="68" t="str">
        <f aca="false">IFERROR(IF(OR(NOT(ISNUMBER(O153)),N(O30)=0),"",O153/O30),"")</f>
        <v/>
      </c>
    </row>
    <row r="155" customFormat="false" ht="15" hidden="true" customHeight="false" outlineLevel="1" collapsed="false">
      <c r="A155" s="11" t="s">
        <v>2235</v>
      </c>
      <c r="B155" s="53" t="str">
        <f aca="false">IF(INDEX(Prod_Nombre,8)="","Producto 8",INDEX(Prod_Nombre,8))</f>
        <v>Producto 8</v>
      </c>
      <c r="C155" s="11" t="s">
        <v>508</v>
      </c>
      <c r="D155" s="48" t="n">
        <f aca="false">IF(cu_P=1,SUMIFS(Calculo!$F$28:$ES$28,Calculo!$F$16:$ES$16,1)*N(INDEX(OV_O,8))*INDEX(IdxOV_O,1,1)*(1+P_dMat)/(1-P_Merma),SUMIFS(Calculo!$F$184:$ES$184,Calculo!$F$172:$ES$172,1)*N(INDEX(OV_V,8))*INDEX(IdxOV_V,1,1)*(1+V_dMat)/(1-V_Merma))</f>
        <v>0</v>
      </c>
      <c r="E155" s="48" t="n">
        <f aca="false">IF(cu_P=1,SUMIFS(Calculo!$F$28:$ES$28,Calculo!$F$14:$ES$14,1)*N(INDEX(OV_O,8))*INDEX(IdxOV_O,1,1)*(1+P_dMat)/(1-P_Merma),SUMIFS(Calculo!$F$184:$ES$184,Calculo!$F$170:$ES$170,1)*N(INDEX(OV_V,8))*INDEX(IdxOV_V,1,1)*(1+V_dMat)/(1-V_Merma))</f>
        <v>0</v>
      </c>
      <c r="F155" s="48" t="n">
        <f aca="false">IF(cu_P=1,SUMIFS(Calculo!$F$28:$ES$28,Calculo!$F$14:$ES$14,2)*N(INDEX(OV_O,8))*INDEX(IdxOV_O,1,2)*(1+P_dMat)/(1-P_Merma),SUMIFS(Calculo!$F$184:$ES$184,Calculo!$F$170:$ES$170,2)*N(INDEX(OV_V,8))*INDEX(IdxOV_V,1,2)*(1+V_dMat)/(1-V_Merma))</f>
        <v>0</v>
      </c>
      <c r="G155" s="48" t="n">
        <f aca="false">IF(cu_P=1,SUMIFS(Calculo!$F$28:$ES$28,Calculo!$F$14:$ES$14,3)*N(INDEX(OV_O,8))*INDEX(IdxOV_O,1,3)*(1+P_dMat)/(1-P_Merma),SUMIFS(Calculo!$F$184:$ES$184,Calculo!$F$170:$ES$170,3)*N(INDEX(OV_V,8))*INDEX(IdxOV_V,1,3)*(1+V_dMat)/(1-V_Merma))</f>
        <v>0</v>
      </c>
      <c r="H155" s="48" t="n">
        <f aca="false">IF(cu_P=1,SUMIFS(Calculo!$F$28:$ES$28,Calculo!$F$14:$ES$14,4)*N(INDEX(OV_O,8))*INDEX(IdxOV_O,1,4)*(1+P_dMat)/(1-P_Merma),SUMIFS(Calculo!$F$184:$ES$184,Calculo!$F$170:$ES$170,4)*N(INDEX(OV_V,8))*INDEX(IdxOV_V,1,4)*(1+V_dMat)/(1-V_Merma))</f>
        <v>0</v>
      </c>
      <c r="I155" s="48" t="n">
        <f aca="false">IF(cu_P=1,SUMIFS(Calculo!$F$28:$ES$28,Calculo!$F$14:$ES$14,5)*N(INDEX(OV_O,8))*INDEX(IdxOV_O,1,5)*(1+P_dMat)/(1-P_Merma),SUMIFS(Calculo!$F$184:$ES$184,Calculo!$F$170:$ES$170,5)*N(INDEX(OV_V,8))*INDEX(IdxOV_V,1,5)*(1+V_dMat)/(1-V_Merma))</f>
        <v>0</v>
      </c>
      <c r="J155" s="48" t="n">
        <f aca="false">IF(cu_P=1,SUMIFS(Calculo!$F$28:$ES$28,Calculo!$F$14:$ES$14,6)*N(INDEX(OV_O,8))*INDEX(IdxOV_O,1,6)*(1+P_dMat)/(1-P_Merma),SUMIFS(Calculo!$F$184:$ES$184,Calculo!$F$170:$ES$170,6)*N(INDEX(OV_V,8))*INDEX(IdxOV_V,1,6)*(1+V_dMat)/(1-V_Merma))</f>
        <v>0</v>
      </c>
      <c r="K155" s="48" t="n">
        <f aca="false">IF(cu_P=1,SUMIFS(Calculo!$F$28:$ES$28,Calculo!$F$14:$ES$14,7)*N(INDEX(OV_O,8))*INDEX(IdxOV_O,1,7)*(1+P_dMat)/(1-P_Merma),SUMIFS(Calculo!$F$184:$ES$184,Calculo!$F$170:$ES$170,7)*N(INDEX(OV_V,8))*INDEX(IdxOV_V,1,7)*(1+V_dMat)/(1-V_Merma))</f>
        <v>0</v>
      </c>
      <c r="L155" s="48" t="n">
        <f aca="false">IF(cu_P=1,SUMIFS(Calculo!$F$28:$ES$28,Calculo!$F$14:$ES$14,8)*N(INDEX(OV_O,8))*INDEX(IdxOV_O,1,8)*(1+P_dMat)/(1-P_Merma),SUMIFS(Calculo!$F$184:$ES$184,Calculo!$F$170:$ES$170,8)*N(INDEX(OV_V,8))*INDEX(IdxOV_V,1,8)*(1+V_dMat)/(1-V_Merma))</f>
        <v>0</v>
      </c>
      <c r="M155" s="48" t="n">
        <f aca="false">IF(cu_P=1,SUMIFS(Calculo!$F$28:$ES$28,Calculo!$F$14:$ES$14,9)*N(INDEX(OV_O,8))*INDEX(IdxOV_O,1,9)*(1+P_dMat)/(1-P_Merma),SUMIFS(Calculo!$F$184:$ES$184,Calculo!$F$170:$ES$170,9)*N(INDEX(OV_V,8))*INDEX(IdxOV_V,1,9)*(1+V_dMat)/(1-V_Merma))</f>
        <v>0</v>
      </c>
      <c r="N155" s="48" t="n">
        <f aca="false">IF(cu_P=1,SUMIFS(Calculo!$F$28:$ES$28,Calculo!$F$14:$ES$14,10)*N(INDEX(OV_O,8))*INDEX(IdxOV_O,1,10)*(1+P_dMat)/(1-P_Merma),SUMIFS(Calculo!$F$184:$ES$184,Calculo!$F$170:$ES$170,10)*N(INDEX(OV_V,8))*INDEX(IdxOV_V,1,10)*(1+V_dMat)/(1-V_Merma))</f>
        <v>0</v>
      </c>
      <c r="O155" s="54" t="n">
        <f aca="false">SUM(D155:N155)</f>
        <v>0</v>
      </c>
    </row>
    <row r="156" customFormat="false" ht="15" hidden="true" customHeight="false" outlineLevel="1" collapsed="false">
      <c r="A156" s="11" t="s">
        <v>2236</v>
      </c>
      <c r="B156" s="15" t="s">
        <v>2087</v>
      </c>
      <c r="C156" s="11" t="s">
        <v>748</v>
      </c>
      <c r="E156" s="50" t="str">
        <f aca="false">IFERROR(IF(OR(NOT(ISNUMBER(E155)),N(E33)=0),"",E155/E33),"")</f>
        <v/>
      </c>
      <c r="F156" s="50" t="str">
        <f aca="false">IFERROR(IF(OR(NOT(ISNUMBER(F155)),N(F33)=0),"",F155/F33),"")</f>
        <v/>
      </c>
      <c r="G156" s="50" t="str">
        <f aca="false">IFERROR(IF(OR(NOT(ISNUMBER(G155)),N(G33)=0),"",G155/G33),"")</f>
        <v/>
      </c>
      <c r="H156" s="50" t="str">
        <f aca="false">IFERROR(IF(OR(NOT(ISNUMBER(H155)),N(H33)=0),"",H155/H33),"")</f>
        <v/>
      </c>
      <c r="I156" s="50" t="str">
        <f aca="false">IFERROR(IF(OR(NOT(ISNUMBER(I155)),N(I33)=0),"",I155/I33),"")</f>
        <v/>
      </c>
      <c r="J156" s="50" t="str">
        <f aca="false">IFERROR(IF(OR(NOT(ISNUMBER(J155)),N(J33)=0),"",J155/J33),"")</f>
        <v/>
      </c>
      <c r="K156" s="50" t="str">
        <f aca="false">IFERROR(IF(OR(NOT(ISNUMBER(K155)),N(K33)=0),"",K155/K33),"")</f>
        <v/>
      </c>
      <c r="L156" s="50" t="str">
        <f aca="false">IFERROR(IF(OR(NOT(ISNUMBER(L155)),N(L33)=0),"",L155/L33),"")</f>
        <v/>
      </c>
      <c r="M156" s="50" t="str">
        <f aca="false">IFERROR(IF(OR(NOT(ISNUMBER(M155)),N(M33)=0),"",M155/M33),"")</f>
        <v/>
      </c>
      <c r="N156" s="50" t="str">
        <f aca="false">IFERROR(IF(OR(NOT(ISNUMBER(N155)),N(N33)=0),"",N155/N33),"")</f>
        <v/>
      </c>
      <c r="O156" s="68" t="str">
        <f aca="false">IFERROR(IF(OR(NOT(ISNUMBER(O155)),N(O33)=0),"",O155/O33),"")</f>
        <v/>
      </c>
    </row>
    <row r="157" customFormat="false" ht="15" hidden="true" customHeight="false" outlineLevel="1" collapsed="false">
      <c r="A157" s="11" t="s">
        <v>2237</v>
      </c>
      <c r="B157" s="53" t="str">
        <f aca="false">IF(INDEX(Prod_Nombre,9)="","Producto 9",INDEX(Prod_Nombre,9))</f>
        <v>Producto 9</v>
      </c>
      <c r="C157" s="11" t="s">
        <v>508</v>
      </c>
      <c r="D157" s="48" t="n">
        <f aca="false">IF(cu_P=1,SUMIFS(Calculo!$F$29:$ES$29,Calculo!$F$16:$ES$16,1)*N(INDEX(OV_O,9))*INDEX(IdxOV_O,1,1)*(1+P_dMat)/(1-P_Merma),SUMIFS(Calculo!$F$185:$ES$185,Calculo!$F$172:$ES$172,1)*N(INDEX(OV_V,9))*INDEX(IdxOV_V,1,1)*(1+V_dMat)/(1-V_Merma))</f>
        <v>0</v>
      </c>
      <c r="E157" s="48" t="n">
        <f aca="false">IF(cu_P=1,SUMIFS(Calculo!$F$29:$ES$29,Calculo!$F$14:$ES$14,1)*N(INDEX(OV_O,9))*INDEX(IdxOV_O,1,1)*(1+P_dMat)/(1-P_Merma),SUMIFS(Calculo!$F$185:$ES$185,Calculo!$F$170:$ES$170,1)*N(INDEX(OV_V,9))*INDEX(IdxOV_V,1,1)*(1+V_dMat)/(1-V_Merma))</f>
        <v>0</v>
      </c>
      <c r="F157" s="48" t="n">
        <f aca="false">IF(cu_P=1,SUMIFS(Calculo!$F$29:$ES$29,Calculo!$F$14:$ES$14,2)*N(INDEX(OV_O,9))*INDEX(IdxOV_O,1,2)*(1+P_dMat)/(1-P_Merma),SUMIFS(Calculo!$F$185:$ES$185,Calculo!$F$170:$ES$170,2)*N(INDEX(OV_V,9))*INDEX(IdxOV_V,1,2)*(1+V_dMat)/(1-V_Merma))</f>
        <v>0</v>
      </c>
      <c r="G157" s="48" t="n">
        <f aca="false">IF(cu_P=1,SUMIFS(Calculo!$F$29:$ES$29,Calculo!$F$14:$ES$14,3)*N(INDEX(OV_O,9))*INDEX(IdxOV_O,1,3)*(1+P_dMat)/(1-P_Merma),SUMIFS(Calculo!$F$185:$ES$185,Calculo!$F$170:$ES$170,3)*N(INDEX(OV_V,9))*INDEX(IdxOV_V,1,3)*(1+V_dMat)/(1-V_Merma))</f>
        <v>0</v>
      </c>
      <c r="H157" s="48" t="n">
        <f aca="false">IF(cu_P=1,SUMIFS(Calculo!$F$29:$ES$29,Calculo!$F$14:$ES$14,4)*N(INDEX(OV_O,9))*INDEX(IdxOV_O,1,4)*(1+P_dMat)/(1-P_Merma),SUMIFS(Calculo!$F$185:$ES$185,Calculo!$F$170:$ES$170,4)*N(INDEX(OV_V,9))*INDEX(IdxOV_V,1,4)*(1+V_dMat)/(1-V_Merma))</f>
        <v>0</v>
      </c>
      <c r="I157" s="48" t="n">
        <f aca="false">IF(cu_P=1,SUMIFS(Calculo!$F$29:$ES$29,Calculo!$F$14:$ES$14,5)*N(INDEX(OV_O,9))*INDEX(IdxOV_O,1,5)*(1+P_dMat)/(1-P_Merma),SUMIFS(Calculo!$F$185:$ES$185,Calculo!$F$170:$ES$170,5)*N(INDEX(OV_V,9))*INDEX(IdxOV_V,1,5)*(1+V_dMat)/(1-V_Merma))</f>
        <v>0</v>
      </c>
      <c r="J157" s="48" t="n">
        <f aca="false">IF(cu_P=1,SUMIFS(Calculo!$F$29:$ES$29,Calculo!$F$14:$ES$14,6)*N(INDEX(OV_O,9))*INDEX(IdxOV_O,1,6)*(1+P_dMat)/(1-P_Merma),SUMIFS(Calculo!$F$185:$ES$185,Calculo!$F$170:$ES$170,6)*N(INDEX(OV_V,9))*INDEX(IdxOV_V,1,6)*(1+V_dMat)/(1-V_Merma))</f>
        <v>0</v>
      </c>
      <c r="K157" s="48" t="n">
        <f aca="false">IF(cu_P=1,SUMIFS(Calculo!$F$29:$ES$29,Calculo!$F$14:$ES$14,7)*N(INDEX(OV_O,9))*INDEX(IdxOV_O,1,7)*(1+P_dMat)/(1-P_Merma),SUMIFS(Calculo!$F$185:$ES$185,Calculo!$F$170:$ES$170,7)*N(INDEX(OV_V,9))*INDEX(IdxOV_V,1,7)*(1+V_dMat)/(1-V_Merma))</f>
        <v>0</v>
      </c>
      <c r="L157" s="48" t="n">
        <f aca="false">IF(cu_P=1,SUMIFS(Calculo!$F$29:$ES$29,Calculo!$F$14:$ES$14,8)*N(INDEX(OV_O,9))*INDEX(IdxOV_O,1,8)*(1+P_dMat)/(1-P_Merma),SUMIFS(Calculo!$F$185:$ES$185,Calculo!$F$170:$ES$170,8)*N(INDEX(OV_V,9))*INDEX(IdxOV_V,1,8)*(1+V_dMat)/(1-V_Merma))</f>
        <v>0</v>
      </c>
      <c r="M157" s="48" t="n">
        <f aca="false">IF(cu_P=1,SUMIFS(Calculo!$F$29:$ES$29,Calculo!$F$14:$ES$14,9)*N(INDEX(OV_O,9))*INDEX(IdxOV_O,1,9)*(1+P_dMat)/(1-P_Merma),SUMIFS(Calculo!$F$185:$ES$185,Calculo!$F$170:$ES$170,9)*N(INDEX(OV_V,9))*INDEX(IdxOV_V,1,9)*(1+V_dMat)/(1-V_Merma))</f>
        <v>0</v>
      </c>
      <c r="N157" s="48" t="n">
        <f aca="false">IF(cu_P=1,SUMIFS(Calculo!$F$29:$ES$29,Calculo!$F$14:$ES$14,10)*N(INDEX(OV_O,9))*INDEX(IdxOV_O,1,10)*(1+P_dMat)/(1-P_Merma),SUMIFS(Calculo!$F$185:$ES$185,Calculo!$F$170:$ES$170,10)*N(INDEX(OV_V,9))*INDEX(IdxOV_V,1,10)*(1+V_dMat)/(1-V_Merma))</f>
        <v>0</v>
      </c>
      <c r="O157" s="54" t="n">
        <f aca="false">SUM(D157:N157)</f>
        <v>0</v>
      </c>
    </row>
    <row r="158" customFormat="false" ht="15" hidden="true" customHeight="false" outlineLevel="1" collapsed="false">
      <c r="A158" s="11" t="s">
        <v>2238</v>
      </c>
      <c r="B158" s="15" t="s">
        <v>2087</v>
      </c>
      <c r="C158" s="11" t="s">
        <v>748</v>
      </c>
      <c r="E158" s="50" t="str">
        <f aca="false">IFERROR(IF(OR(NOT(ISNUMBER(E157)),N(E36)=0),"",E157/E36),"")</f>
        <v/>
      </c>
      <c r="F158" s="50" t="str">
        <f aca="false">IFERROR(IF(OR(NOT(ISNUMBER(F157)),N(F36)=0),"",F157/F36),"")</f>
        <v/>
      </c>
      <c r="G158" s="50" t="str">
        <f aca="false">IFERROR(IF(OR(NOT(ISNUMBER(G157)),N(G36)=0),"",G157/G36),"")</f>
        <v/>
      </c>
      <c r="H158" s="50" t="str">
        <f aca="false">IFERROR(IF(OR(NOT(ISNUMBER(H157)),N(H36)=0),"",H157/H36),"")</f>
        <v/>
      </c>
      <c r="I158" s="50" t="str">
        <f aca="false">IFERROR(IF(OR(NOT(ISNUMBER(I157)),N(I36)=0),"",I157/I36),"")</f>
        <v/>
      </c>
      <c r="J158" s="50" t="str">
        <f aca="false">IFERROR(IF(OR(NOT(ISNUMBER(J157)),N(J36)=0),"",J157/J36),"")</f>
        <v/>
      </c>
      <c r="K158" s="50" t="str">
        <f aca="false">IFERROR(IF(OR(NOT(ISNUMBER(K157)),N(K36)=0),"",K157/K36),"")</f>
        <v/>
      </c>
      <c r="L158" s="50" t="str">
        <f aca="false">IFERROR(IF(OR(NOT(ISNUMBER(L157)),N(L36)=0),"",L157/L36),"")</f>
        <v/>
      </c>
      <c r="M158" s="50" t="str">
        <f aca="false">IFERROR(IF(OR(NOT(ISNUMBER(M157)),N(M36)=0),"",M157/M36),"")</f>
        <v/>
      </c>
      <c r="N158" s="50" t="str">
        <f aca="false">IFERROR(IF(OR(NOT(ISNUMBER(N157)),N(N36)=0),"",N157/N36),"")</f>
        <v/>
      </c>
      <c r="O158" s="68" t="str">
        <f aca="false">IFERROR(IF(OR(NOT(ISNUMBER(O157)),N(O36)=0),"",O157/O36),"")</f>
        <v/>
      </c>
    </row>
    <row r="159" customFormat="false" ht="15" hidden="true" customHeight="false" outlineLevel="1" collapsed="false">
      <c r="A159" s="11" t="s">
        <v>2239</v>
      </c>
      <c r="B159" s="53" t="str">
        <f aca="false">IF(INDEX(Prod_Nombre,10)="","Producto 10",INDEX(Prod_Nombre,10))</f>
        <v>Producto 10</v>
      </c>
      <c r="C159" s="11" t="s">
        <v>508</v>
      </c>
      <c r="D159" s="48" t="n">
        <f aca="false">IF(cu_P=1,SUMIFS(Calculo!$F$30:$ES$30,Calculo!$F$16:$ES$16,1)*N(INDEX(OV_O,10))*INDEX(IdxOV_O,1,1)*(1+P_dMat)/(1-P_Merma),SUMIFS(Calculo!$F$186:$ES$186,Calculo!$F$172:$ES$172,1)*N(INDEX(OV_V,10))*INDEX(IdxOV_V,1,1)*(1+V_dMat)/(1-V_Merma))</f>
        <v>0</v>
      </c>
      <c r="E159" s="48" t="n">
        <f aca="false">IF(cu_P=1,SUMIFS(Calculo!$F$30:$ES$30,Calculo!$F$14:$ES$14,1)*N(INDEX(OV_O,10))*INDEX(IdxOV_O,1,1)*(1+P_dMat)/(1-P_Merma),SUMIFS(Calculo!$F$186:$ES$186,Calculo!$F$170:$ES$170,1)*N(INDEX(OV_V,10))*INDEX(IdxOV_V,1,1)*(1+V_dMat)/(1-V_Merma))</f>
        <v>0</v>
      </c>
      <c r="F159" s="48" t="n">
        <f aca="false">IF(cu_P=1,SUMIFS(Calculo!$F$30:$ES$30,Calculo!$F$14:$ES$14,2)*N(INDEX(OV_O,10))*INDEX(IdxOV_O,1,2)*(1+P_dMat)/(1-P_Merma),SUMIFS(Calculo!$F$186:$ES$186,Calculo!$F$170:$ES$170,2)*N(INDEX(OV_V,10))*INDEX(IdxOV_V,1,2)*(1+V_dMat)/(1-V_Merma))</f>
        <v>0</v>
      </c>
      <c r="G159" s="48" t="n">
        <f aca="false">IF(cu_P=1,SUMIFS(Calculo!$F$30:$ES$30,Calculo!$F$14:$ES$14,3)*N(INDEX(OV_O,10))*INDEX(IdxOV_O,1,3)*(1+P_dMat)/(1-P_Merma),SUMIFS(Calculo!$F$186:$ES$186,Calculo!$F$170:$ES$170,3)*N(INDEX(OV_V,10))*INDEX(IdxOV_V,1,3)*(1+V_dMat)/(1-V_Merma))</f>
        <v>0</v>
      </c>
      <c r="H159" s="48" t="n">
        <f aca="false">IF(cu_P=1,SUMIFS(Calculo!$F$30:$ES$30,Calculo!$F$14:$ES$14,4)*N(INDEX(OV_O,10))*INDEX(IdxOV_O,1,4)*(1+P_dMat)/(1-P_Merma),SUMIFS(Calculo!$F$186:$ES$186,Calculo!$F$170:$ES$170,4)*N(INDEX(OV_V,10))*INDEX(IdxOV_V,1,4)*(1+V_dMat)/(1-V_Merma))</f>
        <v>0</v>
      </c>
      <c r="I159" s="48" t="n">
        <f aca="false">IF(cu_P=1,SUMIFS(Calculo!$F$30:$ES$30,Calculo!$F$14:$ES$14,5)*N(INDEX(OV_O,10))*INDEX(IdxOV_O,1,5)*(1+P_dMat)/(1-P_Merma),SUMIFS(Calculo!$F$186:$ES$186,Calculo!$F$170:$ES$170,5)*N(INDEX(OV_V,10))*INDEX(IdxOV_V,1,5)*(1+V_dMat)/(1-V_Merma))</f>
        <v>0</v>
      </c>
      <c r="J159" s="48" t="n">
        <f aca="false">IF(cu_P=1,SUMIFS(Calculo!$F$30:$ES$30,Calculo!$F$14:$ES$14,6)*N(INDEX(OV_O,10))*INDEX(IdxOV_O,1,6)*(1+P_dMat)/(1-P_Merma),SUMIFS(Calculo!$F$186:$ES$186,Calculo!$F$170:$ES$170,6)*N(INDEX(OV_V,10))*INDEX(IdxOV_V,1,6)*(1+V_dMat)/(1-V_Merma))</f>
        <v>0</v>
      </c>
      <c r="K159" s="48" t="n">
        <f aca="false">IF(cu_P=1,SUMIFS(Calculo!$F$30:$ES$30,Calculo!$F$14:$ES$14,7)*N(INDEX(OV_O,10))*INDEX(IdxOV_O,1,7)*(1+P_dMat)/(1-P_Merma),SUMIFS(Calculo!$F$186:$ES$186,Calculo!$F$170:$ES$170,7)*N(INDEX(OV_V,10))*INDEX(IdxOV_V,1,7)*(1+V_dMat)/(1-V_Merma))</f>
        <v>0</v>
      </c>
      <c r="L159" s="48" t="n">
        <f aca="false">IF(cu_P=1,SUMIFS(Calculo!$F$30:$ES$30,Calculo!$F$14:$ES$14,8)*N(INDEX(OV_O,10))*INDEX(IdxOV_O,1,8)*(1+P_dMat)/(1-P_Merma),SUMIFS(Calculo!$F$186:$ES$186,Calculo!$F$170:$ES$170,8)*N(INDEX(OV_V,10))*INDEX(IdxOV_V,1,8)*(1+V_dMat)/(1-V_Merma))</f>
        <v>0</v>
      </c>
      <c r="M159" s="48" t="n">
        <f aca="false">IF(cu_P=1,SUMIFS(Calculo!$F$30:$ES$30,Calculo!$F$14:$ES$14,9)*N(INDEX(OV_O,10))*INDEX(IdxOV_O,1,9)*(1+P_dMat)/(1-P_Merma),SUMIFS(Calculo!$F$186:$ES$186,Calculo!$F$170:$ES$170,9)*N(INDEX(OV_V,10))*INDEX(IdxOV_V,1,9)*(1+V_dMat)/(1-V_Merma))</f>
        <v>0</v>
      </c>
      <c r="N159" s="48" t="n">
        <f aca="false">IF(cu_P=1,SUMIFS(Calculo!$F$30:$ES$30,Calculo!$F$14:$ES$14,10)*N(INDEX(OV_O,10))*INDEX(IdxOV_O,1,10)*(1+P_dMat)/(1-P_Merma),SUMIFS(Calculo!$F$186:$ES$186,Calculo!$F$170:$ES$170,10)*N(INDEX(OV_V,10))*INDEX(IdxOV_V,1,10)*(1+V_dMat)/(1-V_Merma))</f>
        <v>0</v>
      </c>
      <c r="O159" s="54" t="n">
        <f aca="false">SUM(D159:N159)</f>
        <v>0</v>
      </c>
    </row>
    <row r="160" customFormat="false" ht="15" hidden="true" customHeight="false" outlineLevel="1" collapsed="false">
      <c r="A160" s="11" t="s">
        <v>2240</v>
      </c>
      <c r="B160" s="15" t="s">
        <v>2087</v>
      </c>
      <c r="C160" s="11" t="s">
        <v>748</v>
      </c>
      <c r="E160" s="50" t="str">
        <f aca="false">IFERROR(IF(OR(NOT(ISNUMBER(E159)),N(E39)=0),"",E159/E39),"")</f>
        <v/>
      </c>
      <c r="F160" s="50" t="str">
        <f aca="false">IFERROR(IF(OR(NOT(ISNUMBER(F159)),N(F39)=0),"",F159/F39),"")</f>
        <v/>
      </c>
      <c r="G160" s="50" t="str">
        <f aca="false">IFERROR(IF(OR(NOT(ISNUMBER(G159)),N(G39)=0),"",G159/G39),"")</f>
        <v/>
      </c>
      <c r="H160" s="50" t="str">
        <f aca="false">IFERROR(IF(OR(NOT(ISNUMBER(H159)),N(H39)=0),"",H159/H39),"")</f>
        <v/>
      </c>
      <c r="I160" s="50" t="str">
        <f aca="false">IFERROR(IF(OR(NOT(ISNUMBER(I159)),N(I39)=0),"",I159/I39),"")</f>
        <v/>
      </c>
      <c r="J160" s="50" t="str">
        <f aca="false">IFERROR(IF(OR(NOT(ISNUMBER(J159)),N(J39)=0),"",J159/J39),"")</f>
        <v/>
      </c>
      <c r="K160" s="50" t="str">
        <f aca="false">IFERROR(IF(OR(NOT(ISNUMBER(K159)),N(K39)=0),"",K159/K39),"")</f>
        <v/>
      </c>
      <c r="L160" s="50" t="str">
        <f aca="false">IFERROR(IF(OR(NOT(ISNUMBER(L159)),N(L39)=0),"",L159/L39),"")</f>
        <v/>
      </c>
      <c r="M160" s="50" t="str">
        <f aca="false">IFERROR(IF(OR(NOT(ISNUMBER(M159)),N(M39)=0),"",M159/M39),"")</f>
        <v/>
      </c>
      <c r="N160" s="50" t="str">
        <f aca="false">IFERROR(IF(OR(NOT(ISNUMBER(N159)),N(N39)=0),"",N159/N39),"")</f>
        <v/>
      </c>
      <c r="O160" s="68" t="str">
        <f aca="false">IFERROR(IF(OR(NOT(ISNUMBER(O159)),N(O39)=0),"",O159/O39),"")</f>
        <v/>
      </c>
    </row>
    <row r="161" customFormat="false" ht="15" hidden="true" customHeight="false" outlineLevel="1" collapsed="false">
      <c r="A161" s="11" t="s">
        <v>2241</v>
      </c>
      <c r="B161" s="53" t="str">
        <f aca="false">IF(INDEX(Prod_Nombre,11)="","Producto 11",INDEX(Prod_Nombre,11))</f>
        <v>Producto 11</v>
      </c>
      <c r="C161" s="11" t="s">
        <v>508</v>
      </c>
      <c r="D161" s="48" t="n">
        <f aca="false">IF(cu_P=1,SUMIFS(Calculo!$F$31:$ES$31,Calculo!$F$16:$ES$16,1)*N(INDEX(OV_O,11))*INDEX(IdxOV_O,1,1)*(1+P_dMat)/(1-P_Merma),SUMIFS(Calculo!$F$187:$ES$187,Calculo!$F$172:$ES$172,1)*N(INDEX(OV_V,11))*INDEX(IdxOV_V,1,1)*(1+V_dMat)/(1-V_Merma))</f>
        <v>0</v>
      </c>
      <c r="E161" s="48" t="n">
        <f aca="false">IF(cu_P=1,SUMIFS(Calculo!$F$31:$ES$31,Calculo!$F$14:$ES$14,1)*N(INDEX(OV_O,11))*INDEX(IdxOV_O,1,1)*(1+P_dMat)/(1-P_Merma),SUMIFS(Calculo!$F$187:$ES$187,Calculo!$F$170:$ES$170,1)*N(INDEX(OV_V,11))*INDEX(IdxOV_V,1,1)*(1+V_dMat)/(1-V_Merma))</f>
        <v>0</v>
      </c>
      <c r="F161" s="48" t="n">
        <f aca="false">IF(cu_P=1,SUMIFS(Calculo!$F$31:$ES$31,Calculo!$F$14:$ES$14,2)*N(INDEX(OV_O,11))*INDEX(IdxOV_O,1,2)*(1+P_dMat)/(1-P_Merma),SUMIFS(Calculo!$F$187:$ES$187,Calculo!$F$170:$ES$170,2)*N(INDEX(OV_V,11))*INDEX(IdxOV_V,1,2)*(1+V_dMat)/(1-V_Merma))</f>
        <v>0</v>
      </c>
      <c r="G161" s="48" t="n">
        <f aca="false">IF(cu_P=1,SUMIFS(Calculo!$F$31:$ES$31,Calculo!$F$14:$ES$14,3)*N(INDEX(OV_O,11))*INDEX(IdxOV_O,1,3)*(1+P_dMat)/(1-P_Merma),SUMIFS(Calculo!$F$187:$ES$187,Calculo!$F$170:$ES$170,3)*N(INDEX(OV_V,11))*INDEX(IdxOV_V,1,3)*(1+V_dMat)/(1-V_Merma))</f>
        <v>0</v>
      </c>
      <c r="H161" s="48" t="n">
        <f aca="false">IF(cu_P=1,SUMIFS(Calculo!$F$31:$ES$31,Calculo!$F$14:$ES$14,4)*N(INDEX(OV_O,11))*INDEX(IdxOV_O,1,4)*(1+P_dMat)/(1-P_Merma),SUMIFS(Calculo!$F$187:$ES$187,Calculo!$F$170:$ES$170,4)*N(INDEX(OV_V,11))*INDEX(IdxOV_V,1,4)*(1+V_dMat)/(1-V_Merma))</f>
        <v>0</v>
      </c>
      <c r="I161" s="48" t="n">
        <f aca="false">IF(cu_P=1,SUMIFS(Calculo!$F$31:$ES$31,Calculo!$F$14:$ES$14,5)*N(INDEX(OV_O,11))*INDEX(IdxOV_O,1,5)*(1+P_dMat)/(1-P_Merma),SUMIFS(Calculo!$F$187:$ES$187,Calculo!$F$170:$ES$170,5)*N(INDEX(OV_V,11))*INDEX(IdxOV_V,1,5)*(1+V_dMat)/(1-V_Merma))</f>
        <v>0</v>
      </c>
      <c r="J161" s="48" t="n">
        <f aca="false">IF(cu_P=1,SUMIFS(Calculo!$F$31:$ES$31,Calculo!$F$14:$ES$14,6)*N(INDEX(OV_O,11))*INDEX(IdxOV_O,1,6)*(1+P_dMat)/(1-P_Merma),SUMIFS(Calculo!$F$187:$ES$187,Calculo!$F$170:$ES$170,6)*N(INDEX(OV_V,11))*INDEX(IdxOV_V,1,6)*(1+V_dMat)/(1-V_Merma))</f>
        <v>0</v>
      </c>
      <c r="K161" s="48" t="n">
        <f aca="false">IF(cu_P=1,SUMIFS(Calculo!$F$31:$ES$31,Calculo!$F$14:$ES$14,7)*N(INDEX(OV_O,11))*INDEX(IdxOV_O,1,7)*(1+P_dMat)/(1-P_Merma),SUMIFS(Calculo!$F$187:$ES$187,Calculo!$F$170:$ES$170,7)*N(INDEX(OV_V,11))*INDEX(IdxOV_V,1,7)*(1+V_dMat)/(1-V_Merma))</f>
        <v>0</v>
      </c>
      <c r="L161" s="48" t="n">
        <f aca="false">IF(cu_P=1,SUMIFS(Calculo!$F$31:$ES$31,Calculo!$F$14:$ES$14,8)*N(INDEX(OV_O,11))*INDEX(IdxOV_O,1,8)*(1+P_dMat)/(1-P_Merma),SUMIFS(Calculo!$F$187:$ES$187,Calculo!$F$170:$ES$170,8)*N(INDEX(OV_V,11))*INDEX(IdxOV_V,1,8)*(1+V_dMat)/(1-V_Merma))</f>
        <v>0</v>
      </c>
      <c r="M161" s="48" t="n">
        <f aca="false">IF(cu_P=1,SUMIFS(Calculo!$F$31:$ES$31,Calculo!$F$14:$ES$14,9)*N(INDEX(OV_O,11))*INDEX(IdxOV_O,1,9)*(1+P_dMat)/(1-P_Merma),SUMIFS(Calculo!$F$187:$ES$187,Calculo!$F$170:$ES$170,9)*N(INDEX(OV_V,11))*INDEX(IdxOV_V,1,9)*(1+V_dMat)/(1-V_Merma))</f>
        <v>0</v>
      </c>
      <c r="N161" s="48" t="n">
        <f aca="false">IF(cu_P=1,SUMIFS(Calculo!$F$31:$ES$31,Calculo!$F$14:$ES$14,10)*N(INDEX(OV_O,11))*INDEX(IdxOV_O,1,10)*(1+P_dMat)/(1-P_Merma),SUMIFS(Calculo!$F$187:$ES$187,Calculo!$F$170:$ES$170,10)*N(INDEX(OV_V,11))*INDEX(IdxOV_V,1,10)*(1+V_dMat)/(1-V_Merma))</f>
        <v>0</v>
      </c>
      <c r="O161" s="54" t="n">
        <f aca="false">SUM(D161:N161)</f>
        <v>0</v>
      </c>
    </row>
    <row r="162" customFormat="false" ht="15" hidden="true" customHeight="false" outlineLevel="1" collapsed="false">
      <c r="A162" s="11" t="s">
        <v>2242</v>
      </c>
      <c r="B162" s="15" t="s">
        <v>2087</v>
      </c>
      <c r="C162" s="11" t="s">
        <v>748</v>
      </c>
      <c r="E162" s="50" t="str">
        <f aca="false">IFERROR(IF(OR(NOT(ISNUMBER(E161)),N(E42)=0),"",E161/E42),"")</f>
        <v/>
      </c>
      <c r="F162" s="50" t="str">
        <f aca="false">IFERROR(IF(OR(NOT(ISNUMBER(F161)),N(F42)=0),"",F161/F42),"")</f>
        <v/>
      </c>
      <c r="G162" s="50" t="str">
        <f aca="false">IFERROR(IF(OR(NOT(ISNUMBER(G161)),N(G42)=0),"",G161/G42),"")</f>
        <v/>
      </c>
      <c r="H162" s="50" t="str">
        <f aca="false">IFERROR(IF(OR(NOT(ISNUMBER(H161)),N(H42)=0),"",H161/H42),"")</f>
        <v/>
      </c>
      <c r="I162" s="50" t="str">
        <f aca="false">IFERROR(IF(OR(NOT(ISNUMBER(I161)),N(I42)=0),"",I161/I42),"")</f>
        <v/>
      </c>
      <c r="J162" s="50" t="str">
        <f aca="false">IFERROR(IF(OR(NOT(ISNUMBER(J161)),N(J42)=0),"",J161/J42),"")</f>
        <v/>
      </c>
      <c r="K162" s="50" t="str">
        <f aca="false">IFERROR(IF(OR(NOT(ISNUMBER(K161)),N(K42)=0),"",K161/K42),"")</f>
        <v/>
      </c>
      <c r="L162" s="50" t="str">
        <f aca="false">IFERROR(IF(OR(NOT(ISNUMBER(L161)),N(L42)=0),"",L161/L42),"")</f>
        <v/>
      </c>
      <c r="M162" s="50" t="str">
        <f aca="false">IFERROR(IF(OR(NOT(ISNUMBER(M161)),N(M42)=0),"",M161/M42),"")</f>
        <v/>
      </c>
      <c r="N162" s="50" t="str">
        <f aca="false">IFERROR(IF(OR(NOT(ISNUMBER(N161)),N(N42)=0),"",N161/N42),"")</f>
        <v/>
      </c>
      <c r="O162" s="68" t="str">
        <f aca="false">IFERROR(IF(OR(NOT(ISNUMBER(O161)),N(O42)=0),"",O161/O42),"")</f>
        <v/>
      </c>
    </row>
    <row r="163" customFormat="false" ht="15" hidden="true" customHeight="false" outlineLevel="1" collapsed="false">
      <c r="A163" s="11" t="s">
        <v>2243</v>
      </c>
      <c r="B163" s="53" t="str">
        <f aca="false">IF(INDEX(Prod_Nombre,12)="","Producto 12",INDEX(Prod_Nombre,12))</f>
        <v>Producto 12</v>
      </c>
      <c r="C163" s="11" t="s">
        <v>508</v>
      </c>
      <c r="D163" s="48" t="n">
        <f aca="false">IF(cu_P=1,SUMIFS(Calculo!$F$32:$ES$32,Calculo!$F$16:$ES$16,1)*N(INDEX(OV_O,12))*INDEX(IdxOV_O,1,1)*(1+P_dMat)/(1-P_Merma),SUMIFS(Calculo!$F$188:$ES$188,Calculo!$F$172:$ES$172,1)*N(INDEX(OV_V,12))*INDEX(IdxOV_V,1,1)*(1+V_dMat)/(1-V_Merma))</f>
        <v>0</v>
      </c>
      <c r="E163" s="48" t="n">
        <f aca="false">IF(cu_P=1,SUMIFS(Calculo!$F$32:$ES$32,Calculo!$F$14:$ES$14,1)*N(INDEX(OV_O,12))*INDEX(IdxOV_O,1,1)*(1+P_dMat)/(1-P_Merma),SUMIFS(Calculo!$F$188:$ES$188,Calculo!$F$170:$ES$170,1)*N(INDEX(OV_V,12))*INDEX(IdxOV_V,1,1)*(1+V_dMat)/(1-V_Merma))</f>
        <v>0</v>
      </c>
      <c r="F163" s="48" t="n">
        <f aca="false">IF(cu_P=1,SUMIFS(Calculo!$F$32:$ES$32,Calculo!$F$14:$ES$14,2)*N(INDEX(OV_O,12))*INDEX(IdxOV_O,1,2)*(1+P_dMat)/(1-P_Merma),SUMIFS(Calculo!$F$188:$ES$188,Calculo!$F$170:$ES$170,2)*N(INDEX(OV_V,12))*INDEX(IdxOV_V,1,2)*(1+V_dMat)/(1-V_Merma))</f>
        <v>0</v>
      </c>
      <c r="G163" s="48" t="n">
        <f aca="false">IF(cu_P=1,SUMIFS(Calculo!$F$32:$ES$32,Calculo!$F$14:$ES$14,3)*N(INDEX(OV_O,12))*INDEX(IdxOV_O,1,3)*(1+P_dMat)/(1-P_Merma),SUMIFS(Calculo!$F$188:$ES$188,Calculo!$F$170:$ES$170,3)*N(INDEX(OV_V,12))*INDEX(IdxOV_V,1,3)*(1+V_dMat)/(1-V_Merma))</f>
        <v>0</v>
      </c>
      <c r="H163" s="48" t="n">
        <f aca="false">IF(cu_P=1,SUMIFS(Calculo!$F$32:$ES$32,Calculo!$F$14:$ES$14,4)*N(INDEX(OV_O,12))*INDEX(IdxOV_O,1,4)*(1+P_dMat)/(1-P_Merma),SUMIFS(Calculo!$F$188:$ES$188,Calculo!$F$170:$ES$170,4)*N(INDEX(OV_V,12))*INDEX(IdxOV_V,1,4)*(1+V_dMat)/(1-V_Merma))</f>
        <v>0</v>
      </c>
      <c r="I163" s="48" t="n">
        <f aca="false">IF(cu_P=1,SUMIFS(Calculo!$F$32:$ES$32,Calculo!$F$14:$ES$14,5)*N(INDEX(OV_O,12))*INDEX(IdxOV_O,1,5)*(1+P_dMat)/(1-P_Merma),SUMIFS(Calculo!$F$188:$ES$188,Calculo!$F$170:$ES$170,5)*N(INDEX(OV_V,12))*INDEX(IdxOV_V,1,5)*(1+V_dMat)/(1-V_Merma))</f>
        <v>0</v>
      </c>
      <c r="J163" s="48" t="n">
        <f aca="false">IF(cu_P=1,SUMIFS(Calculo!$F$32:$ES$32,Calculo!$F$14:$ES$14,6)*N(INDEX(OV_O,12))*INDEX(IdxOV_O,1,6)*(1+P_dMat)/(1-P_Merma),SUMIFS(Calculo!$F$188:$ES$188,Calculo!$F$170:$ES$170,6)*N(INDEX(OV_V,12))*INDEX(IdxOV_V,1,6)*(1+V_dMat)/(1-V_Merma))</f>
        <v>0</v>
      </c>
      <c r="K163" s="48" t="n">
        <f aca="false">IF(cu_P=1,SUMIFS(Calculo!$F$32:$ES$32,Calculo!$F$14:$ES$14,7)*N(INDEX(OV_O,12))*INDEX(IdxOV_O,1,7)*(1+P_dMat)/(1-P_Merma),SUMIFS(Calculo!$F$188:$ES$188,Calculo!$F$170:$ES$170,7)*N(INDEX(OV_V,12))*INDEX(IdxOV_V,1,7)*(1+V_dMat)/(1-V_Merma))</f>
        <v>0</v>
      </c>
      <c r="L163" s="48" t="n">
        <f aca="false">IF(cu_P=1,SUMIFS(Calculo!$F$32:$ES$32,Calculo!$F$14:$ES$14,8)*N(INDEX(OV_O,12))*INDEX(IdxOV_O,1,8)*(1+P_dMat)/(1-P_Merma),SUMIFS(Calculo!$F$188:$ES$188,Calculo!$F$170:$ES$170,8)*N(INDEX(OV_V,12))*INDEX(IdxOV_V,1,8)*(1+V_dMat)/(1-V_Merma))</f>
        <v>0</v>
      </c>
      <c r="M163" s="48" t="n">
        <f aca="false">IF(cu_P=1,SUMIFS(Calculo!$F$32:$ES$32,Calculo!$F$14:$ES$14,9)*N(INDEX(OV_O,12))*INDEX(IdxOV_O,1,9)*(1+P_dMat)/(1-P_Merma),SUMIFS(Calculo!$F$188:$ES$188,Calculo!$F$170:$ES$170,9)*N(INDEX(OV_V,12))*INDEX(IdxOV_V,1,9)*(1+V_dMat)/(1-V_Merma))</f>
        <v>0</v>
      </c>
      <c r="N163" s="48" t="n">
        <f aca="false">IF(cu_P=1,SUMIFS(Calculo!$F$32:$ES$32,Calculo!$F$14:$ES$14,10)*N(INDEX(OV_O,12))*INDEX(IdxOV_O,1,10)*(1+P_dMat)/(1-P_Merma),SUMIFS(Calculo!$F$188:$ES$188,Calculo!$F$170:$ES$170,10)*N(INDEX(OV_V,12))*INDEX(IdxOV_V,1,10)*(1+V_dMat)/(1-V_Merma))</f>
        <v>0</v>
      </c>
      <c r="O163" s="54" t="n">
        <f aca="false">SUM(D163:N163)</f>
        <v>0</v>
      </c>
    </row>
    <row r="164" customFormat="false" ht="15" hidden="true" customHeight="false" outlineLevel="1" collapsed="false">
      <c r="A164" s="11" t="s">
        <v>2244</v>
      </c>
      <c r="B164" s="15" t="s">
        <v>2087</v>
      </c>
      <c r="C164" s="11" t="s">
        <v>748</v>
      </c>
      <c r="E164" s="50" t="str">
        <f aca="false">IFERROR(IF(OR(NOT(ISNUMBER(E163)),N(E45)=0),"",E163/E45),"")</f>
        <v/>
      </c>
      <c r="F164" s="50" t="str">
        <f aca="false">IFERROR(IF(OR(NOT(ISNUMBER(F163)),N(F45)=0),"",F163/F45),"")</f>
        <v/>
      </c>
      <c r="G164" s="50" t="str">
        <f aca="false">IFERROR(IF(OR(NOT(ISNUMBER(G163)),N(G45)=0),"",G163/G45),"")</f>
        <v/>
      </c>
      <c r="H164" s="50" t="str">
        <f aca="false">IFERROR(IF(OR(NOT(ISNUMBER(H163)),N(H45)=0),"",H163/H45),"")</f>
        <v/>
      </c>
      <c r="I164" s="50" t="str">
        <f aca="false">IFERROR(IF(OR(NOT(ISNUMBER(I163)),N(I45)=0),"",I163/I45),"")</f>
        <v/>
      </c>
      <c r="J164" s="50" t="str">
        <f aca="false">IFERROR(IF(OR(NOT(ISNUMBER(J163)),N(J45)=0),"",J163/J45),"")</f>
        <v/>
      </c>
      <c r="K164" s="50" t="str">
        <f aca="false">IFERROR(IF(OR(NOT(ISNUMBER(K163)),N(K45)=0),"",K163/K45),"")</f>
        <v/>
      </c>
      <c r="L164" s="50" t="str">
        <f aca="false">IFERROR(IF(OR(NOT(ISNUMBER(L163)),N(L45)=0),"",L163/L45),"")</f>
        <v/>
      </c>
      <c r="M164" s="50" t="str">
        <f aca="false">IFERROR(IF(OR(NOT(ISNUMBER(M163)),N(M45)=0),"",M163/M45),"")</f>
        <v/>
      </c>
      <c r="N164" s="50" t="str">
        <f aca="false">IFERROR(IF(OR(NOT(ISNUMBER(N163)),N(N45)=0),"",N163/N45),"")</f>
        <v/>
      </c>
      <c r="O164" s="68" t="str">
        <f aca="false">IFERROR(IF(OR(NOT(ISNUMBER(O163)),N(O45)=0),"",O163/O45),"")</f>
        <v/>
      </c>
    </row>
    <row r="165" customFormat="false" ht="15" hidden="true" customHeight="false" outlineLevel="1" collapsed="false">
      <c r="A165" s="11" t="s">
        <v>2245</v>
      </c>
      <c r="B165" s="53" t="str">
        <f aca="false">IF(INDEX(Prod_Nombre,13)="","Producto 13",INDEX(Prod_Nombre,13))</f>
        <v>Producto 13</v>
      </c>
      <c r="C165" s="11" t="s">
        <v>508</v>
      </c>
      <c r="D165" s="48" t="n">
        <f aca="false">IF(cu_P=1,SUMIFS(Calculo!$F$33:$ES$33,Calculo!$F$16:$ES$16,1)*N(INDEX(OV_O,13))*INDEX(IdxOV_O,1,1)*(1+P_dMat)/(1-P_Merma),SUMIFS(Calculo!$F$189:$ES$189,Calculo!$F$172:$ES$172,1)*N(INDEX(OV_V,13))*INDEX(IdxOV_V,1,1)*(1+V_dMat)/(1-V_Merma))</f>
        <v>0</v>
      </c>
      <c r="E165" s="48" t="n">
        <f aca="false">IF(cu_P=1,SUMIFS(Calculo!$F$33:$ES$33,Calculo!$F$14:$ES$14,1)*N(INDEX(OV_O,13))*INDEX(IdxOV_O,1,1)*(1+P_dMat)/(1-P_Merma),SUMIFS(Calculo!$F$189:$ES$189,Calculo!$F$170:$ES$170,1)*N(INDEX(OV_V,13))*INDEX(IdxOV_V,1,1)*(1+V_dMat)/(1-V_Merma))</f>
        <v>0</v>
      </c>
      <c r="F165" s="48" t="n">
        <f aca="false">IF(cu_P=1,SUMIFS(Calculo!$F$33:$ES$33,Calculo!$F$14:$ES$14,2)*N(INDEX(OV_O,13))*INDEX(IdxOV_O,1,2)*(1+P_dMat)/(1-P_Merma),SUMIFS(Calculo!$F$189:$ES$189,Calculo!$F$170:$ES$170,2)*N(INDEX(OV_V,13))*INDEX(IdxOV_V,1,2)*(1+V_dMat)/(1-V_Merma))</f>
        <v>0</v>
      </c>
      <c r="G165" s="48" t="n">
        <f aca="false">IF(cu_P=1,SUMIFS(Calculo!$F$33:$ES$33,Calculo!$F$14:$ES$14,3)*N(INDEX(OV_O,13))*INDEX(IdxOV_O,1,3)*(1+P_dMat)/(1-P_Merma),SUMIFS(Calculo!$F$189:$ES$189,Calculo!$F$170:$ES$170,3)*N(INDEX(OV_V,13))*INDEX(IdxOV_V,1,3)*(1+V_dMat)/(1-V_Merma))</f>
        <v>0</v>
      </c>
      <c r="H165" s="48" t="n">
        <f aca="false">IF(cu_P=1,SUMIFS(Calculo!$F$33:$ES$33,Calculo!$F$14:$ES$14,4)*N(INDEX(OV_O,13))*INDEX(IdxOV_O,1,4)*(1+P_dMat)/(1-P_Merma),SUMIFS(Calculo!$F$189:$ES$189,Calculo!$F$170:$ES$170,4)*N(INDEX(OV_V,13))*INDEX(IdxOV_V,1,4)*(1+V_dMat)/(1-V_Merma))</f>
        <v>0</v>
      </c>
      <c r="I165" s="48" t="n">
        <f aca="false">IF(cu_P=1,SUMIFS(Calculo!$F$33:$ES$33,Calculo!$F$14:$ES$14,5)*N(INDEX(OV_O,13))*INDEX(IdxOV_O,1,5)*(1+P_dMat)/(1-P_Merma),SUMIFS(Calculo!$F$189:$ES$189,Calculo!$F$170:$ES$170,5)*N(INDEX(OV_V,13))*INDEX(IdxOV_V,1,5)*(1+V_dMat)/(1-V_Merma))</f>
        <v>0</v>
      </c>
      <c r="J165" s="48" t="n">
        <f aca="false">IF(cu_P=1,SUMIFS(Calculo!$F$33:$ES$33,Calculo!$F$14:$ES$14,6)*N(INDEX(OV_O,13))*INDEX(IdxOV_O,1,6)*(1+P_dMat)/(1-P_Merma),SUMIFS(Calculo!$F$189:$ES$189,Calculo!$F$170:$ES$170,6)*N(INDEX(OV_V,13))*INDEX(IdxOV_V,1,6)*(1+V_dMat)/(1-V_Merma))</f>
        <v>0</v>
      </c>
      <c r="K165" s="48" t="n">
        <f aca="false">IF(cu_P=1,SUMIFS(Calculo!$F$33:$ES$33,Calculo!$F$14:$ES$14,7)*N(INDEX(OV_O,13))*INDEX(IdxOV_O,1,7)*(1+P_dMat)/(1-P_Merma),SUMIFS(Calculo!$F$189:$ES$189,Calculo!$F$170:$ES$170,7)*N(INDEX(OV_V,13))*INDEX(IdxOV_V,1,7)*(1+V_dMat)/(1-V_Merma))</f>
        <v>0</v>
      </c>
      <c r="L165" s="48" t="n">
        <f aca="false">IF(cu_P=1,SUMIFS(Calculo!$F$33:$ES$33,Calculo!$F$14:$ES$14,8)*N(INDEX(OV_O,13))*INDEX(IdxOV_O,1,8)*(1+P_dMat)/(1-P_Merma),SUMIFS(Calculo!$F$189:$ES$189,Calculo!$F$170:$ES$170,8)*N(INDEX(OV_V,13))*INDEX(IdxOV_V,1,8)*(1+V_dMat)/(1-V_Merma))</f>
        <v>0</v>
      </c>
      <c r="M165" s="48" t="n">
        <f aca="false">IF(cu_P=1,SUMIFS(Calculo!$F$33:$ES$33,Calculo!$F$14:$ES$14,9)*N(INDEX(OV_O,13))*INDEX(IdxOV_O,1,9)*(1+P_dMat)/(1-P_Merma),SUMIFS(Calculo!$F$189:$ES$189,Calculo!$F$170:$ES$170,9)*N(INDEX(OV_V,13))*INDEX(IdxOV_V,1,9)*(1+V_dMat)/(1-V_Merma))</f>
        <v>0</v>
      </c>
      <c r="N165" s="48" t="n">
        <f aca="false">IF(cu_P=1,SUMIFS(Calculo!$F$33:$ES$33,Calculo!$F$14:$ES$14,10)*N(INDEX(OV_O,13))*INDEX(IdxOV_O,1,10)*(1+P_dMat)/(1-P_Merma),SUMIFS(Calculo!$F$189:$ES$189,Calculo!$F$170:$ES$170,10)*N(INDEX(OV_V,13))*INDEX(IdxOV_V,1,10)*(1+V_dMat)/(1-V_Merma))</f>
        <v>0</v>
      </c>
      <c r="O165" s="54" t="n">
        <f aca="false">SUM(D165:N165)</f>
        <v>0</v>
      </c>
    </row>
    <row r="166" customFormat="false" ht="15" hidden="true" customHeight="false" outlineLevel="1" collapsed="false">
      <c r="A166" s="11" t="s">
        <v>2246</v>
      </c>
      <c r="B166" s="15" t="s">
        <v>2087</v>
      </c>
      <c r="C166" s="11" t="s">
        <v>748</v>
      </c>
      <c r="E166" s="50" t="str">
        <f aca="false">IFERROR(IF(OR(NOT(ISNUMBER(E165)),N(E48)=0),"",E165/E48),"")</f>
        <v/>
      </c>
      <c r="F166" s="50" t="str">
        <f aca="false">IFERROR(IF(OR(NOT(ISNUMBER(F165)),N(F48)=0),"",F165/F48),"")</f>
        <v/>
      </c>
      <c r="G166" s="50" t="str">
        <f aca="false">IFERROR(IF(OR(NOT(ISNUMBER(G165)),N(G48)=0),"",G165/G48),"")</f>
        <v/>
      </c>
      <c r="H166" s="50" t="str">
        <f aca="false">IFERROR(IF(OR(NOT(ISNUMBER(H165)),N(H48)=0),"",H165/H48),"")</f>
        <v/>
      </c>
      <c r="I166" s="50" t="str">
        <f aca="false">IFERROR(IF(OR(NOT(ISNUMBER(I165)),N(I48)=0),"",I165/I48),"")</f>
        <v/>
      </c>
      <c r="J166" s="50" t="str">
        <f aca="false">IFERROR(IF(OR(NOT(ISNUMBER(J165)),N(J48)=0),"",J165/J48),"")</f>
        <v/>
      </c>
      <c r="K166" s="50" t="str">
        <f aca="false">IFERROR(IF(OR(NOT(ISNUMBER(K165)),N(K48)=0),"",K165/K48),"")</f>
        <v/>
      </c>
      <c r="L166" s="50" t="str">
        <f aca="false">IFERROR(IF(OR(NOT(ISNUMBER(L165)),N(L48)=0),"",L165/L48),"")</f>
        <v/>
      </c>
      <c r="M166" s="50" t="str">
        <f aca="false">IFERROR(IF(OR(NOT(ISNUMBER(M165)),N(M48)=0),"",M165/M48),"")</f>
        <v/>
      </c>
      <c r="N166" s="50" t="str">
        <f aca="false">IFERROR(IF(OR(NOT(ISNUMBER(N165)),N(N48)=0),"",N165/N48),"")</f>
        <v/>
      </c>
      <c r="O166" s="68" t="str">
        <f aca="false">IFERROR(IF(OR(NOT(ISNUMBER(O165)),N(O48)=0),"",O165/O48),"")</f>
        <v/>
      </c>
    </row>
    <row r="167" customFormat="false" ht="15" hidden="true" customHeight="false" outlineLevel="1" collapsed="false">
      <c r="A167" s="11" t="s">
        <v>2247</v>
      </c>
      <c r="B167" s="53" t="str">
        <f aca="false">IF(INDEX(Prod_Nombre,14)="","Producto 14",INDEX(Prod_Nombre,14))</f>
        <v>Producto 14</v>
      </c>
      <c r="C167" s="11" t="s">
        <v>508</v>
      </c>
      <c r="D167" s="48" t="n">
        <f aca="false">IF(cu_P=1,SUMIFS(Calculo!$F$34:$ES$34,Calculo!$F$16:$ES$16,1)*N(INDEX(OV_O,14))*INDEX(IdxOV_O,1,1)*(1+P_dMat)/(1-P_Merma),SUMIFS(Calculo!$F$190:$ES$190,Calculo!$F$172:$ES$172,1)*N(INDEX(OV_V,14))*INDEX(IdxOV_V,1,1)*(1+V_dMat)/(1-V_Merma))</f>
        <v>0</v>
      </c>
      <c r="E167" s="48" t="n">
        <f aca="false">IF(cu_P=1,SUMIFS(Calculo!$F$34:$ES$34,Calculo!$F$14:$ES$14,1)*N(INDEX(OV_O,14))*INDEX(IdxOV_O,1,1)*(1+P_dMat)/(1-P_Merma),SUMIFS(Calculo!$F$190:$ES$190,Calculo!$F$170:$ES$170,1)*N(INDEX(OV_V,14))*INDEX(IdxOV_V,1,1)*(1+V_dMat)/(1-V_Merma))</f>
        <v>0</v>
      </c>
      <c r="F167" s="48" t="n">
        <f aca="false">IF(cu_P=1,SUMIFS(Calculo!$F$34:$ES$34,Calculo!$F$14:$ES$14,2)*N(INDEX(OV_O,14))*INDEX(IdxOV_O,1,2)*(1+P_dMat)/(1-P_Merma),SUMIFS(Calculo!$F$190:$ES$190,Calculo!$F$170:$ES$170,2)*N(INDEX(OV_V,14))*INDEX(IdxOV_V,1,2)*(1+V_dMat)/(1-V_Merma))</f>
        <v>0</v>
      </c>
      <c r="G167" s="48" t="n">
        <f aca="false">IF(cu_P=1,SUMIFS(Calculo!$F$34:$ES$34,Calculo!$F$14:$ES$14,3)*N(INDEX(OV_O,14))*INDEX(IdxOV_O,1,3)*(1+P_dMat)/(1-P_Merma),SUMIFS(Calculo!$F$190:$ES$190,Calculo!$F$170:$ES$170,3)*N(INDEX(OV_V,14))*INDEX(IdxOV_V,1,3)*(1+V_dMat)/(1-V_Merma))</f>
        <v>0</v>
      </c>
      <c r="H167" s="48" t="n">
        <f aca="false">IF(cu_P=1,SUMIFS(Calculo!$F$34:$ES$34,Calculo!$F$14:$ES$14,4)*N(INDEX(OV_O,14))*INDEX(IdxOV_O,1,4)*(1+P_dMat)/(1-P_Merma),SUMIFS(Calculo!$F$190:$ES$190,Calculo!$F$170:$ES$170,4)*N(INDEX(OV_V,14))*INDEX(IdxOV_V,1,4)*(1+V_dMat)/(1-V_Merma))</f>
        <v>0</v>
      </c>
      <c r="I167" s="48" t="n">
        <f aca="false">IF(cu_P=1,SUMIFS(Calculo!$F$34:$ES$34,Calculo!$F$14:$ES$14,5)*N(INDEX(OV_O,14))*INDEX(IdxOV_O,1,5)*(1+P_dMat)/(1-P_Merma),SUMIFS(Calculo!$F$190:$ES$190,Calculo!$F$170:$ES$170,5)*N(INDEX(OV_V,14))*INDEX(IdxOV_V,1,5)*(1+V_dMat)/(1-V_Merma))</f>
        <v>0</v>
      </c>
      <c r="J167" s="48" t="n">
        <f aca="false">IF(cu_P=1,SUMIFS(Calculo!$F$34:$ES$34,Calculo!$F$14:$ES$14,6)*N(INDEX(OV_O,14))*INDEX(IdxOV_O,1,6)*(1+P_dMat)/(1-P_Merma),SUMIFS(Calculo!$F$190:$ES$190,Calculo!$F$170:$ES$170,6)*N(INDEX(OV_V,14))*INDEX(IdxOV_V,1,6)*(1+V_dMat)/(1-V_Merma))</f>
        <v>0</v>
      </c>
      <c r="K167" s="48" t="n">
        <f aca="false">IF(cu_P=1,SUMIFS(Calculo!$F$34:$ES$34,Calculo!$F$14:$ES$14,7)*N(INDEX(OV_O,14))*INDEX(IdxOV_O,1,7)*(1+P_dMat)/(1-P_Merma),SUMIFS(Calculo!$F$190:$ES$190,Calculo!$F$170:$ES$170,7)*N(INDEX(OV_V,14))*INDEX(IdxOV_V,1,7)*(1+V_dMat)/(1-V_Merma))</f>
        <v>0</v>
      </c>
      <c r="L167" s="48" t="n">
        <f aca="false">IF(cu_P=1,SUMIFS(Calculo!$F$34:$ES$34,Calculo!$F$14:$ES$14,8)*N(INDEX(OV_O,14))*INDEX(IdxOV_O,1,8)*(1+P_dMat)/(1-P_Merma),SUMIFS(Calculo!$F$190:$ES$190,Calculo!$F$170:$ES$170,8)*N(INDEX(OV_V,14))*INDEX(IdxOV_V,1,8)*(1+V_dMat)/(1-V_Merma))</f>
        <v>0</v>
      </c>
      <c r="M167" s="48" t="n">
        <f aca="false">IF(cu_P=1,SUMIFS(Calculo!$F$34:$ES$34,Calculo!$F$14:$ES$14,9)*N(INDEX(OV_O,14))*INDEX(IdxOV_O,1,9)*(1+P_dMat)/(1-P_Merma),SUMIFS(Calculo!$F$190:$ES$190,Calculo!$F$170:$ES$170,9)*N(INDEX(OV_V,14))*INDEX(IdxOV_V,1,9)*(1+V_dMat)/(1-V_Merma))</f>
        <v>0</v>
      </c>
      <c r="N167" s="48" t="n">
        <f aca="false">IF(cu_P=1,SUMIFS(Calculo!$F$34:$ES$34,Calculo!$F$14:$ES$14,10)*N(INDEX(OV_O,14))*INDEX(IdxOV_O,1,10)*(1+P_dMat)/(1-P_Merma),SUMIFS(Calculo!$F$190:$ES$190,Calculo!$F$170:$ES$170,10)*N(INDEX(OV_V,14))*INDEX(IdxOV_V,1,10)*(1+V_dMat)/(1-V_Merma))</f>
        <v>0</v>
      </c>
      <c r="O167" s="54" t="n">
        <f aca="false">SUM(D167:N167)</f>
        <v>0</v>
      </c>
    </row>
    <row r="168" customFormat="false" ht="15" hidden="true" customHeight="false" outlineLevel="1" collapsed="false">
      <c r="A168" s="11" t="s">
        <v>2248</v>
      </c>
      <c r="B168" s="15" t="s">
        <v>2087</v>
      </c>
      <c r="C168" s="11" t="s">
        <v>748</v>
      </c>
      <c r="E168" s="50" t="str">
        <f aca="false">IFERROR(IF(OR(NOT(ISNUMBER(E167)),N(E51)=0),"",E167/E51),"")</f>
        <v/>
      </c>
      <c r="F168" s="50" t="str">
        <f aca="false">IFERROR(IF(OR(NOT(ISNUMBER(F167)),N(F51)=0),"",F167/F51),"")</f>
        <v/>
      </c>
      <c r="G168" s="50" t="str">
        <f aca="false">IFERROR(IF(OR(NOT(ISNUMBER(G167)),N(G51)=0),"",G167/G51),"")</f>
        <v/>
      </c>
      <c r="H168" s="50" t="str">
        <f aca="false">IFERROR(IF(OR(NOT(ISNUMBER(H167)),N(H51)=0),"",H167/H51),"")</f>
        <v/>
      </c>
      <c r="I168" s="50" t="str">
        <f aca="false">IFERROR(IF(OR(NOT(ISNUMBER(I167)),N(I51)=0),"",I167/I51),"")</f>
        <v/>
      </c>
      <c r="J168" s="50" t="str">
        <f aca="false">IFERROR(IF(OR(NOT(ISNUMBER(J167)),N(J51)=0),"",J167/J51),"")</f>
        <v/>
      </c>
      <c r="K168" s="50" t="str">
        <f aca="false">IFERROR(IF(OR(NOT(ISNUMBER(K167)),N(K51)=0),"",K167/K51),"")</f>
        <v/>
      </c>
      <c r="L168" s="50" t="str">
        <f aca="false">IFERROR(IF(OR(NOT(ISNUMBER(L167)),N(L51)=0),"",L167/L51),"")</f>
        <v/>
      </c>
      <c r="M168" s="50" t="str">
        <f aca="false">IFERROR(IF(OR(NOT(ISNUMBER(M167)),N(M51)=0),"",M167/M51),"")</f>
        <v/>
      </c>
      <c r="N168" s="50" t="str">
        <f aca="false">IFERROR(IF(OR(NOT(ISNUMBER(N167)),N(N51)=0),"",N167/N51),"")</f>
        <v/>
      </c>
      <c r="O168" s="68" t="str">
        <f aca="false">IFERROR(IF(OR(NOT(ISNUMBER(O167)),N(O51)=0),"",O167/O51),"")</f>
        <v/>
      </c>
    </row>
    <row r="169" customFormat="false" ht="15" hidden="true" customHeight="false" outlineLevel="1" collapsed="false">
      <c r="A169" s="11" t="s">
        <v>2249</v>
      </c>
      <c r="B169" s="53" t="str">
        <f aca="false">IF(INDEX(Prod_Nombre,15)="","Producto 15",INDEX(Prod_Nombre,15))</f>
        <v>Producto 15</v>
      </c>
      <c r="C169" s="11" t="s">
        <v>508</v>
      </c>
      <c r="D169" s="48" t="n">
        <f aca="false">IF(cu_P=1,SUMIFS(Calculo!$F$35:$ES$35,Calculo!$F$16:$ES$16,1)*N(INDEX(OV_O,15))*INDEX(IdxOV_O,1,1)*(1+P_dMat)/(1-P_Merma),SUMIFS(Calculo!$F$191:$ES$191,Calculo!$F$172:$ES$172,1)*N(INDEX(OV_V,15))*INDEX(IdxOV_V,1,1)*(1+V_dMat)/(1-V_Merma))</f>
        <v>0</v>
      </c>
      <c r="E169" s="48" t="n">
        <f aca="false">IF(cu_P=1,SUMIFS(Calculo!$F$35:$ES$35,Calculo!$F$14:$ES$14,1)*N(INDEX(OV_O,15))*INDEX(IdxOV_O,1,1)*(1+P_dMat)/(1-P_Merma),SUMIFS(Calculo!$F$191:$ES$191,Calculo!$F$170:$ES$170,1)*N(INDEX(OV_V,15))*INDEX(IdxOV_V,1,1)*(1+V_dMat)/(1-V_Merma))</f>
        <v>0</v>
      </c>
      <c r="F169" s="48" t="n">
        <f aca="false">IF(cu_P=1,SUMIFS(Calculo!$F$35:$ES$35,Calculo!$F$14:$ES$14,2)*N(INDEX(OV_O,15))*INDEX(IdxOV_O,1,2)*(1+P_dMat)/(1-P_Merma),SUMIFS(Calculo!$F$191:$ES$191,Calculo!$F$170:$ES$170,2)*N(INDEX(OV_V,15))*INDEX(IdxOV_V,1,2)*(1+V_dMat)/(1-V_Merma))</f>
        <v>0</v>
      </c>
      <c r="G169" s="48" t="n">
        <f aca="false">IF(cu_P=1,SUMIFS(Calculo!$F$35:$ES$35,Calculo!$F$14:$ES$14,3)*N(INDEX(OV_O,15))*INDEX(IdxOV_O,1,3)*(1+P_dMat)/(1-P_Merma),SUMIFS(Calculo!$F$191:$ES$191,Calculo!$F$170:$ES$170,3)*N(INDEX(OV_V,15))*INDEX(IdxOV_V,1,3)*(1+V_dMat)/(1-V_Merma))</f>
        <v>0</v>
      </c>
      <c r="H169" s="48" t="n">
        <f aca="false">IF(cu_P=1,SUMIFS(Calculo!$F$35:$ES$35,Calculo!$F$14:$ES$14,4)*N(INDEX(OV_O,15))*INDEX(IdxOV_O,1,4)*(1+P_dMat)/(1-P_Merma),SUMIFS(Calculo!$F$191:$ES$191,Calculo!$F$170:$ES$170,4)*N(INDEX(OV_V,15))*INDEX(IdxOV_V,1,4)*(1+V_dMat)/(1-V_Merma))</f>
        <v>0</v>
      </c>
      <c r="I169" s="48" t="n">
        <f aca="false">IF(cu_P=1,SUMIFS(Calculo!$F$35:$ES$35,Calculo!$F$14:$ES$14,5)*N(INDEX(OV_O,15))*INDEX(IdxOV_O,1,5)*(1+P_dMat)/(1-P_Merma),SUMIFS(Calculo!$F$191:$ES$191,Calculo!$F$170:$ES$170,5)*N(INDEX(OV_V,15))*INDEX(IdxOV_V,1,5)*(1+V_dMat)/(1-V_Merma))</f>
        <v>0</v>
      </c>
      <c r="J169" s="48" t="n">
        <f aca="false">IF(cu_P=1,SUMIFS(Calculo!$F$35:$ES$35,Calculo!$F$14:$ES$14,6)*N(INDEX(OV_O,15))*INDEX(IdxOV_O,1,6)*(1+P_dMat)/(1-P_Merma),SUMIFS(Calculo!$F$191:$ES$191,Calculo!$F$170:$ES$170,6)*N(INDEX(OV_V,15))*INDEX(IdxOV_V,1,6)*(1+V_dMat)/(1-V_Merma))</f>
        <v>0</v>
      </c>
      <c r="K169" s="48" t="n">
        <f aca="false">IF(cu_P=1,SUMIFS(Calculo!$F$35:$ES$35,Calculo!$F$14:$ES$14,7)*N(INDEX(OV_O,15))*INDEX(IdxOV_O,1,7)*(1+P_dMat)/(1-P_Merma),SUMIFS(Calculo!$F$191:$ES$191,Calculo!$F$170:$ES$170,7)*N(INDEX(OV_V,15))*INDEX(IdxOV_V,1,7)*(1+V_dMat)/(1-V_Merma))</f>
        <v>0</v>
      </c>
      <c r="L169" s="48" t="n">
        <f aca="false">IF(cu_P=1,SUMIFS(Calculo!$F$35:$ES$35,Calculo!$F$14:$ES$14,8)*N(INDEX(OV_O,15))*INDEX(IdxOV_O,1,8)*(1+P_dMat)/(1-P_Merma),SUMIFS(Calculo!$F$191:$ES$191,Calculo!$F$170:$ES$170,8)*N(INDEX(OV_V,15))*INDEX(IdxOV_V,1,8)*(1+V_dMat)/(1-V_Merma))</f>
        <v>0</v>
      </c>
      <c r="M169" s="48" t="n">
        <f aca="false">IF(cu_P=1,SUMIFS(Calculo!$F$35:$ES$35,Calculo!$F$14:$ES$14,9)*N(INDEX(OV_O,15))*INDEX(IdxOV_O,1,9)*(1+P_dMat)/(1-P_Merma),SUMIFS(Calculo!$F$191:$ES$191,Calculo!$F$170:$ES$170,9)*N(INDEX(OV_V,15))*INDEX(IdxOV_V,1,9)*(1+V_dMat)/(1-V_Merma))</f>
        <v>0</v>
      </c>
      <c r="N169" s="48" t="n">
        <f aca="false">IF(cu_P=1,SUMIFS(Calculo!$F$35:$ES$35,Calculo!$F$14:$ES$14,10)*N(INDEX(OV_O,15))*INDEX(IdxOV_O,1,10)*(1+P_dMat)/(1-P_Merma),SUMIFS(Calculo!$F$191:$ES$191,Calculo!$F$170:$ES$170,10)*N(INDEX(OV_V,15))*INDEX(IdxOV_V,1,10)*(1+V_dMat)/(1-V_Merma))</f>
        <v>0</v>
      </c>
      <c r="O169" s="54" t="n">
        <f aca="false">SUM(D169:N169)</f>
        <v>0</v>
      </c>
    </row>
    <row r="170" customFormat="false" ht="15" hidden="true" customHeight="false" outlineLevel="1" collapsed="false">
      <c r="A170" s="11" t="s">
        <v>2250</v>
      </c>
      <c r="B170" s="15" t="s">
        <v>2087</v>
      </c>
      <c r="C170" s="11" t="s">
        <v>748</v>
      </c>
      <c r="E170" s="50" t="str">
        <f aca="false">IFERROR(IF(OR(NOT(ISNUMBER(E169)),N(E54)=0),"",E169/E54),"")</f>
        <v/>
      </c>
      <c r="F170" s="50" t="str">
        <f aca="false">IFERROR(IF(OR(NOT(ISNUMBER(F169)),N(F54)=0),"",F169/F54),"")</f>
        <v/>
      </c>
      <c r="G170" s="50" t="str">
        <f aca="false">IFERROR(IF(OR(NOT(ISNUMBER(G169)),N(G54)=0),"",G169/G54),"")</f>
        <v/>
      </c>
      <c r="H170" s="50" t="str">
        <f aca="false">IFERROR(IF(OR(NOT(ISNUMBER(H169)),N(H54)=0),"",H169/H54),"")</f>
        <v/>
      </c>
      <c r="I170" s="50" t="str">
        <f aca="false">IFERROR(IF(OR(NOT(ISNUMBER(I169)),N(I54)=0),"",I169/I54),"")</f>
        <v/>
      </c>
      <c r="J170" s="50" t="str">
        <f aca="false">IFERROR(IF(OR(NOT(ISNUMBER(J169)),N(J54)=0),"",J169/J54),"")</f>
        <v/>
      </c>
      <c r="K170" s="50" t="str">
        <f aca="false">IFERROR(IF(OR(NOT(ISNUMBER(K169)),N(K54)=0),"",K169/K54),"")</f>
        <v/>
      </c>
      <c r="L170" s="50" t="str">
        <f aca="false">IFERROR(IF(OR(NOT(ISNUMBER(L169)),N(L54)=0),"",L169/L54),"")</f>
        <v/>
      </c>
      <c r="M170" s="50" t="str">
        <f aca="false">IFERROR(IF(OR(NOT(ISNUMBER(M169)),N(M54)=0),"",M169/M54),"")</f>
        <v/>
      </c>
      <c r="N170" s="50" t="str">
        <f aca="false">IFERROR(IF(OR(NOT(ISNUMBER(N169)),N(N54)=0),"",N169/N54),"")</f>
        <v/>
      </c>
      <c r="O170" s="68" t="str">
        <f aca="false">IFERROR(IF(OR(NOT(ISNUMBER(O169)),N(O54)=0),"",O169/O54),"")</f>
        <v/>
      </c>
    </row>
    <row r="171" customFormat="false" ht="15" hidden="true" customHeight="false" outlineLevel="1" collapsed="false">
      <c r="A171" s="11" t="s">
        <v>2251</v>
      </c>
      <c r="B171" s="53" t="str">
        <f aca="false">IF(INDEX(Prod_Nombre,16)="","Producto 16",INDEX(Prod_Nombre,16))</f>
        <v>Producto 16</v>
      </c>
      <c r="C171" s="11" t="s">
        <v>508</v>
      </c>
      <c r="D171" s="48" t="n">
        <f aca="false">IF(cu_P=1,SUMIFS(Calculo!$F$36:$ES$36,Calculo!$F$16:$ES$16,1)*N(INDEX(OV_O,16))*INDEX(IdxOV_O,1,1)*(1+P_dMat)/(1-P_Merma),SUMIFS(Calculo!$F$192:$ES$192,Calculo!$F$172:$ES$172,1)*N(INDEX(OV_V,16))*INDEX(IdxOV_V,1,1)*(1+V_dMat)/(1-V_Merma))</f>
        <v>0</v>
      </c>
      <c r="E171" s="48" t="n">
        <f aca="false">IF(cu_P=1,SUMIFS(Calculo!$F$36:$ES$36,Calculo!$F$14:$ES$14,1)*N(INDEX(OV_O,16))*INDEX(IdxOV_O,1,1)*(1+P_dMat)/(1-P_Merma),SUMIFS(Calculo!$F$192:$ES$192,Calculo!$F$170:$ES$170,1)*N(INDEX(OV_V,16))*INDEX(IdxOV_V,1,1)*(1+V_dMat)/(1-V_Merma))</f>
        <v>0</v>
      </c>
      <c r="F171" s="48" t="n">
        <f aca="false">IF(cu_P=1,SUMIFS(Calculo!$F$36:$ES$36,Calculo!$F$14:$ES$14,2)*N(INDEX(OV_O,16))*INDEX(IdxOV_O,1,2)*(1+P_dMat)/(1-P_Merma),SUMIFS(Calculo!$F$192:$ES$192,Calculo!$F$170:$ES$170,2)*N(INDEX(OV_V,16))*INDEX(IdxOV_V,1,2)*(1+V_dMat)/(1-V_Merma))</f>
        <v>0</v>
      </c>
      <c r="G171" s="48" t="n">
        <f aca="false">IF(cu_P=1,SUMIFS(Calculo!$F$36:$ES$36,Calculo!$F$14:$ES$14,3)*N(INDEX(OV_O,16))*INDEX(IdxOV_O,1,3)*(1+P_dMat)/(1-P_Merma),SUMIFS(Calculo!$F$192:$ES$192,Calculo!$F$170:$ES$170,3)*N(INDEX(OV_V,16))*INDEX(IdxOV_V,1,3)*(1+V_dMat)/(1-V_Merma))</f>
        <v>0</v>
      </c>
      <c r="H171" s="48" t="n">
        <f aca="false">IF(cu_P=1,SUMIFS(Calculo!$F$36:$ES$36,Calculo!$F$14:$ES$14,4)*N(INDEX(OV_O,16))*INDEX(IdxOV_O,1,4)*(1+P_dMat)/(1-P_Merma),SUMIFS(Calculo!$F$192:$ES$192,Calculo!$F$170:$ES$170,4)*N(INDEX(OV_V,16))*INDEX(IdxOV_V,1,4)*(1+V_dMat)/(1-V_Merma))</f>
        <v>0</v>
      </c>
      <c r="I171" s="48" t="n">
        <f aca="false">IF(cu_P=1,SUMIFS(Calculo!$F$36:$ES$36,Calculo!$F$14:$ES$14,5)*N(INDEX(OV_O,16))*INDEX(IdxOV_O,1,5)*(1+P_dMat)/(1-P_Merma),SUMIFS(Calculo!$F$192:$ES$192,Calculo!$F$170:$ES$170,5)*N(INDEX(OV_V,16))*INDEX(IdxOV_V,1,5)*(1+V_dMat)/(1-V_Merma))</f>
        <v>0</v>
      </c>
      <c r="J171" s="48" t="n">
        <f aca="false">IF(cu_P=1,SUMIFS(Calculo!$F$36:$ES$36,Calculo!$F$14:$ES$14,6)*N(INDEX(OV_O,16))*INDEX(IdxOV_O,1,6)*(1+P_dMat)/(1-P_Merma),SUMIFS(Calculo!$F$192:$ES$192,Calculo!$F$170:$ES$170,6)*N(INDEX(OV_V,16))*INDEX(IdxOV_V,1,6)*(1+V_dMat)/(1-V_Merma))</f>
        <v>0</v>
      </c>
      <c r="K171" s="48" t="n">
        <f aca="false">IF(cu_P=1,SUMIFS(Calculo!$F$36:$ES$36,Calculo!$F$14:$ES$14,7)*N(INDEX(OV_O,16))*INDEX(IdxOV_O,1,7)*(1+P_dMat)/(1-P_Merma),SUMIFS(Calculo!$F$192:$ES$192,Calculo!$F$170:$ES$170,7)*N(INDEX(OV_V,16))*INDEX(IdxOV_V,1,7)*(1+V_dMat)/(1-V_Merma))</f>
        <v>0</v>
      </c>
      <c r="L171" s="48" t="n">
        <f aca="false">IF(cu_P=1,SUMIFS(Calculo!$F$36:$ES$36,Calculo!$F$14:$ES$14,8)*N(INDEX(OV_O,16))*INDEX(IdxOV_O,1,8)*(1+P_dMat)/(1-P_Merma),SUMIFS(Calculo!$F$192:$ES$192,Calculo!$F$170:$ES$170,8)*N(INDEX(OV_V,16))*INDEX(IdxOV_V,1,8)*(1+V_dMat)/(1-V_Merma))</f>
        <v>0</v>
      </c>
      <c r="M171" s="48" t="n">
        <f aca="false">IF(cu_P=1,SUMIFS(Calculo!$F$36:$ES$36,Calculo!$F$14:$ES$14,9)*N(INDEX(OV_O,16))*INDEX(IdxOV_O,1,9)*(1+P_dMat)/(1-P_Merma),SUMIFS(Calculo!$F$192:$ES$192,Calculo!$F$170:$ES$170,9)*N(INDEX(OV_V,16))*INDEX(IdxOV_V,1,9)*(1+V_dMat)/(1-V_Merma))</f>
        <v>0</v>
      </c>
      <c r="N171" s="48" t="n">
        <f aca="false">IF(cu_P=1,SUMIFS(Calculo!$F$36:$ES$36,Calculo!$F$14:$ES$14,10)*N(INDEX(OV_O,16))*INDEX(IdxOV_O,1,10)*(1+P_dMat)/(1-P_Merma),SUMIFS(Calculo!$F$192:$ES$192,Calculo!$F$170:$ES$170,10)*N(INDEX(OV_V,16))*INDEX(IdxOV_V,1,10)*(1+V_dMat)/(1-V_Merma))</f>
        <v>0</v>
      </c>
      <c r="O171" s="54" t="n">
        <f aca="false">SUM(D171:N171)</f>
        <v>0</v>
      </c>
    </row>
    <row r="172" customFormat="false" ht="15" hidden="true" customHeight="false" outlineLevel="1" collapsed="false">
      <c r="A172" s="11" t="s">
        <v>2252</v>
      </c>
      <c r="B172" s="15" t="s">
        <v>2087</v>
      </c>
      <c r="C172" s="11" t="s">
        <v>748</v>
      </c>
      <c r="E172" s="50" t="str">
        <f aca="false">IFERROR(IF(OR(NOT(ISNUMBER(E171)),N(E57)=0),"",E171/E57),"")</f>
        <v/>
      </c>
      <c r="F172" s="50" t="str">
        <f aca="false">IFERROR(IF(OR(NOT(ISNUMBER(F171)),N(F57)=0),"",F171/F57),"")</f>
        <v/>
      </c>
      <c r="G172" s="50" t="str">
        <f aca="false">IFERROR(IF(OR(NOT(ISNUMBER(G171)),N(G57)=0),"",G171/G57),"")</f>
        <v/>
      </c>
      <c r="H172" s="50" t="str">
        <f aca="false">IFERROR(IF(OR(NOT(ISNUMBER(H171)),N(H57)=0),"",H171/H57),"")</f>
        <v/>
      </c>
      <c r="I172" s="50" t="str">
        <f aca="false">IFERROR(IF(OR(NOT(ISNUMBER(I171)),N(I57)=0),"",I171/I57),"")</f>
        <v/>
      </c>
      <c r="J172" s="50" t="str">
        <f aca="false">IFERROR(IF(OR(NOT(ISNUMBER(J171)),N(J57)=0),"",J171/J57),"")</f>
        <v/>
      </c>
      <c r="K172" s="50" t="str">
        <f aca="false">IFERROR(IF(OR(NOT(ISNUMBER(K171)),N(K57)=0),"",K171/K57),"")</f>
        <v/>
      </c>
      <c r="L172" s="50" t="str">
        <f aca="false">IFERROR(IF(OR(NOT(ISNUMBER(L171)),N(L57)=0),"",L171/L57),"")</f>
        <v/>
      </c>
      <c r="M172" s="50" t="str">
        <f aca="false">IFERROR(IF(OR(NOT(ISNUMBER(M171)),N(M57)=0),"",M171/M57),"")</f>
        <v/>
      </c>
      <c r="N172" s="50" t="str">
        <f aca="false">IFERROR(IF(OR(NOT(ISNUMBER(N171)),N(N57)=0),"",N171/N57),"")</f>
        <v/>
      </c>
      <c r="O172" s="68" t="str">
        <f aca="false">IFERROR(IF(OR(NOT(ISNUMBER(O171)),N(O57)=0),"",O171/O57),"")</f>
        <v/>
      </c>
    </row>
    <row r="173" customFormat="false" ht="15" hidden="true" customHeight="false" outlineLevel="1" collapsed="false">
      <c r="A173" s="11" t="s">
        <v>2253</v>
      </c>
      <c r="B173" s="53" t="str">
        <f aca="false">IF(INDEX(Prod_Nombre,17)="","Producto 17",INDEX(Prod_Nombre,17))</f>
        <v>Producto 17</v>
      </c>
      <c r="C173" s="11" t="s">
        <v>508</v>
      </c>
      <c r="D173" s="48" t="n">
        <f aca="false">IF(cu_P=1,SUMIFS(Calculo!$F$37:$ES$37,Calculo!$F$16:$ES$16,1)*N(INDEX(OV_O,17))*INDEX(IdxOV_O,1,1)*(1+P_dMat)/(1-P_Merma),SUMIFS(Calculo!$F$193:$ES$193,Calculo!$F$172:$ES$172,1)*N(INDEX(OV_V,17))*INDEX(IdxOV_V,1,1)*(1+V_dMat)/(1-V_Merma))</f>
        <v>0</v>
      </c>
      <c r="E173" s="48" t="n">
        <f aca="false">IF(cu_P=1,SUMIFS(Calculo!$F$37:$ES$37,Calculo!$F$14:$ES$14,1)*N(INDEX(OV_O,17))*INDEX(IdxOV_O,1,1)*(1+P_dMat)/(1-P_Merma),SUMIFS(Calculo!$F$193:$ES$193,Calculo!$F$170:$ES$170,1)*N(INDEX(OV_V,17))*INDEX(IdxOV_V,1,1)*(1+V_dMat)/(1-V_Merma))</f>
        <v>0</v>
      </c>
      <c r="F173" s="48" t="n">
        <f aca="false">IF(cu_P=1,SUMIFS(Calculo!$F$37:$ES$37,Calculo!$F$14:$ES$14,2)*N(INDEX(OV_O,17))*INDEX(IdxOV_O,1,2)*(1+P_dMat)/(1-P_Merma),SUMIFS(Calculo!$F$193:$ES$193,Calculo!$F$170:$ES$170,2)*N(INDEX(OV_V,17))*INDEX(IdxOV_V,1,2)*(1+V_dMat)/(1-V_Merma))</f>
        <v>0</v>
      </c>
      <c r="G173" s="48" t="n">
        <f aca="false">IF(cu_P=1,SUMIFS(Calculo!$F$37:$ES$37,Calculo!$F$14:$ES$14,3)*N(INDEX(OV_O,17))*INDEX(IdxOV_O,1,3)*(1+P_dMat)/(1-P_Merma),SUMIFS(Calculo!$F$193:$ES$193,Calculo!$F$170:$ES$170,3)*N(INDEX(OV_V,17))*INDEX(IdxOV_V,1,3)*(1+V_dMat)/(1-V_Merma))</f>
        <v>0</v>
      </c>
      <c r="H173" s="48" t="n">
        <f aca="false">IF(cu_P=1,SUMIFS(Calculo!$F$37:$ES$37,Calculo!$F$14:$ES$14,4)*N(INDEX(OV_O,17))*INDEX(IdxOV_O,1,4)*(1+P_dMat)/(1-P_Merma),SUMIFS(Calculo!$F$193:$ES$193,Calculo!$F$170:$ES$170,4)*N(INDEX(OV_V,17))*INDEX(IdxOV_V,1,4)*(1+V_dMat)/(1-V_Merma))</f>
        <v>0</v>
      </c>
      <c r="I173" s="48" t="n">
        <f aca="false">IF(cu_P=1,SUMIFS(Calculo!$F$37:$ES$37,Calculo!$F$14:$ES$14,5)*N(INDEX(OV_O,17))*INDEX(IdxOV_O,1,5)*(1+P_dMat)/(1-P_Merma),SUMIFS(Calculo!$F$193:$ES$193,Calculo!$F$170:$ES$170,5)*N(INDEX(OV_V,17))*INDEX(IdxOV_V,1,5)*(1+V_dMat)/(1-V_Merma))</f>
        <v>0</v>
      </c>
      <c r="J173" s="48" t="n">
        <f aca="false">IF(cu_P=1,SUMIFS(Calculo!$F$37:$ES$37,Calculo!$F$14:$ES$14,6)*N(INDEX(OV_O,17))*INDEX(IdxOV_O,1,6)*(1+P_dMat)/(1-P_Merma),SUMIFS(Calculo!$F$193:$ES$193,Calculo!$F$170:$ES$170,6)*N(INDEX(OV_V,17))*INDEX(IdxOV_V,1,6)*(1+V_dMat)/(1-V_Merma))</f>
        <v>0</v>
      </c>
      <c r="K173" s="48" t="n">
        <f aca="false">IF(cu_P=1,SUMIFS(Calculo!$F$37:$ES$37,Calculo!$F$14:$ES$14,7)*N(INDEX(OV_O,17))*INDEX(IdxOV_O,1,7)*(1+P_dMat)/(1-P_Merma),SUMIFS(Calculo!$F$193:$ES$193,Calculo!$F$170:$ES$170,7)*N(INDEX(OV_V,17))*INDEX(IdxOV_V,1,7)*(1+V_dMat)/(1-V_Merma))</f>
        <v>0</v>
      </c>
      <c r="L173" s="48" t="n">
        <f aca="false">IF(cu_P=1,SUMIFS(Calculo!$F$37:$ES$37,Calculo!$F$14:$ES$14,8)*N(INDEX(OV_O,17))*INDEX(IdxOV_O,1,8)*(1+P_dMat)/(1-P_Merma),SUMIFS(Calculo!$F$193:$ES$193,Calculo!$F$170:$ES$170,8)*N(INDEX(OV_V,17))*INDEX(IdxOV_V,1,8)*(1+V_dMat)/(1-V_Merma))</f>
        <v>0</v>
      </c>
      <c r="M173" s="48" t="n">
        <f aca="false">IF(cu_P=1,SUMIFS(Calculo!$F$37:$ES$37,Calculo!$F$14:$ES$14,9)*N(INDEX(OV_O,17))*INDEX(IdxOV_O,1,9)*(1+P_dMat)/(1-P_Merma),SUMIFS(Calculo!$F$193:$ES$193,Calculo!$F$170:$ES$170,9)*N(INDEX(OV_V,17))*INDEX(IdxOV_V,1,9)*(1+V_dMat)/(1-V_Merma))</f>
        <v>0</v>
      </c>
      <c r="N173" s="48" t="n">
        <f aca="false">IF(cu_P=1,SUMIFS(Calculo!$F$37:$ES$37,Calculo!$F$14:$ES$14,10)*N(INDEX(OV_O,17))*INDEX(IdxOV_O,1,10)*(1+P_dMat)/(1-P_Merma),SUMIFS(Calculo!$F$193:$ES$193,Calculo!$F$170:$ES$170,10)*N(INDEX(OV_V,17))*INDEX(IdxOV_V,1,10)*(1+V_dMat)/(1-V_Merma))</f>
        <v>0</v>
      </c>
      <c r="O173" s="54" t="n">
        <f aca="false">SUM(D173:N173)</f>
        <v>0</v>
      </c>
    </row>
    <row r="174" customFormat="false" ht="15" hidden="true" customHeight="false" outlineLevel="1" collapsed="false">
      <c r="A174" s="11" t="s">
        <v>2254</v>
      </c>
      <c r="B174" s="15" t="s">
        <v>2087</v>
      </c>
      <c r="C174" s="11" t="s">
        <v>748</v>
      </c>
      <c r="E174" s="50" t="str">
        <f aca="false">IFERROR(IF(OR(NOT(ISNUMBER(E173)),N(E60)=0),"",E173/E60),"")</f>
        <v/>
      </c>
      <c r="F174" s="50" t="str">
        <f aca="false">IFERROR(IF(OR(NOT(ISNUMBER(F173)),N(F60)=0),"",F173/F60),"")</f>
        <v/>
      </c>
      <c r="G174" s="50" t="str">
        <f aca="false">IFERROR(IF(OR(NOT(ISNUMBER(G173)),N(G60)=0),"",G173/G60),"")</f>
        <v/>
      </c>
      <c r="H174" s="50" t="str">
        <f aca="false">IFERROR(IF(OR(NOT(ISNUMBER(H173)),N(H60)=0),"",H173/H60),"")</f>
        <v/>
      </c>
      <c r="I174" s="50" t="str">
        <f aca="false">IFERROR(IF(OR(NOT(ISNUMBER(I173)),N(I60)=0),"",I173/I60),"")</f>
        <v/>
      </c>
      <c r="J174" s="50" t="str">
        <f aca="false">IFERROR(IF(OR(NOT(ISNUMBER(J173)),N(J60)=0),"",J173/J60),"")</f>
        <v/>
      </c>
      <c r="K174" s="50" t="str">
        <f aca="false">IFERROR(IF(OR(NOT(ISNUMBER(K173)),N(K60)=0),"",K173/K60),"")</f>
        <v/>
      </c>
      <c r="L174" s="50" t="str">
        <f aca="false">IFERROR(IF(OR(NOT(ISNUMBER(L173)),N(L60)=0),"",L173/L60),"")</f>
        <v/>
      </c>
      <c r="M174" s="50" t="str">
        <f aca="false">IFERROR(IF(OR(NOT(ISNUMBER(M173)),N(M60)=0),"",M173/M60),"")</f>
        <v/>
      </c>
      <c r="N174" s="50" t="str">
        <f aca="false">IFERROR(IF(OR(NOT(ISNUMBER(N173)),N(N60)=0),"",N173/N60),"")</f>
        <v/>
      </c>
      <c r="O174" s="68" t="str">
        <f aca="false">IFERROR(IF(OR(NOT(ISNUMBER(O173)),N(O60)=0),"",O173/O60),"")</f>
        <v/>
      </c>
    </row>
    <row r="175" customFormat="false" ht="15" hidden="true" customHeight="false" outlineLevel="1" collapsed="false">
      <c r="A175" s="11" t="s">
        <v>2255</v>
      </c>
      <c r="B175" s="53" t="str">
        <f aca="false">IF(INDEX(Prod_Nombre,18)="","Producto 18",INDEX(Prod_Nombre,18))</f>
        <v>Producto 18</v>
      </c>
      <c r="C175" s="11" t="s">
        <v>508</v>
      </c>
      <c r="D175" s="48" t="n">
        <f aca="false">IF(cu_P=1,SUMIFS(Calculo!$F$38:$ES$38,Calculo!$F$16:$ES$16,1)*N(INDEX(OV_O,18))*INDEX(IdxOV_O,1,1)*(1+P_dMat)/(1-P_Merma),SUMIFS(Calculo!$F$194:$ES$194,Calculo!$F$172:$ES$172,1)*N(INDEX(OV_V,18))*INDEX(IdxOV_V,1,1)*(1+V_dMat)/(1-V_Merma))</f>
        <v>0</v>
      </c>
      <c r="E175" s="48" t="n">
        <f aca="false">IF(cu_P=1,SUMIFS(Calculo!$F$38:$ES$38,Calculo!$F$14:$ES$14,1)*N(INDEX(OV_O,18))*INDEX(IdxOV_O,1,1)*(1+P_dMat)/(1-P_Merma),SUMIFS(Calculo!$F$194:$ES$194,Calculo!$F$170:$ES$170,1)*N(INDEX(OV_V,18))*INDEX(IdxOV_V,1,1)*(1+V_dMat)/(1-V_Merma))</f>
        <v>0</v>
      </c>
      <c r="F175" s="48" t="n">
        <f aca="false">IF(cu_P=1,SUMIFS(Calculo!$F$38:$ES$38,Calculo!$F$14:$ES$14,2)*N(INDEX(OV_O,18))*INDEX(IdxOV_O,1,2)*(1+P_dMat)/(1-P_Merma),SUMIFS(Calculo!$F$194:$ES$194,Calculo!$F$170:$ES$170,2)*N(INDEX(OV_V,18))*INDEX(IdxOV_V,1,2)*(1+V_dMat)/(1-V_Merma))</f>
        <v>0</v>
      </c>
      <c r="G175" s="48" t="n">
        <f aca="false">IF(cu_P=1,SUMIFS(Calculo!$F$38:$ES$38,Calculo!$F$14:$ES$14,3)*N(INDEX(OV_O,18))*INDEX(IdxOV_O,1,3)*(1+P_dMat)/(1-P_Merma),SUMIFS(Calculo!$F$194:$ES$194,Calculo!$F$170:$ES$170,3)*N(INDEX(OV_V,18))*INDEX(IdxOV_V,1,3)*(1+V_dMat)/(1-V_Merma))</f>
        <v>0</v>
      </c>
      <c r="H175" s="48" t="n">
        <f aca="false">IF(cu_P=1,SUMIFS(Calculo!$F$38:$ES$38,Calculo!$F$14:$ES$14,4)*N(INDEX(OV_O,18))*INDEX(IdxOV_O,1,4)*(1+P_dMat)/(1-P_Merma),SUMIFS(Calculo!$F$194:$ES$194,Calculo!$F$170:$ES$170,4)*N(INDEX(OV_V,18))*INDEX(IdxOV_V,1,4)*(1+V_dMat)/(1-V_Merma))</f>
        <v>0</v>
      </c>
      <c r="I175" s="48" t="n">
        <f aca="false">IF(cu_P=1,SUMIFS(Calculo!$F$38:$ES$38,Calculo!$F$14:$ES$14,5)*N(INDEX(OV_O,18))*INDEX(IdxOV_O,1,5)*(1+P_dMat)/(1-P_Merma),SUMIFS(Calculo!$F$194:$ES$194,Calculo!$F$170:$ES$170,5)*N(INDEX(OV_V,18))*INDEX(IdxOV_V,1,5)*(1+V_dMat)/(1-V_Merma))</f>
        <v>0</v>
      </c>
      <c r="J175" s="48" t="n">
        <f aca="false">IF(cu_P=1,SUMIFS(Calculo!$F$38:$ES$38,Calculo!$F$14:$ES$14,6)*N(INDEX(OV_O,18))*INDEX(IdxOV_O,1,6)*(1+P_dMat)/(1-P_Merma),SUMIFS(Calculo!$F$194:$ES$194,Calculo!$F$170:$ES$170,6)*N(INDEX(OV_V,18))*INDEX(IdxOV_V,1,6)*(1+V_dMat)/(1-V_Merma))</f>
        <v>0</v>
      </c>
      <c r="K175" s="48" t="n">
        <f aca="false">IF(cu_P=1,SUMIFS(Calculo!$F$38:$ES$38,Calculo!$F$14:$ES$14,7)*N(INDEX(OV_O,18))*INDEX(IdxOV_O,1,7)*(1+P_dMat)/(1-P_Merma),SUMIFS(Calculo!$F$194:$ES$194,Calculo!$F$170:$ES$170,7)*N(INDEX(OV_V,18))*INDEX(IdxOV_V,1,7)*(1+V_dMat)/(1-V_Merma))</f>
        <v>0</v>
      </c>
      <c r="L175" s="48" t="n">
        <f aca="false">IF(cu_P=1,SUMIFS(Calculo!$F$38:$ES$38,Calculo!$F$14:$ES$14,8)*N(INDEX(OV_O,18))*INDEX(IdxOV_O,1,8)*(1+P_dMat)/(1-P_Merma),SUMIFS(Calculo!$F$194:$ES$194,Calculo!$F$170:$ES$170,8)*N(INDEX(OV_V,18))*INDEX(IdxOV_V,1,8)*(1+V_dMat)/(1-V_Merma))</f>
        <v>0</v>
      </c>
      <c r="M175" s="48" t="n">
        <f aca="false">IF(cu_P=1,SUMIFS(Calculo!$F$38:$ES$38,Calculo!$F$14:$ES$14,9)*N(INDEX(OV_O,18))*INDEX(IdxOV_O,1,9)*(1+P_dMat)/(1-P_Merma),SUMIFS(Calculo!$F$194:$ES$194,Calculo!$F$170:$ES$170,9)*N(INDEX(OV_V,18))*INDEX(IdxOV_V,1,9)*(1+V_dMat)/(1-V_Merma))</f>
        <v>0</v>
      </c>
      <c r="N175" s="48" t="n">
        <f aca="false">IF(cu_P=1,SUMIFS(Calculo!$F$38:$ES$38,Calculo!$F$14:$ES$14,10)*N(INDEX(OV_O,18))*INDEX(IdxOV_O,1,10)*(1+P_dMat)/(1-P_Merma),SUMIFS(Calculo!$F$194:$ES$194,Calculo!$F$170:$ES$170,10)*N(INDEX(OV_V,18))*INDEX(IdxOV_V,1,10)*(1+V_dMat)/(1-V_Merma))</f>
        <v>0</v>
      </c>
      <c r="O175" s="54" t="n">
        <f aca="false">SUM(D175:N175)</f>
        <v>0</v>
      </c>
    </row>
    <row r="176" customFormat="false" ht="15" hidden="true" customHeight="false" outlineLevel="1" collapsed="false">
      <c r="A176" s="11" t="s">
        <v>2256</v>
      </c>
      <c r="B176" s="15" t="s">
        <v>2087</v>
      </c>
      <c r="C176" s="11" t="s">
        <v>748</v>
      </c>
      <c r="E176" s="50" t="str">
        <f aca="false">IFERROR(IF(OR(NOT(ISNUMBER(E175)),N(E63)=0),"",E175/E63),"")</f>
        <v/>
      </c>
      <c r="F176" s="50" t="str">
        <f aca="false">IFERROR(IF(OR(NOT(ISNUMBER(F175)),N(F63)=0),"",F175/F63),"")</f>
        <v/>
      </c>
      <c r="G176" s="50" t="str">
        <f aca="false">IFERROR(IF(OR(NOT(ISNUMBER(G175)),N(G63)=0),"",G175/G63),"")</f>
        <v/>
      </c>
      <c r="H176" s="50" t="str">
        <f aca="false">IFERROR(IF(OR(NOT(ISNUMBER(H175)),N(H63)=0),"",H175/H63),"")</f>
        <v/>
      </c>
      <c r="I176" s="50" t="str">
        <f aca="false">IFERROR(IF(OR(NOT(ISNUMBER(I175)),N(I63)=0),"",I175/I63),"")</f>
        <v/>
      </c>
      <c r="J176" s="50" t="str">
        <f aca="false">IFERROR(IF(OR(NOT(ISNUMBER(J175)),N(J63)=0),"",J175/J63),"")</f>
        <v/>
      </c>
      <c r="K176" s="50" t="str">
        <f aca="false">IFERROR(IF(OR(NOT(ISNUMBER(K175)),N(K63)=0),"",K175/K63),"")</f>
        <v/>
      </c>
      <c r="L176" s="50" t="str">
        <f aca="false">IFERROR(IF(OR(NOT(ISNUMBER(L175)),N(L63)=0),"",L175/L63),"")</f>
        <v/>
      </c>
      <c r="M176" s="50" t="str">
        <f aca="false">IFERROR(IF(OR(NOT(ISNUMBER(M175)),N(M63)=0),"",M175/M63),"")</f>
        <v/>
      </c>
      <c r="N176" s="50" t="str">
        <f aca="false">IFERROR(IF(OR(NOT(ISNUMBER(N175)),N(N63)=0),"",N175/N63),"")</f>
        <v/>
      </c>
      <c r="O176" s="68" t="str">
        <f aca="false">IFERROR(IF(OR(NOT(ISNUMBER(O175)),N(O63)=0),"",O175/O63),"")</f>
        <v/>
      </c>
    </row>
    <row r="177" customFormat="false" ht="15" hidden="true" customHeight="false" outlineLevel="1" collapsed="false">
      <c r="A177" s="11" t="s">
        <v>2257</v>
      </c>
      <c r="B177" s="53" t="str">
        <f aca="false">IF(INDEX(Prod_Nombre,19)="","Producto 19",INDEX(Prod_Nombre,19))</f>
        <v>Producto 19</v>
      </c>
      <c r="C177" s="11" t="s">
        <v>508</v>
      </c>
      <c r="D177" s="48" t="n">
        <f aca="false">IF(cu_P=1,SUMIFS(Calculo!$F$39:$ES$39,Calculo!$F$16:$ES$16,1)*N(INDEX(OV_O,19))*INDEX(IdxOV_O,1,1)*(1+P_dMat)/(1-P_Merma),SUMIFS(Calculo!$F$195:$ES$195,Calculo!$F$172:$ES$172,1)*N(INDEX(OV_V,19))*INDEX(IdxOV_V,1,1)*(1+V_dMat)/(1-V_Merma))</f>
        <v>0</v>
      </c>
      <c r="E177" s="48" t="n">
        <f aca="false">IF(cu_P=1,SUMIFS(Calculo!$F$39:$ES$39,Calculo!$F$14:$ES$14,1)*N(INDEX(OV_O,19))*INDEX(IdxOV_O,1,1)*(1+P_dMat)/(1-P_Merma),SUMIFS(Calculo!$F$195:$ES$195,Calculo!$F$170:$ES$170,1)*N(INDEX(OV_V,19))*INDEX(IdxOV_V,1,1)*(1+V_dMat)/(1-V_Merma))</f>
        <v>0</v>
      </c>
      <c r="F177" s="48" t="n">
        <f aca="false">IF(cu_P=1,SUMIFS(Calculo!$F$39:$ES$39,Calculo!$F$14:$ES$14,2)*N(INDEX(OV_O,19))*INDEX(IdxOV_O,1,2)*(1+P_dMat)/(1-P_Merma),SUMIFS(Calculo!$F$195:$ES$195,Calculo!$F$170:$ES$170,2)*N(INDEX(OV_V,19))*INDEX(IdxOV_V,1,2)*(1+V_dMat)/(1-V_Merma))</f>
        <v>0</v>
      </c>
      <c r="G177" s="48" t="n">
        <f aca="false">IF(cu_P=1,SUMIFS(Calculo!$F$39:$ES$39,Calculo!$F$14:$ES$14,3)*N(INDEX(OV_O,19))*INDEX(IdxOV_O,1,3)*(1+P_dMat)/(1-P_Merma),SUMIFS(Calculo!$F$195:$ES$195,Calculo!$F$170:$ES$170,3)*N(INDEX(OV_V,19))*INDEX(IdxOV_V,1,3)*(1+V_dMat)/(1-V_Merma))</f>
        <v>0</v>
      </c>
      <c r="H177" s="48" t="n">
        <f aca="false">IF(cu_P=1,SUMIFS(Calculo!$F$39:$ES$39,Calculo!$F$14:$ES$14,4)*N(INDEX(OV_O,19))*INDEX(IdxOV_O,1,4)*(1+P_dMat)/(1-P_Merma),SUMIFS(Calculo!$F$195:$ES$195,Calculo!$F$170:$ES$170,4)*N(INDEX(OV_V,19))*INDEX(IdxOV_V,1,4)*(1+V_dMat)/(1-V_Merma))</f>
        <v>0</v>
      </c>
      <c r="I177" s="48" t="n">
        <f aca="false">IF(cu_P=1,SUMIFS(Calculo!$F$39:$ES$39,Calculo!$F$14:$ES$14,5)*N(INDEX(OV_O,19))*INDEX(IdxOV_O,1,5)*(1+P_dMat)/(1-P_Merma),SUMIFS(Calculo!$F$195:$ES$195,Calculo!$F$170:$ES$170,5)*N(INDEX(OV_V,19))*INDEX(IdxOV_V,1,5)*(1+V_dMat)/(1-V_Merma))</f>
        <v>0</v>
      </c>
      <c r="J177" s="48" t="n">
        <f aca="false">IF(cu_P=1,SUMIFS(Calculo!$F$39:$ES$39,Calculo!$F$14:$ES$14,6)*N(INDEX(OV_O,19))*INDEX(IdxOV_O,1,6)*(1+P_dMat)/(1-P_Merma),SUMIFS(Calculo!$F$195:$ES$195,Calculo!$F$170:$ES$170,6)*N(INDEX(OV_V,19))*INDEX(IdxOV_V,1,6)*(1+V_dMat)/(1-V_Merma))</f>
        <v>0</v>
      </c>
      <c r="K177" s="48" t="n">
        <f aca="false">IF(cu_P=1,SUMIFS(Calculo!$F$39:$ES$39,Calculo!$F$14:$ES$14,7)*N(INDEX(OV_O,19))*INDEX(IdxOV_O,1,7)*(1+P_dMat)/(1-P_Merma),SUMIFS(Calculo!$F$195:$ES$195,Calculo!$F$170:$ES$170,7)*N(INDEX(OV_V,19))*INDEX(IdxOV_V,1,7)*(1+V_dMat)/(1-V_Merma))</f>
        <v>0</v>
      </c>
      <c r="L177" s="48" t="n">
        <f aca="false">IF(cu_P=1,SUMIFS(Calculo!$F$39:$ES$39,Calculo!$F$14:$ES$14,8)*N(INDEX(OV_O,19))*INDEX(IdxOV_O,1,8)*(1+P_dMat)/(1-P_Merma),SUMIFS(Calculo!$F$195:$ES$195,Calculo!$F$170:$ES$170,8)*N(INDEX(OV_V,19))*INDEX(IdxOV_V,1,8)*(1+V_dMat)/(1-V_Merma))</f>
        <v>0</v>
      </c>
      <c r="M177" s="48" t="n">
        <f aca="false">IF(cu_P=1,SUMIFS(Calculo!$F$39:$ES$39,Calculo!$F$14:$ES$14,9)*N(INDEX(OV_O,19))*INDEX(IdxOV_O,1,9)*(1+P_dMat)/(1-P_Merma),SUMIFS(Calculo!$F$195:$ES$195,Calculo!$F$170:$ES$170,9)*N(INDEX(OV_V,19))*INDEX(IdxOV_V,1,9)*(1+V_dMat)/(1-V_Merma))</f>
        <v>0</v>
      </c>
      <c r="N177" s="48" t="n">
        <f aca="false">IF(cu_P=1,SUMIFS(Calculo!$F$39:$ES$39,Calculo!$F$14:$ES$14,10)*N(INDEX(OV_O,19))*INDEX(IdxOV_O,1,10)*(1+P_dMat)/(1-P_Merma),SUMIFS(Calculo!$F$195:$ES$195,Calculo!$F$170:$ES$170,10)*N(INDEX(OV_V,19))*INDEX(IdxOV_V,1,10)*(1+V_dMat)/(1-V_Merma))</f>
        <v>0</v>
      </c>
      <c r="O177" s="54" t="n">
        <f aca="false">SUM(D177:N177)</f>
        <v>0</v>
      </c>
    </row>
    <row r="178" customFormat="false" ht="15" hidden="true" customHeight="false" outlineLevel="1" collapsed="false">
      <c r="A178" s="11" t="s">
        <v>2258</v>
      </c>
      <c r="B178" s="15" t="s">
        <v>2087</v>
      </c>
      <c r="C178" s="11" t="s">
        <v>748</v>
      </c>
      <c r="E178" s="50" t="str">
        <f aca="false">IFERROR(IF(OR(NOT(ISNUMBER(E177)),N(E66)=0),"",E177/E66),"")</f>
        <v/>
      </c>
      <c r="F178" s="50" t="str">
        <f aca="false">IFERROR(IF(OR(NOT(ISNUMBER(F177)),N(F66)=0),"",F177/F66),"")</f>
        <v/>
      </c>
      <c r="G178" s="50" t="str">
        <f aca="false">IFERROR(IF(OR(NOT(ISNUMBER(G177)),N(G66)=0),"",G177/G66),"")</f>
        <v/>
      </c>
      <c r="H178" s="50" t="str">
        <f aca="false">IFERROR(IF(OR(NOT(ISNUMBER(H177)),N(H66)=0),"",H177/H66),"")</f>
        <v/>
      </c>
      <c r="I178" s="50" t="str">
        <f aca="false">IFERROR(IF(OR(NOT(ISNUMBER(I177)),N(I66)=0),"",I177/I66),"")</f>
        <v/>
      </c>
      <c r="J178" s="50" t="str">
        <f aca="false">IFERROR(IF(OR(NOT(ISNUMBER(J177)),N(J66)=0),"",J177/J66),"")</f>
        <v/>
      </c>
      <c r="K178" s="50" t="str">
        <f aca="false">IFERROR(IF(OR(NOT(ISNUMBER(K177)),N(K66)=0),"",K177/K66),"")</f>
        <v/>
      </c>
      <c r="L178" s="50" t="str">
        <f aca="false">IFERROR(IF(OR(NOT(ISNUMBER(L177)),N(L66)=0),"",L177/L66),"")</f>
        <v/>
      </c>
      <c r="M178" s="50" t="str">
        <f aca="false">IFERROR(IF(OR(NOT(ISNUMBER(M177)),N(M66)=0),"",M177/M66),"")</f>
        <v/>
      </c>
      <c r="N178" s="50" t="str">
        <f aca="false">IFERROR(IF(OR(NOT(ISNUMBER(N177)),N(N66)=0),"",N177/N66),"")</f>
        <v/>
      </c>
      <c r="O178" s="68" t="str">
        <f aca="false">IFERROR(IF(OR(NOT(ISNUMBER(O177)),N(O66)=0),"",O177/O66),"")</f>
        <v/>
      </c>
    </row>
    <row r="179" customFormat="false" ht="15" hidden="true" customHeight="false" outlineLevel="1" collapsed="false">
      <c r="A179" s="11" t="s">
        <v>2259</v>
      </c>
      <c r="B179" s="53" t="str">
        <f aca="false">IF(INDEX(Prod_Nombre,20)="","Producto 20",INDEX(Prod_Nombre,20))</f>
        <v>Producto 20</v>
      </c>
      <c r="C179" s="11" t="s">
        <v>508</v>
      </c>
      <c r="D179" s="48" t="n">
        <f aca="false">IF(cu_P=1,SUMIFS(Calculo!$F$40:$ES$40,Calculo!$F$16:$ES$16,1)*N(INDEX(OV_O,20))*INDEX(IdxOV_O,1,1)*(1+P_dMat)/(1-P_Merma),SUMIFS(Calculo!$F$196:$ES$196,Calculo!$F$172:$ES$172,1)*N(INDEX(OV_V,20))*INDEX(IdxOV_V,1,1)*(1+V_dMat)/(1-V_Merma))</f>
        <v>0</v>
      </c>
      <c r="E179" s="48" t="n">
        <f aca="false">IF(cu_P=1,SUMIFS(Calculo!$F$40:$ES$40,Calculo!$F$14:$ES$14,1)*N(INDEX(OV_O,20))*INDEX(IdxOV_O,1,1)*(1+P_dMat)/(1-P_Merma),SUMIFS(Calculo!$F$196:$ES$196,Calculo!$F$170:$ES$170,1)*N(INDEX(OV_V,20))*INDEX(IdxOV_V,1,1)*(1+V_dMat)/(1-V_Merma))</f>
        <v>0</v>
      </c>
      <c r="F179" s="48" t="n">
        <f aca="false">IF(cu_P=1,SUMIFS(Calculo!$F$40:$ES$40,Calculo!$F$14:$ES$14,2)*N(INDEX(OV_O,20))*INDEX(IdxOV_O,1,2)*(1+P_dMat)/(1-P_Merma),SUMIFS(Calculo!$F$196:$ES$196,Calculo!$F$170:$ES$170,2)*N(INDEX(OV_V,20))*INDEX(IdxOV_V,1,2)*(1+V_dMat)/(1-V_Merma))</f>
        <v>0</v>
      </c>
      <c r="G179" s="48" t="n">
        <f aca="false">IF(cu_P=1,SUMIFS(Calculo!$F$40:$ES$40,Calculo!$F$14:$ES$14,3)*N(INDEX(OV_O,20))*INDEX(IdxOV_O,1,3)*(1+P_dMat)/(1-P_Merma),SUMIFS(Calculo!$F$196:$ES$196,Calculo!$F$170:$ES$170,3)*N(INDEX(OV_V,20))*INDEX(IdxOV_V,1,3)*(1+V_dMat)/(1-V_Merma))</f>
        <v>0</v>
      </c>
      <c r="H179" s="48" t="n">
        <f aca="false">IF(cu_P=1,SUMIFS(Calculo!$F$40:$ES$40,Calculo!$F$14:$ES$14,4)*N(INDEX(OV_O,20))*INDEX(IdxOV_O,1,4)*(1+P_dMat)/(1-P_Merma),SUMIFS(Calculo!$F$196:$ES$196,Calculo!$F$170:$ES$170,4)*N(INDEX(OV_V,20))*INDEX(IdxOV_V,1,4)*(1+V_dMat)/(1-V_Merma))</f>
        <v>0</v>
      </c>
      <c r="I179" s="48" t="n">
        <f aca="false">IF(cu_P=1,SUMIFS(Calculo!$F$40:$ES$40,Calculo!$F$14:$ES$14,5)*N(INDEX(OV_O,20))*INDEX(IdxOV_O,1,5)*(1+P_dMat)/(1-P_Merma),SUMIFS(Calculo!$F$196:$ES$196,Calculo!$F$170:$ES$170,5)*N(INDEX(OV_V,20))*INDEX(IdxOV_V,1,5)*(1+V_dMat)/(1-V_Merma))</f>
        <v>0</v>
      </c>
      <c r="J179" s="48" t="n">
        <f aca="false">IF(cu_P=1,SUMIFS(Calculo!$F$40:$ES$40,Calculo!$F$14:$ES$14,6)*N(INDEX(OV_O,20))*INDEX(IdxOV_O,1,6)*(1+P_dMat)/(1-P_Merma),SUMIFS(Calculo!$F$196:$ES$196,Calculo!$F$170:$ES$170,6)*N(INDEX(OV_V,20))*INDEX(IdxOV_V,1,6)*(1+V_dMat)/(1-V_Merma))</f>
        <v>0</v>
      </c>
      <c r="K179" s="48" t="n">
        <f aca="false">IF(cu_P=1,SUMIFS(Calculo!$F$40:$ES$40,Calculo!$F$14:$ES$14,7)*N(INDEX(OV_O,20))*INDEX(IdxOV_O,1,7)*(1+P_dMat)/(1-P_Merma),SUMIFS(Calculo!$F$196:$ES$196,Calculo!$F$170:$ES$170,7)*N(INDEX(OV_V,20))*INDEX(IdxOV_V,1,7)*(1+V_dMat)/(1-V_Merma))</f>
        <v>0</v>
      </c>
      <c r="L179" s="48" t="n">
        <f aca="false">IF(cu_P=1,SUMIFS(Calculo!$F$40:$ES$40,Calculo!$F$14:$ES$14,8)*N(INDEX(OV_O,20))*INDEX(IdxOV_O,1,8)*(1+P_dMat)/(1-P_Merma),SUMIFS(Calculo!$F$196:$ES$196,Calculo!$F$170:$ES$170,8)*N(INDEX(OV_V,20))*INDEX(IdxOV_V,1,8)*(1+V_dMat)/(1-V_Merma))</f>
        <v>0</v>
      </c>
      <c r="M179" s="48" t="n">
        <f aca="false">IF(cu_P=1,SUMIFS(Calculo!$F$40:$ES$40,Calculo!$F$14:$ES$14,9)*N(INDEX(OV_O,20))*INDEX(IdxOV_O,1,9)*(1+P_dMat)/(1-P_Merma),SUMIFS(Calculo!$F$196:$ES$196,Calculo!$F$170:$ES$170,9)*N(INDEX(OV_V,20))*INDEX(IdxOV_V,1,9)*(1+V_dMat)/(1-V_Merma))</f>
        <v>0</v>
      </c>
      <c r="N179" s="48" t="n">
        <f aca="false">IF(cu_P=1,SUMIFS(Calculo!$F$40:$ES$40,Calculo!$F$14:$ES$14,10)*N(INDEX(OV_O,20))*INDEX(IdxOV_O,1,10)*(1+P_dMat)/(1-P_Merma),SUMIFS(Calculo!$F$196:$ES$196,Calculo!$F$170:$ES$170,10)*N(INDEX(OV_V,20))*INDEX(IdxOV_V,1,10)*(1+V_dMat)/(1-V_Merma))</f>
        <v>0</v>
      </c>
      <c r="O179" s="54" t="n">
        <f aca="false">SUM(D179:N179)</f>
        <v>0</v>
      </c>
    </row>
    <row r="180" customFormat="false" ht="15" hidden="true" customHeight="false" outlineLevel="1" collapsed="false">
      <c r="A180" s="11" t="s">
        <v>2260</v>
      </c>
      <c r="B180" s="15" t="s">
        <v>2087</v>
      </c>
      <c r="C180" s="11" t="s">
        <v>748</v>
      </c>
      <c r="E180" s="50" t="str">
        <f aca="false">IFERROR(IF(OR(NOT(ISNUMBER(E179)),N(E69)=0),"",E179/E69),"")</f>
        <v/>
      </c>
      <c r="F180" s="50" t="str">
        <f aca="false">IFERROR(IF(OR(NOT(ISNUMBER(F179)),N(F69)=0),"",F179/F69),"")</f>
        <v/>
      </c>
      <c r="G180" s="50" t="str">
        <f aca="false">IFERROR(IF(OR(NOT(ISNUMBER(G179)),N(G69)=0),"",G179/G69),"")</f>
        <v/>
      </c>
      <c r="H180" s="50" t="str">
        <f aca="false">IFERROR(IF(OR(NOT(ISNUMBER(H179)),N(H69)=0),"",H179/H69),"")</f>
        <v/>
      </c>
      <c r="I180" s="50" t="str">
        <f aca="false">IFERROR(IF(OR(NOT(ISNUMBER(I179)),N(I69)=0),"",I179/I69),"")</f>
        <v/>
      </c>
      <c r="J180" s="50" t="str">
        <f aca="false">IFERROR(IF(OR(NOT(ISNUMBER(J179)),N(J69)=0),"",J179/J69),"")</f>
        <v/>
      </c>
      <c r="K180" s="50" t="str">
        <f aca="false">IFERROR(IF(OR(NOT(ISNUMBER(K179)),N(K69)=0),"",K179/K69),"")</f>
        <v/>
      </c>
      <c r="L180" s="50" t="str">
        <f aca="false">IFERROR(IF(OR(NOT(ISNUMBER(L179)),N(L69)=0),"",L179/L69),"")</f>
        <v/>
      </c>
      <c r="M180" s="50" t="str">
        <f aca="false">IFERROR(IF(OR(NOT(ISNUMBER(M179)),N(M69)=0),"",M179/M69),"")</f>
        <v/>
      </c>
      <c r="N180" s="50" t="str">
        <f aca="false">IFERROR(IF(OR(NOT(ISNUMBER(N179)),N(N69)=0),"",N179/N69),"")</f>
        <v/>
      </c>
      <c r="O180" s="68" t="str">
        <f aca="false">IFERROR(IF(OR(NOT(ISNUMBER(O179)),N(O69)=0),"",O179/O69),"")</f>
        <v/>
      </c>
    </row>
    <row r="181" customFormat="false" ht="15" hidden="true" customHeight="false" outlineLevel="1" collapsed="false">
      <c r="A181" s="11" t="s">
        <v>2261</v>
      </c>
      <c r="B181" s="53" t="str">
        <f aca="false">IF(INDEX(Prod_Nombre,21)="","Producto 21",INDEX(Prod_Nombre,21))</f>
        <v>Producto 21</v>
      </c>
      <c r="C181" s="11" t="s">
        <v>508</v>
      </c>
      <c r="D181" s="48" t="n">
        <f aca="false">IF(cu_P=1,SUMIFS(Calculo!$F$41:$ES$41,Calculo!$F$16:$ES$16,1)*N(INDEX(OV_O,21))*INDEX(IdxOV_O,1,1)*(1+P_dMat)/(1-P_Merma),SUMIFS(Calculo!$F$197:$ES$197,Calculo!$F$172:$ES$172,1)*N(INDEX(OV_V,21))*INDEX(IdxOV_V,1,1)*(1+V_dMat)/(1-V_Merma))</f>
        <v>0</v>
      </c>
      <c r="E181" s="48" t="n">
        <f aca="false">IF(cu_P=1,SUMIFS(Calculo!$F$41:$ES$41,Calculo!$F$14:$ES$14,1)*N(INDEX(OV_O,21))*INDEX(IdxOV_O,1,1)*(1+P_dMat)/(1-P_Merma),SUMIFS(Calculo!$F$197:$ES$197,Calculo!$F$170:$ES$170,1)*N(INDEX(OV_V,21))*INDEX(IdxOV_V,1,1)*(1+V_dMat)/(1-V_Merma))</f>
        <v>0</v>
      </c>
      <c r="F181" s="48" t="n">
        <f aca="false">IF(cu_P=1,SUMIFS(Calculo!$F$41:$ES$41,Calculo!$F$14:$ES$14,2)*N(INDEX(OV_O,21))*INDEX(IdxOV_O,1,2)*(1+P_dMat)/(1-P_Merma),SUMIFS(Calculo!$F$197:$ES$197,Calculo!$F$170:$ES$170,2)*N(INDEX(OV_V,21))*INDEX(IdxOV_V,1,2)*(1+V_dMat)/(1-V_Merma))</f>
        <v>0</v>
      </c>
      <c r="G181" s="48" t="n">
        <f aca="false">IF(cu_P=1,SUMIFS(Calculo!$F$41:$ES$41,Calculo!$F$14:$ES$14,3)*N(INDEX(OV_O,21))*INDEX(IdxOV_O,1,3)*(1+P_dMat)/(1-P_Merma),SUMIFS(Calculo!$F$197:$ES$197,Calculo!$F$170:$ES$170,3)*N(INDEX(OV_V,21))*INDEX(IdxOV_V,1,3)*(1+V_dMat)/(1-V_Merma))</f>
        <v>0</v>
      </c>
      <c r="H181" s="48" t="n">
        <f aca="false">IF(cu_P=1,SUMIFS(Calculo!$F$41:$ES$41,Calculo!$F$14:$ES$14,4)*N(INDEX(OV_O,21))*INDEX(IdxOV_O,1,4)*(1+P_dMat)/(1-P_Merma),SUMIFS(Calculo!$F$197:$ES$197,Calculo!$F$170:$ES$170,4)*N(INDEX(OV_V,21))*INDEX(IdxOV_V,1,4)*(1+V_dMat)/(1-V_Merma))</f>
        <v>0</v>
      </c>
      <c r="I181" s="48" t="n">
        <f aca="false">IF(cu_P=1,SUMIFS(Calculo!$F$41:$ES$41,Calculo!$F$14:$ES$14,5)*N(INDEX(OV_O,21))*INDEX(IdxOV_O,1,5)*(1+P_dMat)/(1-P_Merma),SUMIFS(Calculo!$F$197:$ES$197,Calculo!$F$170:$ES$170,5)*N(INDEX(OV_V,21))*INDEX(IdxOV_V,1,5)*(1+V_dMat)/(1-V_Merma))</f>
        <v>0</v>
      </c>
      <c r="J181" s="48" t="n">
        <f aca="false">IF(cu_P=1,SUMIFS(Calculo!$F$41:$ES$41,Calculo!$F$14:$ES$14,6)*N(INDEX(OV_O,21))*INDEX(IdxOV_O,1,6)*(1+P_dMat)/(1-P_Merma),SUMIFS(Calculo!$F$197:$ES$197,Calculo!$F$170:$ES$170,6)*N(INDEX(OV_V,21))*INDEX(IdxOV_V,1,6)*(1+V_dMat)/(1-V_Merma))</f>
        <v>0</v>
      </c>
      <c r="K181" s="48" t="n">
        <f aca="false">IF(cu_P=1,SUMIFS(Calculo!$F$41:$ES$41,Calculo!$F$14:$ES$14,7)*N(INDEX(OV_O,21))*INDEX(IdxOV_O,1,7)*(1+P_dMat)/(1-P_Merma),SUMIFS(Calculo!$F$197:$ES$197,Calculo!$F$170:$ES$170,7)*N(INDEX(OV_V,21))*INDEX(IdxOV_V,1,7)*(1+V_dMat)/(1-V_Merma))</f>
        <v>0</v>
      </c>
      <c r="L181" s="48" t="n">
        <f aca="false">IF(cu_P=1,SUMIFS(Calculo!$F$41:$ES$41,Calculo!$F$14:$ES$14,8)*N(INDEX(OV_O,21))*INDEX(IdxOV_O,1,8)*(1+P_dMat)/(1-P_Merma),SUMIFS(Calculo!$F$197:$ES$197,Calculo!$F$170:$ES$170,8)*N(INDEX(OV_V,21))*INDEX(IdxOV_V,1,8)*(1+V_dMat)/(1-V_Merma))</f>
        <v>0</v>
      </c>
      <c r="M181" s="48" t="n">
        <f aca="false">IF(cu_P=1,SUMIFS(Calculo!$F$41:$ES$41,Calculo!$F$14:$ES$14,9)*N(INDEX(OV_O,21))*INDEX(IdxOV_O,1,9)*(1+P_dMat)/(1-P_Merma),SUMIFS(Calculo!$F$197:$ES$197,Calculo!$F$170:$ES$170,9)*N(INDEX(OV_V,21))*INDEX(IdxOV_V,1,9)*(1+V_dMat)/(1-V_Merma))</f>
        <v>0</v>
      </c>
      <c r="N181" s="48" t="n">
        <f aca="false">IF(cu_P=1,SUMIFS(Calculo!$F$41:$ES$41,Calculo!$F$14:$ES$14,10)*N(INDEX(OV_O,21))*INDEX(IdxOV_O,1,10)*(1+P_dMat)/(1-P_Merma),SUMIFS(Calculo!$F$197:$ES$197,Calculo!$F$170:$ES$170,10)*N(INDEX(OV_V,21))*INDEX(IdxOV_V,1,10)*(1+V_dMat)/(1-V_Merma))</f>
        <v>0</v>
      </c>
      <c r="O181" s="54" t="n">
        <f aca="false">SUM(D181:N181)</f>
        <v>0</v>
      </c>
    </row>
    <row r="182" customFormat="false" ht="15" hidden="true" customHeight="false" outlineLevel="1" collapsed="false">
      <c r="A182" s="11" t="s">
        <v>2262</v>
      </c>
      <c r="B182" s="15" t="s">
        <v>2087</v>
      </c>
      <c r="C182" s="11" t="s">
        <v>748</v>
      </c>
      <c r="E182" s="50" t="str">
        <f aca="false">IFERROR(IF(OR(NOT(ISNUMBER(E181)),N(E72)=0),"",E181/E72),"")</f>
        <v/>
      </c>
      <c r="F182" s="50" t="str">
        <f aca="false">IFERROR(IF(OR(NOT(ISNUMBER(F181)),N(F72)=0),"",F181/F72),"")</f>
        <v/>
      </c>
      <c r="G182" s="50" t="str">
        <f aca="false">IFERROR(IF(OR(NOT(ISNUMBER(G181)),N(G72)=0),"",G181/G72),"")</f>
        <v/>
      </c>
      <c r="H182" s="50" t="str">
        <f aca="false">IFERROR(IF(OR(NOT(ISNUMBER(H181)),N(H72)=0),"",H181/H72),"")</f>
        <v/>
      </c>
      <c r="I182" s="50" t="str">
        <f aca="false">IFERROR(IF(OR(NOT(ISNUMBER(I181)),N(I72)=0),"",I181/I72),"")</f>
        <v/>
      </c>
      <c r="J182" s="50" t="str">
        <f aca="false">IFERROR(IF(OR(NOT(ISNUMBER(J181)),N(J72)=0),"",J181/J72),"")</f>
        <v/>
      </c>
      <c r="K182" s="50" t="str">
        <f aca="false">IFERROR(IF(OR(NOT(ISNUMBER(K181)),N(K72)=0),"",K181/K72),"")</f>
        <v/>
      </c>
      <c r="L182" s="50" t="str">
        <f aca="false">IFERROR(IF(OR(NOT(ISNUMBER(L181)),N(L72)=0),"",L181/L72),"")</f>
        <v/>
      </c>
      <c r="M182" s="50" t="str">
        <f aca="false">IFERROR(IF(OR(NOT(ISNUMBER(M181)),N(M72)=0),"",M181/M72),"")</f>
        <v/>
      </c>
      <c r="N182" s="50" t="str">
        <f aca="false">IFERROR(IF(OR(NOT(ISNUMBER(N181)),N(N72)=0),"",N181/N72),"")</f>
        <v/>
      </c>
      <c r="O182" s="68" t="str">
        <f aca="false">IFERROR(IF(OR(NOT(ISNUMBER(O181)),N(O72)=0),"",O181/O72),"")</f>
        <v/>
      </c>
    </row>
    <row r="183" customFormat="false" ht="15" hidden="true" customHeight="false" outlineLevel="1" collapsed="false">
      <c r="A183" s="11" t="s">
        <v>2263</v>
      </c>
      <c r="B183" s="53" t="str">
        <f aca="false">IF(INDEX(Prod_Nombre,22)="","Producto 22",INDEX(Prod_Nombre,22))</f>
        <v>Producto 22</v>
      </c>
      <c r="C183" s="11" t="s">
        <v>508</v>
      </c>
      <c r="D183" s="48" t="n">
        <f aca="false">IF(cu_P=1,SUMIFS(Calculo!$F$42:$ES$42,Calculo!$F$16:$ES$16,1)*N(INDEX(OV_O,22))*INDEX(IdxOV_O,1,1)*(1+P_dMat)/(1-P_Merma),SUMIFS(Calculo!$F$198:$ES$198,Calculo!$F$172:$ES$172,1)*N(INDEX(OV_V,22))*INDEX(IdxOV_V,1,1)*(1+V_dMat)/(1-V_Merma))</f>
        <v>0</v>
      </c>
      <c r="E183" s="48" t="n">
        <f aca="false">IF(cu_P=1,SUMIFS(Calculo!$F$42:$ES$42,Calculo!$F$14:$ES$14,1)*N(INDEX(OV_O,22))*INDEX(IdxOV_O,1,1)*(1+P_dMat)/(1-P_Merma),SUMIFS(Calculo!$F$198:$ES$198,Calculo!$F$170:$ES$170,1)*N(INDEX(OV_V,22))*INDEX(IdxOV_V,1,1)*(1+V_dMat)/(1-V_Merma))</f>
        <v>0</v>
      </c>
      <c r="F183" s="48" t="n">
        <f aca="false">IF(cu_P=1,SUMIFS(Calculo!$F$42:$ES$42,Calculo!$F$14:$ES$14,2)*N(INDEX(OV_O,22))*INDEX(IdxOV_O,1,2)*(1+P_dMat)/(1-P_Merma),SUMIFS(Calculo!$F$198:$ES$198,Calculo!$F$170:$ES$170,2)*N(INDEX(OV_V,22))*INDEX(IdxOV_V,1,2)*(1+V_dMat)/(1-V_Merma))</f>
        <v>0</v>
      </c>
      <c r="G183" s="48" t="n">
        <f aca="false">IF(cu_P=1,SUMIFS(Calculo!$F$42:$ES$42,Calculo!$F$14:$ES$14,3)*N(INDEX(OV_O,22))*INDEX(IdxOV_O,1,3)*(1+P_dMat)/(1-P_Merma),SUMIFS(Calculo!$F$198:$ES$198,Calculo!$F$170:$ES$170,3)*N(INDEX(OV_V,22))*INDEX(IdxOV_V,1,3)*(1+V_dMat)/(1-V_Merma))</f>
        <v>0</v>
      </c>
      <c r="H183" s="48" t="n">
        <f aca="false">IF(cu_P=1,SUMIFS(Calculo!$F$42:$ES$42,Calculo!$F$14:$ES$14,4)*N(INDEX(OV_O,22))*INDEX(IdxOV_O,1,4)*(1+P_dMat)/(1-P_Merma),SUMIFS(Calculo!$F$198:$ES$198,Calculo!$F$170:$ES$170,4)*N(INDEX(OV_V,22))*INDEX(IdxOV_V,1,4)*(1+V_dMat)/(1-V_Merma))</f>
        <v>0</v>
      </c>
      <c r="I183" s="48" t="n">
        <f aca="false">IF(cu_P=1,SUMIFS(Calculo!$F$42:$ES$42,Calculo!$F$14:$ES$14,5)*N(INDEX(OV_O,22))*INDEX(IdxOV_O,1,5)*(1+P_dMat)/(1-P_Merma),SUMIFS(Calculo!$F$198:$ES$198,Calculo!$F$170:$ES$170,5)*N(INDEX(OV_V,22))*INDEX(IdxOV_V,1,5)*(1+V_dMat)/(1-V_Merma))</f>
        <v>0</v>
      </c>
      <c r="J183" s="48" t="n">
        <f aca="false">IF(cu_P=1,SUMIFS(Calculo!$F$42:$ES$42,Calculo!$F$14:$ES$14,6)*N(INDEX(OV_O,22))*INDEX(IdxOV_O,1,6)*(1+P_dMat)/(1-P_Merma),SUMIFS(Calculo!$F$198:$ES$198,Calculo!$F$170:$ES$170,6)*N(INDEX(OV_V,22))*INDEX(IdxOV_V,1,6)*(1+V_dMat)/(1-V_Merma))</f>
        <v>0</v>
      </c>
      <c r="K183" s="48" t="n">
        <f aca="false">IF(cu_P=1,SUMIFS(Calculo!$F$42:$ES$42,Calculo!$F$14:$ES$14,7)*N(INDEX(OV_O,22))*INDEX(IdxOV_O,1,7)*(1+P_dMat)/(1-P_Merma),SUMIFS(Calculo!$F$198:$ES$198,Calculo!$F$170:$ES$170,7)*N(INDEX(OV_V,22))*INDEX(IdxOV_V,1,7)*(1+V_dMat)/(1-V_Merma))</f>
        <v>0</v>
      </c>
      <c r="L183" s="48" t="n">
        <f aca="false">IF(cu_P=1,SUMIFS(Calculo!$F$42:$ES$42,Calculo!$F$14:$ES$14,8)*N(INDEX(OV_O,22))*INDEX(IdxOV_O,1,8)*(1+P_dMat)/(1-P_Merma),SUMIFS(Calculo!$F$198:$ES$198,Calculo!$F$170:$ES$170,8)*N(INDEX(OV_V,22))*INDEX(IdxOV_V,1,8)*(1+V_dMat)/(1-V_Merma))</f>
        <v>0</v>
      </c>
      <c r="M183" s="48" t="n">
        <f aca="false">IF(cu_P=1,SUMIFS(Calculo!$F$42:$ES$42,Calculo!$F$14:$ES$14,9)*N(INDEX(OV_O,22))*INDEX(IdxOV_O,1,9)*(1+P_dMat)/(1-P_Merma),SUMIFS(Calculo!$F$198:$ES$198,Calculo!$F$170:$ES$170,9)*N(INDEX(OV_V,22))*INDEX(IdxOV_V,1,9)*(1+V_dMat)/(1-V_Merma))</f>
        <v>0</v>
      </c>
      <c r="N183" s="48" t="n">
        <f aca="false">IF(cu_P=1,SUMIFS(Calculo!$F$42:$ES$42,Calculo!$F$14:$ES$14,10)*N(INDEX(OV_O,22))*INDEX(IdxOV_O,1,10)*(1+P_dMat)/(1-P_Merma),SUMIFS(Calculo!$F$198:$ES$198,Calculo!$F$170:$ES$170,10)*N(INDEX(OV_V,22))*INDEX(IdxOV_V,1,10)*(1+V_dMat)/(1-V_Merma))</f>
        <v>0</v>
      </c>
      <c r="O183" s="54" t="n">
        <f aca="false">SUM(D183:N183)</f>
        <v>0</v>
      </c>
    </row>
    <row r="184" customFormat="false" ht="15" hidden="true" customHeight="false" outlineLevel="1" collapsed="false">
      <c r="A184" s="11" t="s">
        <v>2264</v>
      </c>
      <c r="B184" s="15" t="s">
        <v>2087</v>
      </c>
      <c r="C184" s="11" t="s">
        <v>748</v>
      </c>
      <c r="E184" s="50" t="str">
        <f aca="false">IFERROR(IF(OR(NOT(ISNUMBER(E183)),N(E75)=0),"",E183/E75),"")</f>
        <v/>
      </c>
      <c r="F184" s="50" t="str">
        <f aca="false">IFERROR(IF(OR(NOT(ISNUMBER(F183)),N(F75)=0),"",F183/F75),"")</f>
        <v/>
      </c>
      <c r="G184" s="50" t="str">
        <f aca="false">IFERROR(IF(OR(NOT(ISNUMBER(G183)),N(G75)=0),"",G183/G75),"")</f>
        <v/>
      </c>
      <c r="H184" s="50" t="str">
        <f aca="false">IFERROR(IF(OR(NOT(ISNUMBER(H183)),N(H75)=0),"",H183/H75),"")</f>
        <v/>
      </c>
      <c r="I184" s="50" t="str">
        <f aca="false">IFERROR(IF(OR(NOT(ISNUMBER(I183)),N(I75)=0),"",I183/I75),"")</f>
        <v/>
      </c>
      <c r="J184" s="50" t="str">
        <f aca="false">IFERROR(IF(OR(NOT(ISNUMBER(J183)),N(J75)=0),"",J183/J75),"")</f>
        <v/>
      </c>
      <c r="K184" s="50" t="str">
        <f aca="false">IFERROR(IF(OR(NOT(ISNUMBER(K183)),N(K75)=0),"",K183/K75),"")</f>
        <v/>
      </c>
      <c r="L184" s="50" t="str">
        <f aca="false">IFERROR(IF(OR(NOT(ISNUMBER(L183)),N(L75)=0),"",L183/L75),"")</f>
        <v/>
      </c>
      <c r="M184" s="50" t="str">
        <f aca="false">IFERROR(IF(OR(NOT(ISNUMBER(M183)),N(M75)=0),"",M183/M75),"")</f>
        <v/>
      </c>
      <c r="N184" s="50" t="str">
        <f aca="false">IFERROR(IF(OR(NOT(ISNUMBER(N183)),N(N75)=0),"",N183/N75),"")</f>
        <v/>
      </c>
      <c r="O184" s="68" t="str">
        <f aca="false">IFERROR(IF(OR(NOT(ISNUMBER(O183)),N(O75)=0),"",O183/O75),"")</f>
        <v/>
      </c>
    </row>
    <row r="185" customFormat="false" ht="15" hidden="true" customHeight="false" outlineLevel="1" collapsed="false">
      <c r="A185" s="11" t="s">
        <v>2265</v>
      </c>
      <c r="B185" s="53" t="str">
        <f aca="false">IF(INDEX(Prod_Nombre,23)="","Producto 23",INDEX(Prod_Nombre,23))</f>
        <v>Producto 23</v>
      </c>
      <c r="C185" s="11" t="s">
        <v>508</v>
      </c>
      <c r="D185" s="48" t="n">
        <f aca="false">IF(cu_P=1,SUMIFS(Calculo!$F$43:$ES$43,Calculo!$F$16:$ES$16,1)*N(INDEX(OV_O,23))*INDEX(IdxOV_O,1,1)*(1+P_dMat)/(1-P_Merma),SUMIFS(Calculo!$F$199:$ES$199,Calculo!$F$172:$ES$172,1)*N(INDEX(OV_V,23))*INDEX(IdxOV_V,1,1)*(1+V_dMat)/(1-V_Merma))</f>
        <v>0</v>
      </c>
      <c r="E185" s="48" t="n">
        <f aca="false">IF(cu_P=1,SUMIFS(Calculo!$F$43:$ES$43,Calculo!$F$14:$ES$14,1)*N(INDEX(OV_O,23))*INDEX(IdxOV_O,1,1)*(1+P_dMat)/(1-P_Merma),SUMIFS(Calculo!$F$199:$ES$199,Calculo!$F$170:$ES$170,1)*N(INDEX(OV_V,23))*INDEX(IdxOV_V,1,1)*(1+V_dMat)/(1-V_Merma))</f>
        <v>0</v>
      </c>
      <c r="F185" s="48" t="n">
        <f aca="false">IF(cu_P=1,SUMIFS(Calculo!$F$43:$ES$43,Calculo!$F$14:$ES$14,2)*N(INDEX(OV_O,23))*INDEX(IdxOV_O,1,2)*(1+P_dMat)/(1-P_Merma),SUMIFS(Calculo!$F$199:$ES$199,Calculo!$F$170:$ES$170,2)*N(INDEX(OV_V,23))*INDEX(IdxOV_V,1,2)*(1+V_dMat)/(1-V_Merma))</f>
        <v>0</v>
      </c>
      <c r="G185" s="48" t="n">
        <f aca="false">IF(cu_P=1,SUMIFS(Calculo!$F$43:$ES$43,Calculo!$F$14:$ES$14,3)*N(INDEX(OV_O,23))*INDEX(IdxOV_O,1,3)*(1+P_dMat)/(1-P_Merma),SUMIFS(Calculo!$F$199:$ES$199,Calculo!$F$170:$ES$170,3)*N(INDEX(OV_V,23))*INDEX(IdxOV_V,1,3)*(1+V_dMat)/(1-V_Merma))</f>
        <v>0</v>
      </c>
      <c r="H185" s="48" t="n">
        <f aca="false">IF(cu_P=1,SUMIFS(Calculo!$F$43:$ES$43,Calculo!$F$14:$ES$14,4)*N(INDEX(OV_O,23))*INDEX(IdxOV_O,1,4)*(1+P_dMat)/(1-P_Merma),SUMIFS(Calculo!$F$199:$ES$199,Calculo!$F$170:$ES$170,4)*N(INDEX(OV_V,23))*INDEX(IdxOV_V,1,4)*(1+V_dMat)/(1-V_Merma))</f>
        <v>0</v>
      </c>
      <c r="I185" s="48" t="n">
        <f aca="false">IF(cu_P=1,SUMIFS(Calculo!$F$43:$ES$43,Calculo!$F$14:$ES$14,5)*N(INDEX(OV_O,23))*INDEX(IdxOV_O,1,5)*(1+P_dMat)/(1-P_Merma),SUMIFS(Calculo!$F$199:$ES$199,Calculo!$F$170:$ES$170,5)*N(INDEX(OV_V,23))*INDEX(IdxOV_V,1,5)*(1+V_dMat)/(1-V_Merma))</f>
        <v>0</v>
      </c>
      <c r="J185" s="48" t="n">
        <f aca="false">IF(cu_P=1,SUMIFS(Calculo!$F$43:$ES$43,Calculo!$F$14:$ES$14,6)*N(INDEX(OV_O,23))*INDEX(IdxOV_O,1,6)*(1+P_dMat)/(1-P_Merma),SUMIFS(Calculo!$F$199:$ES$199,Calculo!$F$170:$ES$170,6)*N(INDEX(OV_V,23))*INDEX(IdxOV_V,1,6)*(1+V_dMat)/(1-V_Merma))</f>
        <v>0</v>
      </c>
      <c r="K185" s="48" t="n">
        <f aca="false">IF(cu_P=1,SUMIFS(Calculo!$F$43:$ES$43,Calculo!$F$14:$ES$14,7)*N(INDEX(OV_O,23))*INDEX(IdxOV_O,1,7)*(1+P_dMat)/(1-P_Merma),SUMIFS(Calculo!$F$199:$ES$199,Calculo!$F$170:$ES$170,7)*N(INDEX(OV_V,23))*INDEX(IdxOV_V,1,7)*(1+V_dMat)/(1-V_Merma))</f>
        <v>0</v>
      </c>
      <c r="L185" s="48" t="n">
        <f aca="false">IF(cu_P=1,SUMIFS(Calculo!$F$43:$ES$43,Calculo!$F$14:$ES$14,8)*N(INDEX(OV_O,23))*INDEX(IdxOV_O,1,8)*(1+P_dMat)/(1-P_Merma),SUMIFS(Calculo!$F$199:$ES$199,Calculo!$F$170:$ES$170,8)*N(INDEX(OV_V,23))*INDEX(IdxOV_V,1,8)*(1+V_dMat)/(1-V_Merma))</f>
        <v>0</v>
      </c>
      <c r="M185" s="48" t="n">
        <f aca="false">IF(cu_P=1,SUMIFS(Calculo!$F$43:$ES$43,Calculo!$F$14:$ES$14,9)*N(INDEX(OV_O,23))*INDEX(IdxOV_O,1,9)*(1+P_dMat)/(1-P_Merma),SUMIFS(Calculo!$F$199:$ES$199,Calculo!$F$170:$ES$170,9)*N(INDEX(OV_V,23))*INDEX(IdxOV_V,1,9)*(1+V_dMat)/(1-V_Merma))</f>
        <v>0</v>
      </c>
      <c r="N185" s="48" t="n">
        <f aca="false">IF(cu_P=1,SUMIFS(Calculo!$F$43:$ES$43,Calculo!$F$14:$ES$14,10)*N(INDEX(OV_O,23))*INDEX(IdxOV_O,1,10)*(1+P_dMat)/(1-P_Merma),SUMIFS(Calculo!$F$199:$ES$199,Calculo!$F$170:$ES$170,10)*N(INDEX(OV_V,23))*INDEX(IdxOV_V,1,10)*(1+V_dMat)/(1-V_Merma))</f>
        <v>0</v>
      </c>
      <c r="O185" s="54" t="n">
        <f aca="false">SUM(D185:N185)</f>
        <v>0</v>
      </c>
    </row>
    <row r="186" customFormat="false" ht="15" hidden="true" customHeight="false" outlineLevel="1" collapsed="false">
      <c r="A186" s="11" t="s">
        <v>2266</v>
      </c>
      <c r="B186" s="15" t="s">
        <v>2087</v>
      </c>
      <c r="C186" s="11" t="s">
        <v>748</v>
      </c>
      <c r="E186" s="50" t="str">
        <f aca="false">IFERROR(IF(OR(NOT(ISNUMBER(E185)),N(E78)=0),"",E185/E78),"")</f>
        <v/>
      </c>
      <c r="F186" s="50" t="str">
        <f aca="false">IFERROR(IF(OR(NOT(ISNUMBER(F185)),N(F78)=0),"",F185/F78),"")</f>
        <v/>
      </c>
      <c r="G186" s="50" t="str">
        <f aca="false">IFERROR(IF(OR(NOT(ISNUMBER(G185)),N(G78)=0),"",G185/G78),"")</f>
        <v/>
      </c>
      <c r="H186" s="50" t="str">
        <f aca="false">IFERROR(IF(OR(NOT(ISNUMBER(H185)),N(H78)=0),"",H185/H78),"")</f>
        <v/>
      </c>
      <c r="I186" s="50" t="str">
        <f aca="false">IFERROR(IF(OR(NOT(ISNUMBER(I185)),N(I78)=0),"",I185/I78),"")</f>
        <v/>
      </c>
      <c r="J186" s="50" t="str">
        <f aca="false">IFERROR(IF(OR(NOT(ISNUMBER(J185)),N(J78)=0),"",J185/J78),"")</f>
        <v/>
      </c>
      <c r="K186" s="50" t="str">
        <f aca="false">IFERROR(IF(OR(NOT(ISNUMBER(K185)),N(K78)=0),"",K185/K78),"")</f>
        <v/>
      </c>
      <c r="L186" s="50" t="str">
        <f aca="false">IFERROR(IF(OR(NOT(ISNUMBER(L185)),N(L78)=0),"",L185/L78),"")</f>
        <v/>
      </c>
      <c r="M186" s="50" t="str">
        <f aca="false">IFERROR(IF(OR(NOT(ISNUMBER(M185)),N(M78)=0),"",M185/M78),"")</f>
        <v/>
      </c>
      <c r="N186" s="50" t="str">
        <f aca="false">IFERROR(IF(OR(NOT(ISNUMBER(N185)),N(N78)=0),"",N185/N78),"")</f>
        <v/>
      </c>
      <c r="O186" s="68" t="str">
        <f aca="false">IFERROR(IF(OR(NOT(ISNUMBER(O185)),N(O78)=0),"",O185/O78),"")</f>
        <v/>
      </c>
    </row>
    <row r="187" customFormat="false" ht="15" hidden="true" customHeight="false" outlineLevel="1" collapsed="false">
      <c r="A187" s="11" t="s">
        <v>2267</v>
      </c>
      <c r="B187" s="53" t="str">
        <f aca="false">IF(INDEX(Prod_Nombre,24)="","Producto 24",INDEX(Prod_Nombre,24))</f>
        <v>Producto 24</v>
      </c>
      <c r="C187" s="11" t="s">
        <v>508</v>
      </c>
      <c r="D187" s="48" t="n">
        <f aca="false">IF(cu_P=1,SUMIFS(Calculo!$F$44:$ES$44,Calculo!$F$16:$ES$16,1)*N(INDEX(OV_O,24))*INDEX(IdxOV_O,1,1)*(1+P_dMat)/(1-P_Merma),SUMIFS(Calculo!$F$200:$ES$200,Calculo!$F$172:$ES$172,1)*N(INDEX(OV_V,24))*INDEX(IdxOV_V,1,1)*(1+V_dMat)/(1-V_Merma))</f>
        <v>0</v>
      </c>
      <c r="E187" s="48" t="n">
        <f aca="false">IF(cu_P=1,SUMIFS(Calculo!$F$44:$ES$44,Calculo!$F$14:$ES$14,1)*N(INDEX(OV_O,24))*INDEX(IdxOV_O,1,1)*(1+P_dMat)/(1-P_Merma),SUMIFS(Calculo!$F$200:$ES$200,Calculo!$F$170:$ES$170,1)*N(INDEX(OV_V,24))*INDEX(IdxOV_V,1,1)*(1+V_dMat)/(1-V_Merma))</f>
        <v>0</v>
      </c>
      <c r="F187" s="48" t="n">
        <f aca="false">IF(cu_P=1,SUMIFS(Calculo!$F$44:$ES$44,Calculo!$F$14:$ES$14,2)*N(INDEX(OV_O,24))*INDEX(IdxOV_O,1,2)*(1+P_dMat)/(1-P_Merma),SUMIFS(Calculo!$F$200:$ES$200,Calculo!$F$170:$ES$170,2)*N(INDEX(OV_V,24))*INDEX(IdxOV_V,1,2)*(1+V_dMat)/(1-V_Merma))</f>
        <v>0</v>
      </c>
      <c r="G187" s="48" t="n">
        <f aca="false">IF(cu_P=1,SUMIFS(Calculo!$F$44:$ES$44,Calculo!$F$14:$ES$14,3)*N(INDEX(OV_O,24))*INDEX(IdxOV_O,1,3)*(1+P_dMat)/(1-P_Merma),SUMIFS(Calculo!$F$200:$ES$200,Calculo!$F$170:$ES$170,3)*N(INDEX(OV_V,24))*INDEX(IdxOV_V,1,3)*(1+V_dMat)/(1-V_Merma))</f>
        <v>0</v>
      </c>
      <c r="H187" s="48" t="n">
        <f aca="false">IF(cu_P=1,SUMIFS(Calculo!$F$44:$ES$44,Calculo!$F$14:$ES$14,4)*N(INDEX(OV_O,24))*INDEX(IdxOV_O,1,4)*(1+P_dMat)/(1-P_Merma),SUMIFS(Calculo!$F$200:$ES$200,Calculo!$F$170:$ES$170,4)*N(INDEX(OV_V,24))*INDEX(IdxOV_V,1,4)*(1+V_dMat)/(1-V_Merma))</f>
        <v>0</v>
      </c>
      <c r="I187" s="48" t="n">
        <f aca="false">IF(cu_P=1,SUMIFS(Calculo!$F$44:$ES$44,Calculo!$F$14:$ES$14,5)*N(INDEX(OV_O,24))*INDEX(IdxOV_O,1,5)*(1+P_dMat)/(1-P_Merma),SUMIFS(Calculo!$F$200:$ES$200,Calculo!$F$170:$ES$170,5)*N(INDEX(OV_V,24))*INDEX(IdxOV_V,1,5)*(1+V_dMat)/(1-V_Merma))</f>
        <v>0</v>
      </c>
      <c r="J187" s="48" t="n">
        <f aca="false">IF(cu_P=1,SUMIFS(Calculo!$F$44:$ES$44,Calculo!$F$14:$ES$14,6)*N(INDEX(OV_O,24))*INDEX(IdxOV_O,1,6)*(1+P_dMat)/(1-P_Merma),SUMIFS(Calculo!$F$200:$ES$200,Calculo!$F$170:$ES$170,6)*N(INDEX(OV_V,24))*INDEX(IdxOV_V,1,6)*(1+V_dMat)/(1-V_Merma))</f>
        <v>0</v>
      </c>
      <c r="K187" s="48" t="n">
        <f aca="false">IF(cu_P=1,SUMIFS(Calculo!$F$44:$ES$44,Calculo!$F$14:$ES$14,7)*N(INDEX(OV_O,24))*INDEX(IdxOV_O,1,7)*(1+P_dMat)/(1-P_Merma),SUMIFS(Calculo!$F$200:$ES$200,Calculo!$F$170:$ES$170,7)*N(INDEX(OV_V,24))*INDEX(IdxOV_V,1,7)*(1+V_dMat)/(1-V_Merma))</f>
        <v>0</v>
      </c>
      <c r="L187" s="48" t="n">
        <f aca="false">IF(cu_P=1,SUMIFS(Calculo!$F$44:$ES$44,Calculo!$F$14:$ES$14,8)*N(INDEX(OV_O,24))*INDEX(IdxOV_O,1,8)*(1+P_dMat)/(1-P_Merma),SUMIFS(Calculo!$F$200:$ES$200,Calculo!$F$170:$ES$170,8)*N(INDEX(OV_V,24))*INDEX(IdxOV_V,1,8)*(1+V_dMat)/(1-V_Merma))</f>
        <v>0</v>
      </c>
      <c r="M187" s="48" t="n">
        <f aca="false">IF(cu_P=1,SUMIFS(Calculo!$F$44:$ES$44,Calculo!$F$14:$ES$14,9)*N(INDEX(OV_O,24))*INDEX(IdxOV_O,1,9)*(1+P_dMat)/(1-P_Merma),SUMIFS(Calculo!$F$200:$ES$200,Calculo!$F$170:$ES$170,9)*N(INDEX(OV_V,24))*INDEX(IdxOV_V,1,9)*(1+V_dMat)/(1-V_Merma))</f>
        <v>0</v>
      </c>
      <c r="N187" s="48" t="n">
        <f aca="false">IF(cu_P=1,SUMIFS(Calculo!$F$44:$ES$44,Calculo!$F$14:$ES$14,10)*N(INDEX(OV_O,24))*INDEX(IdxOV_O,1,10)*(1+P_dMat)/(1-P_Merma),SUMIFS(Calculo!$F$200:$ES$200,Calculo!$F$170:$ES$170,10)*N(INDEX(OV_V,24))*INDEX(IdxOV_V,1,10)*(1+V_dMat)/(1-V_Merma))</f>
        <v>0</v>
      </c>
      <c r="O187" s="54" t="n">
        <f aca="false">SUM(D187:N187)</f>
        <v>0</v>
      </c>
    </row>
    <row r="188" customFormat="false" ht="15" hidden="true" customHeight="false" outlineLevel="1" collapsed="false">
      <c r="A188" s="11" t="s">
        <v>2268</v>
      </c>
      <c r="B188" s="15" t="s">
        <v>2087</v>
      </c>
      <c r="C188" s="11" t="s">
        <v>748</v>
      </c>
      <c r="E188" s="50" t="str">
        <f aca="false">IFERROR(IF(OR(NOT(ISNUMBER(E187)),N(E81)=0),"",E187/E81),"")</f>
        <v/>
      </c>
      <c r="F188" s="50" t="str">
        <f aca="false">IFERROR(IF(OR(NOT(ISNUMBER(F187)),N(F81)=0),"",F187/F81),"")</f>
        <v/>
      </c>
      <c r="G188" s="50" t="str">
        <f aca="false">IFERROR(IF(OR(NOT(ISNUMBER(G187)),N(G81)=0),"",G187/G81),"")</f>
        <v/>
      </c>
      <c r="H188" s="50" t="str">
        <f aca="false">IFERROR(IF(OR(NOT(ISNUMBER(H187)),N(H81)=0),"",H187/H81),"")</f>
        <v/>
      </c>
      <c r="I188" s="50" t="str">
        <f aca="false">IFERROR(IF(OR(NOT(ISNUMBER(I187)),N(I81)=0),"",I187/I81),"")</f>
        <v/>
      </c>
      <c r="J188" s="50" t="str">
        <f aca="false">IFERROR(IF(OR(NOT(ISNUMBER(J187)),N(J81)=0),"",J187/J81),"")</f>
        <v/>
      </c>
      <c r="K188" s="50" t="str">
        <f aca="false">IFERROR(IF(OR(NOT(ISNUMBER(K187)),N(K81)=0),"",K187/K81),"")</f>
        <v/>
      </c>
      <c r="L188" s="50" t="str">
        <f aca="false">IFERROR(IF(OR(NOT(ISNUMBER(L187)),N(L81)=0),"",L187/L81),"")</f>
        <v/>
      </c>
      <c r="M188" s="50" t="str">
        <f aca="false">IFERROR(IF(OR(NOT(ISNUMBER(M187)),N(M81)=0),"",M187/M81),"")</f>
        <v/>
      </c>
      <c r="N188" s="50" t="str">
        <f aca="false">IFERROR(IF(OR(NOT(ISNUMBER(N187)),N(N81)=0),"",N187/N81),"")</f>
        <v/>
      </c>
      <c r="O188" s="68" t="str">
        <f aca="false">IFERROR(IF(OR(NOT(ISNUMBER(O187)),N(O81)=0),"",O187/O81),"")</f>
        <v/>
      </c>
    </row>
    <row r="189" customFormat="false" ht="15" hidden="true" customHeight="false" outlineLevel="1" collapsed="false">
      <c r="A189" s="11" t="s">
        <v>2269</v>
      </c>
      <c r="B189" s="53" t="str">
        <f aca="false">IF(INDEX(Prod_Nombre,25)="","Producto 25",INDEX(Prod_Nombre,25))</f>
        <v>Producto 25</v>
      </c>
      <c r="C189" s="11" t="s">
        <v>508</v>
      </c>
      <c r="D189" s="48" t="n">
        <f aca="false">IF(cu_P=1,SUMIFS(Calculo!$F$45:$ES$45,Calculo!$F$16:$ES$16,1)*N(INDEX(OV_O,25))*INDEX(IdxOV_O,1,1)*(1+P_dMat)/(1-P_Merma),SUMIFS(Calculo!$F$201:$ES$201,Calculo!$F$172:$ES$172,1)*N(INDEX(OV_V,25))*INDEX(IdxOV_V,1,1)*(1+V_dMat)/(1-V_Merma))</f>
        <v>0</v>
      </c>
      <c r="E189" s="48" t="n">
        <f aca="false">IF(cu_P=1,SUMIFS(Calculo!$F$45:$ES$45,Calculo!$F$14:$ES$14,1)*N(INDEX(OV_O,25))*INDEX(IdxOV_O,1,1)*(1+P_dMat)/(1-P_Merma),SUMIFS(Calculo!$F$201:$ES$201,Calculo!$F$170:$ES$170,1)*N(INDEX(OV_V,25))*INDEX(IdxOV_V,1,1)*(1+V_dMat)/(1-V_Merma))</f>
        <v>0</v>
      </c>
      <c r="F189" s="48" t="n">
        <f aca="false">IF(cu_P=1,SUMIFS(Calculo!$F$45:$ES$45,Calculo!$F$14:$ES$14,2)*N(INDEX(OV_O,25))*INDEX(IdxOV_O,1,2)*(1+P_dMat)/(1-P_Merma),SUMIFS(Calculo!$F$201:$ES$201,Calculo!$F$170:$ES$170,2)*N(INDEX(OV_V,25))*INDEX(IdxOV_V,1,2)*(1+V_dMat)/(1-V_Merma))</f>
        <v>0</v>
      </c>
      <c r="G189" s="48" t="n">
        <f aca="false">IF(cu_P=1,SUMIFS(Calculo!$F$45:$ES$45,Calculo!$F$14:$ES$14,3)*N(INDEX(OV_O,25))*INDEX(IdxOV_O,1,3)*(1+P_dMat)/(1-P_Merma),SUMIFS(Calculo!$F$201:$ES$201,Calculo!$F$170:$ES$170,3)*N(INDEX(OV_V,25))*INDEX(IdxOV_V,1,3)*(1+V_dMat)/(1-V_Merma))</f>
        <v>0</v>
      </c>
      <c r="H189" s="48" t="n">
        <f aca="false">IF(cu_P=1,SUMIFS(Calculo!$F$45:$ES$45,Calculo!$F$14:$ES$14,4)*N(INDEX(OV_O,25))*INDEX(IdxOV_O,1,4)*(1+P_dMat)/(1-P_Merma),SUMIFS(Calculo!$F$201:$ES$201,Calculo!$F$170:$ES$170,4)*N(INDEX(OV_V,25))*INDEX(IdxOV_V,1,4)*(1+V_dMat)/(1-V_Merma))</f>
        <v>0</v>
      </c>
      <c r="I189" s="48" t="n">
        <f aca="false">IF(cu_P=1,SUMIFS(Calculo!$F$45:$ES$45,Calculo!$F$14:$ES$14,5)*N(INDEX(OV_O,25))*INDEX(IdxOV_O,1,5)*(1+P_dMat)/(1-P_Merma),SUMIFS(Calculo!$F$201:$ES$201,Calculo!$F$170:$ES$170,5)*N(INDEX(OV_V,25))*INDEX(IdxOV_V,1,5)*(1+V_dMat)/(1-V_Merma))</f>
        <v>0</v>
      </c>
      <c r="J189" s="48" t="n">
        <f aca="false">IF(cu_P=1,SUMIFS(Calculo!$F$45:$ES$45,Calculo!$F$14:$ES$14,6)*N(INDEX(OV_O,25))*INDEX(IdxOV_O,1,6)*(1+P_dMat)/(1-P_Merma),SUMIFS(Calculo!$F$201:$ES$201,Calculo!$F$170:$ES$170,6)*N(INDEX(OV_V,25))*INDEX(IdxOV_V,1,6)*(1+V_dMat)/(1-V_Merma))</f>
        <v>0</v>
      </c>
      <c r="K189" s="48" t="n">
        <f aca="false">IF(cu_P=1,SUMIFS(Calculo!$F$45:$ES$45,Calculo!$F$14:$ES$14,7)*N(INDEX(OV_O,25))*INDEX(IdxOV_O,1,7)*(1+P_dMat)/(1-P_Merma),SUMIFS(Calculo!$F$201:$ES$201,Calculo!$F$170:$ES$170,7)*N(INDEX(OV_V,25))*INDEX(IdxOV_V,1,7)*(1+V_dMat)/(1-V_Merma))</f>
        <v>0</v>
      </c>
      <c r="L189" s="48" t="n">
        <f aca="false">IF(cu_P=1,SUMIFS(Calculo!$F$45:$ES$45,Calculo!$F$14:$ES$14,8)*N(INDEX(OV_O,25))*INDEX(IdxOV_O,1,8)*(1+P_dMat)/(1-P_Merma),SUMIFS(Calculo!$F$201:$ES$201,Calculo!$F$170:$ES$170,8)*N(INDEX(OV_V,25))*INDEX(IdxOV_V,1,8)*(1+V_dMat)/(1-V_Merma))</f>
        <v>0</v>
      </c>
      <c r="M189" s="48" t="n">
        <f aca="false">IF(cu_P=1,SUMIFS(Calculo!$F$45:$ES$45,Calculo!$F$14:$ES$14,9)*N(INDEX(OV_O,25))*INDEX(IdxOV_O,1,9)*(1+P_dMat)/(1-P_Merma),SUMIFS(Calculo!$F$201:$ES$201,Calculo!$F$170:$ES$170,9)*N(INDEX(OV_V,25))*INDEX(IdxOV_V,1,9)*(1+V_dMat)/(1-V_Merma))</f>
        <v>0</v>
      </c>
      <c r="N189" s="48" t="n">
        <f aca="false">IF(cu_P=1,SUMIFS(Calculo!$F$45:$ES$45,Calculo!$F$14:$ES$14,10)*N(INDEX(OV_O,25))*INDEX(IdxOV_O,1,10)*(1+P_dMat)/(1-P_Merma),SUMIFS(Calculo!$F$201:$ES$201,Calculo!$F$170:$ES$170,10)*N(INDEX(OV_V,25))*INDEX(IdxOV_V,1,10)*(1+V_dMat)/(1-V_Merma))</f>
        <v>0</v>
      </c>
      <c r="O189" s="54" t="n">
        <f aca="false">SUM(D189:N189)</f>
        <v>0</v>
      </c>
    </row>
    <row r="190" customFormat="false" ht="15" hidden="true" customHeight="false" outlineLevel="1" collapsed="false">
      <c r="A190" s="11" t="s">
        <v>2270</v>
      </c>
      <c r="B190" s="15" t="s">
        <v>2087</v>
      </c>
      <c r="C190" s="11" t="s">
        <v>748</v>
      </c>
      <c r="E190" s="50" t="str">
        <f aca="false">IFERROR(IF(OR(NOT(ISNUMBER(E189)),N(E84)=0),"",E189/E84),"")</f>
        <v/>
      </c>
      <c r="F190" s="50" t="str">
        <f aca="false">IFERROR(IF(OR(NOT(ISNUMBER(F189)),N(F84)=0),"",F189/F84),"")</f>
        <v/>
      </c>
      <c r="G190" s="50" t="str">
        <f aca="false">IFERROR(IF(OR(NOT(ISNUMBER(G189)),N(G84)=0),"",G189/G84),"")</f>
        <v/>
      </c>
      <c r="H190" s="50" t="str">
        <f aca="false">IFERROR(IF(OR(NOT(ISNUMBER(H189)),N(H84)=0),"",H189/H84),"")</f>
        <v/>
      </c>
      <c r="I190" s="50" t="str">
        <f aca="false">IFERROR(IF(OR(NOT(ISNUMBER(I189)),N(I84)=0),"",I189/I84),"")</f>
        <v/>
      </c>
      <c r="J190" s="50" t="str">
        <f aca="false">IFERROR(IF(OR(NOT(ISNUMBER(J189)),N(J84)=0),"",J189/J84),"")</f>
        <v/>
      </c>
      <c r="K190" s="50" t="str">
        <f aca="false">IFERROR(IF(OR(NOT(ISNUMBER(K189)),N(K84)=0),"",K189/K84),"")</f>
        <v/>
      </c>
      <c r="L190" s="50" t="str">
        <f aca="false">IFERROR(IF(OR(NOT(ISNUMBER(L189)),N(L84)=0),"",L189/L84),"")</f>
        <v/>
      </c>
      <c r="M190" s="50" t="str">
        <f aca="false">IFERROR(IF(OR(NOT(ISNUMBER(M189)),N(M84)=0),"",M189/M84),"")</f>
        <v/>
      </c>
      <c r="N190" s="50" t="str">
        <f aca="false">IFERROR(IF(OR(NOT(ISNUMBER(N189)),N(N84)=0),"",N189/N84),"")</f>
        <v/>
      </c>
      <c r="O190" s="68" t="str">
        <f aca="false">IFERROR(IF(OR(NOT(ISNUMBER(O189)),N(O84)=0),"",O189/O84),"")</f>
        <v/>
      </c>
    </row>
    <row r="191" customFormat="false" ht="15" hidden="false" customHeight="false" outlineLevel="0" collapsed="false">
      <c r="A191" s="11" t="s">
        <v>2271</v>
      </c>
      <c r="B191" s="15" t="s">
        <v>2163</v>
      </c>
      <c r="C191" s="11" t="s">
        <v>508</v>
      </c>
      <c r="D191" s="48" t="n">
        <f aca="false">IFERROR(IF(COUNT(D140,D141,D143,D145,D147,D149,D151,D153,D155,D157,D159,D161,D163,D165,D167,D169,D171,D173,D175,D177,D179,D181,D183,D185,D187,D189)=0,"",N(D140)-(N(D141)+N(D143)+N(D145)+N(D147)+N(D149)+N(D151)+N(D153)+N(D155)+N(D157)+N(D159)+N(D161)+N(D163)+N(D165)+N(D167)+N(D169)+N(D171)+N(D173)+N(D175)+N(D177)+N(D179)+N(D181)+N(D183)+N(D185)+N(D187)+N(D189))),"")</f>
        <v>0</v>
      </c>
      <c r="E191" s="48" t="n">
        <f aca="false">IFERROR(IF(COUNT(E140,E141,E143,E145,E147,E149,E151,E153,E155,E157,E159,E161,E163,E165,E167,E169,E171,E173,E175,E177,E179,E181,E183,E185,E187,E189)=0,"",N(E140)-(N(E141)+N(E143)+N(E145)+N(E147)+N(E149)+N(E151)+N(E153)+N(E155)+N(E157)+N(E159)+N(E161)+N(E163)+N(E165)+N(E167)+N(E169)+N(E171)+N(E173)+N(E175)+N(E177)+N(E179)+N(E181)+N(E183)+N(E185)+N(E187)+N(E189))),"")</f>
        <v>0</v>
      </c>
      <c r="F191" s="48" t="n">
        <f aca="false">IFERROR(IF(COUNT(F140,F141,F143,F145,F147,F149,F151,F153,F155,F157,F159,F161,F163,F165,F167,F169,F171,F173,F175,F177,F179,F181,F183,F185,F187,F189)=0,"",N(F140)-(N(F141)+N(F143)+N(F145)+N(F147)+N(F149)+N(F151)+N(F153)+N(F155)+N(F157)+N(F159)+N(F161)+N(F163)+N(F165)+N(F167)+N(F169)+N(F171)+N(F173)+N(F175)+N(F177)+N(F179)+N(F181)+N(F183)+N(F185)+N(F187)+N(F189))),"")</f>
        <v>0</v>
      </c>
      <c r="G191" s="48" t="n">
        <f aca="false">IFERROR(IF(COUNT(G140,G141,G143,G145,G147,G149,G151,G153,G155,G157,G159,G161,G163,G165,G167,G169,G171,G173,G175,G177,G179,G181,G183,G185,G187,G189)=0,"",N(G140)-(N(G141)+N(G143)+N(G145)+N(G147)+N(G149)+N(G151)+N(G153)+N(G155)+N(G157)+N(G159)+N(G161)+N(G163)+N(G165)+N(G167)+N(G169)+N(G171)+N(G173)+N(G175)+N(G177)+N(G179)+N(G181)+N(G183)+N(G185)+N(G187)+N(G189))),"")</f>
        <v>0</v>
      </c>
      <c r="H191" s="48" t="n">
        <f aca="false">IFERROR(IF(COUNT(H140,H141,H143,H145,H147,H149,H151,H153,H155,H157,H159,H161,H163,H165,H167,H169,H171,H173,H175,H177,H179,H181,H183,H185,H187,H189)=0,"",N(H140)-(N(H141)+N(H143)+N(H145)+N(H147)+N(H149)+N(H151)+N(H153)+N(H155)+N(H157)+N(H159)+N(H161)+N(H163)+N(H165)+N(H167)+N(H169)+N(H171)+N(H173)+N(H175)+N(H177)+N(H179)+N(H181)+N(H183)+N(H185)+N(H187)+N(H189))),"")</f>
        <v>0</v>
      </c>
      <c r="I191" s="48" t="n">
        <f aca="false">IFERROR(IF(COUNT(I140,I141,I143,I145,I147,I149,I151,I153,I155,I157,I159,I161,I163,I165,I167,I169,I171,I173,I175,I177,I179,I181,I183,I185,I187,I189)=0,"",N(I140)-(N(I141)+N(I143)+N(I145)+N(I147)+N(I149)+N(I151)+N(I153)+N(I155)+N(I157)+N(I159)+N(I161)+N(I163)+N(I165)+N(I167)+N(I169)+N(I171)+N(I173)+N(I175)+N(I177)+N(I179)+N(I181)+N(I183)+N(I185)+N(I187)+N(I189))),"")</f>
        <v>0</v>
      </c>
      <c r="J191" s="48" t="n">
        <f aca="false">IFERROR(IF(COUNT(J140,J141,J143,J145,J147,J149,J151,J153,J155,J157,J159,J161,J163,J165,J167,J169,J171,J173,J175,J177,J179,J181,J183,J185,J187,J189)=0,"",N(J140)-(N(J141)+N(J143)+N(J145)+N(J147)+N(J149)+N(J151)+N(J153)+N(J155)+N(J157)+N(J159)+N(J161)+N(J163)+N(J165)+N(J167)+N(J169)+N(J171)+N(J173)+N(J175)+N(J177)+N(J179)+N(J181)+N(J183)+N(J185)+N(J187)+N(J189))),"")</f>
        <v>0</v>
      </c>
      <c r="K191" s="48" t="n">
        <f aca="false">IFERROR(IF(COUNT(K140,K141,K143,K145,K147,K149,K151,K153,K155,K157,K159,K161,K163,K165,K167,K169,K171,K173,K175,K177,K179,K181,K183,K185,K187,K189)=0,"",N(K140)-(N(K141)+N(K143)+N(K145)+N(K147)+N(K149)+N(K151)+N(K153)+N(K155)+N(K157)+N(K159)+N(K161)+N(K163)+N(K165)+N(K167)+N(K169)+N(K171)+N(K173)+N(K175)+N(K177)+N(K179)+N(K181)+N(K183)+N(K185)+N(K187)+N(K189))),"")</f>
        <v>0</v>
      </c>
      <c r="L191" s="48" t="n">
        <f aca="false">IFERROR(IF(COUNT(L140,L141,L143,L145,L147,L149,L151,L153,L155,L157,L159,L161,L163,L165,L167,L169,L171,L173,L175,L177,L179,L181,L183,L185,L187,L189)=0,"",N(L140)-(N(L141)+N(L143)+N(L145)+N(L147)+N(L149)+N(L151)+N(L153)+N(L155)+N(L157)+N(L159)+N(L161)+N(L163)+N(L165)+N(L167)+N(L169)+N(L171)+N(L173)+N(L175)+N(L177)+N(L179)+N(L181)+N(L183)+N(L185)+N(L187)+N(L189))),"")</f>
        <v>0</v>
      </c>
      <c r="M191" s="48" t="n">
        <f aca="false">IFERROR(IF(COUNT(M140,M141,M143,M145,M147,M149,M151,M153,M155,M157,M159,M161,M163,M165,M167,M169,M171,M173,M175,M177,M179,M181,M183,M185,M187,M189)=0,"",N(M140)-(N(M141)+N(M143)+N(M145)+N(M147)+N(M149)+N(M151)+N(M153)+N(M155)+N(M157)+N(M159)+N(M161)+N(M163)+N(M165)+N(M167)+N(M169)+N(M171)+N(M173)+N(M175)+N(M177)+N(M179)+N(M181)+N(M183)+N(M185)+N(M187)+N(M189))),"")</f>
        <v>0</v>
      </c>
      <c r="N191" s="48" t="n">
        <f aca="false">IFERROR(IF(COUNT(N140,N141,N143,N145,N147,N149,N151,N153,N155,N157,N159,N161,N163,N165,N167,N169,N171,N173,N175,N177,N179,N181,N183,N185,N187,N189)=0,"",N(N140)-(N(N141)+N(N143)+N(N145)+N(N147)+N(N149)+N(N151)+N(N153)+N(N155)+N(N157)+N(N159)+N(N161)+N(N163)+N(N165)+N(N167)+N(N169)+N(N171)+N(N173)+N(N175)+N(N177)+N(N179)+N(N181)+N(N183)+N(N185)+N(N187)+N(N189))),"")</f>
        <v>0</v>
      </c>
      <c r="O191" s="54" t="n">
        <f aca="false">SUM(D191:N191)</f>
        <v>0</v>
      </c>
    </row>
    <row r="193" customFormat="false" ht="15" hidden="false" customHeight="false" outlineLevel="0" collapsed="false">
      <c r="A193" s="65" t="s">
        <v>1992</v>
      </c>
      <c r="B193" s="64"/>
      <c r="C193" s="64"/>
      <c r="D193" s="64"/>
      <c r="E193" s="64"/>
      <c r="F193" s="64"/>
      <c r="G193" s="64"/>
      <c r="H193" s="64"/>
      <c r="I193" s="64"/>
      <c r="J193" s="64"/>
      <c r="K193" s="64"/>
      <c r="L193" s="64"/>
      <c r="M193" s="64"/>
      <c r="N193" s="64"/>
      <c r="O193" s="64"/>
    </row>
    <row r="194" customFormat="false" ht="24" hidden="false" customHeight="true" outlineLevel="0" collapsed="false">
      <c r="A194" s="14"/>
      <c r="B194" s="14" t="s">
        <v>1530</v>
      </c>
      <c r="C194" s="14" t="s">
        <v>355</v>
      </c>
      <c r="D194" s="14" t="s">
        <v>1857</v>
      </c>
      <c r="E194" s="14" t="s">
        <v>452</v>
      </c>
      <c r="F194" s="14" t="s">
        <v>453</v>
      </c>
      <c r="G194" s="14" t="s">
        <v>454</v>
      </c>
      <c r="H194" s="14" t="s">
        <v>455</v>
      </c>
      <c r="I194" s="14" t="s">
        <v>456</v>
      </c>
      <c r="J194" s="14" t="s">
        <v>457</v>
      </c>
      <c r="K194" s="14" t="s">
        <v>458</v>
      </c>
      <c r="L194" s="14" t="s">
        <v>459</v>
      </c>
      <c r="M194" s="14" t="s">
        <v>460</v>
      </c>
      <c r="N194" s="14" t="s">
        <v>461</v>
      </c>
      <c r="O194" s="14" t="s">
        <v>549</v>
      </c>
    </row>
    <row r="195" customFormat="false" ht="15" hidden="false" customHeight="false" outlineLevel="0" collapsed="false">
      <c r="B195" s="11" t="s">
        <v>1993</v>
      </c>
      <c r="D195" s="86" t="str">
        <f aca="false">IF(OR(n_Fecha1="",IF(cu_P=1,P_Inicio,V_Inicio)=1),"",YEAR(n_Fecha1))</f>
        <v/>
      </c>
      <c r="E195" s="86" t="str">
        <f aca="false">IF(n_Fecha1="","",YEAR(EOMONTH(n_Fecha1,IF(cu_P=1,P_Inicio,V_Inicio)-1+0)))</f>
        <v/>
      </c>
      <c r="F195" s="86" t="str">
        <f aca="false">IF(n_Fecha1="","",YEAR(EOMONTH(n_Fecha1,IF(cu_P=1,P_Inicio,V_Inicio)-1+12)))</f>
        <v/>
      </c>
      <c r="G195" s="86" t="str">
        <f aca="false">IF(n_Fecha1="","",YEAR(EOMONTH(n_Fecha1,IF(cu_P=1,P_Inicio,V_Inicio)-1+24)))</f>
        <v/>
      </c>
      <c r="H195" s="86" t="str">
        <f aca="false">IF(n_Fecha1="","",YEAR(EOMONTH(n_Fecha1,IF(cu_P=1,P_Inicio,V_Inicio)-1+36)))</f>
        <v/>
      </c>
      <c r="I195" s="86" t="str">
        <f aca="false">IF(n_Fecha1="","",YEAR(EOMONTH(n_Fecha1,IF(cu_P=1,P_Inicio,V_Inicio)-1+48)))</f>
        <v/>
      </c>
      <c r="J195" s="86" t="str">
        <f aca="false">IF(n_Fecha1="","",YEAR(EOMONTH(n_Fecha1,IF(cu_P=1,P_Inicio,V_Inicio)-1+60)))</f>
        <v/>
      </c>
      <c r="K195" s="86" t="str">
        <f aca="false">IF(n_Fecha1="","",YEAR(EOMONTH(n_Fecha1,IF(cu_P=1,P_Inicio,V_Inicio)-1+72)))</f>
        <v/>
      </c>
      <c r="L195" s="86" t="str">
        <f aca="false">IF(n_Fecha1="","",YEAR(EOMONTH(n_Fecha1,IF(cu_P=1,P_Inicio,V_Inicio)-1+84)))</f>
        <v/>
      </c>
      <c r="M195" s="86" t="str">
        <f aca="false">IF(n_Fecha1="","",YEAR(EOMONTH(n_Fecha1,IF(cu_P=1,P_Inicio,V_Inicio)-1+96)))</f>
        <v/>
      </c>
      <c r="N195" s="86" t="str">
        <f aca="false">IF(n_Fecha1="","",YEAR(EOMONTH(n_Fecha1,IF(cu_P=1,P_Inicio,V_Inicio)-1+108)))</f>
        <v/>
      </c>
    </row>
    <row r="196" customFormat="false" ht="15" hidden="false" customHeight="false" outlineLevel="0" collapsed="false">
      <c r="A196" s="13"/>
      <c r="B196" s="100" t="s">
        <v>2082</v>
      </c>
      <c r="C196" s="13"/>
      <c r="D196" s="13"/>
      <c r="E196" s="13"/>
      <c r="F196" s="13"/>
      <c r="G196" s="13"/>
      <c r="H196" s="13"/>
      <c r="I196" s="13"/>
      <c r="J196" s="13"/>
      <c r="K196" s="13"/>
      <c r="L196" s="13"/>
      <c r="M196" s="13"/>
      <c r="N196" s="13"/>
      <c r="O196" s="13"/>
    </row>
    <row r="197" customFormat="false" ht="15" hidden="false" customHeight="false" outlineLevel="0" collapsed="false">
      <c r="A197" s="11" t="s">
        <v>2083</v>
      </c>
      <c r="B197" s="67" t="s">
        <v>2084</v>
      </c>
      <c r="C197" s="11" t="s">
        <v>508</v>
      </c>
      <c r="D197" s="37"/>
      <c r="E197" s="37" t="n">
        <v>1510500</v>
      </c>
      <c r="F197" s="37" t="n">
        <v>1925717</v>
      </c>
      <c r="G197" s="37" t="n">
        <v>2340854</v>
      </c>
      <c r="H197" s="37" t="n">
        <v>2686334</v>
      </c>
      <c r="I197" s="37" t="n">
        <v>2704216</v>
      </c>
      <c r="J197" s="37" t="n">
        <v>2722278</v>
      </c>
      <c r="K197" s="37" t="n">
        <v>2740519</v>
      </c>
      <c r="L197" s="37" t="n">
        <v>2758944</v>
      </c>
      <c r="M197" s="37" t="n">
        <v>2777552</v>
      </c>
      <c r="N197" s="37" t="n">
        <v>2796347</v>
      </c>
      <c r="O197" s="54" t="n">
        <f aca="false">IF(COUNT(D197:N197)=0,"",SUM(D197:N197))</f>
        <v>24963261</v>
      </c>
    </row>
    <row r="198" customFormat="false" ht="15" hidden="false" customHeight="false" outlineLevel="0" collapsed="false">
      <c r="A198" s="11" t="s">
        <v>2085</v>
      </c>
      <c r="B198" s="53" t="str">
        <f aca="false">IF(INDEX(Prod_Nombre,1)="","Producto 1",INDEX(Prod_Nombre,1))</f>
        <v>Gabinetes metálicos 153 kg</v>
      </c>
      <c r="C198" s="11" t="s">
        <v>508</v>
      </c>
      <c r="D198" s="37"/>
      <c r="E198" s="37" t="n">
        <v>991800</v>
      </c>
      <c r="F198" s="37" t="n">
        <v>1252148</v>
      </c>
      <c r="G198" s="37" t="n">
        <v>1517603</v>
      </c>
      <c r="H198" s="37" t="n">
        <v>1788242</v>
      </c>
      <c r="I198" s="37" t="n">
        <v>1806124</v>
      </c>
      <c r="J198" s="37" t="n">
        <v>1824186</v>
      </c>
      <c r="K198" s="37" t="n">
        <v>1842427</v>
      </c>
      <c r="L198" s="37" t="n">
        <v>1860852</v>
      </c>
      <c r="M198" s="37" t="n">
        <v>1879460</v>
      </c>
      <c r="N198" s="37" t="n">
        <v>1898255</v>
      </c>
      <c r="O198" s="54" t="n">
        <f aca="false">IF(COUNT(D198:N198)=0,"",SUM(D198:N198))</f>
        <v>16661097</v>
      </c>
    </row>
    <row r="199" customFormat="false" ht="15" hidden="false" customHeight="false" outlineLevel="0" collapsed="false">
      <c r="A199" s="11" t="s">
        <v>2086</v>
      </c>
      <c r="B199" s="15" t="s">
        <v>2087</v>
      </c>
      <c r="C199" s="11" t="s">
        <v>748</v>
      </c>
      <c r="E199" s="50" t="n">
        <f aca="false">IFERROR(IF(OR(NOT(ISNUMBER(E198)),N(E200)=0),"",E198/E200),"")</f>
        <v>82.65</v>
      </c>
      <c r="F199" s="50" t="n">
        <f aca="false">IFERROR(IF(OR(NOT(ISNUMBER(F198)),N(F200)=0),"",F198/F200),"")</f>
        <v>83.4765333333333</v>
      </c>
      <c r="G199" s="50" t="n">
        <f aca="false">IFERROR(IF(OR(NOT(ISNUMBER(G198)),N(G200)=0),"",G198/G200),"")</f>
        <v>84.3112777777778</v>
      </c>
      <c r="H199" s="50" t="n">
        <f aca="false">IFERROR(IF(OR(NOT(ISNUMBER(H198)),N(H200)=0),"",H198/H200),"")</f>
        <v>85.154380952381</v>
      </c>
      <c r="I199" s="50" t="n">
        <f aca="false">IFERROR(IF(OR(NOT(ISNUMBER(I198)),N(I200)=0),"",I198/I200),"")</f>
        <v>86.0059047619048</v>
      </c>
      <c r="J199" s="50" t="n">
        <f aca="false">IFERROR(IF(OR(NOT(ISNUMBER(J198)),N(J200)=0),"",J198/J200),"")</f>
        <v>86.866</v>
      </c>
      <c r="K199" s="50" t="n">
        <f aca="false">IFERROR(IF(OR(NOT(ISNUMBER(K198)),N(K200)=0),"",K198/K200),"")</f>
        <v>87.7346190476191</v>
      </c>
      <c r="L199" s="50" t="n">
        <f aca="false">IFERROR(IF(OR(NOT(ISNUMBER(L198)),N(L200)=0),"",L198/L200),"")</f>
        <v>88.612</v>
      </c>
      <c r="M199" s="50" t="n">
        <f aca="false">IFERROR(IF(OR(NOT(ISNUMBER(M198)),N(M200)=0),"",M198/M200),"")</f>
        <v>89.4980952380952</v>
      </c>
      <c r="N199" s="50" t="n">
        <f aca="false">IFERROR(IF(OR(NOT(ISNUMBER(N198)),N(N200)=0),"",N198/N200),"")</f>
        <v>90.3930952380952</v>
      </c>
      <c r="O199" s="68" t="n">
        <f aca="false">IFERROR(IF(OR(NOT(ISNUMBER(O198)),N(O200)=0),"",O198/O200),"")</f>
        <v>86.776546875</v>
      </c>
    </row>
    <row r="200" customFormat="false" ht="15" hidden="false" customHeight="false" outlineLevel="0" collapsed="false">
      <c r="A200" s="11" t="s">
        <v>2088</v>
      </c>
      <c r="B200" s="15" t="s">
        <v>2089</v>
      </c>
      <c r="C200" s="11" t="s">
        <v>544</v>
      </c>
      <c r="D200" s="37"/>
      <c r="E200" s="37" t="n">
        <v>12000</v>
      </c>
      <c r="F200" s="37" t="n">
        <v>15000</v>
      </c>
      <c r="G200" s="37" t="n">
        <v>18000</v>
      </c>
      <c r="H200" s="37" t="n">
        <v>21000</v>
      </c>
      <c r="I200" s="37" t="n">
        <v>21000</v>
      </c>
      <c r="J200" s="37" t="n">
        <v>21000</v>
      </c>
      <c r="K200" s="37" t="n">
        <v>21000</v>
      </c>
      <c r="L200" s="37" t="n">
        <v>21000</v>
      </c>
      <c r="M200" s="37" t="n">
        <v>21000</v>
      </c>
      <c r="N200" s="37" t="n">
        <v>21000</v>
      </c>
      <c r="O200" s="54" t="n">
        <f aca="false">IF(COUNT(D200:N200)=0,"",SUM(D200:N200))</f>
        <v>192000</v>
      </c>
    </row>
    <row r="201" customFormat="false" ht="15" hidden="false" customHeight="false" outlineLevel="0" collapsed="false">
      <c r="A201" s="11" t="s">
        <v>2090</v>
      </c>
      <c r="B201" s="53" t="str">
        <f aca="false">IF(INDEX(Prod_Nombre,2)="","Producto 2",INDEX(Prod_Nombre,2))</f>
        <v>Cajas metálicas 13 kg</v>
      </c>
      <c r="C201" s="11" t="s">
        <v>508</v>
      </c>
      <c r="D201" s="37"/>
      <c r="E201" s="37" t="n">
        <v>518700</v>
      </c>
      <c r="F201" s="37" t="n">
        <v>673569</v>
      </c>
      <c r="G201" s="37" t="n">
        <v>823251</v>
      </c>
      <c r="H201" s="37" t="n">
        <v>898092</v>
      </c>
      <c r="I201" s="37" t="n">
        <v>898092</v>
      </c>
      <c r="J201" s="37" t="n">
        <v>898092</v>
      </c>
      <c r="K201" s="37" t="n">
        <v>898092</v>
      </c>
      <c r="L201" s="37" t="n">
        <v>898092</v>
      </c>
      <c r="M201" s="37" t="n">
        <v>898092</v>
      </c>
      <c r="N201" s="37" t="n">
        <v>898092</v>
      </c>
      <c r="O201" s="54" t="n">
        <f aca="false">IF(COUNT(D201:N201)=0,"",SUM(D201:N201))</f>
        <v>8302164</v>
      </c>
    </row>
    <row r="202" customFormat="false" ht="15" hidden="false" customHeight="false" outlineLevel="0" collapsed="false">
      <c r="A202" s="11" t="s">
        <v>2091</v>
      </c>
      <c r="B202" s="15" t="s">
        <v>2087</v>
      </c>
      <c r="C202" s="11" t="s">
        <v>748</v>
      </c>
      <c r="E202" s="50" t="n">
        <f aca="false">IFERROR(IF(OR(NOT(ISNUMBER(E201)),N(E203)=0),"",E201/E203),"")</f>
        <v>7.41</v>
      </c>
      <c r="F202" s="50" t="n">
        <f aca="false">IFERROR(IF(OR(NOT(ISNUMBER(F201)),N(F203)=0),"",F201/F203),"")</f>
        <v>7.4841</v>
      </c>
      <c r="G202" s="50" t="n">
        <f aca="false">IFERROR(IF(OR(NOT(ISNUMBER(G201)),N(G203)=0),"",G201/G203),"")</f>
        <v>7.4841</v>
      </c>
      <c r="H202" s="50" t="n">
        <f aca="false">IFERROR(IF(OR(NOT(ISNUMBER(H201)),N(H203)=0),"",H201/H203),"")</f>
        <v>7.4841</v>
      </c>
      <c r="I202" s="50" t="n">
        <f aca="false">IFERROR(IF(OR(NOT(ISNUMBER(I201)),N(I203)=0),"",I201/I203),"")</f>
        <v>7.4841</v>
      </c>
      <c r="J202" s="50" t="n">
        <f aca="false">IFERROR(IF(OR(NOT(ISNUMBER(J201)),N(J203)=0),"",J201/J203),"")</f>
        <v>7.4841</v>
      </c>
      <c r="K202" s="50" t="n">
        <f aca="false">IFERROR(IF(OR(NOT(ISNUMBER(K201)),N(K203)=0),"",K201/K203),"")</f>
        <v>7.4841</v>
      </c>
      <c r="L202" s="50" t="n">
        <f aca="false">IFERROR(IF(OR(NOT(ISNUMBER(L201)),N(L203)=0),"",L201/L203),"")</f>
        <v>7.4841</v>
      </c>
      <c r="M202" s="50" t="n">
        <f aca="false">IFERROR(IF(OR(NOT(ISNUMBER(M201)),N(M203)=0),"",M201/M203),"")</f>
        <v>7.4841</v>
      </c>
      <c r="N202" s="50" t="n">
        <f aca="false">IFERROR(IF(OR(NOT(ISNUMBER(N201)),N(N203)=0),"",N201/N203),"")</f>
        <v>7.4841</v>
      </c>
      <c r="O202" s="68" t="n">
        <f aca="false">IFERROR(IF(OR(NOT(ISNUMBER(O201)),N(O203)=0),"",O201/O203),"")</f>
        <v>7.47942702702703</v>
      </c>
    </row>
    <row r="203" customFormat="false" ht="15" hidden="false" customHeight="false" outlineLevel="0" collapsed="false">
      <c r="A203" s="11" t="s">
        <v>2092</v>
      </c>
      <c r="B203" s="15" t="s">
        <v>2089</v>
      </c>
      <c r="C203" s="11" t="s">
        <v>544</v>
      </c>
      <c r="D203" s="37"/>
      <c r="E203" s="37" t="n">
        <v>70000</v>
      </c>
      <c r="F203" s="37" t="n">
        <v>90000</v>
      </c>
      <c r="G203" s="37" t="n">
        <v>110000</v>
      </c>
      <c r="H203" s="37" t="n">
        <v>120000</v>
      </c>
      <c r="I203" s="37" t="n">
        <v>120000</v>
      </c>
      <c r="J203" s="37" t="n">
        <v>120000</v>
      </c>
      <c r="K203" s="37" t="n">
        <v>120000</v>
      </c>
      <c r="L203" s="37" t="n">
        <v>120000</v>
      </c>
      <c r="M203" s="37" t="n">
        <v>120000</v>
      </c>
      <c r="N203" s="37" t="n">
        <v>120000</v>
      </c>
      <c r="O203" s="54" t="n">
        <f aca="false">IF(COUNT(D203:N203)=0,"",SUM(D203:N203))</f>
        <v>1110000</v>
      </c>
    </row>
    <row r="204" customFormat="false" ht="15" hidden="true" customHeight="false" outlineLevel="1" collapsed="false">
      <c r="A204" s="11" t="s">
        <v>2093</v>
      </c>
      <c r="B204" s="53" t="str">
        <f aca="false">IF(INDEX(Prod_Nombre,3)="","Producto 3",INDEX(Prod_Nombre,3))</f>
        <v>Producto 3</v>
      </c>
      <c r="C204" s="11" t="s">
        <v>508</v>
      </c>
      <c r="D204" s="37"/>
      <c r="E204" s="37"/>
      <c r="F204" s="37"/>
      <c r="G204" s="37"/>
      <c r="H204" s="37"/>
      <c r="I204" s="37"/>
      <c r="J204" s="37"/>
      <c r="K204" s="37"/>
      <c r="L204" s="37"/>
      <c r="M204" s="37"/>
      <c r="N204" s="37"/>
      <c r="O204" s="54" t="str">
        <f aca="false">IF(COUNT(D204:N204)=0,"",SUM(D204:N204))</f>
        <v/>
      </c>
    </row>
    <row r="205" customFormat="false" ht="15" hidden="true" customHeight="false" outlineLevel="1" collapsed="false">
      <c r="A205" s="11" t="s">
        <v>2094</v>
      </c>
      <c r="B205" s="15" t="s">
        <v>2087</v>
      </c>
      <c r="C205" s="11" t="s">
        <v>748</v>
      </c>
      <c r="E205" s="50" t="str">
        <f aca="false">IFERROR(IF(OR(NOT(ISNUMBER(E204)),N(E206)=0),"",E204/E206),"")</f>
        <v/>
      </c>
      <c r="F205" s="50" t="str">
        <f aca="false">IFERROR(IF(OR(NOT(ISNUMBER(F204)),N(F206)=0),"",F204/F206),"")</f>
        <v/>
      </c>
      <c r="G205" s="50" t="str">
        <f aca="false">IFERROR(IF(OR(NOT(ISNUMBER(G204)),N(G206)=0),"",G204/G206),"")</f>
        <v/>
      </c>
      <c r="H205" s="50" t="str">
        <f aca="false">IFERROR(IF(OR(NOT(ISNUMBER(H204)),N(H206)=0),"",H204/H206),"")</f>
        <v/>
      </c>
      <c r="I205" s="50" t="str">
        <f aca="false">IFERROR(IF(OR(NOT(ISNUMBER(I204)),N(I206)=0),"",I204/I206),"")</f>
        <v/>
      </c>
      <c r="J205" s="50" t="str">
        <f aca="false">IFERROR(IF(OR(NOT(ISNUMBER(J204)),N(J206)=0),"",J204/J206),"")</f>
        <v/>
      </c>
      <c r="K205" s="50" t="str">
        <f aca="false">IFERROR(IF(OR(NOT(ISNUMBER(K204)),N(K206)=0),"",K204/K206),"")</f>
        <v/>
      </c>
      <c r="L205" s="50" t="str">
        <f aca="false">IFERROR(IF(OR(NOT(ISNUMBER(L204)),N(L206)=0),"",L204/L206),"")</f>
        <v/>
      </c>
      <c r="M205" s="50" t="str">
        <f aca="false">IFERROR(IF(OR(NOT(ISNUMBER(M204)),N(M206)=0),"",M204/M206),"")</f>
        <v/>
      </c>
      <c r="N205" s="50" t="str">
        <f aca="false">IFERROR(IF(OR(NOT(ISNUMBER(N204)),N(N206)=0),"",N204/N206),"")</f>
        <v/>
      </c>
      <c r="O205" s="68" t="str">
        <f aca="false">IFERROR(IF(OR(NOT(ISNUMBER(O204)),N(O206)=0),"",O204/O206),"")</f>
        <v/>
      </c>
    </row>
    <row r="206" customFormat="false" ht="15" hidden="true" customHeight="false" outlineLevel="1" collapsed="false">
      <c r="A206" s="11" t="s">
        <v>2095</v>
      </c>
      <c r="B206" s="15" t="s">
        <v>2089</v>
      </c>
      <c r="C206" s="11" t="s">
        <v>544</v>
      </c>
      <c r="D206" s="37"/>
      <c r="E206" s="37"/>
      <c r="F206" s="37"/>
      <c r="G206" s="37"/>
      <c r="H206" s="37"/>
      <c r="I206" s="37"/>
      <c r="J206" s="37"/>
      <c r="K206" s="37"/>
      <c r="L206" s="37"/>
      <c r="M206" s="37"/>
      <c r="N206" s="37"/>
      <c r="O206" s="54" t="str">
        <f aca="false">IF(COUNT(D206:N206)=0,"",SUM(D206:N206))</f>
        <v/>
      </c>
    </row>
    <row r="207" customFormat="false" ht="15" hidden="true" customHeight="false" outlineLevel="1" collapsed="false">
      <c r="A207" s="11" t="s">
        <v>2096</v>
      </c>
      <c r="B207" s="53" t="str">
        <f aca="false">IF(INDEX(Prod_Nombre,4)="","Producto 4",INDEX(Prod_Nombre,4))</f>
        <v>Producto 4</v>
      </c>
      <c r="C207" s="11" t="s">
        <v>508</v>
      </c>
      <c r="D207" s="37"/>
      <c r="E207" s="37"/>
      <c r="F207" s="37"/>
      <c r="G207" s="37"/>
      <c r="H207" s="37"/>
      <c r="I207" s="37"/>
      <c r="J207" s="37"/>
      <c r="K207" s="37"/>
      <c r="L207" s="37"/>
      <c r="M207" s="37"/>
      <c r="N207" s="37"/>
      <c r="O207" s="54" t="str">
        <f aca="false">IF(COUNT(D207:N207)=0,"",SUM(D207:N207))</f>
        <v/>
      </c>
    </row>
    <row r="208" customFormat="false" ht="15" hidden="true" customHeight="false" outlineLevel="1" collapsed="false">
      <c r="A208" s="11" t="s">
        <v>2097</v>
      </c>
      <c r="B208" s="15" t="s">
        <v>2087</v>
      </c>
      <c r="C208" s="11" t="s">
        <v>748</v>
      </c>
      <c r="E208" s="50" t="str">
        <f aca="false">IFERROR(IF(OR(NOT(ISNUMBER(E207)),N(E209)=0),"",E207/E209),"")</f>
        <v/>
      </c>
      <c r="F208" s="50" t="str">
        <f aca="false">IFERROR(IF(OR(NOT(ISNUMBER(F207)),N(F209)=0),"",F207/F209),"")</f>
        <v/>
      </c>
      <c r="G208" s="50" t="str">
        <f aca="false">IFERROR(IF(OR(NOT(ISNUMBER(G207)),N(G209)=0),"",G207/G209),"")</f>
        <v/>
      </c>
      <c r="H208" s="50" t="str">
        <f aca="false">IFERROR(IF(OR(NOT(ISNUMBER(H207)),N(H209)=0),"",H207/H209),"")</f>
        <v/>
      </c>
      <c r="I208" s="50" t="str">
        <f aca="false">IFERROR(IF(OR(NOT(ISNUMBER(I207)),N(I209)=0),"",I207/I209),"")</f>
        <v/>
      </c>
      <c r="J208" s="50" t="str">
        <f aca="false">IFERROR(IF(OR(NOT(ISNUMBER(J207)),N(J209)=0),"",J207/J209),"")</f>
        <v/>
      </c>
      <c r="K208" s="50" t="str">
        <f aca="false">IFERROR(IF(OR(NOT(ISNUMBER(K207)),N(K209)=0),"",K207/K209),"")</f>
        <v/>
      </c>
      <c r="L208" s="50" t="str">
        <f aca="false">IFERROR(IF(OR(NOT(ISNUMBER(L207)),N(L209)=0),"",L207/L209),"")</f>
        <v/>
      </c>
      <c r="M208" s="50" t="str">
        <f aca="false">IFERROR(IF(OR(NOT(ISNUMBER(M207)),N(M209)=0),"",M207/M209),"")</f>
        <v/>
      </c>
      <c r="N208" s="50" t="str">
        <f aca="false">IFERROR(IF(OR(NOT(ISNUMBER(N207)),N(N209)=0),"",N207/N209),"")</f>
        <v/>
      </c>
      <c r="O208" s="68" t="str">
        <f aca="false">IFERROR(IF(OR(NOT(ISNUMBER(O207)),N(O209)=0),"",O207/O209),"")</f>
        <v/>
      </c>
    </row>
    <row r="209" customFormat="false" ht="15" hidden="true" customHeight="false" outlineLevel="1" collapsed="false">
      <c r="A209" s="11" t="s">
        <v>2098</v>
      </c>
      <c r="B209" s="15" t="s">
        <v>2089</v>
      </c>
      <c r="C209" s="11" t="s">
        <v>544</v>
      </c>
      <c r="D209" s="37"/>
      <c r="E209" s="37"/>
      <c r="F209" s="37"/>
      <c r="G209" s="37"/>
      <c r="H209" s="37"/>
      <c r="I209" s="37"/>
      <c r="J209" s="37"/>
      <c r="K209" s="37"/>
      <c r="L209" s="37"/>
      <c r="M209" s="37"/>
      <c r="N209" s="37"/>
      <c r="O209" s="54" t="str">
        <f aca="false">IF(COUNT(D209:N209)=0,"",SUM(D209:N209))</f>
        <v/>
      </c>
    </row>
    <row r="210" customFormat="false" ht="15" hidden="true" customHeight="false" outlineLevel="1" collapsed="false">
      <c r="A210" s="11" t="s">
        <v>2099</v>
      </c>
      <c r="B210" s="53" t="str">
        <f aca="false">IF(INDEX(Prod_Nombre,5)="","Producto 5",INDEX(Prod_Nombre,5))</f>
        <v>Producto 5</v>
      </c>
      <c r="C210" s="11" t="s">
        <v>508</v>
      </c>
      <c r="D210" s="37"/>
      <c r="E210" s="37"/>
      <c r="F210" s="37"/>
      <c r="G210" s="37"/>
      <c r="H210" s="37"/>
      <c r="I210" s="37"/>
      <c r="J210" s="37"/>
      <c r="K210" s="37"/>
      <c r="L210" s="37"/>
      <c r="M210" s="37"/>
      <c r="N210" s="37"/>
      <c r="O210" s="54" t="str">
        <f aca="false">IF(COUNT(D210:N210)=0,"",SUM(D210:N210))</f>
        <v/>
      </c>
    </row>
    <row r="211" customFormat="false" ht="15" hidden="true" customHeight="false" outlineLevel="1" collapsed="false">
      <c r="A211" s="11" t="s">
        <v>2100</v>
      </c>
      <c r="B211" s="15" t="s">
        <v>2087</v>
      </c>
      <c r="C211" s="11" t="s">
        <v>748</v>
      </c>
      <c r="E211" s="50" t="str">
        <f aca="false">IFERROR(IF(OR(NOT(ISNUMBER(E210)),N(E212)=0),"",E210/E212),"")</f>
        <v/>
      </c>
      <c r="F211" s="50" t="str">
        <f aca="false">IFERROR(IF(OR(NOT(ISNUMBER(F210)),N(F212)=0),"",F210/F212),"")</f>
        <v/>
      </c>
      <c r="G211" s="50" t="str">
        <f aca="false">IFERROR(IF(OR(NOT(ISNUMBER(G210)),N(G212)=0),"",G210/G212),"")</f>
        <v/>
      </c>
      <c r="H211" s="50" t="str">
        <f aca="false">IFERROR(IF(OR(NOT(ISNUMBER(H210)),N(H212)=0),"",H210/H212),"")</f>
        <v/>
      </c>
      <c r="I211" s="50" t="str">
        <f aca="false">IFERROR(IF(OR(NOT(ISNUMBER(I210)),N(I212)=0),"",I210/I212),"")</f>
        <v/>
      </c>
      <c r="J211" s="50" t="str">
        <f aca="false">IFERROR(IF(OR(NOT(ISNUMBER(J210)),N(J212)=0),"",J210/J212),"")</f>
        <v/>
      </c>
      <c r="K211" s="50" t="str">
        <f aca="false">IFERROR(IF(OR(NOT(ISNUMBER(K210)),N(K212)=0),"",K210/K212),"")</f>
        <v/>
      </c>
      <c r="L211" s="50" t="str">
        <f aca="false">IFERROR(IF(OR(NOT(ISNUMBER(L210)),N(L212)=0),"",L210/L212),"")</f>
        <v/>
      </c>
      <c r="M211" s="50" t="str">
        <f aca="false">IFERROR(IF(OR(NOT(ISNUMBER(M210)),N(M212)=0),"",M210/M212),"")</f>
        <v/>
      </c>
      <c r="N211" s="50" t="str">
        <f aca="false">IFERROR(IF(OR(NOT(ISNUMBER(N210)),N(N212)=0),"",N210/N212),"")</f>
        <v/>
      </c>
      <c r="O211" s="68" t="str">
        <f aca="false">IFERROR(IF(OR(NOT(ISNUMBER(O210)),N(O212)=0),"",O210/O212),"")</f>
        <v/>
      </c>
    </row>
    <row r="212" customFormat="false" ht="15" hidden="true" customHeight="false" outlineLevel="1" collapsed="false">
      <c r="A212" s="11" t="s">
        <v>2101</v>
      </c>
      <c r="B212" s="15" t="s">
        <v>2089</v>
      </c>
      <c r="C212" s="11" t="s">
        <v>544</v>
      </c>
      <c r="D212" s="37"/>
      <c r="E212" s="37"/>
      <c r="F212" s="37"/>
      <c r="G212" s="37"/>
      <c r="H212" s="37"/>
      <c r="I212" s="37"/>
      <c r="J212" s="37"/>
      <c r="K212" s="37"/>
      <c r="L212" s="37"/>
      <c r="M212" s="37"/>
      <c r="N212" s="37"/>
      <c r="O212" s="54" t="str">
        <f aca="false">IF(COUNT(D212:N212)=0,"",SUM(D212:N212))</f>
        <v/>
      </c>
    </row>
    <row r="213" customFormat="false" ht="15" hidden="true" customHeight="false" outlineLevel="1" collapsed="false">
      <c r="A213" s="11" t="s">
        <v>2102</v>
      </c>
      <c r="B213" s="53" t="str">
        <f aca="false">IF(INDEX(Prod_Nombre,6)="","Producto 6",INDEX(Prod_Nombre,6))</f>
        <v>Producto 6</v>
      </c>
      <c r="C213" s="11" t="s">
        <v>508</v>
      </c>
      <c r="D213" s="37"/>
      <c r="E213" s="37"/>
      <c r="F213" s="37"/>
      <c r="G213" s="37"/>
      <c r="H213" s="37"/>
      <c r="I213" s="37"/>
      <c r="J213" s="37"/>
      <c r="K213" s="37"/>
      <c r="L213" s="37"/>
      <c r="M213" s="37"/>
      <c r="N213" s="37"/>
      <c r="O213" s="54" t="str">
        <f aca="false">IF(COUNT(D213:N213)=0,"",SUM(D213:N213))</f>
        <v/>
      </c>
    </row>
    <row r="214" customFormat="false" ht="15" hidden="true" customHeight="false" outlineLevel="1" collapsed="false">
      <c r="A214" s="11" t="s">
        <v>2103</v>
      </c>
      <c r="B214" s="15" t="s">
        <v>2087</v>
      </c>
      <c r="C214" s="11" t="s">
        <v>748</v>
      </c>
      <c r="E214" s="50" t="str">
        <f aca="false">IFERROR(IF(OR(NOT(ISNUMBER(E213)),N(E215)=0),"",E213/E215),"")</f>
        <v/>
      </c>
      <c r="F214" s="50" t="str">
        <f aca="false">IFERROR(IF(OR(NOT(ISNUMBER(F213)),N(F215)=0),"",F213/F215),"")</f>
        <v/>
      </c>
      <c r="G214" s="50" t="str">
        <f aca="false">IFERROR(IF(OR(NOT(ISNUMBER(G213)),N(G215)=0),"",G213/G215),"")</f>
        <v/>
      </c>
      <c r="H214" s="50" t="str">
        <f aca="false">IFERROR(IF(OR(NOT(ISNUMBER(H213)),N(H215)=0),"",H213/H215),"")</f>
        <v/>
      </c>
      <c r="I214" s="50" t="str">
        <f aca="false">IFERROR(IF(OR(NOT(ISNUMBER(I213)),N(I215)=0),"",I213/I215),"")</f>
        <v/>
      </c>
      <c r="J214" s="50" t="str">
        <f aca="false">IFERROR(IF(OR(NOT(ISNUMBER(J213)),N(J215)=0),"",J213/J215),"")</f>
        <v/>
      </c>
      <c r="K214" s="50" t="str">
        <f aca="false">IFERROR(IF(OR(NOT(ISNUMBER(K213)),N(K215)=0),"",K213/K215),"")</f>
        <v/>
      </c>
      <c r="L214" s="50" t="str">
        <f aca="false">IFERROR(IF(OR(NOT(ISNUMBER(L213)),N(L215)=0),"",L213/L215),"")</f>
        <v/>
      </c>
      <c r="M214" s="50" t="str">
        <f aca="false">IFERROR(IF(OR(NOT(ISNUMBER(M213)),N(M215)=0),"",M213/M215),"")</f>
        <v/>
      </c>
      <c r="N214" s="50" t="str">
        <f aca="false">IFERROR(IF(OR(NOT(ISNUMBER(N213)),N(N215)=0),"",N213/N215),"")</f>
        <v/>
      </c>
      <c r="O214" s="68" t="str">
        <f aca="false">IFERROR(IF(OR(NOT(ISNUMBER(O213)),N(O215)=0),"",O213/O215),"")</f>
        <v/>
      </c>
    </row>
    <row r="215" customFormat="false" ht="15" hidden="true" customHeight="false" outlineLevel="1" collapsed="false">
      <c r="A215" s="11" t="s">
        <v>2104</v>
      </c>
      <c r="B215" s="15" t="s">
        <v>2089</v>
      </c>
      <c r="C215" s="11" t="s">
        <v>544</v>
      </c>
      <c r="D215" s="37"/>
      <c r="E215" s="37"/>
      <c r="F215" s="37"/>
      <c r="G215" s="37"/>
      <c r="H215" s="37"/>
      <c r="I215" s="37"/>
      <c r="J215" s="37"/>
      <c r="K215" s="37"/>
      <c r="L215" s="37"/>
      <c r="M215" s="37"/>
      <c r="N215" s="37"/>
      <c r="O215" s="54" t="str">
        <f aca="false">IF(COUNT(D215:N215)=0,"",SUM(D215:N215))</f>
        <v/>
      </c>
    </row>
    <row r="216" customFormat="false" ht="15" hidden="true" customHeight="false" outlineLevel="1" collapsed="false">
      <c r="A216" s="11" t="s">
        <v>2105</v>
      </c>
      <c r="B216" s="53" t="str">
        <f aca="false">IF(INDEX(Prod_Nombre,7)="","Producto 7",INDEX(Prod_Nombre,7))</f>
        <v>Producto 7</v>
      </c>
      <c r="C216" s="11" t="s">
        <v>508</v>
      </c>
      <c r="D216" s="37"/>
      <c r="E216" s="37"/>
      <c r="F216" s="37"/>
      <c r="G216" s="37"/>
      <c r="H216" s="37"/>
      <c r="I216" s="37"/>
      <c r="J216" s="37"/>
      <c r="K216" s="37"/>
      <c r="L216" s="37"/>
      <c r="M216" s="37"/>
      <c r="N216" s="37"/>
      <c r="O216" s="54" t="str">
        <f aca="false">IF(COUNT(D216:N216)=0,"",SUM(D216:N216))</f>
        <v/>
      </c>
    </row>
    <row r="217" customFormat="false" ht="15" hidden="true" customHeight="false" outlineLevel="1" collapsed="false">
      <c r="A217" s="11" t="s">
        <v>2106</v>
      </c>
      <c r="B217" s="15" t="s">
        <v>2087</v>
      </c>
      <c r="C217" s="11" t="s">
        <v>748</v>
      </c>
      <c r="E217" s="50" t="str">
        <f aca="false">IFERROR(IF(OR(NOT(ISNUMBER(E216)),N(E218)=0),"",E216/E218),"")</f>
        <v/>
      </c>
      <c r="F217" s="50" t="str">
        <f aca="false">IFERROR(IF(OR(NOT(ISNUMBER(F216)),N(F218)=0),"",F216/F218),"")</f>
        <v/>
      </c>
      <c r="G217" s="50" t="str">
        <f aca="false">IFERROR(IF(OR(NOT(ISNUMBER(G216)),N(G218)=0),"",G216/G218),"")</f>
        <v/>
      </c>
      <c r="H217" s="50" t="str">
        <f aca="false">IFERROR(IF(OR(NOT(ISNUMBER(H216)),N(H218)=0),"",H216/H218),"")</f>
        <v/>
      </c>
      <c r="I217" s="50" t="str">
        <f aca="false">IFERROR(IF(OR(NOT(ISNUMBER(I216)),N(I218)=0),"",I216/I218),"")</f>
        <v/>
      </c>
      <c r="J217" s="50" t="str">
        <f aca="false">IFERROR(IF(OR(NOT(ISNUMBER(J216)),N(J218)=0),"",J216/J218),"")</f>
        <v/>
      </c>
      <c r="K217" s="50" t="str">
        <f aca="false">IFERROR(IF(OR(NOT(ISNUMBER(K216)),N(K218)=0),"",K216/K218),"")</f>
        <v/>
      </c>
      <c r="L217" s="50" t="str">
        <f aca="false">IFERROR(IF(OR(NOT(ISNUMBER(L216)),N(L218)=0),"",L216/L218),"")</f>
        <v/>
      </c>
      <c r="M217" s="50" t="str">
        <f aca="false">IFERROR(IF(OR(NOT(ISNUMBER(M216)),N(M218)=0),"",M216/M218),"")</f>
        <v/>
      </c>
      <c r="N217" s="50" t="str">
        <f aca="false">IFERROR(IF(OR(NOT(ISNUMBER(N216)),N(N218)=0),"",N216/N218),"")</f>
        <v/>
      </c>
      <c r="O217" s="68" t="str">
        <f aca="false">IFERROR(IF(OR(NOT(ISNUMBER(O216)),N(O218)=0),"",O216/O218),"")</f>
        <v/>
      </c>
    </row>
    <row r="218" customFormat="false" ht="15" hidden="true" customHeight="false" outlineLevel="1" collapsed="false">
      <c r="A218" s="11" t="s">
        <v>2107</v>
      </c>
      <c r="B218" s="15" t="s">
        <v>2089</v>
      </c>
      <c r="C218" s="11" t="s">
        <v>544</v>
      </c>
      <c r="D218" s="37"/>
      <c r="E218" s="37"/>
      <c r="F218" s="37"/>
      <c r="G218" s="37"/>
      <c r="H218" s="37"/>
      <c r="I218" s="37"/>
      <c r="J218" s="37"/>
      <c r="K218" s="37"/>
      <c r="L218" s="37"/>
      <c r="M218" s="37"/>
      <c r="N218" s="37"/>
      <c r="O218" s="54" t="str">
        <f aca="false">IF(COUNT(D218:N218)=0,"",SUM(D218:N218))</f>
        <v/>
      </c>
    </row>
    <row r="219" customFormat="false" ht="15" hidden="true" customHeight="false" outlineLevel="1" collapsed="false">
      <c r="A219" s="11" t="s">
        <v>2108</v>
      </c>
      <c r="B219" s="53" t="str">
        <f aca="false">IF(INDEX(Prod_Nombre,8)="","Producto 8",INDEX(Prod_Nombre,8))</f>
        <v>Producto 8</v>
      </c>
      <c r="C219" s="11" t="s">
        <v>508</v>
      </c>
      <c r="D219" s="37"/>
      <c r="E219" s="37"/>
      <c r="F219" s="37"/>
      <c r="G219" s="37"/>
      <c r="H219" s="37"/>
      <c r="I219" s="37"/>
      <c r="J219" s="37"/>
      <c r="K219" s="37"/>
      <c r="L219" s="37"/>
      <c r="M219" s="37"/>
      <c r="N219" s="37"/>
      <c r="O219" s="54" t="str">
        <f aca="false">IF(COUNT(D219:N219)=0,"",SUM(D219:N219))</f>
        <v/>
      </c>
    </row>
    <row r="220" customFormat="false" ht="15" hidden="true" customHeight="false" outlineLevel="1" collapsed="false">
      <c r="A220" s="11" t="s">
        <v>2109</v>
      </c>
      <c r="B220" s="15" t="s">
        <v>2087</v>
      </c>
      <c r="C220" s="11" t="s">
        <v>748</v>
      </c>
      <c r="E220" s="50" t="str">
        <f aca="false">IFERROR(IF(OR(NOT(ISNUMBER(E219)),N(E221)=0),"",E219/E221),"")</f>
        <v/>
      </c>
      <c r="F220" s="50" t="str">
        <f aca="false">IFERROR(IF(OR(NOT(ISNUMBER(F219)),N(F221)=0),"",F219/F221),"")</f>
        <v/>
      </c>
      <c r="G220" s="50" t="str">
        <f aca="false">IFERROR(IF(OR(NOT(ISNUMBER(G219)),N(G221)=0),"",G219/G221),"")</f>
        <v/>
      </c>
      <c r="H220" s="50" t="str">
        <f aca="false">IFERROR(IF(OR(NOT(ISNUMBER(H219)),N(H221)=0),"",H219/H221),"")</f>
        <v/>
      </c>
      <c r="I220" s="50" t="str">
        <f aca="false">IFERROR(IF(OR(NOT(ISNUMBER(I219)),N(I221)=0),"",I219/I221),"")</f>
        <v/>
      </c>
      <c r="J220" s="50" t="str">
        <f aca="false">IFERROR(IF(OR(NOT(ISNUMBER(J219)),N(J221)=0),"",J219/J221),"")</f>
        <v/>
      </c>
      <c r="K220" s="50" t="str">
        <f aca="false">IFERROR(IF(OR(NOT(ISNUMBER(K219)),N(K221)=0),"",K219/K221),"")</f>
        <v/>
      </c>
      <c r="L220" s="50" t="str">
        <f aca="false">IFERROR(IF(OR(NOT(ISNUMBER(L219)),N(L221)=0),"",L219/L221),"")</f>
        <v/>
      </c>
      <c r="M220" s="50" t="str">
        <f aca="false">IFERROR(IF(OR(NOT(ISNUMBER(M219)),N(M221)=0),"",M219/M221),"")</f>
        <v/>
      </c>
      <c r="N220" s="50" t="str">
        <f aca="false">IFERROR(IF(OR(NOT(ISNUMBER(N219)),N(N221)=0),"",N219/N221),"")</f>
        <v/>
      </c>
      <c r="O220" s="68" t="str">
        <f aca="false">IFERROR(IF(OR(NOT(ISNUMBER(O219)),N(O221)=0),"",O219/O221),"")</f>
        <v/>
      </c>
    </row>
    <row r="221" customFormat="false" ht="15" hidden="true" customHeight="false" outlineLevel="1" collapsed="false">
      <c r="A221" s="11" t="s">
        <v>2110</v>
      </c>
      <c r="B221" s="15" t="s">
        <v>2089</v>
      </c>
      <c r="C221" s="11" t="s">
        <v>544</v>
      </c>
      <c r="D221" s="37"/>
      <c r="E221" s="37"/>
      <c r="F221" s="37"/>
      <c r="G221" s="37"/>
      <c r="H221" s="37"/>
      <c r="I221" s="37"/>
      <c r="J221" s="37"/>
      <c r="K221" s="37"/>
      <c r="L221" s="37"/>
      <c r="M221" s="37"/>
      <c r="N221" s="37"/>
      <c r="O221" s="54" t="str">
        <f aca="false">IF(COUNT(D221:N221)=0,"",SUM(D221:N221))</f>
        <v/>
      </c>
    </row>
    <row r="222" customFormat="false" ht="15" hidden="true" customHeight="false" outlineLevel="1" collapsed="false">
      <c r="A222" s="11" t="s">
        <v>2111</v>
      </c>
      <c r="B222" s="53" t="str">
        <f aca="false">IF(INDEX(Prod_Nombre,9)="","Producto 9",INDEX(Prod_Nombre,9))</f>
        <v>Producto 9</v>
      </c>
      <c r="C222" s="11" t="s">
        <v>508</v>
      </c>
      <c r="D222" s="37"/>
      <c r="E222" s="37"/>
      <c r="F222" s="37"/>
      <c r="G222" s="37"/>
      <c r="H222" s="37"/>
      <c r="I222" s="37"/>
      <c r="J222" s="37"/>
      <c r="K222" s="37"/>
      <c r="L222" s="37"/>
      <c r="M222" s="37"/>
      <c r="N222" s="37"/>
      <c r="O222" s="54" t="str">
        <f aca="false">IF(COUNT(D222:N222)=0,"",SUM(D222:N222))</f>
        <v/>
      </c>
    </row>
    <row r="223" customFormat="false" ht="15" hidden="true" customHeight="false" outlineLevel="1" collapsed="false">
      <c r="A223" s="11" t="s">
        <v>2112</v>
      </c>
      <c r="B223" s="15" t="s">
        <v>2087</v>
      </c>
      <c r="C223" s="11" t="s">
        <v>748</v>
      </c>
      <c r="E223" s="50" t="str">
        <f aca="false">IFERROR(IF(OR(NOT(ISNUMBER(E222)),N(E224)=0),"",E222/E224),"")</f>
        <v/>
      </c>
      <c r="F223" s="50" t="str">
        <f aca="false">IFERROR(IF(OR(NOT(ISNUMBER(F222)),N(F224)=0),"",F222/F224),"")</f>
        <v/>
      </c>
      <c r="G223" s="50" t="str">
        <f aca="false">IFERROR(IF(OR(NOT(ISNUMBER(G222)),N(G224)=0),"",G222/G224),"")</f>
        <v/>
      </c>
      <c r="H223" s="50" t="str">
        <f aca="false">IFERROR(IF(OR(NOT(ISNUMBER(H222)),N(H224)=0),"",H222/H224),"")</f>
        <v/>
      </c>
      <c r="I223" s="50" t="str">
        <f aca="false">IFERROR(IF(OR(NOT(ISNUMBER(I222)),N(I224)=0),"",I222/I224),"")</f>
        <v/>
      </c>
      <c r="J223" s="50" t="str">
        <f aca="false">IFERROR(IF(OR(NOT(ISNUMBER(J222)),N(J224)=0),"",J222/J224),"")</f>
        <v/>
      </c>
      <c r="K223" s="50" t="str">
        <f aca="false">IFERROR(IF(OR(NOT(ISNUMBER(K222)),N(K224)=0),"",K222/K224),"")</f>
        <v/>
      </c>
      <c r="L223" s="50" t="str">
        <f aca="false">IFERROR(IF(OR(NOT(ISNUMBER(L222)),N(L224)=0),"",L222/L224),"")</f>
        <v/>
      </c>
      <c r="M223" s="50" t="str">
        <f aca="false">IFERROR(IF(OR(NOT(ISNUMBER(M222)),N(M224)=0),"",M222/M224),"")</f>
        <v/>
      </c>
      <c r="N223" s="50" t="str">
        <f aca="false">IFERROR(IF(OR(NOT(ISNUMBER(N222)),N(N224)=0),"",N222/N224),"")</f>
        <v/>
      </c>
      <c r="O223" s="68" t="str">
        <f aca="false">IFERROR(IF(OR(NOT(ISNUMBER(O222)),N(O224)=0),"",O222/O224),"")</f>
        <v/>
      </c>
    </row>
    <row r="224" customFormat="false" ht="15" hidden="true" customHeight="false" outlineLevel="1" collapsed="false">
      <c r="A224" s="11" t="s">
        <v>2113</v>
      </c>
      <c r="B224" s="15" t="s">
        <v>2089</v>
      </c>
      <c r="C224" s="11" t="s">
        <v>544</v>
      </c>
      <c r="D224" s="37"/>
      <c r="E224" s="37"/>
      <c r="F224" s="37"/>
      <c r="G224" s="37"/>
      <c r="H224" s="37"/>
      <c r="I224" s="37"/>
      <c r="J224" s="37"/>
      <c r="K224" s="37"/>
      <c r="L224" s="37"/>
      <c r="M224" s="37"/>
      <c r="N224" s="37"/>
      <c r="O224" s="54" t="str">
        <f aca="false">IF(COUNT(D224:N224)=0,"",SUM(D224:N224))</f>
        <v/>
      </c>
    </row>
    <row r="225" customFormat="false" ht="15" hidden="true" customHeight="false" outlineLevel="1" collapsed="false">
      <c r="A225" s="11" t="s">
        <v>2114</v>
      </c>
      <c r="B225" s="53" t="str">
        <f aca="false">IF(INDEX(Prod_Nombre,10)="","Producto 10",INDEX(Prod_Nombre,10))</f>
        <v>Producto 10</v>
      </c>
      <c r="C225" s="11" t="s">
        <v>508</v>
      </c>
      <c r="D225" s="37"/>
      <c r="E225" s="37"/>
      <c r="F225" s="37"/>
      <c r="G225" s="37"/>
      <c r="H225" s="37"/>
      <c r="I225" s="37"/>
      <c r="J225" s="37"/>
      <c r="K225" s="37"/>
      <c r="L225" s="37"/>
      <c r="M225" s="37"/>
      <c r="N225" s="37"/>
      <c r="O225" s="54" t="str">
        <f aca="false">IF(COUNT(D225:N225)=0,"",SUM(D225:N225))</f>
        <v/>
      </c>
    </row>
    <row r="226" customFormat="false" ht="15" hidden="true" customHeight="false" outlineLevel="1" collapsed="false">
      <c r="A226" s="11" t="s">
        <v>2115</v>
      </c>
      <c r="B226" s="15" t="s">
        <v>2087</v>
      </c>
      <c r="C226" s="11" t="s">
        <v>748</v>
      </c>
      <c r="E226" s="50" t="str">
        <f aca="false">IFERROR(IF(OR(NOT(ISNUMBER(E225)),N(E227)=0),"",E225/E227),"")</f>
        <v/>
      </c>
      <c r="F226" s="50" t="str">
        <f aca="false">IFERROR(IF(OR(NOT(ISNUMBER(F225)),N(F227)=0),"",F225/F227),"")</f>
        <v/>
      </c>
      <c r="G226" s="50" t="str">
        <f aca="false">IFERROR(IF(OR(NOT(ISNUMBER(G225)),N(G227)=0),"",G225/G227),"")</f>
        <v/>
      </c>
      <c r="H226" s="50" t="str">
        <f aca="false">IFERROR(IF(OR(NOT(ISNUMBER(H225)),N(H227)=0),"",H225/H227),"")</f>
        <v/>
      </c>
      <c r="I226" s="50" t="str">
        <f aca="false">IFERROR(IF(OR(NOT(ISNUMBER(I225)),N(I227)=0),"",I225/I227),"")</f>
        <v/>
      </c>
      <c r="J226" s="50" t="str">
        <f aca="false">IFERROR(IF(OR(NOT(ISNUMBER(J225)),N(J227)=0),"",J225/J227),"")</f>
        <v/>
      </c>
      <c r="K226" s="50" t="str">
        <f aca="false">IFERROR(IF(OR(NOT(ISNUMBER(K225)),N(K227)=0),"",K225/K227),"")</f>
        <v/>
      </c>
      <c r="L226" s="50" t="str">
        <f aca="false">IFERROR(IF(OR(NOT(ISNUMBER(L225)),N(L227)=0),"",L225/L227),"")</f>
        <v/>
      </c>
      <c r="M226" s="50" t="str">
        <f aca="false">IFERROR(IF(OR(NOT(ISNUMBER(M225)),N(M227)=0),"",M225/M227),"")</f>
        <v/>
      </c>
      <c r="N226" s="50" t="str">
        <f aca="false">IFERROR(IF(OR(NOT(ISNUMBER(N225)),N(N227)=0),"",N225/N227),"")</f>
        <v/>
      </c>
      <c r="O226" s="68" t="str">
        <f aca="false">IFERROR(IF(OR(NOT(ISNUMBER(O225)),N(O227)=0),"",O225/O227),"")</f>
        <v/>
      </c>
    </row>
    <row r="227" customFormat="false" ht="15" hidden="true" customHeight="false" outlineLevel="1" collapsed="false">
      <c r="A227" s="11" t="s">
        <v>2116</v>
      </c>
      <c r="B227" s="15" t="s">
        <v>2089</v>
      </c>
      <c r="C227" s="11" t="s">
        <v>544</v>
      </c>
      <c r="D227" s="37"/>
      <c r="E227" s="37"/>
      <c r="F227" s="37"/>
      <c r="G227" s="37"/>
      <c r="H227" s="37"/>
      <c r="I227" s="37"/>
      <c r="J227" s="37"/>
      <c r="K227" s="37"/>
      <c r="L227" s="37"/>
      <c r="M227" s="37"/>
      <c r="N227" s="37"/>
      <c r="O227" s="54" t="str">
        <f aca="false">IF(COUNT(D227:N227)=0,"",SUM(D227:N227))</f>
        <v/>
      </c>
    </row>
    <row r="228" customFormat="false" ht="15" hidden="true" customHeight="false" outlineLevel="1" collapsed="false">
      <c r="A228" s="11" t="s">
        <v>2117</v>
      </c>
      <c r="B228" s="53" t="str">
        <f aca="false">IF(INDEX(Prod_Nombre,11)="","Producto 11",INDEX(Prod_Nombre,11))</f>
        <v>Producto 11</v>
      </c>
      <c r="C228" s="11" t="s">
        <v>508</v>
      </c>
      <c r="D228" s="37"/>
      <c r="E228" s="37"/>
      <c r="F228" s="37"/>
      <c r="G228" s="37"/>
      <c r="H228" s="37"/>
      <c r="I228" s="37"/>
      <c r="J228" s="37"/>
      <c r="K228" s="37"/>
      <c r="L228" s="37"/>
      <c r="M228" s="37"/>
      <c r="N228" s="37"/>
      <c r="O228" s="54" t="str">
        <f aca="false">IF(COUNT(D228:N228)=0,"",SUM(D228:N228))</f>
        <v/>
      </c>
    </row>
    <row r="229" customFormat="false" ht="15" hidden="true" customHeight="false" outlineLevel="1" collapsed="false">
      <c r="A229" s="11" t="s">
        <v>2118</v>
      </c>
      <c r="B229" s="15" t="s">
        <v>2087</v>
      </c>
      <c r="C229" s="11" t="s">
        <v>748</v>
      </c>
      <c r="E229" s="50" t="str">
        <f aca="false">IFERROR(IF(OR(NOT(ISNUMBER(E228)),N(E230)=0),"",E228/E230),"")</f>
        <v/>
      </c>
      <c r="F229" s="50" t="str">
        <f aca="false">IFERROR(IF(OR(NOT(ISNUMBER(F228)),N(F230)=0),"",F228/F230),"")</f>
        <v/>
      </c>
      <c r="G229" s="50" t="str">
        <f aca="false">IFERROR(IF(OR(NOT(ISNUMBER(G228)),N(G230)=0),"",G228/G230),"")</f>
        <v/>
      </c>
      <c r="H229" s="50" t="str">
        <f aca="false">IFERROR(IF(OR(NOT(ISNUMBER(H228)),N(H230)=0),"",H228/H230),"")</f>
        <v/>
      </c>
      <c r="I229" s="50" t="str">
        <f aca="false">IFERROR(IF(OR(NOT(ISNUMBER(I228)),N(I230)=0),"",I228/I230),"")</f>
        <v/>
      </c>
      <c r="J229" s="50" t="str">
        <f aca="false">IFERROR(IF(OR(NOT(ISNUMBER(J228)),N(J230)=0),"",J228/J230),"")</f>
        <v/>
      </c>
      <c r="K229" s="50" t="str">
        <f aca="false">IFERROR(IF(OR(NOT(ISNUMBER(K228)),N(K230)=0),"",K228/K230),"")</f>
        <v/>
      </c>
      <c r="L229" s="50" t="str">
        <f aca="false">IFERROR(IF(OR(NOT(ISNUMBER(L228)),N(L230)=0),"",L228/L230),"")</f>
        <v/>
      </c>
      <c r="M229" s="50" t="str">
        <f aca="false">IFERROR(IF(OR(NOT(ISNUMBER(M228)),N(M230)=0),"",M228/M230),"")</f>
        <v/>
      </c>
      <c r="N229" s="50" t="str">
        <f aca="false">IFERROR(IF(OR(NOT(ISNUMBER(N228)),N(N230)=0),"",N228/N230),"")</f>
        <v/>
      </c>
      <c r="O229" s="68" t="str">
        <f aca="false">IFERROR(IF(OR(NOT(ISNUMBER(O228)),N(O230)=0),"",O228/O230),"")</f>
        <v/>
      </c>
    </row>
    <row r="230" customFormat="false" ht="15" hidden="true" customHeight="false" outlineLevel="1" collapsed="false">
      <c r="A230" s="11" t="s">
        <v>2119</v>
      </c>
      <c r="B230" s="15" t="s">
        <v>2089</v>
      </c>
      <c r="C230" s="11" t="s">
        <v>544</v>
      </c>
      <c r="D230" s="37"/>
      <c r="E230" s="37"/>
      <c r="F230" s="37"/>
      <c r="G230" s="37"/>
      <c r="H230" s="37"/>
      <c r="I230" s="37"/>
      <c r="J230" s="37"/>
      <c r="K230" s="37"/>
      <c r="L230" s="37"/>
      <c r="M230" s="37"/>
      <c r="N230" s="37"/>
      <c r="O230" s="54" t="str">
        <f aca="false">IF(COUNT(D230:N230)=0,"",SUM(D230:N230))</f>
        <v/>
      </c>
    </row>
    <row r="231" customFormat="false" ht="15" hidden="true" customHeight="false" outlineLevel="1" collapsed="false">
      <c r="A231" s="11" t="s">
        <v>2120</v>
      </c>
      <c r="B231" s="53" t="str">
        <f aca="false">IF(INDEX(Prod_Nombre,12)="","Producto 12",INDEX(Prod_Nombre,12))</f>
        <v>Producto 12</v>
      </c>
      <c r="C231" s="11" t="s">
        <v>508</v>
      </c>
      <c r="D231" s="37"/>
      <c r="E231" s="37"/>
      <c r="F231" s="37"/>
      <c r="G231" s="37"/>
      <c r="H231" s="37"/>
      <c r="I231" s="37"/>
      <c r="J231" s="37"/>
      <c r="K231" s="37"/>
      <c r="L231" s="37"/>
      <c r="M231" s="37"/>
      <c r="N231" s="37"/>
      <c r="O231" s="54" t="str">
        <f aca="false">IF(COUNT(D231:N231)=0,"",SUM(D231:N231))</f>
        <v/>
      </c>
    </row>
    <row r="232" customFormat="false" ht="15" hidden="true" customHeight="false" outlineLevel="1" collapsed="false">
      <c r="A232" s="11" t="s">
        <v>2121</v>
      </c>
      <c r="B232" s="15" t="s">
        <v>2087</v>
      </c>
      <c r="C232" s="11" t="s">
        <v>748</v>
      </c>
      <c r="E232" s="50" t="str">
        <f aca="false">IFERROR(IF(OR(NOT(ISNUMBER(E231)),N(E233)=0),"",E231/E233),"")</f>
        <v/>
      </c>
      <c r="F232" s="50" t="str">
        <f aca="false">IFERROR(IF(OR(NOT(ISNUMBER(F231)),N(F233)=0),"",F231/F233),"")</f>
        <v/>
      </c>
      <c r="G232" s="50" t="str">
        <f aca="false">IFERROR(IF(OR(NOT(ISNUMBER(G231)),N(G233)=0),"",G231/G233),"")</f>
        <v/>
      </c>
      <c r="H232" s="50" t="str">
        <f aca="false">IFERROR(IF(OR(NOT(ISNUMBER(H231)),N(H233)=0),"",H231/H233),"")</f>
        <v/>
      </c>
      <c r="I232" s="50" t="str">
        <f aca="false">IFERROR(IF(OR(NOT(ISNUMBER(I231)),N(I233)=0),"",I231/I233),"")</f>
        <v/>
      </c>
      <c r="J232" s="50" t="str">
        <f aca="false">IFERROR(IF(OR(NOT(ISNUMBER(J231)),N(J233)=0),"",J231/J233),"")</f>
        <v/>
      </c>
      <c r="K232" s="50" t="str">
        <f aca="false">IFERROR(IF(OR(NOT(ISNUMBER(K231)),N(K233)=0),"",K231/K233),"")</f>
        <v/>
      </c>
      <c r="L232" s="50" t="str">
        <f aca="false">IFERROR(IF(OR(NOT(ISNUMBER(L231)),N(L233)=0),"",L231/L233),"")</f>
        <v/>
      </c>
      <c r="M232" s="50" t="str">
        <f aca="false">IFERROR(IF(OR(NOT(ISNUMBER(M231)),N(M233)=0),"",M231/M233),"")</f>
        <v/>
      </c>
      <c r="N232" s="50" t="str">
        <f aca="false">IFERROR(IF(OR(NOT(ISNUMBER(N231)),N(N233)=0),"",N231/N233),"")</f>
        <v/>
      </c>
      <c r="O232" s="68" t="str">
        <f aca="false">IFERROR(IF(OR(NOT(ISNUMBER(O231)),N(O233)=0),"",O231/O233),"")</f>
        <v/>
      </c>
    </row>
    <row r="233" customFormat="false" ht="15" hidden="true" customHeight="false" outlineLevel="1" collapsed="false">
      <c r="A233" s="11" t="s">
        <v>2122</v>
      </c>
      <c r="B233" s="15" t="s">
        <v>2089</v>
      </c>
      <c r="C233" s="11" t="s">
        <v>544</v>
      </c>
      <c r="D233" s="37"/>
      <c r="E233" s="37"/>
      <c r="F233" s="37"/>
      <c r="G233" s="37"/>
      <c r="H233" s="37"/>
      <c r="I233" s="37"/>
      <c r="J233" s="37"/>
      <c r="K233" s="37"/>
      <c r="L233" s="37"/>
      <c r="M233" s="37"/>
      <c r="N233" s="37"/>
      <c r="O233" s="54" t="str">
        <f aca="false">IF(COUNT(D233:N233)=0,"",SUM(D233:N233))</f>
        <v/>
      </c>
    </row>
    <row r="234" customFormat="false" ht="15" hidden="true" customHeight="false" outlineLevel="1" collapsed="false">
      <c r="A234" s="11" t="s">
        <v>2123</v>
      </c>
      <c r="B234" s="53" t="str">
        <f aca="false">IF(INDEX(Prod_Nombre,13)="","Producto 13",INDEX(Prod_Nombre,13))</f>
        <v>Producto 13</v>
      </c>
      <c r="C234" s="11" t="s">
        <v>508</v>
      </c>
      <c r="D234" s="37"/>
      <c r="E234" s="37"/>
      <c r="F234" s="37"/>
      <c r="G234" s="37"/>
      <c r="H234" s="37"/>
      <c r="I234" s="37"/>
      <c r="J234" s="37"/>
      <c r="K234" s="37"/>
      <c r="L234" s="37"/>
      <c r="M234" s="37"/>
      <c r="N234" s="37"/>
      <c r="O234" s="54" t="str">
        <f aca="false">IF(COUNT(D234:N234)=0,"",SUM(D234:N234))</f>
        <v/>
      </c>
    </row>
    <row r="235" customFormat="false" ht="15" hidden="true" customHeight="false" outlineLevel="1" collapsed="false">
      <c r="A235" s="11" t="s">
        <v>2124</v>
      </c>
      <c r="B235" s="15" t="s">
        <v>2087</v>
      </c>
      <c r="C235" s="11" t="s">
        <v>748</v>
      </c>
      <c r="E235" s="50" t="str">
        <f aca="false">IFERROR(IF(OR(NOT(ISNUMBER(E234)),N(E236)=0),"",E234/E236),"")</f>
        <v/>
      </c>
      <c r="F235" s="50" t="str">
        <f aca="false">IFERROR(IF(OR(NOT(ISNUMBER(F234)),N(F236)=0),"",F234/F236),"")</f>
        <v/>
      </c>
      <c r="G235" s="50" t="str">
        <f aca="false">IFERROR(IF(OR(NOT(ISNUMBER(G234)),N(G236)=0),"",G234/G236),"")</f>
        <v/>
      </c>
      <c r="H235" s="50" t="str">
        <f aca="false">IFERROR(IF(OR(NOT(ISNUMBER(H234)),N(H236)=0),"",H234/H236),"")</f>
        <v/>
      </c>
      <c r="I235" s="50" t="str">
        <f aca="false">IFERROR(IF(OR(NOT(ISNUMBER(I234)),N(I236)=0),"",I234/I236),"")</f>
        <v/>
      </c>
      <c r="J235" s="50" t="str">
        <f aca="false">IFERROR(IF(OR(NOT(ISNUMBER(J234)),N(J236)=0),"",J234/J236),"")</f>
        <v/>
      </c>
      <c r="K235" s="50" t="str">
        <f aca="false">IFERROR(IF(OR(NOT(ISNUMBER(K234)),N(K236)=0),"",K234/K236),"")</f>
        <v/>
      </c>
      <c r="L235" s="50" t="str">
        <f aca="false">IFERROR(IF(OR(NOT(ISNUMBER(L234)),N(L236)=0),"",L234/L236),"")</f>
        <v/>
      </c>
      <c r="M235" s="50" t="str">
        <f aca="false">IFERROR(IF(OR(NOT(ISNUMBER(M234)),N(M236)=0),"",M234/M236),"")</f>
        <v/>
      </c>
      <c r="N235" s="50" t="str">
        <f aca="false">IFERROR(IF(OR(NOT(ISNUMBER(N234)),N(N236)=0),"",N234/N236),"")</f>
        <v/>
      </c>
      <c r="O235" s="68" t="str">
        <f aca="false">IFERROR(IF(OR(NOT(ISNUMBER(O234)),N(O236)=0),"",O234/O236),"")</f>
        <v/>
      </c>
    </row>
    <row r="236" customFormat="false" ht="15" hidden="true" customHeight="false" outlineLevel="1" collapsed="false">
      <c r="A236" s="11" t="s">
        <v>2125</v>
      </c>
      <c r="B236" s="15" t="s">
        <v>2089</v>
      </c>
      <c r="C236" s="11" t="s">
        <v>544</v>
      </c>
      <c r="D236" s="37"/>
      <c r="E236" s="37"/>
      <c r="F236" s="37"/>
      <c r="G236" s="37"/>
      <c r="H236" s="37"/>
      <c r="I236" s="37"/>
      <c r="J236" s="37"/>
      <c r="K236" s="37"/>
      <c r="L236" s="37"/>
      <c r="M236" s="37"/>
      <c r="N236" s="37"/>
      <c r="O236" s="54" t="str">
        <f aca="false">IF(COUNT(D236:N236)=0,"",SUM(D236:N236))</f>
        <v/>
      </c>
    </row>
    <row r="237" customFormat="false" ht="15" hidden="true" customHeight="false" outlineLevel="1" collapsed="false">
      <c r="A237" s="11" t="s">
        <v>2126</v>
      </c>
      <c r="B237" s="53" t="str">
        <f aca="false">IF(INDEX(Prod_Nombre,14)="","Producto 14",INDEX(Prod_Nombre,14))</f>
        <v>Producto 14</v>
      </c>
      <c r="C237" s="11" t="s">
        <v>508</v>
      </c>
      <c r="D237" s="37"/>
      <c r="E237" s="37"/>
      <c r="F237" s="37"/>
      <c r="G237" s="37"/>
      <c r="H237" s="37"/>
      <c r="I237" s="37"/>
      <c r="J237" s="37"/>
      <c r="K237" s="37"/>
      <c r="L237" s="37"/>
      <c r="M237" s="37"/>
      <c r="N237" s="37"/>
      <c r="O237" s="54" t="str">
        <f aca="false">IF(COUNT(D237:N237)=0,"",SUM(D237:N237))</f>
        <v/>
      </c>
    </row>
    <row r="238" customFormat="false" ht="15" hidden="true" customHeight="false" outlineLevel="1" collapsed="false">
      <c r="A238" s="11" t="s">
        <v>2127</v>
      </c>
      <c r="B238" s="15" t="s">
        <v>2087</v>
      </c>
      <c r="C238" s="11" t="s">
        <v>748</v>
      </c>
      <c r="E238" s="50" t="str">
        <f aca="false">IFERROR(IF(OR(NOT(ISNUMBER(E237)),N(E239)=0),"",E237/E239),"")</f>
        <v/>
      </c>
      <c r="F238" s="50" t="str">
        <f aca="false">IFERROR(IF(OR(NOT(ISNUMBER(F237)),N(F239)=0),"",F237/F239),"")</f>
        <v/>
      </c>
      <c r="G238" s="50" t="str">
        <f aca="false">IFERROR(IF(OR(NOT(ISNUMBER(G237)),N(G239)=0),"",G237/G239),"")</f>
        <v/>
      </c>
      <c r="H238" s="50" t="str">
        <f aca="false">IFERROR(IF(OR(NOT(ISNUMBER(H237)),N(H239)=0),"",H237/H239),"")</f>
        <v/>
      </c>
      <c r="I238" s="50" t="str">
        <f aca="false">IFERROR(IF(OR(NOT(ISNUMBER(I237)),N(I239)=0),"",I237/I239),"")</f>
        <v/>
      </c>
      <c r="J238" s="50" t="str">
        <f aca="false">IFERROR(IF(OR(NOT(ISNUMBER(J237)),N(J239)=0),"",J237/J239),"")</f>
        <v/>
      </c>
      <c r="K238" s="50" t="str">
        <f aca="false">IFERROR(IF(OR(NOT(ISNUMBER(K237)),N(K239)=0),"",K237/K239),"")</f>
        <v/>
      </c>
      <c r="L238" s="50" t="str">
        <f aca="false">IFERROR(IF(OR(NOT(ISNUMBER(L237)),N(L239)=0),"",L237/L239),"")</f>
        <v/>
      </c>
      <c r="M238" s="50" t="str">
        <f aca="false">IFERROR(IF(OR(NOT(ISNUMBER(M237)),N(M239)=0),"",M237/M239),"")</f>
        <v/>
      </c>
      <c r="N238" s="50" t="str">
        <f aca="false">IFERROR(IF(OR(NOT(ISNUMBER(N237)),N(N239)=0),"",N237/N239),"")</f>
        <v/>
      </c>
      <c r="O238" s="68" t="str">
        <f aca="false">IFERROR(IF(OR(NOT(ISNUMBER(O237)),N(O239)=0),"",O237/O239),"")</f>
        <v/>
      </c>
    </row>
    <row r="239" customFormat="false" ht="15" hidden="true" customHeight="false" outlineLevel="1" collapsed="false">
      <c r="A239" s="11" t="s">
        <v>2128</v>
      </c>
      <c r="B239" s="15" t="s">
        <v>2089</v>
      </c>
      <c r="C239" s="11" t="s">
        <v>544</v>
      </c>
      <c r="D239" s="37"/>
      <c r="E239" s="37"/>
      <c r="F239" s="37"/>
      <c r="G239" s="37"/>
      <c r="H239" s="37"/>
      <c r="I239" s="37"/>
      <c r="J239" s="37"/>
      <c r="K239" s="37"/>
      <c r="L239" s="37"/>
      <c r="M239" s="37"/>
      <c r="N239" s="37"/>
      <c r="O239" s="54" t="str">
        <f aca="false">IF(COUNT(D239:N239)=0,"",SUM(D239:N239))</f>
        <v/>
      </c>
    </row>
    <row r="240" customFormat="false" ht="15" hidden="true" customHeight="false" outlineLevel="1" collapsed="false">
      <c r="A240" s="11" t="s">
        <v>2129</v>
      </c>
      <c r="B240" s="53" t="str">
        <f aca="false">IF(INDEX(Prod_Nombre,15)="","Producto 15",INDEX(Prod_Nombre,15))</f>
        <v>Producto 15</v>
      </c>
      <c r="C240" s="11" t="s">
        <v>508</v>
      </c>
      <c r="D240" s="37"/>
      <c r="E240" s="37"/>
      <c r="F240" s="37"/>
      <c r="G240" s="37"/>
      <c r="H240" s="37"/>
      <c r="I240" s="37"/>
      <c r="J240" s="37"/>
      <c r="K240" s="37"/>
      <c r="L240" s="37"/>
      <c r="M240" s="37"/>
      <c r="N240" s="37"/>
      <c r="O240" s="54" t="str">
        <f aca="false">IF(COUNT(D240:N240)=0,"",SUM(D240:N240))</f>
        <v/>
      </c>
    </row>
    <row r="241" customFormat="false" ht="15" hidden="true" customHeight="false" outlineLevel="1" collapsed="false">
      <c r="A241" s="11" t="s">
        <v>2130</v>
      </c>
      <c r="B241" s="15" t="s">
        <v>2087</v>
      </c>
      <c r="C241" s="11" t="s">
        <v>748</v>
      </c>
      <c r="E241" s="50" t="str">
        <f aca="false">IFERROR(IF(OR(NOT(ISNUMBER(E240)),N(E242)=0),"",E240/E242),"")</f>
        <v/>
      </c>
      <c r="F241" s="50" t="str">
        <f aca="false">IFERROR(IF(OR(NOT(ISNUMBER(F240)),N(F242)=0),"",F240/F242),"")</f>
        <v/>
      </c>
      <c r="G241" s="50" t="str">
        <f aca="false">IFERROR(IF(OR(NOT(ISNUMBER(G240)),N(G242)=0),"",G240/G242),"")</f>
        <v/>
      </c>
      <c r="H241" s="50" t="str">
        <f aca="false">IFERROR(IF(OR(NOT(ISNUMBER(H240)),N(H242)=0),"",H240/H242),"")</f>
        <v/>
      </c>
      <c r="I241" s="50" t="str">
        <f aca="false">IFERROR(IF(OR(NOT(ISNUMBER(I240)),N(I242)=0),"",I240/I242),"")</f>
        <v/>
      </c>
      <c r="J241" s="50" t="str">
        <f aca="false">IFERROR(IF(OR(NOT(ISNUMBER(J240)),N(J242)=0),"",J240/J242),"")</f>
        <v/>
      </c>
      <c r="K241" s="50" t="str">
        <f aca="false">IFERROR(IF(OR(NOT(ISNUMBER(K240)),N(K242)=0),"",K240/K242),"")</f>
        <v/>
      </c>
      <c r="L241" s="50" t="str">
        <f aca="false">IFERROR(IF(OR(NOT(ISNUMBER(L240)),N(L242)=0),"",L240/L242),"")</f>
        <v/>
      </c>
      <c r="M241" s="50" t="str">
        <f aca="false">IFERROR(IF(OR(NOT(ISNUMBER(M240)),N(M242)=0),"",M240/M242),"")</f>
        <v/>
      </c>
      <c r="N241" s="50" t="str">
        <f aca="false">IFERROR(IF(OR(NOT(ISNUMBER(N240)),N(N242)=0),"",N240/N242),"")</f>
        <v/>
      </c>
      <c r="O241" s="68" t="str">
        <f aca="false">IFERROR(IF(OR(NOT(ISNUMBER(O240)),N(O242)=0),"",O240/O242),"")</f>
        <v/>
      </c>
    </row>
    <row r="242" customFormat="false" ht="15" hidden="true" customHeight="false" outlineLevel="1" collapsed="false">
      <c r="A242" s="11" t="s">
        <v>2131</v>
      </c>
      <c r="B242" s="15" t="s">
        <v>2089</v>
      </c>
      <c r="C242" s="11" t="s">
        <v>544</v>
      </c>
      <c r="D242" s="37"/>
      <c r="E242" s="37"/>
      <c r="F242" s="37"/>
      <c r="G242" s="37"/>
      <c r="H242" s="37"/>
      <c r="I242" s="37"/>
      <c r="J242" s="37"/>
      <c r="K242" s="37"/>
      <c r="L242" s="37"/>
      <c r="M242" s="37"/>
      <c r="N242" s="37"/>
      <c r="O242" s="54" t="str">
        <f aca="false">IF(COUNT(D242:N242)=0,"",SUM(D242:N242))</f>
        <v/>
      </c>
    </row>
    <row r="243" customFormat="false" ht="15" hidden="true" customHeight="false" outlineLevel="1" collapsed="false">
      <c r="A243" s="11" t="s">
        <v>2132</v>
      </c>
      <c r="B243" s="53" t="str">
        <f aca="false">IF(INDEX(Prod_Nombre,16)="","Producto 16",INDEX(Prod_Nombre,16))</f>
        <v>Producto 16</v>
      </c>
      <c r="C243" s="11" t="s">
        <v>508</v>
      </c>
      <c r="D243" s="37"/>
      <c r="E243" s="37"/>
      <c r="F243" s="37"/>
      <c r="G243" s="37"/>
      <c r="H243" s="37"/>
      <c r="I243" s="37"/>
      <c r="J243" s="37"/>
      <c r="K243" s="37"/>
      <c r="L243" s="37"/>
      <c r="M243" s="37"/>
      <c r="N243" s="37"/>
      <c r="O243" s="54" t="str">
        <f aca="false">IF(COUNT(D243:N243)=0,"",SUM(D243:N243))</f>
        <v/>
      </c>
    </row>
    <row r="244" customFormat="false" ht="15" hidden="true" customHeight="false" outlineLevel="1" collapsed="false">
      <c r="A244" s="11" t="s">
        <v>2133</v>
      </c>
      <c r="B244" s="15" t="s">
        <v>2087</v>
      </c>
      <c r="C244" s="11" t="s">
        <v>748</v>
      </c>
      <c r="E244" s="50" t="str">
        <f aca="false">IFERROR(IF(OR(NOT(ISNUMBER(E243)),N(E245)=0),"",E243/E245),"")</f>
        <v/>
      </c>
      <c r="F244" s="50" t="str">
        <f aca="false">IFERROR(IF(OR(NOT(ISNUMBER(F243)),N(F245)=0),"",F243/F245),"")</f>
        <v/>
      </c>
      <c r="G244" s="50" t="str">
        <f aca="false">IFERROR(IF(OR(NOT(ISNUMBER(G243)),N(G245)=0),"",G243/G245),"")</f>
        <v/>
      </c>
      <c r="H244" s="50" t="str">
        <f aca="false">IFERROR(IF(OR(NOT(ISNUMBER(H243)),N(H245)=0),"",H243/H245),"")</f>
        <v/>
      </c>
      <c r="I244" s="50" t="str">
        <f aca="false">IFERROR(IF(OR(NOT(ISNUMBER(I243)),N(I245)=0),"",I243/I245),"")</f>
        <v/>
      </c>
      <c r="J244" s="50" t="str">
        <f aca="false">IFERROR(IF(OR(NOT(ISNUMBER(J243)),N(J245)=0),"",J243/J245),"")</f>
        <v/>
      </c>
      <c r="K244" s="50" t="str">
        <f aca="false">IFERROR(IF(OR(NOT(ISNUMBER(K243)),N(K245)=0),"",K243/K245),"")</f>
        <v/>
      </c>
      <c r="L244" s="50" t="str">
        <f aca="false">IFERROR(IF(OR(NOT(ISNUMBER(L243)),N(L245)=0),"",L243/L245),"")</f>
        <v/>
      </c>
      <c r="M244" s="50" t="str">
        <f aca="false">IFERROR(IF(OR(NOT(ISNUMBER(M243)),N(M245)=0),"",M243/M245),"")</f>
        <v/>
      </c>
      <c r="N244" s="50" t="str">
        <f aca="false">IFERROR(IF(OR(NOT(ISNUMBER(N243)),N(N245)=0),"",N243/N245),"")</f>
        <v/>
      </c>
      <c r="O244" s="68" t="str">
        <f aca="false">IFERROR(IF(OR(NOT(ISNUMBER(O243)),N(O245)=0),"",O243/O245),"")</f>
        <v/>
      </c>
    </row>
    <row r="245" customFormat="false" ht="15" hidden="true" customHeight="false" outlineLevel="1" collapsed="false">
      <c r="A245" s="11" t="s">
        <v>2134</v>
      </c>
      <c r="B245" s="15" t="s">
        <v>2089</v>
      </c>
      <c r="C245" s="11" t="s">
        <v>544</v>
      </c>
      <c r="D245" s="37"/>
      <c r="E245" s="37"/>
      <c r="F245" s="37"/>
      <c r="G245" s="37"/>
      <c r="H245" s="37"/>
      <c r="I245" s="37"/>
      <c r="J245" s="37"/>
      <c r="K245" s="37"/>
      <c r="L245" s="37"/>
      <c r="M245" s="37"/>
      <c r="N245" s="37"/>
      <c r="O245" s="54" t="str">
        <f aca="false">IF(COUNT(D245:N245)=0,"",SUM(D245:N245))</f>
        <v/>
      </c>
    </row>
    <row r="246" customFormat="false" ht="15" hidden="true" customHeight="false" outlineLevel="1" collapsed="false">
      <c r="A246" s="11" t="s">
        <v>2135</v>
      </c>
      <c r="B246" s="53" t="str">
        <f aca="false">IF(INDEX(Prod_Nombre,17)="","Producto 17",INDEX(Prod_Nombre,17))</f>
        <v>Producto 17</v>
      </c>
      <c r="C246" s="11" t="s">
        <v>508</v>
      </c>
      <c r="D246" s="37"/>
      <c r="E246" s="37"/>
      <c r="F246" s="37"/>
      <c r="G246" s="37"/>
      <c r="H246" s="37"/>
      <c r="I246" s="37"/>
      <c r="J246" s="37"/>
      <c r="K246" s="37"/>
      <c r="L246" s="37"/>
      <c r="M246" s="37"/>
      <c r="N246" s="37"/>
      <c r="O246" s="54" t="str">
        <f aca="false">IF(COUNT(D246:N246)=0,"",SUM(D246:N246))</f>
        <v/>
      </c>
    </row>
    <row r="247" customFormat="false" ht="15" hidden="true" customHeight="false" outlineLevel="1" collapsed="false">
      <c r="A247" s="11" t="s">
        <v>2136</v>
      </c>
      <c r="B247" s="15" t="s">
        <v>2087</v>
      </c>
      <c r="C247" s="11" t="s">
        <v>748</v>
      </c>
      <c r="E247" s="50" t="str">
        <f aca="false">IFERROR(IF(OR(NOT(ISNUMBER(E246)),N(E248)=0),"",E246/E248),"")</f>
        <v/>
      </c>
      <c r="F247" s="50" t="str">
        <f aca="false">IFERROR(IF(OR(NOT(ISNUMBER(F246)),N(F248)=0),"",F246/F248),"")</f>
        <v/>
      </c>
      <c r="G247" s="50" t="str">
        <f aca="false">IFERROR(IF(OR(NOT(ISNUMBER(G246)),N(G248)=0),"",G246/G248),"")</f>
        <v/>
      </c>
      <c r="H247" s="50" t="str">
        <f aca="false">IFERROR(IF(OR(NOT(ISNUMBER(H246)),N(H248)=0),"",H246/H248),"")</f>
        <v/>
      </c>
      <c r="I247" s="50" t="str">
        <f aca="false">IFERROR(IF(OR(NOT(ISNUMBER(I246)),N(I248)=0),"",I246/I248),"")</f>
        <v/>
      </c>
      <c r="J247" s="50" t="str">
        <f aca="false">IFERROR(IF(OR(NOT(ISNUMBER(J246)),N(J248)=0),"",J246/J248),"")</f>
        <v/>
      </c>
      <c r="K247" s="50" t="str">
        <f aca="false">IFERROR(IF(OR(NOT(ISNUMBER(K246)),N(K248)=0),"",K246/K248),"")</f>
        <v/>
      </c>
      <c r="L247" s="50" t="str">
        <f aca="false">IFERROR(IF(OR(NOT(ISNUMBER(L246)),N(L248)=0),"",L246/L248),"")</f>
        <v/>
      </c>
      <c r="M247" s="50" t="str">
        <f aca="false">IFERROR(IF(OR(NOT(ISNUMBER(M246)),N(M248)=0),"",M246/M248),"")</f>
        <v/>
      </c>
      <c r="N247" s="50" t="str">
        <f aca="false">IFERROR(IF(OR(NOT(ISNUMBER(N246)),N(N248)=0),"",N246/N248),"")</f>
        <v/>
      </c>
      <c r="O247" s="68" t="str">
        <f aca="false">IFERROR(IF(OR(NOT(ISNUMBER(O246)),N(O248)=0),"",O246/O248),"")</f>
        <v/>
      </c>
    </row>
    <row r="248" customFormat="false" ht="15" hidden="true" customHeight="false" outlineLevel="1" collapsed="false">
      <c r="A248" s="11" t="s">
        <v>2137</v>
      </c>
      <c r="B248" s="15" t="s">
        <v>2089</v>
      </c>
      <c r="C248" s="11" t="s">
        <v>544</v>
      </c>
      <c r="D248" s="37"/>
      <c r="E248" s="37"/>
      <c r="F248" s="37"/>
      <c r="G248" s="37"/>
      <c r="H248" s="37"/>
      <c r="I248" s="37"/>
      <c r="J248" s="37"/>
      <c r="K248" s="37"/>
      <c r="L248" s="37"/>
      <c r="M248" s="37"/>
      <c r="N248" s="37"/>
      <c r="O248" s="54" t="str">
        <f aca="false">IF(COUNT(D248:N248)=0,"",SUM(D248:N248))</f>
        <v/>
      </c>
    </row>
    <row r="249" customFormat="false" ht="15" hidden="true" customHeight="false" outlineLevel="1" collapsed="false">
      <c r="A249" s="11" t="s">
        <v>2138</v>
      </c>
      <c r="B249" s="53" t="str">
        <f aca="false">IF(INDEX(Prod_Nombre,18)="","Producto 18",INDEX(Prod_Nombre,18))</f>
        <v>Producto 18</v>
      </c>
      <c r="C249" s="11" t="s">
        <v>508</v>
      </c>
      <c r="D249" s="37"/>
      <c r="E249" s="37"/>
      <c r="F249" s="37"/>
      <c r="G249" s="37"/>
      <c r="H249" s="37"/>
      <c r="I249" s="37"/>
      <c r="J249" s="37"/>
      <c r="K249" s="37"/>
      <c r="L249" s="37"/>
      <c r="M249" s="37"/>
      <c r="N249" s="37"/>
      <c r="O249" s="54" t="str">
        <f aca="false">IF(COUNT(D249:N249)=0,"",SUM(D249:N249))</f>
        <v/>
      </c>
    </row>
    <row r="250" customFormat="false" ht="15" hidden="true" customHeight="false" outlineLevel="1" collapsed="false">
      <c r="A250" s="11" t="s">
        <v>2139</v>
      </c>
      <c r="B250" s="15" t="s">
        <v>2087</v>
      </c>
      <c r="C250" s="11" t="s">
        <v>748</v>
      </c>
      <c r="E250" s="50" t="str">
        <f aca="false">IFERROR(IF(OR(NOT(ISNUMBER(E249)),N(E251)=0),"",E249/E251),"")</f>
        <v/>
      </c>
      <c r="F250" s="50" t="str">
        <f aca="false">IFERROR(IF(OR(NOT(ISNUMBER(F249)),N(F251)=0),"",F249/F251),"")</f>
        <v/>
      </c>
      <c r="G250" s="50" t="str">
        <f aca="false">IFERROR(IF(OR(NOT(ISNUMBER(G249)),N(G251)=0),"",G249/G251),"")</f>
        <v/>
      </c>
      <c r="H250" s="50" t="str">
        <f aca="false">IFERROR(IF(OR(NOT(ISNUMBER(H249)),N(H251)=0),"",H249/H251),"")</f>
        <v/>
      </c>
      <c r="I250" s="50" t="str">
        <f aca="false">IFERROR(IF(OR(NOT(ISNUMBER(I249)),N(I251)=0),"",I249/I251),"")</f>
        <v/>
      </c>
      <c r="J250" s="50" t="str">
        <f aca="false">IFERROR(IF(OR(NOT(ISNUMBER(J249)),N(J251)=0),"",J249/J251),"")</f>
        <v/>
      </c>
      <c r="K250" s="50" t="str">
        <f aca="false">IFERROR(IF(OR(NOT(ISNUMBER(K249)),N(K251)=0),"",K249/K251),"")</f>
        <v/>
      </c>
      <c r="L250" s="50" t="str">
        <f aca="false">IFERROR(IF(OR(NOT(ISNUMBER(L249)),N(L251)=0),"",L249/L251),"")</f>
        <v/>
      </c>
      <c r="M250" s="50" t="str">
        <f aca="false">IFERROR(IF(OR(NOT(ISNUMBER(M249)),N(M251)=0),"",M249/M251),"")</f>
        <v/>
      </c>
      <c r="N250" s="50" t="str">
        <f aca="false">IFERROR(IF(OR(NOT(ISNUMBER(N249)),N(N251)=0),"",N249/N251),"")</f>
        <v/>
      </c>
      <c r="O250" s="68" t="str">
        <f aca="false">IFERROR(IF(OR(NOT(ISNUMBER(O249)),N(O251)=0),"",O249/O251),"")</f>
        <v/>
      </c>
    </row>
    <row r="251" customFormat="false" ht="15" hidden="true" customHeight="false" outlineLevel="1" collapsed="false">
      <c r="A251" s="11" t="s">
        <v>2140</v>
      </c>
      <c r="B251" s="15" t="s">
        <v>2089</v>
      </c>
      <c r="C251" s="11" t="s">
        <v>544</v>
      </c>
      <c r="D251" s="37"/>
      <c r="E251" s="37"/>
      <c r="F251" s="37"/>
      <c r="G251" s="37"/>
      <c r="H251" s="37"/>
      <c r="I251" s="37"/>
      <c r="J251" s="37"/>
      <c r="K251" s="37"/>
      <c r="L251" s="37"/>
      <c r="M251" s="37"/>
      <c r="N251" s="37"/>
      <c r="O251" s="54" t="str">
        <f aca="false">IF(COUNT(D251:N251)=0,"",SUM(D251:N251))</f>
        <v/>
      </c>
    </row>
    <row r="252" customFormat="false" ht="15" hidden="true" customHeight="false" outlineLevel="1" collapsed="false">
      <c r="A252" s="11" t="s">
        <v>2141</v>
      </c>
      <c r="B252" s="53" t="str">
        <f aca="false">IF(INDEX(Prod_Nombre,19)="","Producto 19",INDEX(Prod_Nombre,19))</f>
        <v>Producto 19</v>
      </c>
      <c r="C252" s="11" t="s">
        <v>508</v>
      </c>
      <c r="D252" s="37"/>
      <c r="E252" s="37"/>
      <c r="F252" s="37"/>
      <c r="G252" s="37"/>
      <c r="H252" s="37"/>
      <c r="I252" s="37"/>
      <c r="J252" s="37"/>
      <c r="K252" s="37"/>
      <c r="L252" s="37"/>
      <c r="M252" s="37"/>
      <c r="N252" s="37"/>
      <c r="O252" s="54" t="str">
        <f aca="false">IF(COUNT(D252:N252)=0,"",SUM(D252:N252))</f>
        <v/>
      </c>
    </row>
    <row r="253" customFormat="false" ht="15" hidden="true" customHeight="false" outlineLevel="1" collapsed="false">
      <c r="A253" s="11" t="s">
        <v>2142</v>
      </c>
      <c r="B253" s="15" t="s">
        <v>2087</v>
      </c>
      <c r="C253" s="11" t="s">
        <v>748</v>
      </c>
      <c r="E253" s="50" t="str">
        <f aca="false">IFERROR(IF(OR(NOT(ISNUMBER(E252)),N(E254)=0),"",E252/E254),"")</f>
        <v/>
      </c>
      <c r="F253" s="50" t="str">
        <f aca="false">IFERROR(IF(OR(NOT(ISNUMBER(F252)),N(F254)=0),"",F252/F254),"")</f>
        <v/>
      </c>
      <c r="G253" s="50" t="str">
        <f aca="false">IFERROR(IF(OR(NOT(ISNUMBER(G252)),N(G254)=0),"",G252/G254),"")</f>
        <v/>
      </c>
      <c r="H253" s="50" t="str">
        <f aca="false">IFERROR(IF(OR(NOT(ISNUMBER(H252)),N(H254)=0),"",H252/H254),"")</f>
        <v/>
      </c>
      <c r="I253" s="50" t="str">
        <f aca="false">IFERROR(IF(OR(NOT(ISNUMBER(I252)),N(I254)=0),"",I252/I254),"")</f>
        <v/>
      </c>
      <c r="J253" s="50" t="str">
        <f aca="false">IFERROR(IF(OR(NOT(ISNUMBER(J252)),N(J254)=0),"",J252/J254),"")</f>
        <v/>
      </c>
      <c r="K253" s="50" t="str">
        <f aca="false">IFERROR(IF(OR(NOT(ISNUMBER(K252)),N(K254)=0),"",K252/K254),"")</f>
        <v/>
      </c>
      <c r="L253" s="50" t="str">
        <f aca="false">IFERROR(IF(OR(NOT(ISNUMBER(L252)),N(L254)=0),"",L252/L254),"")</f>
        <v/>
      </c>
      <c r="M253" s="50" t="str">
        <f aca="false">IFERROR(IF(OR(NOT(ISNUMBER(M252)),N(M254)=0),"",M252/M254),"")</f>
        <v/>
      </c>
      <c r="N253" s="50" t="str">
        <f aca="false">IFERROR(IF(OR(NOT(ISNUMBER(N252)),N(N254)=0),"",N252/N254),"")</f>
        <v/>
      </c>
      <c r="O253" s="68" t="str">
        <f aca="false">IFERROR(IF(OR(NOT(ISNUMBER(O252)),N(O254)=0),"",O252/O254),"")</f>
        <v/>
      </c>
    </row>
    <row r="254" customFormat="false" ht="15" hidden="true" customHeight="false" outlineLevel="1" collapsed="false">
      <c r="A254" s="11" t="s">
        <v>2143</v>
      </c>
      <c r="B254" s="15" t="s">
        <v>2089</v>
      </c>
      <c r="C254" s="11" t="s">
        <v>544</v>
      </c>
      <c r="D254" s="37"/>
      <c r="E254" s="37"/>
      <c r="F254" s="37"/>
      <c r="G254" s="37"/>
      <c r="H254" s="37"/>
      <c r="I254" s="37"/>
      <c r="J254" s="37"/>
      <c r="K254" s="37"/>
      <c r="L254" s="37"/>
      <c r="M254" s="37"/>
      <c r="N254" s="37"/>
      <c r="O254" s="54" t="str">
        <f aca="false">IF(COUNT(D254:N254)=0,"",SUM(D254:N254))</f>
        <v/>
      </c>
    </row>
    <row r="255" customFormat="false" ht="15" hidden="true" customHeight="false" outlineLevel="1" collapsed="false">
      <c r="A255" s="11" t="s">
        <v>2144</v>
      </c>
      <c r="B255" s="53" t="str">
        <f aca="false">IF(INDEX(Prod_Nombre,20)="","Producto 20",INDEX(Prod_Nombre,20))</f>
        <v>Producto 20</v>
      </c>
      <c r="C255" s="11" t="s">
        <v>508</v>
      </c>
      <c r="D255" s="37"/>
      <c r="E255" s="37"/>
      <c r="F255" s="37"/>
      <c r="G255" s="37"/>
      <c r="H255" s="37"/>
      <c r="I255" s="37"/>
      <c r="J255" s="37"/>
      <c r="K255" s="37"/>
      <c r="L255" s="37"/>
      <c r="M255" s="37"/>
      <c r="N255" s="37"/>
      <c r="O255" s="54" t="str">
        <f aca="false">IF(COUNT(D255:N255)=0,"",SUM(D255:N255))</f>
        <v/>
      </c>
    </row>
    <row r="256" customFormat="false" ht="15" hidden="true" customHeight="false" outlineLevel="1" collapsed="false">
      <c r="A256" s="11" t="s">
        <v>2145</v>
      </c>
      <c r="B256" s="15" t="s">
        <v>2087</v>
      </c>
      <c r="C256" s="11" t="s">
        <v>748</v>
      </c>
      <c r="E256" s="50" t="str">
        <f aca="false">IFERROR(IF(OR(NOT(ISNUMBER(E255)),N(E257)=0),"",E255/E257),"")</f>
        <v/>
      </c>
      <c r="F256" s="50" t="str">
        <f aca="false">IFERROR(IF(OR(NOT(ISNUMBER(F255)),N(F257)=0),"",F255/F257),"")</f>
        <v/>
      </c>
      <c r="G256" s="50" t="str">
        <f aca="false">IFERROR(IF(OR(NOT(ISNUMBER(G255)),N(G257)=0),"",G255/G257),"")</f>
        <v/>
      </c>
      <c r="H256" s="50" t="str">
        <f aca="false">IFERROR(IF(OR(NOT(ISNUMBER(H255)),N(H257)=0),"",H255/H257),"")</f>
        <v/>
      </c>
      <c r="I256" s="50" t="str">
        <f aca="false">IFERROR(IF(OR(NOT(ISNUMBER(I255)),N(I257)=0),"",I255/I257),"")</f>
        <v/>
      </c>
      <c r="J256" s="50" t="str">
        <f aca="false">IFERROR(IF(OR(NOT(ISNUMBER(J255)),N(J257)=0),"",J255/J257),"")</f>
        <v/>
      </c>
      <c r="K256" s="50" t="str">
        <f aca="false">IFERROR(IF(OR(NOT(ISNUMBER(K255)),N(K257)=0),"",K255/K257),"")</f>
        <v/>
      </c>
      <c r="L256" s="50" t="str">
        <f aca="false">IFERROR(IF(OR(NOT(ISNUMBER(L255)),N(L257)=0),"",L255/L257),"")</f>
        <v/>
      </c>
      <c r="M256" s="50" t="str">
        <f aca="false">IFERROR(IF(OR(NOT(ISNUMBER(M255)),N(M257)=0),"",M255/M257),"")</f>
        <v/>
      </c>
      <c r="N256" s="50" t="str">
        <f aca="false">IFERROR(IF(OR(NOT(ISNUMBER(N255)),N(N257)=0),"",N255/N257),"")</f>
        <v/>
      </c>
      <c r="O256" s="68" t="str">
        <f aca="false">IFERROR(IF(OR(NOT(ISNUMBER(O255)),N(O257)=0),"",O255/O257),"")</f>
        <v/>
      </c>
    </row>
    <row r="257" customFormat="false" ht="15" hidden="true" customHeight="false" outlineLevel="1" collapsed="false">
      <c r="A257" s="11" t="s">
        <v>2146</v>
      </c>
      <c r="B257" s="15" t="s">
        <v>2089</v>
      </c>
      <c r="C257" s="11" t="s">
        <v>544</v>
      </c>
      <c r="D257" s="37"/>
      <c r="E257" s="37"/>
      <c r="F257" s="37"/>
      <c r="G257" s="37"/>
      <c r="H257" s="37"/>
      <c r="I257" s="37"/>
      <c r="J257" s="37"/>
      <c r="K257" s="37"/>
      <c r="L257" s="37"/>
      <c r="M257" s="37"/>
      <c r="N257" s="37"/>
      <c r="O257" s="54" t="str">
        <f aca="false">IF(COUNT(D257:N257)=0,"",SUM(D257:N257))</f>
        <v/>
      </c>
    </row>
    <row r="258" customFormat="false" ht="15" hidden="true" customHeight="false" outlineLevel="1" collapsed="false">
      <c r="A258" s="11" t="s">
        <v>2147</v>
      </c>
      <c r="B258" s="53" t="str">
        <f aca="false">IF(INDEX(Prod_Nombre,21)="","Producto 21",INDEX(Prod_Nombre,21))</f>
        <v>Producto 21</v>
      </c>
      <c r="C258" s="11" t="s">
        <v>508</v>
      </c>
      <c r="D258" s="37"/>
      <c r="E258" s="37"/>
      <c r="F258" s="37"/>
      <c r="G258" s="37"/>
      <c r="H258" s="37"/>
      <c r="I258" s="37"/>
      <c r="J258" s="37"/>
      <c r="K258" s="37"/>
      <c r="L258" s="37"/>
      <c r="M258" s="37"/>
      <c r="N258" s="37"/>
      <c r="O258" s="54" t="str">
        <f aca="false">IF(COUNT(D258:N258)=0,"",SUM(D258:N258))</f>
        <v/>
      </c>
    </row>
    <row r="259" customFormat="false" ht="15" hidden="true" customHeight="false" outlineLevel="1" collapsed="false">
      <c r="A259" s="11" t="s">
        <v>2148</v>
      </c>
      <c r="B259" s="15" t="s">
        <v>2087</v>
      </c>
      <c r="C259" s="11" t="s">
        <v>748</v>
      </c>
      <c r="E259" s="50" t="str">
        <f aca="false">IFERROR(IF(OR(NOT(ISNUMBER(E258)),N(E260)=0),"",E258/E260),"")</f>
        <v/>
      </c>
      <c r="F259" s="50" t="str">
        <f aca="false">IFERROR(IF(OR(NOT(ISNUMBER(F258)),N(F260)=0),"",F258/F260),"")</f>
        <v/>
      </c>
      <c r="G259" s="50" t="str">
        <f aca="false">IFERROR(IF(OR(NOT(ISNUMBER(G258)),N(G260)=0),"",G258/G260),"")</f>
        <v/>
      </c>
      <c r="H259" s="50" t="str">
        <f aca="false">IFERROR(IF(OR(NOT(ISNUMBER(H258)),N(H260)=0),"",H258/H260),"")</f>
        <v/>
      </c>
      <c r="I259" s="50" t="str">
        <f aca="false">IFERROR(IF(OR(NOT(ISNUMBER(I258)),N(I260)=0),"",I258/I260),"")</f>
        <v/>
      </c>
      <c r="J259" s="50" t="str">
        <f aca="false">IFERROR(IF(OR(NOT(ISNUMBER(J258)),N(J260)=0),"",J258/J260),"")</f>
        <v/>
      </c>
      <c r="K259" s="50" t="str">
        <f aca="false">IFERROR(IF(OR(NOT(ISNUMBER(K258)),N(K260)=0),"",K258/K260),"")</f>
        <v/>
      </c>
      <c r="L259" s="50" t="str">
        <f aca="false">IFERROR(IF(OR(NOT(ISNUMBER(L258)),N(L260)=0),"",L258/L260),"")</f>
        <v/>
      </c>
      <c r="M259" s="50" t="str">
        <f aca="false">IFERROR(IF(OR(NOT(ISNUMBER(M258)),N(M260)=0),"",M258/M260),"")</f>
        <v/>
      </c>
      <c r="N259" s="50" t="str">
        <f aca="false">IFERROR(IF(OR(NOT(ISNUMBER(N258)),N(N260)=0),"",N258/N260),"")</f>
        <v/>
      </c>
      <c r="O259" s="68" t="str">
        <f aca="false">IFERROR(IF(OR(NOT(ISNUMBER(O258)),N(O260)=0),"",O258/O260),"")</f>
        <v/>
      </c>
    </row>
    <row r="260" customFormat="false" ht="15" hidden="true" customHeight="false" outlineLevel="1" collapsed="false">
      <c r="A260" s="11" t="s">
        <v>2149</v>
      </c>
      <c r="B260" s="15" t="s">
        <v>2089</v>
      </c>
      <c r="C260" s="11" t="s">
        <v>544</v>
      </c>
      <c r="D260" s="37"/>
      <c r="E260" s="37"/>
      <c r="F260" s="37"/>
      <c r="G260" s="37"/>
      <c r="H260" s="37"/>
      <c r="I260" s="37"/>
      <c r="J260" s="37"/>
      <c r="K260" s="37"/>
      <c r="L260" s="37"/>
      <c r="M260" s="37"/>
      <c r="N260" s="37"/>
      <c r="O260" s="54" t="str">
        <f aca="false">IF(COUNT(D260:N260)=0,"",SUM(D260:N260))</f>
        <v/>
      </c>
    </row>
    <row r="261" customFormat="false" ht="15" hidden="true" customHeight="false" outlineLevel="1" collapsed="false">
      <c r="A261" s="11" t="s">
        <v>2150</v>
      </c>
      <c r="B261" s="53" t="str">
        <f aca="false">IF(INDEX(Prod_Nombre,22)="","Producto 22",INDEX(Prod_Nombre,22))</f>
        <v>Producto 22</v>
      </c>
      <c r="C261" s="11" t="s">
        <v>508</v>
      </c>
      <c r="D261" s="37"/>
      <c r="E261" s="37"/>
      <c r="F261" s="37"/>
      <c r="G261" s="37"/>
      <c r="H261" s="37"/>
      <c r="I261" s="37"/>
      <c r="J261" s="37"/>
      <c r="K261" s="37"/>
      <c r="L261" s="37"/>
      <c r="M261" s="37"/>
      <c r="N261" s="37"/>
      <c r="O261" s="54" t="str">
        <f aca="false">IF(COUNT(D261:N261)=0,"",SUM(D261:N261))</f>
        <v/>
      </c>
    </row>
    <row r="262" customFormat="false" ht="15" hidden="true" customHeight="false" outlineLevel="1" collapsed="false">
      <c r="A262" s="11" t="s">
        <v>2151</v>
      </c>
      <c r="B262" s="15" t="s">
        <v>2087</v>
      </c>
      <c r="C262" s="11" t="s">
        <v>748</v>
      </c>
      <c r="E262" s="50" t="str">
        <f aca="false">IFERROR(IF(OR(NOT(ISNUMBER(E261)),N(E263)=0),"",E261/E263),"")</f>
        <v/>
      </c>
      <c r="F262" s="50" t="str">
        <f aca="false">IFERROR(IF(OR(NOT(ISNUMBER(F261)),N(F263)=0),"",F261/F263),"")</f>
        <v/>
      </c>
      <c r="G262" s="50" t="str">
        <f aca="false">IFERROR(IF(OR(NOT(ISNUMBER(G261)),N(G263)=0),"",G261/G263),"")</f>
        <v/>
      </c>
      <c r="H262" s="50" t="str">
        <f aca="false">IFERROR(IF(OR(NOT(ISNUMBER(H261)),N(H263)=0),"",H261/H263),"")</f>
        <v/>
      </c>
      <c r="I262" s="50" t="str">
        <f aca="false">IFERROR(IF(OR(NOT(ISNUMBER(I261)),N(I263)=0),"",I261/I263),"")</f>
        <v/>
      </c>
      <c r="J262" s="50" t="str">
        <f aca="false">IFERROR(IF(OR(NOT(ISNUMBER(J261)),N(J263)=0),"",J261/J263),"")</f>
        <v/>
      </c>
      <c r="K262" s="50" t="str">
        <f aca="false">IFERROR(IF(OR(NOT(ISNUMBER(K261)),N(K263)=0),"",K261/K263),"")</f>
        <v/>
      </c>
      <c r="L262" s="50" t="str">
        <f aca="false">IFERROR(IF(OR(NOT(ISNUMBER(L261)),N(L263)=0),"",L261/L263),"")</f>
        <v/>
      </c>
      <c r="M262" s="50" t="str">
        <f aca="false">IFERROR(IF(OR(NOT(ISNUMBER(M261)),N(M263)=0),"",M261/M263),"")</f>
        <v/>
      </c>
      <c r="N262" s="50" t="str">
        <f aca="false">IFERROR(IF(OR(NOT(ISNUMBER(N261)),N(N263)=0),"",N261/N263),"")</f>
        <v/>
      </c>
      <c r="O262" s="68" t="str">
        <f aca="false">IFERROR(IF(OR(NOT(ISNUMBER(O261)),N(O263)=0),"",O261/O263),"")</f>
        <v/>
      </c>
    </row>
    <row r="263" customFormat="false" ht="15" hidden="true" customHeight="false" outlineLevel="1" collapsed="false">
      <c r="A263" s="11" t="s">
        <v>2152</v>
      </c>
      <c r="B263" s="15" t="s">
        <v>2089</v>
      </c>
      <c r="C263" s="11" t="s">
        <v>544</v>
      </c>
      <c r="D263" s="37"/>
      <c r="E263" s="37"/>
      <c r="F263" s="37"/>
      <c r="G263" s="37"/>
      <c r="H263" s="37"/>
      <c r="I263" s="37"/>
      <c r="J263" s="37"/>
      <c r="K263" s="37"/>
      <c r="L263" s="37"/>
      <c r="M263" s="37"/>
      <c r="N263" s="37"/>
      <c r="O263" s="54" t="str">
        <f aca="false">IF(COUNT(D263:N263)=0,"",SUM(D263:N263))</f>
        <v/>
      </c>
    </row>
    <row r="264" customFormat="false" ht="15" hidden="true" customHeight="false" outlineLevel="1" collapsed="false">
      <c r="A264" s="11" t="s">
        <v>2153</v>
      </c>
      <c r="B264" s="53" t="str">
        <f aca="false">IF(INDEX(Prod_Nombre,23)="","Producto 23",INDEX(Prod_Nombre,23))</f>
        <v>Producto 23</v>
      </c>
      <c r="C264" s="11" t="s">
        <v>508</v>
      </c>
      <c r="D264" s="37"/>
      <c r="E264" s="37"/>
      <c r="F264" s="37"/>
      <c r="G264" s="37"/>
      <c r="H264" s="37"/>
      <c r="I264" s="37"/>
      <c r="J264" s="37"/>
      <c r="K264" s="37"/>
      <c r="L264" s="37"/>
      <c r="M264" s="37"/>
      <c r="N264" s="37"/>
      <c r="O264" s="54" t="str">
        <f aca="false">IF(COUNT(D264:N264)=0,"",SUM(D264:N264))</f>
        <v/>
      </c>
    </row>
    <row r="265" customFormat="false" ht="15" hidden="true" customHeight="false" outlineLevel="1" collapsed="false">
      <c r="A265" s="11" t="s">
        <v>2154</v>
      </c>
      <c r="B265" s="15" t="s">
        <v>2087</v>
      </c>
      <c r="C265" s="11" t="s">
        <v>748</v>
      </c>
      <c r="E265" s="50" t="str">
        <f aca="false">IFERROR(IF(OR(NOT(ISNUMBER(E264)),N(E266)=0),"",E264/E266),"")</f>
        <v/>
      </c>
      <c r="F265" s="50" t="str">
        <f aca="false">IFERROR(IF(OR(NOT(ISNUMBER(F264)),N(F266)=0),"",F264/F266),"")</f>
        <v/>
      </c>
      <c r="G265" s="50" t="str">
        <f aca="false">IFERROR(IF(OR(NOT(ISNUMBER(G264)),N(G266)=0),"",G264/G266),"")</f>
        <v/>
      </c>
      <c r="H265" s="50" t="str">
        <f aca="false">IFERROR(IF(OR(NOT(ISNUMBER(H264)),N(H266)=0),"",H264/H266),"")</f>
        <v/>
      </c>
      <c r="I265" s="50" t="str">
        <f aca="false">IFERROR(IF(OR(NOT(ISNUMBER(I264)),N(I266)=0),"",I264/I266),"")</f>
        <v/>
      </c>
      <c r="J265" s="50" t="str">
        <f aca="false">IFERROR(IF(OR(NOT(ISNUMBER(J264)),N(J266)=0),"",J264/J266),"")</f>
        <v/>
      </c>
      <c r="K265" s="50" t="str">
        <f aca="false">IFERROR(IF(OR(NOT(ISNUMBER(K264)),N(K266)=0),"",K264/K266),"")</f>
        <v/>
      </c>
      <c r="L265" s="50" t="str">
        <f aca="false">IFERROR(IF(OR(NOT(ISNUMBER(L264)),N(L266)=0),"",L264/L266),"")</f>
        <v/>
      </c>
      <c r="M265" s="50" t="str">
        <f aca="false">IFERROR(IF(OR(NOT(ISNUMBER(M264)),N(M266)=0),"",M264/M266),"")</f>
        <v/>
      </c>
      <c r="N265" s="50" t="str">
        <f aca="false">IFERROR(IF(OR(NOT(ISNUMBER(N264)),N(N266)=0),"",N264/N266),"")</f>
        <v/>
      </c>
      <c r="O265" s="68" t="str">
        <f aca="false">IFERROR(IF(OR(NOT(ISNUMBER(O264)),N(O266)=0),"",O264/O266),"")</f>
        <v/>
      </c>
    </row>
    <row r="266" customFormat="false" ht="15" hidden="true" customHeight="false" outlineLevel="1" collapsed="false">
      <c r="A266" s="11" t="s">
        <v>2155</v>
      </c>
      <c r="B266" s="15" t="s">
        <v>2089</v>
      </c>
      <c r="C266" s="11" t="s">
        <v>544</v>
      </c>
      <c r="D266" s="37"/>
      <c r="E266" s="37"/>
      <c r="F266" s="37"/>
      <c r="G266" s="37"/>
      <c r="H266" s="37"/>
      <c r="I266" s="37"/>
      <c r="J266" s="37"/>
      <c r="K266" s="37"/>
      <c r="L266" s="37"/>
      <c r="M266" s="37"/>
      <c r="N266" s="37"/>
      <c r="O266" s="54" t="str">
        <f aca="false">IF(COUNT(D266:N266)=0,"",SUM(D266:N266))</f>
        <v/>
      </c>
    </row>
    <row r="267" customFormat="false" ht="15" hidden="true" customHeight="false" outlineLevel="1" collapsed="false">
      <c r="A267" s="11" t="s">
        <v>2156</v>
      </c>
      <c r="B267" s="53" t="str">
        <f aca="false">IF(INDEX(Prod_Nombre,24)="","Producto 24",INDEX(Prod_Nombre,24))</f>
        <v>Producto 24</v>
      </c>
      <c r="C267" s="11" t="s">
        <v>508</v>
      </c>
      <c r="D267" s="37"/>
      <c r="E267" s="37"/>
      <c r="F267" s="37"/>
      <c r="G267" s="37"/>
      <c r="H267" s="37"/>
      <c r="I267" s="37"/>
      <c r="J267" s="37"/>
      <c r="K267" s="37"/>
      <c r="L267" s="37"/>
      <c r="M267" s="37"/>
      <c r="N267" s="37"/>
      <c r="O267" s="54" t="str">
        <f aca="false">IF(COUNT(D267:N267)=0,"",SUM(D267:N267))</f>
        <v/>
      </c>
    </row>
    <row r="268" customFormat="false" ht="15" hidden="true" customHeight="false" outlineLevel="1" collapsed="false">
      <c r="A268" s="11" t="s">
        <v>2157</v>
      </c>
      <c r="B268" s="15" t="s">
        <v>2087</v>
      </c>
      <c r="C268" s="11" t="s">
        <v>748</v>
      </c>
      <c r="E268" s="50" t="str">
        <f aca="false">IFERROR(IF(OR(NOT(ISNUMBER(E267)),N(E269)=0),"",E267/E269),"")</f>
        <v/>
      </c>
      <c r="F268" s="50" t="str">
        <f aca="false">IFERROR(IF(OR(NOT(ISNUMBER(F267)),N(F269)=0),"",F267/F269),"")</f>
        <v/>
      </c>
      <c r="G268" s="50" t="str">
        <f aca="false">IFERROR(IF(OR(NOT(ISNUMBER(G267)),N(G269)=0),"",G267/G269),"")</f>
        <v/>
      </c>
      <c r="H268" s="50" t="str">
        <f aca="false">IFERROR(IF(OR(NOT(ISNUMBER(H267)),N(H269)=0),"",H267/H269),"")</f>
        <v/>
      </c>
      <c r="I268" s="50" t="str">
        <f aca="false">IFERROR(IF(OR(NOT(ISNUMBER(I267)),N(I269)=0),"",I267/I269),"")</f>
        <v/>
      </c>
      <c r="J268" s="50" t="str">
        <f aca="false">IFERROR(IF(OR(NOT(ISNUMBER(J267)),N(J269)=0),"",J267/J269),"")</f>
        <v/>
      </c>
      <c r="K268" s="50" t="str">
        <f aca="false">IFERROR(IF(OR(NOT(ISNUMBER(K267)),N(K269)=0),"",K267/K269),"")</f>
        <v/>
      </c>
      <c r="L268" s="50" t="str">
        <f aca="false">IFERROR(IF(OR(NOT(ISNUMBER(L267)),N(L269)=0),"",L267/L269),"")</f>
        <v/>
      </c>
      <c r="M268" s="50" t="str">
        <f aca="false">IFERROR(IF(OR(NOT(ISNUMBER(M267)),N(M269)=0),"",M267/M269),"")</f>
        <v/>
      </c>
      <c r="N268" s="50" t="str">
        <f aca="false">IFERROR(IF(OR(NOT(ISNUMBER(N267)),N(N269)=0),"",N267/N269),"")</f>
        <v/>
      </c>
      <c r="O268" s="68" t="str">
        <f aca="false">IFERROR(IF(OR(NOT(ISNUMBER(O267)),N(O269)=0),"",O267/O269),"")</f>
        <v/>
      </c>
    </row>
    <row r="269" customFormat="false" ht="15" hidden="true" customHeight="false" outlineLevel="1" collapsed="false">
      <c r="A269" s="11" t="s">
        <v>2158</v>
      </c>
      <c r="B269" s="15" t="s">
        <v>2089</v>
      </c>
      <c r="C269" s="11" t="s">
        <v>544</v>
      </c>
      <c r="D269" s="37"/>
      <c r="E269" s="37"/>
      <c r="F269" s="37"/>
      <c r="G269" s="37"/>
      <c r="H269" s="37"/>
      <c r="I269" s="37"/>
      <c r="J269" s="37"/>
      <c r="K269" s="37"/>
      <c r="L269" s="37"/>
      <c r="M269" s="37"/>
      <c r="N269" s="37"/>
      <c r="O269" s="54" t="str">
        <f aca="false">IF(COUNT(D269:N269)=0,"",SUM(D269:N269))</f>
        <v/>
      </c>
    </row>
    <row r="270" customFormat="false" ht="15" hidden="true" customHeight="false" outlineLevel="1" collapsed="false">
      <c r="A270" s="11" t="s">
        <v>2159</v>
      </c>
      <c r="B270" s="53" t="str">
        <f aca="false">IF(INDEX(Prod_Nombre,25)="","Producto 25",INDEX(Prod_Nombre,25))</f>
        <v>Producto 25</v>
      </c>
      <c r="C270" s="11" t="s">
        <v>508</v>
      </c>
      <c r="D270" s="37"/>
      <c r="E270" s="37"/>
      <c r="F270" s="37"/>
      <c r="G270" s="37"/>
      <c r="H270" s="37"/>
      <c r="I270" s="37"/>
      <c r="J270" s="37"/>
      <c r="K270" s="37"/>
      <c r="L270" s="37"/>
      <c r="M270" s="37"/>
      <c r="N270" s="37"/>
      <c r="O270" s="54" t="str">
        <f aca="false">IF(COUNT(D270:N270)=0,"",SUM(D270:N270))</f>
        <v/>
      </c>
    </row>
    <row r="271" customFormat="false" ht="15" hidden="true" customHeight="false" outlineLevel="1" collapsed="false">
      <c r="A271" s="11" t="s">
        <v>2160</v>
      </c>
      <c r="B271" s="15" t="s">
        <v>2087</v>
      </c>
      <c r="C271" s="11" t="s">
        <v>748</v>
      </c>
      <c r="E271" s="50" t="str">
        <f aca="false">IFERROR(IF(OR(NOT(ISNUMBER(E270)),N(E272)=0),"",E270/E272),"")</f>
        <v/>
      </c>
      <c r="F271" s="50" t="str">
        <f aca="false">IFERROR(IF(OR(NOT(ISNUMBER(F270)),N(F272)=0),"",F270/F272),"")</f>
        <v/>
      </c>
      <c r="G271" s="50" t="str">
        <f aca="false">IFERROR(IF(OR(NOT(ISNUMBER(G270)),N(G272)=0),"",G270/G272),"")</f>
        <v/>
      </c>
      <c r="H271" s="50" t="str">
        <f aca="false">IFERROR(IF(OR(NOT(ISNUMBER(H270)),N(H272)=0),"",H270/H272),"")</f>
        <v/>
      </c>
      <c r="I271" s="50" t="str">
        <f aca="false">IFERROR(IF(OR(NOT(ISNUMBER(I270)),N(I272)=0),"",I270/I272),"")</f>
        <v/>
      </c>
      <c r="J271" s="50" t="str">
        <f aca="false">IFERROR(IF(OR(NOT(ISNUMBER(J270)),N(J272)=0),"",J270/J272),"")</f>
        <v/>
      </c>
      <c r="K271" s="50" t="str">
        <f aca="false">IFERROR(IF(OR(NOT(ISNUMBER(K270)),N(K272)=0),"",K270/K272),"")</f>
        <v/>
      </c>
      <c r="L271" s="50" t="str">
        <f aca="false">IFERROR(IF(OR(NOT(ISNUMBER(L270)),N(L272)=0),"",L270/L272),"")</f>
        <v/>
      </c>
      <c r="M271" s="50" t="str">
        <f aca="false">IFERROR(IF(OR(NOT(ISNUMBER(M270)),N(M272)=0),"",M270/M272),"")</f>
        <v/>
      </c>
      <c r="N271" s="50" t="str">
        <f aca="false">IFERROR(IF(OR(NOT(ISNUMBER(N270)),N(N272)=0),"",N270/N272),"")</f>
        <v/>
      </c>
      <c r="O271" s="68" t="str">
        <f aca="false">IFERROR(IF(OR(NOT(ISNUMBER(O270)),N(O272)=0),"",O270/O272),"")</f>
        <v/>
      </c>
    </row>
    <row r="272" customFormat="false" ht="15" hidden="true" customHeight="false" outlineLevel="1" collapsed="false">
      <c r="A272" s="11" t="s">
        <v>2161</v>
      </c>
      <c r="B272" s="15" t="s">
        <v>2089</v>
      </c>
      <c r="C272" s="11" t="s">
        <v>544</v>
      </c>
      <c r="D272" s="37"/>
      <c r="E272" s="37"/>
      <c r="F272" s="37"/>
      <c r="G272" s="37"/>
      <c r="H272" s="37"/>
      <c r="I272" s="37"/>
      <c r="J272" s="37"/>
      <c r="K272" s="37"/>
      <c r="L272" s="37"/>
      <c r="M272" s="37"/>
      <c r="N272" s="37"/>
      <c r="O272" s="54" t="str">
        <f aca="false">IF(COUNT(D272:N272)=0,"",SUM(D272:N272))</f>
        <v/>
      </c>
    </row>
    <row r="273" customFormat="false" ht="15" hidden="false" customHeight="false" outlineLevel="0" collapsed="false">
      <c r="A273" s="11" t="s">
        <v>2162</v>
      </c>
      <c r="B273" s="15" t="s">
        <v>2163</v>
      </c>
      <c r="C273" s="11" t="s">
        <v>508</v>
      </c>
      <c r="D273" s="48" t="str">
        <f aca="false">IFERROR(IF(COUNT(D197,D198,D201,D204,D207,D210,D213,D216,D219,D222,D225,D228,D231,D234,D237,D240,D243,D246,D249,D252,D255,D258,D261,D264,D267,D270)=0,"",N(D197)-(N(D198)+N(D201)+N(D204)+N(D207)+N(D210)+N(D213)+N(D216)+N(D219)+N(D222)+N(D225)+N(D228)+N(D231)+N(D234)+N(D237)+N(D240)+N(D243)+N(D246)+N(D249)+N(D252)+N(D255)+N(D258)+N(D261)+N(D264)+N(D267)+N(D270))),"")</f>
        <v/>
      </c>
      <c r="E273" s="48" t="n">
        <f aca="false">IFERROR(IF(COUNT(E197,E198,E201,E204,E207,E210,E213,E216,E219,E222,E225,E228,E231,E234,E237,E240,E243,E246,E249,E252,E255,E258,E261,E264,E267,E270)=0,"",N(E197)-(N(E198)+N(E201)+N(E204)+N(E207)+N(E210)+N(E213)+N(E216)+N(E219)+N(E222)+N(E225)+N(E228)+N(E231)+N(E234)+N(E237)+N(E240)+N(E243)+N(E246)+N(E249)+N(E252)+N(E255)+N(E258)+N(E261)+N(E264)+N(E267)+N(E270))),"")</f>
        <v>0</v>
      </c>
      <c r="F273" s="48" t="n">
        <f aca="false">IFERROR(IF(COUNT(F197,F198,F201,F204,F207,F210,F213,F216,F219,F222,F225,F228,F231,F234,F237,F240,F243,F246,F249,F252,F255,F258,F261,F264,F267,F270)=0,"",N(F197)-(N(F198)+N(F201)+N(F204)+N(F207)+N(F210)+N(F213)+N(F216)+N(F219)+N(F222)+N(F225)+N(F228)+N(F231)+N(F234)+N(F237)+N(F240)+N(F243)+N(F246)+N(F249)+N(F252)+N(F255)+N(F258)+N(F261)+N(F264)+N(F267)+N(F270))),"")</f>
        <v>0</v>
      </c>
      <c r="G273" s="48" t="n">
        <f aca="false">IFERROR(IF(COUNT(G197,G198,G201,G204,G207,G210,G213,G216,G219,G222,G225,G228,G231,G234,G237,G240,G243,G246,G249,G252,G255,G258,G261,G264,G267,G270)=0,"",N(G197)-(N(G198)+N(G201)+N(G204)+N(G207)+N(G210)+N(G213)+N(G216)+N(G219)+N(G222)+N(G225)+N(G228)+N(G231)+N(G234)+N(G237)+N(G240)+N(G243)+N(G246)+N(G249)+N(G252)+N(G255)+N(G258)+N(G261)+N(G264)+N(G267)+N(G270))),"")</f>
        <v>0</v>
      </c>
      <c r="H273" s="48" t="n">
        <f aca="false">IFERROR(IF(COUNT(H197,H198,H201,H204,H207,H210,H213,H216,H219,H222,H225,H228,H231,H234,H237,H240,H243,H246,H249,H252,H255,H258,H261,H264,H267,H270)=0,"",N(H197)-(N(H198)+N(H201)+N(H204)+N(H207)+N(H210)+N(H213)+N(H216)+N(H219)+N(H222)+N(H225)+N(H228)+N(H231)+N(H234)+N(H237)+N(H240)+N(H243)+N(H246)+N(H249)+N(H252)+N(H255)+N(H258)+N(H261)+N(H264)+N(H267)+N(H270))),"")</f>
        <v>0</v>
      </c>
      <c r="I273" s="48" t="n">
        <f aca="false">IFERROR(IF(COUNT(I197,I198,I201,I204,I207,I210,I213,I216,I219,I222,I225,I228,I231,I234,I237,I240,I243,I246,I249,I252,I255,I258,I261,I264,I267,I270)=0,"",N(I197)-(N(I198)+N(I201)+N(I204)+N(I207)+N(I210)+N(I213)+N(I216)+N(I219)+N(I222)+N(I225)+N(I228)+N(I231)+N(I234)+N(I237)+N(I240)+N(I243)+N(I246)+N(I249)+N(I252)+N(I255)+N(I258)+N(I261)+N(I264)+N(I267)+N(I270))),"")</f>
        <v>0</v>
      </c>
      <c r="J273" s="48" t="n">
        <f aca="false">IFERROR(IF(COUNT(J197,J198,J201,J204,J207,J210,J213,J216,J219,J222,J225,J228,J231,J234,J237,J240,J243,J246,J249,J252,J255,J258,J261,J264,J267,J270)=0,"",N(J197)-(N(J198)+N(J201)+N(J204)+N(J207)+N(J210)+N(J213)+N(J216)+N(J219)+N(J222)+N(J225)+N(J228)+N(J231)+N(J234)+N(J237)+N(J240)+N(J243)+N(J246)+N(J249)+N(J252)+N(J255)+N(J258)+N(J261)+N(J264)+N(J267)+N(J270))),"")</f>
        <v>0</v>
      </c>
      <c r="K273" s="48" t="n">
        <f aca="false">IFERROR(IF(COUNT(K197,K198,K201,K204,K207,K210,K213,K216,K219,K222,K225,K228,K231,K234,K237,K240,K243,K246,K249,K252,K255,K258,K261,K264,K267,K270)=0,"",N(K197)-(N(K198)+N(K201)+N(K204)+N(K207)+N(K210)+N(K213)+N(K216)+N(K219)+N(K222)+N(K225)+N(K228)+N(K231)+N(K234)+N(K237)+N(K240)+N(K243)+N(K246)+N(K249)+N(K252)+N(K255)+N(K258)+N(K261)+N(K264)+N(K267)+N(K270))),"")</f>
        <v>0</v>
      </c>
      <c r="L273" s="48" t="n">
        <f aca="false">IFERROR(IF(COUNT(L197,L198,L201,L204,L207,L210,L213,L216,L219,L222,L225,L228,L231,L234,L237,L240,L243,L246,L249,L252,L255,L258,L261,L264,L267,L270)=0,"",N(L197)-(N(L198)+N(L201)+N(L204)+N(L207)+N(L210)+N(L213)+N(L216)+N(L219)+N(L222)+N(L225)+N(L228)+N(L231)+N(L234)+N(L237)+N(L240)+N(L243)+N(L246)+N(L249)+N(L252)+N(L255)+N(L258)+N(L261)+N(L264)+N(L267)+N(L270))),"")</f>
        <v>0</v>
      </c>
      <c r="M273" s="48" t="n">
        <f aca="false">IFERROR(IF(COUNT(M197,M198,M201,M204,M207,M210,M213,M216,M219,M222,M225,M228,M231,M234,M237,M240,M243,M246,M249,M252,M255,M258,M261,M264,M267,M270)=0,"",N(M197)-(N(M198)+N(M201)+N(M204)+N(M207)+N(M210)+N(M213)+N(M216)+N(M219)+N(M222)+N(M225)+N(M228)+N(M231)+N(M234)+N(M237)+N(M240)+N(M243)+N(M246)+N(M249)+N(M252)+N(M255)+N(M258)+N(M261)+N(M264)+N(M267)+N(M270))),"")</f>
        <v>0</v>
      </c>
      <c r="N273" s="48" t="n">
        <f aca="false">IFERROR(IF(COUNT(N197,N198,N201,N204,N207,N210,N213,N216,N219,N222,N225,N228,N231,N234,N237,N240,N243,N246,N249,N252,N255,N258,N261,N264,N267,N270)=0,"",N(N197)-(N(N198)+N(N201)+N(N204)+N(N207)+N(N210)+N(N213)+N(N216)+N(N219)+N(N222)+N(N225)+N(N228)+N(N231)+N(N234)+N(N237)+N(N240)+N(N243)+N(N246)+N(N249)+N(N252)+N(N255)+N(N258)+N(N261)+N(N264)+N(N267)+N(N270))),"")</f>
        <v>0</v>
      </c>
      <c r="O273" s="54" t="n">
        <f aca="false">IF(COUNT(D273:N273)=0,"",SUM(D273:N273))</f>
        <v>0</v>
      </c>
    </row>
    <row r="274" customFormat="false" ht="15" hidden="false" customHeight="false" outlineLevel="0" collapsed="false">
      <c r="A274" s="13"/>
      <c r="B274" s="100" t="s">
        <v>2164</v>
      </c>
      <c r="C274" s="13"/>
      <c r="D274" s="13"/>
      <c r="E274" s="13"/>
      <c r="F274" s="13"/>
      <c r="G274" s="13"/>
      <c r="H274" s="13"/>
      <c r="I274" s="13"/>
      <c r="J274" s="13"/>
      <c r="K274" s="13"/>
      <c r="L274" s="13"/>
      <c r="M274" s="13"/>
      <c r="N274" s="13"/>
      <c r="O274" s="13"/>
    </row>
    <row r="275" customFormat="false" ht="15" hidden="false" customHeight="false" outlineLevel="0" collapsed="false">
      <c r="A275" s="11" t="s">
        <v>2165</v>
      </c>
      <c r="B275" s="67" t="s">
        <v>2166</v>
      </c>
      <c r="C275" s="11" t="s">
        <v>508</v>
      </c>
      <c r="D275" s="37"/>
      <c r="E275" s="37" t="n">
        <v>879570</v>
      </c>
      <c r="F275" s="37" t="n">
        <v>1111590</v>
      </c>
      <c r="G275" s="37" t="n">
        <v>1343610</v>
      </c>
      <c r="H275" s="37" t="n">
        <v>1527120</v>
      </c>
      <c r="I275" s="37" t="n">
        <v>1527120</v>
      </c>
      <c r="J275" s="37" t="n">
        <v>1527120</v>
      </c>
      <c r="K275" s="37" t="n">
        <v>1527120</v>
      </c>
      <c r="L275" s="37" t="n">
        <v>1527120</v>
      </c>
      <c r="M275" s="37" t="n">
        <v>1527120</v>
      </c>
      <c r="N275" s="37" t="n">
        <v>1527120</v>
      </c>
      <c r="O275" s="54" t="n">
        <f aca="false">IF(COUNT(D275:N275)=0,"",SUM(D275:N275))</f>
        <v>14024610</v>
      </c>
    </row>
    <row r="276" customFormat="false" ht="15" hidden="false" customHeight="false" outlineLevel="0" collapsed="false">
      <c r="A276" s="11" t="s">
        <v>2167</v>
      </c>
      <c r="B276" s="53" t="str">
        <f aca="false">IF(INDEX(Prod_Nombre,1)="","Producto 1",INDEX(Prod_Nombre,1))</f>
        <v>Gabinetes metálicos 153 kg</v>
      </c>
      <c r="C276" s="11" t="s">
        <v>508</v>
      </c>
      <c r="D276" s="37"/>
      <c r="E276" s="37" t="n">
        <v>540000</v>
      </c>
      <c r="F276" s="37" t="n">
        <v>675000</v>
      </c>
      <c r="G276" s="37" t="n">
        <v>810000</v>
      </c>
      <c r="H276" s="37" t="n">
        <v>945000</v>
      </c>
      <c r="I276" s="37" t="n">
        <v>945000</v>
      </c>
      <c r="J276" s="37" t="n">
        <v>945000</v>
      </c>
      <c r="K276" s="37" t="n">
        <v>945000</v>
      </c>
      <c r="L276" s="37" t="n">
        <v>945000</v>
      </c>
      <c r="M276" s="37" t="n">
        <v>945000</v>
      </c>
      <c r="N276" s="37" t="n">
        <v>945000</v>
      </c>
      <c r="O276" s="54" t="n">
        <f aca="false">IF(COUNT(D276:N276)=0,"",SUM(D276:N276))</f>
        <v>8640000</v>
      </c>
    </row>
    <row r="277" customFormat="false" ht="15" hidden="false" customHeight="false" outlineLevel="0" collapsed="false">
      <c r="A277" s="11" t="s">
        <v>2168</v>
      </c>
      <c r="B277" s="15" t="s">
        <v>2087</v>
      </c>
      <c r="C277" s="11" t="s">
        <v>748</v>
      </c>
      <c r="E277" s="50" t="n">
        <f aca="false">IFERROR(IF(OR(NOT(ISNUMBER(E276)),N(E200)=0),"",E276/E200),"")</f>
        <v>45</v>
      </c>
      <c r="F277" s="50" t="n">
        <f aca="false">IFERROR(IF(OR(NOT(ISNUMBER(F276)),N(F200)=0),"",F276/F200),"")</f>
        <v>45</v>
      </c>
      <c r="G277" s="50" t="n">
        <f aca="false">IFERROR(IF(OR(NOT(ISNUMBER(G276)),N(G200)=0),"",G276/G200),"")</f>
        <v>45</v>
      </c>
      <c r="H277" s="50" t="n">
        <f aca="false">IFERROR(IF(OR(NOT(ISNUMBER(H276)),N(H200)=0),"",H276/H200),"")</f>
        <v>45</v>
      </c>
      <c r="I277" s="50" t="n">
        <f aca="false">IFERROR(IF(OR(NOT(ISNUMBER(I276)),N(I200)=0),"",I276/I200),"")</f>
        <v>45</v>
      </c>
      <c r="J277" s="50" t="n">
        <f aca="false">IFERROR(IF(OR(NOT(ISNUMBER(J276)),N(J200)=0),"",J276/J200),"")</f>
        <v>45</v>
      </c>
      <c r="K277" s="50" t="n">
        <f aca="false">IFERROR(IF(OR(NOT(ISNUMBER(K276)),N(K200)=0),"",K276/K200),"")</f>
        <v>45</v>
      </c>
      <c r="L277" s="50" t="n">
        <f aca="false">IFERROR(IF(OR(NOT(ISNUMBER(L276)),N(L200)=0),"",L276/L200),"")</f>
        <v>45</v>
      </c>
      <c r="M277" s="50" t="n">
        <f aca="false">IFERROR(IF(OR(NOT(ISNUMBER(M276)),N(M200)=0),"",M276/M200),"")</f>
        <v>45</v>
      </c>
      <c r="N277" s="50" t="n">
        <f aca="false">IFERROR(IF(OR(NOT(ISNUMBER(N276)),N(N200)=0),"",N276/N200),"")</f>
        <v>45</v>
      </c>
      <c r="O277" s="68" t="n">
        <f aca="false">IFERROR(IF(OR(NOT(ISNUMBER(O276)),N(O200)=0),"",O276/O200),"")</f>
        <v>45</v>
      </c>
    </row>
    <row r="278" customFormat="false" ht="15" hidden="false" customHeight="false" outlineLevel="0" collapsed="false">
      <c r="A278" s="11" t="s">
        <v>2169</v>
      </c>
      <c r="B278" s="53" t="str">
        <f aca="false">IF(INDEX(Prod_Nombre,2)="","Producto 2",INDEX(Prod_Nombre,2))</f>
        <v>Cajas metálicas 13 kg</v>
      </c>
      <c r="C278" s="11" t="s">
        <v>508</v>
      </c>
      <c r="D278" s="37"/>
      <c r="E278" s="37" t="n">
        <v>339570</v>
      </c>
      <c r="F278" s="37" t="n">
        <v>436590</v>
      </c>
      <c r="G278" s="37" t="n">
        <v>533610</v>
      </c>
      <c r="H278" s="37" t="n">
        <v>582120</v>
      </c>
      <c r="I278" s="37" t="n">
        <v>582120</v>
      </c>
      <c r="J278" s="37" t="n">
        <v>582120</v>
      </c>
      <c r="K278" s="37" t="n">
        <v>582120</v>
      </c>
      <c r="L278" s="37" t="n">
        <v>582120</v>
      </c>
      <c r="M278" s="37" t="n">
        <v>582120</v>
      </c>
      <c r="N278" s="37" t="n">
        <v>582120</v>
      </c>
      <c r="O278" s="54" t="n">
        <f aca="false">IF(COUNT(D278:N278)=0,"",SUM(D278:N278))</f>
        <v>5384610</v>
      </c>
    </row>
    <row r="279" customFormat="false" ht="15" hidden="false" customHeight="false" outlineLevel="0" collapsed="false">
      <c r="A279" s="11" t="s">
        <v>2170</v>
      </c>
      <c r="B279" s="15" t="s">
        <v>2087</v>
      </c>
      <c r="C279" s="11" t="s">
        <v>748</v>
      </c>
      <c r="E279" s="50" t="n">
        <f aca="false">IFERROR(IF(OR(NOT(ISNUMBER(E278)),N(E203)=0),"",E278/E203),"")</f>
        <v>4.851</v>
      </c>
      <c r="F279" s="50" t="n">
        <f aca="false">IFERROR(IF(OR(NOT(ISNUMBER(F278)),N(F203)=0),"",F278/F203),"")</f>
        <v>4.851</v>
      </c>
      <c r="G279" s="50" t="n">
        <f aca="false">IFERROR(IF(OR(NOT(ISNUMBER(G278)),N(G203)=0),"",G278/G203),"")</f>
        <v>4.851</v>
      </c>
      <c r="H279" s="50" t="n">
        <f aca="false">IFERROR(IF(OR(NOT(ISNUMBER(H278)),N(H203)=0),"",H278/H203),"")</f>
        <v>4.851</v>
      </c>
      <c r="I279" s="50" t="n">
        <f aca="false">IFERROR(IF(OR(NOT(ISNUMBER(I278)),N(I203)=0),"",I278/I203),"")</f>
        <v>4.851</v>
      </c>
      <c r="J279" s="50" t="n">
        <f aca="false">IFERROR(IF(OR(NOT(ISNUMBER(J278)),N(J203)=0),"",J278/J203),"")</f>
        <v>4.851</v>
      </c>
      <c r="K279" s="50" t="n">
        <f aca="false">IFERROR(IF(OR(NOT(ISNUMBER(K278)),N(K203)=0),"",K278/K203),"")</f>
        <v>4.851</v>
      </c>
      <c r="L279" s="50" t="n">
        <f aca="false">IFERROR(IF(OR(NOT(ISNUMBER(L278)),N(L203)=0),"",L278/L203),"")</f>
        <v>4.851</v>
      </c>
      <c r="M279" s="50" t="n">
        <f aca="false">IFERROR(IF(OR(NOT(ISNUMBER(M278)),N(M203)=0),"",M278/M203),"")</f>
        <v>4.851</v>
      </c>
      <c r="N279" s="50" t="n">
        <f aca="false">IFERROR(IF(OR(NOT(ISNUMBER(N278)),N(N203)=0),"",N278/N203),"")</f>
        <v>4.851</v>
      </c>
      <c r="O279" s="68" t="n">
        <f aca="false">IFERROR(IF(OR(NOT(ISNUMBER(O278)),N(O203)=0),"",O278/O203),"")</f>
        <v>4.851</v>
      </c>
    </row>
    <row r="280" customFormat="false" ht="15" hidden="true" customHeight="false" outlineLevel="1" collapsed="false">
      <c r="A280" s="11" t="s">
        <v>2171</v>
      </c>
      <c r="B280" s="53" t="str">
        <f aca="false">IF(INDEX(Prod_Nombre,3)="","Producto 3",INDEX(Prod_Nombre,3))</f>
        <v>Producto 3</v>
      </c>
      <c r="C280" s="11" t="s">
        <v>508</v>
      </c>
      <c r="D280" s="37"/>
      <c r="E280" s="37"/>
      <c r="F280" s="37"/>
      <c r="G280" s="37"/>
      <c r="H280" s="37"/>
      <c r="I280" s="37"/>
      <c r="J280" s="37"/>
      <c r="K280" s="37"/>
      <c r="L280" s="37"/>
      <c r="M280" s="37"/>
      <c r="N280" s="37"/>
      <c r="O280" s="54" t="str">
        <f aca="false">IF(COUNT(D280:N280)=0,"",SUM(D280:N280))</f>
        <v/>
      </c>
    </row>
    <row r="281" customFormat="false" ht="15" hidden="true" customHeight="false" outlineLevel="1" collapsed="false">
      <c r="A281" s="11" t="s">
        <v>2172</v>
      </c>
      <c r="B281" s="15" t="s">
        <v>2087</v>
      </c>
      <c r="C281" s="11" t="s">
        <v>748</v>
      </c>
      <c r="E281" s="50" t="str">
        <f aca="false">IFERROR(IF(OR(NOT(ISNUMBER(E280)),N(E206)=0),"",E280/E206),"")</f>
        <v/>
      </c>
      <c r="F281" s="50" t="str">
        <f aca="false">IFERROR(IF(OR(NOT(ISNUMBER(F280)),N(F206)=0),"",F280/F206),"")</f>
        <v/>
      </c>
      <c r="G281" s="50" t="str">
        <f aca="false">IFERROR(IF(OR(NOT(ISNUMBER(G280)),N(G206)=0),"",G280/G206),"")</f>
        <v/>
      </c>
      <c r="H281" s="50" t="str">
        <f aca="false">IFERROR(IF(OR(NOT(ISNUMBER(H280)),N(H206)=0),"",H280/H206),"")</f>
        <v/>
      </c>
      <c r="I281" s="50" t="str">
        <f aca="false">IFERROR(IF(OR(NOT(ISNUMBER(I280)),N(I206)=0),"",I280/I206),"")</f>
        <v/>
      </c>
      <c r="J281" s="50" t="str">
        <f aca="false">IFERROR(IF(OR(NOT(ISNUMBER(J280)),N(J206)=0),"",J280/J206),"")</f>
        <v/>
      </c>
      <c r="K281" s="50" t="str">
        <f aca="false">IFERROR(IF(OR(NOT(ISNUMBER(K280)),N(K206)=0),"",K280/K206),"")</f>
        <v/>
      </c>
      <c r="L281" s="50" t="str">
        <f aca="false">IFERROR(IF(OR(NOT(ISNUMBER(L280)),N(L206)=0),"",L280/L206),"")</f>
        <v/>
      </c>
      <c r="M281" s="50" t="str">
        <f aca="false">IFERROR(IF(OR(NOT(ISNUMBER(M280)),N(M206)=0),"",M280/M206),"")</f>
        <v/>
      </c>
      <c r="N281" s="50" t="str">
        <f aca="false">IFERROR(IF(OR(NOT(ISNUMBER(N280)),N(N206)=0),"",N280/N206),"")</f>
        <v/>
      </c>
      <c r="O281" s="68" t="str">
        <f aca="false">IFERROR(IF(OR(NOT(ISNUMBER(O280)),N(O206)=0),"",O280/O206),"")</f>
        <v/>
      </c>
    </row>
    <row r="282" customFormat="false" ht="15" hidden="true" customHeight="false" outlineLevel="1" collapsed="false">
      <c r="A282" s="11" t="s">
        <v>2173</v>
      </c>
      <c r="B282" s="53" t="str">
        <f aca="false">IF(INDEX(Prod_Nombre,4)="","Producto 4",INDEX(Prod_Nombre,4))</f>
        <v>Producto 4</v>
      </c>
      <c r="C282" s="11" t="s">
        <v>508</v>
      </c>
      <c r="D282" s="37"/>
      <c r="E282" s="37"/>
      <c r="F282" s="37"/>
      <c r="G282" s="37"/>
      <c r="H282" s="37"/>
      <c r="I282" s="37"/>
      <c r="J282" s="37"/>
      <c r="K282" s="37"/>
      <c r="L282" s="37"/>
      <c r="M282" s="37"/>
      <c r="N282" s="37"/>
      <c r="O282" s="54" t="str">
        <f aca="false">IF(COUNT(D282:N282)=0,"",SUM(D282:N282))</f>
        <v/>
      </c>
    </row>
    <row r="283" customFormat="false" ht="15" hidden="true" customHeight="false" outlineLevel="1" collapsed="false">
      <c r="A283" s="11" t="s">
        <v>2174</v>
      </c>
      <c r="B283" s="15" t="s">
        <v>2087</v>
      </c>
      <c r="C283" s="11" t="s">
        <v>748</v>
      </c>
      <c r="E283" s="50" t="str">
        <f aca="false">IFERROR(IF(OR(NOT(ISNUMBER(E282)),N(E209)=0),"",E282/E209),"")</f>
        <v/>
      </c>
      <c r="F283" s="50" t="str">
        <f aca="false">IFERROR(IF(OR(NOT(ISNUMBER(F282)),N(F209)=0),"",F282/F209),"")</f>
        <v/>
      </c>
      <c r="G283" s="50" t="str">
        <f aca="false">IFERROR(IF(OR(NOT(ISNUMBER(G282)),N(G209)=0),"",G282/G209),"")</f>
        <v/>
      </c>
      <c r="H283" s="50" t="str">
        <f aca="false">IFERROR(IF(OR(NOT(ISNUMBER(H282)),N(H209)=0),"",H282/H209),"")</f>
        <v/>
      </c>
      <c r="I283" s="50" t="str">
        <f aca="false">IFERROR(IF(OR(NOT(ISNUMBER(I282)),N(I209)=0),"",I282/I209),"")</f>
        <v/>
      </c>
      <c r="J283" s="50" t="str">
        <f aca="false">IFERROR(IF(OR(NOT(ISNUMBER(J282)),N(J209)=0),"",J282/J209),"")</f>
        <v/>
      </c>
      <c r="K283" s="50" t="str">
        <f aca="false">IFERROR(IF(OR(NOT(ISNUMBER(K282)),N(K209)=0),"",K282/K209),"")</f>
        <v/>
      </c>
      <c r="L283" s="50" t="str">
        <f aca="false">IFERROR(IF(OR(NOT(ISNUMBER(L282)),N(L209)=0),"",L282/L209),"")</f>
        <v/>
      </c>
      <c r="M283" s="50" t="str">
        <f aca="false">IFERROR(IF(OR(NOT(ISNUMBER(M282)),N(M209)=0),"",M282/M209),"")</f>
        <v/>
      </c>
      <c r="N283" s="50" t="str">
        <f aca="false">IFERROR(IF(OR(NOT(ISNUMBER(N282)),N(N209)=0),"",N282/N209),"")</f>
        <v/>
      </c>
      <c r="O283" s="68" t="str">
        <f aca="false">IFERROR(IF(OR(NOT(ISNUMBER(O282)),N(O209)=0),"",O282/O209),"")</f>
        <v/>
      </c>
    </row>
    <row r="284" customFormat="false" ht="15" hidden="true" customHeight="false" outlineLevel="1" collapsed="false">
      <c r="A284" s="11" t="s">
        <v>2175</v>
      </c>
      <c r="B284" s="53" t="str">
        <f aca="false">IF(INDEX(Prod_Nombre,5)="","Producto 5",INDEX(Prod_Nombre,5))</f>
        <v>Producto 5</v>
      </c>
      <c r="C284" s="11" t="s">
        <v>508</v>
      </c>
      <c r="D284" s="37"/>
      <c r="E284" s="37"/>
      <c r="F284" s="37"/>
      <c r="G284" s="37"/>
      <c r="H284" s="37"/>
      <c r="I284" s="37"/>
      <c r="J284" s="37"/>
      <c r="K284" s="37"/>
      <c r="L284" s="37"/>
      <c r="M284" s="37"/>
      <c r="N284" s="37"/>
      <c r="O284" s="54" t="str">
        <f aca="false">IF(COUNT(D284:N284)=0,"",SUM(D284:N284))</f>
        <v/>
      </c>
    </row>
    <row r="285" customFormat="false" ht="15" hidden="true" customHeight="false" outlineLevel="1" collapsed="false">
      <c r="A285" s="11" t="s">
        <v>2176</v>
      </c>
      <c r="B285" s="15" t="s">
        <v>2087</v>
      </c>
      <c r="C285" s="11" t="s">
        <v>748</v>
      </c>
      <c r="E285" s="50" t="str">
        <f aca="false">IFERROR(IF(OR(NOT(ISNUMBER(E284)),N(E212)=0),"",E284/E212),"")</f>
        <v/>
      </c>
      <c r="F285" s="50" t="str">
        <f aca="false">IFERROR(IF(OR(NOT(ISNUMBER(F284)),N(F212)=0),"",F284/F212),"")</f>
        <v/>
      </c>
      <c r="G285" s="50" t="str">
        <f aca="false">IFERROR(IF(OR(NOT(ISNUMBER(G284)),N(G212)=0),"",G284/G212),"")</f>
        <v/>
      </c>
      <c r="H285" s="50" t="str">
        <f aca="false">IFERROR(IF(OR(NOT(ISNUMBER(H284)),N(H212)=0),"",H284/H212),"")</f>
        <v/>
      </c>
      <c r="I285" s="50" t="str">
        <f aca="false">IFERROR(IF(OR(NOT(ISNUMBER(I284)),N(I212)=0),"",I284/I212),"")</f>
        <v/>
      </c>
      <c r="J285" s="50" t="str">
        <f aca="false">IFERROR(IF(OR(NOT(ISNUMBER(J284)),N(J212)=0),"",J284/J212),"")</f>
        <v/>
      </c>
      <c r="K285" s="50" t="str">
        <f aca="false">IFERROR(IF(OR(NOT(ISNUMBER(K284)),N(K212)=0),"",K284/K212),"")</f>
        <v/>
      </c>
      <c r="L285" s="50" t="str">
        <f aca="false">IFERROR(IF(OR(NOT(ISNUMBER(L284)),N(L212)=0),"",L284/L212),"")</f>
        <v/>
      </c>
      <c r="M285" s="50" t="str">
        <f aca="false">IFERROR(IF(OR(NOT(ISNUMBER(M284)),N(M212)=0),"",M284/M212),"")</f>
        <v/>
      </c>
      <c r="N285" s="50" t="str">
        <f aca="false">IFERROR(IF(OR(NOT(ISNUMBER(N284)),N(N212)=0),"",N284/N212),"")</f>
        <v/>
      </c>
      <c r="O285" s="68" t="str">
        <f aca="false">IFERROR(IF(OR(NOT(ISNUMBER(O284)),N(O212)=0),"",O284/O212),"")</f>
        <v/>
      </c>
    </row>
    <row r="286" customFormat="false" ht="15" hidden="true" customHeight="false" outlineLevel="1" collapsed="false">
      <c r="A286" s="11" t="s">
        <v>2177</v>
      </c>
      <c r="B286" s="53" t="str">
        <f aca="false">IF(INDEX(Prod_Nombre,6)="","Producto 6",INDEX(Prod_Nombre,6))</f>
        <v>Producto 6</v>
      </c>
      <c r="C286" s="11" t="s">
        <v>508</v>
      </c>
      <c r="D286" s="37"/>
      <c r="E286" s="37"/>
      <c r="F286" s="37"/>
      <c r="G286" s="37"/>
      <c r="H286" s="37"/>
      <c r="I286" s="37"/>
      <c r="J286" s="37"/>
      <c r="K286" s="37"/>
      <c r="L286" s="37"/>
      <c r="M286" s="37"/>
      <c r="N286" s="37"/>
      <c r="O286" s="54" t="str">
        <f aca="false">IF(COUNT(D286:N286)=0,"",SUM(D286:N286))</f>
        <v/>
      </c>
    </row>
    <row r="287" customFormat="false" ht="15" hidden="true" customHeight="false" outlineLevel="1" collapsed="false">
      <c r="A287" s="11" t="s">
        <v>2178</v>
      </c>
      <c r="B287" s="15" t="s">
        <v>2087</v>
      </c>
      <c r="C287" s="11" t="s">
        <v>748</v>
      </c>
      <c r="E287" s="50" t="str">
        <f aca="false">IFERROR(IF(OR(NOT(ISNUMBER(E286)),N(E215)=0),"",E286/E215),"")</f>
        <v/>
      </c>
      <c r="F287" s="50" t="str">
        <f aca="false">IFERROR(IF(OR(NOT(ISNUMBER(F286)),N(F215)=0),"",F286/F215),"")</f>
        <v/>
      </c>
      <c r="G287" s="50" t="str">
        <f aca="false">IFERROR(IF(OR(NOT(ISNUMBER(G286)),N(G215)=0),"",G286/G215),"")</f>
        <v/>
      </c>
      <c r="H287" s="50" t="str">
        <f aca="false">IFERROR(IF(OR(NOT(ISNUMBER(H286)),N(H215)=0),"",H286/H215),"")</f>
        <v/>
      </c>
      <c r="I287" s="50" t="str">
        <f aca="false">IFERROR(IF(OR(NOT(ISNUMBER(I286)),N(I215)=0),"",I286/I215),"")</f>
        <v/>
      </c>
      <c r="J287" s="50" t="str">
        <f aca="false">IFERROR(IF(OR(NOT(ISNUMBER(J286)),N(J215)=0),"",J286/J215),"")</f>
        <v/>
      </c>
      <c r="K287" s="50" t="str">
        <f aca="false">IFERROR(IF(OR(NOT(ISNUMBER(K286)),N(K215)=0),"",K286/K215),"")</f>
        <v/>
      </c>
      <c r="L287" s="50" t="str">
        <f aca="false">IFERROR(IF(OR(NOT(ISNUMBER(L286)),N(L215)=0),"",L286/L215),"")</f>
        <v/>
      </c>
      <c r="M287" s="50" t="str">
        <f aca="false">IFERROR(IF(OR(NOT(ISNUMBER(M286)),N(M215)=0),"",M286/M215),"")</f>
        <v/>
      </c>
      <c r="N287" s="50" t="str">
        <f aca="false">IFERROR(IF(OR(NOT(ISNUMBER(N286)),N(N215)=0),"",N286/N215),"")</f>
        <v/>
      </c>
      <c r="O287" s="68" t="str">
        <f aca="false">IFERROR(IF(OR(NOT(ISNUMBER(O286)),N(O215)=0),"",O286/O215),"")</f>
        <v/>
      </c>
    </row>
    <row r="288" customFormat="false" ht="15" hidden="true" customHeight="false" outlineLevel="1" collapsed="false">
      <c r="A288" s="11" t="s">
        <v>2179</v>
      </c>
      <c r="B288" s="53" t="str">
        <f aca="false">IF(INDEX(Prod_Nombre,7)="","Producto 7",INDEX(Prod_Nombre,7))</f>
        <v>Producto 7</v>
      </c>
      <c r="C288" s="11" t="s">
        <v>508</v>
      </c>
      <c r="D288" s="37"/>
      <c r="E288" s="37"/>
      <c r="F288" s="37"/>
      <c r="G288" s="37"/>
      <c r="H288" s="37"/>
      <c r="I288" s="37"/>
      <c r="J288" s="37"/>
      <c r="K288" s="37"/>
      <c r="L288" s="37"/>
      <c r="M288" s="37"/>
      <c r="N288" s="37"/>
      <c r="O288" s="54" t="str">
        <f aca="false">IF(COUNT(D288:N288)=0,"",SUM(D288:N288))</f>
        <v/>
      </c>
    </row>
    <row r="289" customFormat="false" ht="15" hidden="true" customHeight="false" outlineLevel="1" collapsed="false">
      <c r="A289" s="11" t="s">
        <v>2180</v>
      </c>
      <c r="B289" s="15" t="s">
        <v>2087</v>
      </c>
      <c r="C289" s="11" t="s">
        <v>748</v>
      </c>
      <c r="E289" s="50" t="str">
        <f aca="false">IFERROR(IF(OR(NOT(ISNUMBER(E288)),N(E218)=0),"",E288/E218),"")</f>
        <v/>
      </c>
      <c r="F289" s="50" t="str">
        <f aca="false">IFERROR(IF(OR(NOT(ISNUMBER(F288)),N(F218)=0),"",F288/F218),"")</f>
        <v/>
      </c>
      <c r="G289" s="50" t="str">
        <f aca="false">IFERROR(IF(OR(NOT(ISNUMBER(G288)),N(G218)=0),"",G288/G218),"")</f>
        <v/>
      </c>
      <c r="H289" s="50" t="str">
        <f aca="false">IFERROR(IF(OR(NOT(ISNUMBER(H288)),N(H218)=0),"",H288/H218),"")</f>
        <v/>
      </c>
      <c r="I289" s="50" t="str">
        <f aca="false">IFERROR(IF(OR(NOT(ISNUMBER(I288)),N(I218)=0),"",I288/I218),"")</f>
        <v/>
      </c>
      <c r="J289" s="50" t="str">
        <f aca="false">IFERROR(IF(OR(NOT(ISNUMBER(J288)),N(J218)=0),"",J288/J218),"")</f>
        <v/>
      </c>
      <c r="K289" s="50" t="str">
        <f aca="false">IFERROR(IF(OR(NOT(ISNUMBER(K288)),N(K218)=0),"",K288/K218),"")</f>
        <v/>
      </c>
      <c r="L289" s="50" t="str">
        <f aca="false">IFERROR(IF(OR(NOT(ISNUMBER(L288)),N(L218)=0),"",L288/L218),"")</f>
        <v/>
      </c>
      <c r="M289" s="50" t="str">
        <f aca="false">IFERROR(IF(OR(NOT(ISNUMBER(M288)),N(M218)=0),"",M288/M218),"")</f>
        <v/>
      </c>
      <c r="N289" s="50" t="str">
        <f aca="false">IFERROR(IF(OR(NOT(ISNUMBER(N288)),N(N218)=0),"",N288/N218),"")</f>
        <v/>
      </c>
      <c r="O289" s="68" t="str">
        <f aca="false">IFERROR(IF(OR(NOT(ISNUMBER(O288)),N(O218)=0),"",O288/O218),"")</f>
        <v/>
      </c>
    </row>
    <row r="290" customFormat="false" ht="15" hidden="true" customHeight="false" outlineLevel="1" collapsed="false">
      <c r="A290" s="11" t="s">
        <v>2181</v>
      </c>
      <c r="B290" s="53" t="str">
        <f aca="false">IF(INDEX(Prod_Nombre,8)="","Producto 8",INDEX(Prod_Nombre,8))</f>
        <v>Producto 8</v>
      </c>
      <c r="C290" s="11" t="s">
        <v>508</v>
      </c>
      <c r="D290" s="37"/>
      <c r="E290" s="37"/>
      <c r="F290" s="37"/>
      <c r="G290" s="37"/>
      <c r="H290" s="37"/>
      <c r="I290" s="37"/>
      <c r="J290" s="37"/>
      <c r="K290" s="37"/>
      <c r="L290" s="37"/>
      <c r="M290" s="37"/>
      <c r="N290" s="37"/>
      <c r="O290" s="54" t="str">
        <f aca="false">IF(COUNT(D290:N290)=0,"",SUM(D290:N290))</f>
        <v/>
      </c>
    </row>
    <row r="291" customFormat="false" ht="15" hidden="true" customHeight="false" outlineLevel="1" collapsed="false">
      <c r="A291" s="11" t="s">
        <v>2182</v>
      </c>
      <c r="B291" s="15" t="s">
        <v>2087</v>
      </c>
      <c r="C291" s="11" t="s">
        <v>748</v>
      </c>
      <c r="E291" s="50" t="str">
        <f aca="false">IFERROR(IF(OR(NOT(ISNUMBER(E290)),N(E221)=0),"",E290/E221),"")</f>
        <v/>
      </c>
      <c r="F291" s="50" t="str">
        <f aca="false">IFERROR(IF(OR(NOT(ISNUMBER(F290)),N(F221)=0),"",F290/F221),"")</f>
        <v/>
      </c>
      <c r="G291" s="50" t="str">
        <f aca="false">IFERROR(IF(OR(NOT(ISNUMBER(G290)),N(G221)=0),"",G290/G221),"")</f>
        <v/>
      </c>
      <c r="H291" s="50" t="str">
        <f aca="false">IFERROR(IF(OR(NOT(ISNUMBER(H290)),N(H221)=0),"",H290/H221),"")</f>
        <v/>
      </c>
      <c r="I291" s="50" t="str">
        <f aca="false">IFERROR(IF(OR(NOT(ISNUMBER(I290)),N(I221)=0),"",I290/I221),"")</f>
        <v/>
      </c>
      <c r="J291" s="50" t="str">
        <f aca="false">IFERROR(IF(OR(NOT(ISNUMBER(J290)),N(J221)=0),"",J290/J221),"")</f>
        <v/>
      </c>
      <c r="K291" s="50" t="str">
        <f aca="false">IFERROR(IF(OR(NOT(ISNUMBER(K290)),N(K221)=0),"",K290/K221),"")</f>
        <v/>
      </c>
      <c r="L291" s="50" t="str">
        <f aca="false">IFERROR(IF(OR(NOT(ISNUMBER(L290)),N(L221)=0),"",L290/L221),"")</f>
        <v/>
      </c>
      <c r="M291" s="50" t="str">
        <f aca="false">IFERROR(IF(OR(NOT(ISNUMBER(M290)),N(M221)=0),"",M290/M221),"")</f>
        <v/>
      </c>
      <c r="N291" s="50" t="str">
        <f aca="false">IFERROR(IF(OR(NOT(ISNUMBER(N290)),N(N221)=0),"",N290/N221),"")</f>
        <v/>
      </c>
      <c r="O291" s="68" t="str">
        <f aca="false">IFERROR(IF(OR(NOT(ISNUMBER(O290)),N(O221)=0),"",O290/O221),"")</f>
        <v/>
      </c>
    </row>
    <row r="292" customFormat="false" ht="15" hidden="true" customHeight="false" outlineLevel="1" collapsed="false">
      <c r="A292" s="11" t="s">
        <v>2183</v>
      </c>
      <c r="B292" s="53" t="str">
        <f aca="false">IF(INDEX(Prod_Nombre,9)="","Producto 9",INDEX(Prod_Nombre,9))</f>
        <v>Producto 9</v>
      </c>
      <c r="C292" s="11" t="s">
        <v>508</v>
      </c>
      <c r="D292" s="37"/>
      <c r="E292" s="37"/>
      <c r="F292" s="37"/>
      <c r="G292" s="37"/>
      <c r="H292" s="37"/>
      <c r="I292" s="37"/>
      <c r="J292" s="37"/>
      <c r="K292" s="37"/>
      <c r="L292" s="37"/>
      <c r="M292" s="37"/>
      <c r="N292" s="37"/>
      <c r="O292" s="54" t="str">
        <f aca="false">IF(COUNT(D292:N292)=0,"",SUM(D292:N292))</f>
        <v/>
      </c>
    </row>
    <row r="293" customFormat="false" ht="15" hidden="true" customHeight="false" outlineLevel="1" collapsed="false">
      <c r="A293" s="11" t="s">
        <v>2184</v>
      </c>
      <c r="B293" s="15" t="s">
        <v>2087</v>
      </c>
      <c r="C293" s="11" t="s">
        <v>748</v>
      </c>
      <c r="E293" s="50" t="str">
        <f aca="false">IFERROR(IF(OR(NOT(ISNUMBER(E292)),N(E224)=0),"",E292/E224),"")</f>
        <v/>
      </c>
      <c r="F293" s="50" t="str">
        <f aca="false">IFERROR(IF(OR(NOT(ISNUMBER(F292)),N(F224)=0),"",F292/F224),"")</f>
        <v/>
      </c>
      <c r="G293" s="50" t="str">
        <f aca="false">IFERROR(IF(OR(NOT(ISNUMBER(G292)),N(G224)=0),"",G292/G224),"")</f>
        <v/>
      </c>
      <c r="H293" s="50" t="str">
        <f aca="false">IFERROR(IF(OR(NOT(ISNUMBER(H292)),N(H224)=0),"",H292/H224),"")</f>
        <v/>
      </c>
      <c r="I293" s="50" t="str">
        <f aca="false">IFERROR(IF(OR(NOT(ISNUMBER(I292)),N(I224)=0),"",I292/I224),"")</f>
        <v/>
      </c>
      <c r="J293" s="50" t="str">
        <f aca="false">IFERROR(IF(OR(NOT(ISNUMBER(J292)),N(J224)=0),"",J292/J224),"")</f>
        <v/>
      </c>
      <c r="K293" s="50" t="str">
        <f aca="false">IFERROR(IF(OR(NOT(ISNUMBER(K292)),N(K224)=0),"",K292/K224),"")</f>
        <v/>
      </c>
      <c r="L293" s="50" t="str">
        <f aca="false">IFERROR(IF(OR(NOT(ISNUMBER(L292)),N(L224)=0),"",L292/L224),"")</f>
        <v/>
      </c>
      <c r="M293" s="50" t="str">
        <f aca="false">IFERROR(IF(OR(NOT(ISNUMBER(M292)),N(M224)=0),"",M292/M224),"")</f>
        <v/>
      </c>
      <c r="N293" s="50" t="str">
        <f aca="false">IFERROR(IF(OR(NOT(ISNUMBER(N292)),N(N224)=0),"",N292/N224),"")</f>
        <v/>
      </c>
      <c r="O293" s="68" t="str">
        <f aca="false">IFERROR(IF(OR(NOT(ISNUMBER(O292)),N(O224)=0),"",O292/O224),"")</f>
        <v/>
      </c>
    </row>
    <row r="294" customFormat="false" ht="15" hidden="true" customHeight="false" outlineLevel="1" collapsed="false">
      <c r="A294" s="11" t="s">
        <v>2185</v>
      </c>
      <c r="B294" s="53" t="str">
        <f aca="false">IF(INDEX(Prod_Nombre,10)="","Producto 10",INDEX(Prod_Nombre,10))</f>
        <v>Producto 10</v>
      </c>
      <c r="C294" s="11" t="s">
        <v>508</v>
      </c>
      <c r="D294" s="37"/>
      <c r="E294" s="37"/>
      <c r="F294" s="37"/>
      <c r="G294" s="37"/>
      <c r="H294" s="37"/>
      <c r="I294" s="37"/>
      <c r="J294" s="37"/>
      <c r="K294" s="37"/>
      <c r="L294" s="37"/>
      <c r="M294" s="37"/>
      <c r="N294" s="37"/>
      <c r="O294" s="54" t="str">
        <f aca="false">IF(COUNT(D294:N294)=0,"",SUM(D294:N294))</f>
        <v/>
      </c>
    </row>
    <row r="295" customFormat="false" ht="15" hidden="true" customHeight="false" outlineLevel="1" collapsed="false">
      <c r="A295" s="11" t="s">
        <v>2186</v>
      </c>
      <c r="B295" s="15" t="s">
        <v>2087</v>
      </c>
      <c r="C295" s="11" t="s">
        <v>748</v>
      </c>
      <c r="E295" s="50" t="str">
        <f aca="false">IFERROR(IF(OR(NOT(ISNUMBER(E294)),N(E227)=0),"",E294/E227),"")</f>
        <v/>
      </c>
      <c r="F295" s="50" t="str">
        <f aca="false">IFERROR(IF(OR(NOT(ISNUMBER(F294)),N(F227)=0),"",F294/F227),"")</f>
        <v/>
      </c>
      <c r="G295" s="50" t="str">
        <f aca="false">IFERROR(IF(OR(NOT(ISNUMBER(G294)),N(G227)=0),"",G294/G227),"")</f>
        <v/>
      </c>
      <c r="H295" s="50" t="str">
        <f aca="false">IFERROR(IF(OR(NOT(ISNUMBER(H294)),N(H227)=0),"",H294/H227),"")</f>
        <v/>
      </c>
      <c r="I295" s="50" t="str">
        <f aca="false">IFERROR(IF(OR(NOT(ISNUMBER(I294)),N(I227)=0),"",I294/I227),"")</f>
        <v/>
      </c>
      <c r="J295" s="50" t="str">
        <f aca="false">IFERROR(IF(OR(NOT(ISNUMBER(J294)),N(J227)=0),"",J294/J227),"")</f>
        <v/>
      </c>
      <c r="K295" s="50" t="str">
        <f aca="false">IFERROR(IF(OR(NOT(ISNUMBER(K294)),N(K227)=0),"",K294/K227),"")</f>
        <v/>
      </c>
      <c r="L295" s="50" t="str">
        <f aca="false">IFERROR(IF(OR(NOT(ISNUMBER(L294)),N(L227)=0),"",L294/L227),"")</f>
        <v/>
      </c>
      <c r="M295" s="50" t="str">
        <f aca="false">IFERROR(IF(OR(NOT(ISNUMBER(M294)),N(M227)=0),"",M294/M227),"")</f>
        <v/>
      </c>
      <c r="N295" s="50" t="str">
        <f aca="false">IFERROR(IF(OR(NOT(ISNUMBER(N294)),N(N227)=0),"",N294/N227),"")</f>
        <v/>
      </c>
      <c r="O295" s="68" t="str">
        <f aca="false">IFERROR(IF(OR(NOT(ISNUMBER(O294)),N(O227)=0),"",O294/O227),"")</f>
        <v/>
      </c>
    </row>
    <row r="296" customFormat="false" ht="15" hidden="true" customHeight="false" outlineLevel="1" collapsed="false">
      <c r="A296" s="11" t="s">
        <v>2187</v>
      </c>
      <c r="B296" s="53" t="str">
        <f aca="false">IF(INDEX(Prod_Nombre,11)="","Producto 11",INDEX(Prod_Nombre,11))</f>
        <v>Producto 11</v>
      </c>
      <c r="C296" s="11" t="s">
        <v>508</v>
      </c>
      <c r="D296" s="37"/>
      <c r="E296" s="37"/>
      <c r="F296" s="37"/>
      <c r="G296" s="37"/>
      <c r="H296" s="37"/>
      <c r="I296" s="37"/>
      <c r="J296" s="37"/>
      <c r="K296" s="37"/>
      <c r="L296" s="37"/>
      <c r="M296" s="37"/>
      <c r="N296" s="37"/>
      <c r="O296" s="54" t="str">
        <f aca="false">IF(COUNT(D296:N296)=0,"",SUM(D296:N296))</f>
        <v/>
      </c>
    </row>
    <row r="297" customFormat="false" ht="15" hidden="true" customHeight="false" outlineLevel="1" collapsed="false">
      <c r="A297" s="11" t="s">
        <v>2188</v>
      </c>
      <c r="B297" s="15" t="s">
        <v>2087</v>
      </c>
      <c r="C297" s="11" t="s">
        <v>748</v>
      </c>
      <c r="E297" s="50" t="str">
        <f aca="false">IFERROR(IF(OR(NOT(ISNUMBER(E296)),N(E230)=0),"",E296/E230),"")</f>
        <v/>
      </c>
      <c r="F297" s="50" t="str">
        <f aca="false">IFERROR(IF(OR(NOT(ISNUMBER(F296)),N(F230)=0),"",F296/F230),"")</f>
        <v/>
      </c>
      <c r="G297" s="50" t="str">
        <f aca="false">IFERROR(IF(OR(NOT(ISNUMBER(G296)),N(G230)=0),"",G296/G230),"")</f>
        <v/>
      </c>
      <c r="H297" s="50" t="str">
        <f aca="false">IFERROR(IF(OR(NOT(ISNUMBER(H296)),N(H230)=0),"",H296/H230),"")</f>
        <v/>
      </c>
      <c r="I297" s="50" t="str">
        <f aca="false">IFERROR(IF(OR(NOT(ISNUMBER(I296)),N(I230)=0),"",I296/I230),"")</f>
        <v/>
      </c>
      <c r="J297" s="50" t="str">
        <f aca="false">IFERROR(IF(OR(NOT(ISNUMBER(J296)),N(J230)=0),"",J296/J230),"")</f>
        <v/>
      </c>
      <c r="K297" s="50" t="str">
        <f aca="false">IFERROR(IF(OR(NOT(ISNUMBER(K296)),N(K230)=0),"",K296/K230),"")</f>
        <v/>
      </c>
      <c r="L297" s="50" t="str">
        <f aca="false">IFERROR(IF(OR(NOT(ISNUMBER(L296)),N(L230)=0),"",L296/L230),"")</f>
        <v/>
      </c>
      <c r="M297" s="50" t="str">
        <f aca="false">IFERROR(IF(OR(NOT(ISNUMBER(M296)),N(M230)=0),"",M296/M230),"")</f>
        <v/>
      </c>
      <c r="N297" s="50" t="str">
        <f aca="false">IFERROR(IF(OR(NOT(ISNUMBER(N296)),N(N230)=0),"",N296/N230),"")</f>
        <v/>
      </c>
      <c r="O297" s="68" t="str">
        <f aca="false">IFERROR(IF(OR(NOT(ISNUMBER(O296)),N(O230)=0),"",O296/O230),"")</f>
        <v/>
      </c>
    </row>
    <row r="298" customFormat="false" ht="15" hidden="true" customHeight="false" outlineLevel="1" collapsed="false">
      <c r="A298" s="11" t="s">
        <v>2189</v>
      </c>
      <c r="B298" s="53" t="str">
        <f aca="false">IF(INDEX(Prod_Nombre,12)="","Producto 12",INDEX(Prod_Nombre,12))</f>
        <v>Producto 12</v>
      </c>
      <c r="C298" s="11" t="s">
        <v>508</v>
      </c>
      <c r="D298" s="37"/>
      <c r="E298" s="37"/>
      <c r="F298" s="37"/>
      <c r="G298" s="37"/>
      <c r="H298" s="37"/>
      <c r="I298" s="37"/>
      <c r="J298" s="37"/>
      <c r="K298" s="37"/>
      <c r="L298" s="37"/>
      <c r="M298" s="37"/>
      <c r="N298" s="37"/>
      <c r="O298" s="54" t="str">
        <f aca="false">IF(COUNT(D298:N298)=0,"",SUM(D298:N298))</f>
        <v/>
      </c>
    </row>
    <row r="299" customFormat="false" ht="15" hidden="true" customHeight="false" outlineLevel="1" collapsed="false">
      <c r="A299" s="11" t="s">
        <v>2190</v>
      </c>
      <c r="B299" s="15" t="s">
        <v>2087</v>
      </c>
      <c r="C299" s="11" t="s">
        <v>748</v>
      </c>
      <c r="E299" s="50" t="str">
        <f aca="false">IFERROR(IF(OR(NOT(ISNUMBER(E298)),N(E233)=0),"",E298/E233),"")</f>
        <v/>
      </c>
      <c r="F299" s="50" t="str">
        <f aca="false">IFERROR(IF(OR(NOT(ISNUMBER(F298)),N(F233)=0),"",F298/F233),"")</f>
        <v/>
      </c>
      <c r="G299" s="50" t="str">
        <f aca="false">IFERROR(IF(OR(NOT(ISNUMBER(G298)),N(G233)=0),"",G298/G233),"")</f>
        <v/>
      </c>
      <c r="H299" s="50" t="str">
        <f aca="false">IFERROR(IF(OR(NOT(ISNUMBER(H298)),N(H233)=0),"",H298/H233),"")</f>
        <v/>
      </c>
      <c r="I299" s="50" t="str">
        <f aca="false">IFERROR(IF(OR(NOT(ISNUMBER(I298)),N(I233)=0),"",I298/I233),"")</f>
        <v/>
      </c>
      <c r="J299" s="50" t="str">
        <f aca="false">IFERROR(IF(OR(NOT(ISNUMBER(J298)),N(J233)=0),"",J298/J233),"")</f>
        <v/>
      </c>
      <c r="K299" s="50" t="str">
        <f aca="false">IFERROR(IF(OR(NOT(ISNUMBER(K298)),N(K233)=0),"",K298/K233),"")</f>
        <v/>
      </c>
      <c r="L299" s="50" t="str">
        <f aca="false">IFERROR(IF(OR(NOT(ISNUMBER(L298)),N(L233)=0),"",L298/L233),"")</f>
        <v/>
      </c>
      <c r="M299" s="50" t="str">
        <f aca="false">IFERROR(IF(OR(NOT(ISNUMBER(M298)),N(M233)=0),"",M298/M233),"")</f>
        <v/>
      </c>
      <c r="N299" s="50" t="str">
        <f aca="false">IFERROR(IF(OR(NOT(ISNUMBER(N298)),N(N233)=0),"",N298/N233),"")</f>
        <v/>
      </c>
      <c r="O299" s="68" t="str">
        <f aca="false">IFERROR(IF(OR(NOT(ISNUMBER(O298)),N(O233)=0),"",O298/O233),"")</f>
        <v/>
      </c>
    </row>
    <row r="300" customFormat="false" ht="15" hidden="true" customHeight="false" outlineLevel="1" collapsed="false">
      <c r="A300" s="11" t="s">
        <v>2191</v>
      </c>
      <c r="B300" s="53" t="str">
        <f aca="false">IF(INDEX(Prod_Nombre,13)="","Producto 13",INDEX(Prod_Nombre,13))</f>
        <v>Producto 13</v>
      </c>
      <c r="C300" s="11" t="s">
        <v>508</v>
      </c>
      <c r="D300" s="37"/>
      <c r="E300" s="37"/>
      <c r="F300" s="37"/>
      <c r="G300" s="37"/>
      <c r="H300" s="37"/>
      <c r="I300" s="37"/>
      <c r="J300" s="37"/>
      <c r="K300" s="37"/>
      <c r="L300" s="37"/>
      <c r="M300" s="37"/>
      <c r="N300" s="37"/>
      <c r="O300" s="54" t="str">
        <f aca="false">IF(COUNT(D300:N300)=0,"",SUM(D300:N300))</f>
        <v/>
      </c>
    </row>
    <row r="301" customFormat="false" ht="15" hidden="true" customHeight="false" outlineLevel="1" collapsed="false">
      <c r="A301" s="11" t="s">
        <v>2192</v>
      </c>
      <c r="B301" s="15" t="s">
        <v>2087</v>
      </c>
      <c r="C301" s="11" t="s">
        <v>748</v>
      </c>
      <c r="E301" s="50" t="str">
        <f aca="false">IFERROR(IF(OR(NOT(ISNUMBER(E300)),N(E236)=0),"",E300/E236),"")</f>
        <v/>
      </c>
      <c r="F301" s="50" t="str">
        <f aca="false">IFERROR(IF(OR(NOT(ISNUMBER(F300)),N(F236)=0),"",F300/F236),"")</f>
        <v/>
      </c>
      <c r="G301" s="50" t="str">
        <f aca="false">IFERROR(IF(OR(NOT(ISNUMBER(G300)),N(G236)=0),"",G300/G236),"")</f>
        <v/>
      </c>
      <c r="H301" s="50" t="str">
        <f aca="false">IFERROR(IF(OR(NOT(ISNUMBER(H300)),N(H236)=0),"",H300/H236),"")</f>
        <v/>
      </c>
      <c r="I301" s="50" t="str">
        <f aca="false">IFERROR(IF(OR(NOT(ISNUMBER(I300)),N(I236)=0),"",I300/I236),"")</f>
        <v/>
      </c>
      <c r="J301" s="50" t="str">
        <f aca="false">IFERROR(IF(OR(NOT(ISNUMBER(J300)),N(J236)=0),"",J300/J236),"")</f>
        <v/>
      </c>
      <c r="K301" s="50" t="str">
        <f aca="false">IFERROR(IF(OR(NOT(ISNUMBER(K300)),N(K236)=0),"",K300/K236),"")</f>
        <v/>
      </c>
      <c r="L301" s="50" t="str">
        <f aca="false">IFERROR(IF(OR(NOT(ISNUMBER(L300)),N(L236)=0),"",L300/L236),"")</f>
        <v/>
      </c>
      <c r="M301" s="50" t="str">
        <f aca="false">IFERROR(IF(OR(NOT(ISNUMBER(M300)),N(M236)=0),"",M300/M236),"")</f>
        <v/>
      </c>
      <c r="N301" s="50" t="str">
        <f aca="false">IFERROR(IF(OR(NOT(ISNUMBER(N300)),N(N236)=0),"",N300/N236),"")</f>
        <v/>
      </c>
      <c r="O301" s="68" t="str">
        <f aca="false">IFERROR(IF(OR(NOT(ISNUMBER(O300)),N(O236)=0),"",O300/O236),"")</f>
        <v/>
      </c>
    </row>
    <row r="302" customFormat="false" ht="15" hidden="true" customHeight="false" outlineLevel="1" collapsed="false">
      <c r="A302" s="11" t="s">
        <v>2193</v>
      </c>
      <c r="B302" s="53" t="str">
        <f aca="false">IF(INDEX(Prod_Nombre,14)="","Producto 14",INDEX(Prod_Nombre,14))</f>
        <v>Producto 14</v>
      </c>
      <c r="C302" s="11" t="s">
        <v>508</v>
      </c>
      <c r="D302" s="37"/>
      <c r="E302" s="37"/>
      <c r="F302" s="37"/>
      <c r="G302" s="37"/>
      <c r="H302" s="37"/>
      <c r="I302" s="37"/>
      <c r="J302" s="37"/>
      <c r="K302" s="37"/>
      <c r="L302" s="37"/>
      <c r="M302" s="37"/>
      <c r="N302" s="37"/>
      <c r="O302" s="54" t="str">
        <f aca="false">IF(COUNT(D302:N302)=0,"",SUM(D302:N302))</f>
        <v/>
      </c>
    </row>
    <row r="303" customFormat="false" ht="15" hidden="true" customHeight="false" outlineLevel="1" collapsed="false">
      <c r="A303" s="11" t="s">
        <v>2194</v>
      </c>
      <c r="B303" s="15" t="s">
        <v>2087</v>
      </c>
      <c r="C303" s="11" t="s">
        <v>748</v>
      </c>
      <c r="E303" s="50" t="str">
        <f aca="false">IFERROR(IF(OR(NOT(ISNUMBER(E302)),N(E239)=0),"",E302/E239),"")</f>
        <v/>
      </c>
      <c r="F303" s="50" t="str">
        <f aca="false">IFERROR(IF(OR(NOT(ISNUMBER(F302)),N(F239)=0),"",F302/F239),"")</f>
        <v/>
      </c>
      <c r="G303" s="50" t="str">
        <f aca="false">IFERROR(IF(OR(NOT(ISNUMBER(G302)),N(G239)=0),"",G302/G239),"")</f>
        <v/>
      </c>
      <c r="H303" s="50" t="str">
        <f aca="false">IFERROR(IF(OR(NOT(ISNUMBER(H302)),N(H239)=0),"",H302/H239),"")</f>
        <v/>
      </c>
      <c r="I303" s="50" t="str">
        <f aca="false">IFERROR(IF(OR(NOT(ISNUMBER(I302)),N(I239)=0),"",I302/I239),"")</f>
        <v/>
      </c>
      <c r="J303" s="50" t="str">
        <f aca="false">IFERROR(IF(OR(NOT(ISNUMBER(J302)),N(J239)=0),"",J302/J239),"")</f>
        <v/>
      </c>
      <c r="K303" s="50" t="str">
        <f aca="false">IFERROR(IF(OR(NOT(ISNUMBER(K302)),N(K239)=0),"",K302/K239),"")</f>
        <v/>
      </c>
      <c r="L303" s="50" t="str">
        <f aca="false">IFERROR(IF(OR(NOT(ISNUMBER(L302)),N(L239)=0),"",L302/L239),"")</f>
        <v/>
      </c>
      <c r="M303" s="50" t="str">
        <f aca="false">IFERROR(IF(OR(NOT(ISNUMBER(M302)),N(M239)=0),"",M302/M239),"")</f>
        <v/>
      </c>
      <c r="N303" s="50" t="str">
        <f aca="false">IFERROR(IF(OR(NOT(ISNUMBER(N302)),N(N239)=0),"",N302/N239),"")</f>
        <v/>
      </c>
      <c r="O303" s="68" t="str">
        <f aca="false">IFERROR(IF(OR(NOT(ISNUMBER(O302)),N(O239)=0),"",O302/O239),"")</f>
        <v/>
      </c>
    </row>
    <row r="304" customFormat="false" ht="15" hidden="true" customHeight="false" outlineLevel="1" collapsed="false">
      <c r="A304" s="11" t="s">
        <v>2195</v>
      </c>
      <c r="B304" s="53" t="str">
        <f aca="false">IF(INDEX(Prod_Nombre,15)="","Producto 15",INDEX(Prod_Nombre,15))</f>
        <v>Producto 15</v>
      </c>
      <c r="C304" s="11" t="s">
        <v>508</v>
      </c>
      <c r="D304" s="37"/>
      <c r="E304" s="37"/>
      <c r="F304" s="37"/>
      <c r="G304" s="37"/>
      <c r="H304" s="37"/>
      <c r="I304" s="37"/>
      <c r="J304" s="37"/>
      <c r="K304" s="37"/>
      <c r="L304" s="37"/>
      <c r="M304" s="37"/>
      <c r="N304" s="37"/>
      <c r="O304" s="54" t="str">
        <f aca="false">IF(COUNT(D304:N304)=0,"",SUM(D304:N304))</f>
        <v/>
      </c>
    </row>
    <row r="305" customFormat="false" ht="15" hidden="true" customHeight="false" outlineLevel="1" collapsed="false">
      <c r="A305" s="11" t="s">
        <v>2196</v>
      </c>
      <c r="B305" s="15" t="s">
        <v>2087</v>
      </c>
      <c r="C305" s="11" t="s">
        <v>748</v>
      </c>
      <c r="E305" s="50" t="str">
        <f aca="false">IFERROR(IF(OR(NOT(ISNUMBER(E304)),N(E242)=0),"",E304/E242),"")</f>
        <v/>
      </c>
      <c r="F305" s="50" t="str">
        <f aca="false">IFERROR(IF(OR(NOT(ISNUMBER(F304)),N(F242)=0),"",F304/F242),"")</f>
        <v/>
      </c>
      <c r="G305" s="50" t="str">
        <f aca="false">IFERROR(IF(OR(NOT(ISNUMBER(G304)),N(G242)=0),"",G304/G242),"")</f>
        <v/>
      </c>
      <c r="H305" s="50" t="str">
        <f aca="false">IFERROR(IF(OR(NOT(ISNUMBER(H304)),N(H242)=0),"",H304/H242),"")</f>
        <v/>
      </c>
      <c r="I305" s="50" t="str">
        <f aca="false">IFERROR(IF(OR(NOT(ISNUMBER(I304)),N(I242)=0),"",I304/I242),"")</f>
        <v/>
      </c>
      <c r="J305" s="50" t="str">
        <f aca="false">IFERROR(IF(OR(NOT(ISNUMBER(J304)),N(J242)=0),"",J304/J242),"")</f>
        <v/>
      </c>
      <c r="K305" s="50" t="str">
        <f aca="false">IFERROR(IF(OR(NOT(ISNUMBER(K304)),N(K242)=0),"",K304/K242),"")</f>
        <v/>
      </c>
      <c r="L305" s="50" t="str">
        <f aca="false">IFERROR(IF(OR(NOT(ISNUMBER(L304)),N(L242)=0),"",L304/L242),"")</f>
        <v/>
      </c>
      <c r="M305" s="50" t="str">
        <f aca="false">IFERROR(IF(OR(NOT(ISNUMBER(M304)),N(M242)=0),"",M304/M242),"")</f>
        <v/>
      </c>
      <c r="N305" s="50" t="str">
        <f aca="false">IFERROR(IF(OR(NOT(ISNUMBER(N304)),N(N242)=0),"",N304/N242),"")</f>
        <v/>
      </c>
      <c r="O305" s="68" t="str">
        <f aca="false">IFERROR(IF(OR(NOT(ISNUMBER(O304)),N(O242)=0),"",O304/O242),"")</f>
        <v/>
      </c>
    </row>
    <row r="306" customFormat="false" ht="15" hidden="true" customHeight="false" outlineLevel="1" collapsed="false">
      <c r="A306" s="11" t="s">
        <v>2197</v>
      </c>
      <c r="B306" s="53" t="str">
        <f aca="false">IF(INDEX(Prod_Nombre,16)="","Producto 16",INDEX(Prod_Nombre,16))</f>
        <v>Producto 16</v>
      </c>
      <c r="C306" s="11" t="s">
        <v>508</v>
      </c>
      <c r="D306" s="37"/>
      <c r="E306" s="37"/>
      <c r="F306" s="37"/>
      <c r="G306" s="37"/>
      <c r="H306" s="37"/>
      <c r="I306" s="37"/>
      <c r="J306" s="37"/>
      <c r="K306" s="37"/>
      <c r="L306" s="37"/>
      <c r="M306" s="37"/>
      <c r="N306" s="37"/>
      <c r="O306" s="54" t="str">
        <f aca="false">IF(COUNT(D306:N306)=0,"",SUM(D306:N306))</f>
        <v/>
      </c>
    </row>
    <row r="307" customFormat="false" ht="15" hidden="true" customHeight="false" outlineLevel="1" collapsed="false">
      <c r="A307" s="11" t="s">
        <v>2198</v>
      </c>
      <c r="B307" s="15" t="s">
        <v>2087</v>
      </c>
      <c r="C307" s="11" t="s">
        <v>748</v>
      </c>
      <c r="E307" s="50" t="str">
        <f aca="false">IFERROR(IF(OR(NOT(ISNUMBER(E306)),N(E245)=0),"",E306/E245),"")</f>
        <v/>
      </c>
      <c r="F307" s="50" t="str">
        <f aca="false">IFERROR(IF(OR(NOT(ISNUMBER(F306)),N(F245)=0),"",F306/F245),"")</f>
        <v/>
      </c>
      <c r="G307" s="50" t="str">
        <f aca="false">IFERROR(IF(OR(NOT(ISNUMBER(G306)),N(G245)=0),"",G306/G245),"")</f>
        <v/>
      </c>
      <c r="H307" s="50" t="str">
        <f aca="false">IFERROR(IF(OR(NOT(ISNUMBER(H306)),N(H245)=0),"",H306/H245),"")</f>
        <v/>
      </c>
      <c r="I307" s="50" t="str">
        <f aca="false">IFERROR(IF(OR(NOT(ISNUMBER(I306)),N(I245)=0),"",I306/I245),"")</f>
        <v/>
      </c>
      <c r="J307" s="50" t="str">
        <f aca="false">IFERROR(IF(OR(NOT(ISNUMBER(J306)),N(J245)=0),"",J306/J245),"")</f>
        <v/>
      </c>
      <c r="K307" s="50" t="str">
        <f aca="false">IFERROR(IF(OR(NOT(ISNUMBER(K306)),N(K245)=0),"",K306/K245),"")</f>
        <v/>
      </c>
      <c r="L307" s="50" t="str">
        <f aca="false">IFERROR(IF(OR(NOT(ISNUMBER(L306)),N(L245)=0),"",L306/L245),"")</f>
        <v/>
      </c>
      <c r="M307" s="50" t="str">
        <f aca="false">IFERROR(IF(OR(NOT(ISNUMBER(M306)),N(M245)=0),"",M306/M245),"")</f>
        <v/>
      </c>
      <c r="N307" s="50" t="str">
        <f aca="false">IFERROR(IF(OR(NOT(ISNUMBER(N306)),N(N245)=0),"",N306/N245),"")</f>
        <v/>
      </c>
      <c r="O307" s="68" t="str">
        <f aca="false">IFERROR(IF(OR(NOT(ISNUMBER(O306)),N(O245)=0),"",O306/O245),"")</f>
        <v/>
      </c>
    </row>
    <row r="308" customFormat="false" ht="15" hidden="true" customHeight="false" outlineLevel="1" collapsed="false">
      <c r="A308" s="11" t="s">
        <v>2199</v>
      </c>
      <c r="B308" s="53" t="str">
        <f aca="false">IF(INDEX(Prod_Nombre,17)="","Producto 17",INDEX(Prod_Nombre,17))</f>
        <v>Producto 17</v>
      </c>
      <c r="C308" s="11" t="s">
        <v>508</v>
      </c>
      <c r="D308" s="37"/>
      <c r="E308" s="37"/>
      <c r="F308" s="37"/>
      <c r="G308" s="37"/>
      <c r="H308" s="37"/>
      <c r="I308" s="37"/>
      <c r="J308" s="37"/>
      <c r="K308" s="37"/>
      <c r="L308" s="37"/>
      <c r="M308" s="37"/>
      <c r="N308" s="37"/>
      <c r="O308" s="54" t="str">
        <f aca="false">IF(COUNT(D308:N308)=0,"",SUM(D308:N308))</f>
        <v/>
      </c>
    </row>
    <row r="309" customFormat="false" ht="15" hidden="true" customHeight="false" outlineLevel="1" collapsed="false">
      <c r="A309" s="11" t="s">
        <v>2200</v>
      </c>
      <c r="B309" s="15" t="s">
        <v>2087</v>
      </c>
      <c r="C309" s="11" t="s">
        <v>748</v>
      </c>
      <c r="E309" s="50" t="str">
        <f aca="false">IFERROR(IF(OR(NOT(ISNUMBER(E308)),N(E248)=0),"",E308/E248),"")</f>
        <v/>
      </c>
      <c r="F309" s="50" t="str">
        <f aca="false">IFERROR(IF(OR(NOT(ISNUMBER(F308)),N(F248)=0),"",F308/F248),"")</f>
        <v/>
      </c>
      <c r="G309" s="50" t="str">
        <f aca="false">IFERROR(IF(OR(NOT(ISNUMBER(G308)),N(G248)=0),"",G308/G248),"")</f>
        <v/>
      </c>
      <c r="H309" s="50" t="str">
        <f aca="false">IFERROR(IF(OR(NOT(ISNUMBER(H308)),N(H248)=0),"",H308/H248),"")</f>
        <v/>
      </c>
      <c r="I309" s="50" t="str">
        <f aca="false">IFERROR(IF(OR(NOT(ISNUMBER(I308)),N(I248)=0),"",I308/I248),"")</f>
        <v/>
      </c>
      <c r="J309" s="50" t="str">
        <f aca="false">IFERROR(IF(OR(NOT(ISNUMBER(J308)),N(J248)=0),"",J308/J248),"")</f>
        <v/>
      </c>
      <c r="K309" s="50" t="str">
        <f aca="false">IFERROR(IF(OR(NOT(ISNUMBER(K308)),N(K248)=0),"",K308/K248),"")</f>
        <v/>
      </c>
      <c r="L309" s="50" t="str">
        <f aca="false">IFERROR(IF(OR(NOT(ISNUMBER(L308)),N(L248)=0),"",L308/L248),"")</f>
        <v/>
      </c>
      <c r="M309" s="50" t="str">
        <f aca="false">IFERROR(IF(OR(NOT(ISNUMBER(M308)),N(M248)=0),"",M308/M248),"")</f>
        <v/>
      </c>
      <c r="N309" s="50" t="str">
        <f aca="false">IFERROR(IF(OR(NOT(ISNUMBER(N308)),N(N248)=0),"",N308/N248),"")</f>
        <v/>
      </c>
      <c r="O309" s="68" t="str">
        <f aca="false">IFERROR(IF(OR(NOT(ISNUMBER(O308)),N(O248)=0),"",O308/O248),"")</f>
        <v/>
      </c>
    </row>
    <row r="310" customFormat="false" ht="15" hidden="true" customHeight="false" outlineLevel="1" collapsed="false">
      <c r="A310" s="11" t="s">
        <v>2201</v>
      </c>
      <c r="B310" s="53" t="str">
        <f aca="false">IF(INDEX(Prod_Nombre,18)="","Producto 18",INDEX(Prod_Nombre,18))</f>
        <v>Producto 18</v>
      </c>
      <c r="C310" s="11" t="s">
        <v>508</v>
      </c>
      <c r="D310" s="37"/>
      <c r="E310" s="37"/>
      <c r="F310" s="37"/>
      <c r="G310" s="37"/>
      <c r="H310" s="37"/>
      <c r="I310" s="37"/>
      <c r="J310" s="37"/>
      <c r="K310" s="37"/>
      <c r="L310" s="37"/>
      <c r="M310" s="37"/>
      <c r="N310" s="37"/>
      <c r="O310" s="54" t="str">
        <f aca="false">IF(COUNT(D310:N310)=0,"",SUM(D310:N310))</f>
        <v/>
      </c>
    </row>
    <row r="311" customFormat="false" ht="15" hidden="true" customHeight="false" outlineLevel="1" collapsed="false">
      <c r="A311" s="11" t="s">
        <v>2202</v>
      </c>
      <c r="B311" s="15" t="s">
        <v>2087</v>
      </c>
      <c r="C311" s="11" t="s">
        <v>748</v>
      </c>
      <c r="E311" s="50" t="str">
        <f aca="false">IFERROR(IF(OR(NOT(ISNUMBER(E310)),N(E251)=0),"",E310/E251),"")</f>
        <v/>
      </c>
      <c r="F311" s="50" t="str">
        <f aca="false">IFERROR(IF(OR(NOT(ISNUMBER(F310)),N(F251)=0),"",F310/F251),"")</f>
        <v/>
      </c>
      <c r="G311" s="50" t="str">
        <f aca="false">IFERROR(IF(OR(NOT(ISNUMBER(G310)),N(G251)=0),"",G310/G251),"")</f>
        <v/>
      </c>
      <c r="H311" s="50" t="str">
        <f aca="false">IFERROR(IF(OR(NOT(ISNUMBER(H310)),N(H251)=0),"",H310/H251),"")</f>
        <v/>
      </c>
      <c r="I311" s="50" t="str">
        <f aca="false">IFERROR(IF(OR(NOT(ISNUMBER(I310)),N(I251)=0),"",I310/I251),"")</f>
        <v/>
      </c>
      <c r="J311" s="50" t="str">
        <f aca="false">IFERROR(IF(OR(NOT(ISNUMBER(J310)),N(J251)=0),"",J310/J251),"")</f>
        <v/>
      </c>
      <c r="K311" s="50" t="str">
        <f aca="false">IFERROR(IF(OR(NOT(ISNUMBER(K310)),N(K251)=0),"",K310/K251),"")</f>
        <v/>
      </c>
      <c r="L311" s="50" t="str">
        <f aca="false">IFERROR(IF(OR(NOT(ISNUMBER(L310)),N(L251)=0),"",L310/L251),"")</f>
        <v/>
      </c>
      <c r="M311" s="50" t="str">
        <f aca="false">IFERROR(IF(OR(NOT(ISNUMBER(M310)),N(M251)=0),"",M310/M251),"")</f>
        <v/>
      </c>
      <c r="N311" s="50" t="str">
        <f aca="false">IFERROR(IF(OR(NOT(ISNUMBER(N310)),N(N251)=0),"",N310/N251),"")</f>
        <v/>
      </c>
      <c r="O311" s="68" t="str">
        <f aca="false">IFERROR(IF(OR(NOT(ISNUMBER(O310)),N(O251)=0),"",O310/O251),"")</f>
        <v/>
      </c>
    </row>
    <row r="312" customFormat="false" ht="15" hidden="true" customHeight="false" outlineLevel="1" collapsed="false">
      <c r="A312" s="11" t="s">
        <v>2203</v>
      </c>
      <c r="B312" s="53" t="str">
        <f aca="false">IF(INDEX(Prod_Nombre,19)="","Producto 19",INDEX(Prod_Nombre,19))</f>
        <v>Producto 19</v>
      </c>
      <c r="C312" s="11" t="s">
        <v>508</v>
      </c>
      <c r="D312" s="37"/>
      <c r="E312" s="37"/>
      <c r="F312" s="37"/>
      <c r="G312" s="37"/>
      <c r="H312" s="37"/>
      <c r="I312" s="37"/>
      <c r="J312" s="37"/>
      <c r="K312" s="37"/>
      <c r="L312" s="37"/>
      <c r="M312" s="37"/>
      <c r="N312" s="37"/>
      <c r="O312" s="54" t="str">
        <f aca="false">IF(COUNT(D312:N312)=0,"",SUM(D312:N312))</f>
        <v/>
      </c>
    </row>
    <row r="313" customFormat="false" ht="15" hidden="true" customHeight="false" outlineLevel="1" collapsed="false">
      <c r="A313" s="11" t="s">
        <v>2204</v>
      </c>
      <c r="B313" s="15" t="s">
        <v>2087</v>
      </c>
      <c r="C313" s="11" t="s">
        <v>748</v>
      </c>
      <c r="E313" s="50" t="str">
        <f aca="false">IFERROR(IF(OR(NOT(ISNUMBER(E312)),N(E254)=0),"",E312/E254),"")</f>
        <v/>
      </c>
      <c r="F313" s="50" t="str">
        <f aca="false">IFERROR(IF(OR(NOT(ISNUMBER(F312)),N(F254)=0),"",F312/F254),"")</f>
        <v/>
      </c>
      <c r="G313" s="50" t="str">
        <f aca="false">IFERROR(IF(OR(NOT(ISNUMBER(G312)),N(G254)=0),"",G312/G254),"")</f>
        <v/>
      </c>
      <c r="H313" s="50" t="str">
        <f aca="false">IFERROR(IF(OR(NOT(ISNUMBER(H312)),N(H254)=0),"",H312/H254),"")</f>
        <v/>
      </c>
      <c r="I313" s="50" t="str">
        <f aca="false">IFERROR(IF(OR(NOT(ISNUMBER(I312)),N(I254)=0),"",I312/I254),"")</f>
        <v/>
      </c>
      <c r="J313" s="50" t="str">
        <f aca="false">IFERROR(IF(OR(NOT(ISNUMBER(J312)),N(J254)=0),"",J312/J254),"")</f>
        <v/>
      </c>
      <c r="K313" s="50" t="str">
        <f aca="false">IFERROR(IF(OR(NOT(ISNUMBER(K312)),N(K254)=0),"",K312/K254),"")</f>
        <v/>
      </c>
      <c r="L313" s="50" t="str">
        <f aca="false">IFERROR(IF(OR(NOT(ISNUMBER(L312)),N(L254)=0),"",L312/L254),"")</f>
        <v/>
      </c>
      <c r="M313" s="50" t="str">
        <f aca="false">IFERROR(IF(OR(NOT(ISNUMBER(M312)),N(M254)=0),"",M312/M254),"")</f>
        <v/>
      </c>
      <c r="N313" s="50" t="str">
        <f aca="false">IFERROR(IF(OR(NOT(ISNUMBER(N312)),N(N254)=0),"",N312/N254),"")</f>
        <v/>
      </c>
      <c r="O313" s="68" t="str">
        <f aca="false">IFERROR(IF(OR(NOT(ISNUMBER(O312)),N(O254)=0),"",O312/O254),"")</f>
        <v/>
      </c>
    </row>
    <row r="314" customFormat="false" ht="15" hidden="true" customHeight="false" outlineLevel="1" collapsed="false">
      <c r="A314" s="11" t="s">
        <v>2205</v>
      </c>
      <c r="B314" s="53" t="str">
        <f aca="false">IF(INDEX(Prod_Nombre,20)="","Producto 20",INDEX(Prod_Nombre,20))</f>
        <v>Producto 20</v>
      </c>
      <c r="C314" s="11" t="s">
        <v>508</v>
      </c>
      <c r="D314" s="37"/>
      <c r="E314" s="37"/>
      <c r="F314" s="37"/>
      <c r="G314" s="37"/>
      <c r="H314" s="37"/>
      <c r="I314" s="37"/>
      <c r="J314" s="37"/>
      <c r="K314" s="37"/>
      <c r="L314" s="37"/>
      <c r="M314" s="37"/>
      <c r="N314" s="37"/>
      <c r="O314" s="54" t="str">
        <f aca="false">IF(COUNT(D314:N314)=0,"",SUM(D314:N314))</f>
        <v/>
      </c>
    </row>
    <row r="315" customFormat="false" ht="15" hidden="true" customHeight="false" outlineLevel="1" collapsed="false">
      <c r="A315" s="11" t="s">
        <v>2206</v>
      </c>
      <c r="B315" s="15" t="s">
        <v>2087</v>
      </c>
      <c r="C315" s="11" t="s">
        <v>748</v>
      </c>
      <c r="E315" s="50" t="str">
        <f aca="false">IFERROR(IF(OR(NOT(ISNUMBER(E314)),N(E257)=0),"",E314/E257),"")</f>
        <v/>
      </c>
      <c r="F315" s="50" t="str">
        <f aca="false">IFERROR(IF(OR(NOT(ISNUMBER(F314)),N(F257)=0),"",F314/F257),"")</f>
        <v/>
      </c>
      <c r="G315" s="50" t="str">
        <f aca="false">IFERROR(IF(OR(NOT(ISNUMBER(G314)),N(G257)=0),"",G314/G257),"")</f>
        <v/>
      </c>
      <c r="H315" s="50" t="str">
        <f aca="false">IFERROR(IF(OR(NOT(ISNUMBER(H314)),N(H257)=0),"",H314/H257),"")</f>
        <v/>
      </c>
      <c r="I315" s="50" t="str">
        <f aca="false">IFERROR(IF(OR(NOT(ISNUMBER(I314)),N(I257)=0),"",I314/I257),"")</f>
        <v/>
      </c>
      <c r="J315" s="50" t="str">
        <f aca="false">IFERROR(IF(OR(NOT(ISNUMBER(J314)),N(J257)=0),"",J314/J257),"")</f>
        <v/>
      </c>
      <c r="K315" s="50" t="str">
        <f aca="false">IFERROR(IF(OR(NOT(ISNUMBER(K314)),N(K257)=0),"",K314/K257),"")</f>
        <v/>
      </c>
      <c r="L315" s="50" t="str">
        <f aca="false">IFERROR(IF(OR(NOT(ISNUMBER(L314)),N(L257)=0),"",L314/L257),"")</f>
        <v/>
      </c>
      <c r="M315" s="50" t="str">
        <f aca="false">IFERROR(IF(OR(NOT(ISNUMBER(M314)),N(M257)=0),"",M314/M257),"")</f>
        <v/>
      </c>
      <c r="N315" s="50" t="str">
        <f aca="false">IFERROR(IF(OR(NOT(ISNUMBER(N314)),N(N257)=0),"",N314/N257),"")</f>
        <v/>
      </c>
      <c r="O315" s="68" t="str">
        <f aca="false">IFERROR(IF(OR(NOT(ISNUMBER(O314)),N(O257)=0),"",O314/O257),"")</f>
        <v/>
      </c>
    </row>
    <row r="316" customFormat="false" ht="15" hidden="true" customHeight="false" outlineLevel="1" collapsed="false">
      <c r="A316" s="11" t="s">
        <v>2207</v>
      </c>
      <c r="B316" s="53" t="str">
        <f aca="false">IF(INDEX(Prod_Nombre,21)="","Producto 21",INDEX(Prod_Nombre,21))</f>
        <v>Producto 21</v>
      </c>
      <c r="C316" s="11" t="s">
        <v>508</v>
      </c>
      <c r="D316" s="37"/>
      <c r="E316" s="37"/>
      <c r="F316" s="37"/>
      <c r="G316" s="37"/>
      <c r="H316" s="37"/>
      <c r="I316" s="37"/>
      <c r="J316" s="37"/>
      <c r="K316" s="37"/>
      <c r="L316" s="37"/>
      <c r="M316" s="37"/>
      <c r="N316" s="37"/>
      <c r="O316" s="54" t="str">
        <f aca="false">IF(COUNT(D316:N316)=0,"",SUM(D316:N316))</f>
        <v/>
      </c>
    </row>
    <row r="317" customFormat="false" ht="15" hidden="true" customHeight="false" outlineLevel="1" collapsed="false">
      <c r="A317" s="11" t="s">
        <v>2208</v>
      </c>
      <c r="B317" s="15" t="s">
        <v>2087</v>
      </c>
      <c r="C317" s="11" t="s">
        <v>748</v>
      </c>
      <c r="E317" s="50" t="str">
        <f aca="false">IFERROR(IF(OR(NOT(ISNUMBER(E316)),N(E260)=0),"",E316/E260),"")</f>
        <v/>
      </c>
      <c r="F317" s="50" t="str">
        <f aca="false">IFERROR(IF(OR(NOT(ISNUMBER(F316)),N(F260)=0),"",F316/F260),"")</f>
        <v/>
      </c>
      <c r="G317" s="50" t="str">
        <f aca="false">IFERROR(IF(OR(NOT(ISNUMBER(G316)),N(G260)=0),"",G316/G260),"")</f>
        <v/>
      </c>
      <c r="H317" s="50" t="str">
        <f aca="false">IFERROR(IF(OR(NOT(ISNUMBER(H316)),N(H260)=0),"",H316/H260),"")</f>
        <v/>
      </c>
      <c r="I317" s="50" t="str">
        <f aca="false">IFERROR(IF(OR(NOT(ISNUMBER(I316)),N(I260)=0),"",I316/I260),"")</f>
        <v/>
      </c>
      <c r="J317" s="50" t="str">
        <f aca="false">IFERROR(IF(OR(NOT(ISNUMBER(J316)),N(J260)=0),"",J316/J260),"")</f>
        <v/>
      </c>
      <c r="K317" s="50" t="str">
        <f aca="false">IFERROR(IF(OR(NOT(ISNUMBER(K316)),N(K260)=0),"",K316/K260),"")</f>
        <v/>
      </c>
      <c r="L317" s="50" t="str">
        <f aca="false">IFERROR(IF(OR(NOT(ISNUMBER(L316)),N(L260)=0),"",L316/L260),"")</f>
        <v/>
      </c>
      <c r="M317" s="50" t="str">
        <f aca="false">IFERROR(IF(OR(NOT(ISNUMBER(M316)),N(M260)=0),"",M316/M260),"")</f>
        <v/>
      </c>
      <c r="N317" s="50" t="str">
        <f aca="false">IFERROR(IF(OR(NOT(ISNUMBER(N316)),N(N260)=0),"",N316/N260),"")</f>
        <v/>
      </c>
      <c r="O317" s="68" t="str">
        <f aca="false">IFERROR(IF(OR(NOT(ISNUMBER(O316)),N(O260)=0),"",O316/O260),"")</f>
        <v/>
      </c>
    </row>
    <row r="318" customFormat="false" ht="15" hidden="true" customHeight="false" outlineLevel="1" collapsed="false">
      <c r="A318" s="11" t="s">
        <v>2209</v>
      </c>
      <c r="B318" s="53" t="str">
        <f aca="false">IF(INDEX(Prod_Nombre,22)="","Producto 22",INDEX(Prod_Nombre,22))</f>
        <v>Producto 22</v>
      </c>
      <c r="C318" s="11" t="s">
        <v>508</v>
      </c>
      <c r="D318" s="37"/>
      <c r="E318" s="37"/>
      <c r="F318" s="37"/>
      <c r="G318" s="37"/>
      <c r="H318" s="37"/>
      <c r="I318" s="37"/>
      <c r="J318" s="37"/>
      <c r="K318" s="37"/>
      <c r="L318" s="37"/>
      <c r="M318" s="37"/>
      <c r="N318" s="37"/>
      <c r="O318" s="54" t="str">
        <f aca="false">IF(COUNT(D318:N318)=0,"",SUM(D318:N318))</f>
        <v/>
      </c>
    </row>
    <row r="319" customFormat="false" ht="15" hidden="true" customHeight="false" outlineLevel="1" collapsed="false">
      <c r="A319" s="11" t="s">
        <v>2210</v>
      </c>
      <c r="B319" s="15" t="s">
        <v>2087</v>
      </c>
      <c r="C319" s="11" t="s">
        <v>748</v>
      </c>
      <c r="E319" s="50" t="str">
        <f aca="false">IFERROR(IF(OR(NOT(ISNUMBER(E318)),N(E263)=0),"",E318/E263),"")</f>
        <v/>
      </c>
      <c r="F319" s="50" t="str">
        <f aca="false">IFERROR(IF(OR(NOT(ISNUMBER(F318)),N(F263)=0),"",F318/F263),"")</f>
        <v/>
      </c>
      <c r="G319" s="50" t="str">
        <f aca="false">IFERROR(IF(OR(NOT(ISNUMBER(G318)),N(G263)=0),"",G318/G263),"")</f>
        <v/>
      </c>
      <c r="H319" s="50" t="str">
        <f aca="false">IFERROR(IF(OR(NOT(ISNUMBER(H318)),N(H263)=0),"",H318/H263),"")</f>
        <v/>
      </c>
      <c r="I319" s="50" t="str">
        <f aca="false">IFERROR(IF(OR(NOT(ISNUMBER(I318)),N(I263)=0),"",I318/I263),"")</f>
        <v/>
      </c>
      <c r="J319" s="50" t="str">
        <f aca="false">IFERROR(IF(OR(NOT(ISNUMBER(J318)),N(J263)=0),"",J318/J263),"")</f>
        <v/>
      </c>
      <c r="K319" s="50" t="str">
        <f aca="false">IFERROR(IF(OR(NOT(ISNUMBER(K318)),N(K263)=0),"",K318/K263),"")</f>
        <v/>
      </c>
      <c r="L319" s="50" t="str">
        <f aca="false">IFERROR(IF(OR(NOT(ISNUMBER(L318)),N(L263)=0),"",L318/L263),"")</f>
        <v/>
      </c>
      <c r="M319" s="50" t="str">
        <f aca="false">IFERROR(IF(OR(NOT(ISNUMBER(M318)),N(M263)=0),"",M318/M263),"")</f>
        <v/>
      </c>
      <c r="N319" s="50" t="str">
        <f aca="false">IFERROR(IF(OR(NOT(ISNUMBER(N318)),N(N263)=0),"",N318/N263),"")</f>
        <v/>
      </c>
      <c r="O319" s="68" t="str">
        <f aca="false">IFERROR(IF(OR(NOT(ISNUMBER(O318)),N(O263)=0),"",O318/O263),"")</f>
        <v/>
      </c>
    </row>
    <row r="320" customFormat="false" ht="15" hidden="true" customHeight="false" outlineLevel="1" collapsed="false">
      <c r="A320" s="11" t="s">
        <v>2211</v>
      </c>
      <c r="B320" s="53" t="str">
        <f aca="false">IF(INDEX(Prod_Nombre,23)="","Producto 23",INDEX(Prod_Nombre,23))</f>
        <v>Producto 23</v>
      </c>
      <c r="C320" s="11" t="s">
        <v>508</v>
      </c>
      <c r="D320" s="37"/>
      <c r="E320" s="37"/>
      <c r="F320" s="37"/>
      <c r="G320" s="37"/>
      <c r="H320" s="37"/>
      <c r="I320" s="37"/>
      <c r="J320" s="37"/>
      <c r="K320" s="37"/>
      <c r="L320" s="37"/>
      <c r="M320" s="37"/>
      <c r="N320" s="37"/>
      <c r="O320" s="54" t="str">
        <f aca="false">IF(COUNT(D320:N320)=0,"",SUM(D320:N320))</f>
        <v/>
      </c>
    </row>
    <row r="321" customFormat="false" ht="15" hidden="true" customHeight="false" outlineLevel="1" collapsed="false">
      <c r="A321" s="11" t="s">
        <v>2212</v>
      </c>
      <c r="B321" s="15" t="s">
        <v>2087</v>
      </c>
      <c r="C321" s="11" t="s">
        <v>748</v>
      </c>
      <c r="E321" s="50" t="str">
        <f aca="false">IFERROR(IF(OR(NOT(ISNUMBER(E320)),N(E266)=0),"",E320/E266),"")</f>
        <v/>
      </c>
      <c r="F321" s="50" t="str">
        <f aca="false">IFERROR(IF(OR(NOT(ISNUMBER(F320)),N(F266)=0),"",F320/F266),"")</f>
        <v/>
      </c>
      <c r="G321" s="50" t="str">
        <f aca="false">IFERROR(IF(OR(NOT(ISNUMBER(G320)),N(G266)=0),"",G320/G266),"")</f>
        <v/>
      </c>
      <c r="H321" s="50" t="str">
        <f aca="false">IFERROR(IF(OR(NOT(ISNUMBER(H320)),N(H266)=0),"",H320/H266),"")</f>
        <v/>
      </c>
      <c r="I321" s="50" t="str">
        <f aca="false">IFERROR(IF(OR(NOT(ISNUMBER(I320)),N(I266)=0),"",I320/I266),"")</f>
        <v/>
      </c>
      <c r="J321" s="50" t="str">
        <f aca="false">IFERROR(IF(OR(NOT(ISNUMBER(J320)),N(J266)=0),"",J320/J266),"")</f>
        <v/>
      </c>
      <c r="K321" s="50" t="str">
        <f aca="false">IFERROR(IF(OR(NOT(ISNUMBER(K320)),N(K266)=0),"",K320/K266),"")</f>
        <v/>
      </c>
      <c r="L321" s="50" t="str">
        <f aca="false">IFERROR(IF(OR(NOT(ISNUMBER(L320)),N(L266)=0),"",L320/L266),"")</f>
        <v/>
      </c>
      <c r="M321" s="50" t="str">
        <f aca="false">IFERROR(IF(OR(NOT(ISNUMBER(M320)),N(M266)=0),"",M320/M266),"")</f>
        <v/>
      </c>
      <c r="N321" s="50" t="str">
        <f aca="false">IFERROR(IF(OR(NOT(ISNUMBER(N320)),N(N266)=0),"",N320/N266),"")</f>
        <v/>
      </c>
      <c r="O321" s="68" t="str">
        <f aca="false">IFERROR(IF(OR(NOT(ISNUMBER(O320)),N(O266)=0),"",O320/O266),"")</f>
        <v/>
      </c>
    </row>
    <row r="322" customFormat="false" ht="15" hidden="true" customHeight="false" outlineLevel="1" collapsed="false">
      <c r="A322" s="11" t="s">
        <v>2213</v>
      </c>
      <c r="B322" s="53" t="str">
        <f aca="false">IF(INDEX(Prod_Nombre,24)="","Producto 24",INDEX(Prod_Nombre,24))</f>
        <v>Producto 24</v>
      </c>
      <c r="C322" s="11" t="s">
        <v>508</v>
      </c>
      <c r="D322" s="37"/>
      <c r="E322" s="37"/>
      <c r="F322" s="37"/>
      <c r="G322" s="37"/>
      <c r="H322" s="37"/>
      <c r="I322" s="37"/>
      <c r="J322" s="37"/>
      <c r="K322" s="37"/>
      <c r="L322" s="37"/>
      <c r="M322" s="37"/>
      <c r="N322" s="37"/>
      <c r="O322" s="54" t="str">
        <f aca="false">IF(COUNT(D322:N322)=0,"",SUM(D322:N322))</f>
        <v/>
      </c>
    </row>
    <row r="323" customFormat="false" ht="15" hidden="true" customHeight="false" outlineLevel="1" collapsed="false">
      <c r="A323" s="11" t="s">
        <v>2214</v>
      </c>
      <c r="B323" s="15" t="s">
        <v>2087</v>
      </c>
      <c r="C323" s="11" t="s">
        <v>748</v>
      </c>
      <c r="E323" s="50" t="str">
        <f aca="false">IFERROR(IF(OR(NOT(ISNUMBER(E322)),N(E269)=0),"",E322/E269),"")</f>
        <v/>
      </c>
      <c r="F323" s="50" t="str">
        <f aca="false">IFERROR(IF(OR(NOT(ISNUMBER(F322)),N(F269)=0),"",F322/F269),"")</f>
        <v/>
      </c>
      <c r="G323" s="50" t="str">
        <f aca="false">IFERROR(IF(OR(NOT(ISNUMBER(G322)),N(G269)=0),"",G322/G269),"")</f>
        <v/>
      </c>
      <c r="H323" s="50" t="str">
        <f aca="false">IFERROR(IF(OR(NOT(ISNUMBER(H322)),N(H269)=0),"",H322/H269),"")</f>
        <v/>
      </c>
      <c r="I323" s="50" t="str">
        <f aca="false">IFERROR(IF(OR(NOT(ISNUMBER(I322)),N(I269)=0),"",I322/I269),"")</f>
        <v/>
      </c>
      <c r="J323" s="50" t="str">
        <f aca="false">IFERROR(IF(OR(NOT(ISNUMBER(J322)),N(J269)=0),"",J322/J269),"")</f>
        <v/>
      </c>
      <c r="K323" s="50" t="str">
        <f aca="false">IFERROR(IF(OR(NOT(ISNUMBER(K322)),N(K269)=0),"",K322/K269),"")</f>
        <v/>
      </c>
      <c r="L323" s="50" t="str">
        <f aca="false">IFERROR(IF(OR(NOT(ISNUMBER(L322)),N(L269)=0),"",L322/L269),"")</f>
        <v/>
      </c>
      <c r="M323" s="50" t="str">
        <f aca="false">IFERROR(IF(OR(NOT(ISNUMBER(M322)),N(M269)=0),"",M322/M269),"")</f>
        <v/>
      </c>
      <c r="N323" s="50" t="str">
        <f aca="false">IFERROR(IF(OR(NOT(ISNUMBER(N322)),N(N269)=0),"",N322/N269),"")</f>
        <v/>
      </c>
      <c r="O323" s="68" t="str">
        <f aca="false">IFERROR(IF(OR(NOT(ISNUMBER(O322)),N(O269)=0),"",O322/O269),"")</f>
        <v/>
      </c>
    </row>
    <row r="324" customFormat="false" ht="15" hidden="true" customHeight="false" outlineLevel="1" collapsed="false">
      <c r="A324" s="11" t="s">
        <v>2215</v>
      </c>
      <c r="B324" s="53" t="str">
        <f aca="false">IF(INDEX(Prod_Nombre,25)="","Producto 25",INDEX(Prod_Nombre,25))</f>
        <v>Producto 25</v>
      </c>
      <c r="C324" s="11" t="s">
        <v>508</v>
      </c>
      <c r="D324" s="37"/>
      <c r="E324" s="37"/>
      <c r="F324" s="37"/>
      <c r="G324" s="37"/>
      <c r="H324" s="37"/>
      <c r="I324" s="37"/>
      <c r="J324" s="37"/>
      <c r="K324" s="37"/>
      <c r="L324" s="37"/>
      <c r="M324" s="37"/>
      <c r="N324" s="37"/>
      <c r="O324" s="54" t="str">
        <f aca="false">IF(COUNT(D324:N324)=0,"",SUM(D324:N324))</f>
        <v/>
      </c>
    </row>
    <row r="325" customFormat="false" ht="15" hidden="true" customHeight="false" outlineLevel="1" collapsed="false">
      <c r="A325" s="11" t="s">
        <v>2216</v>
      </c>
      <c r="B325" s="15" t="s">
        <v>2087</v>
      </c>
      <c r="C325" s="11" t="s">
        <v>748</v>
      </c>
      <c r="E325" s="50" t="str">
        <f aca="false">IFERROR(IF(OR(NOT(ISNUMBER(E324)),N(E272)=0),"",E324/E272),"")</f>
        <v/>
      </c>
      <c r="F325" s="50" t="str">
        <f aca="false">IFERROR(IF(OR(NOT(ISNUMBER(F324)),N(F272)=0),"",F324/F272),"")</f>
        <v/>
      </c>
      <c r="G325" s="50" t="str">
        <f aca="false">IFERROR(IF(OR(NOT(ISNUMBER(G324)),N(G272)=0),"",G324/G272),"")</f>
        <v/>
      </c>
      <c r="H325" s="50" t="str">
        <f aca="false">IFERROR(IF(OR(NOT(ISNUMBER(H324)),N(H272)=0),"",H324/H272),"")</f>
        <v/>
      </c>
      <c r="I325" s="50" t="str">
        <f aca="false">IFERROR(IF(OR(NOT(ISNUMBER(I324)),N(I272)=0),"",I324/I272),"")</f>
        <v/>
      </c>
      <c r="J325" s="50" t="str">
        <f aca="false">IFERROR(IF(OR(NOT(ISNUMBER(J324)),N(J272)=0),"",J324/J272),"")</f>
        <v/>
      </c>
      <c r="K325" s="50" t="str">
        <f aca="false">IFERROR(IF(OR(NOT(ISNUMBER(K324)),N(K272)=0),"",K324/K272),"")</f>
        <v/>
      </c>
      <c r="L325" s="50" t="str">
        <f aca="false">IFERROR(IF(OR(NOT(ISNUMBER(L324)),N(L272)=0),"",L324/L272),"")</f>
        <v/>
      </c>
      <c r="M325" s="50" t="str">
        <f aca="false">IFERROR(IF(OR(NOT(ISNUMBER(M324)),N(M272)=0),"",M324/M272),"")</f>
        <v/>
      </c>
      <c r="N325" s="50" t="str">
        <f aca="false">IFERROR(IF(OR(NOT(ISNUMBER(N324)),N(N272)=0),"",N324/N272),"")</f>
        <v/>
      </c>
      <c r="O325" s="68" t="str">
        <f aca="false">IFERROR(IF(OR(NOT(ISNUMBER(O324)),N(O272)=0),"",O324/O272),"")</f>
        <v/>
      </c>
    </row>
    <row r="326" customFormat="false" ht="15" hidden="false" customHeight="false" outlineLevel="0" collapsed="false">
      <c r="A326" s="11" t="s">
        <v>2217</v>
      </c>
      <c r="B326" s="15" t="s">
        <v>2163</v>
      </c>
      <c r="C326" s="11" t="s">
        <v>508</v>
      </c>
      <c r="D326" s="48" t="str">
        <f aca="false">IFERROR(IF(COUNT(D275,D276,D278,D280,D282,D284,D286,D288,D290,D292,D294,D296,D298,D300,D302,D304,D306,D308,D310,D312,D314,D316,D318,D320,D322,D324)=0,"",N(D275)-(N(D276)+N(D278)+N(D280)+N(D282)+N(D284)+N(D286)+N(D288)+N(D290)+N(D292)+N(D294)+N(D296)+N(D298)+N(D300)+N(D302)+N(D304)+N(D306)+N(D308)+N(D310)+N(D312)+N(D314)+N(D316)+N(D318)+N(D320)+N(D322)+N(D324))),"")</f>
        <v/>
      </c>
      <c r="E326" s="48" t="n">
        <f aca="false">IFERROR(IF(COUNT(E275,E276,E278,E280,E282,E284,E286,E288,E290,E292,E294,E296,E298,E300,E302,E304,E306,E308,E310,E312,E314,E316,E318,E320,E322,E324)=0,"",N(E275)-(N(E276)+N(E278)+N(E280)+N(E282)+N(E284)+N(E286)+N(E288)+N(E290)+N(E292)+N(E294)+N(E296)+N(E298)+N(E300)+N(E302)+N(E304)+N(E306)+N(E308)+N(E310)+N(E312)+N(E314)+N(E316)+N(E318)+N(E320)+N(E322)+N(E324))),"")</f>
        <v>0</v>
      </c>
      <c r="F326" s="48" t="n">
        <f aca="false">IFERROR(IF(COUNT(F275,F276,F278,F280,F282,F284,F286,F288,F290,F292,F294,F296,F298,F300,F302,F304,F306,F308,F310,F312,F314,F316,F318,F320,F322,F324)=0,"",N(F275)-(N(F276)+N(F278)+N(F280)+N(F282)+N(F284)+N(F286)+N(F288)+N(F290)+N(F292)+N(F294)+N(F296)+N(F298)+N(F300)+N(F302)+N(F304)+N(F306)+N(F308)+N(F310)+N(F312)+N(F314)+N(F316)+N(F318)+N(F320)+N(F322)+N(F324))),"")</f>
        <v>0</v>
      </c>
      <c r="G326" s="48" t="n">
        <f aca="false">IFERROR(IF(COUNT(G275,G276,G278,G280,G282,G284,G286,G288,G290,G292,G294,G296,G298,G300,G302,G304,G306,G308,G310,G312,G314,G316,G318,G320,G322,G324)=0,"",N(G275)-(N(G276)+N(G278)+N(G280)+N(G282)+N(G284)+N(G286)+N(G288)+N(G290)+N(G292)+N(G294)+N(G296)+N(G298)+N(G300)+N(G302)+N(G304)+N(G306)+N(G308)+N(G310)+N(G312)+N(G314)+N(G316)+N(G318)+N(G320)+N(G322)+N(G324))),"")</f>
        <v>0</v>
      </c>
      <c r="H326" s="48" t="n">
        <f aca="false">IFERROR(IF(COUNT(H275,H276,H278,H280,H282,H284,H286,H288,H290,H292,H294,H296,H298,H300,H302,H304,H306,H308,H310,H312,H314,H316,H318,H320,H322,H324)=0,"",N(H275)-(N(H276)+N(H278)+N(H280)+N(H282)+N(H284)+N(H286)+N(H288)+N(H290)+N(H292)+N(H294)+N(H296)+N(H298)+N(H300)+N(H302)+N(H304)+N(H306)+N(H308)+N(H310)+N(H312)+N(H314)+N(H316)+N(H318)+N(H320)+N(H322)+N(H324))),"")</f>
        <v>0</v>
      </c>
      <c r="I326" s="48" t="n">
        <f aca="false">IFERROR(IF(COUNT(I275,I276,I278,I280,I282,I284,I286,I288,I290,I292,I294,I296,I298,I300,I302,I304,I306,I308,I310,I312,I314,I316,I318,I320,I322,I324)=0,"",N(I275)-(N(I276)+N(I278)+N(I280)+N(I282)+N(I284)+N(I286)+N(I288)+N(I290)+N(I292)+N(I294)+N(I296)+N(I298)+N(I300)+N(I302)+N(I304)+N(I306)+N(I308)+N(I310)+N(I312)+N(I314)+N(I316)+N(I318)+N(I320)+N(I322)+N(I324))),"")</f>
        <v>0</v>
      </c>
      <c r="J326" s="48" t="n">
        <f aca="false">IFERROR(IF(COUNT(J275,J276,J278,J280,J282,J284,J286,J288,J290,J292,J294,J296,J298,J300,J302,J304,J306,J308,J310,J312,J314,J316,J318,J320,J322,J324)=0,"",N(J275)-(N(J276)+N(J278)+N(J280)+N(J282)+N(J284)+N(J286)+N(J288)+N(J290)+N(J292)+N(J294)+N(J296)+N(J298)+N(J300)+N(J302)+N(J304)+N(J306)+N(J308)+N(J310)+N(J312)+N(J314)+N(J316)+N(J318)+N(J320)+N(J322)+N(J324))),"")</f>
        <v>0</v>
      </c>
      <c r="K326" s="48" t="n">
        <f aca="false">IFERROR(IF(COUNT(K275,K276,K278,K280,K282,K284,K286,K288,K290,K292,K294,K296,K298,K300,K302,K304,K306,K308,K310,K312,K314,K316,K318,K320,K322,K324)=0,"",N(K275)-(N(K276)+N(K278)+N(K280)+N(K282)+N(K284)+N(K286)+N(K288)+N(K290)+N(K292)+N(K294)+N(K296)+N(K298)+N(K300)+N(K302)+N(K304)+N(K306)+N(K308)+N(K310)+N(K312)+N(K314)+N(K316)+N(K318)+N(K320)+N(K322)+N(K324))),"")</f>
        <v>0</v>
      </c>
      <c r="L326" s="48" t="n">
        <f aca="false">IFERROR(IF(COUNT(L275,L276,L278,L280,L282,L284,L286,L288,L290,L292,L294,L296,L298,L300,L302,L304,L306,L308,L310,L312,L314,L316,L318,L320,L322,L324)=0,"",N(L275)-(N(L276)+N(L278)+N(L280)+N(L282)+N(L284)+N(L286)+N(L288)+N(L290)+N(L292)+N(L294)+N(L296)+N(L298)+N(L300)+N(L302)+N(L304)+N(L306)+N(L308)+N(L310)+N(L312)+N(L314)+N(L316)+N(L318)+N(L320)+N(L322)+N(L324))),"")</f>
        <v>0</v>
      </c>
      <c r="M326" s="48" t="n">
        <f aca="false">IFERROR(IF(COUNT(M275,M276,M278,M280,M282,M284,M286,M288,M290,M292,M294,M296,M298,M300,M302,M304,M306,M308,M310,M312,M314,M316,M318,M320,M322,M324)=0,"",N(M275)-(N(M276)+N(M278)+N(M280)+N(M282)+N(M284)+N(M286)+N(M288)+N(M290)+N(M292)+N(M294)+N(M296)+N(M298)+N(M300)+N(M302)+N(M304)+N(M306)+N(M308)+N(M310)+N(M312)+N(M314)+N(M316)+N(M318)+N(M320)+N(M322)+N(M324))),"")</f>
        <v>0</v>
      </c>
      <c r="N326" s="48" t="n">
        <f aca="false">IFERROR(IF(COUNT(N275,N276,N278,N280,N282,N284,N286,N288,N290,N292,N294,N296,N298,N300,N302,N304,N306,N308,N310,N312,N314,N316,N318,N320,N322,N324)=0,"",N(N275)-(N(N276)+N(N278)+N(N280)+N(N282)+N(N284)+N(N286)+N(N288)+N(N290)+N(N292)+N(N294)+N(N296)+N(N298)+N(N300)+N(N302)+N(N304)+N(N306)+N(N308)+N(N310)+N(N312)+N(N314)+N(N316)+N(N318)+N(N320)+N(N322)+N(N324))),"")</f>
        <v>0</v>
      </c>
      <c r="O326" s="54" t="n">
        <f aca="false">IF(COUNT(D326:N326)=0,"",SUM(D326:N326))</f>
        <v>0</v>
      </c>
    </row>
    <row r="327" customFormat="false" ht="15" hidden="false" customHeight="false" outlineLevel="0" collapsed="false">
      <c r="A327" s="13"/>
      <c r="B327" s="100" t="s">
        <v>2218</v>
      </c>
      <c r="C327" s="13"/>
      <c r="D327" s="13"/>
      <c r="E327" s="13"/>
      <c r="F327" s="13"/>
      <c r="G327" s="13"/>
      <c r="H327" s="13"/>
      <c r="I327" s="13"/>
      <c r="J327" s="13"/>
      <c r="K327" s="13"/>
      <c r="L327" s="13"/>
      <c r="M327" s="13"/>
      <c r="N327" s="13"/>
      <c r="O327" s="13"/>
    </row>
    <row r="328" customFormat="false" ht="15" hidden="false" customHeight="false" outlineLevel="0" collapsed="false">
      <c r="A328" s="11" t="s">
        <v>2219</v>
      </c>
      <c r="B328" s="67" t="s">
        <v>2220</v>
      </c>
      <c r="C328" s="11" t="s">
        <v>508</v>
      </c>
      <c r="D328" s="37"/>
      <c r="E328" s="37" t="n">
        <v>526012</v>
      </c>
      <c r="F328" s="37" t="n">
        <v>664340</v>
      </c>
      <c r="G328" s="37" t="n">
        <v>802667</v>
      </c>
      <c r="H328" s="37" t="n">
        <v>913695</v>
      </c>
      <c r="I328" s="37" t="n">
        <v>913695</v>
      </c>
      <c r="J328" s="37" t="n">
        <v>913695</v>
      </c>
      <c r="K328" s="37" t="n">
        <v>913695</v>
      </c>
      <c r="L328" s="37" t="n">
        <v>913695</v>
      </c>
      <c r="M328" s="37" t="n">
        <v>913695</v>
      </c>
      <c r="N328" s="37" t="n">
        <v>913695</v>
      </c>
      <c r="O328" s="54" t="n">
        <f aca="false">IF(COUNT(D328:N328)=0,"",SUM(D328:N328))</f>
        <v>8388884</v>
      </c>
    </row>
    <row r="329" customFormat="false" ht="15" hidden="false" customHeight="false" outlineLevel="0" collapsed="false">
      <c r="A329" s="11" t="s">
        <v>2221</v>
      </c>
      <c r="B329" s="53" t="str">
        <f aca="false">IF(INDEX(Prod_Nombre,1)="","Producto 1",INDEX(Prod_Nombre,1))</f>
        <v>Gabinetes metálicos 153 kg</v>
      </c>
      <c r="C329" s="11" t="s">
        <v>508</v>
      </c>
      <c r="D329" s="37"/>
      <c r="E329" s="37"/>
      <c r="F329" s="37"/>
      <c r="G329" s="37"/>
      <c r="H329" s="37"/>
      <c r="I329" s="37"/>
      <c r="J329" s="37"/>
      <c r="K329" s="37"/>
      <c r="L329" s="37"/>
      <c r="M329" s="37"/>
      <c r="N329" s="37"/>
      <c r="O329" s="54" t="str">
        <f aca="false">IF(COUNT(D329:N329)=0,"",SUM(D329:N329))</f>
        <v/>
      </c>
    </row>
    <row r="330" customFormat="false" ht="15" hidden="false" customHeight="false" outlineLevel="0" collapsed="false">
      <c r="A330" s="11" t="s">
        <v>2222</v>
      </c>
      <c r="B330" s="15" t="s">
        <v>2087</v>
      </c>
      <c r="C330" s="11" t="s">
        <v>748</v>
      </c>
      <c r="E330" s="50" t="str">
        <f aca="false">IFERROR(IF(OR(NOT(ISNUMBER(E329)),N(E200)=0),"",E329/E200),"")</f>
        <v/>
      </c>
      <c r="F330" s="50" t="str">
        <f aca="false">IFERROR(IF(OR(NOT(ISNUMBER(F329)),N(F200)=0),"",F329/F200),"")</f>
        <v/>
      </c>
      <c r="G330" s="50" t="str">
        <f aca="false">IFERROR(IF(OR(NOT(ISNUMBER(G329)),N(G200)=0),"",G329/G200),"")</f>
        <v/>
      </c>
      <c r="H330" s="50" t="str">
        <f aca="false">IFERROR(IF(OR(NOT(ISNUMBER(H329)),N(H200)=0),"",H329/H200),"")</f>
        <v/>
      </c>
      <c r="I330" s="50" t="str">
        <f aca="false">IFERROR(IF(OR(NOT(ISNUMBER(I329)),N(I200)=0),"",I329/I200),"")</f>
        <v/>
      </c>
      <c r="J330" s="50" t="str">
        <f aca="false">IFERROR(IF(OR(NOT(ISNUMBER(J329)),N(J200)=0),"",J329/J200),"")</f>
        <v/>
      </c>
      <c r="K330" s="50" t="str">
        <f aca="false">IFERROR(IF(OR(NOT(ISNUMBER(K329)),N(K200)=0),"",K329/K200),"")</f>
        <v/>
      </c>
      <c r="L330" s="50" t="str">
        <f aca="false">IFERROR(IF(OR(NOT(ISNUMBER(L329)),N(L200)=0),"",L329/L200),"")</f>
        <v/>
      </c>
      <c r="M330" s="50" t="str">
        <f aca="false">IFERROR(IF(OR(NOT(ISNUMBER(M329)),N(M200)=0),"",M329/M200),"")</f>
        <v/>
      </c>
      <c r="N330" s="50" t="str">
        <f aca="false">IFERROR(IF(OR(NOT(ISNUMBER(N329)),N(N200)=0),"",N329/N200),"")</f>
        <v/>
      </c>
      <c r="O330" s="68" t="str">
        <f aca="false">IFERROR(IF(OR(NOT(ISNUMBER(O329)),N(O200)=0),"",O329/O200),"")</f>
        <v/>
      </c>
    </row>
    <row r="331" customFormat="false" ht="15" hidden="false" customHeight="false" outlineLevel="0" collapsed="false">
      <c r="A331" s="11" t="s">
        <v>2223</v>
      </c>
      <c r="B331" s="53" t="str">
        <f aca="false">IF(INDEX(Prod_Nombre,2)="","Producto 2",INDEX(Prod_Nombre,2))</f>
        <v>Cajas metálicas 13 kg</v>
      </c>
      <c r="C331" s="11" t="s">
        <v>508</v>
      </c>
      <c r="D331" s="37"/>
      <c r="E331" s="37"/>
      <c r="F331" s="37"/>
      <c r="G331" s="37"/>
      <c r="H331" s="37"/>
      <c r="I331" s="37"/>
      <c r="J331" s="37"/>
      <c r="K331" s="37"/>
      <c r="L331" s="37"/>
      <c r="M331" s="37"/>
      <c r="N331" s="37"/>
      <c r="O331" s="54" t="str">
        <f aca="false">IF(COUNT(D331:N331)=0,"",SUM(D331:N331))</f>
        <v/>
      </c>
    </row>
    <row r="332" customFormat="false" ht="15" hidden="false" customHeight="false" outlineLevel="0" collapsed="false">
      <c r="A332" s="11" t="s">
        <v>2224</v>
      </c>
      <c r="B332" s="15" t="s">
        <v>2087</v>
      </c>
      <c r="C332" s="11" t="s">
        <v>748</v>
      </c>
      <c r="E332" s="50" t="str">
        <f aca="false">IFERROR(IF(OR(NOT(ISNUMBER(E331)),N(E203)=0),"",E331/E203),"")</f>
        <v/>
      </c>
      <c r="F332" s="50" t="str">
        <f aca="false">IFERROR(IF(OR(NOT(ISNUMBER(F331)),N(F203)=0),"",F331/F203),"")</f>
        <v/>
      </c>
      <c r="G332" s="50" t="str">
        <f aca="false">IFERROR(IF(OR(NOT(ISNUMBER(G331)),N(G203)=0),"",G331/G203),"")</f>
        <v/>
      </c>
      <c r="H332" s="50" t="str">
        <f aca="false">IFERROR(IF(OR(NOT(ISNUMBER(H331)),N(H203)=0),"",H331/H203),"")</f>
        <v/>
      </c>
      <c r="I332" s="50" t="str">
        <f aca="false">IFERROR(IF(OR(NOT(ISNUMBER(I331)),N(I203)=0),"",I331/I203),"")</f>
        <v/>
      </c>
      <c r="J332" s="50" t="str">
        <f aca="false">IFERROR(IF(OR(NOT(ISNUMBER(J331)),N(J203)=0),"",J331/J203),"")</f>
        <v/>
      </c>
      <c r="K332" s="50" t="str">
        <f aca="false">IFERROR(IF(OR(NOT(ISNUMBER(K331)),N(K203)=0),"",K331/K203),"")</f>
        <v/>
      </c>
      <c r="L332" s="50" t="str">
        <f aca="false">IFERROR(IF(OR(NOT(ISNUMBER(L331)),N(L203)=0),"",L331/L203),"")</f>
        <v/>
      </c>
      <c r="M332" s="50" t="str">
        <f aca="false">IFERROR(IF(OR(NOT(ISNUMBER(M331)),N(M203)=0),"",M331/M203),"")</f>
        <v/>
      </c>
      <c r="N332" s="50" t="str">
        <f aca="false">IFERROR(IF(OR(NOT(ISNUMBER(N331)),N(N203)=0),"",N331/N203),"")</f>
        <v/>
      </c>
      <c r="O332" s="68" t="str">
        <f aca="false">IFERROR(IF(OR(NOT(ISNUMBER(O331)),N(O203)=0),"",O331/O203),"")</f>
        <v/>
      </c>
    </row>
    <row r="333" customFormat="false" ht="15" hidden="true" customHeight="false" outlineLevel="1" collapsed="false">
      <c r="A333" s="11" t="s">
        <v>2225</v>
      </c>
      <c r="B333" s="53" t="str">
        <f aca="false">IF(INDEX(Prod_Nombre,3)="","Producto 3",INDEX(Prod_Nombre,3))</f>
        <v>Producto 3</v>
      </c>
      <c r="C333" s="11" t="s">
        <v>508</v>
      </c>
      <c r="D333" s="37"/>
      <c r="E333" s="37"/>
      <c r="F333" s="37"/>
      <c r="G333" s="37"/>
      <c r="H333" s="37"/>
      <c r="I333" s="37"/>
      <c r="J333" s="37"/>
      <c r="K333" s="37"/>
      <c r="L333" s="37"/>
      <c r="M333" s="37"/>
      <c r="N333" s="37"/>
      <c r="O333" s="54" t="str">
        <f aca="false">IF(COUNT(D333:N333)=0,"",SUM(D333:N333))</f>
        <v/>
      </c>
    </row>
    <row r="334" customFormat="false" ht="15" hidden="true" customHeight="false" outlineLevel="1" collapsed="false">
      <c r="A334" s="11" t="s">
        <v>2226</v>
      </c>
      <c r="B334" s="15" t="s">
        <v>2087</v>
      </c>
      <c r="C334" s="11" t="s">
        <v>748</v>
      </c>
      <c r="E334" s="50" t="str">
        <f aca="false">IFERROR(IF(OR(NOT(ISNUMBER(E333)),N(E206)=0),"",E333/E206),"")</f>
        <v/>
      </c>
      <c r="F334" s="50" t="str">
        <f aca="false">IFERROR(IF(OR(NOT(ISNUMBER(F333)),N(F206)=0),"",F333/F206),"")</f>
        <v/>
      </c>
      <c r="G334" s="50" t="str">
        <f aca="false">IFERROR(IF(OR(NOT(ISNUMBER(G333)),N(G206)=0),"",G333/G206),"")</f>
        <v/>
      </c>
      <c r="H334" s="50" t="str">
        <f aca="false">IFERROR(IF(OR(NOT(ISNUMBER(H333)),N(H206)=0),"",H333/H206),"")</f>
        <v/>
      </c>
      <c r="I334" s="50" t="str">
        <f aca="false">IFERROR(IF(OR(NOT(ISNUMBER(I333)),N(I206)=0),"",I333/I206),"")</f>
        <v/>
      </c>
      <c r="J334" s="50" t="str">
        <f aca="false">IFERROR(IF(OR(NOT(ISNUMBER(J333)),N(J206)=0),"",J333/J206),"")</f>
        <v/>
      </c>
      <c r="K334" s="50" t="str">
        <f aca="false">IFERROR(IF(OR(NOT(ISNUMBER(K333)),N(K206)=0),"",K333/K206),"")</f>
        <v/>
      </c>
      <c r="L334" s="50" t="str">
        <f aca="false">IFERROR(IF(OR(NOT(ISNUMBER(L333)),N(L206)=0),"",L333/L206),"")</f>
        <v/>
      </c>
      <c r="M334" s="50" t="str">
        <f aca="false">IFERROR(IF(OR(NOT(ISNUMBER(M333)),N(M206)=0),"",M333/M206),"")</f>
        <v/>
      </c>
      <c r="N334" s="50" t="str">
        <f aca="false">IFERROR(IF(OR(NOT(ISNUMBER(N333)),N(N206)=0),"",N333/N206),"")</f>
        <v/>
      </c>
      <c r="O334" s="68" t="str">
        <f aca="false">IFERROR(IF(OR(NOT(ISNUMBER(O333)),N(O206)=0),"",O333/O206),"")</f>
        <v/>
      </c>
    </row>
    <row r="335" customFormat="false" ht="15" hidden="true" customHeight="false" outlineLevel="1" collapsed="false">
      <c r="A335" s="11" t="s">
        <v>2227</v>
      </c>
      <c r="B335" s="53" t="str">
        <f aca="false">IF(INDEX(Prod_Nombre,4)="","Producto 4",INDEX(Prod_Nombre,4))</f>
        <v>Producto 4</v>
      </c>
      <c r="C335" s="11" t="s">
        <v>508</v>
      </c>
      <c r="D335" s="37"/>
      <c r="E335" s="37"/>
      <c r="F335" s="37"/>
      <c r="G335" s="37"/>
      <c r="H335" s="37"/>
      <c r="I335" s="37"/>
      <c r="J335" s="37"/>
      <c r="K335" s="37"/>
      <c r="L335" s="37"/>
      <c r="M335" s="37"/>
      <c r="N335" s="37"/>
      <c r="O335" s="54" t="str">
        <f aca="false">IF(COUNT(D335:N335)=0,"",SUM(D335:N335))</f>
        <v/>
      </c>
    </row>
    <row r="336" customFormat="false" ht="15" hidden="true" customHeight="false" outlineLevel="1" collapsed="false">
      <c r="A336" s="11" t="s">
        <v>2228</v>
      </c>
      <c r="B336" s="15" t="s">
        <v>2087</v>
      </c>
      <c r="C336" s="11" t="s">
        <v>748</v>
      </c>
      <c r="E336" s="50" t="str">
        <f aca="false">IFERROR(IF(OR(NOT(ISNUMBER(E335)),N(E209)=0),"",E335/E209),"")</f>
        <v/>
      </c>
      <c r="F336" s="50" t="str">
        <f aca="false">IFERROR(IF(OR(NOT(ISNUMBER(F335)),N(F209)=0),"",F335/F209),"")</f>
        <v/>
      </c>
      <c r="G336" s="50" t="str">
        <f aca="false">IFERROR(IF(OR(NOT(ISNUMBER(G335)),N(G209)=0),"",G335/G209),"")</f>
        <v/>
      </c>
      <c r="H336" s="50" t="str">
        <f aca="false">IFERROR(IF(OR(NOT(ISNUMBER(H335)),N(H209)=0),"",H335/H209),"")</f>
        <v/>
      </c>
      <c r="I336" s="50" t="str">
        <f aca="false">IFERROR(IF(OR(NOT(ISNUMBER(I335)),N(I209)=0),"",I335/I209),"")</f>
        <v/>
      </c>
      <c r="J336" s="50" t="str">
        <f aca="false">IFERROR(IF(OR(NOT(ISNUMBER(J335)),N(J209)=0),"",J335/J209),"")</f>
        <v/>
      </c>
      <c r="K336" s="50" t="str">
        <f aca="false">IFERROR(IF(OR(NOT(ISNUMBER(K335)),N(K209)=0),"",K335/K209),"")</f>
        <v/>
      </c>
      <c r="L336" s="50" t="str">
        <f aca="false">IFERROR(IF(OR(NOT(ISNUMBER(L335)),N(L209)=0),"",L335/L209),"")</f>
        <v/>
      </c>
      <c r="M336" s="50" t="str">
        <f aca="false">IFERROR(IF(OR(NOT(ISNUMBER(M335)),N(M209)=0),"",M335/M209),"")</f>
        <v/>
      </c>
      <c r="N336" s="50" t="str">
        <f aca="false">IFERROR(IF(OR(NOT(ISNUMBER(N335)),N(N209)=0),"",N335/N209),"")</f>
        <v/>
      </c>
      <c r="O336" s="68" t="str">
        <f aca="false">IFERROR(IF(OR(NOT(ISNUMBER(O335)),N(O209)=0),"",O335/O209),"")</f>
        <v/>
      </c>
    </row>
    <row r="337" customFormat="false" ht="15" hidden="true" customHeight="false" outlineLevel="1" collapsed="false">
      <c r="A337" s="11" t="s">
        <v>2229</v>
      </c>
      <c r="B337" s="53" t="str">
        <f aca="false">IF(INDEX(Prod_Nombre,5)="","Producto 5",INDEX(Prod_Nombre,5))</f>
        <v>Producto 5</v>
      </c>
      <c r="C337" s="11" t="s">
        <v>508</v>
      </c>
      <c r="D337" s="37"/>
      <c r="E337" s="37"/>
      <c r="F337" s="37"/>
      <c r="G337" s="37"/>
      <c r="H337" s="37"/>
      <c r="I337" s="37"/>
      <c r="J337" s="37"/>
      <c r="K337" s="37"/>
      <c r="L337" s="37"/>
      <c r="M337" s="37"/>
      <c r="N337" s="37"/>
      <c r="O337" s="54" t="str">
        <f aca="false">IF(COUNT(D337:N337)=0,"",SUM(D337:N337))</f>
        <v/>
      </c>
    </row>
    <row r="338" customFormat="false" ht="15" hidden="true" customHeight="false" outlineLevel="1" collapsed="false">
      <c r="A338" s="11" t="s">
        <v>2230</v>
      </c>
      <c r="B338" s="15" t="s">
        <v>2087</v>
      </c>
      <c r="C338" s="11" t="s">
        <v>748</v>
      </c>
      <c r="E338" s="50" t="str">
        <f aca="false">IFERROR(IF(OR(NOT(ISNUMBER(E337)),N(E212)=0),"",E337/E212),"")</f>
        <v/>
      </c>
      <c r="F338" s="50" t="str">
        <f aca="false">IFERROR(IF(OR(NOT(ISNUMBER(F337)),N(F212)=0),"",F337/F212),"")</f>
        <v/>
      </c>
      <c r="G338" s="50" t="str">
        <f aca="false">IFERROR(IF(OR(NOT(ISNUMBER(G337)),N(G212)=0),"",G337/G212),"")</f>
        <v/>
      </c>
      <c r="H338" s="50" t="str">
        <f aca="false">IFERROR(IF(OR(NOT(ISNUMBER(H337)),N(H212)=0),"",H337/H212),"")</f>
        <v/>
      </c>
      <c r="I338" s="50" t="str">
        <f aca="false">IFERROR(IF(OR(NOT(ISNUMBER(I337)),N(I212)=0),"",I337/I212),"")</f>
        <v/>
      </c>
      <c r="J338" s="50" t="str">
        <f aca="false">IFERROR(IF(OR(NOT(ISNUMBER(J337)),N(J212)=0),"",J337/J212),"")</f>
        <v/>
      </c>
      <c r="K338" s="50" t="str">
        <f aca="false">IFERROR(IF(OR(NOT(ISNUMBER(K337)),N(K212)=0),"",K337/K212),"")</f>
        <v/>
      </c>
      <c r="L338" s="50" t="str">
        <f aca="false">IFERROR(IF(OR(NOT(ISNUMBER(L337)),N(L212)=0),"",L337/L212),"")</f>
        <v/>
      </c>
      <c r="M338" s="50" t="str">
        <f aca="false">IFERROR(IF(OR(NOT(ISNUMBER(M337)),N(M212)=0),"",M337/M212),"")</f>
        <v/>
      </c>
      <c r="N338" s="50" t="str">
        <f aca="false">IFERROR(IF(OR(NOT(ISNUMBER(N337)),N(N212)=0),"",N337/N212),"")</f>
        <v/>
      </c>
      <c r="O338" s="68" t="str">
        <f aca="false">IFERROR(IF(OR(NOT(ISNUMBER(O337)),N(O212)=0),"",O337/O212),"")</f>
        <v/>
      </c>
    </row>
    <row r="339" customFormat="false" ht="15" hidden="true" customHeight="false" outlineLevel="1" collapsed="false">
      <c r="A339" s="11" t="s">
        <v>2231</v>
      </c>
      <c r="B339" s="53" t="str">
        <f aca="false">IF(INDEX(Prod_Nombre,6)="","Producto 6",INDEX(Prod_Nombre,6))</f>
        <v>Producto 6</v>
      </c>
      <c r="C339" s="11" t="s">
        <v>508</v>
      </c>
      <c r="D339" s="37"/>
      <c r="E339" s="37"/>
      <c r="F339" s="37"/>
      <c r="G339" s="37"/>
      <c r="H339" s="37"/>
      <c r="I339" s="37"/>
      <c r="J339" s="37"/>
      <c r="K339" s="37"/>
      <c r="L339" s="37"/>
      <c r="M339" s="37"/>
      <c r="N339" s="37"/>
      <c r="O339" s="54" t="str">
        <f aca="false">IF(COUNT(D339:N339)=0,"",SUM(D339:N339))</f>
        <v/>
      </c>
    </row>
    <row r="340" customFormat="false" ht="15" hidden="true" customHeight="false" outlineLevel="1" collapsed="false">
      <c r="A340" s="11" t="s">
        <v>2232</v>
      </c>
      <c r="B340" s="15" t="s">
        <v>2087</v>
      </c>
      <c r="C340" s="11" t="s">
        <v>748</v>
      </c>
      <c r="E340" s="50" t="str">
        <f aca="false">IFERROR(IF(OR(NOT(ISNUMBER(E339)),N(E215)=0),"",E339/E215),"")</f>
        <v/>
      </c>
      <c r="F340" s="50" t="str">
        <f aca="false">IFERROR(IF(OR(NOT(ISNUMBER(F339)),N(F215)=0),"",F339/F215),"")</f>
        <v/>
      </c>
      <c r="G340" s="50" t="str">
        <f aca="false">IFERROR(IF(OR(NOT(ISNUMBER(G339)),N(G215)=0),"",G339/G215),"")</f>
        <v/>
      </c>
      <c r="H340" s="50" t="str">
        <f aca="false">IFERROR(IF(OR(NOT(ISNUMBER(H339)),N(H215)=0),"",H339/H215),"")</f>
        <v/>
      </c>
      <c r="I340" s="50" t="str">
        <f aca="false">IFERROR(IF(OR(NOT(ISNUMBER(I339)),N(I215)=0),"",I339/I215),"")</f>
        <v/>
      </c>
      <c r="J340" s="50" t="str">
        <f aca="false">IFERROR(IF(OR(NOT(ISNUMBER(J339)),N(J215)=0),"",J339/J215),"")</f>
        <v/>
      </c>
      <c r="K340" s="50" t="str">
        <f aca="false">IFERROR(IF(OR(NOT(ISNUMBER(K339)),N(K215)=0),"",K339/K215),"")</f>
        <v/>
      </c>
      <c r="L340" s="50" t="str">
        <f aca="false">IFERROR(IF(OR(NOT(ISNUMBER(L339)),N(L215)=0),"",L339/L215),"")</f>
        <v/>
      </c>
      <c r="M340" s="50" t="str">
        <f aca="false">IFERROR(IF(OR(NOT(ISNUMBER(M339)),N(M215)=0),"",M339/M215),"")</f>
        <v/>
      </c>
      <c r="N340" s="50" t="str">
        <f aca="false">IFERROR(IF(OR(NOT(ISNUMBER(N339)),N(N215)=0),"",N339/N215),"")</f>
        <v/>
      </c>
      <c r="O340" s="68" t="str">
        <f aca="false">IFERROR(IF(OR(NOT(ISNUMBER(O339)),N(O215)=0),"",O339/O215),"")</f>
        <v/>
      </c>
    </row>
    <row r="341" customFormat="false" ht="15" hidden="true" customHeight="false" outlineLevel="1" collapsed="false">
      <c r="A341" s="11" t="s">
        <v>2233</v>
      </c>
      <c r="B341" s="53" t="str">
        <f aca="false">IF(INDEX(Prod_Nombre,7)="","Producto 7",INDEX(Prod_Nombre,7))</f>
        <v>Producto 7</v>
      </c>
      <c r="C341" s="11" t="s">
        <v>508</v>
      </c>
      <c r="D341" s="37"/>
      <c r="E341" s="37"/>
      <c r="F341" s="37"/>
      <c r="G341" s="37"/>
      <c r="H341" s="37"/>
      <c r="I341" s="37"/>
      <c r="J341" s="37"/>
      <c r="K341" s="37"/>
      <c r="L341" s="37"/>
      <c r="M341" s="37"/>
      <c r="N341" s="37"/>
      <c r="O341" s="54" t="str">
        <f aca="false">IF(COUNT(D341:N341)=0,"",SUM(D341:N341))</f>
        <v/>
      </c>
    </row>
    <row r="342" customFormat="false" ht="15" hidden="true" customHeight="false" outlineLevel="1" collapsed="false">
      <c r="A342" s="11" t="s">
        <v>2234</v>
      </c>
      <c r="B342" s="15" t="s">
        <v>2087</v>
      </c>
      <c r="C342" s="11" t="s">
        <v>748</v>
      </c>
      <c r="E342" s="50" t="str">
        <f aca="false">IFERROR(IF(OR(NOT(ISNUMBER(E341)),N(E218)=0),"",E341/E218),"")</f>
        <v/>
      </c>
      <c r="F342" s="50" t="str">
        <f aca="false">IFERROR(IF(OR(NOT(ISNUMBER(F341)),N(F218)=0),"",F341/F218),"")</f>
        <v/>
      </c>
      <c r="G342" s="50" t="str">
        <f aca="false">IFERROR(IF(OR(NOT(ISNUMBER(G341)),N(G218)=0),"",G341/G218),"")</f>
        <v/>
      </c>
      <c r="H342" s="50" t="str">
        <f aca="false">IFERROR(IF(OR(NOT(ISNUMBER(H341)),N(H218)=0),"",H341/H218),"")</f>
        <v/>
      </c>
      <c r="I342" s="50" t="str">
        <f aca="false">IFERROR(IF(OR(NOT(ISNUMBER(I341)),N(I218)=0),"",I341/I218),"")</f>
        <v/>
      </c>
      <c r="J342" s="50" t="str">
        <f aca="false">IFERROR(IF(OR(NOT(ISNUMBER(J341)),N(J218)=0),"",J341/J218),"")</f>
        <v/>
      </c>
      <c r="K342" s="50" t="str">
        <f aca="false">IFERROR(IF(OR(NOT(ISNUMBER(K341)),N(K218)=0),"",K341/K218),"")</f>
        <v/>
      </c>
      <c r="L342" s="50" t="str">
        <f aca="false">IFERROR(IF(OR(NOT(ISNUMBER(L341)),N(L218)=0),"",L341/L218),"")</f>
        <v/>
      </c>
      <c r="M342" s="50" t="str">
        <f aca="false">IFERROR(IF(OR(NOT(ISNUMBER(M341)),N(M218)=0),"",M341/M218),"")</f>
        <v/>
      </c>
      <c r="N342" s="50" t="str">
        <f aca="false">IFERROR(IF(OR(NOT(ISNUMBER(N341)),N(N218)=0),"",N341/N218),"")</f>
        <v/>
      </c>
      <c r="O342" s="68" t="str">
        <f aca="false">IFERROR(IF(OR(NOT(ISNUMBER(O341)),N(O218)=0),"",O341/O218),"")</f>
        <v/>
      </c>
    </row>
    <row r="343" customFormat="false" ht="15" hidden="true" customHeight="false" outlineLevel="1" collapsed="false">
      <c r="A343" s="11" t="s">
        <v>2235</v>
      </c>
      <c r="B343" s="53" t="str">
        <f aca="false">IF(INDEX(Prod_Nombre,8)="","Producto 8",INDEX(Prod_Nombre,8))</f>
        <v>Producto 8</v>
      </c>
      <c r="C343" s="11" t="s">
        <v>508</v>
      </c>
      <c r="D343" s="37"/>
      <c r="E343" s="37"/>
      <c r="F343" s="37"/>
      <c r="G343" s="37"/>
      <c r="H343" s="37"/>
      <c r="I343" s="37"/>
      <c r="J343" s="37"/>
      <c r="K343" s="37"/>
      <c r="L343" s="37"/>
      <c r="M343" s="37"/>
      <c r="N343" s="37"/>
      <c r="O343" s="54" t="str">
        <f aca="false">IF(COUNT(D343:N343)=0,"",SUM(D343:N343))</f>
        <v/>
      </c>
    </row>
    <row r="344" customFormat="false" ht="15" hidden="true" customHeight="false" outlineLevel="1" collapsed="false">
      <c r="A344" s="11" t="s">
        <v>2236</v>
      </c>
      <c r="B344" s="15" t="s">
        <v>2087</v>
      </c>
      <c r="C344" s="11" t="s">
        <v>748</v>
      </c>
      <c r="E344" s="50" t="str">
        <f aca="false">IFERROR(IF(OR(NOT(ISNUMBER(E343)),N(E221)=0),"",E343/E221),"")</f>
        <v/>
      </c>
      <c r="F344" s="50" t="str">
        <f aca="false">IFERROR(IF(OR(NOT(ISNUMBER(F343)),N(F221)=0),"",F343/F221),"")</f>
        <v/>
      </c>
      <c r="G344" s="50" t="str">
        <f aca="false">IFERROR(IF(OR(NOT(ISNUMBER(G343)),N(G221)=0),"",G343/G221),"")</f>
        <v/>
      </c>
      <c r="H344" s="50" t="str">
        <f aca="false">IFERROR(IF(OR(NOT(ISNUMBER(H343)),N(H221)=0),"",H343/H221),"")</f>
        <v/>
      </c>
      <c r="I344" s="50" t="str">
        <f aca="false">IFERROR(IF(OR(NOT(ISNUMBER(I343)),N(I221)=0),"",I343/I221),"")</f>
        <v/>
      </c>
      <c r="J344" s="50" t="str">
        <f aca="false">IFERROR(IF(OR(NOT(ISNUMBER(J343)),N(J221)=0),"",J343/J221),"")</f>
        <v/>
      </c>
      <c r="K344" s="50" t="str">
        <f aca="false">IFERROR(IF(OR(NOT(ISNUMBER(K343)),N(K221)=0),"",K343/K221),"")</f>
        <v/>
      </c>
      <c r="L344" s="50" t="str">
        <f aca="false">IFERROR(IF(OR(NOT(ISNUMBER(L343)),N(L221)=0),"",L343/L221),"")</f>
        <v/>
      </c>
      <c r="M344" s="50" t="str">
        <f aca="false">IFERROR(IF(OR(NOT(ISNUMBER(M343)),N(M221)=0),"",M343/M221),"")</f>
        <v/>
      </c>
      <c r="N344" s="50" t="str">
        <f aca="false">IFERROR(IF(OR(NOT(ISNUMBER(N343)),N(N221)=0),"",N343/N221),"")</f>
        <v/>
      </c>
      <c r="O344" s="68" t="str">
        <f aca="false">IFERROR(IF(OR(NOT(ISNUMBER(O343)),N(O221)=0),"",O343/O221),"")</f>
        <v/>
      </c>
    </row>
    <row r="345" customFormat="false" ht="15" hidden="true" customHeight="false" outlineLevel="1" collapsed="false">
      <c r="A345" s="11" t="s">
        <v>2237</v>
      </c>
      <c r="B345" s="53" t="str">
        <f aca="false">IF(INDEX(Prod_Nombre,9)="","Producto 9",INDEX(Prod_Nombre,9))</f>
        <v>Producto 9</v>
      </c>
      <c r="C345" s="11" t="s">
        <v>508</v>
      </c>
      <c r="D345" s="37"/>
      <c r="E345" s="37"/>
      <c r="F345" s="37"/>
      <c r="G345" s="37"/>
      <c r="H345" s="37"/>
      <c r="I345" s="37"/>
      <c r="J345" s="37"/>
      <c r="K345" s="37"/>
      <c r="L345" s="37"/>
      <c r="M345" s="37"/>
      <c r="N345" s="37"/>
      <c r="O345" s="54" t="str">
        <f aca="false">IF(COUNT(D345:N345)=0,"",SUM(D345:N345))</f>
        <v/>
      </c>
    </row>
    <row r="346" customFormat="false" ht="15" hidden="true" customHeight="false" outlineLevel="1" collapsed="false">
      <c r="A346" s="11" t="s">
        <v>2238</v>
      </c>
      <c r="B346" s="15" t="s">
        <v>2087</v>
      </c>
      <c r="C346" s="11" t="s">
        <v>748</v>
      </c>
      <c r="E346" s="50" t="str">
        <f aca="false">IFERROR(IF(OR(NOT(ISNUMBER(E345)),N(E224)=0),"",E345/E224),"")</f>
        <v/>
      </c>
      <c r="F346" s="50" t="str">
        <f aca="false">IFERROR(IF(OR(NOT(ISNUMBER(F345)),N(F224)=0),"",F345/F224),"")</f>
        <v/>
      </c>
      <c r="G346" s="50" t="str">
        <f aca="false">IFERROR(IF(OR(NOT(ISNUMBER(G345)),N(G224)=0),"",G345/G224),"")</f>
        <v/>
      </c>
      <c r="H346" s="50" t="str">
        <f aca="false">IFERROR(IF(OR(NOT(ISNUMBER(H345)),N(H224)=0),"",H345/H224),"")</f>
        <v/>
      </c>
      <c r="I346" s="50" t="str">
        <f aca="false">IFERROR(IF(OR(NOT(ISNUMBER(I345)),N(I224)=0),"",I345/I224),"")</f>
        <v/>
      </c>
      <c r="J346" s="50" t="str">
        <f aca="false">IFERROR(IF(OR(NOT(ISNUMBER(J345)),N(J224)=0),"",J345/J224),"")</f>
        <v/>
      </c>
      <c r="K346" s="50" t="str">
        <f aca="false">IFERROR(IF(OR(NOT(ISNUMBER(K345)),N(K224)=0),"",K345/K224),"")</f>
        <v/>
      </c>
      <c r="L346" s="50" t="str">
        <f aca="false">IFERROR(IF(OR(NOT(ISNUMBER(L345)),N(L224)=0),"",L345/L224),"")</f>
        <v/>
      </c>
      <c r="M346" s="50" t="str">
        <f aca="false">IFERROR(IF(OR(NOT(ISNUMBER(M345)),N(M224)=0),"",M345/M224),"")</f>
        <v/>
      </c>
      <c r="N346" s="50" t="str">
        <f aca="false">IFERROR(IF(OR(NOT(ISNUMBER(N345)),N(N224)=0),"",N345/N224),"")</f>
        <v/>
      </c>
      <c r="O346" s="68" t="str">
        <f aca="false">IFERROR(IF(OR(NOT(ISNUMBER(O345)),N(O224)=0),"",O345/O224),"")</f>
        <v/>
      </c>
    </row>
    <row r="347" customFormat="false" ht="15" hidden="true" customHeight="false" outlineLevel="1" collapsed="false">
      <c r="A347" s="11" t="s">
        <v>2239</v>
      </c>
      <c r="B347" s="53" t="str">
        <f aca="false">IF(INDEX(Prod_Nombre,10)="","Producto 10",INDEX(Prod_Nombre,10))</f>
        <v>Producto 10</v>
      </c>
      <c r="C347" s="11" t="s">
        <v>508</v>
      </c>
      <c r="D347" s="37"/>
      <c r="E347" s="37"/>
      <c r="F347" s="37"/>
      <c r="G347" s="37"/>
      <c r="H347" s="37"/>
      <c r="I347" s="37"/>
      <c r="J347" s="37"/>
      <c r="K347" s="37"/>
      <c r="L347" s="37"/>
      <c r="M347" s="37"/>
      <c r="N347" s="37"/>
      <c r="O347" s="54" t="str">
        <f aca="false">IF(COUNT(D347:N347)=0,"",SUM(D347:N347))</f>
        <v/>
      </c>
    </row>
    <row r="348" customFormat="false" ht="15" hidden="true" customHeight="false" outlineLevel="1" collapsed="false">
      <c r="A348" s="11" t="s">
        <v>2240</v>
      </c>
      <c r="B348" s="15" t="s">
        <v>2087</v>
      </c>
      <c r="C348" s="11" t="s">
        <v>748</v>
      </c>
      <c r="E348" s="50" t="str">
        <f aca="false">IFERROR(IF(OR(NOT(ISNUMBER(E347)),N(E227)=0),"",E347/E227),"")</f>
        <v/>
      </c>
      <c r="F348" s="50" t="str">
        <f aca="false">IFERROR(IF(OR(NOT(ISNUMBER(F347)),N(F227)=0),"",F347/F227),"")</f>
        <v/>
      </c>
      <c r="G348" s="50" t="str">
        <f aca="false">IFERROR(IF(OR(NOT(ISNUMBER(G347)),N(G227)=0),"",G347/G227),"")</f>
        <v/>
      </c>
      <c r="H348" s="50" t="str">
        <f aca="false">IFERROR(IF(OR(NOT(ISNUMBER(H347)),N(H227)=0),"",H347/H227),"")</f>
        <v/>
      </c>
      <c r="I348" s="50" t="str">
        <f aca="false">IFERROR(IF(OR(NOT(ISNUMBER(I347)),N(I227)=0),"",I347/I227),"")</f>
        <v/>
      </c>
      <c r="J348" s="50" t="str">
        <f aca="false">IFERROR(IF(OR(NOT(ISNUMBER(J347)),N(J227)=0),"",J347/J227),"")</f>
        <v/>
      </c>
      <c r="K348" s="50" t="str">
        <f aca="false">IFERROR(IF(OR(NOT(ISNUMBER(K347)),N(K227)=0),"",K347/K227),"")</f>
        <v/>
      </c>
      <c r="L348" s="50" t="str">
        <f aca="false">IFERROR(IF(OR(NOT(ISNUMBER(L347)),N(L227)=0),"",L347/L227),"")</f>
        <v/>
      </c>
      <c r="M348" s="50" t="str">
        <f aca="false">IFERROR(IF(OR(NOT(ISNUMBER(M347)),N(M227)=0),"",M347/M227),"")</f>
        <v/>
      </c>
      <c r="N348" s="50" t="str">
        <f aca="false">IFERROR(IF(OR(NOT(ISNUMBER(N347)),N(N227)=0),"",N347/N227),"")</f>
        <v/>
      </c>
      <c r="O348" s="68" t="str">
        <f aca="false">IFERROR(IF(OR(NOT(ISNUMBER(O347)),N(O227)=0),"",O347/O227),"")</f>
        <v/>
      </c>
    </row>
    <row r="349" customFormat="false" ht="15" hidden="true" customHeight="false" outlineLevel="1" collapsed="false">
      <c r="A349" s="11" t="s">
        <v>2241</v>
      </c>
      <c r="B349" s="53" t="str">
        <f aca="false">IF(INDEX(Prod_Nombre,11)="","Producto 11",INDEX(Prod_Nombre,11))</f>
        <v>Producto 11</v>
      </c>
      <c r="C349" s="11" t="s">
        <v>508</v>
      </c>
      <c r="D349" s="37"/>
      <c r="E349" s="37"/>
      <c r="F349" s="37"/>
      <c r="G349" s="37"/>
      <c r="H349" s="37"/>
      <c r="I349" s="37"/>
      <c r="J349" s="37"/>
      <c r="K349" s="37"/>
      <c r="L349" s="37"/>
      <c r="M349" s="37"/>
      <c r="N349" s="37"/>
      <c r="O349" s="54" t="str">
        <f aca="false">IF(COUNT(D349:N349)=0,"",SUM(D349:N349))</f>
        <v/>
      </c>
    </row>
    <row r="350" customFormat="false" ht="15" hidden="true" customHeight="false" outlineLevel="1" collapsed="false">
      <c r="A350" s="11" t="s">
        <v>2242</v>
      </c>
      <c r="B350" s="15" t="s">
        <v>2087</v>
      </c>
      <c r="C350" s="11" t="s">
        <v>748</v>
      </c>
      <c r="E350" s="50" t="str">
        <f aca="false">IFERROR(IF(OR(NOT(ISNUMBER(E349)),N(E230)=0),"",E349/E230),"")</f>
        <v/>
      </c>
      <c r="F350" s="50" t="str">
        <f aca="false">IFERROR(IF(OR(NOT(ISNUMBER(F349)),N(F230)=0),"",F349/F230),"")</f>
        <v/>
      </c>
      <c r="G350" s="50" t="str">
        <f aca="false">IFERROR(IF(OR(NOT(ISNUMBER(G349)),N(G230)=0),"",G349/G230),"")</f>
        <v/>
      </c>
      <c r="H350" s="50" t="str">
        <f aca="false">IFERROR(IF(OR(NOT(ISNUMBER(H349)),N(H230)=0),"",H349/H230),"")</f>
        <v/>
      </c>
      <c r="I350" s="50" t="str">
        <f aca="false">IFERROR(IF(OR(NOT(ISNUMBER(I349)),N(I230)=0),"",I349/I230),"")</f>
        <v/>
      </c>
      <c r="J350" s="50" t="str">
        <f aca="false">IFERROR(IF(OR(NOT(ISNUMBER(J349)),N(J230)=0),"",J349/J230),"")</f>
        <v/>
      </c>
      <c r="K350" s="50" t="str">
        <f aca="false">IFERROR(IF(OR(NOT(ISNUMBER(K349)),N(K230)=0),"",K349/K230),"")</f>
        <v/>
      </c>
      <c r="L350" s="50" t="str">
        <f aca="false">IFERROR(IF(OR(NOT(ISNUMBER(L349)),N(L230)=0),"",L349/L230),"")</f>
        <v/>
      </c>
      <c r="M350" s="50" t="str">
        <f aca="false">IFERROR(IF(OR(NOT(ISNUMBER(M349)),N(M230)=0),"",M349/M230),"")</f>
        <v/>
      </c>
      <c r="N350" s="50" t="str">
        <f aca="false">IFERROR(IF(OR(NOT(ISNUMBER(N349)),N(N230)=0),"",N349/N230),"")</f>
        <v/>
      </c>
      <c r="O350" s="68" t="str">
        <f aca="false">IFERROR(IF(OR(NOT(ISNUMBER(O349)),N(O230)=0),"",O349/O230),"")</f>
        <v/>
      </c>
    </row>
    <row r="351" customFormat="false" ht="15" hidden="true" customHeight="false" outlineLevel="1" collapsed="false">
      <c r="A351" s="11" t="s">
        <v>2243</v>
      </c>
      <c r="B351" s="53" t="str">
        <f aca="false">IF(INDEX(Prod_Nombre,12)="","Producto 12",INDEX(Prod_Nombre,12))</f>
        <v>Producto 12</v>
      </c>
      <c r="C351" s="11" t="s">
        <v>508</v>
      </c>
      <c r="D351" s="37"/>
      <c r="E351" s="37"/>
      <c r="F351" s="37"/>
      <c r="G351" s="37"/>
      <c r="H351" s="37"/>
      <c r="I351" s="37"/>
      <c r="J351" s="37"/>
      <c r="K351" s="37"/>
      <c r="L351" s="37"/>
      <c r="M351" s="37"/>
      <c r="N351" s="37"/>
      <c r="O351" s="54" t="str">
        <f aca="false">IF(COUNT(D351:N351)=0,"",SUM(D351:N351))</f>
        <v/>
      </c>
    </row>
    <row r="352" customFormat="false" ht="15" hidden="true" customHeight="false" outlineLevel="1" collapsed="false">
      <c r="A352" s="11" t="s">
        <v>2244</v>
      </c>
      <c r="B352" s="15" t="s">
        <v>2087</v>
      </c>
      <c r="C352" s="11" t="s">
        <v>748</v>
      </c>
      <c r="E352" s="50" t="str">
        <f aca="false">IFERROR(IF(OR(NOT(ISNUMBER(E351)),N(E233)=0),"",E351/E233),"")</f>
        <v/>
      </c>
      <c r="F352" s="50" t="str">
        <f aca="false">IFERROR(IF(OR(NOT(ISNUMBER(F351)),N(F233)=0),"",F351/F233),"")</f>
        <v/>
      </c>
      <c r="G352" s="50" t="str">
        <f aca="false">IFERROR(IF(OR(NOT(ISNUMBER(G351)),N(G233)=0),"",G351/G233),"")</f>
        <v/>
      </c>
      <c r="H352" s="50" t="str">
        <f aca="false">IFERROR(IF(OR(NOT(ISNUMBER(H351)),N(H233)=0),"",H351/H233),"")</f>
        <v/>
      </c>
      <c r="I352" s="50" t="str">
        <f aca="false">IFERROR(IF(OR(NOT(ISNUMBER(I351)),N(I233)=0),"",I351/I233),"")</f>
        <v/>
      </c>
      <c r="J352" s="50" t="str">
        <f aca="false">IFERROR(IF(OR(NOT(ISNUMBER(J351)),N(J233)=0),"",J351/J233),"")</f>
        <v/>
      </c>
      <c r="K352" s="50" t="str">
        <f aca="false">IFERROR(IF(OR(NOT(ISNUMBER(K351)),N(K233)=0),"",K351/K233),"")</f>
        <v/>
      </c>
      <c r="L352" s="50" t="str">
        <f aca="false">IFERROR(IF(OR(NOT(ISNUMBER(L351)),N(L233)=0),"",L351/L233),"")</f>
        <v/>
      </c>
      <c r="M352" s="50" t="str">
        <f aca="false">IFERROR(IF(OR(NOT(ISNUMBER(M351)),N(M233)=0),"",M351/M233),"")</f>
        <v/>
      </c>
      <c r="N352" s="50" t="str">
        <f aca="false">IFERROR(IF(OR(NOT(ISNUMBER(N351)),N(N233)=0),"",N351/N233),"")</f>
        <v/>
      </c>
      <c r="O352" s="68" t="str">
        <f aca="false">IFERROR(IF(OR(NOT(ISNUMBER(O351)),N(O233)=0),"",O351/O233),"")</f>
        <v/>
      </c>
    </row>
    <row r="353" customFormat="false" ht="15" hidden="true" customHeight="false" outlineLevel="1" collapsed="false">
      <c r="A353" s="11" t="s">
        <v>2245</v>
      </c>
      <c r="B353" s="53" t="str">
        <f aca="false">IF(INDEX(Prod_Nombre,13)="","Producto 13",INDEX(Prod_Nombre,13))</f>
        <v>Producto 13</v>
      </c>
      <c r="C353" s="11" t="s">
        <v>508</v>
      </c>
      <c r="D353" s="37"/>
      <c r="E353" s="37"/>
      <c r="F353" s="37"/>
      <c r="G353" s="37"/>
      <c r="H353" s="37"/>
      <c r="I353" s="37"/>
      <c r="J353" s="37"/>
      <c r="K353" s="37"/>
      <c r="L353" s="37"/>
      <c r="M353" s="37"/>
      <c r="N353" s="37"/>
      <c r="O353" s="54" t="str">
        <f aca="false">IF(COUNT(D353:N353)=0,"",SUM(D353:N353))</f>
        <v/>
      </c>
    </row>
    <row r="354" customFormat="false" ht="15" hidden="true" customHeight="false" outlineLevel="1" collapsed="false">
      <c r="A354" s="11" t="s">
        <v>2246</v>
      </c>
      <c r="B354" s="15" t="s">
        <v>2087</v>
      </c>
      <c r="C354" s="11" t="s">
        <v>748</v>
      </c>
      <c r="E354" s="50" t="str">
        <f aca="false">IFERROR(IF(OR(NOT(ISNUMBER(E353)),N(E236)=0),"",E353/E236),"")</f>
        <v/>
      </c>
      <c r="F354" s="50" t="str">
        <f aca="false">IFERROR(IF(OR(NOT(ISNUMBER(F353)),N(F236)=0),"",F353/F236),"")</f>
        <v/>
      </c>
      <c r="G354" s="50" t="str">
        <f aca="false">IFERROR(IF(OR(NOT(ISNUMBER(G353)),N(G236)=0),"",G353/G236),"")</f>
        <v/>
      </c>
      <c r="H354" s="50" t="str">
        <f aca="false">IFERROR(IF(OR(NOT(ISNUMBER(H353)),N(H236)=0),"",H353/H236),"")</f>
        <v/>
      </c>
      <c r="I354" s="50" t="str">
        <f aca="false">IFERROR(IF(OR(NOT(ISNUMBER(I353)),N(I236)=0),"",I353/I236),"")</f>
        <v/>
      </c>
      <c r="J354" s="50" t="str">
        <f aca="false">IFERROR(IF(OR(NOT(ISNUMBER(J353)),N(J236)=0),"",J353/J236),"")</f>
        <v/>
      </c>
      <c r="K354" s="50" t="str">
        <f aca="false">IFERROR(IF(OR(NOT(ISNUMBER(K353)),N(K236)=0),"",K353/K236),"")</f>
        <v/>
      </c>
      <c r="L354" s="50" t="str">
        <f aca="false">IFERROR(IF(OR(NOT(ISNUMBER(L353)),N(L236)=0),"",L353/L236),"")</f>
        <v/>
      </c>
      <c r="M354" s="50" t="str">
        <f aca="false">IFERROR(IF(OR(NOT(ISNUMBER(M353)),N(M236)=0),"",M353/M236),"")</f>
        <v/>
      </c>
      <c r="N354" s="50" t="str">
        <f aca="false">IFERROR(IF(OR(NOT(ISNUMBER(N353)),N(N236)=0),"",N353/N236),"")</f>
        <v/>
      </c>
      <c r="O354" s="68" t="str">
        <f aca="false">IFERROR(IF(OR(NOT(ISNUMBER(O353)),N(O236)=0),"",O353/O236),"")</f>
        <v/>
      </c>
    </row>
    <row r="355" customFormat="false" ht="15" hidden="true" customHeight="false" outlineLevel="1" collapsed="false">
      <c r="A355" s="11" t="s">
        <v>2247</v>
      </c>
      <c r="B355" s="53" t="str">
        <f aca="false">IF(INDEX(Prod_Nombre,14)="","Producto 14",INDEX(Prod_Nombre,14))</f>
        <v>Producto 14</v>
      </c>
      <c r="C355" s="11" t="s">
        <v>508</v>
      </c>
      <c r="D355" s="37"/>
      <c r="E355" s="37"/>
      <c r="F355" s="37"/>
      <c r="G355" s="37"/>
      <c r="H355" s="37"/>
      <c r="I355" s="37"/>
      <c r="J355" s="37"/>
      <c r="K355" s="37"/>
      <c r="L355" s="37"/>
      <c r="M355" s="37"/>
      <c r="N355" s="37"/>
      <c r="O355" s="54" t="str">
        <f aca="false">IF(COUNT(D355:N355)=0,"",SUM(D355:N355))</f>
        <v/>
      </c>
    </row>
    <row r="356" customFormat="false" ht="15" hidden="true" customHeight="false" outlineLevel="1" collapsed="false">
      <c r="A356" s="11" t="s">
        <v>2248</v>
      </c>
      <c r="B356" s="15" t="s">
        <v>2087</v>
      </c>
      <c r="C356" s="11" t="s">
        <v>748</v>
      </c>
      <c r="E356" s="50" t="str">
        <f aca="false">IFERROR(IF(OR(NOT(ISNUMBER(E355)),N(E239)=0),"",E355/E239),"")</f>
        <v/>
      </c>
      <c r="F356" s="50" t="str">
        <f aca="false">IFERROR(IF(OR(NOT(ISNUMBER(F355)),N(F239)=0),"",F355/F239),"")</f>
        <v/>
      </c>
      <c r="G356" s="50" t="str">
        <f aca="false">IFERROR(IF(OR(NOT(ISNUMBER(G355)),N(G239)=0),"",G355/G239),"")</f>
        <v/>
      </c>
      <c r="H356" s="50" t="str">
        <f aca="false">IFERROR(IF(OR(NOT(ISNUMBER(H355)),N(H239)=0),"",H355/H239),"")</f>
        <v/>
      </c>
      <c r="I356" s="50" t="str">
        <f aca="false">IFERROR(IF(OR(NOT(ISNUMBER(I355)),N(I239)=0),"",I355/I239),"")</f>
        <v/>
      </c>
      <c r="J356" s="50" t="str">
        <f aca="false">IFERROR(IF(OR(NOT(ISNUMBER(J355)),N(J239)=0),"",J355/J239),"")</f>
        <v/>
      </c>
      <c r="K356" s="50" t="str">
        <f aca="false">IFERROR(IF(OR(NOT(ISNUMBER(K355)),N(K239)=0),"",K355/K239),"")</f>
        <v/>
      </c>
      <c r="L356" s="50" t="str">
        <f aca="false">IFERROR(IF(OR(NOT(ISNUMBER(L355)),N(L239)=0),"",L355/L239),"")</f>
        <v/>
      </c>
      <c r="M356" s="50" t="str">
        <f aca="false">IFERROR(IF(OR(NOT(ISNUMBER(M355)),N(M239)=0),"",M355/M239),"")</f>
        <v/>
      </c>
      <c r="N356" s="50" t="str">
        <f aca="false">IFERROR(IF(OR(NOT(ISNUMBER(N355)),N(N239)=0),"",N355/N239),"")</f>
        <v/>
      </c>
      <c r="O356" s="68" t="str">
        <f aca="false">IFERROR(IF(OR(NOT(ISNUMBER(O355)),N(O239)=0),"",O355/O239),"")</f>
        <v/>
      </c>
    </row>
    <row r="357" customFormat="false" ht="15" hidden="true" customHeight="false" outlineLevel="1" collapsed="false">
      <c r="A357" s="11" t="s">
        <v>2249</v>
      </c>
      <c r="B357" s="53" t="str">
        <f aca="false">IF(INDEX(Prod_Nombre,15)="","Producto 15",INDEX(Prod_Nombre,15))</f>
        <v>Producto 15</v>
      </c>
      <c r="C357" s="11" t="s">
        <v>508</v>
      </c>
      <c r="D357" s="37"/>
      <c r="E357" s="37"/>
      <c r="F357" s="37"/>
      <c r="G357" s="37"/>
      <c r="H357" s="37"/>
      <c r="I357" s="37"/>
      <c r="J357" s="37"/>
      <c r="K357" s="37"/>
      <c r="L357" s="37"/>
      <c r="M357" s="37"/>
      <c r="N357" s="37"/>
      <c r="O357" s="54" t="str">
        <f aca="false">IF(COUNT(D357:N357)=0,"",SUM(D357:N357))</f>
        <v/>
      </c>
    </row>
    <row r="358" customFormat="false" ht="15" hidden="true" customHeight="false" outlineLevel="1" collapsed="false">
      <c r="A358" s="11" t="s">
        <v>2250</v>
      </c>
      <c r="B358" s="15" t="s">
        <v>2087</v>
      </c>
      <c r="C358" s="11" t="s">
        <v>748</v>
      </c>
      <c r="E358" s="50" t="str">
        <f aca="false">IFERROR(IF(OR(NOT(ISNUMBER(E357)),N(E242)=0),"",E357/E242),"")</f>
        <v/>
      </c>
      <c r="F358" s="50" t="str">
        <f aca="false">IFERROR(IF(OR(NOT(ISNUMBER(F357)),N(F242)=0),"",F357/F242),"")</f>
        <v/>
      </c>
      <c r="G358" s="50" t="str">
        <f aca="false">IFERROR(IF(OR(NOT(ISNUMBER(G357)),N(G242)=0),"",G357/G242),"")</f>
        <v/>
      </c>
      <c r="H358" s="50" t="str">
        <f aca="false">IFERROR(IF(OR(NOT(ISNUMBER(H357)),N(H242)=0),"",H357/H242),"")</f>
        <v/>
      </c>
      <c r="I358" s="50" t="str">
        <f aca="false">IFERROR(IF(OR(NOT(ISNUMBER(I357)),N(I242)=0),"",I357/I242),"")</f>
        <v/>
      </c>
      <c r="J358" s="50" t="str">
        <f aca="false">IFERROR(IF(OR(NOT(ISNUMBER(J357)),N(J242)=0),"",J357/J242),"")</f>
        <v/>
      </c>
      <c r="K358" s="50" t="str">
        <f aca="false">IFERROR(IF(OR(NOT(ISNUMBER(K357)),N(K242)=0),"",K357/K242),"")</f>
        <v/>
      </c>
      <c r="L358" s="50" t="str">
        <f aca="false">IFERROR(IF(OR(NOT(ISNUMBER(L357)),N(L242)=0),"",L357/L242),"")</f>
        <v/>
      </c>
      <c r="M358" s="50" t="str">
        <f aca="false">IFERROR(IF(OR(NOT(ISNUMBER(M357)),N(M242)=0),"",M357/M242),"")</f>
        <v/>
      </c>
      <c r="N358" s="50" t="str">
        <f aca="false">IFERROR(IF(OR(NOT(ISNUMBER(N357)),N(N242)=0),"",N357/N242),"")</f>
        <v/>
      </c>
      <c r="O358" s="68" t="str">
        <f aca="false">IFERROR(IF(OR(NOT(ISNUMBER(O357)),N(O242)=0),"",O357/O242),"")</f>
        <v/>
      </c>
    </row>
    <row r="359" customFormat="false" ht="15" hidden="true" customHeight="false" outlineLevel="1" collapsed="false">
      <c r="A359" s="11" t="s">
        <v>2251</v>
      </c>
      <c r="B359" s="53" t="str">
        <f aca="false">IF(INDEX(Prod_Nombre,16)="","Producto 16",INDEX(Prod_Nombre,16))</f>
        <v>Producto 16</v>
      </c>
      <c r="C359" s="11" t="s">
        <v>508</v>
      </c>
      <c r="D359" s="37"/>
      <c r="E359" s="37"/>
      <c r="F359" s="37"/>
      <c r="G359" s="37"/>
      <c r="H359" s="37"/>
      <c r="I359" s="37"/>
      <c r="J359" s="37"/>
      <c r="K359" s="37"/>
      <c r="L359" s="37"/>
      <c r="M359" s="37"/>
      <c r="N359" s="37"/>
      <c r="O359" s="54" t="str">
        <f aca="false">IF(COUNT(D359:N359)=0,"",SUM(D359:N359))</f>
        <v/>
      </c>
    </row>
    <row r="360" customFormat="false" ht="15" hidden="true" customHeight="false" outlineLevel="1" collapsed="false">
      <c r="A360" s="11" t="s">
        <v>2252</v>
      </c>
      <c r="B360" s="15" t="s">
        <v>2087</v>
      </c>
      <c r="C360" s="11" t="s">
        <v>748</v>
      </c>
      <c r="E360" s="50" t="str">
        <f aca="false">IFERROR(IF(OR(NOT(ISNUMBER(E359)),N(E245)=0),"",E359/E245),"")</f>
        <v/>
      </c>
      <c r="F360" s="50" t="str">
        <f aca="false">IFERROR(IF(OR(NOT(ISNUMBER(F359)),N(F245)=0),"",F359/F245),"")</f>
        <v/>
      </c>
      <c r="G360" s="50" t="str">
        <f aca="false">IFERROR(IF(OR(NOT(ISNUMBER(G359)),N(G245)=0),"",G359/G245),"")</f>
        <v/>
      </c>
      <c r="H360" s="50" t="str">
        <f aca="false">IFERROR(IF(OR(NOT(ISNUMBER(H359)),N(H245)=0),"",H359/H245),"")</f>
        <v/>
      </c>
      <c r="I360" s="50" t="str">
        <f aca="false">IFERROR(IF(OR(NOT(ISNUMBER(I359)),N(I245)=0),"",I359/I245),"")</f>
        <v/>
      </c>
      <c r="J360" s="50" t="str">
        <f aca="false">IFERROR(IF(OR(NOT(ISNUMBER(J359)),N(J245)=0),"",J359/J245),"")</f>
        <v/>
      </c>
      <c r="K360" s="50" t="str">
        <f aca="false">IFERROR(IF(OR(NOT(ISNUMBER(K359)),N(K245)=0),"",K359/K245),"")</f>
        <v/>
      </c>
      <c r="L360" s="50" t="str">
        <f aca="false">IFERROR(IF(OR(NOT(ISNUMBER(L359)),N(L245)=0),"",L359/L245),"")</f>
        <v/>
      </c>
      <c r="M360" s="50" t="str">
        <f aca="false">IFERROR(IF(OR(NOT(ISNUMBER(M359)),N(M245)=0),"",M359/M245),"")</f>
        <v/>
      </c>
      <c r="N360" s="50" t="str">
        <f aca="false">IFERROR(IF(OR(NOT(ISNUMBER(N359)),N(N245)=0),"",N359/N245),"")</f>
        <v/>
      </c>
      <c r="O360" s="68" t="str">
        <f aca="false">IFERROR(IF(OR(NOT(ISNUMBER(O359)),N(O245)=0),"",O359/O245),"")</f>
        <v/>
      </c>
    </row>
    <row r="361" customFormat="false" ht="15" hidden="true" customHeight="false" outlineLevel="1" collapsed="false">
      <c r="A361" s="11" t="s">
        <v>2253</v>
      </c>
      <c r="B361" s="53" t="str">
        <f aca="false">IF(INDEX(Prod_Nombre,17)="","Producto 17",INDEX(Prod_Nombre,17))</f>
        <v>Producto 17</v>
      </c>
      <c r="C361" s="11" t="s">
        <v>508</v>
      </c>
      <c r="D361" s="37"/>
      <c r="E361" s="37"/>
      <c r="F361" s="37"/>
      <c r="G361" s="37"/>
      <c r="H361" s="37"/>
      <c r="I361" s="37"/>
      <c r="J361" s="37"/>
      <c r="K361" s="37"/>
      <c r="L361" s="37"/>
      <c r="M361" s="37"/>
      <c r="N361" s="37"/>
      <c r="O361" s="54" t="str">
        <f aca="false">IF(COUNT(D361:N361)=0,"",SUM(D361:N361))</f>
        <v/>
      </c>
    </row>
    <row r="362" customFormat="false" ht="15" hidden="true" customHeight="false" outlineLevel="1" collapsed="false">
      <c r="A362" s="11" t="s">
        <v>2254</v>
      </c>
      <c r="B362" s="15" t="s">
        <v>2087</v>
      </c>
      <c r="C362" s="11" t="s">
        <v>748</v>
      </c>
      <c r="E362" s="50" t="str">
        <f aca="false">IFERROR(IF(OR(NOT(ISNUMBER(E361)),N(E248)=0),"",E361/E248),"")</f>
        <v/>
      </c>
      <c r="F362" s="50" t="str">
        <f aca="false">IFERROR(IF(OR(NOT(ISNUMBER(F361)),N(F248)=0),"",F361/F248),"")</f>
        <v/>
      </c>
      <c r="G362" s="50" t="str">
        <f aca="false">IFERROR(IF(OR(NOT(ISNUMBER(G361)),N(G248)=0),"",G361/G248),"")</f>
        <v/>
      </c>
      <c r="H362" s="50" t="str">
        <f aca="false">IFERROR(IF(OR(NOT(ISNUMBER(H361)),N(H248)=0),"",H361/H248),"")</f>
        <v/>
      </c>
      <c r="I362" s="50" t="str">
        <f aca="false">IFERROR(IF(OR(NOT(ISNUMBER(I361)),N(I248)=0),"",I361/I248),"")</f>
        <v/>
      </c>
      <c r="J362" s="50" t="str">
        <f aca="false">IFERROR(IF(OR(NOT(ISNUMBER(J361)),N(J248)=0),"",J361/J248),"")</f>
        <v/>
      </c>
      <c r="K362" s="50" t="str">
        <f aca="false">IFERROR(IF(OR(NOT(ISNUMBER(K361)),N(K248)=0),"",K361/K248),"")</f>
        <v/>
      </c>
      <c r="L362" s="50" t="str">
        <f aca="false">IFERROR(IF(OR(NOT(ISNUMBER(L361)),N(L248)=0),"",L361/L248),"")</f>
        <v/>
      </c>
      <c r="M362" s="50" t="str">
        <f aca="false">IFERROR(IF(OR(NOT(ISNUMBER(M361)),N(M248)=0),"",M361/M248),"")</f>
        <v/>
      </c>
      <c r="N362" s="50" t="str">
        <f aca="false">IFERROR(IF(OR(NOT(ISNUMBER(N361)),N(N248)=0),"",N361/N248),"")</f>
        <v/>
      </c>
      <c r="O362" s="68" t="str">
        <f aca="false">IFERROR(IF(OR(NOT(ISNUMBER(O361)),N(O248)=0),"",O361/O248),"")</f>
        <v/>
      </c>
    </row>
    <row r="363" customFormat="false" ht="15" hidden="true" customHeight="false" outlineLevel="1" collapsed="false">
      <c r="A363" s="11" t="s">
        <v>2255</v>
      </c>
      <c r="B363" s="53" t="str">
        <f aca="false">IF(INDEX(Prod_Nombre,18)="","Producto 18",INDEX(Prod_Nombre,18))</f>
        <v>Producto 18</v>
      </c>
      <c r="C363" s="11" t="s">
        <v>508</v>
      </c>
      <c r="D363" s="37"/>
      <c r="E363" s="37"/>
      <c r="F363" s="37"/>
      <c r="G363" s="37"/>
      <c r="H363" s="37"/>
      <c r="I363" s="37"/>
      <c r="J363" s="37"/>
      <c r="K363" s="37"/>
      <c r="L363" s="37"/>
      <c r="M363" s="37"/>
      <c r="N363" s="37"/>
      <c r="O363" s="54" t="str">
        <f aca="false">IF(COUNT(D363:N363)=0,"",SUM(D363:N363))</f>
        <v/>
      </c>
    </row>
    <row r="364" customFormat="false" ht="15" hidden="true" customHeight="false" outlineLevel="1" collapsed="false">
      <c r="A364" s="11" t="s">
        <v>2256</v>
      </c>
      <c r="B364" s="15" t="s">
        <v>2087</v>
      </c>
      <c r="C364" s="11" t="s">
        <v>748</v>
      </c>
      <c r="E364" s="50" t="str">
        <f aca="false">IFERROR(IF(OR(NOT(ISNUMBER(E363)),N(E251)=0),"",E363/E251),"")</f>
        <v/>
      </c>
      <c r="F364" s="50" t="str">
        <f aca="false">IFERROR(IF(OR(NOT(ISNUMBER(F363)),N(F251)=0),"",F363/F251),"")</f>
        <v/>
      </c>
      <c r="G364" s="50" t="str">
        <f aca="false">IFERROR(IF(OR(NOT(ISNUMBER(G363)),N(G251)=0),"",G363/G251),"")</f>
        <v/>
      </c>
      <c r="H364" s="50" t="str">
        <f aca="false">IFERROR(IF(OR(NOT(ISNUMBER(H363)),N(H251)=0),"",H363/H251),"")</f>
        <v/>
      </c>
      <c r="I364" s="50" t="str">
        <f aca="false">IFERROR(IF(OR(NOT(ISNUMBER(I363)),N(I251)=0),"",I363/I251),"")</f>
        <v/>
      </c>
      <c r="J364" s="50" t="str">
        <f aca="false">IFERROR(IF(OR(NOT(ISNUMBER(J363)),N(J251)=0),"",J363/J251),"")</f>
        <v/>
      </c>
      <c r="K364" s="50" t="str">
        <f aca="false">IFERROR(IF(OR(NOT(ISNUMBER(K363)),N(K251)=0),"",K363/K251),"")</f>
        <v/>
      </c>
      <c r="L364" s="50" t="str">
        <f aca="false">IFERROR(IF(OR(NOT(ISNUMBER(L363)),N(L251)=0),"",L363/L251),"")</f>
        <v/>
      </c>
      <c r="M364" s="50" t="str">
        <f aca="false">IFERROR(IF(OR(NOT(ISNUMBER(M363)),N(M251)=0),"",M363/M251),"")</f>
        <v/>
      </c>
      <c r="N364" s="50" t="str">
        <f aca="false">IFERROR(IF(OR(NOT(ISNUMBER(N363)),N(N251)=0),"",N363/N251),"")</f>
        <v/>
      </c>
      <c r="O364" s="68" t="str">
        <f aca="false">IFERROR(IF(OR(NOT(ISNUMBER(O363)),N(O251)=0),"",O363/O251),"")</f>
        <v/>
      </c>
    </row>
    <row r="365" customFormat="false" ht="15" hidden="true" customHeight="false" outlineLevel="1" collapsed="false">
      <c r="A365" s="11" t="s">
        <v>2257</v>
      </c>
      <c r="B365" s="53" t="str">
        <f aca="false">IF(INDEX(Prod_Nombre,19)="","Producto 19",INDEX(Prod_Nombre,19))</f>
        <v>Producto 19</v>
      </c>
      <c r="C365" s="11" t="s">
        <v>508</v>
      </c>
      <c r="D365" s="37"/>
      <c r="E365" s="37"/>
      <c r="F365" s="37"/>
      <c r="G365" s="37"/>
      <c r="H365" s="37"/>
      <c r="I365" s="37"/>
      <c r="J365" s="37"/>
      <c r="K365" s="37"/>
      <c r="L365" s="37"/>
      <c r="M365" s="37"/>
      <c r="N365" s="37"/>
      <c r="O365" s="54" t="str">
        <f aca="false">IF(COUNT(D365:N365)=0,"",SUM(D365:N365))</f>
        <v/>
      </c>
    </row>
    <row r="366" customFormat="false" ht="15" hidden="true" customHeight="false" outlineLevel="1" collapsed="false">
      <c r="A366" s="11" t="s">
        <v>2258</v>
      </c>
      <c r="B366" s="15" t="s">
        <v>2087</v>
      </c>
      <c r="C366" s="11" t="s">
        <v>748</v>
      </c>
      <c r="E366" s="50" t="str">
        <f aca="false">IFERROR(IF(OR(NOT(ISNUMBER(E365)),N(E254)=0),"",E365/E254),"")</f>
        <v/>
      </c>
      <c r="F366" s="50" t="str">
        <f aca="false">IFERROR(IF(OR(NOT(ISNUMBER(F365)),N(F254)=0),"",F365/F254),"")</f>
        <v/>
      </c>
      <c r="G366" s="50" t="str">
        <f aca="false">IFERROR(IF(OR(NOT(ISNUMBER(G365)),N(G254)=0),"",G365/G254),"")</f>
        <v/>
      </c>
      <c r="H366" s="50" t="str">
        <f aca="false">IFERROR(IF(OR(NOT(ISNUMBER(H365)),N(H254)=0),"",H365/H254),"")</f>
        <v/>
      </c>
      <c r="I366" s="50" t="str">
        <f aca="false">IFERROR(IF(OR(NOT(ISNUMBER(I365)),N(I254)=0),"",I365/I254),"")</f>
        <v/>
      </c>
      <c r="J366" s="50" t="str">
        <f aca="false">IFERROR(IF(OR(NOT(ISNUMBER(J365)),N(J254)=0),"",J365/J254),"")</f>
        <v/>
      </c>
      <c r="K366" s="50" t="str">
        <f aca="false">IFERROR(IF(OR(NOT(ISNUMBER(K365)),N(K254)=0),"",K365/K254),"")</f>
        <v/>
      </c>
      <c r="L366" s="50" t="str">
        <f aca="false">IFERROR(IF(OR(NOT(ISNUMBER(L365)),N(L254)=0),"",L365/L254),"")</f>
        <v/>
      </c>
      <c r="M366" s="50" t="str">
        <f aca="false">IFERROR(IF(OR(NOT(ISNUMBER(M365)),N(M254)=0),"",M365/M254),"")</f>
        <v/>
      </c>
      <c r="N366" s="50" t="str">
        <f aca="false">IFERROR(IF(OR(NOT(ISNUMBER(N365)),N(N254)=0),"",N365/N254),"")</f>
        <v/>
      </c>
      <c r="O366" s="68" t="str">
        <f aca="false">IFERROR(IF(OR(NOT(ISNUMBER(O365)),N(O254)=0),"",O365/O254),"")</f>
        <v/>
      </c>
    </row>
    <row r="367" customFormat="false" ht="15" hidden="true" customHeight="false" outlineLevel="1" collapsed="false">
      <c r="A367" s="11" t="s">
        <v>2259</v>
      </c>
      <c r="B367" s="53" t="str">
        <f aca="false">IF(INDEX(Prod_Nombre,20)="","Producto 20",INDEX(Prod_Nombre,20))</f>
        <v>Producto 20</v>
      </c>
      <c r="C367" s="11" t="s">
        <v>508</v>
      </c>
      <c r="D367" s="37"/>
      <c r="E367" s="37"/>
      <c r="F367" s="37"/>
      <c r="G367" s="37"/>
      <c r="H367" s="37"/>
      <c r="I367" s="37"/>
      <c r="J367" s="37"/>
      <c r="K367" s="37"/>
      <c r="L367" s="37"/>
      <c r="M367" s="37"/>
      <c r="N367" s="37"/>
      <c r="O367" s="54" t="str">
        <f aca="false">IF(COUNT(D367:N367)=0,"",SUM(D367:N367))</f>
        <v/>
      </c>
    </row>
    <row r="368" customFormat="false" ht="15" hidden="true" customHeight="false" outlineLevel="1" collapsed="false">
      <c r="A368" s="11" t="s">
        <v>2260</v>
      </c>
      <c r="B368" s="15" t="s">
        <v>2087</v>
      </c>
      <c r="C368" s="11" t="s">
        <v>748</v>
      </c>
      <c r="E368" s="50" t="str">
        <f aca="false">IFERROR(IF(OR(NOT(ISNUMBER(E367)),N(E257)=0),"",E367/E257),"")</f>
        <v/>
      </c>
      <c r="F368" s="50" t="str">
        <f aca="false">IFERROR(IF(OR(NOT(ISNUMBER(F367)),N(F257)=0),"",F367/F257),"")</f>
        <v/>
      </c>
      <c r="G368" s="50" t="str">
        <f aca="false">IFERROR(IF(OR(NOT(ISNUMBER(G367)),N(G257)=0),"",G367/G257),"")</f>
        <v/>
      </c>
      <c r="H368" s="50" t="str">
        <f aca="false">IFERROR(IF(OR(NOT(ISNUMBER(H367)),N(H257)=0),"",H367/H257),"")</f>
        <v/>
      </c>
      <c r="I368" s="50" t="str">
        <f aca="false">IFERROR(IF(OR(NOT(ISNUMBER(I367)),N(I257)=0),"",I367/I257),"")</f>
        <v/>
      </c>
      <c r="J368" s="50" t="str">
        <f aca="false">IFERROR(IF(OR(NOT(ISNUMBER(J367)),N(J257)=0),"",J367/J257),"")</f>
        <v/>
      </c>
      <c r="K368" s="50" t="str">
        <f aca="false">IFERROR(IF(OR(NOT(ISNUMBER(K367)),N(K257)=0),"",K367/K257),"")</f>
        <v/>
      </c>
      <c r="L368" s="50" t="str">
        <f aca="false">IFERROR(IF(OR(NOT(ISNUMBER(L367)),N(L257)=0),"",L367/L257),"")</f>
        <v/>
      </c>
      <c r="M368" s="50" t="str">
        <f aca="false">IFERROR(IF(OR(NOT(ISNUMBER(M367)),N(M257)=0),"",M367/M257),"")</f>
        <v/>
      </c>
      <c r="N368" s="50" t="str">
        <f aca="false">IFERROR(IF(OR(NOT(ISNUMBER(N367)),N(N257)=0),"",N367/N257),"")</f>
        <v/>
      </c>
      <c r="O368" s="68" t="str">
        <f aca="false">IFERROR(IF(OR(NOT(ISNUMBER(O367)),N(O257)=0),"",O367/O257),"")</f>
        <v/>
      </c>
    </row>
    <row r="369" customFormat="false" ht="15" hidden="true" customHeight="false" outlineLevel="1" collapsed="false">
      <c r="A369" s="11" t="s">
        <v>2261</v>
      </c>
      <c r="B369" s="53" t="str">
        <f aca="false">IF(INDEX(Prod_Nombre,21)="","Producto 21",INDEX(Prod_Nombre,21))</f>
        <v>Producto 21</v>
      </c>
      <c r="C369" s="11" t="s">
        <v>508</v>
      </c>
      <c r="D369" s="37"/>
      <c r="E369" s="37"/>
      <c r="F369" s="37"/>
      <c r="G369" s="37"/>
      <c r="H369" s="37"/>
      <c r="I369" s="37"/>
      <c r="J369" s="37"/>
      <c r="K369" s="37"/>
      <c r="L369" s="37"/>
      <c r="M369" s="37"/>
      <c r="N369" s="37"/>
      <c r="O369" s="54" t="str">
        <f aca="false">IF(COUNT(D369:N369)=0,"",SUM(D369:N369))</f>
        <v/>
      </c>
    </row>
    <row r="370" customFormat="false" ht="15" hidden="true" customHeight="false" outlineLevel="1" collapsed="false">
      <c r="A370" s="11" t="s">
        <v>2262</v>
      </c>
      <c r="B370" s="15" t="s">
        <v>2087</v>
      </c>
      <c r="C370" s="11" t="s">
        <v>748</v>
      </c>
      <c r="E370" s="50" t="str">
        <f aca="false">IFERROR(IF(OR(NOT(ISNUMBER(E369)),N(E260)=0),"",E369/E260),"")</f>
        <v/>
      </c>
      <c r="F370" s="50" t="str">
        <f aca="false">IFERROR(IF(OR(NOT(ISNUMBER(F369)),N(F260)=0),"",F369/F260),"")</f>
        <v/>
      </c>
      <c r="G370" s="50" t="str">
        <f aca="false">IFERROR(IF(OR(NOT(ISNUMBER(G369)),N(G260)=0),"",G369/G260),"")</f>
        <v/>
      </c>
      <c r="H370" s="50" t="str">
        <f aca="false">IFERROR(IF(OR(NOT(ISNUMBER(H369)),N(H260)=0),"",H369/H260),"")</f>
        <v/>
      </c>
      <c r="I370" s="50" t="str">
        <f aca="false">IFERROR(IF(OR(NOT(ISNUMBER(I369)),N(I260)=0),"",I369/I260),"")</f>
        <v/>
      </c>
      <c r="J370" s="50" t="str">
        <f aca="false">IFERROR(IF(OR(NOT(ISNUMBER(J369)),N(J260)=0),"",J369/J260),"")</f>
        <v/>
      </c>
      <c r="K370" s="50" t="str">
        <f aca="false">IFERROR(IF(OR(NOT(ISNUMBER(K369)),N(K260)=0),"",K369/K260),"")</f>
        <v/>
      </c>
      <c r="L370" s="50" t="str">
        <f aca="false">IFERROR(IF(OR(NOT(ISNUMBER(L369)),N(L260)=0),"",L369/L260),"")</f>
        <v/>
      </c>
      <c r="M370" s="50" t="str">
        <f aca="false">IFERROR(IF(OR(NOT(ISNUMBER(M369)),N(M260)=0),"",M369/M260),"")</f>
        <v/>
      </c>
      <c r="N370" s="50" t="str">
        <f aca="false">IFERROR(IF(OR(NOT(ISNUMBER(N369)),N(N260)=0),"",N369/N260),"")</f>
        <v/>
      </c>
      <c r="O370" s="68" t="str">
        <f aca="false">IFERROR(IF(OR(NOT(ISNUMBER(O369)),N(O260)=0),"",O369/O260),"")</f>
        <v/>
      </c>
    </row>
    <row r="371" customFormat="false" ht="15" hidden="true" customHeight="false" outlineLevel="1" collapsed="false">
      <c r="A371" s="11" t="s">
        <v>2263</v>
      </c>
      <c r="B371" s="53" t="str">
        <f aca="false">IF(INDEX(Prod_Nombre,22)="","Producto 22",INDEX(Prod_Nombre,22))</f>
        <v>Producto 22</v>
      </c>
      <c r="C371" s="11" t="s">
        <v>508</v>
      </c>
      <c r="D371" s="37"/>
      <c r="E371" s="37"/>
      <c r="F371" s="37"/>
      <c r="G371" s="37"/>
      <c r="H371" s="37"/>
      <c r="I371" s="37"/>
      <c r="J371" s="37"/>
      <c r="K371" s="37"/>
      <c r="L371" s="37"/>
      <c r="M371" s="37"/>
      <c r="N371" s="37"/>
      <c r="O371" s="54" t="str">
        <f aca="false">IF(COUNT(D371:N371)=0,"",SUM(D371:N371))</f>
        <v/>
      </c>
    </row>
    <row r="372" customFormat="false" ht="15" hidden="true" customHeight="false" outlineLevel="1" collapsed="false">
      <c r="A372" s="11" t="s">
        <v>2264</v>
      </c>
      <c r="B372" s="15" t="s">
        <v>2087</v>
      </c>
      <c r="C372" s="11" t="s">
        <v>748</v>
      </c>
      <c r="E372" s="50" t="str">
        <f aca="false">IFERROR(IF(OR(NOT(ISNUMBER(E371)),N(E263)=0),"",E371/E263),"")</f>
        <v/>
      </c>
      <c r="F372" s="50" t="str">
        <f aca="false">IFERROR(IF(OR(NOT(ISNUMBER(F371)),N(F263)=0),"",F371/F263),"")</f>
        <v/>
      </c>
      <c r="G372" s="50" t="str">
        <f aca="false">IFERROR(IF(OR(NOT(ISNUMBER(G371)),N(G263)=0),"",G371/G263),"")</f>
        <v/>
      </c>
      <c r="H372" s="50" t="str">
        <f aca="false">IFERROR(IF(OR(NOT(ISNUMBER(H371)),N(H263)=0),"",H371/H263),"")</f>
        <v/>
      </c>
      <c r="I372" s="50" t="str">
        <f aca="false">IFERROR(IF(OR(NOT(ISNUMBER(I371)),N(I263)=0),"",I371/I263),"")</f>
        <v/>
      </c>
      <c r="J372" s="50" t="str">
        <f aca="false">IFERROR(IF(OR(NOT(ISNUMBER(J371)),N(J263)=0),"",J371/J263),"")</f>
        <v/>
      </c>
      <c r="K372" s="50" t="str">
        <f aca="false">IFERROR(IF(OR(NOT(ISNUMBER(K371)),N(K263)=0),"",K371/K263),"")</f>
        <v/>
      </c>
      <c r="L372" s="50" t="str">
        <f aca="false">IFERROR(IF(OR(NOT(ISNUMBER(L371)),N(L263)=0),"",L371/L263),"")</f>
        <v/>
      </c>
      <c r="M372" s="50" t="str">
        <f aca="false">IFERROR(IF(OR(NOT(ISNUMBER(M371)),N(M263)=0),"",M371/M263),"")</f>
        <v/>
      </c>
      <c r="N372" s="50" t="str">
        <f aca="false">IFERROR(IF(OR(NOT(ISNUMBER(N371)),N(N263)=0),"",N371/N263),"")</f>
        <v/>
      </c>
      <c r="O372" s="68" t="str">
        <f aca="false">IFERROR(IF(OR(NOT(ISNUMBER(O371)),N(O263)=0),"",O371/O263),"")</f>
        <v/>
      </c>
    </row>
    <row r="373" customFormat="false" ht="15" hidden="true" customHeight="false" outlineLevel="1" collapsed="false">
      <c r="A373" s="11" t="s">
        <v>2265</v>
      </c>
      <c r="B373" s="53" t="str">
        <f aca="false">IF(INDEX(Prod_Nombre,23)="","Producto 23",INDEX(Prod_Nombre,23))</f>
        <v>Producto 23</v>
      </c>
      <c r="C373" s="11" t="s">
        <v>508</v>
      </c>
      <c r="D373" s="37"/>
      <c r="E373" s="37"/>
      <c r="F373" s="37"/>
      <c r="G373" s="37"/>
      <c r="H373" s="37"/>
      <c r="I373" s="37"/>
      <c r="J373" s="37"/>
      <c r="K373" s="37"/>
      <c r="L373" s="37"/>
      <c r="M373" s="37"/>
      <c r="N373" s="37"/>
      <c r="O373" s="54" t="str">
        <f aca="false">IF(COUNT(D373:N373)=0,"",SUM(D373:N373))</f>
        <v/>
      </c>
    </row>
    <row r="374" customFormat="false" ht="15" hidden="true" customHeight="false" outlineLevel="1" collapsed="false">
      <c r="A374" s="11" t="s">
        <v>2266</v>
      </c>
      <c r="B374" s="15" t="s">
        <v>2087</v>
      </c>
      <c r="C374" s="11" t="s">
        <v>748</v>
      </c>
      <c r="E374" s="50" t="str">
        <f aca="false">IFERROR(IF(OR(NOT(ISNUMBER(E373)),N(E266)=0),"",E373/E266),"")</f>
        <v/>
      </c>
      <c r="F374" s="50" t="str">
        <f aca="false">IFERROR(IF(OR(NOT(ISNUMBER(F373)),N(F266)=0),"",F373/F266),"")</f>
        <v/>
      </c>
      <c r="G374" s="50" t="str">
        <f aca="false">IFERROR(IF(OR(NOT(ISNUMBER(G373)),N(G266)=0),"",G373/G266),"")</f>
        <v/>
      </c>
      <c r="H374" s="50" t="str">
        <f aca="false">IFERROR(IF(OR(NOT(ISNUMBER(H373)),N(H266)=0),"",H373/H266),"")</f>
        <v/>
      </c>
      <c r="I374" s="50" t="str">
        <f aca="false">IFERROR(IF(OR(NOT(ISNUMBER(I373)),N(I266)=0),"",I373/I266),"")</f>
        <v/>
      </c>
      <c r="J374" s="50" t="str">
        <f aca="false">IFERROR(IF(OR(NOT(ISNUMBER(J373)),N(J266)=0),"",J373/J266),"")</f>
        <v/>
      </c>
      <c r="K374" s="50" t="str">
        <f aca="false">IFERROR(IF(OR(NOT(ISNUMBER(K373)),N(K266)=0),"",K373/K266),"")</f>
        <v/>
      </c>
      <c r="L374" s="50" t="str">
        <f aca="false">IFERROR(IF(OR(NOT(ISNUMBER(L373)),N(L266)=0),"",L373/L266),"")</f>
        <v/>
      </c>
      <c r="M374" s="50" t="str">
        <f aca="false">IFERROR(IF(OR(NOT(ISNUMBER(M373)),N(M266)=0),"",M373/M266),"")</f>
        <v/>
      </c>
      <c r="N374" s="50" t="str">
        <f aca="false">IFERROR(IF(OR(NOT(ISNUMBER(N373)),N(N266)=0),"",N373/N266),"")</f>
        <v/>
      </c>
      <c r="O374" s="68" t="str">
        <f aca="false">IFERROR(IF(OR(NOT(ISNUMBER(O373)),N(O266)=0),"",O373/O266),"")</f>
        <v/>
      </c>
    </row>
    <row r="375" customFormat="false" ht="15" hidden="true" customHeight="false" outlineLevel="1" collapsed="false">
      <c r="A375" s="11" t="s">
        <v>2267</v>
      </c>
      <c r="B375" s="53" t="str">
        <f aca="false">IF(INDEX(Prod_Nombre,24)="","Producto 24",INDEX(Prod_Nombre,24))</f>
        <v>Producto 24</v>
      </c>
      <c r="C375" s="11" t="s">
        <v>508</v>
      </c>
      <c r="D375" s="37"/>
      <c r="E375" s="37"/>
      <c r="F375" s="37"/>
      <c r="G375" s="37"/>
      <c r="H375" s="37"/>
      <c r="I375" s="37"/>
      <c r="J375" s="37"/>
      <c r="K375" s="37"/>
      <c r="L375" s="37"/>
      <c r="M375" s="37"/>
      <c r="N375" s="37"/>
      <c r="O375" s="54" t="str">
        <f aca="false">IF(COUNT(D375:N375)=0,"",SUM(D375:N375))</f>
        <v/>
      </c>
    </row>
    <row r="376" customFormat="false" ht="15" hidden="true" customHeight="false" outlineLevel="1" collapsed="false">
      <c r="A376" s="11" t="s">
        <v>2268</v>
      </c>
      <c r="B376" s="15" t="s">
        <v>2087</v>
      </c>
      <c r="C376" s="11" t="s">
        <v>748</v>
      </c>
      <c r="E376" s="50" t="str">
        <f aca="false">IFERROR(IF(OR(NOT(ISNUMBER(E375)),N(E269)=0),"",E375/E269),"")</f>
        <v/>
      </c>
      <c r="F376" s="50" t="str">
        <f aca="false">IFERROR(IF(OR(NOT(ISNUMBER(F375)),N(F269)=0),"",F375/F269),"")</f>
        <v/>
      </c>
      <c r="G376" s="50" t="str">
        <f aca="false">IFERROR(IF(OR(NOT(ISNUMBER(G375)),N(G269)=0),"",G375/G269),"")</f>
        <v/>
      </c>
      <c r="H376" s="50" t="str">
        <f aca="false">IFERROR(IF(OR(NOT(ISNUMBER(H375)),N(H269)=0),"",H375/H269),"")</f>
        <v/>
      </c>
      <c r="I376" s="50" t="str">
        <f aca="false">IFERROR(IF(OR(NOT(ISNUMBER(I375)),N(I269)=0),"",I375/I269),"")</f>
        <v/>
      </c>
      <c r="J376" s="50" t="str">
        <f aca="false">IFERROR(IF(OR(NOT(ISNUMBER(J375)),N(J269)=0),"",J375/J269),"")</f>
        <v/>
      </c>
      <c r="K376" s="50" t="str">
        <f aca="false">IFERROR(IF(OR(NOT(ISNUMBER(K375)),N(K269)=0),"",K375/K269),"")</f>
        <v/>
      </c>
      <c r="L376" s="50" t="str">
        <f aca="false">IFERROR(IF(OR(NOT(ISNUMBER(L375)),N(L269)=0),"",L375/L269),"")</f>
        <v/>
      </c>
      <c r="M376" s="50" t="str">
        <f aca="false">IFERROR(IF(OR(NOT(ISNUMBER(M375)),N(M269)=0),"",M375/M269),"")</f>
        <v/>
      </c>
      <c r="N376" s="50" t="str">
        <f aca="false">IFERROR(IF(OR(NOT(ISNUMBER(N375)),N(N269)=0),"",N375/N269),"")</f>
        <v/>
      </c>
      <c r="O376" s="68" t="str">
        <f aca="false">IFERROR(IF(OR(NOT(ISNUMBER(O375)),N(O269)=0),"",O375/O269),"")</f>
        <v/>
      </c>
    </row>
    <row r="377" customFormat="false" ht="15" hidden="true" customHeight="false" outlineLevel="1" collapsed="false">
      <c r="A377" s="11" t="s">
        <v>2269</v>
      </c>
      <c r="B377" s="53" t="str">
        <f aca="false">IF(INDEX(Prod_Nombre,25)="","Producto 25",INDEX(Prod_Nombre,25))</f>
        <v>Producto 25</v>
      </c>
      <c r="C377" s="11" t="s">
        <v>508</v>
      </c>
      <c r="D377" s="37"/>
      <c r="E377" s="37"/>
      <c r="F377" s="37"/>
      <c r="G377" s="37"/>
      <c r="H377" s="37"/>
      <c r="I377" s="37"/>
      <c r="J377" s="37"/>
      <c r="K377" s="37"/>
      <c r="L377" s="37"/>
      <c r="M377" s="37"/>
      <c r="N377" s="37"/>
      <c r="O377" s="54" t="str">
        <f aca="false">IF(COUNT(D377:N377)=0,"",SUM(D377:N377))</f>
        <v/>
      </c>
    </row>
    <row r="378" customFormat="false" ht="15" hidden="true" customHeight="false" outlineLevel="1" collapsed="false">
      <c r="A378" s="11" t="s">
        <v>2270</v>
      </c>
      <c r="B378" s="15" t="s">
        <v>2087</v>
      </c>
      <c r="C378" s="11" t="s">
        <v>748</v>
      </c>
      <c r="E378" s="50" t="str">
        <f aca="false">IFERROR(IF(OR(NOT(ISNUMBER(E377)),N(E272)=0),"",E377/E272),"")</f>
        <v/>
      </c>
      <c r="F378" s="50" t="str">
        <f aca="false">IFERROR(IF(OR(NOT(ISNUMBER(F377)),N(F272)=0),"",F377/F272),"")</f>
        <v/>
      </c>
      <c r="G378" s="50" t="str">
        <f aca="false">IFERROR(IF(OR(NOT(ISNUMBER(G377)),N(G272)=0),"",G377/G272),"")</f>
        <v/>
      </c>
      <c r="H378" s="50" t="str">
        <f aca="false">IFERROR(IF(OR(NOT(ISNUMBER(H377)),N(H272)=0),"",H377/H272),"")</f>
        <v/>
      </c>
      <c r="I378" s="50" t="str">
        <f aca="false">IFERROR(IF(OR(NOT(ISNUMBER(I377)),N(I272)=0),"",I377/I272),"")</f>
        <v/>
      </c>
      <c r="J378" s="50" t="str">
        <f aca="false">IFERROR(IF(OR(NOT(ISNUMBER(J377)),N(J272)=0),"",J377/J272),"")</f>
        <v/>
      </c>
      <c r="K378" s="50" t="str">
        <f aca="false">IFERROR(IF(OR(NOT(ISNUMBER(K377)),N(K272)=0),"",K377/K272),"")</f>
        <v/>
      </c>
      <c r="L378" s="50" t="str">
        <f aca="false">IFERROR(IF(OR(NOT(ISNUMBER(L377)),N(L272)=0),"",L377/L272),"")</f>
        <v/>
      </c>
      <c r="M378" s="50" t="str">
        <f aca="false">IFERROR(IF(OR(NOT(ISNUMBER(M377)),N(M272)=0),"",M377/M272),"")</f>
        <v/>
      </c>
      <c r="N378" s="50" t="str">
        <f aca="false">IFERROR(IF(OR(NOT(ISNUMBER(N377)),N(N272)=0),"",N377/N272),"")</f>
        <v/>
      </c>
      <c r="O378" s="68" t="str">
        <f aca="false">IFERROR(IF(OR(NOT(ISNUMBER(O377)),N(O272)=0),"",O377/O272),"")</f>
        <v/>
      </c>
    </row>
    <row r="379" customFormat="false" ht="15" hidden="false" customHeight="false" outlineLevel="0" collapsed="false">
      <c r="A379" s="11" t="s">
        <v>2271</v>
      </c>
      <c r="B379" s="15" t="s">
        <v>2163</v>
      </c>
      <c r="C379" s="11" t="s">
        <v>508</v>
      </c>
      <c r="D379" s="48" t="str">
        <f aca="false">IFERROR(IF(COUNT(D328,D329,D331,D333,D335,D337,D339,D341,D343,D345,D347,D349,D351,D353,D355,D357,D359,D361,D363,D365,D367,D369,D371,D373,D375,D377)=0,"",N(D328)-(N(D329)+N(D331)+N(D333)+N(D335)+N(D337)+N(D339)+N(D341)+N(D343)+N(D345)+N(D347)+N(D349)+N(D351)+N(D353)+N(D355)+N(D357)+N(D359)+N(D361)+N(D363)+N(D365)+N(D367)+N(D369)+N(D371)+N(D373)+N(D375)+N(D377))),"")</f>
        <v/>
      </c>
      <c r="E379" s="48" t="n">
        <f aca="false">IFERROR(IF(COUNT(E328,E329,E331,E333,E335,E337,E339,E341,E343,E345,E347,E349,E351,E353,E355,E357,E359,E361,E363,E365,E367,E369,E371,E373,E375,E377)=0,"",N(E328)-(N(E329)+N(E331)+N(E333)+N(E335)+N(E337)+N(E339)+N(E341)+N(E343)+N(E345)+N(E347)+N(E349)+N(E351)+N(E353)+N(E355)+N(E357)+N(E359)+N(E361)+N(E363)+N(E365)+N(E367)+N(E369)+N(E371)+N(E373)+N(E375)+N(E377))),"")</f>
        <v>526012</v>
      </c>
      <c r="F379" s="48" t="n">
        <f aca="false">IFERROR(IF(COUNT(F328,F329,F331,F333,F335,F337,F339,F341,F343,F345,F347,F349,F351,F353,F355,F357,F359,F361,F363,F365,F367,F369,F371,F373,F375,F377)=0,"",N(F328)-(N(F329)+N(F331)+N(F333)+N(F335)+N(F337)+N(F339)+N(F341)+N(F343)+N(F345)+N(F347)+N(F349)+N(F351)+N(F353)+N(F355)+N(F357)+N(F359)+N(F361)+N(F363)+N(F365)+N(F367)+N(F369)+N(F371)+N(F373)+N(F375)+N(F377))),"")</f>
        <v>664340</v>
      </c>
      <c r="G379" s="48" t="n">
        <f aca="false">IFERROR(IF(COUNT(G328,G329,G331,G333,G335,G337,G339,G341,G343,G345,G347,G349,G351,G353,G355,G357,G359,G361,G363,G365,G367,G369,G371,G373,G375,G377)=0,"",N(G328)-(N(G329)+N(G331)+N(G333)+N(G335)+N(G337)+N(G339)+N(G341)+N(G343)+N(G345)+N(G347)+N(G349)+N(G351)+N(G353)+N(G355)+N(G357)+N(G359)+N(G361)+N(G363)+N(G365)+N(G367)+N(G369)+N(G371)+N(G373)+N(G375)+N(G377))),"")</f>
        <v>802667</v>
      </c>
      <c r="H379" s="48" t="n">
        <f aca="false">IFERROR(IF(COUNT(H328,H329,H331,H333,H335,H337,H339,H341,H343,H345,H347,H349,H351,H353,H355,H357,H359,H361,H363,H365,H367,H369,H371,H373,H375,H377)=0,"",N(H328)-(N(H329)+N(H331)+N(H333)+N(H335)+N(H337)+N(H339)+N(H341)+N(H343)+N(H345)+N(H347)+N(H349)+N(H351)+N(H353)+N(H355)+N(H357)+N(H359)+N(H361)+N(H363)+N(H365)+N(H367)+N(H369)+N(H371)+N(H373)+N(H375)+N(H377))),"")</f>
        <v>913695</v>
      </c>
      <c r="I379" s="48" t="n">
        <f aca="false">IFERROR(IF(COUNT(I328,I329,I331,I333,I335,I337,I339,I341,I343,I345,I347,I349,I351,I353,I355,I357,I359,I361,I363,I365,I367,I369,I371,I373,I375,I377)=0,"",N(I328)-(N(I329)+N(I331)+N(I333)+N(I335)+N(I337)+N(I339)+N(I341)+N(I343)+N(I345)+N(I347)+N(I349)+N(I351)+N(I353)+N(I355)+N(I357)+N(I359)+N(I361)+N(I363)+N(I365)+N(I367)+N(I369)+N(I371)+N(I373)+N(I375)+N(I377))),"")</f>
        <v>913695</v>
      </c>
      <c r="J379" s="48" t="n">
        <f aca="false">IFERROR(IF(COUNT(J328,J329,J331,J333,J335,J337,J339,J341,J343,J345,J347,J349,J351,J353,J355,J357,J359,J361,J363,J365,J367,J369,J371,J373,J375,J377)=0,"",N(J328)-(N(J329)+N(J331)+N(J333)+N(J335)+N(J337)+N(J339)+N(J341)+N(J343)+N(J345)+N(J347)+N(J349)+N(J351)+N(J353)+N(J355)+N(J357)+N(J359)+N(J361)+N(J363)+N(J365)+N(J367)+N(J369)+N(J371)+N(J373)+N(J375)+N(J377))),"")</f>
        <v>913695</v>
      </c>
      <c r="K379" s="48" t="n">
        <f aca="false">IFERROR(IF(COUNT(K328,K329,K331,K333,K335,K337,K339,K341,K343,K345,K347,K349,K351,K353,K355,K357,K359,K361,K363,K365,K367,K369,K371,K373,K375,K377)=0,"",N(K328)-(N(K329)+N(K331)+N(K333)+N(K335)+N(K337)+N(K339)+N(K341)+N(K343)+N(K345)+N(K347)+N(K349)+N(K351)+N(K353)+N(K355)+N(K357)+N(K359)+N(K361)+N(K363)+N(K365)+N(K367)+N(K369)+N(K371)+N(K373)+N(K375)+N(K377))),"")</f>
        <v>913695</v>
      </c>
      <c r="L379" s="48" t="n">
        <f aca="false">IFERROR(IF(COUNT(L328,L329,L331,L333,L335,L337,L339,L341,L343,L345,L347,L349,L351,L353,L355,L357,L359,L361,L363,L365,L367,L369,L371,L373,L375,L377)=0,"",N(L328)-(N(L329)+N(L331)+N(L333)+N(L335)+N(L337)+N(L339)+N(L341)+N(L343)+N(L345)+N(L347)+N(L349)+N(L351)+N(L353)+N(L355)+N(L357)+N(L359)+N(L361)+N(L363)+N(L365)+N(L367)+N(L369)+N(L371)+N(L373)+N(L375)+N(L377))),"")</f>
        <v>913695</v>
      </c>
      <c r="M379" s="48" t="n">
        <f aca="false">IFERROR(IF(COUNT(M328,M329,M331,M333,M335,M337,M339,M341,M343,M345,M347,M349,M351,M353,M355,M357,M359,M361,M363,M365,M367,M369,M371,M373,M375,M377)=0,"",N(M328)-(N(M329)+N(M331)+N(M333)+N(M335)+N(M337)+N(M339)+N(M341)+N(M343)+N(M345)+N(M347)+N(M349)+N(M351)+N(M353)+N(M355)+N(M357)+N(M359)+N(M361)+N(M363)+N(M365)+N(M367)+N(M369)+N(M371)+N(M373)+N(M375)+N(M377))),"")</f>
        <v>913695</v>
      </c>
      <c r="N379" s="48" t="n">
        <f aca="false">IFERROR(IF(COUNT(N328,N329,N331,N333,N335,N337,N339,N341,N343,N345,N347,N349,N351,N353,N355,N357,N359,N361,N363,N365,N367,N369,N371,N373,N375,N377)=0,"",N(N328)-(N(N329)+N(N331)+N(N333)+N(N335)+N(N337)+N(N339)+N(N341)+N(N343)+N(N345)+N(N347)+N(N349)+N(N351)+N(N353)+N(N355)+N(N357)+N(N359)+N(N361)+N(N363)+N(N365)+N(N367)+N(N369)+N(N371)+N(N373)+N(N375)+N(N377))),"")</f>
        <v>913695</v>
      </c>
      <c r="O379" s="54" t="n">
        <f aca="false">IF(COUNT(D379:N379)=0,"",SUM(D379:N379))</f>
        <v>8388884</v>
      </c>
    </row>
    <row r="381" customFormat="false" ht="15" hidden="false" customHeight="false" outlineLevel="0" collapsed="false">
      <c r="A381" s="101" t="s">
        <v>1994</v>
      </c>
      <c r="B381" s="102"/>
      <c r="C381" s="102"/>
      <c r="D381" s="102"/>
      <c r="E381" s="102"/>
      <c r="F381" s="102"/>
      <c r="G381" s="102"/>
      <c r="H381" s="102"/>
      <c r="I381" s="102"/>
      <c r="J381" s="102"/>
      <c r="K381" s="102"/>
      <c r="L381" s="102"/>
      <c r="M381" s="102"/>
      <c r="N381" s="102"/>
      <c r="O381" s="102"/>
      <c r="P381" s="102"/>
    </row>
    <row r="382" customFormat="false" ht="24" hidden="false" customHeight="true" outlineLevel="0" collapsed="false">
      <c r="A382" s="14"/>
      <c r="B382" s="14" t="s">
        <v>1530</v>
      </c>
      <c r="C382" s="14" t="s">
        <v>355</v>
      </c>
      <c r="D382" s="14" t="s">
        <v>1857</v>
      </c>
      <c r="E382" s="14" t="s">
        <v>452</v>
      </c>
      <c r="F382" s="14" t="s">
        <v>453</v>
      </c>
      <c r="G382" s="14" t="s">
        <v>454</v>
      </c>
      <c r="H382" s="14" t="s">
        <v>455</v>
      </c>
      <c r="I382" s="14" t="s">
        <v>456</v>
      </c>
      <c r="J382" s="14" t="s">
        <v>457</v>
      </c>
      <c r="K382" s="14" t="s">
        <v>458</v>
      </c>
      <c r="L382" s="14" t="s">
        <v>459</v>
      </c>
      <c r="M382" s="14" t="s">
        <v>460</v>
      </c>
      <c r="N382" s="14" t="s">
        <v>461</v>
      </c>
      <c r="O382" s="14" t="s">
        <v>549</v>
      </c>
      <c r="P382" s="14" t="s">
        <v>1822</v>
      </c>
    </row>
    <row r="383" customFormat="false" ht="15" hidden="false" customHeight="false" outlineLevel="0" collapsed="false">
      <c r="B383" s="11" t="s">
        <v>1993</v>
      </c>
      <c r="D383" s="86" t="str">
        <f aca="false">IF(OR(n_Fecha1="",IF(cu_P=1,P_Inicio,V_Inicio)=1),"",YEAR(n_Fecha1))</f>
        <v/>
      </c>
      <c r="E383" s="86" t="str">
        <f aca="false">IF(n_Fecha1="","",YEAR(EOMONTH(n_Fecha1,IF(cu_P=1,P_Inicio,V_Inicio)-1+0)))</f>
        <v/>
      </c>
      <c r="F383" s="86" t="str">
        <f aca="false">IF(n_Fecha1="","",YEAR(EOMONTH(n_Fecha1,IF(cu_P=1,P_Inicio,V_Inicio)-1+12)))</f>
        <v/>
      </c>
      <c r="G383" s="86" t="str">
        <f aca="false">IF(n_Fecha1="","",YEAR(EOMONTH(n_Fecha1,IF(cu_P=1,P_Inicio,V_Inicio)-1+24)))</f>
        <v/>
      </c>
      <c r="H383" s="86" t="str">
        <f aca="false">IF(n_Fecha1="","",YEAR(EOMONTH(n_Fecha1,IF(cu_P=1,P_Inicio,V_Inicio)-1+36)))</f>
        <v/>
      </c>
      <c r="I383" s="86" t="str">
        <f aca="false">IF(n_Fecha1="","",YEAR(EOMONTH(n_Fecha1,IF(cu_P=1,P_Inicio,V_Inicio)-1+48)))</f>
        <v/>
      </c>
      <c r="J383" s="86" t="str">
        <f aca="false">IF(n_Fecha1="","",YEAR(EOMONTH(n_Fecha1,IF(cu_P=1,P_Inicio,V_Inicio)-1+60)))</f>
        <v/>
      </c>
      <c r="K383" s="86" t="str">
        <f aca="false">IF(n_Fecha1="","",YEAR(EOMONTH(n_Fecha1,IF(cu_P=1,P_Inicio,V_Inicio)-1+72)))</f>
        <v/>
      </c>
      <c r="L383" s="86" t="str">
        <f aca="false">IF(n_Fecha1="","",YEAR(EOMONTH(n_Fecha1,IF(cu_P=1,P_Inicio,V_Inicio)-1+84)))</f>
        <v/>
      </c>
      <c r="M383" s="86" t="str">
        <f aca="false">IF(n_Fecha1="","",YEAR(EOMONTH(n_Fecha1,IF(cu_P=1,P_Inicio,V_Inicio)-1+96)))</f>
        <v/>
      </c>
      <c r="N383" s="86" t="str">
        <f aca="false">IF(n_Fecha1="","",YEAR(EOMONTH(n_Fecha1,IF(cu_P=1,P_Inicio,V_Inicio)-1+108)))</f>
        <v/>
      </c>
    </row>
    <row r="384" customFormat="false" ht="15" hidden="false" customHeight="false" outlineLevel="0" collapsed="false">
      <c r="A384" s="13"/>
      <c r="B384" s="100" t="s">
        <v>2082</v>
      </c>
      <c r="C384" s="13"/>
      <c r="D384" s="13"/>
      <c r="E384" s="13"/>
      <c r="F384" s="13"/>
      <c r="G384" s="13"/>
      <c r="H384" s="13"/>
      <c r="I384" s="13"/>
      <c r="J384" s="13"/>
      <c r="K384" s="13"/>
      <c r="L384" s="13"/>
      <c r="M384" s="13"/>
      <c r="N384" s="13"/>
      <c r="O384" s="13"/>
      <c r="P384" s="13"/>
    </row>
    <row r="385" customFormat="false" ht="15" hidden="false" customHeight="false" outlineLevel="0" collapsed="false">
      <c r="A385" s="11" t="s">
        <v>2083</v>
      </c>
      <c r="B385" s="67" t="s">
        <v>2084</v>
      </c>
      <c r="C385" s="11" t="s">
        <v>508</v>
      </c>
      <c r="D385" s="54" t="str">
        <f aca="false">IF(OR(NOT(ISNUMBER(D9)),NOT(ISNUMBER(D197))),"",D9-D197)</f>
        <v/>
      </c>
      <c r="E385" s="54" t="n">
        <f aca="false">IF(OR(NOT(ISNUMBER(E9)),NOT(ISNUMBER(E197))),"",E9-E197)</f>
        <v>0</v>
      </c>
      <c r="F385" s="54" t="n">
        <f aca="false">IF(OR(NOT(ISNUMBER(F9)),NOT(ISNUMBER(F197))),"",F9-F197)</f>
        <v>-0.5</v>
      </c>
      <c r="G385" s="54" t="n">
        <f aca="false">IF(OR(NOT(ISNUMBER(G9)),NOT(ISNUMBER(G197))),"",G9-G197)</f>
        <v>8232.28000000026</v>
      </c>
      <c r="H385" s="54" t="n">
        <f aca="false">IF(OR(NOT(ISNUMBER(H9)),NOT(ISNUMBER(H197))),"",H9-H197)</f>
        <v>18051.5798499999</v>
      </c>
      <c r="I385" s="54" t="n">
        <f aca="false">IF(OR(NOT(ISNUMBER(I9)),NOT(ISNUMBER(I197))),"",I9-I197)</f>
        <v>27213.4356485</v>
      </c>
      <c r="J385" s="54" t="n">
        <f aca="false">IF(OR(NOT(ISNUMBER(J9)),NOT(ISNUMBER(J197))),"",J9-J197)</f>
        <v>36465.7300049849</v>
      </c>
      <c r="K385" s="54" t="n">
        <f aca="false">IF(OR(NOT(ISNUMBER(K9)),NOT(ISNUMBER(K197))),"",K9-K197)</f>
        <v>45812.1673050351</v>
      </c>
      <c r="L385" s="54" t="n">
        <f aca="false">IF(OR(NOT(ISNUMBER(L9)),NOT(ISNUMBER(L197))),"",L9-L197)</f>
        <v>55250.4789780849</v>
      </c>
      <c r="M385" s="54" t="n">
        <f aca="false">IF(OR(NOT(ISNUMBER(M9)),NOT(ISNUMBER(M197))),"",M9-M197)</f>
        <v>64784.4237678661</v>
      </c>
      <c r="N385" s="54" t="n">
        <f aca="false">IF(OR(NOT(ISNUMBER(N9)),NOT(ISNUMBER(N197))),"",N9-N197)</f>
        <v>74412.7880055448</v>
      </c>
      <c r="O385" s="54" t="n">
        <f aca="false">IF(OR(NOT(ISNUMBER(O9)),NOT(ISNUMBER(O197))),"",O9-O197)</f>
        <v>330222.383560017</v>
      </c>
      <c r="P385" s="11" t="str">
        <f aca="false">IF(COUNT(D385:N385)=0,"",IF(AND(MAX(D385:N385)&lt;2,MIN(D385:N385)&gt;-2),"Sin diferencia","C2 materia prima: 1% acumulativo también en las cajas (el plan no lo aplica desde el año 3)."))</f>
        <v>C2 materia prima: 1% acumulativo también en las cajas (el plan no lo aplica desde el año 3).</v>
      </c>
    </row>
    <row r="386" customFormat="false" ht="15" hidden="false" customHeight="false" outlineLevel="0" collapsed="false">
      <c r="A386" s="11" t="s">
        <v>2085</v>
      </c>
      <c r="B386" s="53" t="str">
        <f aca="false">IF(INDEX(Prod_Nombre,1)="","Producto 1",INDEX(Prod_Nombre,1))</f>
        <v>Gabinetes metálicos 153 kg</v>
      </c>
      <c r="C386" s="11" t="s">
        <v>508</v>
      </c>
      <c r="D386" s="48" t="str">
        <f aca="false">IF(OR(NOT(ISNUMBER(D10)),NOT(ISNUMBER(D198))),"",D10-D198)</f>
        <v/>
      </c>
      <c r="E386" s="48" t="n">
        <f aca="false">IF(OR(NOT(ISNUMBER(E10)),NOT(ISNUMBER(E198))),"",E10-E198)</f>
        <v>0</v>
      </c>
      <c r="F386" s="48" t="n">
        <f aca="false">IF(OR(NOT(ISNUMBER(F10)),NOT(ISNUMBER(F198))),"",F10-F198)</f>
        <v>-0.5</v>
      </c>
      <c r="G386" s="48" t="n">
        <f aca="false">IF(OR(NOT(ISNUMBER(G10)),NOT(ISNUMBER(G198))),"",G10-G198)</f>
        <v>-0.229999999981374</v>
      </c>
      <c r="H386" s="48" t="n">
        <f aca="false">IF(OR(NOT(ISNUMBER(H10)),NOT(ISNUMBER(H198))),"",H10-H198)</f>
        <v>-0.0693500000052154</v>
      </c>
      <c r="I386" s="48" t="n">
        <f aca="false">IF(OR(NOT(ISNUMBER(I10)),NOT(ISNUMBER(I198))),"",I10-I198)</f>
        <v>0.349956500343978</v>
      </c>
      <c r="J386" s="48" t="n">
        <f aca="false">IF(OR(NOT(ISNUMBER(J10)),NOT(ISNUMBER(J198))),"",J10-J198)</f>
        <v>-0.406543934950605</v>
      </c>
      <c r="K386" s="48" t="n">
        <f aca="false">IF(OR(NOT(ISNUMBER(K10)),NOT(ISNUMBER(K198))),"",K10-K198)</f>
        <v>0.449390625813976</v>
      </c>
      <c r="L386" s="48" t="n">
        <f aca="false">IF(OR(NOT(ISNUMBER(L10)),NOT(ISNUMBER(L198))),"",L10-L198)</f>
        <v>-0.276115468237549</v>
      </c>
      <c r="M386" s="48" t="n">
        <f aca="false">IF(OR(NOT(ISNUMBER(M10)),NOT(ISNUMBER(M198))),"",M10-M198)</f>
        <v>0.241123377345502</v>
      </c>
      <c r="N386" s="48" t="n">
        <f aca="false">IF(OR(NOT(ISNUMBER(N10)),NOT(ISNUMBER(N198))),"",N10-N198)</f>
        <v>-0.156465388834476</v>
      </c>
      <c r="O386" s="54" t="n">
        <f aca="false">IF(OR(NOT(ISNUMBER(O10)),NOT(ISNUMBER(O198))),"",O10-O198)</f>
        <v>-0.598004288971424</v>
      </c>
      <c r="P386" s="11" t="str">
        <f aca="false">IF(COUNT(D386:N386)=0,"",IF(AND(MAX(D386:N386)&lt;2,MIN(D386:N386)&gt;-2),"Sin diferencia","Diferencia a explicar"))</f>
        <v>Sin diferencia</v>
      </c>
    </row>
    <row r="387" customFormat="false" ht="15" hidden="false" customHeight="false" outlineLevel="0" collapsed="false">
      <c r="A387" s="11" t="s">
        <v>2086</v>
      </c>
      <c r="B387" s="15" t="s">
        <v>2087</v>
      </c>
      <c r="C387" s="11" t="s">
        <v>748</v>
      </c>
      <c r="E387" s="50" t="n">
        <f aca="false">IF(OR(NOT(ISNUMBER(E11)),NOT(ISNUMBER(E199))),"",E11-E199)</f>
        <v>0</v>
      </c>
      <c r="F387" s="50" t="n">
        <f aca="false">IF(OR(NOT(ISNUMBER(F11)),NOT(ISNUMBER(F199))),"",F11-F199)</f>
        <v>-3.33333333344399E-005</v>
      </c>
      <c r="G387" s="50" t="n">
        <f aca="false">IF(OR(NOT(ISNUMBER(G11)),NOT(ISNUMBER(G199))),"",G11-G199)</f>
        <v>-1.27777777692017E-005</v>
      </c>
      <c r="H387" s="50" t="n">
        <f aca="false">IF(OR(NOT(ISNUMBER(H11)),NOT(ISNUMBER(H199))),"",H11-H199)</f>
        <v>-3.30238094647939E-006</v>
      </c>
      <c r="I387" s="50" t="n">
        <f aca="false">IF(OR(NOT(ISNUMBER(I11)),NOT(ISNUMBER(I199))),"",I11-I199)</f>
        <v>1.66645952504041E-005</v>
      </c>
      <c r="J387" s="50" t="n">
        <f aca="false">IF(OR(NOT(ISNUMBER(J11)),NOT(ISNUMBER(J199))),"",J11-J199)</f>
        <v>-1.9359234997296E-005</v>
      </c>
      <c r="K387" s="50" t="n">
        <f aca="false">IF(OR(NOT(ISNUMBER(K11)),NOT(ISNUMBER(K199))),"",K11-K199)</f>
        <v>2.13995536029188E-005</v>
      </c>
      <c r="L387" s="50" t="n">
        <f aca="false">IF(OR(NOT(ISNUMBER(L11)),NOT(ISNUMBER(L199))),"",L11-L199)</f>
        <v>-1.31483556202738E-005</v>
      </c>
      <c r="M387" s="50" t="n">
        <f aca="false">IF(OR(NOT(ISNUMBER(M11)),NOT(ISNUMBER(M199))),"",M11-M199)</f>
        <v>1.14820655880976E-005</v>
      </c>
      <c r="N387" s="50" t="n">
        <f aca="false">IF(OR(NOT(ISNUMBER(N11)),NOT(ISNUMBER(N199))),"",N11-N199)</f>
        <v>-7.45073280938868E-006</v>
      </c>
      <c r="O387" s="68" t="n">
        <f aca="false">IF(OR(NOT(ISNUMBER(O11)),NOT(ISNUMBER(O199))),"",O11-O199)</f>
        <v>-3.11460566138067E-006</v>
      </c>
      <c r="P387" s="11" t="str">
        <f aca="false">IF(COUNT(D387:N387)=0,"",IF(AND(MAX(D387:N387)&lt;0.005,MIN(D387:N387)&gt;-0.005),"Sin diferencia","Diferencia a explicar"))</f>
        <v>Sin diferencia</v>
      </c>
    </row>
    <row r="388" customFormat="false" ht="15" hidden="false" customHeight="false" outlineLevel="0" collapsed="false">
      <c r="A388" s="11" t="s">
        <v>2088</v>
      </c>
      <c r="B388" s="15" t="s">
        <v>2089</v>
      </c>
      <c r="C388" s="11" t="s">
        <v>544</v>
      </c>
      <c r="D388" s="48" t="str">
        <f aca="false">IF(OR(NOT(ISNUMBER(D12)),NOT(ISNUMBER(D200))),"",D12-D200)</f>
        <v/>
      </c>
      <c r="E388" s="48" t="n">
        <f aca="false">IF(OR(NOT(ISNUMBER(E12)),NOT(ISNUMBER(E200))),"",E12-E200)</f>
        <v>0</v>
      </c>
      <c r="F388" s="48" t="n">
        <f aca="false">IF(OR(NOT(ISNUMBER(F12)),NOT(ISNUMBER(F200))),"",F12-F200)</f>
        <v>0</v>
      </c>
      <c r="G388" s="48" t="n">
        <f aca="false">IF(OR(NOT(ISNUMBER(G12)),NOT(ISNUMBER(G200))),"",G12-G200)</f>
        <v>0</v>
      </c>
      <c r="H388" s="48" t="n">
        <f aca="false">IF(OR(NOT(ISNUMBER(H12)),NOT(ISNUMBER(H200))),"",H12-H200)</f>
        <v>0</v>
      </c>
      <c r="I388" s="48" t="n">
        <f aca="false">IF(OR(NOT(ISNUMBER(I12)),NOT(ISNUMBER(I200))),"",I12-I200)</f>
        <v>0</v>
      </c>
      <c r="J388" s="48" t="n">
        <f aca="false">IF(OR(NOT(ISNUMBER(J12)),NOT(ISNUMBER(J200))),"",J12-J200)</f>
        <v>0</v>
      </c>
      <c r="K388" s="48" t="n">
        <f aca="false">IF(OR(NOT(ISNUMBER(K12)),NOT(ISNUMBER(K200))),"",K12-K200)</f>
        <v>0</v>
      </c>
      <c r="L388" s="48" t="n">
        <f aca="false">IF(OR(NOT(ISNUMBER(L12)),NOT(ISNUMBER(L200))),"",L12-L200)</f>
        <v>0</v>
      </c>
      <c r="M388" s="48" t="n">
        <f aca="false">IF(OR(NOT(ISNUMBER(M12)),NOT(ISNUMBER(M200))),"",M12-M200)</f>
        <v>0</v>
      </c>
      <c r="N388" s="48" t="n">
        <f aca="false">IF(OR(NOT(ISNUMBER(N12)),NOT(ISNUMBER(N200))),"",N12-N200)</f>
        <v>0</v>
      </c>
      <c r="O388" s="54" t="n">
        <f aca="false">IF(OR(NOT(ISNUMBER(O12)),NOT(ISNUMBER(O200))),"",O12-O200)</f>
        <v>0</v>
      </c>
      <c r="P388" s="11" t="str">
        <f aca="false">IF(COUNT(D388:N388)=0,"",IF(AND(MAX(D388:N388)&lt;2,MIN(D388:N388)&gt;-2),"Sin diferencia","Diferencia a explicar"))</f>
        <v>Sin diferencia</v>
      </c>
    </row>
    <row r="389" customFormat="false" ht="15" hidden="false" customHeight="false" outlineLevel="0" collapsed="false">
      <c r="A389" s="11" t="s">
        <v>2090</v>
      </c>
      <c r="B389" s="53" t="str">
        <f aca="false">IF(INDEX(Prod_Nombre,2)="","Producto 2",INDEX(Prod_Nombre,2))</f>
        <v>Cajas metálicas 13 kg</v>
      </c>
      <c r="C389" s="11" t="s">
        <v>508</v>
      </c>
      <c r="D389" s="48" t="str">
        <f aca="false">IF(OR(NOT(ISNUMBER(D13)),NOT(ISNUMBER(D201))),"",D13-D201)</f>
        <v/>
      </c>
      <c r="E389" s="48" t="n">
        <f aca="false">IF(OR(NOT(ISNUMBER(E13)),NOT(ISNUMBER(E201))),"",E13-E201)</f>
        <v>0</v>
      </c>
      <c r="F389" s="48" t="n">
        <f aca="false">IF(OR(NOT(ISNUMBER(F13)),NOT(ISNUMBER(F201))),"",F13-F201)</f>
        <v>0</v>
      </c>
      <c r="G389" s="48" t="n">
        <f aca="false">IF(OR(NOT(ISNUMBER(G13)),NOT(ISNUMBER(G201))),"",G13-G201)</f>
        <v>8232.51000000001</v>
      </c>
      <c r="H389" s="48" t="n">
        <f aca="false">IF(OR(NOT(ISNUMBER(H13)),NOT(ISNUMBER(H201))),"",H13-H201)</f>
        <v>18051.6491999999</v>
      </c>
      <c r="I389" s="48" t="n">
        <f aca="false">IF(OR(NOT(ISNUMBER(I13)),NOT(ISNUMBER(I201))),"",I13-I201)</f>
        <v>27213.085692</v>
      </c>
      <c r="J389" s="48" t="n">
        <f aca="false">IF(OR(NOT(ISNUMBER(J13)),NOT(ISNUMBER(J201))),"",J13-J201)</f>
        <v>36466.13654892</v>
      </c>
      <c r="K389" s="48" t="n">
        <f aca="false">IF(OR(NOT(ISNUMBER(K13)),NOT(ISNUMBER(K201))),"",K13-K201)</f>
        <v>45811.7179144091</v>
      </c>
      <c r="L389" s="48" t="n">
        <f aca="false">IF(OR(NOT(ISNUMBER(L13)),NOT(ISNUMBER(L201))),"",L13-L201)</f>
        <v>55250.7550935531</v>
      </c>
      <c r="M389" s="48" t="n">
        <f aca="false">IF(OR(NOT(ISNUMBER(M13)),NOT(ISNUMBER(M201))),"",M13-M201)</f>
        <v>64784.1826444888</v>
      </c>
      <c r="N389" s="48" t="n">
        <f aca="false">IF(OR(NOT(ISNUMBER(N13)),NOT(ISNUMBER(N201))),"",N13-N201)</f>
        <v>74412.9444709338</v>
      </c>
      <c r="O389" s="54" t="n">
        <f aca="false">IF(OR(NOT(ISNUMBER(O13)),NOT(ISNUMBER(O201))),"",O13-O201)</f>
        <v>330222.981564306</v>
      </c>
      <c r="P389" s="11" t="str">
        <f aca="false">IF(COUNT(D389:N389)=0,"",IF(AND(MAX(D389:N389)&lt;2,MIN(D389:N389)&gt;-2),"Sin diferencia","C2 materia prima: 1% acumulativo también en las cajas (el plan no lo aplica desde el año 3)."))</f>
        <v>C2 materia prima: 1% acumulativo también en las cajas (el plan no lo aplica desde el año 3).</v>
      </c>
    </row>
    <row r="390" customFormat="false" ht="15" hidden="false" customHeight="false" outlineLevel="0" collapsed="false">
      <c r="A390" s="11" t="s">
        <v>2091</v>
      </c>
      <c r="B390" s="15" t="s">
        <v>2087</v>
      </c>
      <c r="C390" s="11" t="s">
        <v>748</v>
      </c>
      <c r="E390" s="50" t="n">
        <f aca="false">IF(OR(NOT(ISNUMBER(E14)),NOT(ISNUMBER(E202))),"",E14-E202)</f>
        <v>0</v>
      </c>
      <c r="F390" s="50" t="n">
        <f aca="false">IF(OR(NOT(ISNUMBER(F14)),NOT(ISNUMBER(F202))),"",F14-F202)</f>
        <v>0</v>
      </c>
      <c r="G390" s="50" t="n">
        <f aca="false">IF(OR(NOT(ISNUMBER(G14)),NOT(ISNUMBER(G202))),"",G14-G202)</f>
        <v>0.0748410000000002</v>
      </c>
      <c r="H390" s="50" t="n">
        <f aca="false">IF(OR(NOT(ISNUMBER(H14)),NOT(ISNUMBER(H202))),"",H14-H202)</f>
        <v>0.150430409999999</v>
      </c>
      <c r="I390" s="50" t="n">
        <f aca="false">IF(OR(NOT(ISNUMBER(I14)),NOT(ISNUMBER(I202))),"",I14-I202)</f>
        <v>0.2267757141</v>
      </c>
      <c r="J390" s="50" t="n">
        <f aca="false">IF(OR(NOT(ISNUMBER(J14)),NOT(ISNUMBER(J202))),"",J14-J202)</f>
        <v>0.303884471241</v>
      </c>
      <c r="K390" s="50" t="n">
        <f aca="false">IF(OR(NOT(ISNUMBER(K14)),NOT(ISNUMBER(K202))),"",K14-K202)</f>
        <v>0.38176431595341</v>
      </c>
      <c r="L390" s="50" t="n">
        <f aca="false">IF(OR(NOT(ISNUMBER(L14)),NOT(ISNUMBER(L202))),"",L14-L202)</f>
        <v>0.460422959112943</v>
      </c>
      <c r="M390" s="50" t="n">
        <f aca="false">IF(OR(NOT(ISNUMBER(M14)),NOT(ISNUMBER(M202))),"",M14-M202)</f>
        <v>0.539868188704073</v>
      </c>
      <c r="N390" s="50" t="n">
        <f aca="false">IF(OR(NOT(ISNUMBER(N14)),NOT(ISNUMBER(N202))),"",N14-N202)</f>
        <v>0.620107870591115</v>
      </c>
      <c r="O390" s="68" t="n">
        <f aca="false">IF(OR(NOT(ISNUMBER(O14)),NOT(ISNUMBER(O202))),"",O14-O202)</f>
        <v>0.297498181589464</v>
      </c>
      <c r="P390" s="11" t="str">
        <f aca="false">IF(COUNT(D390:N390)=0,"",IF(AND(MAX(D390:N390)&lt;0.005,MIN(D390:N390)&gt;-0.005),"Sin diferencia","C2 materia prima: 1% acumulativo también en las cajas (el plan no lo aplica desde el año 3)."))</f>
        <v>C2 materia prima: 1% acumulativo también en las cajas (el plan no lo aplica desde el año 3).</v>
      </c>
    </row>
    <row r="391" customFormat="false" ht="15" hidden="false" customHeight="false" outlineLevel="0" collapsed="false">
      <c r="A391" s="11" t="s">
        <v>2092</v>
      </c>
      <c r="B391" s="15" t="s">
        <v>2089</v>
      </c>
      <c r="C391" s="11" t="s">
        <v>544</v>
      </c>
      <c r="D391" s="48" t="str">
        <f aca="false">IF(OR(NOT(ISNUMBER(D15)),NOT(ISNUMBER(D203))),"",D15-D203)</f>
        <v/>
      </c>
      <c r="E391" s="48" t="n">
        <f aca="false">IF(OR(NOT(ISNUMBER(E15)),NOT(ISNUMBER(E203))),"",E15-E203)</f>
        <v>0</v>
      </c>
      <c r="F391" s="48" t="n">
        <f aca="false">IF(OR(NOT(ISNUMBER(F15)),NOT(ISNUMBER(F203))),"",F15-F203)</f>
        <v>0</v>
      </c>
      <c r="G391" s="48" t="n">
        <f aca="false">IF(OR(NOT(ISNUMBER(G15)),NOT(ISNUMBER(G203))),"",G15-G203)</f>
        <v>0</v>
      </c>
      <c r="H391" s="48" t="n">
        <f aca="false">IF(OR(NOT(ISNUMBER(H15)),NOT(ISNUMBER(H203))),"",H15-H203)</f>
        <v>0</v>
      </c>
      <c r="I391" s="48" t="n">
        <f aca="false">IF(OR(NOT(ISNUMBER(I15)),NOT(ISNUMBER(I203))),"",I15-I203)</f>
        <v>0</v>
      </c>
      <c r="J391" s="48" t="n">
        <f aca="false">IF(OR(NOT(ISNUMBER(J15)),NOT(ISNUMBER(J203))),"",J15-J203)</f>
        <v>0</v>
      </c>
      <c r="K391" s="48" t="n">
        <f aca="false">IF(OR(NOT(ISNUMBER(K15)),NOT(ISNUMBER(K203))),"",K15-K203)</f>
        <v>0</v>
      </c>
      <c r="L391" s="48" t="n">
        <f aca="false">IF(OR(NOT(ISNUMBER(L15)),NOT(ISNUMBER(L203))),"",L15-L203)</f>
        <v>0</v>
      </c>
      <c r="M391" s="48" t="n">
        <f aca="false">IF(OR(NOT(ISNUMBER(M15)),NOT(ISNUMBER(M203))),"",M15-M203)</f>
        <v>0</v>
      </c>
      <c r="N391" s="48" t="n">
        <f aca="false">IF(OR(NOT(ISNUMBER(N15)),NOT(ISNUMBER(N203))),"",N15-N203)</f>
        <v>0</v>
      </c>
      <c r="O391" s="54" t="n">
        <f aca="false">IF(OR(NOT(ISNUMBER(O15)),NOT(ISNUMBER(O203))),"",O15-O203)</f>
        <v>0</v>
      </c>
      <c r="P391" s="11" t="str">
        <f aca="false">IF(COUNT(D391:N391)=0,"",IF(AND(MAX(D391:N391)&lt;2,MIN(D391:N391)&gt;-2),"Sin diferencia","Diferencia a explicar"))</f>
        <v>Sin diferencia</v>
      </c>
    </row>
    <row r="392" customFormat="false" ht="15" hidden="true" customHeight="false" outlineLevel="1" collapsed="false">
      <c r="A392" s="11" t="s">
        <v>2093</v>
      </c>
      <c r="B392" s="53" t="str">
        <f aca="false">IF(INDEX(Prod_Nombre,3)="","Producto 3",INDEX(Prod_Nombre,3))</f>
        <v>Producto 3</v>
      </c>
      <c r="C392" s="11" t="s">
        <v>508</v>
      </c>
      <c r="D392" s="48" t="str">
        <f aca="false">IF(OR(NOT(ISNUMBER(D16)),NOT(ISNUMBER(D204))),"",D16-D204)</f>
        <v/>
      </c>
      <c r="E392" s="48" t="str">
        <f aca="false">IF(OR(NOT(ISNUMBER(E16)),NOT(ISNUMBER(E204))),"",E16-E204)</f>
        <v/>
      </c>
      <c r="F392" s="48" t="str">
        <f aca="false">IF(OR(NOT(ISNUMBER(F16)),NOT(ISNUMBER(F204))),"",F16-F204)</f>
        <v/>
      </c>
      <c r="G392" s="48" t="str">
        <f aca="false">IF(OR(NOT(ISNUMBER(G16)),NOT(ISNUMBER(G204))),"",G16-G204)</f>
        <v/>
      </c>
      <c r="H392" s="48" t="str">
        <f aca="false">IF(OR(NOT(ISNUMBER(H16)),NOT(ISNUMBER(H204))),"",H16-H204)</f>
        <v/>
      </c>
      <c r="I392" s="48" t="str">
        <f aca="false">IF(OR(NOT(ISNUMBER(I16)),NOT(ISNUMBER(I204))),"",I16-I204)</f>
        <v/>
      </c>
      <c r="J392" s="48" t="str">
        <f aca="false">IF(OR(NOT(ISNUMBER(J16)),NOT(ISNUMBER(J204))),"",J16-J204)</f>
        <v/>
      </c>
      <c r="K392" s="48" t="str">
        <f aca="false">IF(OR(NOT(ISNUMBER(K16)),NOT(ISNUMBER(K204))),"",K16-K204)</f>
        <v/>
      </c>
      <c r="L392" s="48" t="str">
        <f aca="false">IF(OR(NOT(ISNUMBER(L16)),NOT(ISNUMBER(L204))),"",L16-L204)</f>
        <v/>
      </c>
      <c r="M392" s="48" t="str">
        <f aca="false">IF(OR(NOT(ISNUMBER(M16)),NOT(ISNUMBER(M204))),"",M16-M204)</f>
        <v/>
      </c>
      <c r="N392" s="48" t="str">
        <f aca="false">IF(OR(NOT(ISNUMBER(N16)),NOT(ISNUMBER(N204))),"",N16-N204)</f>
        <v/>
      </c>
      <c r="O392" s="54" t="str">
        <f aca="false">IF(OR(NOT(ISNUMBER(O16)),NOT(ISNUMBER(O204))),"",O16-O204)</f>
        <v/>
      </c>
      <c r="P392" s="11" t="str">
        <f aca="false">IF(COUNT(D392:N392)=0,"",IF(AND(MAX(D392:N392)&lt;2,MIN(D392:N392)&gt;-2),"Sin diferencia","Diferencia a explicar"))</f>
        <v/>
      </c>
    </row>
    <row r="393" customFormat="false" ht="15" hidden="true" customHeight="false" outlineLevel="1" collapsed="false">
      <c r="A393" s="11" t="s">
        <v>2094</v>
      </c>
      <c r="B393" s="15" t="s">
        <v>2087</v>
      </c>
      <c r="C393" s="11" t="s">
        <v>748</v>
      </c>
      <c r="E393" s="50" t="str">
        <f aca="false">IF(OR(NOT(ISNUMBER(E17)),NOT(ISNUMBER(E205))),"",E17-E205)</f>
        <v/>
      </c>
      <c r="F393" s="50" t="str">
        <f aca="false">IF(OR(NOT(ISNUMBER(F17)),NOT(ISNUMBER(F205))),"",F17-F205)</f>
        <v/>
      </c>
      <c r="G393" s="50" t="str">
        <f aca="false">IF(OR(NOT(ISNUMBER(G17)),NOT(ISNUMBER(G205))),"",G17-G205)</f>
        <v/>
      </c>
      <c r="H393" s="50" t="str">
        <f aca="false">IF(OR(NOT(ISNUMBER(H17)),NOT(ISNUMBER(H205))),"",H17-H205)</f>
        <v/>
      </c>
      <c r="I393" s="50" t="str">
        <f aca="false">IF(OR(NOT(ISNUMBER(I17)),NOT(ISNUMBER(I205))),"",I17-I205)</f>
        <v/>
      </c>
      <c r="J393" s="50" t="str">
        <f aca="false">IF(OR(NOT(ISNUMBER(J17)),NOT(ISNUMBER(J205))),"",J17-J205)</f>
        <v/>
      </c>
      <c r="K393" s="50" t="str">
        <f aca="false">IF(OR(NOT(ISNUMBER(K17)),NOT(ISNUMBER(K205))),"",K17-K205)</f>
        <v/>
      </c>
      <c r="L393" s="50" t="str">
        <f aca="false">IF(OR(NOT(ISNUMBER(L17)),NOT(ISNUMBER(L205))),"",L17-L205)</f>
        <v/>
      </c>
      <c r="M393" s="50" t="str">
        <f aca="false">IF(OR(NOT(ISNUMBER(M17)),NOT(ISNUMBER(M205))),"",M17-M205)</f>
        <v/>
      </c>
      <c r="N393" s="50" t="str">
        <f aca="false">IF(OR(NOT(ISNUMBER(N17)),NOT(ISNUMBER(N205))),"",N17-N205)</f>
        <v/>
      </c>
      <c r="O393" s="68" t="str">
        <f aca="false">IF(OR(NOT(ISNUMBER(O17)),NOT(ISNUMBER(O205))),"",O17-O205)</f>
        <v/>
      </c>
      <c r="P393" s="11" t="str">
        <f aca="false">IF(COUNT(D393:N393)=0,"",IF(AND(MAX(D393:N393)&lt;0.005,MIN(D393:N393)&gt;-0.005),"Sin diferencia","Diferencia a explicar"))</f>
        <v/>
      </c>
    </row>
    <row r="394" customFormat="false" ht="15" hidden="true" customHeight="false" outlineLevel="1" collapsed="false">
      <c r="A394" s="11" t="s">
        <v>2095</v>
      </c>
      <c r="B394" s="15" t="s">
        <v>2089</v>
      </c>
      <c r="C394" s="11" t="s">
        <v>544</v>
      </c>
      <c r="D394" s="48" t="str">
        <f aca="false">IF(OR(NOT(ISNUMBER(D18)),NOT(ISNUMBER(D206))),"",D18-D206)</f>
        <v/>
      </c>
      <c r="E394" s="48" t="str">
        <f aca="false">IF(OR(NOT(ISNUMBER(E18)),NOT(ISNUMBER(E206))),"",E18-E206)</f>
        <v/>
      </c>
      <c r="F394" s="48" t="str">
        <f aca="false">IF(OR(NOT(ISNUMBER(F18)),NOT(ISNUMBER(F206))),"",F18-F206)</f>
        <v/>
      </c>
      <c r="G394" s="48" t="str">
        <f aca="false">IF(OR(NOT(ISNUMBER(G18)),NOT(ISNUMBER(G206))),"",G18-G206)</f>
        <v/>
      </c>
      <c r="H394" s="48" t="str">
        <f aca="false">IF(OR(NOT(ISNUMBER(H18)),NOT(ISNUMBER(H206))),"",H18-H206)</f>
        <v/>
      </c>
      <c r="I394" s="48" t="str">
        <f aca="false">IF(OR(NOT(ISNUMBER(I18)),NOT(ISNUMBER(I206))),"",I18-I206)</f>
        <v/>
      </c>
      <c r="J394" s="48" t="str">
        <f aca="false">IF(OR(NOT(ISNUMBER(J18)),NOT(ISNUMBER(J206))),"",J18-J206)</f>
        <v/>
      </c>
      <c r="K394" s="48" t="str">
        <f aca="false">IF(OR(NOT(ISNUMBER(K18)),NOT(ISNUMBER(K206))),"",K18-K206)</f>
        <v/>
      </c>
      <c r="L394" s="48" t="str">
        <f aca="false">IF(OR(NOT(ISNUMBER(L18)),NOT(ISNUMBER(L206))),"",L18-L206)</f>
        <v/>
      </c>
      <c r="M394" s="48" t="str">
        <f aca="false">IF(OR(NOT(ISNUMBER(M18)),NOT(ISNUMBER(M206))),"",M18-M206)</f>
        <v/>
      </c>
      <c r="N394" s="48" t="str">
        <f aca="false">IF(OR(NOT(ISNUMBER(N18)),NOT(ISNUMBER(N206))),"",N18-N206)</f>
        <v/>
      </c>
      <c r="O394" s="54" t="str">
        <f aca="false">IF(OR(NOT(ISNUMBER(O18)),NOT(ISNUMBER(O206))),"",O18-O206)</f>
        <v/>
      </c>
      <c r="P394" s="11" t="str">
        <f aca="false">IF(COUNT(D394:N394)=0,"",IF(AND(MAX(D394:N394)&lt;2,MIN(D394:N394)&gt;-2),"Sin diferencia","Diferencia a explicar"))</f>
        <v/>
      </c>
    </row>
    <row r="395" customFormat="false" ht="15" hidden="true" customHeight="false" outlineLevel="1" collapsed="false">
      <c r="A395" s="11" t="s">
        <v>2096</v>
      </c>
      <c r="B395" s="53" t="str">
        <f aca="false">IF(INDEX(Prod_Nombre,4)="","Producto 4",INDEX(Prod_Nombre,4))</f>
        <v>Producto 4</v>
      </c>
      <c r="C395" s="11" t="s">
        <v>508</v>
      </c>
      <c r="D395" s="48" t="str">
        <f aca="false">IF(OR(NOT(ISNUMBER(D19)),NOT(ISNUMBER(D207))),"",D19-D207)</f>
        <v/>
      </c>
      <c r="E395" s="48" t="str">
        <f aca="false">IF(OR(NOT(ISNUMBER(E19)),NOT(ISNUMBER(E207))),"",E19-E207)</f>
        <v/>
      </c>
      <c r="F395" s="48" t="str">
        <f aca="false">IF(OR(NOT(ISNUMBER(F19)),NOT(ISNUMBER(F207))),"",F19-F207)</f>
        <v/>
      </c>
      <c r="G395" s="48" t="str">
        <f aca="false">IF(OR(NOT(ISNUMBER(G19)),NOT(ISNUMBER(G207))),"",G19-G207)</f>
        <v/>
      </c>
      <c r="H395" s="48" t="str">
        <f aca="false">IF(OR(NOT(ISNUMBER(H19)),NOT(ISNUMBER(H207))),"",H19-H207)</f>
        <v/>
      </c>
      <c r="I395" s="48" t="str">
        <f aca="false">IF(OR(NOT(ISNUMBER(I19)),NOT(ISNUMBER(I207))),"",I19-I207)</f>
        <v/>
      </c>
      <c r="J395" s="48" t="str">
        <f aca="false">IF(OR(NOT(ISNUMBER(J19)),NOT(ISNUMBER(J207))),"",J19-J207)</f>
        <v/>
      </c>
      <c r="K395" s="48" t="str">
        <f aca="false">IF(OR(NOT(ISNUMBER(K19)),NOT(ISNUMBER(K207))),"",K19-K207)</f>
        <v/>
      </c>
      <c r="L395" s="48" t="str">
        <f aca="false">IF(OR(NOT(ISNUMBER(L19)),NOT(ISNUMBER(L207))),"",L19-L207)</f>
        <v/>
      </c>
      <c r="M395" s="48" t="str">
        <f aca="false">IF(OR(NOT(ISNUMBER(M19)),NOT(ISNUMBER(M207))),"",M19-M207)</f>
        <v/>
      </c>
      <c r="N395" s="48" t="str">
        <f aca="false">IF(OR(NOT(ISNUMBER(N19)),NOT(ISNUMBER(N207))),"",N19-N207)</f>
        <v/>
      </c>
      <c r="O395" s="54" t="str">
        <f aca="false">IF(OR(NOT(ISNUMBER(O19)),NOT(ISNUMBER(O207))),"",O19-O207)</f>
        <v/>
      </c>
      <c r="P395" s="11" t="str">
        <f aca="false">IF(COUNT(D395:N395)=0,"",IF(AND(MAX(D395:N395)&lt;2,MIN(D395:N395)&gt;-2),"Sin diferencia","Diferencia a explicar"))</f>
        <v/>
      </c>
    </row>
    <row r="396" customFormat="false" ht="15" hidden="true" customHeight="false" outlineLevel="1" collapsed="false">
      <c r="A396" s="11" t="s">
        <v>2097</v>
      </c>
      <c r="B396" s="15" t="s">
        <v>2087</v>
      </c>
      <c r="C396" s="11" t="s">
        <v>748</v>
      </c>
      <c r="E396" s="50" t="str">
        <f aca="false">IF(OR(NOT(ISNUMBER(E20)),NOT(ISNUMBER(E208))),"",E20-E208)</f>
        <v/>
      </c>
      <c r="F396" s="50" t="str">
        <f aca="false">IF(OR(NOT(ISNUMBER(F20)),NOT(ISNUMBER(F208))),"",F20-F208)</f>
        <v/>
      </c>
      <c r="G396" s="50" t="str">
        <f aca="false">IF(OR(NOT(ISNUMBER(G20)),NOT(ISNUMBER(G208))),"",G20-G208)</f>
        <v/>
      </c>
      <c r="H396" s="50" t="str">
        <f aca="false">IF(OR(NOT(ISNUMBER(H20)),NOT(ISNUMBER(H208))),"",H20-H208)</f>
        <v/>
      </c>
      <c r="I396" s="50" t="str">
        <f aca="false">IF(OR(NOT(ISNUMBER(I20)),NOT(ISNUMBER(I208))),"",I20-I208)</f>
        <v/>
      </c>
      <c r="J396" s="50" t="str">
        <f aca="false">IF(OR(NOT(ISNUMBER(J20)),NOT(ISNUMBER(J208))),"",J20-J208)</f>
        <v/>
      </c>
      <c r="K396" s="50" t="str">
        <f aca="false">IF(OR(NOT(ISNUMBER(K20)),NOT(ISNUMBER(K208))),"",K20-K208)</f>
        <v/>
      </c>
      <c r="L396" s="50" t="str">
        <f aca="false">IF(OR(NOT(ISNUMBER(L20)),NOT(ISNUMBER(L208))),"",L20-L208)</f>
        <v/>
      </c>
      <c r="M396" s="50" t="str">
        <f aca="false">IF(OR(NOT(ISNUMBER(M20)),NOT(ISNUMBER(M208))),"",M20-M208)</f>
        <v/>
      </c>
      <c r="N396" s="50" t="str">
        <f aca="false">IF(OR(NOT(ISNUMBER(N20)),NOT(ISNUMBER(N208))),"",N20-N208)</f>
        <v/>
      </c>
      <c r="O396" s="68" t="str">
        <f aca="false">IF(OR(NOT(ISNUMBER(O20)),NOT(ISNUMBER(O208))),"",O20-O208)</f>
        <v/>
      </c>
      <c r="P396" s="11" t="str">
        <f aca="false">IF(COUNT(D396:N396)=0,"",IF(AND(MAX(D396:N396)&lt;0.005,MIN(D396:N396)&gt;-0.005),"Sin diferencia","Diferencia a explicar"))</f>
        <v/>
      </c>
    </row>
    <row r="397" customFormat="false" ht="15" hidden="true" customHeight="false" outlineLevel="1" collapsed="false">
      <c r="A397" s="11" t="s">
        <v>2098</v>
      </c>
      <c r="B397" s="15" t="s">
        <v>2089</v>
      </c>
      <c r="C397" s="11" t="s">
        <v>544</v>
      </c>
      <c r="D397" s="48" t="str">
        <f aca="false">IF(OR(NOT(ISNUMBER(D21)),NOT(ISNUMBER(D209))),"",D21-D209)</f>
        <v/>
      </c>
      <c r="E397" s="48" t="str">
        <f aca="false">IF(OR(NOT(ISNUMBER(E21)),NOT(ISNUMBER(E209))),"",E21-E209)</f>
        <v/>
      </c>
      <c r="F397" s="48" t="str">
        <f aca="false">IF(OR(NOT(ISNUMBER(F21)),NOT(ISNUMBER(F209))),"",F21-F209)</f>
        <v/>
      </c>
      <c r="G397" s="48" t="str">
        <f aca="false">IF(OR(NOT(ISNUMBER(G21)),NOT(ISNUMBER(G209))),"",G21-G209)</f>
        <v/>
      </c>
      <c r="H397" s="48" t="str">
        <f aca="false">IF(OR(NOT(ISNUMBER(H21)),NOT(ISNUMBER(H209))),"",H21-H209)</f>
        <v/>
      </c>
      <c r="I397" s="48" t="str">
        <f aca="false">IF(OR(NOT(ISNUMBER(I21)),NOT(ISNUMBER(I209))),"",I21-I209)</f>
        <v/>
      </c>
      <c r="J397" s="48" t="str">
        <f aca="false">IF(OR(NOT(ISNUMBER(J21)),NOT(ISNUMBER(J209))),"",J21-J209)</f>
        <v/>
      </c>
      <c r="K397" s="48" t="str">
        <f aca="false">IF(OR(NOT(ISNUMBER(K21)),NOT(ISNUMBER(K209))),"",K21-K209)</f>
        <v/>
      </c>
      <c r="L397" s="48" t="str">
        <f aca="false">IF(OR(NOT(ISNUMBER(L21)),NOT(ISNUMBER(L209))),"",L21-L209)</f>
        <v/>
      </c>
      <c r="M397" s="48" t="str">
        <f aca="false">IF(OR(NOT(ISNUMBER(M21)),NOT(ISNUMBER(M209))),"",M21-M209)</f>
        <v/>
      </c>
      <c r="N397" s="48" t="str">
        <f aca="false">IF(OR(NOT(ISNUMBER(N21)),NOT(ISNUMBER(N209))),"",N21-N209)</f>
        <v/>
      </c>
      <c r="O397" s="54" t="str">
        <f aca="false">IF(OR(NOT(ISNUMBER(O21)),NOT(ISNUMBER(O209))),"",O21-O209)</f>
        <v/>
      </c>
      <c r="P397" s="11" t="str">
        <f aca="false">IF(COUNT(D397:N397)=0,"",IF(AND(MAX(D397:N397)&lt;2,MIN(D397:N397)&gt;-2),"Sin diferencia","Diferencia a explicar"))</f>
        <v/>
      </c>
    </row>
    <row r="398" customFormat="false" ht="15" hidden="true" customHeight="false" outlineLevel="1" collapsed="false">
      <c r="A398" s="11" t="s">
        <v>2099</v>
      </c>
      <c r="B398" s="53" t="str">
        <f aca="false">IF(INDEX(Prod_Nombre,5)="","Producto 5",INDEX(Prod_Nombre,5))</f>
        <v>Producto 5</v>
      </c>
      <c r="C398" s="11" t="s">
        <v>508</v>
      </c>
      <c r="D398" s="48" t="str">
        <f aca="false">IF(OR(NOT(ISNUMBER(D22)),NOT(ISNUMBER(D210))),"",D22-D210)</f>
        <v/>
      </c>
      <c r="E398" s="48" t="str">
        <f aca="false">IF(OR(NOT(ISNUMBER(E22)),NOT(ISNUMBER(E210))),"",E22-E210)</f>
        <v/>
      </c>
      <c r="F398" s="48" t="str">
        <f aca="false">IF(OR(NOT(ISNUMBER(F22)),NOT(ISNUMBER(F210))),"",F22-F210)</f>
        <v/>
      </c>
      <c r="G398" s="48" t="str">
        <f aca="false">IF(OR(NOT(ISNUMBER(G22)),NOT(ISNUMBER(G210))),"",G22-G210)</f>
        <v/>
      </c>
      <c r="H398" s="48" t="str">
        <f aca="false">IF(OR(NOT(ISNUMBER(H22)),NOT(ISNUMBER(H210))),"",H22-H210)</f>
        <v/>
      </c>
      <c r="I398" s="48" t="str">
        <f aca="false">IF(OR(NOT(ISNUMBER(I22)),NOT(ISNUMBER(I210))),"",I22-I210)</f>
        <v/>
      </c>
      <c r="J398" s="48" t="str">
        <f aca="false">IF(OR(NOT(ISNUMBER(J22)),NOT(ISNUMBER(J210))),"",J22-J210)</f>
        <v/>
      </c>
      <c r="K398" s="48" t="str">
        <f aca="false">IF(OR(NOT(ISNUMBER(K22)),NOT(ISNUMBER(K210))),"",K22-K210)</f>
        <v/>
      </c>
      <c r="L398" s="48" t="str">
        <f aca="false">IF(OR(NOT(ISNUMBER(L22)),NOT(ISNUMBER(L210))),"",L22-L210)</f>
        <v/>
      </c>
      <c r="M398" s="48" t="str">
        <f aca="false">IF(OR(NOT(ISNUMBER(M22)),NOT(ISNUMBER(M210))),"",M22-M210)</f>
        <v/>
      </c>
      <c r="N398" s="48" t="str">
        <f aca="false">IF(OR(NOT(ISNUMBER(N22)),NOT(ISNUMBER(N210))),"",N22-N210)</f>
        <v/>
      </c>
      <c r="O398" s="54" t="str">
        <f aca="false">IF(OR(NOT(ISNUMBER(O22)),NOT(ISNUMBER(O210))),"",O22-O210)</f>
        <v/>
      </c>
      <c r="P398" s="11" t="str">
        <f aca="false">IF(COUNT(D398:N398)=0,"",IF(AND(MAX(D398:N398)&lt;2,MIN(D398:N398)&gt;-2),"Sin diferencia","Diferencia a explicar"))</f>
        <v/>
      </c>
    </row>
    <row r="399" customFormat="false" ht="15" hidden="true" customHeight="false" outlineLevel="1" collapsed="false">
      <c r="A399" s="11" t="s">
        <v>2100</v>
      </c>
      <c r="B399" s="15" t="s">
        <v>2087</v>
      </c>
      <c r="C399" s="11" t="s">
        <v>748</v>
      </c>
      <c r="E399" s="50" t="str">
        <f aca="false">IF(OR(NOT(ISNUMBER(E23)),NOT(ISNUMBER(E211))),"",E23-E211)</f>
        <v/>
      </c>
      <c r="F399" s="50" t="str">
        <f aca="false">IF(OR(NOT(ISNUMBER(F23)),NOT(ISNUMBER(F211))),"",F23-F211)</f>
        <v/>
      </c>
      <c r="G399" s="50" t="str">
        <f aca="false">IF(OR(NOT(ISNUMBER(G23)),NOT(ISNUMBER(G211))),"",G23-G211)</f>
        <v/>
      </c>
      <c r="H399" s="50" t="str">
        <f aca="false">IF(OR(NOT(ISNUMBER(H23)),NOT(ISNUMBER(H211))),"",H23-H211)</f>
        <v/>
      </c>
      <c r="I399" s="50" t="str">
        <f aca="false">IF(OR(NOT(ISNUMBER(I23)),NOT(ISNUMBER(I211))),"",I23-I211)</f>
        <v/>
      </c>
      <c r="J399" s="50" t="str">
        <f aca="false">IF(OR(NOT(ISNUMBER(J23)),NOT(ISNUMBER(J211))),"",J23-J211)</f>
        <v/>
      </c>
      <c r="K399" s="50" t="str">
        <f aca="false">IF(OR(NOT(ISNUMBER(K23)),NOT(ISNUMBER(K211))),"",K23-K211)</f>
        <v/>
      </c>
      <c r="L399" s="50" t="str">
        <f aca="false">IF(OR(NOT(ISNUMBER(L23)),NOT(ISNUMBER(L211))),"",L23-L211)</f>
        <v/>
      </c>
      <c r="M399" s="50" t="str">
        <f aca="false">IF(OR(NOT(ISNUMBER(M23)),NOT(ISNUMBER(M211))),"",M23-M211)</f>
        <v/>
      </c>
      <c r="N399" s="50" t="str">
        <f aca="false">IF(OR(NOT(ISNUMBER(N23)),NOT(ISNUMBER(N211))),"",N23-N211)</f>
        <v/>
      </c>
      <c r="O399" s="68" t="str">
        <f aca="false">IF(OR(NOT(ISNUMBER(O23)),NOT(ISNUMBER(O211))),"",O23-O211)</f>
        <v/>
      </c>
      <c r="P399" s="11" t="str">
        <f aca="false">IF(COUNT(D399:N399)=0,"",IF(AND(MAX(D399:N399)&lt;0.005,MIN(D399:N399)&gt;-0.005),"Sin diferencia","Diferencia a explicar"))</f>
        <v/>
      </c>
    </row>
    <row r="400" customFormat="false" ht="15" hidden="true" customHeight="false" outlineLevel="1" collapsed="false">
      <c r="A400" s="11" t="s">
        <v>2101</v>
      </c>
      <c r="B400" s="15" t="s">
        <v>2089</v>
      </c>
      <c r="C400" s="11" t="s">
        <v>544</v>
      </c>
      <c r="D400" s="48" t="str">
        <f aca="false">IF(OR(NOT(ISNUMBER(D24)),NOT(ISNUMBER(D212))),"",D24-D212)</f>
        <v/>
      </c>
      <c r="E400" s="48" t="str">
        <f aca="false">IF(OR(NOT(ISNUMBER(E24)),NOT(ISNUMBER(E212))),"",E24-E212)</f>
        <v/>
      </c>
      <c r="F400" s="48" t="str">
        <f aca="false">IF(OR(NOT(ISNUMBER(F24)),NOT(ISNUMBER(F212))),"",F24-F212)</f>
        <v/>
      </c>
      <c r="G400" s="48" t="str">
        <f aca="false">IF(OR(NOT(ISNUMBER(G24)),NOT(ISNUMBER(G212))),"",G24-G212)</f>
        <v/>
      </c>
      <c r="H400" s="48" t="str">
        <f aca="false">IF(OR(NOT(ISNUMBER(H24)),NOT(ISNUMBER(H212))),"",H24-H212)</f>
        <v/>
      </c>
      <c r="I400" s="48" t="str">
        <f aca="false">IF(OR(NOT(ISNUMBER(I24)),NOT(ISNUMBER(I212))),"",I24-I212)</f>
        <v/>
      </c>
      <c r="J400" s="48" t="str">
        <f aca="false">IF(OR(NOT(ISNUMBER(J24)),NOT(ISNUMBER(J212))),"",J24-J212)</f>
        <v/>
      </c>
      <c r="K400" s="48" t="str">
        <f aca="false">IF(OR(NOT(ISNUMBER(K24)),NOT(ISNUMBER(K212))),"",K24-K212)</f>
        <v/>
      </c>
      <c r="L400" s="48" t="str">
        <f aca="false">IF(OR(NOT(ISNUMBER(L24)),NOT(ISNUMBER(L212))),"",L24-L212)</f>
        <v/>
      </c>
      <c r="M400" s="48" t="str">
        <f aca="false">IF(OR(NOT(ISNUMBER(M24)),NOT(ISNUMBER(M212))),"",M24-M212)</f>
        <v/>
      </c>
      <c r="N400" s="48" t="str">
        <f aca="false">IF(OR(NOT(ISNUMBER(N24)),NOT(ISNUMBER(N212))),"",N24-N212)</f>
        <v/>
      </c>
      <c r="O400" s="54" t="str">
        <f aca="false">IF(OR(NOT(ISNUMBER(O24)),NOT(ISNUMBER(O212))),"",O24-O212)</f>
        <v/>
      </c>
      <c r="P400" s="11" t="str">
        <f aca="false">IF(COUNT(D400:N400)=0,"",IF(AND(MAX(D400:N400)&lt;2,MIN(D400:N400)&gt;-2),"Sin diferencia","Diferencia a explicar"))</f>
        <v/>
      </c>
    </row>
    <row r="401" customFormat="false" ht="15" hidden="true" customHeight="false" outlineLevel="1" collapsed="false">
      <c r="A401" s="11" t="s">
        <v>2102</v>
      </c>
      <c r="B401" s="53" t="str">
        <f aca="false">IF(INDEX(Prod_Nombre,6)="","Producto 6",INDEX(Prod_Nombre,6))</f>
        <v>Producto 6</v>
      </c>
      <c r="C401" s="11" t="s">
        <v>508</v>
      </c>
      <c r="D401" s="48" t="str">
        <f aca="false">IF(OR(NOT(ISNUMBER(D25)),NOT(ISNUMBER(D213))),"",D25-D213)</f>
        <v/>
      </c>
      <c r="E401" s="48" t="str">
        <f aca="false">IF(OR(NOT(ISNUMBER(E25)),NOT(ISNUMBER(E213))),"",E25-E213)</f>
        <v/>
      </c>
      <c r="F401" s="48" t="str">
        <f aca="false">IF(OR(NOT(ISNUMBER(F25)),NOT(ISNUMBER(F213))),"",F25-F213)</f>
        <v/>
      </c>
      <c r="G401" s="48" t="str">
        <f aca="false">IF(OR(NOT(ISNUMBER(G25)),NOT(ISNUMBER(G213))),"",G25-G213)</f>
        <v/>
      </c>
      <c r="H401" s="48" t="str">
        <f aca="false">IF(OR(NOT(ISNUMBER(H25)),NOT(ISNUMBER(H213))),"",H25-H213)</f>
        <v/>
      </c>
      <c r="I401" s="48" t="str">
        <f aca="false">IF(OR(NOT(ISNUMBER(I25)),NOT(ISNUMBER(I213))),"",I25-I213)</f>
        <v/>
      </c>
      <c r="J401" s="48" t="str">
        <f aca="false">IF(OR(NOT(ISNUMBER(J25)),NOT(ISNUMBER(J213))),"",J25-J213)</f>
        <v/>
      </c>
      <c r="K401" s="48" t="str">
        <f aca="false">IF(OR(NOT(ISNUMBER(K25)),NOT(ISNUMBER(K213))),"",K25-K213)</f>
        <v/>
      </c>
      <c r="L401" s="48" t="str">
        <f aca="false">IF(OR(NOT(ISNUMBER(L25)),NOT(ISNUMBER(L213))),"",L25-L213)</f>
        <v/>
      </c>
      <c r="M401" s="48" t="str">
        <f aca="false">IF(OR(NOT(ISNUMBER(M25)),NOT(ISNUMBER(M213))),"",M25-M213)</f>
        <v/>
      </c>
      <c r="N401" s="48" t="str">
        <f aca="false">IF(OR(NOT(ISNUMBER(N25)),NOT(ISNUMBER(N213))),"",N25-N213)</f>
        <v/>
      </c>
      <c r="O401" s="54" t="str">
        <f aca="false">IF(OR(NOT(ISNUMBER(O25)),NOT(ISNUMBER(O213))),"",O25-O213)</f>
        <v/>
      </c>
      <c r="P401" s="11" t="str">
        <f aca="false">IF(COUNT(D401:N401)=0,"",IF(AND(MAX(D401:N401)&lt;2,MIN(D401:N401)&gt;-2),"Sin diferencia","Diferencia a explicar"))</f>
        <v/>
      </c>
    </row>
    <row r="402" customFormat="false" ht="15" hidden="true" customHeight="false" outlineLevel="1" collapsed="false">
      <c r="A402" s="11" t="s">
        <v>2103</v>
      </c>
      <c r="B402" s="15" t="s">
        <v>2087</v>
      </c>
      <c r="C402" s="11" t="s">
        <v>748</v>
      </c>
      <c r="E402" s="50" t="str">
        <f aca="false">IF(OR(NOT(ISNUMBER(E26)),NOT(ISNUMBER(E214))),"",E26-E214)</f>
        <v/>
      </c>
      <c r="F402" s="50" t="str">
        <f aca="false">IF(OR(NOT(ISNUMBER(F26)),NOT(ISNUMBER(F214))),"",F26-F214)</f>
        <v/>
      </c>
      <c r="G402" s="50" t="str">
        <f aca="false">IF(OR(NOT(ISNUMBER(G26)),NOT(ISNUMBER(G214))),"",G26-G214)</f>
        <v/>
      </c>
      <c r="H402" s="50" t="str">
        <f aca="false">IF(OR(NOT(ISNUMBER(H26)),NOT(ISNUMBER(H214))),"",H26-H214)</f>
        <v/>
      </c>
      <c r="I402" s="50" t="str">
        <f aca="false">IF(OR(NOT(ISNUMBER(I26)),NOT(ISNUMBER(I214))),"",I26-I214)</f>
        <v/>
      </c>
      <c r="J402" s="50" t="str">
        <f aca="false">IF(OR(NOT(ISNUMBER(J26)),NOT(ISNUMBER(J214))),"",J26-J214)</f>
        <v/>
      </c>
      <c r="K402" s="50" t="str">
        <f aca="false">IF(OR(NOT(ISNUMBER(K26)),NOT(ISNUMBER(K214))),"",K26-K214)</f>
        <v/>
      </c>
      <c r="L402" s="50" t="str">
        <f aca="false">IF(OR(NOT(ISNUMBER(L26)),NOT(ISNUMBER(L214))),"",L26-L214)</f>
        <v/>
      </c>
      <c r="M402" s="50" t="str">
        <f aca="false">IF(OR(NOT(ISNUMBER(M26)),NOT(ISNUMBER(M214))),"",M26-M214)</f>
        <v/>
      </c>
      <c r="N402" s="50" t="str">
        <f aca="false">IF(OR(NOT(ISNUMBER(N26)),NOT(ISNUMBER(N214))),"",N26-N214)</f>
        <v/>
      </c>
      <c r="O402" s="68" t="str">
        <f aca="false">IF(OR(NOT(ISNUMBER(O26)),NOT(ISNUMBER(O214))),"",O26-O214)</f>
        <v/>
      </c>
      <c r="P402" s="11" t="str">
        <f aca="false">IF(COUNT(D402:N402)=0,"",IF(AND(MAX(D402:N402)&lt;0.005,MIN(D402:N402)&gt;-0.005),"Sin diferencia","Diferencia a explicar"))</f>
        <v/>
      </c>
    </row>
    <row r="403" customFormat="false" ht="15" hidden="true" customHeight="false" outlineLevel="1" collapsed="false">
      <c r="A403" s="11" t="s">
        <v>2104</v>
      </c>
      <c r="B403" s="15" t="s">
        <v>2089</v>
      </c>
      <c r="C403" s="11" t="s">
        <v>544</v>
      </c>
      <c r="D403" s="48" t="str">
        <f aca="false">IF(OR(NOT(ISNUMBER(D27)),NOT(ISNUMBER(D215))),"",D27-D215)</f>
        <v/>
      </c>
      <c r="E403" s="48" t="str">
        <f aca="false">IF(OR(NOT(ISNUMBER(E27)),NOT(ISNUMBER(E215))),"",E27-E215)</f>
        <v/>
      </c>
      <c r="F403" s="48" t="str">
        <f aca="false">IF(OR(NOT(ISNUMBER(F27)),NOT(ISNUMBER(F215))),"",F27-F215)</f>
        <v/>
      </c>
      <c r="G403" s="48" t="str">
        <f aca="false">IF(OR(NOT(ISNUMBER(G27)),NOT(ISNUMBER(G215))),"",G27-G215)</f>
        <v/>
      </c>
      <c r="H403" s="48" t="str">
        <f aca="false">IF(OR(NOT(ISNUMBER(H27)),NOT(ISNUMBER(H215))),"",H27-H215)</f>
        <v/>
      </c>
      <c r="I403" s="48" t="str">
        <f aca="false">IF(OR(NOT(ISNUMBER(I27)),NOT(ISNUMBER(I215))),"",I27-I215)</f>
        <v/>
      </c>
      <c r="J403" s="48" t="str">
        <f aca="false">IF(OR(NOT(ISNUMBER(J27)),NOT(ISNUMBER(J215))),"",J27-J215)</f>
        <v/>
      </c>
      <c r="K403" s="48" t="str">
        <f aca="false">IF(OR(NOT(ISNUMBER(K27)),NOT(ISNUMBER(K215))),"",K27-K215)</f>
        <v/>
      </c>
      <c r="L403" s="48" t="str">
        <f aca="false">IF(OR(NOT(ISNUMBER(L27)),NOT(ISNUMBER(L215))),"",L27-L215)</f>
        <v/>
      </c>
      <c r="M403" s="48" t="str">
        <f aca="false">IF(OR(NOT(ISNUMBER(M27)),NOT(ISNUMBER(M215))),"",M27-M215)</f>
        <v/>
      </c>
      <c r="N403" s="48" t="str">
        <f aca="false">IF(OR(NOT(ISNUMBER(N27)),NOT(ISNUMBER(N215))),"",N27-N215)</f>
        <v/>
      </c>
      <c r="O403" s="54" t="str">
        <f aca="false">IF(OR(NOT(ISNUMBER(O27)),NOT(ISNUMBER(O215))),"",O27-O215)</f>
        <v/>
      </c>
      <c r="P403" s="11" t="str">
        <f aca="false">IF(COUNT(D403:N403)=0,"",IF(AND(MAX(D403:N403)&lt;2,MIN(D403:N403)&gt;-2),"Sin diferencia","Diferencia a explicar"))</f>
        <v/>
      </c>
    </row>
    <row r="404" customFormat="false" ht="15" hidden="true" customHeight="false" outlineLevel="1" collapsed="false">
      <c r="A404" s="11" t="s">
        <v>2105</v>
      </c>
      <c r="B404" s="53" t="str">
        <f aca="false">IF(INDEX(Prod_Nombre,7)="","Producto 7",INDEX(Prod_Nombre,7))</f>
        <v>Producto 7</v>
      </c>
      <c r="C404" s="11" t="s">
        <v>508</v>
      </c>
      <c r="D404" s="48" t="str">
        <f aca="false">IF(OR(NOT(ISNUMBER(D28)),NOT(ISNUMBER(D216))),"",D28-D216)</f>
        <v/>
      </c>
      <c r="E404" s="48" t="str">
        <f aca="false">IF(OR(NOT(ISNUMBER(E28)),NOT(ISNUMBER(E216))),"",E28-E216)</f>
        <v/>
      </c>
      <c r="F404" s="48" t="str">
        <f aca="false">IF(OR(NOT(ISNUMBER(F28)),NOT(ISNUMBER(F216))),"",F28-F216)</f>
        <v/>
      </c>
      <c r="G404" s="48" t="str">
        <f aca="false">IF(OR(NOT(ISNUMBER(G28)),NOT(ISNUMBER(G216))),"",G28-G216)</f>
        <v/>
      </c>
      <c r="H404" s="48" t="str">
        <f aca="false">IF(OR(NOT(ISNUMBER(H28)),NOT(ISNUMBER(H216))),"",H28-H216)</f>
        <v/>
      </c>
      <c r="I404" s="48" t="str">
        <f aca="false">IF(OR(NOT(ISNUMBER(I28)),NOT(ISNUMBER(I216))),"",I28-I216)</f>
        <v/>
      </c>
      <c r="J404" s="48" t="str">
        <f aca="false">IF(OR(NOT(ISNUMBER(J28)),NOT(ISNUMBER(J216))),"",J28-J216)</f>
        <v/>
      </c>
      <c r="K404" s="48" t="str">
        <f aca="false">IF(OR(NOT(ISNUMBER(K28)),NOT(ISNUMBER(K216))),"",K28-K216)</f>
        <v/>
      </c>
      <c r="L404" s="48" t="str">
        <f aca="false">IF(OR(NOT(ISNUMBER(L28)),NOT(ISNUMBER(L216))),"",L28-L216)</f>
        <v/>
      </c>
      <c r="M404" s="48" t="str">
        <f aca="false">IF(OR(NOT(ISNUMBER(M28)),NOT(ISNUMBER(M216))),"",M28-M216)</f>
        <v/>
      </c>
      <c r="N404" s="48" t="str">
        <f aca="false">IF(OR(NOT(ISNUMBER(N28)),NOT(ISNUMBER(N216))),"",N28-N216)</f>
        <v/>
      </c>
      <c r="O404" s="54" t="str">
        <f aca="false">IF(OR(NOT(ISNUMBER(O28)),NOT(ISNUMBER(O216))),"",O28-O216)</f>
        <v/>
      </c>
      <c r="P404" s="11" t="str">
        <f aca="false">IF(COUNT(D404:N404)=0,"",IF(AND(MAX(D404:N404)&lt;2,MIN(D404:N404)&gt;-2),"Sin diferencia","Diferencia a explicar"))</f>
        <v/>
      </c>
    </row>
    <row r="405" customFormat="false" ht="15" hidden="true" customHeight="false" outlineLevel="1" collapsed="false">
      <c r="A405" s="11" t="s">
        <v>2106</v>
      </c>
      <c r="B405" s="15" t="s">
        <v>2087</v>
      </c>
      <c r="C405" s="11" t="s">
        <v>748</v>
      </c>
      <c r="E405" s="50" t="str">
        <f aca="false">IF(OR(NOT(ISNUMBER(E29)),NOT(ISNUMBER(E217))),"",E29-E217)</f>
        <v/>
      </c>
      <c r="F405" s="50" t="str">
        <f aca="false">IF(OR(NOT(ISNUMBER(F29)),NOT(ISNUMBER(F217))),"",F29-F217)</f>
        <v/>
      </c>
      <c r="G405" s="50" t="str">
        <f aca="false">IF(OR(NOT(ISNUMBER(G29)),NOT(ISNUMBER(G217))),"",G29-G217)</f>
        <v/>
      </c>
      <c r="H405" s="50" t="str">
        <f aca="false">IF(OR(NOT(ISNUMBER(H29)),NOT(ISNUMBER(H217))),"",H29-H217)</f>
        <v/>
      </c>
      <c r="I405" s="50" t="str">
        <f aca="false">IF(OR(NOT(ISNUMBER(I29)),NOT(ISNUMBER(I217))),"",I29-I217)</f>
        <v/>
      </c>
      <c r="J405" s="50" t="str">
        <f aca="false">IF(OR(NOT(ISNUMBER(J29)),NOT(ISNUMBER(J217))),"",J29-J217)</f>
        <v/>
      </c>
      <c r="K405" s="50" t="str">
        <f aca="false">IF(OR(NOT(ISNUMBER(K29)),NOT(ISNUMBER(K217))),"",K29-K217)</f>
        <v/>
      </c>
      <c r="L405" s="50" t="str">
        <f aca="false">IF(OR(NOT(ISNUMBER(L29)),NOT(ISNUMBER(L217))),"",L29-L217)</f>
        <v/>
      </c>
      <c r="M405" s="50" t="str">
        <f aca="false">IF(OR(NOT(ISNUMBER(M29)),NOT(ISNUMBER(M217))),"",M29-M217)</f>
        <v/>
      </c>
      <c r="N405" s="50" t="str">
        <f aca="false">IF(OR(NOT(ISNUMBER(N29)),NOT(ISNUMBER(N217))),"",N29-N217)</f>
        <v/>
      </c>
      <c r="O405" s="68" t="str">
        <f aca="false">IF(OR(NOT(ISNUMBER(O29)),NOT(ISNUMBER(O217))),"",O29-O217)</f>
        <v/>
      </c>
      <c r="P405" s="11" t="str">
        <f aca="false">IF(COUNT(D405:N405)=0,"",IF(AND(MAX(D405:N405)&lt;0.005,MIN(D405:N405)&gt;-0.005),"Sin diferencia","Diferencia a explicar"))</f>
        <v/>
      </c>
    </row>
    <row r="406" customFormat="false" ht="15" hidden="true" customHeight="false" outlineLevel="1" collapsed="false">
      <c r="A406" s="11" t="s">
        <v>2107</v>
      </c>
      <c r="B406" s="15" t="s">
        <v>2089</v>
      </c>
      <c r="C406" s="11" t="s">
        <v>544</v>
      </c>
      <c r="D406" s="48" t="str">
        <f aca="false">IF(OR(NOT(ISNUMBER(D30)),NOT(ISNUMBER(D218))),"",D30-D218)</f>
        <v/>
      </c>
      <c r="E406" s="48" t="str">
        <f aca="false">IF(OR(NOT(ISNUMBER(E30)),NOT(ISNUMBER(E218))),"",E30-E218)</f>
        <v/>
      </c>
      <c r="F406" s="48" t="str">
        <f aca="false">IF(OR(NOT(ISNUMBER(F30)),NOT(ISNUMBER(F218))),"",F30-F218)</f>
        <v/>
      </c>
      <c r="G406" s="48" t="str">
        <f aca="false">IF(OR(NOT(ISNUMBER(G30)),NOT(ISNUMBER(G218))),"",G30-G218)</f>
        <v/>
      </c>
      <c r="H406" s="48" t="str">
        <f aca="false">IF(OR(NOT(ISNUMBER(H30)),NOT(ISNUMBER(H218))),"",H30-H218)</f>
        <v/>
      </c>
      <c r="I406" s="48" t="str">
        <f aca="false">IF(OR(NOT(ISNUMBER(I30)),NOT(ISNUMBER(I218))),"",I30-I218)</f>
        <v/>
      </c>
      <c r="J406" s="48" t="str">
        <f aca="false">IF(OR(NOT(ISNUMBER(J30)),NOT(ISNUMBER(J218))),"",J30-J218)</f>
        <v/>
      </c>
      <c r="K406" s="48" t="str">
        <f aca="false">IF(OR(NOT(ISNUMBER(K30)),NOT(ISNUMBER(K218))),"",K30-K218)</f>
        <v/>
      </c>
      <c r="L406" s="48" t="str">
        <f aca="false">IF(OR(NOT(ISNUMBER(L30)),NOT(ISNUMBER(L218))),"",L30-L218)</f>
        <v/>
      </c>
      <c r="M406" s="48" t="str">
        <f aca="false">IF(OR(NOT(ISNUMBER(M30)),NOT(ISNUMBER(M218))),"",M30-M218)</f>
        <v/>
      </c>
      <c r="N406" s="48" t="str">
        <f aca="false">IF(OR(NOT(ISNUMBER(N30)),NOT(ISNUMBER(N218))),"",N30-N218)</f>
        <v/>
      </c>
      <c r="O406" s="54" t="str">
        <f aca="false">IF(OR(NOT(ISNUMBER(O30)),NOT(ISNUMBER(O218))),"",O30-O218)</f>
        <v/>
      </c>
      <c r="P406" s="11" t="str">
        <f aca="false">IF(COUNT(D406:N406)=0,"",IF(AND(MAX(D406:N406)&lt;2,MIN(D406:N406)&gt;-2),"Sin diferencia","Diferencia a explicar"))</f>
        <v/>
      </c>
    </row>
    <row r="407" customFormat="false" ht="15" hidden="true" customHeight="false" outlineLevel="1" collapsed="false">
      <c r="A407" s="11" t="s">
        <v>2108</v>
      </c>
      <c r="B407" s="53" t="str">
        <f aca="false">IF(INDEX(Prod_Nombre,8)="","Producto 8",INDEX(Prod_Nombre,8))</f>
        <v>Producto 8</v>
      </c>
      <c r="C407" s="11" t="s">
        <v>508</v>
      </c>
      <c r="D407" s="48" t="str">
        <f aca="false">IF(OR(NOT(ISNUMBER(D31)),NOT(ISNUMBER(D219))),"",D31-D219)</f>
        <v/>
      </c>
      <c r="E407" s="48" t="str">
        <f aca="false">IF(OR(NOT(ISNUMBER(E31)),NOT(ISNUMBER(E219))),"",E31-E219)</f>
        <v/>
      </c>
      <c r="F407" s="48" t="str">
        <f aca="false">IF(OR(NOT(ISNUMBER(F31)),NOT(ISNUMBER(F219))),"",F31-F219)</f>
        <v/>
      </c>
      <c r="G407" s="48" t="str">
        <f aca="false">IF(OR(NOT(ISNUMBER(G31)),NOT(ISNUMBER(G219))),"",G31-G219)</f>
        <v/>
      </c>
      <c r="H407" s="48" t="str">
        <f aca="false">IF(OR(NOT(ISNUMBER(H31)),NOT(ISNUMBER(H219))),"",H31-H219)</f>
        <v/>
      </c>
      <c r="I407" s="48" t="str">
        <f aca="false">IF(OR(NOT(ISNUMBER(I31)),NOT(ISNUMBER(I219))),"",I31-I219)</f>
        <v/>
      </c>
      <c r="J407" s="48" t="str">
        <f aca="false">IF(OR(NOT(ISNUMBER(J31)),NOT(ISNUMBER(J219))),"",J31-J219)</f>
        <v/>
      </c>
      <c r="K407" s="48" t="str">
        <f aca="false">IF(OR(NOT(ISNUMBER(K31)),NOT(ISNUMBER(K219))),"",K31-K219)</f>
        <v/>
      </c>
      <c r="L407" s="48" t="str">
        <f aca="false">IF(OR(NOT(ISNUMBER(L31)),NOT(ISNUMBER(L219))),"",L31-L219)</f>
        <v/>
      </c>
      <c r="M407" s="48" t="str">
        <f aca="false">IF(OR(NOT(ISNUMBER(M31)),NOT(ISNUMBER(M219))),"",M31-M219)</f>
        <v/>
      </c>
      <c r="N407" s="48" t="str">
        <f aca="false">IF(OR(NOT(ISNUMBER(N31)),NOT(ISNUMBER(N219))),"",N31-N219)</f>
        <v/>
      </c>
      <c r="O407" s="54" t="str">
        <f aca="false">IF(OR(NOT(ISNUMBER(O31)),NOT(ISNUMBER(O219))),"",O31-O219)</f>
        <v/>
      </c>
      <c r="P407" s="11" t="str">
        <f aca="false">IF(COUNT(D407:N407)=0,"",IF(AND(MAX(D407:N407)&lt;2,MIN(D407:N407)&gt;-2),"Sin diferencia","Diferencia a explicar"))</f>
        <v/>
      </c>
    </row>
    <row r="408" customFormat="false" ht="15" hidden="true" customHeight="false" outlineLevel="1" collapsed="false">
      <c r="A408" s="11" t="s">
        <v>2109</v>
      </c>
      <c r="B408" s="15" t="s">
        <v>2087</v>
      </c>
      <c r="C408" s="11" t="s">
        <v>748</v>
      </c>
      <c r="E408" s="50" t="str">
        <f aca="false">IF(OR(NOT(ISNUMBER(E32)),NOT(ISNUMBER(E220))),"",E32-E220)</f>
        <v/>
      </c>
      <c r="F408" s="50" t="str">
        <f aca="false">IF(OR(NOT(ISNUMBER(F32)),NOT(ISNUMBER(F220))),"",F32-F220)</f>
        <v/>
      </c>
      <c r="G408" s="50" t="str">
        <f aca="false">IF(OR(NOT(ISNUMBER(G32)),NOT(ISNUMBER(G220))),"",G32-G220)</f>
        <v/>
      </c>
      <c r="H408" s="50" t="str">
        <f aca="false">IF(OR(NOT(ISNUMBER(H32)),NOT(ISNUMBER(H220))),"",H32-H220)</f>
        <v/>
      </c>
      <c r="I408" s="50" t="str">
        <f aca="false">IF(OR(NOT(ISNUMBER(I32)),NOT(ISNUMBER(I220))),"",I32-I220)</f>
        <v/>
      </c>
      <c r="J408" s="50" t="str">
        <f aca="false">IF(OR(NOT(ISNUMBER(J32)),NOT(ISNUMBER(J220))),"",J32-J220)</f>
        <v/>
      </c>
      <c r="K408" s="50" t="str">
        <f aca="false">IF(OR(NOT(ISNUMBER(K32)),NOT(ISNUMBER(K220))),"",K32-K220)</f>
        <v/>
      </c>
      <c r="L408" s="50" t="str">
        <f aca="false">IF(OR(NOT(ISNUMBER(L32)),NOT(ISNUMBER(L220))),"",L32-L220)</f>
        <v/>
      </c>
      <c r="M408" s="50" t="str">
        <f aca="false">IF(OR(NOT(ISNUMBER(M32)),NOT(ISNUMBER(M220))),"",M32-M220)</f>
        <v/>
      </c>
      <c r="N408" s="50" t="str">
        <f aca="false">IF(OR(NOT(ISNUMBER(N32)),NOT(ISNUMBER(N220))),"",N32-N220)</f>
        <v/>
      </c>
      <c r="O408" s="68" t="str">
        <f aca="false">IF(OR(NOT(ISNUMBER(O32)),NOT(ISNUMBER(O220))),"",O32-O220)</f>
        <v/>
      </c>
      <c r="P408" s="11" t="str">
        <f aca="false">IF(COUNT(D408:N408)=0,"",IF(AND(MAX(D408:N408)&lt;0.005,MIN(D408:N408)&gt;-0.005),"Sin diferencia","Diferencia a explicar"))</f>
        <v/>
      </c>
    </row>
    <row r="409" customFormat="false" ht="15" hidden="true" customHeight="false" outlineLevel="1" collapsed="false">
      <c r="A409" s="11" t="s">
        <v>2110</v>
      </c>
      <c r="B409" s="15" t="s">
        <v>2089</v>
      </c>
      <c r="C409" s="11" t="s">
        <v>544</v>
      </c>
      <c r="D409" s="48" t="str">
        <f aca="false">IF(OR(NOT(ISNUMBER(D33)),NOT(ISNUMBER(D221))),"",D33-D221)</f>
        <v/>
      </c>
      <c r="E409" s="48" t="str">
        <f aca="false">IF(OR(NOT(ISNUMBER(E33)),NOT(ISNUMBER(E221))),"",E33-E221)</f>
        <v/>
      </c>
      <c r="F409" s="48" t="str">
        <f aca="false">IF(OR(NOT(ISNUMBER(F33)),NOT(ISNUMBER(F221))),"",F33-F221)</f>
        <v/>
      </c>
      <c r="G409" s="48" t="str">
        <f aca="false">IF(OR(NOT(ISNUMBER(G33)),NOT(ISNUMBER(G221))),"",G33-G221)</f>
        <v/>
      </c>
      <c r="H409" s="48" t="str">
        <f aca="false">IF(OR(NOT(ISNUMBER(H33)),NOT(ISNUMBER(H221))),"",H33-H221)</f>
        <v/>
      </c>
      <c r="I409" s="48" t="str">
        <f aca="false">IF(OR(NOT(ISNUMBER(I33)),NOT(ISNUMBER(I221))),"",I33-I221)</f>
        <v/>
      </c>
      <c r="J409" s="48" t="str">
        <f aca="false">IF(OR(NOT(ISNUMBER(J33)),NOT(ISNUMBER(J221))),"",J33-J221)</f>
        <v/>
      </c>
      <c r="K409" s="48" t="str">
        <f aca="false">IF(OR(NOT(ISNUMBER(K33)),NOT(ISNUMBER(K221))),"",K33-K221)</f>
        <v/>
      </c>
      <c r="L409" s="48" t="str">
        <f aca="false">IF(OR(NOT(ISNUMBER(L33)),NOT(ISNUMBER(L221))),"",L33-L221)</f>
        <v/>
      </c>
      <c r="M409" s="48" t="str">
        <f aca="false">IF(OR(NOT(ISNUMBER(M33)),NOT(ISNUMBER(M221))),"",M33-M221)</f>
        <v/>
      </c>
      <c r="N409" s="48" t="str">
        <f aca="false">IF(OR(NOT(ISNUMBER(N33)),NOT(ISNUMBER(N221))),"",N33-N221)</f>
        <v/>
      </c>
      <c r="O409" s="54" t="str">
        <f aca="false">IF(OR(NOT(ISNUMBER(O33)),NOT(ISNUMBER(O221))),"",O33-O221)</f>
        <v/>
      </c>
      <c r="P409" s="11" t="str">
        <f aca="false">IF(COUNT(D409:N409)=0,"",IF(AND(MAX(D409:N409)&lt;2,MIN(D409:N409)&gt;-2),"Sin diferencia","Diferencia a explicar"))</f>
        <v/>
      </c>
    </row>
    <row r="410" customFormat="false" ht="15" hidden="true" customHeight="false" outlineLevel="1" collapsed="false">
      <c r="A410" s="11" t="s">
        <v>2111</v>
      </c>
      <c r="B410" s="53" t="str">
        <f aca="false">IF(INDEX(Prod_Nombre,9)="","Producto 9",INDEX(Prod_Nombre,9))</f>
        <v>Producto 9</v>
      </c>
      <c r="C410" s="11" t="s">
        <v>508</v>
      </c>
      <c r="D410" s="48" t="str">
        <f aca="false">IF(OR(NOT(ISNUMBER(D34)),NOT(ISNUMBER(D222))),"",D34-D222)</f>
        <v/>
      </c>
      <c r="E410" s="48" t="str">
        <f aca="false">IF(OR(NOT(ISNUMBER(E34)),NOT(ISNUMBER(E222))),"",E34-E222)</f>
        <v/>
      </c>
      <c r="F410" s="48" t="str">
        <f aca="false">IF(OR(NOT(ISNUMBER(F34)),NOT(ISNUMBER(F222))),"",F34-F222)</f>
        <v/>
      </c>
      <c r="G410" s="48" t="str">
        <f aca="false">IF(OR(NOT(ISNUMBER(G34)),NOT(ISNUMBER(G222))),"",G34-G222)</f>
        <v/>
      </c>
      <c r="H410" s="48" t="str">
        <f aca="false">IF(OR(NOT(ISNUMBER(H34)),NOT(ISNUMBER(H222))),"",H34-H222)</f>
        <v/>
      </c>
      <c r="I410" s="48" t="str">
        <f aca="false">IF(OR(NOT(ISNUMBER(I34)),NOT(ISNUMBER(I222))),"",I34-I222)</f>
        <v/>
      </c>
      <c r="J410" s="48" t="str">
        <f aca="false">IF(OR(NOT(ISNUMBER(J34)),NOT(ISNUMBER(J222))),"",J34-J222)</f>
        <v/>
      </c>
      <c r="K410" s="48" t="str">
        <f aca="false">IF(OR(NOT(ISNUMBER(K34)),NOT(ISNUMBER(K222))),"",K34-K222)</f>
        <v/>
      </c>
      <c r="L410" s="48" t="str">
        <f aca="false">IF(OR(NOT(ISNUMBER(L34)),NOT(ISNUMBER(L222))),"",L34-L222)</f>
        <v/>
      </c>
      <c r="M410" s="48" t="str">
        <f aca="false">IF(OR(NOT(ISNUMBER(M34)),NOT(ISNUMBER(M222))),"",M34-M222)</f>
        <v/>
      </c>
      <c r="N410" s="48" t="str">
        <f aca="false">IF(OR(NOT(ISNUMBER(N34)),NOT(ISNUMBER(N222))),"",N34-N222)</f>
        <v/>
      </c>
      <c r="O410" s="54" t="str">
        <f aca="false">IF(OR(NOT(ISNUMBER(O34)),NOT(ISNUMBER(O222))),"",O34-O222)</f>
        <v/>
      </c>
      <c r="P410" s="11" t="str">
        <f aca="false">IF(COUNT(D410:N410)=0,"",IF(AND(MAX(D410:N410)&lt;2,MIN(D410:N410)&gt;-2),"Sin diferencia","Diferencia a explicar"))</f>
        <v/>
      </c>
    </row>
    <row r="411" customFormat="false" ht="15" hidden="true" customHeight="false" outlineLevel="1" collapsed="false">
      <c r="A411" s="11" t="s">
        <v>2112</v>
      </c>
      <c r="B411" s="15" t="s">
        <v>2087</v>
      </c>
      <c r="C411" s="11" t="s">
        <v>748</v>
      </c>
      <c r="E411" s="50" t="str">
        <f aca="false">IF(OR(NOT(ISNUMBER(E35)),NOT(ISNUMBER(E223))),"",E35-E223)</f>
        <v/>
      </c>
      <c r="F411" s="50" t="str">
        <f aca="false">IF(OR(NOT(ISNUMBER(F35)),NOT(ISNUMBER(F223))),"",F35-F223)</f>
        <v/>
      </c>
      <c r="G411" s="50" t="str">
        <f aca="false">IF(OR(NOT(ISNUMBER(G35)),NOT(ISNUMBER(G223))),"",G35-G223)</f>
        <v/>
      </c>
      <c r="H411" s="50" t="str">
        <f aca="false">IF(OR(NOT(ISNUMBER(H35)),NOT(ISNUMBER(H223))),"",H35-H223)</f>
        <v/>
      </c>
      <c r="I411" s="50" t="str">
        <f aca="false">IF(OR(NOT(ISNUMBER(I35)),NOT(ISNUMBER(I223))),"",I35-I223)</f>
        <v/>
      </c>
      <c r="J411" s="50" t="str">
        <f aca="false">IF(OR(NOT(ISNUMBER(J35)),NOT(ISNUMBER(J223))),"",J35-J223)</f>
        <v/>
      </c>
      <c r="K411" s="50" t="str">
        <f aca="false">IF(OR(NOT(ISNUMBER(K35)),NOT(ISNUMBER(K223))),"",K35-K223)</f>
        <v/>
      </c>
      <c r="L411" s="50" t="str">
        <f aca="false">IF(OR(NOT(ISNUMBER(L35)),NOT(ISNUMBER(L223))),"",L35-L223)</f>
        <v/>
      </c>
      <c r="M411" s="50" t="str">
        <f aca="false">IF(OR(NOT(ISNUMBER(M35)),NOT(ISNUMBER(M223))),"",M35-M223)</f>
        <v/>
      </c>
      <c r="N411" s="50" t="str">
        <f aca="false">IF(OR(NOT(ISNUMBER(N35)),NOT(ISNUMBER(N223))),"",N35-N223)</f>
        <v/>
      </c>
      <c r="O411" s="68" t="str">
        <f aca="false">IF(OR(NOT(ISNUMBER(O35)),NOT(ISNUMBER(O223))),"",O35-O223)</f>
        <v/>
      </c>
      <c r="P411" s="11" t="str">
        <f aca="false">IF(COUNT(D411:N411)=0,"",IF(AND(MAX(D411:N411)&lt;0.005,MIN(D411:N411)&gt;-0.005),"Sin diferencia","Diferencia a explicar"))</f>
        <v/>
      </c>
    </row>
    <row r="412" customFormat="false" ht="15" hidden="true" customHeight="false" outlineLevel="1" collapsed="false">
      <c r="A412" s="11" t="s">
        <v>2113</v>
      </c>
      <c r="B412" s="15" t="s">
        <v>2089</v>
      </c>
      <c r="C412" s="11" t="s">
        <v>544</v>
      </c>
      <c r="D412" s="48" t="str">
        <f aca="false">IF(OR(NOT(ISNUMBER(D36)),NOT(ISNUMBER(D224))),"",D36-D224)</f>
        <v/>
      </c>
      <c r="E412" s="48" t="str">
        <f aca="false">IF(OR(NOT(ISNUMBER(E36)),NOT(ISNUMBER(E224))),"",E36-E224)</f>
        <v/>
      </c>
      <c r="F412" s="48" t="str">
        <f aca="false">IF(OR(NOT(ISNUMBER(F36)),NOT(ISNUMBER(F224))),"",F36-F224)</f>
        <v/>
      </c>
      <c r="G412" s="48" t="str">
        <f aca="false">IF(OR(NOT(ISNUMBER(G36)),NOT(ISNUMBER(G224))),"",G36-G224)</f>
        <v/>
      </c>
      <c r="H412" s="48" t="str">
        <f aca="false">IF(OR(NOT(ISNUMBER(H36)),NOT(ISNUMBER(H224))),"",H36-H224)</f>
        <v/>
      </c>
      <c r="I412" s="48" t="str">
        <f aca="false">IF(OR(NOT(ISNUMBER(I36)),NOT(ISNUMBER(I224))),"",I36-I224)</f>
        <v/>
      </c>
      <c r="J412" s="48" t="str">
        <f aca="false">IF(OR(NOT(ISNUMBER(J36)),NOT(ISNUMBER(J224))),"",J36-J224)</f>
        <v/>
      </c>
      <c r="K412" s="48" t="str">
        <f aca="false">IF(OR(NOT(ISNUMBER(K36)),NOT(ISNUMBER(K224))),"",K36-K224)</f>
        <v/>
      </c>
      <c r="L412" s="48" t="str">
        <f aca="false">IF(OR(NOT(ISNUMBER(L36)),NOT(ISNUMBER(L224))),"",L36-L224)</f>
        <v/>
      </c>
      <c r="M412" s="48" t="str">
        <f aca="false">IF(OR(NOT(ISNUMBER(M36)),NOT(ISNUMBER(M224))),"",M36-M224)</f>
        <v/>
      </c>
      <c r="N412" s="48" t="str">
        <f aca="false">IF(OR(NOT(ISNUMBER(N36)),NOT(ISNUMBER(N224))),"",N36-N224)</f>
        <v/>
      </c>
      <c r="O412" s="54" t="str">
        <f aca="false">IF(OR(NOT(ISNUMBER(O36)),NOT(ISNUMBER(O224))),"",O36-O224)</f>
        <v/>
      </c>
      <c r="P412" s="11" t="str">
        <f aca="false">IF(COUNT(D412:N412)=0,"",IF(AND(MAX(D412:N412)&lt;2,MIN(D412:N412)&gt;-2),"Sin diferencia","Diferencia a explicar"))</f>
        <v/>
      </c>
    </row>
    <row r="413" customFormat="false" ht="15" hidden="true" customHeight="false" outlineLevel="1" collapsed="false">
      <c r="A413" s="11" t="s">
        <v>2114</v>
      </c>
      <c r="B413" s="53" t="str">
        <f aca="false">IF(INDEX(Prod_Nombre,10)="","Producto 10",INDEX(Prod_Nombre,10))</f>
        <v>Producto 10</v>
      </c>
      <c r="C413" s="11" t="s">
        <v>508</v>
      </c>
      <c r="D413" s="48" t="str">
        <f aca="false">IF(OR(NOT(ISNUMBER(D37)),NOT(ISNUMBER(D225))),"",D37-D225)</f>
        <v/>
      </c>
      <c r="E413" s="48" t="str">
        <f aca="false">IF(OR(NOT(ISNUMBER(E37)),NOT(ISNUMBER(E225))),"",E37-E225)</f>
        <v/>
      </c>
      <c r="F413" s="48" t="str">
        <f aca="false">IF(OR(NOT(ISNUMBER(F37)),NOT(ISNUMBER(F225))),"",F37-F225)</f>
        <v/>
      </c>
      <c r="G413" s="48" t="str">
        <f aca="false">IF(OR(NOT(ISNUMBER(G37)),NOT(ISNUMBER(G225))),"",G37-G225)</f>
        <v/>
      </c>
      <c r="H413" s="48" t="str">
        <f aca="false">IF(OR(NOT(ISNUMBER(H37)),NOT(ISNUMBER(H225))),"",H37-H225)</f>
        <v/>
      </c>
      <c r="I413" s="48" t="str">
        <f aca="false">IF(OR(NOT(ISNUMBER(I37)),NOT(ISNUMBER(I225))),"",I37-I225)</f>
        <v/>
      </c>
      <c r="J413" s="48" t="str">
        <f aca="false">IF(OR(NOT(ISNUMBER(J37)),NOT(ISNUMBER(J225))),"",J37-J225)</f>
        <v/>
      </c>
      <c r="K413" s="48" t="str">
        <f aca="false">IF(OR(NOT(ISNUMBER(K37)),NOT(ISNUMBER(K225))),"",K37-K225)</f>
        <v/>
      </c>
      <c r="L413" s="48" t="str">
        <f aca="false">IF(OR(NOT(ISNUMBER(L37)),NOT(ISNUMBER(L225))),"",L37-L225)</f>
        <v/>
      </c>
      <c r="M413" s="48" t="str">
        <f aca="false">IF(OR(NOT(ISNUMBER(M37)),NOT(ISNUMBER(M225))),"",M37-M225)</f>
        <v/>
      </c>
      <c r="N413" s="48" t="str">
        <f aca="false">IF(OR(NOT(ISNUMBER(N37)),NOT(ISNUMBER(N225))),"",N37-N225)</f>
        <v/>
      </c>
      <c r="O413" s="54" t="str">
        <f aca="false">IF(OR(NOT(ISNUMBER(O37)),NOT(ISNUMBER(O225))),"",O37-O225)</f>
        <v/>
      </c>
      <c r="P413" s="11" t="str">
        <f aca="false">IF(COUNT(D413:N413)=0,"",IF(AND(MAX(D413:N413)&lt;2,MIN(D413:N413)&gt;-2),"Sin diferencia","Diferencia a explicar"))</f>
        <v/>
      </c>
    </row>
    <row r="414" customFormat="false" ht="15" hidden="true" customHeight="false" outlineLevel="1" collapsed="false">
      <c r="A414" s="11" t="s">
        <v>2115</v>
      </c>
      <c r="B414" s="15" t="s">
        <v>2087</v>
      </c>
      <c r="C414" s="11" t="s">
        <v>748</v>
      </c>
      <c r="E414" s="50" t="str">
        <f aca="false">IF(OR(NOT(ISNUMBER(E38)),NOT(ISNUMBER(E226))),"",E38-E226)</f>
        <v/>
      </c>
      <c r="F414" s="50" t="str">
        <f aca="false">IF(OR(NOT(ISNUMBER(F38)),NOT(ISNUMBER(F226))),"",F38-F226)</f>
        <v/>
      </c>
      <c r="G414" s="50" t="str">
        <f aca="false">IF(OR(NOT(ISNUMBER(G38)),NOT(ISNUMBER(G226))),"",G38-G226)</f>
        <v/>
      </c>
      <c r="H414" s="50" t="str">
        <f aca="false">IF(OR(NOT(ISNUMBER(H38)),NOT(ISNUMBER(H226))),"",H38-H226)</f>
        <v/>
      </c>
      <c r="I414" s="50" t="str">
        <f aca="false">IF(OR(NOT(ISNUMBER(I38)),NOT(ISNUMBER(I226))),"",I38-I226)</f>
        <v/>
      </c>
      <c r="J414" s="50" t="str">
        <f aca="false">IF(OR(NOT(ISNUMBER(J38)),NOT(ISNUMBER(J226))),"",J38-J226)</f>
        <v/>
      </c>
      <c r="K414" s="50" t="str">
        <f aca="false">IF(OR(NOT(ISNUMBER(K38)),NOT(ISNUMBER(K226))),"",K38-K226)</f>
        <v/>
      </c>
      <c r="L414" s="50" t="str">
        <f aca="false">IF(OR(NOT(ISNUMBER(L38)),NOT(ISNUMBER(L226))),"",L38-L226)</f>
        <v/>
      </c>
      <c r="M414" s="50" t="str">
        <f aca="false">IF(OR(NOT(ISNUMBER(M38)),NOT(ISNUMBER(M226))),"",M38-M226)</f>
        <v/>
      </c>
      <c r="N414" s="50" t="str">
        <f aca="false">IF(OR(NOT(ISNUMBER(N38)),NOT(ISNUMBER(N226))),"",N38-N226)</f>
        <v/>
      </c>
      <c r="O414" s="68" t="str">
        <f aca="false">IF(OR(NOT(ISNUMBER(O38)),NOT(ISNUMBER(O226))),"",O38-O226)</f>
        <v/>
      </c>
      <c r="P414" s="11" t="str">
        <f aca="false">IF(COUNT(D414:N414)=0,"",IF(AND(MAX(D414:N414)&lt;0.005,MIN(D414:N414)&gt;-0.005),"Sin diferencia","Diferencia a explicar"))</f>
        <v/>
      </c>
    </row>
    <row r="415" customFormat="false" ht="15" hidden="true" customHeight="false" outlineLevel="1" collapsed="false">
      <c r="A415" s="11" t="s">
        <v>2116</v>
      </c>
      <c r="B415" s="15" t="s">
        <v>2089</v>
      </c>
      <c r="C415" s="11" t="s">
        <v>544</v>
      </c>
      <c r="D415" s="48" t="str">
        <f aca="false">IF(OR(NOT(ISNUMBER(D39)),NOT(ISNUMBER(D227))),"",D39-D227)</f>
        <v/>
      </c>
      <c r="E415" s="48" t="str">
        <f aca="false">IF(OR(NOT(ISNUMBER(E39)),NOT(ISNUMBER(E227))),"",E39-E227)</f>
        <v/>
      </c>
      <c r="F415" s="48" t="str">
        <f aca="false">IF(OR(NOT(ISNUMBER(F39)),NOT(ISNUMBER(F227))),"",F39-F227)</f>
        <v/>
      </c>
      <c r="G415" s="48" t="str">
        <f aca="false">IF(OR(NOT(ISNUMBER(G39)),NOT(ISNUMBER(G227))),"",G39-G227)</f>
        <v/>
      </c>
      <c r="H415" s="48" t="str">
        <f aca="false">IF(OR(NOT(ISNUMBER(H39)),NOT(ISNUMBER(H227))),"",H39-H227)</f>
        <v/>
      </c>
      <c r="I415" s="48" t="str">
        <f aca="false">IF(OR(NOT(ISNUMBER(I39)),NOT(ISNUMBER(I227))),"",I39-I227)</f>
        <v/>
      </c>
      <c r="J415" s="48" t="str">
        <f aca="false">IF(OR(NOT(ISNUMBER(J39)),NOT(ISNUMBER(J227))),"",J39-J227)</f>
        <v/>
      </c>
      <c r="K415" s="48" t="str">
        <f aca="false">IF(OR(NOT(ISNUMBER(K39)),NOT(ISNUMBER(K227))),"",K39-K227)</f>
        <v/>
      </c>
      <c r="L415" s="48" t="str">
        <f aca="false">IF(OR(NOT(ISNUMBER(L39)),NOT(ISNUMBER(L227))),"",L39-L227)</f>
        <v/>
      </c>
      <c r="M415" s="48" t="str">
        <f aca="false">IF(OR(NOT(ISNUMBER(M39)),NOT(ISNUMBER(M227))),"",M39-M227)</f>
        <v/>
      </c>
      <c r="N415" s="48" t="str">
        <f aca="false">IF(OR(NOT(ISNUMBER(N39)),NOT(ISNUMBER(N227))),"",N39-N227)</f>
        <v/>
      </c>
      <c r="O415" s="54" t="str">
        <f aca="false">IF(OR(NOT(ISNUMBER(O39)),NOT(ISNUMBER(O227))),"",O39-O227)</f>
        <v/>
      </c>
      <c r="P415" s="11" t="str">
        <f aca="false">IF(COUNT(D415:N415)=0,"",IF(AND(MAX(D415:N415)&lt;2,MIN(D415:N415)&gt;-2),"Sin diferencia","Diferencia a explicar"))</f>
        <v/>
      </c>
    </row>
    <row r="416" customFormat="false" ht="15" hidden="true" customHeight="false" outlineLevel="1" collapsed="false">
      <c r="A416" s="11" t="s">
        <v>2117</v>
      </c>
      <c r="B416" s="53" t="str">
        <f aca="false">IF(INDEX(Prod_Nombre,11)="","Producto 11",INDEX(Prod_Nombre,11))</f>
        <v>Producto 11</v>
      </c>
      <c r="C416" s="11" t="s">
        <v>508</v>
      </c>
      <c r="D416" s="48" t="str">
        <f aca="false">IF(OR(NOT(ISNUMBER(D40)),NOT(ISNUMBER(D228))),"",D40-D228)</f>
        <v/>
      </c>
      <c r="E416" s="48" t="str">
        <f aca="false">IF(OR(NOT(ISNUMBER(E40)),NOT(ISNUMBER(E228))),"",E40-E228)</f>
        <v/>
      </c>
      <c r="F416" s="48" t="str">
        <f aca="false">IF(OR(NOT(ISNUMBER(F40)),NOT(ISNUMBER(F228))),"",F40-F228)</f>
        <v/>
      </c>
      <c r="G416" s="48" t="str">
        <f aca="false">IF(OR(NOT(ISNUMBER(G40)),NOT(ISNUMBER(G228))),"",G40-G228)</f>
        <v/>
      </c>
      <c r="H416" s="48" t="str">
        <f aca="false">IF(OR(NOT(ISNUMBER(H40)),NOT(ISNUMBER(H228))),"",H40-H228)</f>
        <v/>
      </c>
      <c r="I416" s="48" t="str">
        <f aca="false">IF(OR(NOT(ISNUMBER(I40)),NOT(ISNUMBER(I228))),"",I40-I228)</f>
        <v/>
      </c>
      <c r="J416" s="48" t="str">
        <f aca="false">IF(OR(NOT(ISNUMBER(J40)),NOT(ISNUMBER(J228))),"",J40-J228)</f>
        <v/>
      </c>
      <c r="K416" s="48" t="str">
        <f aca="false">IF(OR(NOT(ISNUMBER(K40)),NOT(ISNUMBER(K228))),"",K40-K228)</f>
        <v/>
      </c>
      <c r="L416" s="48" t="str">
        <f aca="false">IF(OR(NOT(ISNUMBER(L40)),NOT(ISNUMBER(L228))),"",L40-L228)</f>
        <v/>
      </c>
      <c r="M416" s="48" t="str">
        <f aca="false">IF(OR(NOT(ISNUMBER(M40)),NOT(ISNUMBER(M228))),"",M40-M228)</f>
        <v/>
      </c>
      <c r="N416" s="48" t="str">
        <f aca="false">IF(OR(NOT(ISNUMBER(N40)),NOT(ISNUMBER(N228))),"",N40-N228)</f>
        <v/>
      </c>
      <c r="O416" s="54" t="str">
        <f aca="false">IF(OR(NOT(ISNUMBER(O40)),NOT(ISNUMBER(O228))),"",O40-O228)</f>
        <v/>
      </c>
      <c r="P416" s="11" t="str">
        <f aca="false">IF(COUNT(D416:N416)=0,"",IF(AND(MAX(D416:N416)&lt;2,MIN(D416:N416)&gt;-2),"Sin diferencia","Diferencia a explicar"))</f>
        <v/>
      </c>
    </row>
    <row r="417" customFormat="false" ht="15" hidden="true" customHeight="false" outlineLevel="1" collapsed="false">
      <c r="A417" s="11" t="s">
        <v>2118</v>
      </c>
      <c r="B417" s="15" t="s">
        <v>2087</v>
      </c>
      <c r="C417" s="11" t="s">
        <v>748</v>
      </c>
      <c r="E417" s="50" t="str">
        <f aca="false">IF(OR(NOT(ISNUMBER(E41)),NOT(ISNUMBER(E229))),"",E41-E229)</f>
        <v/>
      </c>
      <c r="F417" s="50" t="str">
        <f aca="false">IF(OR(NOT(ISNUMBER(F41)),NOT(ISNUMBER(F229))),"",F41-F229)</f>
        <v/>
      </c>
      <c r="G417" s="50" t="str">
        <f aca="false">IF(OR(NOT(ISNUMBER(G41)),NOT(ISNUMBER(G229))),"",G41-G229)</f>
        <v/>
      </c>
      <c r="H417" s="50" t="str">
        <f aca="false">IF(OR(NOT(ISNUMBER(H41)),NOT(ISNUMBER(H229))),"",H41-H229)</f>
        <v/>
      </c>
      <c r="I417" s="50" t="str">
        <f aca="false">IF(OR(NOT(ISNUMBER(I41)),NOT(ISNUMBER(I229))),"",I41-I229)</f>
        <v/>
      </c>
      <c r="J417" s="50" t="str">
        <f aca="false">IF(OR(NOT(ISNUMBER(J41)),NOT(ISNUMBER(J229))),"",J41-J229)</f>
        <v/>
      </c>
      <c r="K417" s="50" t="str">
        <f aca="false">IF(OR(NOT(ISNUMBER(K41)),NOT(ISNUMBER(K229))),"",K41-K229)</f>
        <v/>
      </c>
      <c r="L417" s="50" t="str">
        <f aca="false">IF(OR(NOT(ISNUMBER(L41)),NOT(ISNUMBER(L229))),"",L41-L229)</f>
        <v/>
      </c>
      <c r="M417" s="50" t="str">
        <f aca="false">IF(OR(NOT(ISNUMBER(M41)),NOT(ISNUMBER(M229))),"",M41-M229)</f>
        <v/>
      </c>
      <c r="N417" s="50" t="str">
        <f aca="false">IF(OR(NOT(ISNUMBER(N41)),NOT(ISNUMBER(N229))),"",N41-N229)</f>
        <v/>
      </c>
      <c r="O417" s="68" t="str">
        <f aca="false">IF(OR(NOT(ISNUMBER(O41)),NOT(ISNUMBER(O229))),"",O41-O229)</f>
        <v/>
      </c>
      <c r="P417" s="11" t="str">
        <f aca="false">IF(COUNT(D417:N417)=0,"",IF(AND(MAX(D417:N417)&lt;0.005,MIN(D417:N417)&gt;-0.005),"Sin diferencia","Diferencia a explicar"))</f>
        <v/>
      </c>
    </row>
    <row r="418" customFormat="false" ht="15" hidden="true" customHeight="false" outlineLevel="1" collapsed="false">
      <c r="A418" s="11" t="s">
        <v>2119</v>
      </c>
      <c r="B418" s="15" t="s">
        <v>2089</v>
      </c>
      <c r="C418" s="11" t="s">
        <v>544</v>
      </c>
      <c r="D418" s="48" t="str">
        <f aca="false">IF(OR(NOT(ISNUMBER(D42)),NOT(ISNUMBER(D230))),"",D42-D230)</f>
        <v/>
      </c>
      <c r="E418" s="48" t="str">
        <f aca="false">IF(OR(NOT(ISNUMBER(E42)),NOT(ISNUMBER(E230))),"",E42-E230)</f>
        <v/>
      </c>
      <c r="F418" s="48" t="str">
        <f aca="false">IF(OR(NOT(ISNUMBER(F42)),NOT(ISNUMBER(F230))),"",F42-F230)</f>
        <v/>
      </c>
      <c r="G418" s="48" t="str">
        <f aca="false">IF(OR(NOT(ISNUMBER(G42)),NOT(ISNUMBER(G230))),"",G42-G230)</f>
        <v/>
      </c>
      <c r="H418" s="48" t="str">
        <f aca="false">IF(OR(NOT(ISNUMBER(H42)),NOT(ISNUMBER(H230))),"",H42-H230)</f>
        <v/>
      </c>
      <c r="I418" s="48" t="str">
        <f aca="false">IF(OR(NOT(ISNUMBER(I42)),NOT(ISNUMBER(I230))),"",I42-I230)</f>
        <v/>
      </c>
      <c r="J418" s="48" t="str">
        <f aca="false">IF(OR(NOT(ISNUMBER(J42)),NOT(ISNUMBER(J230))),"",J42-J230)</f>
        <v/>
      </c>
      <c r="K418" s="48" t="str">
        <f aca="false">IF(OR(NOT(ISNUMBER(K42)),NOT(ISNUMBER(K230))),"",K42-K230)</f>
        <v/>
      </c>
      <c r="L418" s="48" t="str">
        <f aca="false">IF(OR(NOT(ISNUMBER(L42)),NOT(ISNUMBER(L230))),"",L42-L230)</f>
        <v/>
      </c>
      <c r="M418" s="48" t="str">
        <f aca="false">IF(OR(NOT(ISNUMBER(M42)),NOT(ISNUMBER(M230))),"",M42-M230)</f>
        <v/>
      </c>
      <c r="N418" s="48" t="str">
        <f aca="false">IF(OR(NOT(ISNUMBER(N42)),NOT(ISNUMBER(N230))),"",N42-N230)</f>
        <v/>
      </c>
      <c r="O418" s="54" t="str">
        <f aca="false">IF(OR(NOT(ISNUMBER(O42)),NOT(ISNUMBER(O230))),"",O42-O230)</f>
        <v/>
      </c>
      <c r="P418" s="11" t="str">
        <f aca="false">IF(COUNT(D418:N418)=0,"",IF(AND(MAX(D418:N418)&lt;2,MIN(D418:N418)&gt;-2),"Sin diferencia","Diferencia a explicar"))</f>
        <v/>
      </c>
    </row>
    <row r="419" customFormat="false" ht="15" hidden="true" customHeight="false" outlineLevel="1" collapsed="false">
      <c r="A419" s="11" t="s">
        <v>2120</v>
      </c>
      <c r="B419" s="53" t="str">
        <f aca="false">IF(INDEX(Prod_Nombre,12)="","Producto 12",INDEX(Prod_Nombre,12))</f>
        <v>Producto 12</v>
      </c>
      <c r="C419" s="11" t="s">
        <v>508</v>
      </c>
      <c r="D419" s="48" t="str">
        <f aca="false">IF(OR(NOT(ISNUMBER(D43)),NOT(ISNUMBER(D231))),"",D43-D231)</f>
        <v/>
      </c>
      <c r="E419" s="48" t="str">
        <f aca="false">IF(OR(NOT(ISNUMBER(E43)),NOT(ISNUMBER(E231))),"",E43-E231)</f>
        <v/>
      </c>
      <c r="F419" s="48" t="str">
        <f aca="false">IF(OR(NOT(ISNUMBER(F43)),NOT(ISNUMBER(F231))),"",F43-F231)</f>
        <v/>
      </c>
      <c r="G419" s="48" t="str">
        <f aca="false">IF(OR(NOT(ISNUMBER(G43)),NOT(ISNUMBER(G231))),"",G43-G231)</f>
        <v/>
      </c>
      <c r="H419" s="48" t="str">
        <f aca="false">IF(OR(NOT(ISNUMBER(H43)),NOT(ISNUMBER(H231))),"",H43-H231)</f>
        <v/>
      </c>
      <c r="I419" s="48" t="str">
        <f aca="false">IF(OR(NOT(ISNUMBER(I43)),NOT(ISNUMBER(I231))),"",I43-I231)</f>
        <v/>
      </c>
      <c r="J419" s="48" t="str">
        <f aca="false">IF(OR(NOT(ISNUMBER(J43)),NOT(ISNUMBER(J231))),"",J43-J231)</f>
        <v/>
      </c>
      <c r="K419" s="48" t="str">
        <f aca="false">IF(OR(NOT(ISNUMBER(K43)),NOT(ISNUMBER(K231))),"",K43-K231)</f>
        <v/>
      </c>
      <c r="L419" s="48" t="str">
        <f aca="false">IF(OR(NOT(ISNUMBER(L43)),NOT(ISNUMBER(L231))),"",L43-L231)</f>
        <v/>
      </c>
      <c r="M419" s="48" t="str">
        <f aca="false">IF(OR(NOT(ISNUMBER(M43)),NOT(ISNUMBER(M231))),"",M43-M231)</f>
        <v/>
      </c>
      <c r="N419" s="48" t="str">
        <f aca="false">IF(OR(NOT(ISNUMBER(N43)),NOT(ISNUMBER(N231))),"",N43-N231)</f>
        <v/>
      </c>
      <c r="O419" s="54" t="str">
        <f aca="false">IF(OR(NOT(ISNUMBER(O43)),NOT(ISNUMBER(O231))),"",O43-O231)</f>
        <v/>
      </c>
      <c r="P419" s="11" t="str">
        <f aca="false">IF(COUNT(D419:N419)=0,"",IF(AND(MAX(D419:N419)&lt;2,MIN(D419:N419)&gt;-2),"Sin diferencia","Diferencia a explicar"))</f>
        <v/>
      </c>
    </row>
    <row r="420" customFormat="false" ht="15" hidden="true" customHeight="false" outlineLevel="1" collapsed="false">
      <c r="A420" s="11" t="s">
        <v>2121</v>
      </c>
      <c r="B420" s="15" t="s">
        <v>2087</v>
      </c>
      <c r="C420" s="11" t="s">
        <v>748</v>
      </c>
      <c r="E420" s="50" t="str">
        <f aca="false">IF(OR(NOT(ISNUMBER(E44)),NOT(ISNUMBER(E232))),"",E44-E232)</f>
        <v/>
      </c>
      <c r="F420" s="50" t="str">
        <f aca="false">IF(OR(NOT(ISNUMBER(F44)),NOT(ISNUMBER(F232))),"",F44-F232)</f>
        <v/>
      </c>
      <c r="G420" s="50" t="str">
        <f aca="false">IF(OR(NOT(ISNUMBER(G44)),NOT(ISNUMBER(G232))),"",G44-G232)</f>
        <v/>
      </c>
      <c r="H420" s="50" t="str">
        <f aca="false">IF(OR(NOT(ISNUMBER(H44)),NOT(ISNUMBER(H232))),"",H44-H232)</f>
        <v/>
      </c>
      <c r="I420" s="50" t="str">
        <f aca="false">IF(OR(NOT(ISNUMBER(I44)),NOT(ISNUMBER(I232))),"",I44-I232)</f>
        <v/>
      </c>
      <c r="J420" s="50" t="str">
        <f aca="false">IF(OR(NOT(ISNUMBER(J44)),NOT(ISNUMBER(J232))),"",J44-J232)</f>
        <v/>
      </c>
      <c r="K420" s="50" t="str">
        <f aca="false">IF(OR(NOT(ISNUMBER(K44)),NOT(ISNUMBER(K232))),"",K44-K232)</f>
        <v/>
      </c>
      <c r="L420" s="50" t="str">
        <f aca="false">IF(OR(NOT(ISNUMBER(L44)),NOT(ISNUMBER(L232))),"",L44-L232)</f>
        <v/>
      </c>
      <c r="M420" s="50" t="str">
        <f aca="false">IF(OR(NOT(ISNUMBER(M44)),NOT(ISNUMBER(M232))),"",M44-M232)</f>
        <v/>
      </c>
      <c r="N420" s="50" t="str">
        <f aca="false">IF(OR(NOT(ISNUMBER(N44)),NOT(ISNUMBER(N232))),"",N44-N232)</f>
        <v/>
      </c>
      <c r="O420" s="68" t="str">
        <f aca="false">IF(OR(NOT(ISNUMBER(O44)),NOT(ISNUMBER(O232))),"",O44-O232)</f>
        <v/>
      </c>
      <c r="P420" s="11" t="str">
        <f aca="false">IF(COUNT(D420:N420)=0,"",IF(AND(MAX(D420:N420)&lt;0.005,MIN(D420:N420)&gt;-0.005),"Sin diferencia","Diferencia a explicar"))</f>
        <v/>
      </c>
    </row>
    <row r="421" customFormat="false" ht="15" hidden="true" customHeight="false" outlineLevel="1" collapsed="false">
      <c r="A421" s="11" t="s">
        <v>2122</v>
      </c>
      <c r="B421" s="15" t="s">
        <v>2089</v>
      </c>
      <c r="C421" s="11" t="s">
        <v>544</v>
      </c>
      <c r="D421" s="48" t="str">
        <f aca="false">IF(OR(NOT(ISNUMBER(D45)),NOT(ISNUMBER(D233))),"",D45-D233)</f>
        <v/>
      </c>
      <c r="E421" s="48" t="str">
        <f aca="false">IF(OR(NOT(ISNUMBER(E45)),NOT(ISNUMBER(E233))),"",E45-E233)</f>
        <v/>
      </c>
      <c r="F421" s="48" t="str">
        <f aca="false">IF(OR(NOT(ISNUMBER(F45)),NOT(ISNUMBER(F233))),"",F45-F233)</f>
        <v/>
      </c>
      <c r="G421" s="48" t="str">
        <f aca="false">IF(OR(NOT(ISNUMBER(G45)),NOT(ISNUMBER(G233))),"",G45-G233)</f>
        <v/>
      </c>
      <c r="H421" s="48" t="str">
        <f aca="false">IF(OR(NOT(ISNUMBER(H45)),NOT(ISNUMBER(H233))),"",H45-H233)</f>
        <v/>
      </c>
      <c r="I421" s="48" t="str">
        <f aca="false">IF(OR(NOT(ISNUMBER(I45)),NOT(ISNUMBER(I233))),"",I45-I233)</f>
        <v/>
      </c>
      <c r="J421" s="48" t="str">
        <f aca="false">IF(OR(NOT(ISNUMBER(J45)),NOT(ISNUMBER(J233))),"",J45-J233)</f>
        <v/>
      </c>
      <c r="K421" s="48" t="str">
        <f aca="false">IF(OR(NOT(ISNUMBER(K45)),NOT(ISNUMBER(K233))),"",K45-K233)</f>
        <v/>
      </c>
      <c r="L421" s="48" t="str">
        <f aca="false">IF(OR(NOT(ISNUMBER(L45)),NOT(ISNUMBER(L233))),"",L45-L233)</f>
        <v/>
      </c>
      <c r="M421" s="48" t="str">
        <f aca="false">IF(OR(NOT(ISNUMBER(M45)),NOT(ISNUMBER(M233))),"",M45-M233)</f>
        <v/>
      </c>
      <c r="N421" s="48" t="str">
        <f aca="false">IF(OR(NOT(ISNUMBER(N45)),NOT(ISNUMBER(N233))),"",N45-N233)</f>
        <v/>
      </c>
      <c r="O421" s="54" t="str">
        <f aca="false">IF(OR(NOT(ISNUMBER(O45)),NOT(ISNUMBER(O233))),"",O45-O233)</f>
        <v/>
      </c>
      <c r="P421" s="11" t="str">
        <f aca="false">IF(COUNT(D421:N421)=0,"",IF(AND(MAX(D421:N421)&lt;2,MIN(D421:N421)&gt;-2),"Sin diferencia","Diferencia a explicar"))</f>
        <v/>
      </c>
    </row>
    <row r="422" customFormat="false" ht="15" hidden="true" customHeight="false" outlineLevel="1" collapsed="false">
      <c r="A422" s="11" t="s">
        <v>2123</v>
      </c>
      <c r="B422" s="53" t="str">
        <f aca="false">IF(INDEX(Prod_Nombre,13)="","Producto 13",INDEX(Prod_Nombre,13))</f>
        <v>Producto 13</v>
      </c>
      <c r="C422" s="11" t="s">
        <v>508</v>
      </c>
      <c r="D422" s="48" t="str">
        <f aca="false">IF(OR(NOT(ISNUMBER(D46)),NOT(ISNUMBER(D234))),"",D46-D234)</f>
        <v/>
      </c>
      <c r="E422" s="48" t="str">
        <f aca="false">IF(OR(NOT(ISNUMBER(E46)),NOT(ISNUMBER(E234))),"",E46-E234)</f>
        <v/>
      </c>
      <c r="F422" s="48" t="str">
        <f aca="false">IF(OR(NOT(ISNUMBER(F46)),NOT(ISNUMBER(F234))),"",F46-F234)</f>
        <v/>
      </c>
      <c r="G422" s="48" t="str">
        <f aca="false">IF(OR(NOT(ISNUMBER(G46)),NOT(ISNUMBER(G234))),"",G46-G234)</f>
        <v/>
      </c>
      <c r="H422" s="48" t="str">
        <f aca="false">IF(OR(NOT(ISNUMBER(H46)),NOT(ISNUMBER(H234))),"",H46-H234)</f>
        <v/>
      </c>
      <c r="I422" s="48" t="str">
        <f aca="false">IF(OR(NOT(ISNUMBER(I46)),NOT(ISNUMBER(I234))),"",I46-I234)</f>
        <v/>
      </c>
      <c r="J422" s="48" t="str">
        <f aca="false">IF(OR(NOT(ISNUMBER(J46)),NOT(ISNUMBER(J234))),"",J46-J234)</f>
        <v/>
      </c>
      <c r="K422" s="48" t="str">
        <f aca="false">IF(OR(NOT(ISNUMBER(K46)),NOT(ISNUMBER(K234))),"",K46-K234)</f>
        <v/>
      </c>
      <c r="L422" s="48" t="str">
        <f aca="false">IF(OR(NOT(ISNUMBER(L46)),NOT(ISNUMBER(L234))),"",L46-L234)</f>
        <v/>
      </c>
      <c r="M422" s="48" t="str">
        <f aca="false">IF(OR(NOT(ISNUMBER(M46)),NOT(ISNUMBER(M234))),"",M46-M234)</f>
        <v/>
      </c>
      <c r="N422" s="48" t="str">
        <f aca="false">IF(OR(NOT(ISNUMBER(N46)),NOT(ISNUMBER(N234))),"",N46-N234)</f>
        <v/>
      </c>
      <c r="O422" s="54" t="str">
        <f aca="false">IF(OR(NOT(ISNUMBER(O46)),NOT(ISNUMBER(O234))),"",O46-O234)</f>
        <v/>
      </c>
      <c r="P422" s="11" t="str">
        <f aca="false">IF(COUNT(D422:N422)=0,"",IF(AND(MAX(D422:N422)&lt;2,MIN(D422:N422)&gt;-2),"Sin diferencia","Diferencia a explicar"))</f>
        <v/>
      </c>
    </row>
    <row r="423" customFormat="false" ht="15" hidden="true" customHeight="false" outlineLevel="1" collapsed="false">
      <c r="A423" s="11" t="s">
        <v>2124</v>
      </c>
      <c r="B423" s="15" t="s">
        <v>2087</v>
      </c>
      <c r="C423" s="11" t="s">
        <v>748</v>
      </c>
      <c r="E423" s="50" t="str">
        <f aca="false">IF(OR(NOT(ISNUMBER(E47)),NOT(ISNUMBER(E235))),"",E47-E235)</f>
        <v/>
      </c>
      <c r="F423" s="50" t="str">
        <f aca="false">IF(OR(NOT(ISNUMBER(F47)),NOT(ISNUMBER(F235))),"",F47-F235)</f>
        <v/>
      </c>
      <c r="G423" s="50" t="str">
        <f aca="false">IF(OR(NOT(ISNUMBER(G47)),NOT(ISNUMBER(G235))),"",G47-G235)</f>
        <v/>
      </c>
      <c r="H423" s="50" t="str">
        <f aca="false">IF(OR(NOT(ISNUMBER(H47)),NOT(ISNUMBER(H235))),"",H47-H235)</f>
        <v/>
      </c>
      <c r="I423" s="50" t="str">
        <f aca="false">IF(OR(NOT(ISNUMBER(I47)),NOT(ISNUMBER(I235))),"",I47-I235)</f>
        <v/>
      </c>
      <c r="J423" s="50" t="str">
        <f aca="false">IF(OR(NOT(ISNUMBER(J47)),NOT(ISNUMBER(J235))),"",J47-J235)</f>
        <v/>
      </c>
      <c r="K423" s="50" t="str">
        <f aca="false">IF(OR(NOT(ISNUMBER(K47)),NOT(ISNUMBER(K235))),"",K47-K235)</f>
        <v/>
      </c>
      <c r="L423" s="50" t="str">
        <f aca="false">IF(OR(NOT(ISNUMBER(L47)),NOT(ISNUMBER(L235))),"",L47-L235)</f>
        <v/>
      </c>
      <c r="M423" s="50" t="str">
        <f aca="false">IF(OR(NOT(ISNUMBER(M47)),NOT(ISNUMBER(M235))),"",M47-M235)</f>
        <v/>
      </c>
      <c r="N423" s="50" t="str">
        <f aca="false">IF(OR(NOT(ISNUMBER(N47)),NOT(ISNUMBER(N235))),"",N47-N235)</f>
        <v/>
      </c>
      <c r="O423" s="68" t="str">
        <f aca="false">IF(OR(NOT(ISNUMBER(O47)),NOT(ISNUMBER(O235))),"",O47-O235)</f>
        <v/>
      </c>
      <c r="P423" s="11" t="str">
        <f aca="false">IF(COUNT(D423:N423)=0,"",IF(AND(MAX(D423:N423)&lt;0.005,MIN(D423:N423)&gt;-0.005),"Sin diferencia","Diferencia a explicar"))</f>
        <v/>
      </c>
    </row>
    <row r="424" customFormat="false" ht="15" hidden="true" customHeight="false" outlineLevel="1" collapsed="false">
      <c r="A424" s="11" t="s">
        <v>2125</v>
      </c>
      <c r="B424" s="15" t="s">
        <v>2089</v>
      </c>
      <c r="C424" s="11" t="s">
        <v>544</v>
      </c>
      <c r="D424" s="48" t="str">
        <f aca="false">IF(OR(NOT(ISNUMBER(D48)),NOT(ISNUMBER(D236))),"",D48-D236)</f>
        <v/>
      </c>
      <c r="E424" s="48" t="str">
        <f aca="false">IF(OR(NOT(ISNUMBER(E48)),NOT(ISNUMBER(E236))),"",E48-E236)</f>
        <v/>
      </c>
      <c r="F424" s="48" t="str">
        <f aca="false">IF(OR(NOT(ISNUMBER(F48)),NOT(ISNUMBER(F236))),"",F48-F236)</f>
        <v/>
      </c>
      <c r="G424" s="48" t="str">
        <f aca="false">IF(OR(NOT(ISNUMBER(G48)),NOT(ISNUMBER(G236))),"",G48-G236)</f>
        <v/>
      </c>
      <c r="H424" s="48" t="str">
        <f aca="false">IF(OR(NOT(ISNUMBER(H48)),NOT(ISNUMBER(H236))),"",H48-H236)</f>
        <v/>
      </c>
      <c r="I424" s="48" t="str">
        <f aca="false">IF(OR(NOT(ISNUMBER(I48)),NOT(ISNUMBER(I236))),"",I48-I236)</f>
        <v/>
      </c>
      <c r="J424" s="48" t="str">
        <f aca="false">IF(OR(NOT(ISNUMBER(J48)),NOT(ISNUMBER(J236))),"",J48-J236)</f>
        <v/>
      </c>
      <c r="K424" s="48" t="str">
        <f aca="false">IF(OR(NOT(ISNUMBER(K48)),NOT(ISNUMBER(K236))),"",K48-K236)</f>
        <v/>
      </c>
      <c r="L424" s="48" t="str">
        <f aca="false">IF(OR(NOT(ISNUMBER(L48)),NOT(ISNUMBER(L236))),"",L48-L236)</f>
        <v/>
      </c>
      <c r="M424" s="48" t="str">
        <f aca="false">IF(OR(NOT(ISNUMBER(M48)),NOT(ISNUMBER(M236))),"",M48-M236)</f>
        <v/>
      </c>
      <c r="N424" s="48" t="str">
        <f aca="false">IF(OR(NOT(ISNUMBER(N48)),NOT(ISNUMBER(N236))),"",N48-N236)</f>
        <v/>
      </c>
      <c r="O424" s="54" t="str">
        <f aca="false">IF(OR(NOT(ISNUMBER(O48)),NOT(ISNUMBER(O236))),"",O48-O236)</f>
        <v/>
      </c>
      <c r="P424" s="11" t="str">
        <f aca="false">IF(COUNT(D424:N424)=0,"",IF(AND(MAX(D424:N424)&lt;2,MIN(D424:N424)&gt;-2),"Sin diferencia","Diferencia a explicar"))</f>
        <v/>
      </c>
    </row>
    <row r="425" customFormat="false" ht="15" hidden="true" customHeight="false" outlineLevel="1" collapsed="false">
      <c r="A425" s="11" t="s">
        <v>2126</v>
      </c>
      <c r="B425" s="53" t="str">
        <f aca="false">IF(INDEX(Prod_Nombre,14)="","Producto 14",INDEX(Prod_Nombre,14))</f>
        <v>Producto 14</v>
      </c>
      <c r="C425" s="11" t="s">
        <v>508</v>
      </c>
      <c r="D425" s="48" t="str">
        <f aca="false">IF(OR(NOT(ISNUMBER(D49)),NOT(ISNUMBER(D237))),"",D49-D237)</f>
        <v/>
      </c>
      <c r="E425" s="48" t="str">
        <f aca="false">IF(OR(NOT(ISNUMBER(E49)),NOT(ISNUMBER(E237))),"",E49-E237)</f>
        <v/>
      </c>
      <c r="F425" s="48" t="str">
        <f aca="false">IF(OR(NOT(ISNUMBER(F49)),NOT(ISNUMBER(F237))),"",F49-F237)</f>
        <v/>
      </c>
      <c r="G425" s="48" t="str">
        <f aca="false">IF(OR(NOT(ISNUMBER(G49)),NOT(ISNUMBER(G237))),"",G49-G237)</f>
        <v/>
      </c>
      <c r="H425" s="48" t="str">
        <f aca="false">IF(OR(NOT(ISNUMBER(H49)),NOT(ISNUMBER(H237))),"",H49-H237)</f>
        <v/>
      </c>
      <c r="I425" s="48" t="str">
        <f aca="false">IF(OR(NOT(ISNUMBER(I49)),NOT(ISNUMBER(I237))),"",I49-I237)</f>
        <v/>
      </c>
      <c r="J425" s="48" t="str">
        <f aca="false">IF(OR(NOT(ISNUMBER(J49)),NOT(ISNUMBER(J237))),"",J49-J237)</f>
        <v/>
      </c>
      <c r="K425" s="48" t="str">
        <f aca="false">IF(OR(NOT(ISNUMBER(K49)),NOT(ISNUMBER(K237))),"",K49-K237)</f>
        <v/>
      </c>
      <c r="L425" s="48" t="str">
        <f aca="false">IF(OR(NOT(ISNUMBER(L49)),NOT(ISNUMBER(L237))),"",L49-L237)</f>
        <v/>
      </c>
      <c r="M425" s="48" t="str">
        <f aca="false">IF(OR(NOT(ISNUMBER(M49)),NOT(ISNUMBER(M237))),"",M49-M237)</f>
        <v/>
      </c>
      <c r="N425" s="48" t="str">
        <f aca="false">IF(OR(NOT(ISNUMBER(N49)),NOT(ISNUMBER(N237))),"",N49-N237)</f>
        <v/>
      </c>
      <c r="O425" s="54" t="str">
        <f aca="false">IF(OR(NOT(ISNUMBER(O49)),NOT(ISNUMBER(O237))),"",O49-O237)</f>
        <v/>
      </c>
      <c r="P425" s="11" t="str">
        <f aca="false">IF(COUNT(D425:N425)=0,"",IF(AND(MAX(D425:N425)&lt;2,MIN(D425:N425)&gt;-2),"Sin diferencia","Diferencia a explicar"))</f>
        <v/>
      </c>
    </row>
    <row r="426" customFormat="false" ht="15" hidden="true" customHeight="false" outlineLevel="1" collapsed="false">
      <c r="A426" s="11" t="s">
        <v>2127</v>
      </c>
      <c r="B426" s="15" t="s">
        <v>2087</v>
      </c>
      <c r="C426" s="11" t="s">
        <v>748</v>
      </c>
      <c r="E426" s="50" t="str">
        <f aca="false">IF(OR(NOT(ISNUMBER(E50)),NOT(ISNUMBER(E238))),"",E50-E238)</f>
        <v/>
      </c>
      <c r="F426" s="50" t="str">
        <f aca="false">IF(OR(NOT(ISNUMBER(F50)),NOT(ISNUMBER(F238))),"",F50-F238)</f>
        <v/>
      </c>
      <c r="G426" s="50" t="str">
        <f aca="false">IF(OR(NOT(ISNUMBER(G50)),NOT(ISNUMBER(G238))),"",G50-G238)</f>
        <v/>
      </c>
      <c r="H426" s="50" t="str">
        <f aca="false">IF(OR(NOT(ISNUMBER(H50)),NOT(ISNUMBER(H238))),"",H50-H238)</f>
        <v/>
      </c>
      <c r="I426" s="50" t="str">
        <f aca="false">IF(OR(NOT(ISNUMBER(I50)),NOT(ISNUMBER(I238))),"",I50-I238)</f>
        <v/>
      </c>
      <c r="J426" s="50" t="str">
        <f aca="false">IF(OR(NOT(ISNUMBER(J50)),NOT(ISNUMBER(J238))),"",J50-J238)</f>
        <v/>
      </c>
      <c r="K426" s="50" t="str">
        <f aca="false">IF(OR(NOT(ISNUMBER(K50)),NOT(ISNUMBER(K238))),"",K50-K238)</f>
        <v/>
      </c>
      <c r="L426" s="50" t="str">
        <f aca="false">IF(OR(NOT(ISNUMBER(L50)),NOT(ISNUMBER(L238))),"",L50-L238)</f>
        <v/>
      </c>
      <c r="M426" s="50" t="str">
        <f aca="false">IF(OR(NOT(ISNUMBER(M50)),NOT(ISNUMBER(M238))),"",M50-M238)</f>
        <v/>
      </c>
      <c r="N426" s="50" t="str">
        <f aca="false">IF(OR(NOT(ISNUMBER(N50)),NOT(ISNUMBER(N238))),"",N50-N238)</f>
        <v/>
      </c>
      <c r="O426" s="68" t="str">
        <f aca="false">IF(OR(NOT(ISNUMBER(O50)),NOT(ISNUMBER(O238))),"",O50-O238)</f>
        <v/>
      </c>
      <c r="P426" s="11" t="str">
        <f aca="false">IF(COUNT(D426:N426)=0,"",IF(AND(MAX(D426:N426)&lt;0.005,MIN(D426:N426)&gt;-0.005),"Sin diferencia","Diferencia a explicar"))</f>
        <v/>
      </c>
    </row>
    <row r="427" customFormat="false" ht="15" hidden="true" customHeight="false" outlineLevel="1" collapsed="false">
      <c r="A427" s="11" t="s">
        <v>2128</v>
      </c>
      <c r="B427" s="15" t="s">
        <v>2089</v>
      </c>
      <c r="C427" s="11" t="s">
        <v>544</v>
      </c>
      <c r="D427" s="48" t="str">
        <f aca="false">IF(OR(NOT(ISNUMBER(D51)),NOT(ISNUMBER(D239))),"",D51-D239)</f>
        <v/>
      </c>
      <c r="E427" s="48" t="str">
        <f aca="false">IF(OR(NOT(ISNUMBER(E51)),NOT(ISNUMBER(E239))),"",E51-E239)</f>
        <v/>
      </c>
      <c r="F427" s="48" t="str">
        <f aca="false">IF(OR(NOT(ISNUMBER(F51)),NOT(ISNUMBER(F239))),"",F51-F239)</f>
        <v/>
      </c>
      <c r="G427" s="48" t="str">
        <f aca="false">IF(OR(NOT(ISNUMBER(G51)),NOT(ISNUMBER(G239))),"",G51-G239)</f>
        <v/>
      </c>
      <c r="H427" s="48" t="str">
        <f aca="false">IF(OR(NOT(ISNUMBER(H51)),NOT(ISNUMBER(H239))),"",H51-H239)</f>
        <v/>
      </c>
      <c r="I427" s="48" t="str">
        <f aca="false">IF(OR(NOT(ISNUMBER(I51)),NOT(ISNUMBER(I239))),"",I51-I239)</f>
        <v/>
      </c>
      <c r="J427" s="48" t="str">
        <f aca="false">IF(OR(NOT(ISNUMBER(J51)),NOT(ISNUMBER(J239))),"",J51-J239)</f>
        <v/>
      </c>
      <c r="K427" s="48" t="str">
        <f aca="false">IF(OR(NOT(ISNUMBER(K51)),NOT(ISNUMBER(K239))),"",K51-K239)</f>
        <v/>
      </c>
      <c r="L427" s="48" t="str">
        <f aca="false">IF(OR(NOT(ISNUMBER(L51)),NOT(ISNUMBER(L239))),"",L51-L239)</f>
        <v/>
      </c>
      <c r="M427" s="48" t="str">
        <f aca="false">IF(OR(NOT(ISNUMBER(M51)),NOT(ISNUMBER(M239))),"",M51-M239)</f>
        <v/>
      </c>
      <c r="N427" s="48" t="str">
        <f aca="false">IF(OR(NOT(ISNUMBER(N51)),NOT(ISNUMBER(N239))),"",N51-N239)</f>
        <v/>
      </c>
      <c r="O427" s="54" t="str">
        <f aca="false">IF(OR(NOT(ISNUMBER(O51)),NOT(ISNUMBER(O239))),"",O51-O239)</f>
        <v/>
      </c>
      <c r="P427" s="11" t="str">
        <f aca="false">IF(COUNT(D427:N427)=0,"",IF(AND(MAX(D427:N427)&lt;2,MIN(D427:N427)&gt;-2),"Sin diferencia","Diferencia a explicar"))</f>
        <v/>
      </c>
    </row>
    <row r="428" customFormat="false" ht="15" hidden="true" customHeight="false" outlineLevel="1" collapsed="false">
      <c r="A428" s="11" t="s">
        <v>2129</v>
      </c>
      <c r="B428" s="53" t="str">
        <f aca="false">IF(INDEX(Prod_Nombre,15)="","Producto 15",INDEX(Prod_Nombre,15))</f>
        <v>Producto 15</v>
      </c>
      <c r="C428" s="11" t="s">
        <v>508</v>
      </c>
      <c r="D428" s="48" t="str">
        <f aca="false">IF(OR(NOT(ISNUMBER(D52)),NOT(ISNUMBER(D240))),"",D52-D240)</f>
        <v/>
      </c>
      <c r="E428" s="48" t="str">
        <f aca="false">IF(OR(NOT(ISNUMBER(E52)),NOT(ISNUMBER(E240))),"",E52-E240)</f>
        <v/>
      </c>
      <c r="F428" s="48" t="str">
        <f aca="false">IF(OR(NOT(ISNUMBER(F52)),NOT(ISNUMBER(F240))),"",F52-F240)</f>
        <v/>
      </c>
      <c r="G428" s="48" t="str">
        <f aca="false">IF(OR(NOT(ISNUMBER(G52)),NOT(ISNUMBER(G240))),"",G52-G240)</f>
        <v/>
      </c>
      <c r="H428" s="48" t="str">
        <f aca="false">IF(OR(NOT(ISNUMBER(H52)),NOT(ISNUMBER(H240))),"",H52-H240)</f>
        <v/>
      </c>
      <c r="I428" s="48" t="str">
        <f aca="false">IF(OR(NOT(ISNUMBER(I52)),NOT(ISNUMBER(I240))),"",I52-I240)</f>
        <v/>
      </c>
      <c r="J428" s="48" t="str">
        <f aca="false">IF(OR(NOT(ISNUMBER(J52)),NOT(ISNUMBER(J240))),"",J52-J240)</f>
        <v/>
      </c>
      <c r="K428" s="48" t="str">
        <f aca="false">IF(OR(NOT(ISNUMBER(K52)),NOT(ISNUMBER(K240))),"",K52-K240)</f>
        <v/>
      </c>
      <c r="L428" s="48" t="str">
        <f aca="false">IF(OR(NOT(ISNUMBER(L52)),NOT(ISNUMBER(L240))),"",L52-L240)</f>
        <v/>
      </c>
      <c r="M428" s="48" t="str">
        <f aca="false">IF(OR(NOT(ISNUMBER(M52)),NOT(ISNUMBER(M240))),"",M52-M240)</f>
        <v/>
      </c>
      <c r="N428" s="48" t="str">
        <f aca="false">IF(OR(NOT(ISNUMBER(N52)),NOT(ISNUMBER(N240))),"",N52-N240)</f>
        <v/>
      </c>
      <c r="O428" s="54" t="str">
        <f aca="false">IF(OR(NOT(ISNUMBER(O52)),NOT(ISNUMBER(O240))),"",O52-O240)</f>
        <v/>
      </c>
      <c r="P428" s="11" t="str">
        <f aca="false">IF(COUNT(D428:N428)=0,"",IF(AND(MAX(D428:N428)&lt;2,MIN(D428:N428)&gt;-2),"Sin diferencia","Diferencia a explicar"))</f>
        <v/>
      </c>
    </row>
    <row r="429" customFormat="false" ht="15" hidden="true" customHeight="false" outlineLevel="1" collapsed="false">
      <c r="A429" s="11" t="s">
        <v>2130</v>
      </c>
      <c r="B429" s="15" t="s">
        <v>2087</v>
      </c>
      <c r="C429" s="11" t="s">
        <v>748</v>
      </c>
      <c r="E429" s="50" t="str">
        <f aca="false">IF(OR(NOT(ISNUMBER(E53)),NOT(ISNUMBER(E241))),"",E53-E241)</f>
        <v/>
      </c>
      <c r="F429" s="50" t="str">
        <f aca="false">IF(OR(NOT(ISNUMBER(F53)),NOT(ISNUMBER(F241))),"",F53-F241)</f>
        <v/>
      </c>
      <c r="G429" s="50" t="str">
        <f aca="false">IF(OR(NOT(ISNUMBER(G53)),NOT(ISNUMBER(G241))),"",G53-G241)</f>
        <v/>
      </c>
      <c r="H429" s="50" t="str">
        <f aca="false">IF(OR(NOT(ISNUMBER(H53)),NOT(ISNUMBER(H241))),"",H53-H241)</f>
        <v/>
      </c>
      <c r="I429" s="50" t="str">
        <f aca="false">IF(OR(NOT(ISNUMBER(I53)),NOT(ISNUMBER(I241))),"",I53-I241)</f>
        <v/>
      </c>
      <c r="J429" s="50" t="str">
        <f aca="false">IF(OR(NOT(ISNUMBER(J53)),NOT(ISNUMBER(J241))),"",J53-J241)</f>
        <v/>
      </c>
      <c r="K429" s="50" t="str">
        <f aca="false">IF(OR(NOT(ISNUMBER(K53)),NOT(ISNUMBER(K241))),"",K53-K241)</f>
        <v/>
      </c>
      <c r="L429" s="50" t="str">
        <f aca="false">IF(OR(NOT(ISNUMBER(L53)),NOT(ISNUMBER(L241))),"",L53-L241)</f>
        <v/>
      </c>
      <c r="M429" s="50" t="str">
        <f aca="false">IF(OR(NOT(ISNUMBER(M53)),NOT(ISNUMBER(M241))),"",M53-M241)</f>
        <v/>
      </c>
      <c r="N429" s="50" t="str">
        <f aca="false">IF(OR(NOT(ISNUMBER(N53)),NOT(ISNUMBER(N241))),"",N53-N241)</f>
        <v/>
      </c>
      <c r="O429" s="68" t="str">
        <f aca="false">IF(OR(NOT(ISNUMBER(O53)),NOT(ISNUMBER(O241))),"",O53-O241)</f>
        <v/>
      </c>
      <c r="P429" s="11" t="str">
        <f aca="false">IF(COUNT(D429:N429)=0,"",IF(AND(MAX(D429:N429)&lt;0.005,MIN(D429:N429)&gt;-0.005),"Sin diferencia","Diferencia a explicar"))</f>
        <v/>
      </c>
    </row>
    <row r="430" customFormat="false" ht="15" hidden="true" customHeight="false" outlineLevel="1" collapsed="false">
      <c r="A430" s="11" t="s">
        <v>2131</v>
      </c>
      <c r="B430" s="15" t="s">
        <v>2089</v>
      </c>
      <c r="C430" s="11" t="s">
        <v>544</v>
      </c>
      <c r="D430" s="48" t="str">
        <f aca="false">IF(OR(NOT(ISNUMBER(D54)),NOT(ISNUMBER(D242))),"",D54-D242)</f>
        <v/>
      </c>
      <c r="E430" s="48" t="str">
        <f aca="false">IF(OR(NOT(ISNUMBER(E54)),NOT(ISNUMBER(E242))),"",E54-E242)</f>
        <v/>
      </c>
      <c r="F430" s="48" t="str">
        <f aca="false">IF(OR(NOT(ISNUMBER(F54)),NOT(ISNUMBER(F242))),"",F54-F242)</f>
        <v/>
      </c>
      <c r="G430" s="48" t="str">
        <f aca="false">IF(OR(NOT(ISNUMBER(G54)),NOT(ISNUMBER(G242))),"",G54-G242)</f>
        <v/>
      </c>
      <c r="H430" s="48" t="str">
        <f aca="false">IF(OR(NOT(ISNUMBER(H54)),NOT(ISNUMBER(H242))),"",H54-H242)</f>
        <v/>
      </c>
      <c r="I430" s="48" t="str">
        <f aca="false">IF(OR(NOT(ISNUMBER(I54)),NOT(ISNUMBER(I242))),"",I54-I242)</f>
        <v/>
      </c>
      <c r="J430" s="48" t="str">
        <f aca="false">IF(OR(NOT(ISNUMBER(J54)),NOT(ISNUMBER(J242))),"",J54-J242)</f>
        <v/>
      </c>
      <c r="K430" s="48" t="str">
        <f aca="false">IF(OR(NOT(ISNUMBER(K54)),NOT(ISNUMBER(K242))),"",K54-K242)</f>
        <v/>
      </c>
      <c r="L430" s="48" t="str">
        <f aca="false">IF(OR(NOT(ISNUMBER(L54)),NOT(ISNUMBER(L242))),"",L54-L242)</f>
        <v/>
      </c>
      <c r="M430" s="48" t="str">
        <f aca="false">IF(OR(NOT(ISNUMBER(M54)),NOT(ISNUMBER(M242))),"",M54-M242)</f>
        <v/>
      </c>
      <c r="N430" s="48" t="str">
        <f aca="false">IF(OR(NOT(ISNUMBER(N54)),NOT(ISNUMBER(N242))),"",N54-N242)</f>
        <v/>
      </c>
      <c r="O430" s="54" t="str">
        <f aca="false">IF(OR(NOT(ISNUMBER(O54)),NOT(ISNUMBER(O242))),"",O54-O242)</f>
        <v/>
      </c>
      <c r="P430" s="11" t="str">
        <f aca="false">IF(COUNT(D430:N430)=0,"",IF(AND(MAX(D430:N430)&lt;2,MIN(D430:N430)&gt;-2),"Sin diferencia","Diferencia a explicar"))</f>
        <v/>
      </c>
    </row>
    <row r="431" customFormat="false" ht="15" hidden="true" customHeight="false" outlineLevel="1" collapsed="false">
      <c r="A431" s="11" t="s">
        <v>2132</v>
      </c>
      <c r="B431" s="53" t="str">
        <f aca="false">IF(INDEX(Prod_Nombre,16)="","Producto 16",INDEX(Prod_Nombre,16))</f>
        <v>Producto 16</v>
      </c>
      <c r="C431" s="11" t="s">
        <v>508</v>
      </c>
      <c r="D431" s="48" t="str">
        <f aca="false">IF(OR(NOT(ISNUMBER(D55)),NOT(ISNUMBER(D243))),"",D55-D243)</f>
        <v/>
      </c>
      <c r="E431" s="48" t="str">
        <f aca="false">IF(OR(NOT(ISNUMBER(E55)),NOT(ISNUMBER(E243))),"",E55-E243)</f>
        <v/>
      </c>
      <c r="F431" s="48" t="str">
        <f aca="false">IF(OR(NOT(ISNUMBER(F55)),NOT(ISNUMBER(F243))),"",F55-F243)</f>
        <v/>
      </c>
      <c r="G431" s="48" t="str">
        <f aca="false">IF(OR(NOT(ISNUMBER(G55)),NOT(ISNUMBER(G243))),"",G55-G243)</f>
        <v/>
      </c>
      <c r="H431" s="48" t="str">
        <f aca="false">IF(OR(NOT(ISNUMBER(H55)),NOT(ISNUMBER(H243))),"",H55-H243)</f>
        <v/>
      </c>
      <c r="I431" s="48" t="str">
        <f aca="false">IF(OR(NOT(ISNUMBER(I55)),NOT(ISNUMBER(I243))),"",I55-I243)</f>
        <v/>
      </c>
      <c r="J431" s="48" t="str">
        <f aca="false">IF(OR(NOT(ISNUMBER(J55)),NOT(ISNUMBER(J243))),"",J55-J243)</f>
        <v/>
      </c>
      <c r="K431" s="48" t="str">
        <f aca="false">IF(OR(NOT(ISNUMBER(K55)),NOT(ISNUMBER(K243))),"",K55-K243)</f>
        <v/>
      </c>
      <c r="L431" s="48" t="str">
        <f aca="false">IF(OR(NOT(ISNUMBER(L55)),NOT(ISNUMBER(L243))),"",L55-L243)</f>
        <v/>
      </c>
      <c r="M431" s="48" t="str">
        <f aca="false">IF(OR(NOT(ISNUMBER(M55)),NOT(ISNUMBER(M243))),"",M55-M243)</f>
        <v/>
      </c>
      <c r="N431" s="48" t="str">
        <f aca="false">IF(OR(NOT(ISNUMBER(N55)),NOT(ISNUMBER(N243))),"",N55-N243)</f>
        <v/>
      </c>
      <c r="O431" s="54" t="str">
        <f aca="false">IF(OR(NOT(ISNUMBER(O55)),NOT(ISNUMBER(O243))),"",O55-O243)</f>
        <v/>
      </c>
      <c r="P431" s="11" t="str">
        <f aca="false">IF(COUNT(D431:N431)=0,"",IF(AND(MAX(D431:N431)&lt;2,MIN(D431:N431)&gt;-2),"Sin diferencia","Diferencia a explicar"))</f>
        <v/>
      </c>
    </row>
    <row r="432" customFormat="false" ht="15" hidden="true" customHeight="false" outlineLevel="1" collapsed="false">
      <c r="A432" s="11" t="s">
        <v>2133</v>
      </c>
      <c r="B432" s="15" t="s">
        <v>2087</v>
      </c>
      <c r="C432" s="11" t="s">
        <v>748</v>
      </c>
      <c r="E432" s="50" t="str">
        <f aca="false">IF(OR(NOT(ISNUMBER(E56)),NOT(ISNUMBER(E244))),"",E56-E244)</f>
        <v/>
      </c>
      <c r="F432" s="50" t="str">
        <f aca="false">IF(OR(NOT(ISNUMBER(F56)),NOT(ISNUMBER(F244))),"",F56-F244)</f>
        <v/>
      </c>
      <c r="G432" s="50" t="str">
        <f aca="false">IF(OR(NOT(ISNUMBER(G56)),NOT(ISNUMBER(G244))),"",G56-G244)</f>
        <v/>
      </c>
      <c r="H432" s="50" t="str">
        <f aca="false">IF(OR(NOT(ISNUMBER(H56)),NOT(ISNUMBER(H244))),"",H56-H244)</f>
        <v/>
      </c>
      <c r="I432" s="50" t="str">
        <f aca="false">IF(OR(NOT(ISNUMBER(I56)),NOT(ISNUMBER(I244))),"",I56-I244)</f>
        <v/>
      </c>
      <c r="J432" s="50" t="str">
        <f aca="false">IF(OR(NOT(ISNUMBER(J56)),NOT(ISNUMBER(J244))),"",J56-J244)</f>
        <v/>
      </c>
      <c r="K432" s="50" t="str">
        <f aca="false">IF(OR(NOT(ISNUMBER(K56)),NOT(ISNUMBER(K244))),"",K56-K244)</f>
        <v/>
      </c>
      <c r="L432" s="50" t="str">
        <f aca="false">IF(OR(NOT(ISNUMBER(L56)),NOT(ISNUMBER(L244))),"",L56-L244)</f>
        <v/>
      </c>
      <c r="M432" s="50" t="str">
        <f aca="false">IF(OR(NOT(ISNUMBER(M56)),NOT(ISNUMBER(M244))),"",M56-M244)</f>
        <v/>
      </c>
      <c r="N432" s="50" t="str">
        <f aca="false">IF(OR(NOT(ISNUMBER(N56)),NOT(ISNUMBER(N244))),"",N56-N244)</f>
        <v/>
      </c>
      <c r="O432" s="68" t="str">
        <f aca="false">IF(OR(NOT(ISNUMBER(O56)),NOT(ISNUMBER(O244))),"",O56-O244)</f>
        <v/>
      </c>
      <c r="P432" s="11" t="str">
        <f aca="false">IF(COUNT(D432:N432)=0,"",IF(AND(MAX(D432:N432)&lt;0.005,MIN(D432:N432)&gt;-0.005),"Sin diferencia","Diferencia a explicar"))</f>
        <v/>
      </c>
    </row>
    <row r="433" customFormat="false" ht="15" hidden="true" customHeight="false" outlineLevel="1" collapsed="false">
      <c r="A433" s="11" t="s">
        <v>2134</v>
      </c>
      <c r="B433" s="15" t="s">
        <v>2089</v>
      </c>
      <c r="C433" s="11" t="s">
        <v>544</v>
      </c>
      <c r="D433" s="48" t="str">
        <f aca="false">IF(OR(NOT(ISNUMBER(D57)),NOT(ISNUMBER(D245))),"",D57-D245)</f>
        <v/>
      </c>
      <c r="E433" s="48" t="str">
        <f aca="false">IF(OR(NOT(ISNUMBER(E57)),NOT(ISNUMBER(E245))),"",E57-E245)</f>
        <v/>
      </c>
      <c r="F433" s="48" t="str">
        <f aca="false">IF(OR(NOT(ISNUMBER(F57)),NOT(ISNUMBER(F245))),"",F57-F245)</f>
        <v/>
      </c>
      <c r="G433" s="48" t="str">
        <f aca="false">IF(OR(NOT(ISNUMBER(G57)),NOT(ISNUMBER(G245))),"",G57-G245)</f>
        <v/>
      </c>
      <c r="H433" s="48" t="str">
        <f aca="false">IF(OR(NOT(ISNUMBER(H57)),NOT(ISNUMBER(H245))),"",H57-H245)</f>
        <v/>
      </c>
      <c r="I433" s="48" t="str">
        <f aca="false">IF(OR(NOT(ISNUMBER(I57)),NOT(ISNUMBER(I245))),"",I57-I245)</f>
        <v/>
      </c>
      <c r="J433" s="48" t="str">
        <f aca="false">IF(OR(NOT(ISNUMBER(J57)),NOT(ISNUMBER(J245))),"",J57-J245)</f>
        <v/>
      </c>
      <c r="K433" s="48" t="str">
        <f aca="false">IF(OR(NOT(ISNUMBER(K57)),NOT(ISNUMBER(K245))),"",K57-K245)</f>
        <v/>
      </c>
      <c r="L433" s="48" t="str">
        <f aca="false">IF(OR(NOT(ISNUMBER(L57)),NOT(ISNUMBER(L245))),"",L57-L245)</f>
        <v/>
      </c>
      <c r="M433" s="48" t="str">
        <f aca="false">IF(OR(NOT(ISNUMBER(M57)),NOT(ISNUMBER(M245))),"",M57-M245)</f>
        <v/>
      </c>
      <c r="N433" s="48" t="str">
        <f aca="false">IF(OR(NOT(ISNUMBER(N57)),NOT(ISNUMBER(N245))),"",N57-N245)</f>
        <v/>
      </c>
      <c r="O433" s="54" t="str">
        <f aca="false">IF(OR(NOT(ISNUMBER(O57)),NOT(ISNUMBER(O245))),"",O57-O245)</f>
        <v/>
      </c>
      <c r="P433" s="11" t="str">
        <f aca="false">IF(COUNT(D433:N433)=0,"",IF(AND(MAX(D433:N433)&lt;2,MIN(D433:N433)&gt;-2),"Sin diferencia","Diferencia a explicar"))</f>
        <v/>
      </c>
    </row>
    <row r="434" customFormat="false" ht="15" hidden="true" customHeight="false" outlineLevel="1" collapsed="false">
      <c r="A434" s="11" t="s">
        <v>2135</v>
      </c>
      <c r="B434" s="53" t="str">
        <f aca="false">IF(INDEX(Prod_Nombre,17)="","Producto 17",INDEX(Prod_Nombre,17))</f>
        <v>Producto 17</v>
      </c>
      <c r="C434" s="11" t="s">
        <v>508</v>
      </c>
      <c r="D434" s="48" t="str">
        <f aca="false">IF(OR(NOT(ISNUMBER(D58)),NOT(ISNUMBER(D246))),"",D58-D246)</f>
        <v/>
      </c>
      <c r="E434" s="48" t="str">
        <f aca="false">IF(OR(NOT(ISNUMBER(E58)),NOT(ISNUMBER(E246))),"",E58-E246)</f>
        <v/>
      </c>
      <c r="F434" s="48" t="str">
        <f aca="false">IF(OR(NOT(ISNUMBER(F58)),NOT(ISNUMBER(F246))),"",F58-F246)</f>
        <v/>
      </c>
      <c r="G434" s="48" t="str">
        <f aca="false">IF(OR(NOT(ISNUMBER(G58)),NOT(ISNUMBER(G246))),"",G58-G246)</f>
        <v/>
      </c>
      <c r="H434" s="48" t="str">
        <f aca="false">IF(OR(NOT(ISNUMBER(H58)),NOT(ISNUMBER(H246))),"",H58-H246)</f>
        <v/>
      </c>
      <c r="I434" s="48" t="str">
        <f aca="false">IF(OR(NOT(ISNUMBER(I58)),NOT(ISNUMBER(I246))),"",I58-I246)</f>
        <v/>
      </c>
      <c r="J434" s="48" t="str">
        <f aca="false">IF(OR(NOT(ISNUMBER(J58)),NOT(ISNUMBER(J246))),"",J58-J246)</f>
        <v/>
      </c>
      <c r="K434" s="48" t="str">
        <f aca="false">IF(OR(NOT(ISNUMBER(K58)),NOT(ISNUMBER(K246))),"",K58-K246)</f>
        <v/>
      </c>
      <c r="L434" s="48" t="str">
        <f aca="false">IF(OR(NOT(ISNUMBER(L58)),NOT(ISNUMBER(L246))),"",L58-L246)</f>
        <v/>
      </c>
      <c r="M434" s="48" t="str">
        <f aca="false">IF(OR(NOT(ISNUMBER(M58)),NOT(ISNUMBER(M246))),"",M58-M246)</f>
        <v/>
      </c>
      <c r="N434" s="48" t="str">
        <f aca="false">IF(OR(NOT(ISNUMBER(N58)),NOT(ISNUMBER(N246))),"",N58-N246)</f>
        <v/>
      </c>
      <c r="O434" s="54" t="str">
        <f aca="false">IF(OR(NOT(ISNUMBER(O58)),NOT(ISNUMBER(O246))),"",O58-O246)</f>
        <v/>
      </c>
      <c r="P434" s="11" t="str">
        <f aca="false">IF(COUNT(D434:N434)=0,"",IF(AND(MAX(D434:N434)&lt;2,MIN(D434:N434)&gt;-2),"Sin diferencia","Diferencia a explicar"))</f>
        <v/>
      </c>
    </row>
    <row r="435" customFormat="false" ht="15" hidden="true" customHeight="false" outlineLevel="1" collapsed="false">
      <c r="A435" s="11" t="s">
        <v>2136</v>
      </c>
      <c r="B435" s="15" t="s">
        <v>2087</v>
      </c>
      <c r="C435" s="11" t="s">
        <v>748</v>
      </c>
      <c r="E435" s="50" t="str">
        <f aca="false">IF(OR(NOT(ISNUMBER(E59)),NOT(ISNUMBER(E247))),"",E59-E247)</f>
        <v/>
      </c>
      <c r="F435" s="50" t="str">
        <f aca="false">IF(OR(NOT(ISNUMBER(F59)),NOT(ISNUMBER(F247))),"",F59-F247)</f>
        <v/>
      </c>
      <c r="G435" s="50" t="str">
        <f aca="false">IF(OR(NOT(ISNUMBER(G59)),NOT(ISNUMBER(G247))),"",G59-G247)</f>
        <v/>
      </c>
      <c r="H435" s="50" t="str">
        <f aca="false">IF(OR(NOT(ISNUMBER(H59)),NOT(ISNUMBER(H247))),"",H59-H247)</f>
        <v/>
      </c>
      <c r="I435" s="50" t="str">
        <f aca="false">IF(OR(NOT(ISNUMBER(I59)),NOT(ISNUMBER(I247))),"",I59-I247)</f>
        <v/>
      </c>
      <c r="J435" s="50" t="str">
        <f aca="false">IF(OR(NOT(ISNUMBER(J59)),NOT(ISNUMBER(J247))),"",J59-J247)</f>
        <v/>
      </c>
      <c r="K435" s="50" t="str">
        <f aca="false">IF(OR(NOT(ISNUMBER(K59)),NOT(ISNUMBER(K247))),"",K59-K247)</f>
        <v/>
      </c>
      <c r="L435" s="50" t="str">
        <f aca="false">IF(OR(NOT(ISNUMBER(L59)),NOT(ISNUMBER(L247))),"",L59-L247)</f>
        <v/>
      </c>
      <c r="M435" s="50" t="str">
        <f aca="false">IF(OR(NOT(ISNUMBER(M59)),NOT(ISNUMBER(M247))),"",M59-M247)</f>
        <v/>
      </c>
      <c r="N435" s="50" t="str">
        <f aca="false">IF(OR(NOT(ISNUMBER(N59)),NOT(ISNUMBER(N247))),"",N59-N247)</f>
        <v/>
      </c>
      <c r="O435" s="68" t="str">
        <f aca="false">IF(OR(NOT(ISNUMBER(O59)),NOT(ISNUMBER(O247))),"",O59-O247)</f>
        <v/>
      </c>
      <c r="P435" s="11" t="str">
        <f aca="false">IF(COUNT(D435:N435)=0,"",IF(AND(MAX(D435:N435)&lt;0.005,MIN(D435:N435)&gt;-0.005),"Sin diferencia","Diferencia a explicar"))</f>
        <v/>
      </c>
    </row>
    <row r="436" customFormat="false" ht="15" hidden="true" customHeight="false" outlineLevel="1" collapsed="false">
      <c r="A436" s="11" t="s">
        <v>2137</v>
      </c>
      <c r="B436" s="15" t="s">
        <v>2089</v>
      </c>
      <c r="C436" s="11" t="s">
        <v>544</v>
      </c>
      <c r="D436" s="48" t="str">
        <f aca="false">IF(OR(NOT(ISNUMBER(D60)),NOT(ISNUMBER(D248))),"",D60-D248)</f>
        <v/>
      </c>
      <c r="E436" s="48" t="str">
        <f aca="false">IF(OR(NOT(ISNUMBER(E60)),NOT(ISNUMBER(E248))),"",E60-E248)</f>
        <v/>
      </c>
      <c r="F436" s="48" t="str">
        <f aca="false">IF(OR(NOT(ISNUMBER(F60)),NOT(ISNUMBER(F248))),"",F60-F248)</f>
        <v/>
      </c>
      <c r="G436" s="48" t="str">
        <f aca="false">IF(OR(NOT(ISNUMBER(G60)),NOT(ISNUMBER(G248))),"",G60-G248)</f>
        <v/>
      </c>
      <c r="H436" s="48" t="str">
        <f aca="false">IF(OR(NOT(ISNUMBER(H60)),NOT(ISNUMBER(H248))),"",H60-H248)</f>
        <v/>
      </c>
      <c r="I436" s="48" t="str">
        <f aca="false">IF(OR(NOT(ISNUMBER(I60)),NOT(ISNUMBER(I248))),"",I60-I248)</f>
        <v/>
      </c>
      <c r="J436" s="48" t="str">
        <f aca="false">IF(OR(NOT(ISNUMBER(J60)),NOT(ISNUMBER(J248))),"",J60-J248)</f>
        <v/>
      </c>
      <c r="K436" s="48" t="str">
        <f aca="false">IF(OR(NOT(ISNUMBER(K60)),NOT(ISNUMBER(K248))),"",K60-K248)</f>
        <v/>
      </c>
      <c r="L436" s="48" t="str">
        <f aca="false">IF(OR(NOT(ISNUMBER(L60)),NOT(ISNUMBER(L248))),"",L60-L248)</f>
        <v/>
      </c>
      <c r="M436" s="48" t="str">
        <f aca="false">IF(OR(NOT(ISNUMBER(M60)),NOT(ISNUMBER(M248))),"",M60-M248)</f>
        <v/>
      </c>
      <c r="N436" s="48" t="str">
        <f aca="false">IF(OR(NOT(ISNUMBER(N60)),NOT(ISNUMBER(N248))),"",N60-N248)</f>
        <v/>
      </c>
      <c r="O436" s="54" t="str">
        <f aca="false">IF(OR(NOT(ISNUMBER(O60)),NOT(ISNUMBER(O248))),"",O60-O248)</f>
        <v/>
      </c>
      <c r="P436" s="11" t="str">
        <f aca="false">IF(COUNT(D436:N436)=0,"",IF(AND(MAX(D436:N436)&lt;2,MIN(D436:N436)&gt;-2),"Sin diferencia","Diferencia a explicar"))</f>
        <v/>
      </c>
    </row>
    <row r="437" customFormat="false" ht="15" hidden="true" customHeight="false" outlineLevel="1" collapsed="false">
      <c r="A437" s="11" t="s">
        <v>2138</v>
      </c>
      <c r="B437" s="53" t="str">
        <f aca="false">IF(INDEX(Prod_Nombre,18)="","Producto 18",INDEX(Prod_Nombre,18))</f>
        <v>Producto 18</v>
      </c>
      <c r="C437" s="11" t="s">
        <v>508</v>
      </c>
      <c r="D437" s="48" t="str">
        <f aca="false">IF(OR(NOT(ISNUMBER(D61)),NOT(ISNUMBER(D249))),"",D61-D249)</f>
        <v/>
      </c>
      <c r="E437" s="48" t="str">
        <f aca="false">IF(OR(NOT(ISNUMBER(E61)),NOT(ISNUMBER(E249))),"",E61-E249)</f>
        <v/>
      </c>
      <c r="F437" s="48" t="str">
        <f aca="false">IF(OR(NOT(ISNUMBER(F61)),NOT(ISNUMBER(F249))),"",F61-F249)</f>
        <v/>
      </c>
      <c r="G437" s="48" t="str">
        <f aca="false">IF(OR(NOT(ISNUMBER(G61)),NOT(ISNUMBER(G249))),"",G61-G249)</f>
        <v/>
      </c>
      <c r="H437" s="48" t="str">
        <f aca="false">IF(OR(NOT(ISNUMBER(H61)),NOT(ISNUMBER(H249))),"",H61-H249)</f>
        <v/>
      </c>
      <c r="I437" s="48" t="str">
        <f aca="false">IF(OR(NOT(ISNUMBER(I61)),NOT(ISNUMBER(I249))),"",I61-I249)</f>
        <v/>
      </c>
      <c r="J437" s="48" t="str">
        <f aca="false">IF(OR(NOT(ISNUMBER(J61)),NOT(ISNUMBER(J249))),"",J61-J249)</f>
        <v/>
      </c>
      <c r="K437" s="48" t="str">
        <f aca="false">IF(OR(NOT(ISNUMBER(K61)),NOT(ISNUMBER(K249))),"",K61-K249)</f>
        <v/>
      </c>
      <c r="L437" s="48" t="str">
        <f aca="false">IF(OR(NOT(ISNUMBER(L61)),NOT(ISNUMBER(L249))),"",L61-L249)</f>
        <v/>
      </c>
      <c r="M437" s="48" t="str">
        <f aca="false">IF(OR(NOT(ISNUMBER(M61)),NOT(ISNUMBER(M249))),"",M61-M249)</f>
        <v/>
      </c>
      <c r="N437" s="48" t="str">
        <f aca="false">IF(OR(NOT(ISNUMBER(N61)),NOT(ISNUMBER(N249))),"",N61-N249)</f>
        <v/>
      </c>
      <c r="O437" s="54" t="str">
        <f aca="false">IF(OR(NOT(ISNUMBER(O61)),NOT(ISNUMBER(O249))),"",O61-O249)</f>
        <v/>
      </c>
      <c r="P437" s="11" t="str">
        <f aca="false">IF(COUNT(D437:N437)=0,"",IF(AND(MAX(D437:N437)&lt;2,MIN(D437:N437)&gt;-2),"Sin diferencia","Diferencia a explicar"))</f>
        <v/>
      </c>
    </row>
    <row r="438" customFormat="false" ht="15" hidden="true" customHeight="false" outlineLevel="1" collapsed="false">
      <c r="A438" s="11" t="s">
        <v>2139</v>
      </c>
      <c r="B438" s="15" t="s">
        <v>2087</v>
      </c>
      <c r="C438" s="11" t="s">
        <v>748</v>
      </c>
      <c r="E438" s="50" t="str">
        <f aca="false">IF(OR(NOT(ISNUMBER(E62)),NOT(ISNUMBER(E250))),"",E62-E250)</f>
        <v/>
      </c>
      <c r="F438" s="50" t="str">
        <f aca="false">IF(OR(NOT(ISNUMBER(F62)),NOT(ISNUMBER(F250))),"",F62-F250)</f>
        <v/>
      </c>
      <c r="G438" s="50" t="str">
        <f aca="false">IF(OR(NOT(ISNUMBER(G62)),NOT(ISNUMBER(G250))),"",G62-G250)</f>
        <v/>
      </c>
      <c r="H438" s="50" t="str">
        <f aca="false">IF(OR(NOT(ISNUMBER(H62)),NOT(ISNUMBER(H250))),"",H62-H250)</f>
        <v/>
      </c>
      <c r="I438" s="50" t="str">
        <f aca="false">IF(OR(NOT(ISNUMBER(I62)),NOT(ISNUMBER(I250))),"",I62-I250)</f>
        <v/>
      </c>
      <c r="J438" s="50" t="str">
        <f aca="false">IF(OR(NOT(ISNUMBER(J62)),NOT(ISNUMBER(J250))),"",J62-J250)</f>
        <v/>
      </c>
      <c r="K438" s="50" t="str">
        <f aca="false">IF(OR(NOT(ISNUMBER(K62)),NOT(ISNUMBER(K250))),"",K62-K250)</f>
        <v/>
      </c>
      <c r="L438" s="50" t="str">
        <f aca="false">IF(OR(NOT(ISNUMBER(L62)),NOT(ISNUMBER(L250))),"",L62-L250)</f>
        <v/>
      </c>
      <c r="M438" s="50" t="str">
        <f aca="false">IF(OR(NOT(ISNUMBER(M62)),NOT(ISNUMBER(M250))),"",M62-M250)</f>
        <v/>
      </c>
      <c r="N438" s="50" t="str">
        <f aca="false">IF(OR(NOT(ISNUMBER(N62)),NOT(ISNUMBER(N250))),"",N62-N250)</f>
        <v/>
      </c>
      <c r="O438" s="68" t="str">
        <f aca="false">IF(OR(NOT(ISNUMBER(O62)),NOT(ISNUMBER(O250))),"",O62-O250)</f>
        <v/>
      </c>
      <c r="P438" s="11" t="str">
        <f aca="false">IF(COUNT(D438:N438)=0,"",IF(AND(MAX(D438:N438)&lt;0.005,MIN(D438:N438)&gt;-0.005),"Sin diferencia","Diferencia a explicar"))</f>
        <v/>
      </c>
    </row>
    <row r="439" customFormat="false" ht="15" hidden="true" customHeight="false" outlineLevel="1" collapsed="false">
      <c r="A439" s="11" t="s">
        <v>2140</v>
      </c>
      <c r="B439" s="15" t="s">
        <v>2089</v>
      </c>
      <c r="C439" s="11" t="s">
        <v>544</v>
      </c>
      <c r="D439" s="48" t="str">
        <f aca="false">IF(OR(NOT(ISNUMBER(D63)),NOT(ISNUMBER(D251))),"",D63-D251)</f>
        <v/>
      </c>
      <c r="E439" s="48" t="str">
        <f aca="false">IF(OR(NOT(ISNUMBER(E63)),NOT(ISNUMBER(E251))),"",E63-E251)</f>
        <v/>
      </c>
      <c r="F439" s="48" t="str">
        <f aca="false">IF(OR(NOT(ISNUMBER(F63)),NOT(ISNUMBER(F251))),"",F63-F251)</f>
        <v/>
      </c>
      <c r="G439" s="48" t="str">
        <f aca="false">IF(OR(NOT(ISNUMBER(G63)),NOT(ISNUMBER(G251))),"",G63-G251)</f>
        <v/>
      </c>
      <c r="H439" s="48" t="str">
        <f aca="false">IF(OR(NOT(ISNUMBER(H63)),NOT(ISNUMBER(H251))),"",H63-H251)</f>
        <v/>
      </c>
      <c r="I439" s="48" t="str">
        <f aca="false">IF(OR(NOT(ISNUMBER(I63)),NOT(ISNUMBER(I251))),"",I63-I251)</f>
        <v/>
      </c>
      <c r="J439" s="48" t="str">
        <f aca="false">IF(OR(NOT(ISNUMBER(J63)),NOT(ISNUMBER(J251))),"",J63-J251)</f>
        <v/>
      </c>
      <c r="K439" s="48" t="str">
        <f aca="false">IF(OR(NOT(ISNUMBER(K63)),NOT(ISNUMBER(K251))),"",K63-K251)</f>
        <v/>
      </c>
      <c r="L439" s="48" t="str">
        <f aca="false">IF(OR(NOT(ISNUMBER(L63)),NOT(ISNUMBER(L251))),"",L63-L251)</f>
        <v/>
      </c>
      <c r="M439" s="48" t="str">
        <f aca="false">IF(OR(NOT(ISNUMBER(M63)),NOT(ISNUMBER(M251))),"",M63-M251)</f>
        <v/>
      </c>
      <c r="N439" s="48" t="str">
        <f aca="false">IF(OR(NOT(ISNUMBER(N63)),NOT(ISNUMBER(N251))),"",N63-N251)</f>
        <v/>
      </c>
      <c r="O439" s="54" t="str">
        <f aca="false">IF(OR(NOT(ISNUMBER(O63)),NOT(ISNUMBER(O251))),"",O63-O251)</f>
        <v/>
      </c>
      <c r="P439" s="11" t="str">
        <f aca="false">IF(COUNT(D439:N439)=0,"",IF(AND(MAX(D439:N439)&lt;2,MIN(D439:N439)&gt;-2),"Sin diferencia","Diferencia a explicar"))</f>
        <v/>
      </c>
    </row>
    <row r="440" customFormat="false" ht="15" hidden="true" customHeight="false" outlineLevel="1" collapsed="false">
      <c r="A440" s="11" t="s">
        <v>2141</v>
      </c>
      <c r="B440" s="53" t="str">
        <f aca="false">IF(INDEX(Prod_Nombre,19)="","Producto 19",INDEX(Prod_Nombre,19))</f>
        <v>Producto 19</v>
      </c>
      <c r="C440" s="11" t="s">
        <v>508</v>
      </c>
      <c r="D440" s="48" t="str">
        <f aca="false">IF(OR(NOT(ISNUMBER(D64)),NOT(ISNUMBER(D252))),"",D64-D252)</f>
        <v/>
      </c>
      <c r="E440" s="48" t="str">
        <f aca="false">IF(OR(NOT(ISNUMBER(E64)),NOT(ISNUMBER(E252))),"",E64-E252)</f>
        <v/>
      </c>
      <c r="F440" s="48" t="str">
        <f aca="false">IF(OR(NOT(ISNUMBER(F64)),NOT(ISNUMBER(F252))),"",F64-F252)</f>
        <v/>
      </c>
      <c r="G440" s="48" t="str">
        <f aca="false">IF(OR(NOT(ISNUMBER(G64)),NOT(ISNUMBER(G252))),"",G64-G252)</f>
        <v/>
      </c>
      <c r="H440" s="48" t="str">
        <f aca="false">IF(OR(NOT(ISNUMBER(H64)),NOT(ISNUMBER(H252))),"",H64-H252)</f>
        <v/>
      </c>
      <c r="I440" s="48" t="str">
        <f aca="false">IF(OR(NOT(ISNUMBER(I64)),NOT(ISNUMBER(I252))),"",I64-I252)</f>
        <v/>
      </c>
      <c r="J440" s="48" t="str">
        <f aca="false">IF(OR(NOT(ISNUMBER(J64)),NOT(ISNUMBER(J252))),"",J64-J252)</f>
        <v/>
      </c>
      <c r="K440" s="48" t="str">
        <f aca="false">IF(OR(NOT(ISNUMBER(K64)),NOT(ISNUMBER(K252))),"",K64-K252)</f>
        <v/>
      </c>
      <c r="L440" s="48" t="str">
        <f aca="false">IF(OR(NOT(ISNUMBER(L64)),NOT(ISNUMBER(L252))),"",L64-L252)</f>
        <v/>
      </c>
      <c r="M440" s="48" t="str">
        <f aca="false">IF(OR(NOT(ISNUMBER(M64)),NOT(ISNUMBER(M252))),"",M64-M252)</f>
        <v/>
      </c>
      <c r="N440" s="48" t="str">
        <f aca="false">IF(OR(NOT(ISNUMBER(N64)),NOT(ISNUMBER(N252))),"",N64-N252)</f>
        <v/>
      </c>
      <c r="O440" s="54" t="str">
        <f aca="false">IF(OR(NOT(ISNUMBER(O64)),NOT(ISNUMBER(O252))),"",O64-O252)</f>
        <v/>
      </c>
      <c r="P440" s="11" t="str">
        <f aca="false">IF(COUNT(D440:N440)=0,"",IF(AND(MAX(D440:N440)&lt;2,MIN(D440:N440)&gt;-2),"Sin diferencia","Diferencia a explicar"))</f>
        <v/>
      </c>
    </row>
    <row r="441" customFormat="false" ht="15" hidden="true" customHeight="false" outlineLevel="1" collapsed="false">
      <c r="A441" s="11" t="s">
        <v>2142</v>
      </c>
      <c r="B441" s="15" t="s">
        <v>2087</v>
      </c>
      <c r="C441" s="11" t="s">
        <v>748</v>
      </c>
      <c r="E441" s="50" t="str">
        <f aca="false">IF(OR(NOT(ISNUMBER(E65)),NOT(ISNUMBER(E253))),"",E65-E253)</f>
        <v/>
      </c>
      <c r="F441" s="50" t="str">
        <f aca="false">IF(OR(NOT(ISNUMBER(F65)),NOT(ISNUMBER(F253))),"",F65-F253)</f>
        <v/>
      </c>
      <c r="G441" s="50" t="str">
        <f aca="false">IF(OR(NOT(ISNUMBER(G65)),NOT(ISNUMBER(G253))),"",G65-G253)</f>
        <v/>
      </c>
      <c r="H441" s="50" t="str">
        <f aca="false">IF(OR(NOT(ISNUMBER(H65)),NOT(ISNUMBER(H253))),"",H65-H253)</f>
        <v/>
      </c>
      <c r="I441" s="50" t="str">
        <f aca="false">IF(OR(NOT(ISNUMBER(I65)),NOT(ISNUMBER(I253))),"",I65-I253)</f>
        <v/>
      </c>
      <c r="J441" s="50" t="str">
        <f aca="false">IF(OR(NOT(ISNUMBER(J65)),NOT(ISNUMBER(J253))),"",J65-J253)</f>
        <v/>
      </c>
      <c r="K441" s="50" t="str">
        <f aca="false">IF(OR(NOT(ISNUMBER(K65)),NOT(ISNUMBER(K253))),"",K65-K253)</f>
        <v/>
      </c>
      <c r="L441" s="50" t="str">
        <f aca="false">IF(OR(NOT(ISNUMBER(L65)),NOT(ISNUMBER(L253))),"",L65-L253)</f>
        <v/>
      </c>
      <c r="M441" s="50" t="str">
        <f aca="false">IF(OR(NOT(ISNUMBER(M65)),NOT(ISNUMBER(M253))),"",M65-M253)</f>
        <v/>
      </c>
      <c r="N441" s="50" t="str">
        <f aca="false">IF(OR(NOT(ISNUMBER(N65)),NOT(ISNUMBER(N253))),"",N65-N253)</f>
        <v/>
      </c>
      <c r="O441" s="68" t="str">
        <f aca="false">IF(OR(NOT(ISNUMBER(O65)),NOT(ISNUMBER(O253))),"",O65-O253)</f>
        <v/>
      </c>
      <c r="P441" s="11" t="str">
        <f aca="false">IF(COUNT(D441:N441)=0,"",IF(AND(MAX(D441:N441)&lt;0.005,MIN(D441:N441)&gt;-0.005),"Sin diferencia","Diferencia a explicar"))</f>
        <v/>
      </c>
    </row>
    <row r="442" customFormat="false" ht="15" hidden="true" customHeight="false" outlineLevel="1" collapsed="false">
      <c r="A442" s="11" t="s">
        <v>2143</v>
      </c>
      <c r="B442" s="15" t="s">
        <v>2089</v>
      </c>
      <c r="C442" s="11" t="s">
        <v>544</v>
      </c>
      <c r="D442" s="48" t="str">
        <f aca="false">IF(OR(NOT(ISNUMBER(D66)),NOT(ISNUMBER(D254))),"",D66-D254)</f>
        <v/>
      </c>
      <c r="E442" s="48" t="str">
        <f aca="false">IF(OR(NOT(ISNUMBER(E66)),NOT(ISNUMBER(E254))),"",E66-E254)</f>
        <v/>
      </c>
      <c r="F442" s="48" t="str">
        <f aca="false">IF(OR(NOT(ISNUMBER(F66)),NOT(ISNUMBER(F254))),"",F66-F254)</f>
        <v/>
      </c>
      <c r="G442" s="48" t="str">
        <f aca="false">IF(OR(NOT(ISNUMBER(G66)),NOT(ISNUMBER(G254))),"",G66-G254)</f>
        <v/>
      </c>
      <c r="H442" s="48" t="str">
        <f aca="false">IF(OR(NOT(ISNUMBER(H66)),NOT(ISNUMBER(H254))),"",H66-H254)</f>
        <v/>
      </c>
      <c r="I442" s="48" t="str">
        <f aca="false">IF(OR(NOT(ISNUMBER(I66)),NOT(ISNUMBER(I254))),"",I66-I254)</f>
        <v/>
      </c>
      <c r="J442" s="48" t="str">
        <f aca="false">IF(OR(NOT(ISNUMBER(J66)),NOT(ISNUMBER(J254))),"",J66-J254)</f>
        <v/>
      </c>
      <c r="K442" s="48" t="str">
        <f aca="false">IF(OR(NOT(ISNUMBER(K66)),NOT(ISNUMBER(K254))),"",K66-K254)</f>
        <v/>
      </c>
      <c r="L442" s="48" t="str">
        <f aca="false">IF(OR(NOT(ISNUMBER(L66)),NOT(ISNUMBER(L254))),"",L66-L254)</f>
        <v/>
      </c>
      <c r="M442" s="48" t="str">
        <f aca="false">IF(OR(NOT(ISNUMBER(M66)),NOT(ISNUMBER(M254))),"",M66-M254)</f>
        <v/>
      </c>
      <c r="N442" s="48" t="str">
        <f aca="false">IF(OR(NOT(ISNUMBER(N66)),NOT(ISNUMBER(N254))),"",N66-N254)</f>
        <v/>
      </c>
      <c r="O442" s="54" t="str">
        <f aca="false">IF(OR(NOT(ISNUMBER(O66)),NOT(ISNUMBER(O254))),"",O66-O254)</f>
        <v/>
      </c>
      <c r="P442" s="11" t="str">
        <f aca="false">IF(COUNT(D442:N442)=0,"",IF(AND(MAX(D442:N442)&lt;2,MIN(D442:N442)&gt;-2),"Sin diferencia","Diferencia a explicar"))</f>
        <v/>
      </c>
    </row>
    <row r="443" customFormat="false" ht="15" hidden="true" customHeight="false" outlineLevel="1" collapsed="false">
      <c r="A443" s="11" t="s">
        <v>2144</v>
      </c>
      <c r="B443" s="53" t="str">
        <f aca="false">IF(INDEX(Prod_Nombre,20)="","Producto 20",INDEX(Prod_Nombre,20))</f>
        <v>Producto 20</v>
      </c>
      <c r="C443" s="11" t="s">
        <v>508</v>
      </c>
      <c r="D443" s="48" t="str">
        <f aca="false">IF(OR(NOT(ISNUMBER(D67)),NOT(ISNUMBER(D255))),"",D67-D255)</f>
        <v/>
      </c>
      <c r="E443" s="48" t="str">
        <f aca="false">IF(OR(NOT(ISNUMBER(E67)),NOT(ISNUMBER(E255))),"",E67-E255)</f>
        <v/>
      </c>
      <c r="F443" s="48" t="str">
        <f aca="false">IF(OR(NOT(ISNUMBER(F67)),NOT(ISNUMBER(F255))),"",F67-F255)</f>
        <v/>
      </c>
      <c r="G443" s="48" t="str">
        <f aca="false">IF(OR(NOT(ISNUMBER(G67)),NOT(ISNUMBER(G255))),"",G67-G255)</f>
        <v/>
      </c>
      <c r="H443" s="48" t="str">
        <f aca="false">IF(OR(NOT(ISNUMBER(H67)),NOT(ISNUMBER(H255))),"",H67-H255)</f>
        <v/>
      </c>
      <c r="I443" s="48" t="str">
        <f aca="false">IF(OR(NOT(ISNUMBER(I67)),NOT(ISNUMBER(I255))),"",I67-I255)</f>
        <v/>
      </c>
      <c r="J443" s="48" t="str">
        <f aca="false">IF(OR(NOT(ISNUMBER(J67)),NOT(ISNUMBER(J255))),"",J67-J255)</f>
        <v/>
      </c>
      <c r="K443" s="48" t="str">
        <f aca="false">IF(OR(NOT(ISNUMBER(K67)),NOT(ISNUMBER(K255))),"",K67-K255)</f>
        <v/>
      </c>
      <c r="L443" s="48" t="str">
        <f aca="false">IF(OR(NOT(ISNUMBER(L67)),NOT(ISNUMBER(L255))),"",L67-L255)</f>
        <v/>
      </c>
      <c r="M443" s="48" t="str">
        <f aca="false">IF(OR(NOT(ISNUMBER(M67)),NOT(ISNUMBER(M255))),"",M67-M255)</f>
        <v/>
      </c>
      <c r="N443" s="48" t="str">
        <f aca="false">IF(OR(NOT(ISNUMBER(N67)),NOT(ISNUMBER(N255))),"",N67-N255)</f>
        <v/>
      </c>
      <c r="O443" s="54" t="str">
        <f aca="false">IF(OR(NOT(ISNUMBER(O67)),NOT(ISNUMBER(O255))),"",O67-O255)</f>
        <v/>
      </c>
      <c r="P443" s="11" t="str">
        <f aca="false">IF(COUNT(D443:N443)=0,"",IF(AND(MAX(D443:N443)&lt;2,MIN(D443:N443)&gt;-2),"Sin diferencia","Diferencia a explicar"))</f>
        <v/>
      </c>
    </row>
    <row r="444" customFormat="false" ht="15" hidden="true" customHeight="false" outlineLevel="1" collapsed="false">
      <c r="A444" s="11" t="s">
        <v>2145</v>
      </c>
      <c r="B444" s="15" t="s">
        <v>2087</v>
      </c>
      <c r="C444" s="11" t="s">
        <v>748</v>
      </c>
      <c r="E444" s="50" t="str">
        <f aca="false">IF(OR(NOT(ISNUMBER(E68)),NOT(ISNUMBER(E256))),"",E68-E256)</f>
        <v/>
      </c>
      <c r="F444" s="50" t="str">
        <f aca="false">IF(OR(NOT(ISNUMBER(F68)),NOT(ISNUMBER(F256))),"",F68-F256)</f>
        <v/>
      </c>
      <c r="G444" s="50" t="str">
        <f aca="false">IF(OR(NOT(ISNUMBER(G68)),NOT(ISNUMBER(G256))),"",G68-G256)</f>
        <v/>
      </c>
      <c r="H444" s="50" t="str">
        <f aca="false">IF(OR(NOT(ISNUMBER(H68)),NOT(ISNUMBER(H256))),"",H68-H256)</f>
        <v/>
      </c>
      <c r="I444" s="50" t="str">
        <f aca="false">IF(OR(NOT(ISNUMBER(I68)),NOT(ISNUMBER(I256))),"",I68-I256)</f>
        <v/>
      </c>
      <c r="J444" s="50" t="str">
        <f aca="false">IF(OR(NOT(ISNUMBER(J68)),NOT(ISNUMBER(J256))),"",J68-J256)</f>
        <v/>
      </c>
      <c r="K444" s="50" t="str">
        <f aca="false">IF(OR(NOT(ISNUMBER(K68)),NOT(ISNUMBER(K256))),"",K68-K256)</f>
        <v/>
      </c>
      <c r="L444" s="50" t="str">
        <f aca="false">IF(OR(NOT(ISNUMBER(L68)),NOT(ISNUMBER(L256))),"",L68-L256)</f>
        <v/>
      </c>
      <c r="M444" s="50" t="str">
        <f aca="false">IF(OR(NOT(ISNUMBER(M68)),NOT(ISNUMBER(M256))),"",M68-M256)</f>
        <v/>
      </c>
      <c r="N444" s="50" t="str">
        <f aca="false">IF(OR(NOT(ISNUMBER(N68)),NOT(ISNUMBER(N256))),"",N68-N256)</f>
        <v/>
      </c>
      <c r="O444" s="68" t="str">
        <f aca="false">IF(OR(NOT(ISNUMBER(O68)),NOT(ISNUMBER(O256))),"",O68-O256)</f>
        <v/>
      </c>
      <c r="P444" s="11" t="str">
        <f aca="false">IF(COUNT(D444:N444)=0,"",IF(AND(MAX(D444:N444)&lt;0.005,MIN(D444:N444)&gt;-0.005),"Sin diferencia","Diferencia a explicar"))</f>
        <v/>
      </c>
    </row>
    <row r="445" customFormat="false" ht="15" hidden="true" customHeight="false" outlineLevel="1" collapsed="false">
      <c r="A445" s="11" t="s">
        <v>2146</v>
      </c>
      <c r="B445" s="15" t="s">
        <v>2089</v>
      </c>
      <c r="C445" s="11" t="s">
        <v>544</v>
      </c>
      <c r="D445" s="48" t="str">
        <f aca="false">IF(OR(NOT(ISNUMBER(D69)),NOT(ISNUMBER(D257))),"",D69-D257)</f>
        <v/>
      </c>
      <c r="E445" s="48" t="str">
        <f aca="false">IF(OR(NOT(ISNUMBER(E69)),NOT(ISNUMBER(E257))),"",E69-E257)</f>
        <v/>
      </c>
      <c r="F445" s="48" t="str">
        <f aca="false">IF(OR(NOT(ISNUMBER(F69)),NOT(ISNUMBER(F257))),"",F69-F257)</f>
        <v/>
      </c>
      <c r="G445" s="48" t="str">
        <f aca="false">IF(OR(NOT(ISNUMBER(G69)),NOT(ISNUMBER(G257))),"",G69-G257)</f>
        <v/>
      </c>
      <c r="H445" s="48" t="str">
        <f aca="false">IF(OR(NOT(ISNUMBER(H69)),NOT(ISNUMBER(H257))),"",H69-H257)</f>
        <v/>
      </c>
      <c r="I445" s="48" t="str">
        <f aca="false">IF(OR(NOT(ISNUMBER(I69)),NOT(ISNUMBER(I257))),"",I69-I257)</f>
        <v/>
      </c>
      <c r="J445" s="48" t="str">
        <f aca="false">IF(OR(NOT(ISNUMBER(J69)),NOT(ISNUMBER(J257))),"",J69-J257)</f>
        <v/>
      </c>
      <c r="K445" s="48" t="str">
        <f aca="false">IF(OR(NOT(ISNUMBER(K69)),NOT(ISNUMBER(K257))),"",K69-K257)</f>
        <v/>
      </c>
      <c r="L445" s="48" t="str">
        <f aca="false">IF(OR(NOT(ISNUMBER(L69)),NOT(ISNUMBER(L257))),"",L69-L257)</f>
        <v/>
      </c>
      <c r="M445" s="48" t="str">
        <f aca="false">IF(OR(NOT(ISNUMBER(M69)),NOT(ISNUMBER(M257))),"",M69-M257)</f>
        <v/>
      </c>
      <c r="N445" s="48" t="str">
        <f aca="false">IF(OR(NOT(ISNUMBER(N69)),NOT(ISNUMBER(N257))),"",N69-N257)</f>
        <v/>
      </c>
      <c r="O445" s="54" t="str">
        <f aca="false">IF(OR(NOT(ISNUMBER(O69)),NOT(ISNUMBER(O257))),"",O69-O257)</f>
        <v/>
      </c>
      <c r="P445" s="11" t="str">
        <f aca="false">IF(COUNT(D445:N445)=0,"",IF(AND(MAX(D445:N445)&lt;2,MIN(D445:N445)&gt;-2),"Sin diferencia","Diferencia a explicar"))</f>
        <v/>
      </c>
    </row>
    <row r="446" customFormat="false" ht="15" hidden="true" customHeight="false" outlineLevel="1" collapsed="false">
      <c r="A446" s="11" t="s">
        <v>2147</v>
      </c>
      <c r="B446" s="53" t="str">
        <f aca="false">IF(INDEX(Prod_Nombre,21)="","Producto 21",INDEX(Prod_Nombre,21))</f>
        <v>Producto 21</v>
      </c>
      <c r="C446" s="11" t="s">
        <v>508</v>
      </c>
      <c r="D446" s="48" t="str">
        <f aca="false">IF(OR(NOT(ISNUMBER(D70)),NOT(ISNUMBER(D258))),"",D70-D258)</f>
        <v/>
      </c>
      <c r="E446" s="48" t="str">
        <f aca="false">IF(OR(NOT(ISNUMBER(E70)),NOT(ISNUMBER(E258))),"",E70-E258)</f>
        <v/>
      </c>
      <c r="F446" s="48" t="str">
        <f aca="false">IF(OR(NOT(ISNUMBER(F70)),NOT(ISNUMBER(F258))),"",F70-F258)</f>
        <v/>
      </c>
      <c r="G446" s="48" t="str">
        <f aca="false">IF(OR(NOT(ISNUMBER(G70)),NOT(ISNUMBER(G258))),"",G70-G258)</f>
        <v/>
      </c>
      <c r="H446" s="48" t="str">
        <f aca="false">IF(OR(NOT(ISNUMBER(H70)),NOT(ISNUMBER(H258))),"",H70-H258)</f>
        <v/>
      </c>
      <c r="I446" s="48" t="str">
        <f aca="false">IF(OR(NOT(ISNUMBER(I70)),NOT(ISNUMBER(I258))),"",I70-I258)</f>
        <v/>
      </c>
      <c r="J446" s="48" t="str">
        <f aca="false">IF(OR(NOT(ISNUMBER(J70)),NOT(ISNUMBER(J258))),"",J70-J258)</f>
        <v/>
      </c>
      <c r="K446" s="48" t="str">
        <f aca="false">IF(OR(NOT(ISNUMBER(K70)),NOT(ISNUMBER(K258))),"",K70-K258)</f>
        <v/>
      </c>
      <c r="L446" s="48" t="str">
        <f aca="false">IF(OR(NOT(ISNUMBER(L70)),NOT(ISNUMBER(L258))),"",L70-L258)</f>
        <v/>
      </c>
      <c r="M446" s="48" t="str">
        <f aca="false">IF(OR(NOT(ISNUMBER(M70)),NOT(ISNUMBER(M258))),"",M70-M258)</f>
        <v/>
      </c>
      <c r="N446" s="48" t="str">
        <f aca="false">IF(OR(NOT(ISNUMBER(N70)),NOT(ISNUMBER(N258))),"",N70-N258)</f>
        <v/>
      </c>
      <c r="O446" s="54" t="str">
        <f aca="false">IF(OR(NOT(ISNUMBER(O70)),NOT(ISNUMBER(O258))),"",O70-O258)</f>
        <v/>
      </c>
      <c r="P446" s="11" t="str">
        <f aca="false">IF(COUNT(D446:N446)=0,"",IF(AND(MAX(D446:N446)&lt;2,MIN(D446:N446)&gt;-2),"Sin diferencia","Diferencia a explicar"))</f>
        <v/>
      </c>
    </row>
    <row r="447" customFormat="false" ht="15" hidden="true" customHeight="false" outlineLevel="1" collapsed="false">
      <c r="A447" s="11" t="s">
        <v>2148</v>
      </c>
      <c r="B447" s="15" t="s">
        <v>2087</v>
      </c>
      <c r="C447" s="11" t="s">
        <v>748</v>
      </c>
      <c r="E447" s="50" t="str">
        <f aca="false">IF(OR(NOT(ISNUMBER(E71)),NOT(ISNUMBER(E259))),"",E71-E259)</f>
        <v/>
      </c>
      <c r="F447" s="50" t="str">
        <f aca="false">IF(OR(NOT(ISNUMBER(F71)),NOT(ISNUMBER(F259))),"",F71-F259)</f>
        <v/>
      </c>
      <c r="G447" s="50" t="str">
        <f aca="false">IF(OR(NOT(ISNUMBER(G71)),NOT(ISNUMBER(G259))),"",G71-G259)</f>
        <v/>
      </c>
      <c r="H447" s="50" t="str">
        <f aca="false">IF(OR(NOT(ISNUMBER(H71)),NOT(ISNUMBER(H259))),"",H71-H259)</f>
        <v/>
      </c>
      <c r="I447" s="50" t="str">
        <f aca="false">IF(OR(NOT(ISNUMBER(I71)),NOT(ISNUMBER(I259))),"",I71-I259)</f>
        <v/>
      </c>
      <c r="J447" s="50" t="str">
        <f aca="false">IF(OR(NOT(ISNUMBER(J71)),NOT(ISNUMBER(J259))),"",J71-J259)</f>
        <v/>
      </c>
      <c r="K447" s="50" t="str">
        <f aca="false">IF(OR(NOT(ISNUMBER(K71)),NOT(ISNUMBER(K259))),"",K71-K259)</f>
        <v/>
      </c>
      <c r="L447" s="50" t="str">
        <f aca="false">IF(OR(NOT(ISNUMBER(L71)),NOT(ISNUMBER(L259))),"",L71-L259)</f>
        <v/>
      </c>
      <c r="M447" s="50" t="str">
        <f aca="false">IF(OR(NOT(ISNUMBER(M71)),NOT(ISNUMBER(M259))),"",M71-M259)</f>
        <v/>
      </c>
      <c r="N447" s="50" t="str">
        <f aca="false">IF(OR(NOT(ISNUMBER(N71)),NOT(ISNUMBER(N259))),"",N71-N259)</f>
        <v/>
      </c>
      <c r="O447" s="68" t="str">
        <f aca="false">IF(OR(NOT(ISNUMBER(O71)),NOT(ISNUMBER(O259))),"",O71-O259)</f>
        <v/>
      </c>
      <c r="P447" s="11" t="str">
        <f aca="false">IF(COUNT(D447:N447)=0,"",IF(AND(MAX(D447:N447)&lt;0.005,MIN(D447:N447)&gt;-0.005),"Sin diferencia","Diferencia a explicar"))</f>
        <v/>
      </c>
    </row>
    <row r="448" customFormat="false" ht="15" hidden="true" customHeight="false" outlineLevel="1" collapsed="false">
      <c r="A448" s="11" t="s">
        <v>2149</v>
      </c>
      <c r="B448" s="15" t="s">
        <v>2089</v>
      </c>
      <c r="C448" s="11" t="s">
        <v>544</v>
      </c>
      <c r="D448" s="48" t="str">
        <f aca="false">IF(OR(NOT(ISNUMBER(D72)),NOT(ISNUMBER(D260))),"",D72-D260)</f>
        <v/>
      </c>
      <c r="E448" s="48" t="str">
        <f aca="false">IF(OR(NOT(ISNUMBER(E72)),NOT(ISNUMBER(E260))),"",E72-E260)</f>
        <v/>
      </c>
      <c r="F448" s="48" t="str">
        <f aca="false">IF(OR(NOT(ISNUMBER(F72)),NOT(ISNUMBER(F260))),"",F72-F260)</f>
        <v/>
      </c>
      <c r="G448" s="48" t="str">
        <f aca="false">IF(OR(NOT(ISNUMBER(G72)),NOT(ISNUMBER(G260))),"",G72-G260)</f>
        <v/>
      </c>
      <c r="H448" s="48" t="str">
        <f aca="false">IF(OR(NOT(ISNUMBER(H72)),NOT(ISNUMBER(H260))),"",H72-H260)</f>
        <v/>
      </c>
      <c r="I448" s="48" t="str">
        <f aca="false">IF(OR(NOT(ISNUMBER(I72)),NOT(ISNUMBER(I260))),"",I72-I260)</f>
        <v/>
      </c>
      <c r="J448" s="48" t="str">
        <f aca="false">IF(OR(NOT(ISNUMBER(J72)),NOT(ISNUMBER(J260))),"",J72-J260)</f>
        <v/>
      </c>
      <c r="K448" s="48" t="str">
        <f aca="false">IF(OR(NOT(ISNUMBER(K72)),NOT(ISNUMBER(K260))),"",K72-K260)</f>
        <v/>
      </c>
      <c r="L448" s="48" t="str">
        <f aca="false">IF(OR(NOT(ISNUMBER(L72)),NOT(ISNUMBER(L260))),"",L72-L260)</f>
        <v/>
      </c>
      <c r="M448" s="48" t="str">
        <f aca="false">IF(OR(NOT(ISNUMBER(M72)),NOT(ISNUMBER(M260))),"",M72-M260)</f>
        <v/>
      </c>
      <c r="N448" s="48" t="str">
        <f aca="false">IF(OR(NOT(ISNUMBER(N72)),NOT(ISNUMBER(N260))),"",N72-N260)</f>
        <v/>
      </c>
      <c r="O448" s="54" t="str">
        <f aca="false">IF(OR(NOT(ISNUMBER(O72)),NOT(ISNUMBER(O260))),"",O72-O260)</f>
        <v/>
      </c>
      <c r="P448" s="11" t="str">
        <f aca="false">IF(COUNT(D448:N448)=0,"",IF(AND(MAX(D448:N448)&lt;2,MIN(D448:N448)&gt;-2),"Sin diferencia","Diferencia a explicar"))</f>
        <v/>
      </c>
    </row>
    <row r="449" customFormat="false" ht="15" hidden="true" customHeight="false" outlineLevel="1" collapsed="false">
      <c r="A449" s="11" t="s">
        <v>2150</v>
      </c>
      <c r="B449" s="53" t="str">
        <f aca="false">IF(INDEX(Prod_Nombre,22)="","Producto 22",INDEX(Prod_Nombre,22))</f>
        <v>Producto 22</v>
      </c>
      <c r="C449" s="11" t="s">
        <v>508</v>
      </c>
      <c r="D449" s="48" t="str">
        <f aca="false">IF(OR(NOT(ISNUMBER(D73)),NOT(ISNUMBER(D261))),"",D73-D261)</f>
        <v/>
      </c>
      <c r="E449" s="48" t="str">
        <f aca="false">IF(OR(NOT(ISNUMBER(E73)),NOT(ISNUMBER(E261))),"",E73-E261)</f>
        <v/>
      </c>
      <c r="F449" s="48" t="str">
        <f aca="false">IF(OR(NOT(ISNUMBER(F73)),NOT(ISNUMBER(F261))),"",F73-F261)</f>
        <v/>
      </c>
      <c r="G449" s="48" t="str">
        <f aca="false">IF(OR(NOT(ISNUMBER(G73)),NOT(ISNUMBER(G261))),"",G73-G261)</f>
        <v/>
      </c>
      <c r="H449" s="48" t="str">
        <f aca="false">IF(OR(NOT(ISNUMBER(H73)),NOT(ISNUMBER(H261))),"",H73-H261)</f>
        <v/>
      </c>
      <c r="I449" s="48" t="str">
        <f aca="false">IF(OR(NOT(ISNUMBER(I73)),NOT(ISNUMBER(I261))),"",I73-I261)</f>
        <v/>
      </c>
      <c r="J449" s="48" t="str">
        <f aca="false">IF(OR(NOT(ISNUMBER(J73)),NOT(ISNUMBER(J261))),"",J73-J261)</f>
        <v/>
      </c>
      <c r="K449" s="48" t="str">
        <f aca="false">IF(OR(NOT(ISNUMBER(K73)),NOT(ISNUMBER(K261))),"",K73-K261)</f>
        <v/>
      </c>
      <c r="L449" s="48" t="str">
        <f aca="false">IF(OR(NOT(ISNUMBER(L73)),NOT(ISNUMBER(L261))),"",L73-L261)</f>
        <v/>
      </c>
      <c r="M449" s="48" t="str">
        <f aca="false">IF(OR(NOT(ISNUMBER(M73)),NOT(ISNUMBER(M261))),"",M73-M261)</f>
        <v/>
      </c>
      <c r="N449" s="48" t="str">
        <f aca="false">IF(OR(NOT(ISNUMBER(N73)),NOT(ISNUMBER(N261))),"",N73-N261)</f>
        <v/>
      </c>
      <c r="O449" s="54" t="str">
        <f aca="false">IF(OR(NOT(ISNUMBER(O73)),NOT(ISNUMBER(O261))),"",O73-O261)</f>
        <v/>
      </c>
      <c r="P449" s="11" t="str">
        <f aca="false">IF(COUNT(D449:N449)=0,"",IF(AND(MAX(D449:N449)&lt;2,MIN(D449:N449)&gt;-2),"Sin diferencia","Diferencia a explicar"))</f>
        <v/>
      </c>
    </row>
    <row r="450" customFormat="false" ht="15" hidden="true" customHeight="false" outlineLevel="1" collapsed="false">
      <c r="A450" s="11" t="s">
        <v>2151</v>
      </c>
      <c r="B450" s="15" t="s">
        <v>2087</v>
      </c>
      <c r="C450" s="11" t="s">
        <v>748</v>
      </c>
      <c r="E450" s="50" t="str">
        <f aca="false">IF(OR(NOT(ISNUMBER(E74)),NOT(ISNUMBER(E262))),"",E74-E262)</f>
        <v/>
      </c>
      <c r="F450" s="50" t="str">
        <f aca="false">IF(OR(NOT(ISNUMBER(F74)),NOT(ISNUMBER(F262))),"",F74-F262)</f>
        <v/>
      </c>
      <c r="G450" s="50" t="str">
        <f aca="false">IF(OR(NOT(ISNUMBER(G74)),NOT(ISNUMBER(G262))),"",G74-G262)</f>
        <v/>
      </c>
      <c r="H450" s="50" t="str">
        <f aca="false">IF(OR(NOT(ISNUMBER(H74)),NOT(ISNUMBER(H262))),"",H74-H262)</f>
        <v/>
      </c>
      <c r="I450" s="50" t="str">
        <f aca="false">IF(OR(NOT(ISNUMBER(I74)),NOT(ISNUMBER(I262))),"",I74-I262)</f>
        <v/>
      </c>
      <c r="J450" s="50" t="str">
        <f aca="false">IF(OR(NOT(ISNUMBER(J74)),NOT(ISNUMBER(J262))),"",J74-J262)</f>
        <v/>
      </c>
      <c r="K450" s="50" t="str">
        <f aca="false">IF(OR(NOT(ISNUMBER(K74)),NOT(ISNUMBER(K262))),"",K74-K262)</f>
        <v/>
      </c>
      <c r="L450" s="50" t="str">
        <f aca="false">IF(OR(NOT(ISNUMBER(L74)),NOT(ISNUMBER(L262))),"",L74-L262)</f>
        <v/>
      </c>
      <c r="M450" s="50" t="str">
        <f aca="false">IF(OR(NOT(ISNUMBER(M74)),NOT(ISNUMBER(M262))),"",M74-M262)</f>
        <v/>
      </c>
      <c r="N450" s="50" t="str">
        <f aca="false">IF(OR(NOT(ISNUMBER(N74)),NOT(ISNUMBER(N262))),"",N74-N262)</f>
        <v/>
      </c>
      <c r="O450" s="68" t="str">
        <f aca="false">IF(OR(NOT(ISNUMBER(O74)),NOT(ISNUMBER(O262))),"",O74-O262)</f>
        <v/>
      </c>
      <c r="P450" s="11" t="str">
        <f aca="false">IF(COUNT(D450:N450)=0,"",IF(AND(MAX(D450:N450)&lt;0.005,MIN(D450:N450)&gt;-0.005),"Sin diferencia","Diferencia a explicar"))</f>
        <v/>
      </c>
    </row>
    <row r="451" customFormat="false" ht="15" hidden="true" customHeight="false" outlineLevel="1" collapsed="false">
      <c r="A451" s="11" t="s">
        <v>2152</v>
      </c>
      <c r="B451" s="15" t="s">
        <v>2089</v>
      </c>
      <c r="C451" s="11" t="s">
        <v>544</v>
      </c>
      <c r="D451" s="48" t="str">
        <f aca="false">IF(OR(NOT(ISNUMBER(D75)),NOT(ISNUMBER(D263))),"",D75-D263)</f>
        <v/>
      </c>
      <c r="E451" s="48" t="str">
        <f aca="false">IF(OR(NOT(ISNUMBER(E75)),NOT(ISNUMBER(E263))),"",E75-E263)</f>
        <v/>
      </c>
      <c r="F451" s="48" t="str">
        <f aca="false">IF(OR(NOT(ISNUMBER(F75)),NOT(ISNUMBER(F263))),"",F75-F263)</f>
        <v/>
      </c>
      <c r="G451" s="48" t="str">
        <f aca="false">IF(OR(NOT(ISNUMBER(G75)),NOT(ISNUMBER(G263))),"",G75-G263)</f>
        <v/>
      </c>
      <c r="H451" s="48" t="str">
        <f aca="false">IF(OR(NOT(ISNUMBER(H75)),NOT(ISNUMBER(H263))),"",H75-H263)</f>
        <v/>
      </c>
      <c r="I451" s="48" t="str">
        <f aca="false">IF(OR(NOT(ISNUMBER(I75)),NOT(ISNUMBER(I263))),"",I75-I263)</f>
        <v/>
      </c>
      <c r="J451" s="48" t="str">
        <f aca="false">IF(OR(NOT(ISNUMBER(J75)),NOT(ISNUMBER(J263))),"",J75-J263)</f>
        <v/>
      </c>
      <c r="K451" s="48" t="str">
        <f aca="false">IF(OR(NOT(ISNUMBER(K75)),NOT(ISNUMBER(K263))),"",K75-K263)</f>
        <v/>
      </c>
      <c r="L451" s="48" t="str">
        <f aca="false">IF(OR(NOT(ISNUMBER(L75)),NOT(ISNUMBER(L263))),"",L75-L263)</f>
        <v/>
      </c>
      <c r="M451" s="48" t="str">
        <f aca="false">IF(OR(NOT(ISNUMBER(M75)),NOT(ISNUMBER(M263))),"",M75-M263)</f>
        <v/>
      </c>
      <c r="N451" s="48" t="str">
        <f aca="false">IF(OR(NOT(ISNUMBER(N75)),NOT(ISNUMBER(N263))),"",N75-N263)</f>
        <v/>
      </c>
      <c r="O451" s="54" t="str">
        <f aca="false">IF(OR(NOT(ISNUMBER(O75)),NOT(ISNUMBER(O263))),"",O75-O263)</f>
        <v/>
      </c>
      <c r="P451" s="11" t="str">
        <f aca="false">IF(COUNT(D451:N451)=0,"",IF(AND(MAX(D451:N451)&lt;2,MIN(D451:N451)&gt;-2),"Sin diferencia","Diferencia a explicar"))</f>
        <v/>
      </c>
    </row>
    <row r="452" customFormat="false" ht="15" hidden="true" customHeight="false" outlineLevel="1" collapsed="false">
      <c r="A452" s="11" t="s">
        <v>2153</v>
      </c>
      <c r="B452" s="53" t="str">
        <f aca="false">IF(INDEX(Prod_Nombre,23)="","Producto 23",INDEX(Prod_Nombre,23))</f>
        <v>Producto 23</v>
      </c>
      <c r="C452" s="11" t="s">
        <v>508</v>
      </c>
      <c r="D452" s="48" t="str">
        <f aca="false">IF(OR(NOT(ISNUMBER(D76)),NOT(ISNUMBER(D264))),"",D76-D264)</f>
        <v/>
      </c>
      <c r="E452" s="48" t="str">
        <f aca="false">IF(OR(NOT(ISNUMBER(E76)),NOT(ISNUMBER(E264))),"",E76-E264)</f>
        <v/>
      </c>
      <c r="F452" s="48" t="str">
        <f aca="false">IF(OR(NOT(ISNUMBER(F76)),NOT(ISNUMBER(F264))),"",F76-F264)</f>
        <v/>
      </c>
      <c r="G452" s="48" t="str">
        <f aca="false">IF(OR(NOT(ISNUMBER(G76)),NOT(ISNUMBER(G264))),"",G76-G264)</f>
        <v/>
      </c>
      <c r="H452" s="48" t="str">
        <f aca="false">IF(OR(NOT(ISNUMBER(H76)),NOT(ISNUMBER(H264))),"",H76-H264)</f>
        <v/>
      </c>
      <c r="I452" s="48" t="str">
        <f aca="false">IF(OR(NOT(ISNUMBER(I76)),NOT(ISNUMBER(I264))),"",I76-I264)</f>
        <v/>
      </c>
      <c r="J452" s="48" t="str">
        <f aca="false">IF(OR(NOT(ISNUMBER(J76)),NOT(ISNUMBER(J264))),"",J76-J264)</f>
        <v/>
      </c>
      <c r="K452" s="48" t="str">
        <f aca="false">IF(OR(NOT(ISNUMBER(K76)),NOT(ISNUMBER(K264))),"",K76-K264)</f>
        <v/>
      </c>
      <c r="L452" s="48" t="str">
        <f aca="false">IF(OR(NOT(ISNUMBER(L76)),NOT(ISNUMBER(L264))),"",L76-L264)</f>
        <v/>
      </c>
      <c r="M452" s="48" t="str">
        <f aca="false">IF(OR(NOT(ISNUMBER(M76)),NOT(ISNUMBER(M264))),"",M76-M264)</f>
        <v/>
      </c>
      <c r="N452" s="48" t="str">
        <f aca="false">IF(OR(NOT(ISNUMBER(N76)),NOT(ISNUMBER(N264))),"",N76-N264)</f>
        <v/>
      </c>
      <c r="O452" s="54" t="str">
        <f aca="false">IF(OR(NOT(ISNUMBER(O76)),NOT(ISNUMBER(O264))),"",O76-O264)</f>
        <v/>
      </c>
      <c r="P452" s="11" t="str">
        <f aca="false">IF(COUNT(D452:N452)=0,"",IF(AND(MAX(D452:N452)&lt;2,MIN(D452:N452)&gt;-2),"Sin diferencia","Diferencia a explicar"))</f>
        <v/>
      </c>
    </row>
    <row r="453" customFormat="false" ht="15" hidden="true" customHeight="false" outlineLevel="1" collapsed="false">
      <c r="A453" s="11" t="s">
        <v>2154</v>
      </c>
      <c r="B453" s="15" t="s">
        <v>2087</v>
      </c>
      <c r="C453" s="11" t="s">
        <v>748</v>
      </c>
      <c r="E453" s="50" t="str">
        <f aca="false">IF(OR(NOT(ISNUMBER(E77)),NOT(ISNUMBER(E265))),"",E77-E265)</f>
        <v/>
      </c>
      <c r="F453" s="50" t="str">
        <f aca="false">IF(OR(NOT(ISNUMBER(F77)),NOT(ISNUMBER(F265))),"",F77-F265)</f>
        <v/>
      </c>
      <c r="G453" s="50" t="str">
        <f aca="false">IF(OR(NOT(ISNUMBER(G77)),NOT(ISNUMBER(G265))),"",G77-G265)</f>
        <v/>
      </c>
      <c r="H453" s="50" t="str">
        <f aca="false">IF(OR(NOT(ISNUMBER(H77)),NOT(ISNUMBER(H265))),"",H77-H265)</f>
        <v/>
      </c>
      <c r="I453" s="50" t="str">
        <f aca="false">IF(OR(NOT(ISNUMBER(I77)),NOT(ISNUMBER(I265))),"",I77-I265)</f>
        <v/>
      </c>
      <c r="J453" s="50" t="str">
        <f aca="false">IF(OR(NOT(ISNUMBER(J77)),NOT(ISNUMBER(J265))),"",J77-J265)</f>
        <v/>
      </c>
      <c r="K453" s="50" t="str">
        <f aca="false">IF(OR(NOT(ISNUMBER(K77)),NOT(ISNUMBER(K265))),"",K77-K265)</f>
        <v/>
      </c>
      <c r="L453" s="50" t="str">
        <f aca="false">IF(OR(NOT(ISNUMBER(L77)),NOT(ISNUMBER(L265))),"",L77-L265)</f>
        <v/>
      </c>
      <c r="M453" s="50" t="str">
        <f aca="false">IF(OR(NOT(ISNUMBER(M77)),NOT(ISNUMBER(M265))),"",M77-M265)</f>
        <v/>
      </c>
      <c r="N453" s="50" t="str">
        <f aca="false">IF(OR(NOT(ISNUMBER(N77)),NOT(ISNUMBER(N265))),"",N77-N265)</f>
        <v/>
      </c>
      <c r="O453" s="68" t="str">
        <f aca="false">IF(OR(NOT(ISNUMBER(O77)),NOT(ISNUMBER(O265))),"",O77-O265)</f>
        <v/>
      </c>
      <c r="P453" s="11" t="str">
        <f aca="false">IF(COUNT(D453:N453)=0,"",IF(AND(MAX(D453:N453)&lt;0.005,MIN(D453:N453)&gt;-0.005),"Sin diferencia","Diferencia a explicar"))</f>
        <v/>
      </c>
    </row>
    <row r="454" customFormat="false" ht="15" hidden="true" customHeight="false" outlineLevel="1" collapsed="false">
      <c r="A454" s="11" t="s">
        <v>2155</v>
      </c>
      <c r="B454" s="15" t="s">
        <v>2089</v>
      </c>
      <c r="C454" s="11" t="s">
        <v>544</v>
      </c>
      <c r="D454" s="48" t="str">
        <f aca="false">IF(OR(NOT(ISNUMBER(D78)),NOT(ISNUMBER(D266))),"",D78-D266)</f>
        <v/>
      </c>
      <c r="E454" s="48" t="str">
        <f aca="false">IF(OR(NOT(ISNUMBER(E78)),NOT(ISNUMBER(E266))),"",E78-E266)</f>
        <v/>
      </c>
      <c r="F454" s="48" t="str">
        <f aca="false">IF(OR(NOT(ISNUMBER(F78)),NOT(ISNUMBER(F266))),"",F78-F266)</f>
        <v/>
      </c>
      <c r="G454" s="48" t="str">
        <f aca="false">IF(OR(NOT(ISNUMBER(G78)),NOT(ISNUMBER(G266))),"",G78-G266)</f>
        <v/>
      </c>
      <c r="H454" s="48" t="str">
        <f aca="false">IF(OR(NOT(ISNUMBER(H78)),NOT(ISNUMBER(H266))),"",H78-H266)</f>
        <v/>
      </c>
      <c r="I454" s="48" t="str">
        <f aca="false">IF(OR(NOT(ISNUMBER(I78)),NOT(ISNUMBER(I266))),"",I78-I266)</f>
        <v/>
      </c>
      <c r="J454" s="48" t="str">
        <f aca="false">IF(OR(NOT(ISNUMBER(J78)),NOT(ISNUMBER(J266))),"",J78-J266)</f>
        <v/>
      </c>
      <c r="K454" s="48" t="str">
        <f aca="false">IF(OR(NOT(ISNUMBER(K78)),NOT(ISNUMBER(K266))),"",K78-K266)</f>
        <v/>
      </c>
      <c r="L454" s="48" t="str">
        <f aca="false">IF(OR(NOT(ISNUMBER(L78)),NOT(ISNUMBER(L266))),"",L78-L266)</f>
        <v/>
      </c>
      <c r="M454" s="48" t="str">
        <f aca="false">IF(OR(NOT(ISNUMBER(M78)),NOT(ISNUMBER(M266))),"",M78-M266)</f>
        <v/>
      </c>
      <c r="N454" s="48" t="str">
        <f aca="false">IF(OR(NOT(ISNUMBER(N78)),NOT(ISNUMBER(N266))),"",N78-N266)</f>
        <v/>
      </c>
      <c r="O454" s="54" t="str">
        <f aca="false">IF(OR(NOT(ISNUMBER(O78)),NOT(ISNUMBER(O266))),"",O78-O266)</f>
        <v/>
      </c>
      <c r="P454" s="11" t="str">
        <f aca="false">IF(COUNT(D454:N454)=0,"",IF(AND(MAX(D454:N454)&lt;2,MIN(D454:N454)&gt;-2),"Sin diferencia","Diferencia a explicar"))</f>
        <v/>
      </c>
    </row>
    <row r="455" customFormat="false" ht="15" hidden="true" customHeight="false" outlineLevel="1" collapsed="false">
      <c r="A455" s="11" t="s">
        <v>2156</v>
      </c>
      <c r="B455" s="53" t="str">
        <f aca="false">IF(INDEX(Prod_Nombre,24)="","Producto 24",INDEX(Prod_Nombre,24))</f>
        <v>Producto 24</v>
      </c>
      <c r="C455" s="11" t="s">
        <v>508</v>
      </c>
      <c r="D455" s="48" t="str">
        <f aca="false">IF(OR(NOT(ISNUMBER(D79)),NOT(ISNUMBER(D267))),"",D79-D267)</f>
        <v/>
      </c>
      <c r="E455" s="48" t="str">
        <f aca="false">IF(OR(NOT(ISNUMBER(E79)),NOT(ISNUMBER(E267))),"",E79-E267)</f>
        <v/>
      </c>
      <c r="F455" s="48" t="str">
        <f aca="false">IF(OR(NOT(ISNUMBER(F79)),NOT(ISNUMBER(F267))),"",F79-F267)</f>
        <v/>
      </c>
      <c r="G455" s="48" t="str">
        <f aca="false">IF(OR(NOT(ISNUMBER(G79)),NOT(ISNUMBER(G267))),"",G79-G267)</f>
        <v/>
      </c>
      <c r="H455" s="48" t="str">
        <f aca="false">IF(OR(NOT(ISNUMBER(H79)),NOT(ISNUMBER(H267))),"",H79-H267)</f>
        <v/>
      </c>
      <c r="I455" s="48" t="str">
        <f aca="false">IF(OR(NOT(ISNUMBER(I79)),NOT(ISNUMBER(I267))),"",I79-I267)</f>
        <v/>
      </c>
      <c r="J455" s="48" t="str">
        <f aca="false">IF(OR(NOT(ISNUMBER(J79)),NOT(ISNUMBER(J267))),"",J79-J267)</f>
        <v/>
      </c>
      <c r="K455" s="48" t="str">
        <f aca="false">IF(OR(NOT(ISNUMBER(K79)),NOT(ISNUMBER(K267))),"",K79-K267)</f>
        <v/>
      </c>
      <c r="L455" s="48" t="str">
        <f aca="false">IF(OR(NOT(ISNUMBER(L79)),NOT(ISNUMBER(L267))),"",L79-L267)</f>
        <v/>
      </c>
      <c r="M455" s="48" t="str">
        <f aca="false">IF(OR(NOT(ISNUMBER(M79)),NOT(ISNUMBER(M267))),"",M79-M267)</f>
        <v/>
      </c>
      <c r="N455" s="48" t="str">
        <f aca="false">IF(OR(NOT(ISNUMBER(N79)),NOT(ISNUMBER(N267))),"",N79-N267)</f>
        <v/>
      </c>
      <c r="O455" s="54" t="str">
        <f aca="false">IF(OR(NOT(ISNUMBER(O79)),NOT(ISNUMBER(O267))),"",O79-O267)</f>
        <v/>
      </c>
      <c r="P455" s="11" t="str">
        <f aca="false">IF(COUNT(D455:N455)=0,"",IF(AND(MAX(D455:N455)&lt;2,MIN(D455:N455)&gt;-2),"Sin diferencia","Diferencia a explicar"))</f>
        <v/>
      </c>
    </row>
    <row r="456" customFormat="false" ht="15" hidden="true" customHeight="false" outlineLevel="1" collapsed="false">
      <c r="A456" s="11" t="s">
        <v>2157</v>
      </c>
      <c r="B456" s="15" t="s">
        <v>2087</v>
      </c>
      <c r="C456" s="11" t="s">
        <v>748</v>
      </c>
      <c r="E456" s="50" t="str">
        <f aca="false">IF(OR(NOT(ISNUMBER(E80)),NOT(ISNUMBER(E268))),"",E80-E268)</f>
        <v/>
      </c>
      <c r="F456" s="50" t="str">
        <f aca="false">IF(OR(NOT(ISNUMBER(F80)),NOT(ISNUMBER(F268))),"",F80-F268)</f>
        <v/>
      </c>
      <c r="G456" s="50" t="str">
        <f aca="false">IF(OR(NOT(ISNUMBER(G80)),NOT(ISNUMBER(G268))),"",G80-G268)</f>
        <v/>
      </c>
      <c r="H456" s="50" t="str">
        <f aca="false">IF(OR(NOT(ISNUMBER(H80)),NOT(ISNUMBER(H268))),"",H80-H268)</f>
        <v/>
      </c>
      <c r="I456" s="50" t="str">
        <f aca="false">IF(OR(NOT(ISNUMBER(I80)),NOT(ISNUMBER(I268))),"",I80-I268)</f>
        <v/>
      </c>
      <c r="J456" s="50" t="str">
        <f aca="false">IF(OR(NOT(ISNUMBER(J80)),NOT(ISNUMBER(J268))),"",J80-J268)</f>
        <v/>
      </c>
      <c r="K456" s="50" t="str">
        <f aca="false">IF(OR(NOT(ISNUMBER(K80)),NOT(ISNUMBER(K268))),"",K80-K268)</f>
        <v/>
      </c>
      <c r="L456" s="50" t="str">
        <f aca="false">IF(OR(NOT(ISNUMBER(L80)),NOT(ISNUMBER(L268))),"",L80-L268)</f>
        <v/>
      </c>
      <c r="M456" s="50" t="str">
        <f aca="false">IF(OR(NOT(ISNUMBER(M80)),NOT(ISNUMBER(M268))),"",M80-M268)</f>
        <v/>
      </c>
      <c r="N456" s="50" t="str">
        <f aca="false">IF(OR(NOT(ISNUMBER(N80)),NOT(ISNUMBER(N268))),"",N80-N268)</f>
        <v/>
      </c>
      <c r="O456" s="68" t="str">
        <f aca="false">IF(OR(NOT(ISNUMBER(O80)),NOT(ISNUMBER(O268))),"",O80-O268)</f>
        <v/>
      </c>
      <c r="P456" s="11" t="str">
        <f aca="false">IF(COUNT(D456:N456)=0,"",IF(AND(MAX(D456:N456)&lt;0.005,MIN(D456:N456)&gt;-0.005),"Sin diferencia","Diferencia a explicar"))</f>
        <v/>
      </c>
    </row>
    <row r="457" customFormat="false" ht="15" hidden="true" customHeight="false" outlineLevel="1" collapsed="false">
      <c r="A457" s="11" t="s">
        <v>2158</v>
      </c>
      <c r="B457" s="15" t="s">
        <v>2089</v>
      </c>
      <c r="C457" s="11" t="s">
        <v>544</v>
      </c>
      <c r="D457" s="48" t="str">
        <f aca="false">IF(OR(NOT(ISNUMBER(D81)),NOT(ISNUMBER(D269))),"",D81-D269)</f>
        <v/>
      </c>
      <c r="E457" s="48" t="str">
        <f aca="false">IF(OR(NOT(ISNUMBER(E81)),NOT(ISNUMBER(E269))),"",E81-E269)</f>
        <v/>
      </c>
      <c r="F457" s="48" t="str">
        <f aca="false">IF(OR(NOT(ISNUMBER(F81)),NOT(ISNUMBER(F269))),"",F81-F269)</f>
        <v/>
      </c>
      <c r="G457" s="48" t="str">
        <f aca="false">IF(OR(NOT(ISNUMBER(G81)),NOT(ISNUMBER(G269))),"",G81-G269)</f>
        <v/>
      </c>
      <c r="H457" s="48" t="str">
        <f aca="false">IF(OR(NOT(ISNUMBER(H81)),NOT(ISNUMBER(H269))),"",H81-H269)</f>
        <v/>
      </c>
      <c r="I457" s="48" t="str">
        <f aca="false">IF(OR(NOT(ISNUMBER(I81)),NOT(ISNUMBER(I269))),"",I81-I269)</f>
        <v/>
      </c>
      <c r="J457" s="48" t="str">
        <f aca="false">IF(OR(NOT(ISNUMBER(J81)),NOT(ISNUMBER(J269))),"",J81-J269)</f>
        <v/>
      </c>
      <c r="K457" s="48" t="str">
        <f aca="false">IF(OR(NOT(ISNUMBER(K81)),NOT(ISNUMBER(K269))),"",K81-K269)</f>
        <v/>
      </c>
      <c r="L457" s="48" t="str">
        <f aca="false">IF(OR(NOT(ISNUMBER(L81)),NOT(ISNUMBER(L269))),"",L81-L269)</f>
        <v/>
      </c>
      <c r="M457" s="48" t="str">
        <f aca="false">IF(OR(NOT(ISNUMBER(M81)),NOT(ISNUMBER(M269))),"",M81-M269)</f>
        <v/>
      </c>
      <c r="N457" s="48" t="str">
        <f aca="false">IF(OR(NOT(ISNUMBER(N81)),NOT(ISNUMBER(N269))),"",N81-N269)</f>
        <v/>
      </c>
      <c r="O457" s="54" t="str">
        <f aca="false">IF(OR(NOT(ISNUMBER(O81)),NOT(ISNUMBER(O269))),"",O81-O269)</f>
        <v/>
      </c>
      <c r="P457" s="11" t="str">
        <f aca="false">IF(COUNT(D457:N457)=0,"",IF(AND(MAX(D457:N457)&lt;2,MIN(D457:N457)&gt;-2),"Sin diferencia","Diferencia a explicar"))</f>
        <v/>
      </c>
    </row>
    <row r="458" customFormat="false" ht="15" hidden="true" customHeight="false" outlineLevel="1" collapsed="false">
      <c r="A458" s="11" t="s">
        <v>2159</v>
      </c>
      <c r="B458" s="53" t="str">
        <f aca="false">IF(INDEX(Prod_Nombre,25)="","Producto 25",INDEX(Prod_Nombre,25))</f>
        <v>Producto 25</v>
      </c>
      <c r="C458" s="11" t="s">
        <v>508</v>
      </c>
      <c r="D458" s="48" t="str">
        <f aca="false">IF(OR(NOT(ISNUMBER(D82)),NOT(ISNUMBER(D270))),"",D82-D270)</f>
        <v/>
      </c>
      <c r="E458" s="48" t="str">
        <f aca="false">IF(OR(NOT(ISNUMBER(E82)),NOT(ISNUMBER(E270))),"",E82-E270)</f>
        <v/>
      </c>
      <c r="F458" s="48" t="str">
        <f aca="false">IF(OR(NOT(ISNUMBER(F82)),NOT(ISNUMBER(F270))),"",F82-F270)</f>
        <v/>
      </c>
      <c r="G458" s="48" t="str">
        <f aca="false">IF(OR(NOT(ISNUMBER(G82)),NOT(ISNUMBER(G270))),"",G82-G270)</f>
        <v/>
      </c>
      <c r="H458" s="48" t="str">
        <f aca="false">IF(OR(NOT(ISNUMBER(H82)),NOT(ISNUMBER(H270))),"",H82-H270)</f>
        <v/>
      </c>
      <c r="I458" s="48" t="str">
        <f aca="false">IF(OR(NOT(ISNUMBER(I82)),NOT(ISNUMBER(I270))),"",I82-I270)</f>
        <v/>
      </c>
      <c r="J458" s="48" t="str">
        <f aca="false">IF(OR(NOT(ISNUMBER(J82)),NOT(ISNUMBER(J270))),"",J82-J270)</f>
        <v/>
      </c>
      <c r="K458" s="48" t="str">
        <f aca="false">IF(OR(NOT(ISNUMBER(K82)),NOT(ISNUMBER(K270))),"",K82-K270)</f>
        <v/>
      </c>
      <c r="L458" s="48" t="str">
        <f aca="false">IF(OR(NOT(ISNUMBER(L82)),NOT(ISNUMBER(L270))),"",L82-L270)</f>
        <v/>
      </c>
      <c r="M458" s="48" t="str">
        <f aca="false">IF(OR(NOT(ISNUMBER(M82)),NOT(ISNUMBER(M270))),"",M82-M270)</f>
        <v/>
      </c>
      <c r="N458" s="48" t="str">
        <f aca="false">IF(OR(NOT(ISNUMBER(N82)),NOT(ISNUMBER(N270))),"",N82-N270)</f>
        <v/>
      </c>
      <c r="O458" s="54" t="str">
        <f aca="false">IF(OR(NOT(ISNUMBER(O82)),NOT(ISNUMBER(O270))),"",O82-O270)</f>
        <v/>
      </c>
      <c r="P458" s="11" t="str">
        <f aca="false">IF(COUNT(D458:N458)=0,"",IF(AND(MAX(D458:N458)&lt;2,MIN(D458:N458)&gt;-2),"Sin diferencia","Diferencia a explicar"))</f>
        <v/>
      </c>
    </row>
    <row r="459" customFormat="false" ht="15" hidden="true" customHeight="false" outlineLevel="1" collapsed="false">
      <c r="A459" s="11" t="s">
        <v>2160</v>
      </c>
      <c r="B459" s="15" t="s">
        <v>2087</v>
      </c>
      <c r="C459" s="11" t="s">
        <v>748</v>
      </c>
      <c r="E459" s="50" t="str">
        <f aca="false">IF(OR(NOT(ISNUMBER(E83)),NOT(ISNUMBER(E271))),"",E83-E271)</f>
        <v/>
      </c>
      <c r="F459" s="50" t="str">
        <f aca="false">IF(OR(NOT(ISNUMBER(F83)),NOT(ISNUMBER(F271))),"",F83-F271)</f>
        <v/>
      </c>
      <c r="G459" s="50" t="str">
        <f aca="false">IF(OR(NOT(ISNUMBER(G83)),NOT(ISNUMBER(G271))),"",G83-G271)</f>
        <v/>
      </c>
      <c r="H459" s="50" t="str">
        <f aca="false">IF(OR(NOT(ISNUMBER(H83)),NOT(ISNUMBER(H271))),"",H83-H271)</f>
        <v/>
      </c>
      <c r="I459" s="50" t="str">
        <f aca="false">IF(OR(NOT(ISNUMBER(I83)),NOT(ISNUMBER(I271))),"",I83-I271)</f>
        <v/>
      </c>
      <c r="J459" s="50" t="str">
        <f aca="false">IF(OR(NOT(ISNUMBER(J83)),NOT(ISNUMBER(J271))),"",J83-J271)</f>
        <v/>
      </c>
      <c r="K459" s="50" t="str">
        <f aca="false">IF(OR(NOT(ISNUMBER(K83)),NOT(ISNUMBER(K271))),"",K83-K271)</f>
        <v/>
      </c>
      <c r="L459" s="50" t="str">
        <f aca="false">IF(OR(NOT(ISNUMBER(L83)),NOT(ISNUMBER(L271))),"",L83-L271)</f>
        <v/>
      </c>
      <c r="M459" s="50" t="str">
        <f aca="false">IF(OR(NOT(ISNUMBER(M83)),NOT(ISNUMBER(M271))),"",M83-M271)</f>
        <v/>
      </c>
      <c r="N459" s="50" t="str">
        <f aca="false">IF(OR(NOT(ISNUMBER(N83)),NOT(ISNUMBER(N271))),"",N83-N271)</f>
        <v/>
      </c>
      <c r="O459" s="68" t="str">
        <f aca="false">IF(OR(NOT(ISNUMBER(O83)),NOT(ISNUMBER(O271))),"",O83-O271)</f>
        <v/>
      </c>
      <c r="P459" s="11" t="str">
        <f aca="false">IF(COUNT(D459:N459)=0,"",IF(AND(MAX(D459:N459)&lt;0.005,MIN(D459:N459)&gt;-0.005),"Sin diferencia","Diferencia a explicar"))</f>
        <v/>
      </c>
    </row>
    <row r="460" customFormat="false" ht="15" hidden="true" customHeight="false" outlineLevel="1" collapsed="false">
      <c r="A460" s="11" t="s">
        <v>2161</v>
      </c>
      <c r="B460" s="15" t="s">
        <v>2089</v>
      </c>
      <c r="C460" s="11" t="s">
        <v>544</v>
      </c>
      <c r="D460" s="48" t="str">
        <f aca="false">IF(OR(NOT(ISNUMBER(D84)),NOT(ISNUMBER(D272))),"",D84-D272)</f>
        <v/>
      </c>
      <c r="E460" s="48" t="str">
        <f aca="false">IF(OR(NOT(ISNUMBER(E84)),NOT(ISNUMBER(E272))),"",E84-E272)</f>
        <v/>
      </c>
      <c r="F460" s="48" t="str">
        <f aca="false">IF(OR(NOT(ISNUMBER(F84)),NOT(ISNUMBER(F272))),"",F84-F272)</f>
        <v/>
      </c>
      <c r="G460" s="48" t="str">
        <f aca="false">IF(OR(NOT(ISNUMBER(G84)),NOT(ISNUMBER(G272))),"",G84-G272)</f>
        <v/>
      </c>
      <c r="H460" s="48" t="str">
        <f aca="false">IF(OR(NOT(ISNUMBER(H84)),NOT(ISNUMBER(H272))),"",H84-H272)</f>
        <v/>
      </c>
      <c r="I460" s="48" t="str">
        <f aca="false">IF(OR(NOT(ISNUMBER(I84)),NOT(ISNUMBER(I272))),"",I84-I272)</f>
        <v/>
      </c>
      <c r="J460" s="48" t="str">
        <f aca="false">IF(OR(NOT(ISNUMBER(J84)),NOT(ISNUMBER(J272))),"",J84-J272)</f>
        <v/>
      </c>
      <c r="K460" s="48" t="str">
        <f aca="false">IF(OR(NOT(ISNUMBER(K84)),NOT(ISNUMBER(K272))),"",K84-K272)</f>
        <v/>
      </c>
      <c r="L460" s="48" t="str">
        <f aca="false">IF(OR(NOT(ISNUMBER(L84)),NOT(ISNUMBER(L272))),"",L84-L272)</f>
        <v/>
      </c>
      <c r="M460" s="48" t="str">
        <f aca="false">IF(OR(NOT(ISNUMBER(M84)),NOT(ISNUMBER(M272))),"",M84-M272)</f>
        <v/>
      </c>
      <c r="N460" s="48" t="str">
        <f aca="false">IF(OR(NOT(ISNUMBER(N84)),NOT(ISNUMBER(N272))),"",N84-N272)</f>
        <v/>
      </c>
      <c r="O460" s="54" t="str">
        <f aca="false">IF(OR(NOT(ISNUMBER(O84)),NOT(ISNUMBER(O272))),"",O84-O272)</f>
        <v/>
      </c>
      <c r="P460" s="11" t="str">
        <f aca="false">IF(COUNT(D460:N460)=0,"",IF(AND(MAX(D460:N460)&lt;2,MIN(D460:N460)&gt;-2),"Sin diferencia","Diferencia a explicar"))</f>
        <v/>
      </c>
    </row>
    <row r="461" customFormat="false" ht="15" hidden="false" customHeight="false" outlineLevel="0" collapsed="false">
      <c r="A461" s="11" t="s">
        <v>2162</v>
      </c>
      <c r="B461" s="15" t="s">
        <v>2163</v>
      </c>
      <c r="C461" s="11" t="s">
        <v>508</v>
      </c>
      <c r="D461" s="48"/>
      <c r="E461" s="48"/>
      <c r="F461" s="48"/>
      <c r="G461" s="48"/>
      <c r="H461" s="48"/>
      <c r="I461" s="48"/>
      <c r="J461" s="48"/>
      <c r="K461" s="48"/>
      <c r="L461" s="48"/>
      <c r="M461" s="48"/>
      <c r="N461" s="48"/>
    </row>
    <row r="462" customFormat="false" ht="15" hidden="false" customHeight="false" outlineLevel="0" collapsed="false">
      <c r="A462" s="13"/>
      <c r="B462" s="100" t="s">
        <v>2164</v>
      </c>
      <c r="C462" s="13"/>
      <c r="D462" s="13"/>
      <c r="E462" s="13"/>
      <c r="F462" s="13"/>
      <c r="G462" s="13"/>
      <c r="H462" s="13"/>
      <c r="I462" s="13"/>
      <c r="J462" s="13"/>
      <c r="K462" s="13"/>
      <c r="L462" s="13"/>
      <c r="M462" s="13"/>
      <c r="N462" s="13"/>
      <c r="O462" s="13"/>
      <c r="P462" s="13"/>
    </row>
    <row r="463" customFormat="false" ht="15" hidden="false" customHeight="false" outlineLevel="0" collapsed="false">
      <c r="A463" s="11" t="s">
        <v>2165</v>
      </c>
      <c r="B463" s="67" t="s">
        <v>2166</v>
      </c>
      <c r="C463" s="11" t="s">
        <v>508</v>
      </c>
      <c r="D463" s="54" t="str">
        <f aca="false">IF(OR(NOT(ISNUMBER(D87)),NOT(ISNUMBER(D275))),"",D87-D275)</f>
        <v/>
      </c>
      <c r="E463" s="54" t="n">
        <f aca="false">IF(OR(NOT(ISNUMBER(E87)),NOT(ISNUMBER(E275))),"",E87-E275)</f>
        <v>0</v>
      </c>
      <c r="F463" s="54" t="n">
        <f aca="false">IF(OR(NOT(ISNUMBER(F87)),NOT(ISNUMBER(F275))),"",F87-F275)</f>
        <v>0</v>
      </c>
      <c r="G463" s="54" t="n">
        <f aca="false">IF(OR(NOT(ISNUMBER(G87)),NOT(ISNUMBER(G275))),"",G87-G275)</f>
        <v>0</v>
      </c>
      <c r="H463" s="54" t="n">
        <f aca="false">IF(OR(NOT(ISNUMBER(H87)),NOT(ISNUMBER(H275))),"",H87-H275)</f>
        <v>0</v>
      </c>
      <c r="I463" s="54" t="n">
        <f aca="false">IF(OR(NOT(ISNUMBER(I87)),NOT(ISNUMBER(I275))),"",I87-I275)</f>
        <v>0</v>
      </c>
      <c r="J463" s="54" t="n">
        <f aca="false">IF(OR(NOT(ISNUMBER(J87)),NOT(ISNUMBER(J275))),"",J87-J275)</f>
        <v>0</v>
      </c>
      <c r="K463" s="54" t="n">
        <f aca="false">IF(OR(NOT(ISNUMBER(K87)),NOT(ISNUMBER(K275))),"",K87-K275)</f>
        <v>0</v>
      </c>
      <c r="L463" s="54" t="n">
        <f aca="false">IF(OR(NOT(ISNUMBER(L87)),NOT(ISNUMBER(L275))),"",L87-L275)</f>
        <v>0</v>
      </c>
      <c r="M463" s="54" t="n">
        <f aca="false">IF(OR(NOT(ISNUMBER(M87)),NOT(ISNUMBER(M275))),"",M87-M275)</f>
        <v>0</v>
      </c>
      <c r="N463" s="54" t="n">
        <f aca="false">IF(OR(NOT(ISNUMBER(N87)),NOT(ISNUMBER(N275))),"",N87-N275)</f>
        <v>0</v>
      </c>
      <c r="O463" s="54" t="n">
        <f aca="false">IF(OR(NOT(ISNUMBER(O87)),NOT(ISNUMBER(O275))),"",O87-O275)</f>
        <v>0</v>
      </c>
      <c r="P463" s="11" t="str">
        <f aca="false">IF(COUNT(D463:N463)=0,"",IF(AND(MAX(D463:N463)&lt;2,MIN(D463:N463)&gt;-2),"Sin diferencia","Diferencia a explicar"))</f>
        <v>Sin diferencia</v>
      </c>
    </row>
    <row r="464" customFormat="false" ht="15" hidden="false" customHeight="false" outlineLevel="0" collapsed="false">
      <c r="A464" s="11" t="s">
        <v>2167</v>
      </c>
      <c r="B464" s="53" t="str">
        <f aca="false">IF(INDEX(Prod_Nombre,1)="","Producto 1",INDEX(Prod_Nombre,1))</f>
        <v>Gabinetes metálicos 153 kg</v>
      </c>
      <c r="C464" s="11" t="s">
        <v>508</v>
      </c>
      <c r="D464" s="48" t="str">
        <f aca="false">IF(OR(NOT(ISNUMBER(D88)),NOT(ISNUMBER(D276))),"",D88-D276)</f>
        <v/>
      </c>
      <c r="E464" s="48" t="n">
        <f aca="false">IF(OR(NOT(ISNUMBER(E88)),NOT(ISNUMBER(E276))),"",E88-E276)</f>
        <v>0</v>
      </c>
      <c r="F464" s="48" t="n">
        <f aca="false">IF(OR(NOT(ISNUMBER(F88)),NOT(ISNUMBER(F276))),"",F88-F276)</f>
        <v>0</v>
      </c>
      <c r="G464" s="48" t="n">
        <f aca="false">IF(OR(NOT(ISNUMBER(G88)),NOT(ISNUMBER(G276))),"",G88-G276)</f>
        <v>0</v>
      </c>
      <c r="H464" s="48" t="n">
        <f aca="false">IF(OR(NOT(ISNUMBER(H88)),NOT(ISNUMBER(H276))),"",H88-H276)</f>
        <v>0</v>
      </c>
      <c r="I464" s="48" t="n">
        <f aca="false">IF(OR(NOT(ISNUMBER(I88)),NOT(ISNUMBER(I276))),"",I88-I276)</f>
        <v>0</v>
      </c>
      <c r="J464" s="48" t="n">
        <f aca="false">IF(OR(NOT(ISNUMBER(J88)),NOT(ISNUMBER(J276))),"",J88-J276)</f>
        <v>0</v>
      </c>
      <c r="K464" s="48" t="n">
        <f aca="false">IF(OR(NOT(ISNUMBER(K88)),NOT(ISNUMBER(K276))),"",K88-K276)</f>
        <v>0</v>
      </c>
      <c r="L464" s="48" t="n">
        <f aca="false">IF(OR(NOT(ISNUMBER(L88)),NOT(ISNUMBER(L276))),"",L88-L276)</f>
        <v>0</v>
      </c>
      <c r="M464" s="48" t="n">
        <f aca="false">IF(OR(NOT(ISNUMBER(M88)),NOT(ISNUMBER(M276))),"",M88-M276)</f>
        <v>0</v>
      </c>
      <c r="N464" s="48" t="n">
        <f aca="false">IF(OR(NOT(ISNUMBER(N88)),NOT(ISNUMBER(N276))),"",N88-N276)</f>
        <v>0</v>
      </c>
      <c r="O464" s="54" t="n">
        <f aca="false">IF(OR(NOT(ISNUMBER(O88)),NOT(ISNUMBER(O276))),"",O88-O276)</f>
        <v>0</v>
      </c>
      <c r="P464" s="11" t="str">
        <f aca="false">IF(COUNT(D464:N464)=0,"",IF(AND(MAX(D464:N464)&lt;2,MIN(D464:N464)&gt;-2),"Sin diferencia","Diferencia a explicar"))</f>
        <v>Sin diferencia</v>
      </c>
    </row>
    <row r="465" customFormat="false" ht="15" hidden="false" customHeight="false" outlineLevel="0" collapsed="false">
      <c r="A465" s="11" t="s">
        <v>2168</v>
      </c>
      <c r="B465" s="15" t="s">
        <v>2087</v>
      </c>
      <c r="C465" s="11" t="s">
        <v>748</v>
      </c>
      <c r="E465" s="50" t="n">
        <f aca="false">IF(OR(NOT(ISNUMBER(E89)),NOT(ISNUMBER(E277))),"",E89-E277)</f>
        <v>0</v>
      </c>
      <c r="F465" s="50" t="n">
        <f aca="false">IF(OR(NOT(ISNUMBER(F89)),NOT(ISNUMBER(F277))),"",F89-F277)</f>
        <v>0</v>
      </c>
      <c r="G465" s="50" t="n">
        <f aca="false">IF(OR(NOT(ISNUMBER(G89)),NOT(ISNUMBER(G277))),"",G89-G277)</f>
        <v>0</v>
      </c>
      <c r="H465" s="50" t="n">
        <f aca="false">IF(OR(NOT(ISNUMBER(H89)),NOT(ISNUMBER(H277))),"",H89-H277)</f>
        <v>0</v>
      </c>
      <c r="I465" s="50" t="n">
        <f aca="false">IF(OR(NOT(ISNUMBER(I89)),NOT(ISNUMBER(I277))),"",I89-I277)</f>
        <v>0</v>
      </c>
      <c r="J465" s="50" t="n">
        <f aca="false">IF(OR(NOT(ISNUMBER(J89)),NOT(ISNUMBER(J277))),"",J89-J277)</f>
        <v>0</v>
      </c>
      <c r="K465" s="50" t="n">
        <f aca="false">IF(OR(NOT(ISNUMBER(K89)),NOT(ISNUMBER(K277))),"",K89-K277)</f>
        <v>0</v>
      </c>
      <c r="L465" s="50" t="n">
        <f aca="false">IF(OR(NOT(ISNUMBER(L89)),NOT(ISNUMBER(L277))),"",L89-L277)</f>
        <v>0</v>
      </c>
      <c r="M465" s="50" t="n">
        <f aca="false">IF(OR(NOT(ISNUMBER(M89)),NOT(ISNUMBER(M277))),"",M89-M277)</f>
        <v>0</v>
      </c>
      <c r="N465" s="50" t="n">
        <f aca="false">IF(OR(NOT(ISNUMBER(N89)),NOT(ISNUMBER(N277))),"",N89-N277)</f>
        <v>0</v>
      </c>
      <c r="O465" s="68" t="n">
        <f aca="false">IF(OR(NOT(ISNUMBER(O89)),NOT(ISNUMBER(O277))),"",O89-O277)</f>
        <v>0</v>
      </c>
      <c r="P465" s="11" t="str">
        <f aca="false">IF(COUNT(D465:N465)=0,"",IF(AND(MAX(D465:N465)&lt;0.005,MIN(D465:N465)&gt;-0.005),"Sin diferencia","Diferencia a explicar"))</f>
        <v>Sin diferencia</v>
      </c>
    </row>
    <row r="466" customFormat="false" ht="15" hidden="false" customHeight="false" outlineLevel="0" collapsed="false">
      <c r="A466" s="11" t="s">
        <v>2169</v>
      </c>
      <c r="B466" s="53" t="str">
        <f aca="false">IF(INDEX(Prod_Nombre,2)="","Producto 2",INDEX(Prod_Nombre,2))</f>
        <v>Cajas metálicas 13 kg</v>
      </c>
      <c r="C466" s="11" t="s">
        <v>508</v>
      </c>
      <c r="D466" s="48" t="str">
        <f aca="false">IF(OR(NOT(ISNUMBER(D90)),NOT(ISNUMBER(D278))),"",D90-D278)</f>
        <v/>
      </c>
      <c r="E466" s="48" t="n">
        <f aca="false">IF(OR(NOT(ISNUMBER(E90)),NOT(ISNUMBER(E278))),"",E90-E278)</f>
        <v>0</v>
      </c>
      <c r="F466" s="48" t="n">
        <f aca="false">IF(OR(NOT(ISNUMBER(F90)),NOT(ISNUMBER(F278))),"",F90-F278)</f>
        <v>0</v>
      </c>
      <c r="G466" s="48" t="n">
        <f aca="false">IF(OR(NOT(ISNUMBER(G90)),NOT(ISNUMBER(G278))),"",G90-G278)</f>
        <v>0</v>
      </c>
      <c r="H466" s="48" t="n">
        <f aca="false">IF(OR(NOT(ISNUMBER(H90)),NOT(ISNUMBER(H278))),"",H90-H278)</f>
        <v>0</v>
      </c>
      <c r="I466" s="48" t="n">
        <f aca="false">IF(OR(NOT(ISNUMBER(I90)),NOT(ISNUMBER(I278))),"",I90-I278)</f>
        <v>0</v>
      </c>
      <c r="J466" s="48" t="n">
        <f aca="false">IF(OR(NOT(ISNUMBER(J90)),NOT(ISNUMBER(J278))),"",J90-J278)</f>
        <v>0</v>
      </c>
      <c r="K466" s="48" t="n">
        <f aca="false">IF(OR(NOT(ISNUMBER(K90)),NOT(ISNUMBER(K278))),"",K90-K278)</f>
        <v>0</v>
      </c>
      <c r="L466" s="48" t="n">
        <f aca="false">IF(OR(NOT(ISNUMBER(L90)),NOT(ISNUMBER(L278))),"",L90-L278)</f>
        <v>0</v>
      </c>
      <c r="M466" s="48" t="n">
        <f aca="false">IF(OR(NOT(ISNUMBER(M90)),NOT(ISNUMBER(M278))),"",M90-M278)</f>
        <v>0</v>
      </c>
      <c r="N466" s="48" t="n">
        <f aca="false">IF(OR(NOT(ISNUMBER(N90)),NOT(ISNUMBER(N278))),"",N90-N278)</f>
        <v>0</v>
      </c>
      <c r="O466" s="54" t="n">
        <f aca="false">IF(OR(NOT(ISNUMBER(O90)),NOT(ISNUMBER(O278))),"",O90-O278)</f>
        <v>0</v>
      </c>
      <c r="P466" s="11" t="str">
        <f aca="false">IF(COUNT(D466:N466)=0,"",IF(AND(MAX(D466:N466)&lt;2,MIN(D466:N466)&gt;-2),"Sin diferencia","Diferencia a explicar"))</f>
        <v>Sin diferencia</v>
      </c>
    </row>
    <row r="467" customFormat="false" ht="15" hidden="false" customHeight="false" outlineLevel="0" collapsed="false">
      <c r="A467" s="11" t="s">
        <v>2170</v>
      </c>
      <c r="B467" s="15" t="s">
        <v>2087</v>
      </c>
      <c r="C467" s="11" t="s">
        <v>748</v>
      </c>
      <c r="E467" s="50" t="n">
        <f aca="false">IF(OR(NOT(ISNUMBER(E91)),NOT(ISNUMBER(E279))),"",E91-E279)</f>
        <v>0</v>
      </c>
      <c r="F467" s="50" t="n">
        <f aca="false">IF(OR(NOT(ISNUMBER(F91)),NOT(ISNUMBER(F279))),"",F91-F279)</f>
        <v>0</v>
      </c>
      <c r="G467" s="50" t="n">
        <f aca="false">IF(OR(NOT(ISNUMBER(G91)),NOT(ISNUMBER(G279))),"",G91-G279)</f>
        <v>0</v>
      </c>
      <c r="H467" s="50" t="n">
        <f aca="false">IF(OR(NOT(ISNUMBER(H91)),NOT(ISNUMBER(H279))),"",H91-H279)</f>
        <v>0</v>
      </c>
      <c r="I467" s="50" t="n">
        <f aca="false">IF(OR(NOT(ISNUMBER(I91)),NOT(ISNUMBER(I279))),"",I91-I279)</f>
        <v>0</v>
      </c>
      <c r="J467" s="50" t="n">
        <f aca="false">IF(OR(NOT(ISNUMBER(J91)),NOT(ISNUMBER(J279))),"",J91-J279)</f>
        <v>0</v>
      </c>
      <c r="K467" s="50" t="n">
        <f aca="false">IF(OR(NOT(ISNUMBER(K91)),NOT(ISNUMBER(K279))),"",K91-K279)</f>
        <v>0</v>
      </c>
      <c r="L467" s="50" t="n">
        <f aca="false">IF(OR(NOT(ISNUMBER(L91)),NOT(ISNUMBER(L279))),"",L91-L279)</f>
        <v>0</v>
      </c>
      <c r="M467" s="50" t="n">
        <f aca="false">IF(OR(NOT(ISNUMBER(M91)),NOT(ISNUMBER(M279))),"",M91-M279)</f>
        <v>0</v>
      </c>
      <c r="N467" s="50" t="n">
        <f aca="false">IF(OR(NOT(ISNUMBER(N91)),NOT(ISNUMBER(N279))),"",N91-N279)</f>
        <v>0</v>
      </c>
      <c r="O467" s="68" t="n">
        <f aca="false">IF(OR(NOT(ISNUMBER(O91)),NOT(ISNUMBER(O279))),"",O91-O279)</f>
        <v>0</v>
      </c>
      <c r="P467" s="11" t="str">
        <f aca="false">IF(COUNT(D467:N467)=0,"",IF(AND(MAX(D467:N467)&lt;0.005,MIN(D467:N467)&gt;-0.005),"Sin diferencia","Diferencia a explicar"))</f>
        <v>Sin diferencia</v>
      </c>
    </row>
    <row r="468" customFormat="false" ht="15" hidden="true" customHeight="false" outlineLevel="1" collapsed="false">
      <c r="A468" s="11" t="s">
        <v>2171</v>
      </c>
      <c r="B468" s="53" t="str">
        <f aca="false">IF(INDEX(Prod_Nombre,3)="","Producto 3",INDEX(Prod_Nombre,3))</f>
        <v>Producto 3</v>
      </c>
      <c r="C468" s="11" t="s">
        <v>508</v>
      </c>
      <c r="D468" s="48" t="str">
        <f aca="false">IF(OR(NOT(ISNUMBER(D92)),NOT(ISNUMBER(D280))),"",D92-D280)</f>
        <v/>
      </c>
      <c r="E468" s="48" t="str">
        <f aca="false">IF(OR(NOT(ISNUMBER(E92)),NOT(ISNUMBER(E280))),"",E92-E280)</f>
        <v/>
      </c>
      <c r="F468" s="48" t="str">
        <f aca="false">IF(OR(NOT(ISNUMBER(F92)),NOT(ISNUMBER(F280))),"",F92-F280)</f>
        <v/>
      </c>
      <c r="G468" s="48" t="str">
        <f aca="false">IF(OR(NOT(ISNUMBER(G92)),NOT(ISNUMBER(G280))),"",G92-G280)</f>
        <v/>
      </c>
      <c r="H468" s="48" t="str">
        <f aca="false">IF(OR(NOT(ISNUMBER(H92)),NOT(ISNUMBER(H280))),"",H92-H280)</f>
        <v/>
      </c>
      <c r="I468" s="48" t="str">
        <f aca="false">IF(OR(NOT(ISNUMBER(I92)),NOT(ISNUMBER(I280))),"",I92-I280)</f>
        <v/>
      </c>
      <c r="J468" s="48" t="str">
        <f aca="false">IF(OR(NOT(ISNUMBER(J92)),NOT(ISNUMBER(J280))),"",J92-J280)</f>
        <v/>
      </c>
      <c r="K468" s="48" t="str">
        <f aca="false">IF(OR(NOT(ISNUMBER(K92)),NOT(ISNUMBER(K280))),"",K92-K280)</f>
        <v/>
      </c>
      <c r="L468" s="48" t="str">
        <f aca="false">IF(OR(NOT(ISNUMBER(L92)),NOT(ISNUMBER(L280))),"",L92-L280)</f>
        <v/>
      </c>
      <c r="M468" s="48" t="str">
        <f aca="false">IF(OR(NOT(ISNUMBER(M92)),NOT(ISNUMBER(M280))),"",M92-M280)</f>
        <v/>
      </c>
      <c r="N468" s="48" t="str">
        <f aca="false">IF(OR(NOT(ISNUMBER(N92)),NOT(ISNUMBER(N280))),"",N92-N280)</f>
        <v/>
      </c>
      <c r="O468" s="54" t="str">
        <f aca="false">IF(OR(NOT(ISNUMBER(O92)),NOT(ISNUMBER(O280))),"",O92-O280)</f>
        <v/>
      </c>
      <c r="P468" s="11" t="str">
        <f aca="false">IF(COUNT(D468:N468)=0,"",IF(AND(MAX(D468:N468)&lt;2,MIN(D468:N468)&gt;-2),"Sin diferencia","Diferencia a explicar"))</f>
        <v/>
      </c>
    </row>
    <row r="469" customFormat="false" ht="15" hidden="true" customHeight="false" outlineLevel="1" collapsed="false">
      <c r="A469" s="11" t="s">
        <v>2172</v>
      </c>
      <c r="B469" s="15" t="s">
        <v>2087</v>
      </c>
      <c r="C469" s="11" t="s">
        <v>748</v>
      </c>
      <c r="E469" s="50" t="str">
        <f aca="false">IF(OR(NOT(ISNUMBER(E93)),NOT(ISNUMBER(E281))),"",E93-E281)</f>
        <v/>
      </c>
      <c r="F469" s="50" t="str">
        <f aca="false">IF(OR(NOT(ISNUMBER(F93)),NOT(ISNUMBER(F281))),"",F93-F281)</f>
        <v/>
      </c>
      <c r="G469" s="50" t="str">
        <f aca="false">IF(OR(NOT(ISNUMBER(G93)),NOT(ISNUMBER(G281))),"",G93-G281)</f>
        <v/>
      </c>
      <c r="H469" s="50" t="str">
        <f aca="false">IF(OR(NOT(ISNUMBER(H93)),NOT(ISNUMBER(H281))),"",H93-H281)</f>
        <v/>
      </c>
      <c r="I469" s="50" t="str">
        <f aca="false">IF(OR(NOT(ISNUMBER(I93)),NOT(ISNUMBER(I281))),"",I93-I281)</f>
        <v/>
      </c>
      <c r="J469" s="50" t="str">
        <f aca="false">IF(OR(NOT(ISNUMBER(J93)),NOT(ISNUMBER(J281))),"",J93-J281)</f>
        <v/>
      </c>
      <c r="K469" s="50" t="str">
        <f aca="false">IF(OR(NOT(ISNUMBER(K93)),NOT(ISNUMBER(K281))),"",K93-K281)</f>
        <v/>
      </c>
      <c r="L469" s="50" t="str">
        <f aca="false">IF(OR(NOT(ISNUMBER(L93)),NOT(ISNUMBER(L281))),"",L93-L281)</f>
        <v/>
      </c>
      <c r="M469" s="50" t="str">
        <f aca="false">IF(OR(NOT(ISNUMBER(M93)),NOT(ISNUMBER(M281))),"",M93-M281)</f>
        <v/>
      </c>
      <c r="N469" s="50" t="str">
        <f aca="false">IF(OR(NOT(ISNUMBER(N93)),NOT(ISNUMBER(N281))),"",N93-N281)</f>
        <v/>
      </c>
      <c r="O469" s="68" t="str">
        <f aca="false">IF(OR(NOT(ISNUMBER(O93)),NOT(ISNUMBER(O281))),"",O93-O281)</f>
        <v/>
      </c>
      <c r="P469" s="11" t="str">
        <f aca="false">IF(COUNT(D469:N469)=0,"",IF(AND(MAX(D469:N469)&lt;0.005,MIN(D469:N469)&gt;-0.005),"Sin diferencia","Diferencia a explicar"))</f>
        <v/>
      </c>
    </row>
    <row r="470" customFormat="false" ht="15" hidden="true" customHeight="false" outlineLevel="1" collapsed="false">
      <c r="A470" s="11" t="s">
        <v>2173</v>
      </c>
      <c r="B470" s="53" t="str">
        <f aca="false">IF(INDEX(Prod_Nombre,4)="","Producto 4",INDEX(Prod_Nombre,4))</f>
        <v>Producto 4</v>
      </c>
      <c r="C470" s="11" t="s">
        <v>508</v>
      </c>
      <c r="D470" s="48" t="str">
        <f aca="false">IF(OR(NOT(ISNUMBER(D94)),NOT(ISNUMBER(D282))),"",D94-D282)</f>
        <v/>
      </c>
      <c r="E470" s="48" t="str">
        <f aca="false">IF(OR(NOT(ISNUMBER(E94)),NOT(ISNUMBER(E282))),"",E94-E282)</f>
        <v/>
      </c>
      <c r="F470" s="48" t="str">
        <f aca="false">IF(OR(NOT(ISNUMBER(F94)),NOT(ISNUMBER(F282))),"",F94-F282)</f>
        <v/>
      </c>
      <c r="G470" s="48" t="str">
        <f aca="false">IF(OR(NOT(ISNUMBER(G94)),NOT(ISNUMBER(G282))),"",G94-G282)</f>
        <v/>
      </c>
      <c r="H470" s="48" t="str">
        <f aca="false">IF(OR(NOT(ISNUMBER(H94)),NOT(ISNUMBER(H282))),"",H94-H282)</f>
        <v/>
      </c>
      <c r="I470" s="48" t="str">
        <f aca="false">IF(OR(NOT(ISNUMBER(I94)),NOT(ISNUMBER(I282))),"",I94-I282)</f>
        <v/>
      </c>
      <c r="J470" s="48" t="str">
        <f aca="false">IF(OR(NOT(ISNUMBER(J94)),NOT(ISNUMBER(J282))),"",J94-J282)</f>
        <v/>
      </c>
      <c r="K470" s="48" t="str">
        <f aca="false">IF(OR(NOT(ISNUMBER(K94)),NOT(ISNUMBER(K282))),"",K94-K282)</f>
        <v/>
      </c>
      <c r="L470" s="48" t="str">
        <f aca="false">IF(OR(NOT(ISNUMBER(L94)),NOT(ISNUMBER(L282))),"",L94-L282)</f>
        <v/>
      </c>
      <c r="M470" s="48" t="str">
        <f aca="false">IF(OR(NOT(ISNUMBER(M94)),NOT(ISNUMBER(M282))),"",M94-M282)</f>
        <v/>
      </c>
      <c r="N470" s="48" t="str">
        <f aca="false">IF(OR(NOT(ISNUMBER(N94)),NOT(ISNUMBER(N282))),"",N94-N282)</f>
        <v/>
      </c>
      <c r="O470" s="54" t="str">
        <f aca="false">IF(OR(NOT(ISNUMBER(O94)),NOT(ISNUMBER(O282))),"",O94-O282)</f>
        <v/>
      </c>
      <c r="P470" s="11" t="str">
        <f aca="false">IF(COUNT(D470:N470)=0,"",IF(AND(MAX(D470:N470)&lt;2,MIN(D470:N470)&gt;-2),"Sin diferencia","Diferencia a explicar"))</f>
        <v/>
      </c>
    </row>
    <row r="471" customFormat="false" ht="15" hidden="true" customHeight="false" outlineLevel="1" collapsed="false">
      <c r="A471" s="11" t="s">
        <v>2174</v>
      </c>
      <c r="B471" s="15" t="s">
        <v>2087</v>
      </c>
      <c r="C471" s="11" t="s">
        <v>748</v>
      </c>
      <c r="E471" s="50" t="str">
        <f aca="false">IF(OR(NOT(ISNUMBER(E95)),NOT(ISNUMBER(E283))),"",E95-E283)</f>
        <v/>
      </c>
      <c r="F471" s="50" t="str">
        <f aca="false">IF(OR(NOT(ISNUMBER(F95)),NOT(ISNUMBER(F283))),"",F95-F283)</f>
        <v/>
      </c>
      <c r="G471" s="50" t="str">
        <f aca="false">IF(OR(NOT(ISNUMBER(G95)),NOT(ISNUMBER(G283))),"",G95-G283)</f>
        <v/>
      </c>
      <c r="H471" s="50" t="str">
        <f aca="false">IF(OR(NOT(ISNUMBER(H95)),NOT(ISNUMBER(H283))),"",H95-H283)</f>
        <v/>
      </c>
      <c r="I471" s="50" t="str">
        <f aca="false">IF(OR(NOT(ISNUMBER(I95)),NOT(ISNUMBER(I283))),"",I95-I283)</f>
        <v/>
      </c>
      <c r="J471" s="50" t="str">
        <f aca="false">IF(OR(NOT(ISNUMBER(J95)),NOT(ISNUMBER(J283))),"",J95-J283)</f>
        <v/>
      </c>
      <c r="K471" s="50" t="str">
        <f aca="false">IF(OR(NOT(ISNUMBER(K95)),NOT(ISNUMBER(K283))),"",K95-K283)</f>
        <v/>
      </c>
      <c r="L471" s="50" t="str">
        <f aca="false">IF(OR(NOT(ISNUMBER(L95)),NOT(ISNUMBER(L283))),"",L95-L283)</f>
        <v/>
      </c>
      <c r="M471" s="50" t="str">
        <f aca="false">IF(OR(NOT(ISNUMBER(M95)),NOT(ISNUMBER(M283))),"",M95-M283)</f>
        <v/>
      </c>
      <c r="N471" s="50" t="str">
        <f aca="false">IF(OR(NOT(ISNUMBER(N95)),NOT(ISNUMBER(N283))),"",N95-N283)</f>
        <v/>
      </c>
      <c r="O471" s="68" t="str">
        <f aca="false">IF(OR(NOT(ISNUMBER(O95)),NOT(ISNUMBER(O283))),"",O95-O283)</f>
        <v/>
      </c>
      <c r="P471" s="11" t="str">
        <f aca="false">IF(COUNT(D471:N471)=0,"",IF(AND(MAX(D471:N471)&lt;0.005,MIN(D471:N471)&gt;-0.005),"Sin diferencia","Diferencia a explicar"))</f>
        <v/>
      </c>
    </row>
    <row r="472" customFormat="false" ht="15" hidden="true" customHeight="false" outlineLevel="1" collapsed="false">
      <c r="A472" s="11" t="s">
        <v>2175</v>
      </c>
      <c r="B472" s="53" t="str">
        <f aca="false">IF(INDEX(Prod_Nombre,5)="","Producto 5",INDEX(Prod_Nombre,5))</f>
        <v>Producto 5</v>
      </c>
      <c r="C472" s="11" t="s">
        <v>508</v>
      </c>
      <c r="D472" s="48" t="str">
        <f aca="false">IF(OR(NOT(ISNUMBER(D96)),NOT(ISNUMBER(D284))),"",D96-D284)</f>
        <v/>
      </c>
      <c r="E472" s="48" t="str">
        <f aca="false">IF(OR(NOT(ISNUMBER(E96)),NOT(ISNUMBER(E284))),"",E96-E284)</f>
        <v/>
      </c>
      <c r="F472" s="48" t="str">
        <f aca="false">IF(OR(NOT(ISNUMBER(F96)),NOT(ISNUMBER(F284))),"",F96-F284)</f>
        <v/>
      </c>
      <c r="G472" s="48" t="str">
        <f aca="false">IF(OR(NOT(ISNUMBER(G96)),NOT(ISNUMBER(G284))),"",G96-G284)</f>
        <v/>
      </c>
      <c r="H472" s="48" t="str">
        <f aca="false">IF(OR(NOT(ISNUMBER(H96)),NOT(ISNUMBER(H284))),"",H96-H284)</f>
        <v/>
      </c>
      <c r="I472" s="48" t="str">
        <f aca="false">IF(OR(NOT(ISNUMBER(I96)),NOT(ISNUMBER(I284))),"",I96-I284)</f>
        <v/>
      </c>
      <c r="J472" s="48" t="str">
        <f aca="false">IF(OR(NOT(ISNUMBER(J96)),NOT(ISNUMBER(J284))),"",J96-J284)</f>
        <v/>
      </c>
      <c r="K472" s="48" t="str">
        <f aca="false">IF(OR(NOT(ISNUMBER(K96)),NOT(ISNUMBER(K284))),"",K96-K284)</f>
        <v/>
      </c>
      <c r="L472" s="48" t="str">
        <f aca="false">IF(OR(NOT(ISNUMBER(L96)),NOT(ISNUMBER(L284))),"",L96-L284)</f>
        <v/>
      </c>
      <c r="M472" s="48" t="str">
        <f aca="false">IF(OR(NOT(ISNUMBER(M96)),NOT(ISNUMBER(M284))),"",M96-M284)</f>
        <v/>
      </c>
      <c r="N472" s="48" t="str">
        <f aca="false">IF(OR(NOT(ISNUMBER(N96)),NOT(ISNUMBER(N284))),"",N96-N284)</f>
        <v/>
      </c>
      <c r="O472" s="54" t="str">
        <f aca="false">IF(OR(NOT(ISNUMBER(O96)),NOT(ISNUMBER(O284))),"",O96-O284)</f>
        <v/>
      </c>
      <c r="P472" s="11" t="str">
        <f aca="false">IF(COUNT(D472:N472)=0,"",IF(AND(MAX(D472:N472)&lt;2,MIN(D472:N472)&gt;-2),"Sin diferencia","Diferencia a explicar"))</f>
        <v/>
      </c>
    </row>
    <row r="473" customFormat="false" ht="15" hidden="true" customHeight="false" outlineLevel="1" collapsed="false">
      <c r="A473" s="11" t="s">
        <v>2176</v>
      </c>
      <c r="B473" s="15" t="s">
        <v>2087</v>
      </c>
      <c r="C473" s="11" t="s">
        <v>748</v>
      </c>
      <c r="E473" s="50" t="str">
        <f aca="false">IF(OR(NOT(ISNUMBER(E97)),NOT(ISNUMBER(E285))),"",E97-E285)</f>
        <v/>
      </c>
      <c r="F473" s="50" t="str">
        <f aca="false">IF(OR(NOT(ISNUMBER(F97)),NOT(ISNUMBER(F285))),"",F97-F285)</f>
        <v/>
      </c>
      <c r="G473" s="50" t="str">
        <f aca="false">IF(OR(NOT(ISNUMBER(G97)),NOT(ISNUMBER(G285))),"",G97-G285)</f>
        <v/>
      </c>
      <c r="H473" s="50" t="str">
        <f aca="false">IF(OR(NOT(ISNUMBER(H97)),NOT(ISNUMBER(H285))),"",H97-H285)</f>
        <v/>
      </c>
      <c r="I473" s="50" t="str">
        <f aca="false">IF(OR(NOT(ISNUMBER(I97)),NOT(ISNUMBER(I285))),"",I97-I285)</f>
        <v/>
      </c>
      <c r="J473" s="50" t="str">
        <f aca="false">IF(OR(NOT(ISNUMBER(J97)),NOT(ISNUMBER(J285))),"",J97-J285)</f>
        <v/>
      </c>
      <c r="K473" s="50" t="str">
        <f aca="false">IF(OR(NOT(ISNUMBER(K97)),NOT(ISNUMBER(K285))),"",K97-K285)</f>
        <v/>
      </c>
      <c r="L473" s="50" t="str">
        <f aca="false">IF(OR(NOT(ISNUMBER(L97)),NOT(ISNUMBER(L285))),"",L97-L285)</f>
        <v/>
      </c>
      <c r="M473" s="50" t="str">
        <f aca="false">IF(OR(NOT(ISNUMBER(M97)),NOT(ISNUMBER(M285))),"",M97-M285)</f>
        <v/>
      </c>
      <c r="N473" s="50" t="str">
        <f aca="false">IF(OR(NOT(ISNUMBER(N97)),NOT(ISNUMBER(N285))),"",N97-N285)</f>
        <v/>
      </c>
      <c r="O473" s="68" t="str">
        <f aca="false">IF(OR(NOT(ISNUMBER(O97)),NOT(ISNUMBER(O285))),"",O97-O285)</f>
        <v/>
      </c>
      <c r="P473" s="11" t="str">
        <f aca="false">IF(COUNT(D473:N473)=0,"",IF(AND(MAX(D473:N473)&lt;0.005,MIN(D473:N473)&gt;-0.005),"Sin diferencia","Diferencia a explicar"))</f>
        <v/>
      </c>
    </row>
    <row r="474" customFormat="false" ht="15" hidden="true" customHeight="false" outlineLevel="1" collapsed="false">
      <c r="A474" s="11" t="s">
        <v>2177</v>
      </c>
      <c r="B474" s="53" t="str">
        <f aca="false">IF(INDEX(Prod_Nombre,6)="","Producto 6",INDEX(Prod_Nombre,6))</f>
        <v>Producto 6</v>
      </c>
      <c r="C474" s="11" t="s">
        <v>508</v>
      </c>
      <c r="D474" s="48" t="str">
        <f aca="false">IF(OR(NOT(ISNUMBER(D98)),NOT(ISNUMBER(D286))),"",D98-D286)</f>
        <v/>
      </c>
      <c r="E474" s="48" t="str">
        <f aca="false">IF(OR(NOT(ISNUMBER(E98)),NOT(ISNUMBER(E286))),"",E98-E286)</f>
        <v/>
      </c>
      <c r="F474" s="48" t="str">
        <f aca="false">IF(OR(NOT(ISNUMBER(F98)),NOT(ISNUMBER(F286))),"",F98-F286)</f>
        <v/>
      </c>
      <c r="G474" s="48" t="str">
        <f aca="false">IF(OR(NOT(ISNUMBER(G98)),NOT(ISNUMBER(G286))),"",G98-G286)</f>
        <v/>
      </c>
      <c r="H474" s="48" t="str">
        <f aca="false">IF(OR(NOT(ISNUMBER(H98)),NOT(ISNUMBER(H286))),"",H98-H286)</f>
        <v/>
      </c>
      <c r="I474" s="48" t="str">
        <f aca="false">IF(OR(NOT(ISNUMBER(I98)),NOT(ISNUMBER(I286))),"",I98-I286)</f>
        <v/>
      </c>
      <c r="J474" s="48" t="str">
        <f aca="false">IF(OR(NOT(ISNUMBER(J98)),NOT(ISNUMBER(J286))),"",J98-J286)</f>
        <v/>
      </c>
      <c r="K474" s="48" t="str">
        <f aca="false">IF(OR(NOT(ISNUMBER(K98)),NOT(ISNUMBER(K286))),"",K98-K286)</f>
        <v/>
      </c>
      <c r="L474" s="48" t="str">
        <f aca="false">IF(OR(NOT(ISNUMBER(L98)),NOT(ISNUMBER(L286))),"",L98-L286)</f>
        <v/>
      </c>
      <c r="M474" s="48" t="str">
        <f aca="false">IF(OR(NOT(ISNUMBER(M98)),NOT(ISNUMBER(M286))),"",M98-M286)</f>
        <v/>
      </c>
      <c r="N474" s="48" t="str">
        <f aca="false">IF(OR(NOT(ISNUMBER(N98)),NOT(ISNUMBER(N286))),"",N98-N286)</f>
        <v/>
      </c>
      <c r="O474" s="54" t="str">
        <f aca="false">IF(OR(NOT(ISNUMBER(O98)),NOT(ISNUMBER(O286))),"",O98-O286)</f>
        <v/>
      </c>
      <c r="P474" s="11" t="str">
        <f aca="false">IF(COUNT(D474:N474)=0,"",IF(AND(MAX(D474:N474)&lt;2,MIN(D474:N474)&gt;-2),"Sin diferencia","Diferencia a explicar"))</f>
        <v/>
      </c>
    </row>
    <row r="475" customFormat="false" ht="15" hidden="true" customHeight="false" outlineLevel="1" collapsed="false">
      <c r="A475" s="11" t="s">
        <v>2178</v>
      </c>
      <c r="B475" s="15" t="s">
        <v>2087</v>
      </c>
      <c r="C475" s="11" t="s">
        <v>748</v>
      </c>
      <c r="E475" s="50" t="str">
        <f aca="false">IF(OR(NOT(ISNUMBER(E99)),NOT(ISNUMBER(E287))),"",E99-E287)</f>
        <v/>
      </c>
      <c r="F475" s="50" t="str">
        <f aca="false">IF(OR(NOT(ISNUMBER(F99)),NOT(ISNUMBER(F287))),"",F99-F287)</f>
        <v/>
      </c>
      <c r="G475" s="50" t="str">
        <f aca="false">IF(OR(NOT(ISNUMBER(G99)),NOT(ISNUMBER(G287))),"",G99-G287)</f>
        <v/>
      </c>
      <c r="H475" s="50" t="str">
        <f aca="false">IF(OR(NOT(ISNUMBER(H99)),NOT(ISNUMBER(H287))),"",H99-H287)</f>
        <v/>
      </c>
      <c r="I475" s="50" t="str">
        <f aca="false">IF(OR(NOT(ISNUMBER(I99)),NOT(ISNUMBER(I287))),"",I99-I287)</f>
        <v/>
      </c>
      <c r="J475" s="50" t="str">
        <f aca="false">IF(OR(NOT(ISNUMBER(J99)),NOT(ISNUMBER(J287))),"",J99-J287)</f>
        <v/>
      </c>
      <c r="K475" s="50" t="str">
        <f aca="false">IF(OR(NOT(ISNUMBER(K99)),NOT(ISNUMBER(K287))),"",K99-K287)</f>
        <v/>
      </c>
      <c r="L475" s="50" t="str">
        <f aca="false">IF(OR(NOT(ISNUMBER(L99)),NOT(ISNUMBER(L287))),"",L99-L287)</f>
        <v/>
      </c>
      <c r="M475" s="50" t="str">
        <f aca="false">IF(OR(NOT(ISNUMBER(M99)),NOT(ISNUMBER(M287))),"",M99-M287)</f>
        <v/>
      </c>
      <c r="N475" s="50" t="str">
        <f aca="false">IF(OR(NOT(ISNUMBER(N99)),NOT(ISNUMBER(N287))),"",N99-N287)</f>
        <v/>
      </c>
      <c r="O475" s="68" t="str">
        <f aca="false">IF(OR(NOT(ISNUMBER(O99)),NOT(ISNUMBER(O287))),"",O99-O287)</f>
        <v/>
      </c>
      <c r="P475" s="11" t="str">
        <f aca="false">IF(COUNT(D475:N475)=0,"",IF(AND(MAX(D475:N475)&lt;0.005,MIN(D475:N475)&gt;-0.005),"Sin diferencia","Diferencia a explicar"))</f>
        <v/>
      </c>
    </row>
    <row r="476" customFormat="false" ht="15" hidden="true" customHeight="false" outlineLevel="1" collapsed="false">
      <c r="A476" s="11" t="s">
        <v>2179</v>
      </c>
      <c r="B476" s="53" t="str">
        <f aca="false">IF(INDEX(Prod_Nombre,7)="","Producto 7",INDEX(Prod_Nombre,7))</f>
        <v>Producto 7</v>
      </c>
      <c r="C476" s="11" t="s">
        <v>508</v>
      </c>
      <c r="D476" s="48" t="str">
        <f aca="false">IF(OR(NOT(ISNUMBER(D100)),NOT(ISNUMBER(D288))),"",D100-D288)</f>
        <v/>
      </c>
      <c r="E476" s="48" t="str">
        <f aca="false">IF(OR(NOT(ISNUMBER(E100)),NOT(ISNUMBER(E288))),"",E100-E288)</f>
        <v/>
      </c>
      <c r="F476" s="48" t="str">
        <f aca="false">IF(OR(NOT(ISNUMBER(F100)),NOT(ISNUMBER(F288))),"",F100-F288)</f>
        <v/>
      </c>
      <c r="G476" s="48" t="str">
        <f aca="false">IF(OR(NOT(ISNUMBER(G100)),NOT(ISNUMBER(G288))),"",G100-G288)</f>
        <v/>
      </c>
      <c r="H476" s="48" t="str">
        <f aca="false">IF(OR(NOT(ISNUMBER(H100)),NOT(ISNUMBER(H288))),"",H100-H288)</f>
        <v/>
      </c>
      <c r="I476" s="48" t="str">
        <f aca="false">IF(OR(NOT(ISNUMBER(I100)),NOT(ISNUMBER(I288))),"",I100-I288)</f>
        <v/>
      </c>
      <c r="J476" s="48" t="str">
        <f aca="false">IF(OR(NOT(ISNUMBER(J100)),NOT(ISNUMBER(J288))),"",J100-J288)</f>
        <v/>
      </c>
      <c r="K476" s="48" t="str">
        <f aca="false">IF(OR(NOT(ISNUMBER(K100)),NOT(ISNUMBER(K288))),"",K100-K288)</f>
        <v/>
      </c>
      <c r="L476" s="48" t="str">
        <f aca="false">IF(OR(NOT(ISNUMBER(L100)),NOT(ISNUMBER(L288))),"",L100-L288)</f>
        <v/>
      </c>
      <c r="M476" s="48" t="str">
        <f aca="false">IF(OR(NOT(ISNUMBER(M100)),NOT(ISNUMBER(M288))),"",M100-M288)</f>
        <v/>
      </c>
      <c r="N476" s="48" t="str">
        <f aca="false">IF(OR(NOT(ISNUMBER(N100)),NOT(ISNUMBER(N288))),"",N100-N288)</f>
        <v/>
      </c>
      <c r="O476" s="54" t="str">
        <f aca="false">IF(OR(NOT(ISNUMBER(O100)),NOT(ISNUMBER(O288))),"",O100-O288)</f>
        <v/>
      </c>
      <c r="P476" s="11" t="str">
        <f aca="false">IF(COUNT(D476:N476)=0,"",IF(AND(MAX(D476:N476)&lt;2,MIN(D476:N476)&gt;-2),"Sin diferencia","Diferencia a explicar"))</f>
        <v/>
      </c>
    </row>
    <row r="477" customFormat="false" ht="15" hidden="true" customHeight="false" outlineLevel="1" collapsed="false">
      <c r="A477" s="11" t="s">
        <v>2180</v>
      </c>
      <c r="B477" s="15" t="s">
        <v>2087</v>
      </c>
      <c r="C477" s="11" t="s">
        <v>748</v>
      </c>
      <c r="E477" s="50" t="str">
        <f aca="false">IF(OR(NOT(ISNUMBER(E101)),NOT(ISNUMBER(E289))),"",E101-E289)</f>
        <v/>
      </c>
      <c r="F477" s="50" t="str">
        <f aca="false">IF(OR(NOT(ISNUMBER(F101)),NOT(ISNUMBER(F289))),"",F101-F289)</f>
        <v/>
      </c>
      <c r="G477" s="50" t="str">
        <f aca="false">IF(OR(NOT(ISNUMBER(G101)),NOT(ISNUMBER(G289))),"",G101-G289)</f>
        <v/>
      </c>
      <c r="H477" s="50" t="str">
        <f aca="false">IF(OR(NOT(ISNUMBER(H101)),NOT(ISNUMBER(H289))),"",H101-H289)</f>
        <v/>
      </c>
      <c r="I477" s="50" t="str">
        <f aca="false">IF(OR(NOT(ISNUMBER(I101)),NOT(ISNUMBER(I289))),"",I101-I289)</f>
        <v/>
      </c>
      <c r="J477" s="50" t="str">
        <f aca="false">IF(OR(NOT(ISNUMBER(J101)),NOT(ISNUMBER(J289))),"",J101-J289)</f>
        <v/>
      </c>
      <c r="K477" s="50" t="str">
        <f aca="false">IF(OR(NOT(ISNUMBER(K101)),NOT(ISNUMBER(K289))),"",K101-K289)</f>
        <v/>
      </c>
      <c r="L477" s="50" t="str">
        <f aca="false">IF(OR(NOT(ISNUMBER(L101)),NOT(ISNUMBER(L289))),"",L101-L289)</f>
        <v/>
      </c>
      <c r="M477" s="50" t="str">
        <f aca="false">IF(OR(NOT(ISNUMBER(M101)),NOT(ISNUMBER(M289))),"",M101-M289)</f>
        <v/>
      </c>
      <c r="N477" s="50" t="str">
        <f aca="false">IF(OR(NOT(ISNUMBER(N101)),NOT(ISNUMBER(N289))),"",N101-N289)</f>
        <v/>
      </c>
      <c r="O477" s="68" t="str">
        <f aca="false">IF(OR(NOT(ISNUMBER(O101)),NOT(ISNUMBER(O289))),"",O101-O289)</f>
        <v/>
      </c>
      <c r="P477" s="11" t="str">
        <f aca="false">IF(COUNT(D477:N477)=0,"",IF(AND(MAX(D477:N477)&lt;0.005,MIN(D477:N477)&gt;-0.005),"Sin diferencia","Diferencia a explicar"))</f>
        <v/>
      </c>
    </row>
    <row r="478" customFormat="false" ht="15" hidden="true" customHeight="false" outlineLevel="1" collapsed="false">
      <c r="A478" s="11" t="s">
        <v>2181</v>
      </c>
      <c r="B478" s="53" t="str">
        <f aca="false">IF(INDEX(Prod_Nombre,8)="","Producto 8",INDEX(Prod_Nombre,8))</f>
        <v>Producto 8</v>
      </c>
      <c r="C478" s="11" t="s">
        <v>508</v>
      </c>
      <c r="D478" s="48" t="str">
        <f aca="false">IF(OR(NOT(ISNUMBER(D102)),NOT(ISNUMBER(D290))),"",D102-D290)</f>
        <v/>
      </c>
      <c r="E478" s="48" t="str">
        <f aca="false">IF(OR(NOT(ISNUMBER(E102)),NOT(ISNUMBER(E290))),"",E102-E290)</f>
        <v/>
      </c>
      <c r="F478" s="48" t="str">
        <f aca="false">IF(OR(NOT(ISNUMBER(F102)),NOT(ISNUMBER(F290))),"",F102-F290)</f>
        <v/>
      </c>
      <c r="G478" s="48" t="str">
        <f aca="false">IF(OR(NOT(ISNUMBER(G102)),NOT(ISNUMBER(G290))),"",G102-G290)</f>
        <v/>
      </c>
      <c r="H478" s="48" t="str">
        <f aca="false">IF(OR(NOT(ISNUMBER(H102)),NOT(ISNUMBER(H290))),"",H102-H290)</f>
        <v/>
      </c>
      <c r="I478" s="48" t="str">
        <f aca="false">IF(OR(NOT(ISNUMBER(I102)),NOT(ISNUMBER(I290))),"",I102-I290)</f>
        <v/>
      </c>
      <c r="J478" s="48" t="str">
        <f aca="false">IF(OR(NOT(ISNUMBER(J102)),NOT(ISNUMBER(J290))),"",J102-J290)</f>
        <v/>
      </c>
      <c r="K478" s="48" t="str">
        <f aca="false">IF(OR(NOT(ISNUMBER(K102)),NOT(ISNUMBER(K290))),"",K102-K290)</f>
        <v/>
      </c>
      <c r="L478" s="48" t="str">
        <f aca="false">IF(OR(NOT(ISNUMBER(L102)),NOT(ISNUMBER(L290))),"",L102-L290)</f>
        <v/>
      </c>
      <c r="M478" s="48" t="str">
        <f aca="false">IF(OR(NOT(ISNUMBER(M102)),NOT(ISNUMBER(M290))),"",M102-M290)</f>
        <v/>
      </c>
      <c r="N478" s="48" t="str">
        <f aca="false">IF(OR(NOT(ISNUMBER(N102)),NOT(ISNUMBER(N290))),"",N102-N290)</f>
        <v/>
      </c>
      <c r="O478" s="54" t="str">
        <f aca="false">IF(OR(NOT(ISNUMBER(O102)),NOT(ISNUMBER(O290))),"",O102-O290)</f>
        <v/>
      </c>
      <c r="P478" s="11" t="str">
        <f aca="false">IF(COUNT(D478:N478)=0,"",IF(AND(MAX(D478:N478)&lt;2,MIN(D478:N478)&gt;-2),"Sin diferencia","Diferencia a explicar"))</f>
        <v/>
      </c>
    </row>
    <row r="479" customFormat="false" ht="15" hidden="true" customHeight="false" outlineLevel="1" collapsed="false">
      <c r="A479" s="11" t="s">
        <v>2182</v>
      </c>
      <c r="B479" s="15" t="s">
        <v>2087</v>
      </c>
      <c r="C479" s="11" t="s">
        <v>748</v>
      </c>
      <c r="E479" s="50" t="str">
        <f aca="false">IF(OR(NOT(ISNUMBER(E103)),NOT(ISNUMBER(E291))),"",E103-E291)</f>
        <v/>
      </c>
      <c r="F479" s="50" t="str">
        <f aca="false">IF(OR(NOT(ISNUMBER(F103)),NOT(ISNUMBER(F291))),"",F103-F291)</f>
        <v/>
      </c>
      <c r="G479" s="50" t="str">
        <f aca="false">IF(OR(NOT(ISNUMBER(G103)),NOT(ISNUMBER(G291))),"",G103-G291)</f>
        <v/>
      </c>
      <c r="H479" s="50" t="str">
        <f aca="false">IF(OR(NOT(ISNUMBER(H103)),NOT(ISNUMBER(H291))),"",H103-H291)</f>
        <v/>
      </c>
      <c r="I479" s="50" t="str">
        <f aca="false">IF(OR(NOT(ISNUMBER(I103)),NOT(ISNUMBER(I291))),"",I103-I291)</f>
        <v/>
      </c>
      <c r="J479" s="50" t="str">
        <f aca="false">IF(OR(NOT(ISNUMBER(J103)),NOT(ISNUMBER(J291))),"",J103-J291)</f>
        <v/>
      </c>
      <c r="K479" s="50" t="str">
        <f aca="false">IF(OR(NOT(ISNUMBER(K103)),NOT(ISNUMBER(K291))),"",K103-K291)</f>
        <v/>
      </c>
      <c r="L479" s="50" t="str">
        <f aca="false">IF(OR(NOT(ISNUMBER(L103)),NOT(ISNUMBER(L291))),"",L103-L291)</f>
        <v/>
      </c>
      <c r="M479" s="50" t="str">
        <f aca="false">IF(OR(NOT(ISNUMBER(M103)),NOT(ISNUMBER(M291))),"",M103-M291)</f>
        <v/>
      </c>
      <c r="N479" s="50" t="str">
        <f aca="false">IF(OR(NOT(ISNUMBER(N103)),NOT(ISNUMBER(N291))),"",N103-N291)</f>
        <v/>
      </c>
      <c r="O479" s="68" t="str">
        <f aca="false">IF(OR(NOT(ISNUMBER(O103)),NOT(ISNUMBER(O291))),"",O103-O291)</f>
        <v/>
      </c>
      <c r="P479" s="11" t="str">
        <f aca="false">IF(COUNT(D479:N479)=0,"",IF(AND(MAX(D479:N479)&lt;0.005,MIN(D479:N479)&gt;-0.005),"Sin diferencia","Diferencia a explicar"))</f>
        <v/>
      </c>
    </row>
    <row r="480" customFormat="false" ht="15" hidden="true" customHeight="false" outlineLevel="1" collapsed="false">
      <c r="A480" s="11" t="s">
        <v>2183</v>
      </c>
      <c r="B480" s="53" t="str">
        <f aca="false">IF(INDEX(Prod_Nombre,9)="","Producto 9",INDEX(Prod_Nombre,9))</f>
        <v>Producto 9</v>
      </c>
      <c r="C480" s="11" t="s">
        <v>508</v>
      </c>
      <c r="D480" s="48" t="str">
        <f aca="false">IF(OR(NOT(ISNUMBER(D104)),NOT(ISNUMBER(D292))),"",D104-D292)</f>
        <v/>
      </c>
      <c r="E480" s="48" t="str">
        <f aca="false">IF(OR(NOT(ISNUMBER(E104)),NOT(ISNUMBER(E292))),"",E104-E292)</f>
        <v/>
      </c>
      <c r="F480" s="48" t="str">
        <f aca="false">IF(OR(NOT(ISNUMBER(F104)),NOT(ISNUMBER(F292))),"",F104-F292)</f>
        <v/>
      </c>
      <c r="G480" s="48" t="str">
        <f aca="false">IF(OR(NOT(ISNUMBER(G104)),NOT(ISNUMBER(G292))),"",G104-G292)</f>
        <v/>
      </c>
      <c r="H480" s="48" t="str">
        <f aca="false">IF(OR(NOT(ISNUMBER(H104)),NOT(ISNUMBER(H292))),"",H104-H292)</f>
        <v/>
      </c>
      <c r="I480" s="48" t="str">
        <f aca="false">IF(OR(NOT(ISNUMBER(I104)),NOT(ISNUMBER(I292))),"",I104-I292)</f>
        <v/>
      </c>
      <c r="J480" s="48" t="str">
        <f aca="false">IF(OR(NOT(ISNUMBER(J104)),NOT(ISNUMBER(J292))),"",J104-J292)</f>
        <v/>
      </c>
      <c r="K480" s="48" t="str">
        <f aca="false">IF(OR(NOT(ISNUMBER(K104)),NOT(ISNUMBER(K292))),"",K104-K292)</f>
        <v/>
      </c>
      <c r="L480" s="48" t="str">
        <f aca="false">IF(OR(NOT(ISNUMBER(L104)),NOT(ISNUMBER(L292))),"",L104-L292)</f>
        <v/>
      </c>
      <c r="M480" s="48" t="str">
        <f aca="false">IF(OR(NOT(ISNUMBER(M104)),NOT(ISNUMBER(M292))),"",M104-M292)</f>
        <v/>
      </c>
      <c r="N480" s="48" t="str">
        <f aca="false">IF(OR(NOT(ISNUMBER(N104)),NOT(ISNUMBER(N292))),"",N104-N292)</f>
        <v/>
      </c>
      <c r="O480" s="54" t="str">
        <f aca="false">IF(OR(NOT(ISNUMBER(O104)),NOT(ISNUMBER(O292))),"",O104-O292)</f>
        <v/>
      </c>
      <c r="P480" s="11" t="str">
        <f aca="false">IF(COUNT(D480:N480)=0,"",IF(AND(MAX(D480:N480)&lt;2,MIN(D480:N480)&gt;-2),"Sin diferencia","Diferencia a explicar"))</f>
        <v/>
      </c>
    </row>
    <row r="481" customFormat="false" ht="15" hidden="true" customHeight="false" outlineLevel="1" collapsed="false">
      <c r="A481" s="11" t="s">
        <v>2184</v>
      </c>
      <c r="B481" s="15" t="s">
        <v>2087</v>
      </c>
      <c r="C481" s="11" t="s">
        <v>748</v>
      </c>
      <c r="E481" s="50" t="str">
        <f aca="false">IF(OR(NOT(ISNUMBER(E105)),NOT(ISNUMBER(E293))),"",E105-E293)</f>
        <v/>
      </c>
      <c r="F481" s="50" t="str">
        <f aca="false">IF(OR(NOT(ISNUMBER(F105)),NOT(ISNUMBER(F293))),"",F105-F293)</f>
        <v/>
      </c>
      <c r="G481" s="50" t="str">
        <f aca="false">IF(OR(NOT(ISNUMBER(G105)),NOT(ISNUMBER(G293))),"",G105-G293)</f>
        <v/>
      </c>
      <c r="H481" s="50" t="str">
        <f aca="false">IF(OR(NOT(ISNUMBER(H105)),NOT(ISNUMBER(H293))),"",H105-H293)</f>
        <v/>
      </c>
      <c r="I481" s="50" t="str">
        <f aca="false">IF(OR(NOT(ISNUMBER(I105)),NOT(ISNUMBER(I293))),"",I105-I293)</f>
        <v/>
      </c>
      <c r="J481" s="50" t="str">
        <f aca="false">IF(OR(NOT(ISNUMBER(J105)),NOT(ISNUMBER(J293))),"",J105-J293)</f>
        <v/>
      </c>
      <c r="K481" s="50" t="str">
        <f aca="false">IF(OR(NOT(ISNUMBER(K105)),NOT(ISNUMBER(K293))),"",K105-K293)</f>
        <v/>
      </c>
      <c r="L481" s="50" t="str">
        <f aca="false">IF(OR(NOT(ISNUMBER(L105)),NOT(ISNUMBER(L293))),"",L105-L293)</f>
        <v/>
      </c>
      <c r="M481" s="50" t="str">
        <f aca="false">IF(OR(NOT(ISNUMBER(M105)),NOT(ISNUMBER(M293))),"",M105-M293)</f>
        <v/>
      </c>
      <c r="N481" s="50" t="str">
        <f aca="false">IF(OR(NOT(ISNUMBER(N105)),NOT(ISNUMBER(N293))),"",N105-N293)</f>
        <v/>
      </c>
      <c r="O481" s="68" t="str">
        <f aca="false">IF(OR(NOT(ISNUMBER(O105)),NOT(ISNUMBER(O293))),"",O105-O293)</f>
        <v/>
      </c>
      <c r="P481" s="11" t="str">
        <f aca="false">IF(COUNT(D481:N481)=0,"",IF(AND(MAX(D481:N481)&lt;0.005,MIN(D481:N481)&gt;-0.005),"Sin diferencia","Diferencia a explicar"))</f>
        <v/>
      </c>
    </row>
    <row r="482" customFormat="false" ht="15" hidden="true" customHeight="false" outlineLevel="1" collapsed="false">
      <c r="A482" s="11" t="s">
        <v>2185</v>
      </c>
      <c r="B482" s="53" t="str">
        <f aca="false">IF(INDEX(Prod_Nombre,10)="","Producto 10",INDEX(Prod_Nombre,10))</f>
        <v>Producto 10</v>
      </c>
      <c r="C482" s="11" t="s">
        <v>508</v>
      </c>
      <c r="D482" s="48" t="str">
        <f aca="false">IF(OR(NOT(ISNUMBER(D106)),NOT(ISNUMBER(D294))),"",D106-D294)</f>
        <v/>
      </c>
      <c r="E482" s="48" t="str">
        <f aca="false">IF(OR(NOT(ISNUMBER(E106)),NOT(ISNUMBER(E294))),"",E106-E294)</f>
        <v/>
      </c>
      <c r="F482" s="48" t="str">
        <f aca="false">IF(OR(NOT(ISNUMBER(F106)),NOT(ISNUMBER(F294))),"",F106-F294)</f>
        <v/>
      </c>
      <c r="G482" s="48" t="str">
        <f aca="false">IF(OR(NOT(ISNUMBER(G106)),NOT(ISNUMBER(G294))),"",G106-G294)</f>
        <v/>
      </c>
      <c r="H482" s="48" t="str">
        <f aca="false">IF(OR(NOT(ISNUMBER(H106)),NOT(ISNUMBER(H294))),"",H106-H294)</f>
        <v/>
      </c>
      <c r="I482" s="48" t="str">
        <f aca="false">IF(OR(NOT(ISNUMBER(I106)),NOT(ISNUMBER(I294))),"",I106-I294)</f>
        <v/>
      </c>
      <c r="J482" s="48" t="str">
        <f aca="false">IF(OR(NOT(ISNUMBER(J106)),NOT(ISNUMBER(J294))),"",J106-J294)</f>
        <v/>
      </c>
      <c r="K482" s="48" t="str">
        <f aca="false">IF(OR(NOT(ISNUMBER(K106)),NOT(ISNUMBER(K294))),"",K106-K294)</f>
        <v/>
      </c>
      <c r="L482" s="48" t="str">
        <f aca="false">IF(OR(NOT(ISNUMBER(L106)),NOT(ISNUMBER(L294))),"",L106-L294)</f>
        <v/>
      </c>
      <c r="M482" s="48" t="str">
        <f aca="false">IF(OR(NOT(ISNUMBER(M106)),NOT(ISNUMBER(M294))),"",M106-M294)</f>
        <v/>
      </c>
      <c r="N482" s="48" t="str">
        <f aca="false">IF(OR(NOT(ISNUMBER(N106)),NOT(ISNUMBER(N294))),"",N106-N294)</f>
        <v/>
      </c>
      <c r="O482" s="54" t="str">
        <f aca="false">IF(OR(NOT(ISNUMBER(O106)),NOT(ISNUMBER(O294))),"",O106-O294)</f>
        <v/>
      </c>
      <c r="P482" s="11" t="str">
        <f aca="false">IF(COUNT(D482:N482)=0,"",IF(AND(MAX(D482:N482)&lt;2,MIN(D482:N482)&gt;-2),"Sin diferencia","Diferencia a explicar"))</f>
        <v/>
      </c>
    </row>
    <row r="483" customFormat="false" ht="15" hidden="true" customHeight="false" outlineLevel="1" collapsed="false">
      <c r="A483" s="11" t="s">
        <v>2186</v>
      </c>
      <c r="B483" s="15" t="s">
        <v>2087</v>
      </c>
      <c r="C483" s="11" t="s">
        <v>748</v>
      </c>
      <c r="E483" s="50" t="str">
        <f aca="false">IF(OR(NOT(ISNUMBER(E107)),NOT(ISNUMBER(E295))),"",E107-E295)</f>
        <v/>
      </c>
      <c r="F483" s="50" t="str">
        <f aca="false">IF(OR(NOT(ISNUMBER(F107)),NOT(ISNUMBER(F295))),"",F107-F295)</f>
        <v/>
      </c>
      <c r="G483" s="50" t="str">
        <f aca="false">IF(OR(NOT(ISNUMBER(G107)),NOT(ISNUMBER(G295))),"",G107-G295)</f>
        <v/>
      </c>
      <c r="H483" s="50" t="str">
        <f aca="false">IF(OR(NOT(ISNUMBER(H107)),NOT(ISNUMBER(H295))),"",H107-H295)</f>
        <v/>
      </c>
      <c r="I483" s="50" t="str">
        <f aca="false">IF(OR(NOT(ISNUMBER(I107)),NOT(ISNUMBER(I295))),"",I107-I295)</f>
        <v/>
      </c>
      <c r="J483" s="50" t="str">
        <f aca="false">IF(OR(NOT(ISNUMBER(J107)),NOT(ISNUMBER(J295))),"",J107-J295)</f>
        <v/>
      </c>
      <c r="K483" s="50" t="str">
        <f aca="false">IF(OR(NOT(ISNUMBER(K107)),NOT(ISNUMBER(K295))),"",K107-K295)</f>
        <v/>
      </c>
      <c r="L483" s="50" t="str">
        <f aca="false">IF(OR(NOT(ISNUMBER(L107)),NOT(ISNUMBER(L295))),"",L107-L295)</f>
        <v/>
      </c>
      <c r="M483" s="50" t="str">
        <f aca="false">IF(OR(NOT(ISNUMBER(M107)),NOT(ISNUMBER(M295))),"",M107-M295)</f>
        <v/>
      </c>
      <c r="N483" s="50" t="str">
        <f aca="false">IF(OR(NOT(ISNUMBER(N107)),NOT(ISNUMBER(N295))),"",N107-N295)</f>
        <v/>
      </c>
      <c r="O483" s="68" t="str">
        <f aca="false">IF(OR(NOT(ISNUMBER(O107)),NOT(ISNUMBER(O295))),"",O107-O295)</f>
        <v/>
      </c>
      <c r="P483" s="11" t="str">
        <f aca="false">IF(COUNT(D483:N483)=0,"",IF(AND(MAX(D483:N483)&lt;0.005,MIN(D483:N483)&gt;-0.005),"Sin diferencia","Diferencia a explicar"))</f>
        <v/>
      </c>
    </row>
    <row r="484" customFormat="false" ht="15" hidden="true" customHeight="false" outlineLevel="1" collapsed="false">
      <c r="A484" s="11" t="s">
        <v>2187</v>
      </c>
      <c r="B484" s="53" t="str">
        <f aca="false">IF(INDEX(Prod_Nombre,11)="","Producto 11",INDEX(Prod_Nombre,11))</f>
        <v>Producto 11</v>
      </c>
      <c r="C484" s="11" t="s">
        <v>508</v>
      </c>
      <c r="D484" s="48" t="str">
        <f aca="false">IF(OR(NOT(ISNUMBER(D108)),NOT(ISNUMBER(D296))),"",D108-D296)</f>
        <v/>
      </c>
      <c r="E484" s="48" t="str">
        <f aca="false">IF(OR(NOT(ISNUMBER(E108)),NOT(ISNUMBER(E296))),"",E108-E296)</f>
        <v/>
      </c>
      <c r="F484" s="48" t="str">
        <f aca="false">IF(OR(NOT(ISNUMBER(F108)),NOT(ISNUMBER(F296))),"",F108-F296)</f>
        <v/>
      </c>
      <c r="G484" s="48" t="str">
        <f aca="false">IF(OR(NOT(ISNUMBER(G108)),NOT(ISNUMBER(G296))),"",G108-G296)</f>
        <v/>
      </c>
      <c r="H484" s="48" t="str">
        <f aca="false">IF(OR(NOT(ISNUMBER(H108)),NOT(ISNUMBER(H296))),"",H108-H296)</f>
        <v/>
      </c>
      <c r="I484" s="48" t="str">
        <f aca="false">IF(OR(NOT(ISNUMBER(I108)),NOT(ISNUMBER(I296))),"",I108-I296)</f>
        <v/>
      </c>
      <c r="J484" s="48" t="str">
        <f aca="false">IF(OR(NOT(ISNUMBER(J108)),NOT(ISNUMBER(J296))),"",J108-J296)</f>
        <v/>
      </c>
      <c r="K484" s="48" t="str">
        <f aca="false">IF(OR(NOT(ISNUMBER(K108)),NOT(ISNUMBER(K296))),"",K108-K296)</f>
        <v/>
      </c>
      <c r="L484" s="48" t="str">
        <f aca="false">IF(OR(NOT(ISNUMBER(L108)),NOT(ISNUMBER(L296))),"",L108-L296)</f>
        <v/>
      </c>
      <c r="M484" s="48" t="str">
        <f aca="false">IF(OR(NOT(ISNUMBER(M108)),NOT(ISNUMBER(M296))),"",M108-M296)</f>
        <v/>
      </c>
      <c r="N484" s="48" t="str">
        <f aca="false">IF(OR(NOT(ISNUMBER(N108)),NOT(ISNUMBER(N296))),"",N108-N296)</f>
        <v/>
      </c>
      <c r="O484" s="54" t="str">
        <f aca="false">IF(OR(NOT(ISNUMBER(O108)),NOT(ISNUMBER(O296))),"",O108-O296)</f>
        <v/>
      </c>
      <c r="P484" s="11" t="str">
        <f aca="false">IF(COUNT(D484:N484)=0,"",IF(AND(MAX(D484:N484)&lt;2,MIN(D484:N484)&gt;-2),"Sin diferencia","Diferencia a explicar"))</f>
        <v/>
      </c>
    </row>
    <row r="485" customFormat="false" ht="15" hidden="true" customHeight="false" outlineLevel="1" collapsed="false">
      <c r="A485" s="11" t="s">
        <v>2188</v>
      </c>
      <c r="B485" s="15" t="s">
        <v>2087</v>
      </c>
      <c r="C485" s="11" t="s">
        <v>748</v>
      </c>
      <c r="E485" s="50" t="str">
        <f aca="false">IF(OR(NOT(ISNUMBER(E109)),NOT(ISNUMBER(E297))),"",E109-E297)</f>
        <v/>
      </c>
      <c r="F485" s="50" t="str">
        <f aca="false">IF(OR(NOT(ISNUMBER(F109)),NOT(ISNUMBER(F297))),"",F109-F297)</f>
        <v/>
      </c>
      <c r="G485" s="50" t="str">
        <f aca="false">IF(OR(NOT(ISNUMBER(G109)),NOT(ISNUMBER(G297))),"",G109-G297)</f>
        <v/>
      </c>
      <c r="H485" s="50" t="str">
        <f aca="false">IF(OR(NOT(ISNUMBER(H109)),NOT(ISNUMBER(H297))),"",H109-H297)</f>
        <v/>
      </c>
      <c r="I485" s="50" t="str">
        <f aca="false">IF(OR(NOT(ISNUMBER(I109)),NOT(ISNUMBER(I297))),"",I109-I297)</f>
        <v/>
      </c>
      <c r="J485" s="50" t="str">
        <f aca="false">IF(OR(NOT(ISNUMBER(J109)),NOT(ISNUMBER(J297))),"",J109-J297)</f>
        <v/>
      </c>
      <c r="K485" s="50" t="str">
        <f aca="false">IF(OR(NOT(ISNUMBER(K109)),NOT(ISNUMBER(K297))),"",K109-K297)</f>
        <v/>
      </c>
      <c r="L485" s="50" t="str">
        <f aca="false">IF(OR(NOT(ISNUMBER(L109)),NOT(ISNUMBER(L297))),"",L109-L297)</f>
        <v/>
      </c>
      <c r="M485" s="50" t="str">
        <f aca="false">IF(OR(NOT(ISNUMBER(M109)),NOT(ISNUMBER(M297))),"",M109-M297)</f>
        <v/>
      </c>
      <c r="N485" s="50" t="str">
        <f aca="false">IF(OR(NOT(ISNUMBER(N109)),NOT(ISNUMBER(N297))),"",N109-N297)</f>
        <v/>
      </c>
      <c r="O485" s="68" t="str">
        <f aca="false">IF(OR(NOT(ISNUMBER(O109)),NOT(ISNUMBER(O297))),"",O109-O297)</f>
        <v/>
      </c>
      <c r="P485" s="11" t="str">
        <f aca="false">IF(COUNT(D485:N485)=0,"",IF(AND(MAX(D485:N485)&lt;0.005,MIN(D485:N485)&gt;-0.005),"Sin diferencia","Diferencia a explicar"))</f>
        <v/>
      </c>
    </row>
    <row r="486" customFormat="false" ht="15" hidden="true" customHeight="false" outlineLevel="1" collapsed="false">
      <c r="A486" s="11" t="s">
        <v>2189</v>
      </c>
      <c r="B486" s="53" t="str">
        <f aca="false">IF(INDEX(Prod_Nombre,12)="","Producto 12",INDEX(Prod_Nombre,12))</f>
        <v>Producto 12</v>
      </c>
      <c r="C486" s="11" t="s">
        <v>508</v>
      </c>
      <c r="D486" s="48" t="str">
        <f aca="false">IF(OR(NOT(ISNUMBER(D110)),NOT(ISNUMBER(D298))),"",D110-D298)</f>
        <v/>
      </c>
      <c r="E486" s="48" t="str">
        <f aca="false">IF(OR(NOT(ISNUMBER(E110)),NOT(ISNUMBER(E298))),"",E110-E298)</f>
        <v/>
      </c>
      <c r="F486" s="48" t="str">
        <f aca="false">IF(OR(NOT(ISNUMBER(F110)),NOT(ISNUMBER(F298))),"",F110-F298)</f>
        <v/>
      </c>
      <c r="G486" s="48" t="str">
        <f aca="false">IF(OR(NOT(ISNUMBER(G110)),NOT(ISNUMBER(G298))),"",G110-G298)</f>
        <v/>
      </c>
      <c r="H486" s="48" t="str">
        <f aca="false">IF(OR(NOT(ISNUMBER(H110)),NOT(ISNUMBER(H298))),"",H110-H298)</f>
        <v/>
      </c>
      <c r="I486" s="48" t="str">
        <f aca="false">IF(OR(NOT(ISNUMBER(I110)),NOT(ISNUMBER(I298))),"",I110-I298)</f>
        <v/>
      </c>
      <c r="J486" s="48" t="str">
        <f aca="false">IF(OR(NOT(ISNUMBER(J110)),NOT(ISNUMBER(J298))),"",J110-J298)</f>
        <v/>
      </c>
      <c r="K486" s="48" t="str">
        <f aca="false">IF(OR(NOT(ISNUMBER(K110)),NOT(ISNUMBER(K298))),"",K110-K298)</f>
        <v/>
      </c>
      <c r="L486" s="48" t="str">
        <f aca="false">IF(OR(NOT(ISNUMBER(L110)),NOT(ISNUMBER(L298))),"",L110-L298)</f>
        <v/>
      </c>
      <c r="M486" s="48" t="str">
        <f aca="false">IF(OR(NOT(ISNUMBER(M110)),NOT(ISNUMBER(M298))),"",M110-M298)</f>
        <v/>
      </c>
      <c r="N486" s="48" t="str">
        <f aca="false">IF(OR(NOT(ISNUMBER(N110)),NOT(ISNUMBER(N298))),"",N110-N298)</f>
        <v/>
      </c>
      <c r="O486" s="54" t="str">
        <f aca="false">IF(OR(NOT(ISNUMBER(O110)),NOT(ISNUMBER(O298))),"",O110-O298)</f>
        <v/>
      </c>
      <c r="P486" s="11" t="str">
        <f aca="false">IF(COUNT(D486:N486)=0,"",IF(AND(MAX(D486:N486)&lt;2,MIN(D486:N486)&gt;-2),"Sin diferencia","Diferencia a explicar"))</f>
        <v/>
      </c>
    </row>
    <row r="487" customFormat="false" ht="15" hidden="true" customHeight="false" outlineLevel="1" collapsed="false">
      <c r="A487" s="11" t="s">
        <v>2190</v>
      </c>
      <c r="B487" s="15" t="s">
        <v>2087</v>
      </c>
      <c r="C487" s="11" t="s">
        <v>748</v>
      </c>
      <c r="E487" s="50" t="str">
        <f aca="false">IF(OR(NOT(ISNUMBER(E111)),NOT(ISNUMBER(E299))),"",E111-E299)</f>
        <v/>
      </c>
      <c r="F487" s="50" t="str">
        <f aca="false">IF(OR(NOT(ISNUMBER(F111)),NOT(ISNUMBER(F299))),"",F111-F299)</f>
        <v/>
      </c>
      <c r="G487" s="50" t="str">
        <f aca="false">IF(OR(NOT(ISNUMBER(G111)),NOT(ISNUMBER(G299))),"",G111-G299)</f>
        <v/>
      </c>
      <c r="H487" s="50" t="str">
        <f aca="false">IF(OR(NOT(ISNUMBER(H111)),NOT(ISNUMBER(H299))),"",H111-H299)</f>
        <v/>
      </c>
      <c r="I487" s="50" t="str">
        <f aca="false">IF(OR(NOT(ISNUMBER(I111)),NOT(ISNUMBER(I299))),"",I111-I299)</f>
        <v/>
      </c>
      <c r="J487" s="50" t="str">
        <f aca="false">IF(OR(NOT(ISNUMBER(J111)),NOT(ISNUMBER(J299))),"",J111-J299)</f>
        <v/>
      </c>
      <c r="K487" s="50" t="str">
        <f aca="false">IF(OR(NOT(ISNUMBER(K111)),NOT(ISNUMBER(K299))),"",K111-K299)</f>
        <v/>
      </c>
      <c r="L487" s="50" t="str">
        <f aca="false">IF(OR(NOT(ISNUMBER(L111)),NOT(ISNUMBER(L299))),"",L111-L299)</f>
        <v/>
      </c>
      <c r="M487" s="50" t="str">
        <f aca="false">IF(OR(NOT(ISNUMBER(M111)),NOT(ISNUMBER(M299))),"",M111-M299)</f>
        <v/>
      </c>
      <c r="N487" s="50" t="str">
        <f aca="false">IF(OR(NOT(ISNUMBER(N111)),NOT(ISNUMBER(N299))),"",N111-N299)</f>
        <v/>
      </c>
      <c r="O487" s="68" t="str">
        <f aca="false">IF(OR(NOT(ISNUMBER(O111)),NOT(ISNUMBER(O299))),"",O111-O299)</f>
        <v/>
      </c>
      <c r="P487" s="11" t="str">
        <f aca="false">IF(COUNT(D487:N487)=0,"",IF(AND(MAX(D487:N487)&lt;0.005,MIN(D487:N487)&gt;-0.005),"Sin diferencia","Diferencia a explicar"))</f>
        <v/>
      </c>
    </row>
    <row r="488" customFormat="false" ht="15" hidden="true" customHeight="false" outlineLevel="1" collapsed="false">
      <c r="A488" s="11" t="s">
        <v>2191</v>
      </c>
      <c r="B488" s="53" t="str">
        <f aca="false">IF(INDEX(Prod_Nombre,13)="","Producto 13",INDEX(Prod_Nombre,13))</f>
        <v>Producto 13</v>
      </c>
      <c r="C488" s="11" t="s">
        <v>508</v>
      </c>
      <c r="D488" s="48" t="str">
        <f aca="false">IF(OR(NOT(ISNUMBER(D112)),NOT(ISNUMBER(D300))),"",D112-D300)</f>
        <v/>
      </c>
      <c r="E488" s="48" t="str">
        <f aca="false">IF(OR(NOT(ISNUMBER(E112)),NOT(ISNUMBER(E300))),"",E112-E300)</f>
        <v/>
      </c>
      <c r="F488" s="48" t="str">
        <f aca="false">IF(OR(NOT(ISNUMBER(F112)),NOT(ISNUMBER(F300))),"",F112-F300)</f>
        <v/>
      </c>
      <c r="G488" s="48" t="str">
        <f aca="false">IF(OR(NOT(ISNUMBER(G112)),NOT(ISNUMBER(G300))),"",G112-G300)</f>
        <v/>
      </c>
      <c r="H488" s="48" t="str">
        <f aca="false">IF(OR(NOT(ISNUMBER(H112)),NOT(ISNUMBER(H300))),"",H112-H300)</f>
        <v/>
      </c>
      <c r="I488" s="48" t="str">
        <f aca="false">IF(OR(NOT(ISNUMBER(I112)),NOT(ISNUMBER(I300))),"",I112-I300)</f>
        <v/>
      </c>
      <c r="J488" s="48" t="str">
        <f aca="false">IF(OR(NOT(ISNUMBER(J112)),NOT(ISNUMBER(J300))),"",J112-J300)</f>
        <v/>
      </c>
      <c r="K488" s="48" t="str">
        <f aca="false">IF(OR(NOT(ISNUMBER(K112)),NOT(ISNUMBER(K300))),"",K112-K300)</f>
        <v/>
      </c>
      <c r="L488" s="48" t="str">
        <f aca="false">IF(OR(NOT(ISNUMBER(L112)),NOT(ISNUMBER(L300))),"",L112-L300)</f>
        <v/>
      </c>
      <c r="M488" s="48" t="str">
        <f aca="false">IF(OR(NOT(ISNUMBER(M112)),NOT(ISNUMBER(M300))),"",M112-M300)</f>
        <v/>
      </c>
      <c r="N488" s="48" t="str">
        <f aca="false">IF(OR(NOT(ISNUMBER(N112)),NOT(ISNUMBER(N300))),"",N112-N300)</f>
        <v/>
      </c>
      <c r="O488" s="54" t="str">
        <f aca="false">IF(OR(NOT(ISNUMBER(O112)),NOT(ISNUMBER(O300))),"",O112-O300)</f>
        <v/>
      </c>
      <c r="P488" s="11" t="str">
        <f aca="false">IF(COUNT(D488:N488)=0,"",IF(AND(MAX(D488:N488)&lt;2,MIN(D488:N488)&gt;-2),"Sin diferencia","Diferencia a explicar"))</f>
        <v/>
      </c>
    </row>
    <row r="489" customFormat="false" ht="15" hidden="true" customHeight="false" outlineLevel="1" collapsed="false">
      <c r="A489" s="11" t="s">
        <v>2192</v>
      </c>
      <c r="B489" s="15" t="s">
        <v>2087</v>
      </c>
      <c r="C489" s="11" t="s">
        <v>748</v>
      </c>
      <c r="E489" s="50" t="str">
        <f aca="false">IF(OR(NOT(ISNUMBER(E113)),NOT(ISNUMBER(E301))),"",E113-E301)</f>
        <v/>
      </c>
      <c r="F489" s="50" t="str">
        <f aca="false">IF(OR(NOT(ISNUMBER(F113)),NOT(ISNUMBER(F301))),"",F113-F301)</f>
        <v/>
      </c>
      <c r="G489" s="50" t="str">
        <f aca="false">IF(OR(NOT(ISNUMBER(G113)),NOT(ISNUMBER(G301))),"",G113-G301)</f>
        <v/>
      </c>
      <c r="H489" s="50" t="str">
        <f aca="false">IF(OR(NOT(ISNUMBER(H113)),NOT(ISNUMBER(H301))),"",H113-H301)</f>
        <v/>
      </c>
      <c r="I489" s="50" t="str">
        <f aca="false">IF(OR(NOT(ISNUMBER(I113)),NOT(ISNUMBER(I301))),"",I113-I301)</f>
        <v/>
      </c>
      <c r="J489" s="50" t="str">
        <f aca="false">IF(OR(NOT(ISNUMBER(J113)),NOT(ISNUMBER(J301))),"",J113-J301)</f>
        <v/>
      </c>
      <c r="K489" s="50" t="str">
        <f aca="false">IF(OR(NOT(ISNUMBER(K113)),NOT(ISNUMBER(K301))),"",K113-K301)</f>
        <v/>
      </c>
      <c r="L489" s="50" t="str">
        <f aca="false">IF(OR(NOT(ISNUMBER(L113)),NOT(ISNUMBER(L301))),"",L113-L301)</f>
        <v/>
      </c>
      <c r="M489" s="50" t="str">
        <f aca="false">IF(OR(NOT(ISNUMBER(M113)),NOT(ISNUMBER(M301))),"",M113-M301)</f>
        <v/>
      </c>
      <c r="N489" s="50" t="str">
        <f aca="false">IF(OR(NOT(ISNUMBER(N113)),NOT(ISNUMBER(N301))),"",N113-N301)</f>
        <v/>
      </c>
      <c r="O489" s="68" t="str">
        <f aca="false">IF(OR(NOT(ISNUMBER(O113)),NOT(ISNUMBER(O301))),"",O113-O301)</f>
        <v/>
      </c>
      <c r="P489" s="11" t="str">
        <f aca="false">IF(COUNT(D489:N489)=0,"",IF(AND(MAX(D489:N489)&lt;0.005,MIN(D489:N489)&gt;-0.005),"Sin diferencia","Diferencia a explicar"))</f>
        <v/>
      </c>
    </row>
    <row r="490" customFormat="false" ht="15" hidden="true" customHeight="false" outlineLevel="1" collapsed="false">
      <c r="A490" s="11" t="s">
        <v>2193</v>
      </c>
      <c r="B490" s="53" t="str">
        <f aca="false">IF(INDEX(Prod_Nombre,14)="","Producto 14",INDEX(Prod_Nombre,14))</f>
        <v>Producto 14</v>
      </c>
      <c r="C490" s="11" t="s">
        <v>508</v>
      </c>
      <c r="D490" s="48" t="str">
        <f aca="false">IF(OR(NOT(ISNUMBER(D114)),NOT(ISNUMBER(D302))),"",D114-D302)</f>
        <v/>
      </c>
      <c r="E490" s="48" t="str">
        <f aca="false">IF(OR(NOT(ISNUMBER(E114)),NOT(ISNUMBER(E302))),"",E114-E302)</f>
        <v/>
      </c>
      <c r="F490" s="48" t="str">
        <f aca="false">IF(OR(NOT(ISNUMBER(F114)),NOT(ISNUMBER(F302))),"",F114-F302)</f>
        <v/>
      </c>
      <c r="G490" s="48" t="str">
        <f aca="false">IF(OR(NOT(ISNUMBER(G114)),NOT(ISNUMBER(G302))),"",G114-G302)</f>
        <v/>
      </c>
      <c r="H490" s="48" t="str">
        <f aca="false">IF(OR(NOT(ISNUMBER(H114)),NOT(ISNUMBER(H302))),"",H114-H302)</f>
        <v/>
      </c>
      <c r="I490" s="48" t="str">
        <f aca="false">IF(OR(NOT(ISNUMBER(I114)),NOT(ISNUMBER(I302))),"",I114-I302)</f>
        <v/>
      </c>
      <c r="J490" s="48" t="str">
        <f aca="false">IF(OR(NOT(ISNUMBER(J114)),NOT(ISNUMBER(J302))),"",J114-J302)</f>
        <v/>
      </c>
      <c r="K490" s="48" t="str">
        <f aca="false">IF(OR(NOT(ISNUMBER(K114)),NOT(ISNUMBER(K302))),"",K114-K302)</f>
        <v/>
      </c>
      <c r="L490" s="48" t="str">
        <f aca="false">IF(OR(NOT(ISNUMBER(L114)),NOT(ISNUMBER(L302))),"",L114-L302)</f>
        <v/>
      </c>
      <c r="M490" s="48" t="str">
        <f aca="false">IF(OR(NOT(ISNUMBER(M114)),NOT(ISNUMBER(M302))),"",M114-M302)</f>
        <v/>
      </c>
      <c r="N490" s="48" t="str">
        <f aca="false">IF(OR(NOT(ISNUMBER(N114)),NOT(ISNUMBER(N302))),"",N114-N302)</f>
        <v/>
      </c>
      <c r="O490" s="54" t="str">
        <f aca="false">IF(OR(NOT(ISNUMBER(O114)),NOT(ISNUMBER(O302))),"",O114-O302)</f>
        <v/>
      </c>
      <c r="P490" s="11" t="str">
        <f aca="false">IF(COUNT(D490:N490)=0,"",IF(AND(MAX(D490:N490)&lt;2,MIN(D490:N490)&gt;-2),"Sin diferencia","Diferencia a explicar"))</f>
        <v/>
      </c>
    </row>
    <row r="491" customFormat="false" ht="15" hidden="true" customHeight="false" outlineLevel="1" collapsed="false">
      <c r="A491" s="11" t="s">
        <v>2194</v>
      </c>
      <c r="B491" s="15" t="s">
        <v>2087</v>
      </c>
      <c r="C491" s="11" t="s">
        <v>748</v>
      </c>
      <c r="E491" s="50" t="str">
        <f aca="false">IF(OR(NOT(ISNUMBER(E115)),NOT(ISNUMBER(E303))),"",E115-E303)</f>
        <v/>
      </c>
      <c r="F491" s="50" t="str">
        <f aca="false">IF(OR(NOT(ISNUMBER(F115)),NOT(ISNUMBER(F303))),"",F115-F303)</f>
        <v/>
      </c>
      <c r="G491" s="50" t="str">
        <f aca="false">IF(OR(NOT(ISNUMBER(G115)),NOT(ISNUMBER(G303))),"",G115-G303)</f>
        <v/>
      </c>
      <c r="H491" s="50" t="str">
        <f aca="false">IF(OR(NOT(ISNUMBER(H115)),NOT(ISNUMBER(H303))),"",H115-H303)</f>
        <v/>
      </c>
      <c r="I491" s="50" t="str">
        <f aca="false">IF(OR(NOT(ISNUMBER(I115)),NOT(ISNUMBER(I303))),"",I115-I303)</f>
        <v/>
      </c>
      <c r="J491" s="50" t="str">
        <f aca="false">IF(OR(NOT(ISNUMBER(J115)),NOT(ISNUMBER(J303))),"",J115-J303)</f>
        <v/>
      </c>
      <c r="K491" s="50" t="str">
        <f aca="false">IF(OR(NOT(ISNUMBER(K115)),NOT(ISNUMBER(K303))),"",K115-K303)</f>
        <v/>
      </c>
      <c r="L491" s="50" t="str">
        <f aca="false">IF(OR(NOT(ISNUMBER(L115)),NOT(ISNUMBER(L303))),"",L115-L303)</f>
        <v/>
      </c>
      <c r="M491" s="50" t="str">
        <f aca="false">IF(OR(NOT(ISNUMBER(M115)),NOT(ISNUMBER(M303))),"",M115-M303)</f>
        <v/>
      </c>
      <c r="N491" s="50" t="str">
        <f aca="false">IF(OR(NOT(ISNUMBER(N115)),NOT(ISNUMBER(N303))),"",N115-N303)</f>
        <v/>
      </c>
      <c r="O491" s="68" t="str">
        <f aca="false">IF(OR(NOT(ISNUMBER(O115)),NOT(ISNUMBER(O303))),"",O115-O303)</f>
        <v/>
      </c>
      <c r="P491" s="11" t="str">
        <f aca="false">IF(COUNT(D491:N491)=0,"",IF(AND(MAX(D491:N491)&lt;0.005,MIN(D491:N491)&gt;-0.005),"Sin diferencia","Diferencia a explicar"))</f>
        <v/>
      </c>
    </row>
    <row r="492" customFormat="false" ht="15" hidden="true" customHeight="false" outlineLevel="1" collapsed="false">
      <c r="A492" s="11" t="s">
        <v>2195</v>
      </c>
      <c r="B492" s="53" t="str">
        <f aca="false">IF(INDEX(Prod_Nombre,15)="","Producto 15",INDEX(Prod_Nombre,15))</f>
        <v>Producto 15</v>
      </c>
      <c r="C492" s="11" t="s">
        <v>508</v>
      </c>
      <c r="D492" s="48" t="str">
        <f aca="false">IF(OR(NOT(ISNUMBER(D116)),NOT(ISNUMBER(D304))),"",D116-D304)</f>
        <v/>
      </c>
      <c r="E492" s="48" t="str">
        <f aca="false">IF(OR(NOT(ISNUMBER(E116)),NOT(ISNUMBER(E304))),"",E116-E304)</f>
        <v/>
      </c>
      <c r="F492" s="48" t="str">
        <f aca="false">IF(OR(NOT(ISNUMBER(F116)),NOT(ISNUMBER(F304))),"",F116-F304)</f>
        <v/>
      </c>
      <c r="G492" s="48" t="str">
        <f aca="false">IF(OR(NOT(ISNUMBER(G116)),NOT(ISNUMBER(G304))),"",G116-G304)</f>
        <v/>
      </c>
      <c r="H492" s="48" t="str">
        <f aca="false">IF(OR(NOT(ISNUMBER(H116)),NOT(ISNUMBER(H304))),"",H116-H304)</f>
        <v/>
      </c>
      <c r="I492" s="48" t="str">
        <f aca="false">IF(OR(NOT(ISNUMBER(I116)),NOT(ISNUMBER(I304))),"",I116-I304)</f>
        <v/>
      </c>
      <c r="J492" s="48" t="str">
        <f aca="false">IF(OR(NOT(ISNUMBER(J116)),NOT(ISNUMBER(J304))),"",J116-J304)</f>
        <v/>
      </c>
      <c r="K492" s="48" t="str">
        <f aca="false">IF(OR(NOT(ISNUMBER(K116)),NOT(ISNUMBER(K304))),"",K116-K304)</f>
        <v/>
      </c>
      <c r="L492" s="48" t="str">
        <f aca="false">IF(OR(NOT(ISNUMBER(L116)),NOT(ISNUMBER(L304))),"",L116-L304)</f>
        <v/>
      </c>
      <c r="M492" s="48" t="str">
        <f aca="false">IF(OR(NOT(ISNUMBER(M116)),NOT(ISNUMBER(M304))),"",M116-M304)</f>
        <v/>
      </c>
      <c r="N492" s="48" t="str">
        <f aca="false">IF(OR(NOT(ISNUMBER(N116)),NOT(ISNUMBER(N304))),"",N116-N304)</f>
        <v/>
      </c>
      <c r="O492" s="54" t="str">
        <f aca="false">IF(OR(NOT(ISNUMBER(O116)),NOT(ISNUMBER(O304))),"",O116-O304)</f>
        <v/>
      </c>
      <c r="P492" s="11" t="str">
        <f aca="false">IF(COUNT(D492:N492)=0,"",IF(AND(MAX(D492:N492)&lt;2,MIN(D492:N492)&gt;-2),"Sin diferencia","Diferencia a explicar"))</f>
        <v/>
      </c>
    </row>
    <row r="493" customFormat="false" ht="15" hidden="true" customHeight="false" outlineLevel="1" collapsed="false">
      <c r="A493" s="11" t="s">
        <v>2196</v>
      </c>
      <c r="B493" s="15" t="s">
        <v>2087</v>
      </c>
      <c r="C493" s="11" t="s">
        <v>748</v>
      </c>
      <c r="E493" s="50" t="str">
        <f aca="false">IF(OR(NOT(ISNUMBER(E117)),NOT(ISNUMBER(E305))),"",E117-E305)</f>
        <v/>
      </c>
      <c r="F493" s="50" t="str">
        <f aca="false">IF(OR(NOT(ISNUMBER(F117)),NOT(ISNUMBER(F305))),"",F117-F305)</f>
        <v/>
      </c>
      <c r="G493" s="50" t="str">
        <f aca="false">IF(OR(NOT(ISNUMBER(G117)),NOT(ISNUMBER(G305))),"",G117-G305)</f>
        <v/>
      </c>
      <c r="H493" s="50" t="str">
        <f aca="false">IF(OR(NOT(ISNUMBER(H117)),NOT(ISNUMBER(H305))),"",H117-H305)</f>
        <v/>
      </c>
      <c r="I493" s="50" t="str">
        <f aca="false">IF(OR(NOT(ISNUMBER(I117)),NOT(ISNUMBER(I305))),"",I117-I305)</f>
        <v/>
      </c>
      <c r="J493" s="50" t="str">
        <f aca="false">IF(OR(NOT(ISNUMBER(J117)),NOT(ISNUMBER(J305))),"",J117-J305)</f>
        <v/>
      </c>
      <c r="K493" s="50" t="str">
        <f aca="false">IF(OR(NOT(ISNUMBER(K117)),NOT(ISNUMBER(K305))),"",K117-K305)</f>
        <v/>
      </c>
      <c r="L493" s="50" t="str">
        <f aca="false">IF(OR(NOT(ISNUMBER(L117)),NOT(ISNUMBER(L305))),"",L117-L305)</f>
        <v/>
      </c>
      <c r="M493" s="50" t="str">
        <f aca="false">IF(OR(NOT(ISNUMBER(M117)),NOT(ISNUMBER(M305))),"",M117-M305)</f>
        <v/>
      </c>
      <c r="N493" s="50" t="str">
        <f aca="false">IF(OR(NOT(ISNUMBER(N117)),NOT(ISNUMBER(N305))),"",N117-N305)</f>
        <v/>
      </c>
      <c r="O493" s="68" t="str">
        <f aca="false">IF(OR(NOT(ISNUMBER(O117)),NOT(ISNUMBER(O305))),"",O117-O305)</f>
        <v/>
      </c>
      <c r="P493" s="11" t="str">
        <f aca="false">IF(COUNT(D493:N493)=0,"",IF(AND(MAX(D493:N493)&lt;0.005,MIN(D493:N493)&gt;-0.005),"Sin diferencia","Diferencia a explicar"))</f>
        <v/>
      </c>
    </row>
    <row r="494" customFormat="false" ht="15" hidden="true" customHeight="false" outlineLevel="1" collapsed="false">
      <c r="A494" s="11" t="s">
        <v>2197</v>
      </c>
      <c r="B494" s="53" t="str">
        <f aca="false">IF(INDEX(Prod_Nombre,16)="","Producto 16",INDEX(Prod_Nombre,16))</f>
        <v>Producto 16</v>
      </c>
      <c r="C494" s="11" t="s">
        <v>508</v>
      </c>
      <c r="D494" s="48" t="str">
        <f aca="false">IF(OR(NOT(ISNUMBER(D118)),NOT(ISNUMBER(D306))),"",D118-D306)</f>
        <v/>
      </c>
      <c r="E494" s="48" t="str">
        <f aca="false">IF(OR(NOT(ISNUMBER(E118)),NOT(ISNUMBER(E306))),"",E118-E306)</f>
        <v/>
      </c>
      <c r="F494" s="48" t="str">
        <f aca="false">IF(OR(NOT(ISNUMBER(F118)),NOT(ISNUMBER(F306))),"",F118-F306)</f>
        <v/>
      </c>
      <c r="G494" s="48" t="str">
        <f aca="false">IF(OR(NOT(ISNUMBER(G118)),NOT(ISNUMBER(G306))),"",G118-G306)</f>
        <v/>
      </c>
      <c r="H494" s="48" t="str">
        <f aca="false">IF(OR(NOT(ISNUMBER(H118)),NOT(ISNUMBER(H306))),"",H118-H306)</f>
        <v/>
      </c>
      <c r="I494" s="48" t="str">
        <f aca="false">IF(OR(NOT(ISNUMBER(I118)),NOT(ISNUMBER(I306))),"",I118-I306)</f>
        <v/>
      </c>
      <c r="J494" s="48" t="str">
        <f aca="false">IF(OR(NOT(ISNUMBER(J118)),NOT(ISNUMBER(J306))),"",J118-J306)</f>
        <v/>
      </c>
      <c r="K494" s="48" t="str">
        <f aca="false">IF(OR(NOT(ISNUMBER(K118)),NOT(ISNUMBER(K306))),"",K118-K306)</f>
        <v/>
      </c>
      <c r="L494" s="48" t="str">
        <f aca="false">IF(OR(NOT(ISNUMBER(L118)),NOT(ISNUMBER(L306))),"",L118-L306)</f>
        <v/>
      </c>
      <c r="M494" s="48" t="str">
        <f aca="false">IF(OR(NOT(ISNUMBER(M118)),NOT(ISNUMBER(M306))),"",M118-M306)</f>
        <v/>
      </c>
      <c r="N494" s="48" t="str">
        <f aca="false">IF(OR(NOT(ISNUMBER(N118)),NOT(ISNUMBER(N306))),"",N118-N306)</f>
        <v/>
      </c>
      <c r="O494" s="54" t="str">
        <f aca="false">IF(OR(NOT(ISNUMBER(O118)),NOT(ISNUMBER(O306))),"",O118-O306)</f>
        <v/>
      </c>
      <c r="P494" s="11" t="str">
        <f aca="false">IF(COUNT(D494:N494)=0,"",IF(AND(MAX(D494:N494)&lt;2,MIN(D494:N494)&gt;-2),"Sin diferencia","Diferencia a explicar"))</f>
        <v/>
      </c>
    </row>
    <row r="495" customFormat="false" ht="15" hidden="true" customHeight="false" outlineLevel="1" collapsed="false">
      <c r="A495" s="11" t="s">
        <v>2198</v>
      </c>
      <c r="B495" s="15" t="s">
        <v>2087</v>
      </c>
      <c r="C495" s="11" t="s">
        <v>748</v>
      </c>
      <c r="E495" s="50" t="str">
        <f aca="false">IF(OR(NOT(ISNUMBER(E119)),NOT(ISNUMBER(E307))),"",E119-E307)</f>
        <v/>
      </c>
      <c r="F495" s="50" t="str">
        <f aca="false">IF(OR(NOT(ISNUMBER(F119)),NOT(ISNUMBER(F307))),"",F119-F307)</f>
        <v/>
      </c>
      <c r="G495" s="50" t="str">
        <f aca="false">IF(OR(NOT(ISNUMBER(G119)),NOT(ISNUMBER(G307))),"",G119-G307)</f>
        <v/>
      </c>
      <c r="H495" s="50" t="str">
        <f aca="false">IF(OR(NOT(ISNUMBER(H119)),NOT(ISNUMBER(H307))),"",H119-H307)</f>
        <v/>
      </c>
      <c r="I495" s="50" t="str">
        <f aca="false">IF(OR(NOT(ISNUMBER(I119)),NOT(ISNUMBER(I307))),"",I119-I307)</f>
        <v/>
      </c>
      <c r="J495" s="50" t="str">
        <f aca="false">IF(OR(NOT(ISNUMBER(J119)),NOT(ISNUMBER(J307))),"",J119-J307)</f>
        <v/>
      </c>
      <c r="K495" s="50" t="str">
        <f aca="false">IF(OR(NOT(ISNUMBER(K119)),NOT(ISNUMBER(K307))),"",K119-K307)</f>
        <v/>
      </c>
      <c r="L495" s="50" t="str">
        <f aca="false">IF(OR(NOT(ISNUMBER(L119)),NOT(ISNUMBER(L307))),"",L119-L307)</f>
        <v/>
      </c>
      <c r="M495" s="50" t="str">
        <f aca="false">IF(OR(NOT(ISNUMBER(M119)),NOT(ISNUMBER(M307))),"",M119-M307)</f>
        <v/>
      </c>
      <c r="N495" s="50" t="str">
        <f aca="false">IF(OR(NOT(ISNUMBER(N119)),NOT(ISNUMBER(N307))),"",N119-N307)</f>
        <v/>
      </c>
      <c r="O495" s="68" t="str">
        <f aca="false">IF(OR(NOT(ISNUMBER(O119)),NOT(ISNUMBER(O307))),"",O119-O307)</f>
        <v/>
      </c>
      <c r="P495" s="11" t="str">
        <f aca="false">IF(COUNT(D495:N495)=0,"",IF(AND(MAX(D495:N495)&lt;0.005,MIN(D495:N495)&gt;-0.005),"Sin diferencia","Diferencia a explicar"))</f>
        <v/>
      </c>
    </row>
    <row r="496" customFormat="false" ht="15" hidden="true" customHeight="false" outlineLevel="1" collapsed="false">
      <c r="A496" s="11" t="s">
        <v>2199</v>
      </c>
      <c r="B496" s="53" t="str">
        <f aca="false">IF(INDEX(Prod_Nombre,17)="","Producto 17",INDEX(Prod_Nombre,17))</f>
        <v>Producto 17</v>
      </c>
      <c r="C496" s="11" t="s">
        <v>508</v>
      </c>
      <c r="D496" s="48" t="str">
        <f aca="false">IF(OR(NOT(ISNUMBER(D120)),NOT(ISNUMBER(D308))),"",D120-D308)</f>
        <v/>
      </c>
      <c r="E496" s="48" t="str">
        <f aca="false">IF(OR(NOT(ISNUMBER(E120)),NOT(ISNUMBER(E308))),"",E120-E308)</f>
        <v/>
      </c>
      <c r="F496" s="48" t="str">
        <f aca="false">IF(OR(NOT(ISNUMBER(F120)),NOT(ISNUMBER(F308))),"",F120-F308)</f>
        <v/>
      </c>
      <c r="G496" s="48" t="str">
        <f aca="false">IF(OR(NOT(ISNUMBER(G120)),NOT(ISNUMBER(G308))),"",G120-G308)</f>
        <v/>
      </c>
      <c r="H496" s="48" t="str">
        <f aca="false">IF(OR(NOT(ISNUMBER(H120)),NOT(ISNUMBER(H308))),"",H120-H308)</f>
        <v/>
      </c>
      <c r="I496" s="48" t="str">
        <f aca="false">IF(OR(NOT(ISNUMBER(I120)),NOT(ISNUMBER(I308))),"",I120-I308)</f>
        <v/>
      </c>
      <c r="J496" s="48" t="str">
        <f aca="false">IF(OR(NOT(ISNUMBER(J120)),NOT(ISNUMBER(J308))),"",J120-J308)</f>
        <v/>
      </c>
      <c r="K496" s="48" t="str">
        <f aca="false">IF(OR(NOT(ISNUMBER(K120)),NOT(ISNUMBER(K308))),"",K120-K308)</f>
        <v/>
      </c>
      <c r="L496" s="48" t="str">
        <f aca="false">IF(OR(NOT(ISNUMBER(L120)),NOT(ISNUMBER(L308))),"",L120-L308)</f>
        <v/>
      </c>
      <c r="M496" s="48" t="str">
        <f aca="false">IF(OR(NOT(ISNUMBER(M120)),NOT(ISNUMBER(M308))),"",M120-M308)</f>
        <v/>
      </c>
      <c r="N496" s="48" t="str">
        <f aca="false">IF(OR(NOT(ISNUMBER(N120)),NOT(ISNUMBER(N308))),"",N120-N308)</f>
        <v/>
      </c>
      <c r="O496" s="54" t="str">
        <f aca="false">IF(OR(NOT(ISNUMBER(O120)),NOT(ISNUMBER(O308))),"",O120-O308)</f>
        <v/>
      </c>
      <c r="P496" s="11" t="str">
        <f aca="false">IF(COUNT(D496:N496)=0,"",IF(AND(MAX(D496:N496)&lt;2,MIN(D496:N496)&gt;-2),"Sin diferencia","Diferencia a explicar"))</f>
        <v/>
      </c>
    </row>
    <row r="497" customFormat="false" ht="15" hidden="true" customHeight="false" outlineLevel="1" collapsed="false">
      <c r="A497" s="11" t="s">
        <v>2200</v>
      </c>
      <c r="B497" s="15" t="s">
        <v>2087</v>
      </c>
      <c r="C497" s="11" t="s">
        <v>748</v>
      </c>
      <c r="E497" s="50" t="str">
        <f aca="false">IF(OR(NOT(ISNUMBER(E121)),NOT(ISNUMBER(E309))),"",E121-E309)</f>
        <v/>
      </c>
      <c r="F497" s="50" t="str">
        <f aca="false">IF(OR(NOT(ISNUMBER(F121)),NOT(ISNUMBER(F309))),"",F121-F309)</f>
        <v/>
      </c>
      <c r="G497" s="50" t="str">
        <f aca="false">IF(OR(NOT(ISNUMBER(G121)),NOT(ISNUMBER(G309))),"",G121-G309)</f>
        <v/>
      </c>
      <c r="H497" s="50" t="str">
        <f aca="false">IF(OR(NOT(ISNUMBER(H121)),NOT(ISNUMBER(H309))),"",H121-H309)</f>
        <v/>
      </c>
      <c r="I497" s="50" t="str">
        <f aca="false">IF(OR(NOT(ISNUMBER(I121)),NOT(ISNUMBER(I309))),"",I121-I309)</f>
        <v/>
      </c>
      <c r="J497" s="50" t="str">
        <f aca="false">IF(OR(NOT(ISNUMBER(J121)),NOT(ISNUMBER(J309))),"",J121-J309)</f>
        <v/>
      </c>
      <c r="K497" s="50" t="str">
        <f aca="false">IF(OR(NOT(ISNUMBER(K121)),NOT(ISNUMBER(K309))),"",K121-K309)</f>
        <v/>
      </c>
      <c r="L497" s="50" t="str">
        <f aca="false">IF(OR(NOT(ISNUMBER(L121)),NOT(ISNUMBER(L309))),"",L121-L309)</f>
        <v/>
      </c>
      <c r="M497" s="50" t="str">
        <f aca="false">IF(OR(NOT(ISNUMBER(M121)),NOT(ISNUMBER(M309))),"",M121-M309)</f>
        <v/>
      </c>
      <c r="N497" s="50" t="str">
        <f aca="false">IF(OR(NOT(ISNUMBER(N121)),NOT(ISNUMBER(N309))),"",N121-N309)</f>
        <v/>
      </c>
      <c r="O497" s="68" t="str">
        <f aca="false">IF(OR(NOT(ISNUMBER(O121)),NOT(ISNUMBER(O309))),"",O121-O309)</f>
        <v/>
      </c>
      <c r="P497" s="11" t="str">
        <f aca="false">IF(COUNT(D497:N497)=0,"",IF(AND(MAX(D497:N497)&lt;0.005,MIN(D497:N497)&gt;-0.005),"Sin diferencia","Diferencia a explicar"))</f>
        <v/>
      </c>
    </row>
    <row r="498" customFormat="false" ht="15" hidden="true" customHeight="false" outlineLevel="1" collapsed="false">
      <c r="A498" s="11" t="s">
        <v>2201</v>
      </c>
      <c r="B498" s="53" t="str">
        <f aca="false">IF(INDEX(Prod_Nombre,18)="","Producto 18",INDEX(Prod_Nombre,18))</f>
        <v>Producto 18</v>
      </c>
      <c r="C498" s="11" t="s">
        <v>508</v>
      </c>
      <c r="D498" s="48" t="str">
        <f aca="false">IF(OR(NOT(ISNUMBER(D122)),NOT(ISNUMBER(D310))),"",D122-D310)</f>
        <v/>
      </c>
      <c r="E498" s="48" t="str">
        <f aca="false">IF(OR(NOT(ISNUMBER(E122)),NOT(ISNUMBER(E310))),"",E122-E310)</f>
        <v/>
      </c>
      <c r="F498" s="48" t="str">
        <f aca="false">IF(OR(NOT(ISNUMBER(F122)),NOT(ISNUMBER(F310))),"",F122-F310)</f>
        <v/>
      </c>
      <c r="G498" s="48" t="str">
        <f aca="false">IF(OR(NOT(ISNUMBER(G122)),NOT(ISNUMBER(G310))),"",G122-G310)</f>
        <v/>
      </c>
      <c r="H498" s="48" t="str">
        <f aca="false">IF(OR(NOT(ISNUMBER(H122)),NOT(ISNUMBER(H310))),"",H122-H310)</f>
        <v/>
      </c>
      <c r="I498" s="48" t="str">
        <f aca="false">IF(OR(NOT(ISNUMBER(I122)),NOT(ISNUMBER(I310))),"",I122-I310)</f>
        <v/>
      </c>
      <c r="J498" s="48" t="str">
        <f aca="false">IF(OR(NOT(ISNUMBER(J122)),NOT(ISNUMBER(J310))),"",J122-J310)</f>
        <v/>
      </c>
      <c r="K498" s="48" t="str">
        <f aca="false">IF(OR(NOT(ISNUMBER(K122)),NOT(ISNUMBER(K310))),"",K122-K310)</f>
        <v/>
      </c>
      <c r="L498" s="48" t="str">
        <f aca="false">IF(OR(NOT(ISNUMBER(L122)),NOT(ISNUMBER(L310))),"",L122-L310)</f>
        <v/>
      </c>
      <c r="M498" s="48" t="str">
        <f aca="false">IF(OR(NOT(ISNUMBER(M122)),NOT(ISNUMBER(M310))),"",M122-M310)</f>
        <v/>
      </c>
      <c r="N498" s="48" t="str">
        <f aca="false">IF(OR(NOT(ISNUMBER(N122)),NOT(ISNUMBER(N310))),"",N122-N310)</f>
        <v/>
      </c>
      <c r="O498" s="54" t="str">
        <f aca="false">IF(OR(NOT(ISNUMBER(O122)),NOT(ISNUMBER(O310))),"",O122-O310)</f>
        <v/>
      </c>
      <c r="P498" s="11" t="str">
        <f aca="false">IF(COUNT(D498:N498)=0,"",IF(AND(MAX(D498:N498)&lt;2,MIN(D498:N498)&gt;-2),"Sin diferencia","Diferencia a explicar"))</f>
        <v/>
      </c>
    </row>
    <row r="499" customFormat="false" ht="15" hidden="true" customHeight="false" outlineLevel="1" collapsed="false">
      <c r="A499" s="11" t="s">
        <v>2202</v>
      </c>
      <c r="B499" s="15" t="s">
        <v>2087</v>
      </c>
      <c r="C499" s="11" t="s">
        <v>748</v>
      </c>
      <c r="E499" s="50" t="str">
        <f aca="false">IF(OR(NOT(ISNUMBER(E123)),NOT(ISNUMBER(E311))),"",E123-E311)</f>
        <v/>
      </c>
      <c r="F499" s="50" t="str">
        <f aca="false">IF(OR(NOT(ISNUMBER(F123)),NOT(ISNUMBER(F311))),"",F123-F311)</f>
        <v/>
      </c>
      <c r="G499" s="50" t="str">
        <f aca="false">IF(OR(NOT(ISNUMBER(G123)),NOT(ISNUMBER(G311))),"",G123-G311)</f>
        <v/>
      </c>
      <c r="H499" s="50" t="str">
        <f aca="false">IF(OR(NOT(ISNUMBER(H123)),NOT(ISNUMBER(H311))),"",H123-H311)</f>
        <v/>
      </c>
      <c r="I499" s="50" t="str">
        <f aca="false">IF(OR(NOT(ISNUMBER(I123)),NOT(ISNUMBER(I311))),"",I123-I311)</f>
        <v/>
      </c>
      <c r="J499" s="50" t="str">
        <f aca="false">IF(OR(NOT(ISNUMBER(J123)),NOT(ISNUMBER(J311))),"",J123-J311)</f>
        <v/>
      </c>
      <c r="K499" s="50" t="str">
        <f aca="false">IF(OR(NOT(ISNUMBER(K123)),NOT(ISNUMBER(K311))),"",K123-K311)</f>
        <v/>
      </c>
      <c r="L499" s="50" t="str">
        <f aca="false">IF(OR(NOT(ISNUMBER(L123)),NOT(ISNUMBER(L311))),"",L123-L311)</f>
        <v/>
      </c>
      <c r="M499" s="50" t="str">
        <f aca="false">IF(OR(NOT(ISNUMBER(M123)),NOT(ISNUMBER(M311))),"",M123-M311)</f>
        <v/>
      </c>
      <c r="N499" s="50" t="str">
        <f aca="false">IF(OR(NOT(ISNUMBER(N123)),NOT(ISNUMBER(N311))),"",N123-N311)</f>
        <v/>
      </c>
      <c r="O499" s="68" t="str">
        <f aca="false">IF(OR(NOT(ISNUMBER(O123)),NOT(ISNUMBER(O311))),"",O123-O311)</f>
        <v/>
      </c>
      <c r="P499" s="11" t="str">
        <f aca="false">IF(COUNT(D499:N499)=0,"",IF(AND(MAX(D499:N499)&lt;0.005,MIN(D499:N499)&gt;-0.005),"Sin diferencia","Diferencia a explicar"))</f>
        <v/>
      </c>
    </row>
    <row r="500" customFormat="false" ht="15" hidden="true" customHeight="false" outlineLevel="1" collapsed="false">
      <c r="A500" s="11" t="s">
        <v>2203</v>
      </c>
      <c r="B500" s="53" t="str">
        <f aca="false">IF(INDEX(Prod_Nombre,19)="","Producto 19",INDEX(Prod_Nombre,19))</f>
        <v>Producto 19</v>
      </c>
      <c r="C500" s="11" t="s">
        <v>508</v>
      </c>
      <c r="D500" s="48" t="str">
        <f aca="false">IF(OR(NOT(ISNUMBER(D124)),NOT(ISNUMBER(D312))),"",D124-D312)</f>
        <v/>
      </c>
      <c r="E500" s="48" t="str">
        <f aca="false">IF(OR(NOT(ISNUMBER(E124)),NOT(ISNUMBER(E312))),"",E124-E312)</f>
        <v/>
      </c>
      <c r="F500" s="48" t="str">
        <f aca="false">IF(OR(NOT(ISNUMBER(F124)),NOT(ISNUMBER(F312))),"",F124-F312)</f>
        <v/>
      </c>
      <c r="G500" s="48" t="str">
        <f aca="false">IF(OR(NOT(ISNUMBER(G124)),NOT(ISNUMBER(G312))),"",G124-G312)</f>
        <v/>
      </c>
      <c r="H500" s="48" t="str">
        <f aca="false">IF(OR(NOT(ISNUMBER(H124)),NOT(ISNUMBER(H312))),"",H124-H312)</f>
        <v/>
      </c>
      <c r="I500" s="48" t="str">
        <f aca="false">IF(OR(NOT(ISNUMBER(I124)),NOT(ISNUMBER(I312))),"",I124-I312)</f>
        <v/>
      </c>
      <c r="J500" s="48" t="str">
        <f aca="false">IF(OR(NOT(ISNUMBER(J124)),NOT(ISNUMBER(J312))),"",J124-J312)</f>
        <v/>
      </c>
      <c r="K500" s="48" t="str">
        <f aca="false">IF(OR(NOT(ISNUMBER(K124)),NOT(ISNUMBER(K312))),"",K124-K312)</f>
        <v/>
      </c>
      <c r="L500" s="48" t="str">
        <f aca="false">IF(OR(NOT(ISNUMBER(L124)),NOT(ISNUMBER(L312))),"",L124-L312)</f>
        <v/>
      </c>
      <c r="M500" s="48" t="str">
        <f aca="false">IF(OR(NOT(ISNUMBER(M124)),NOT(ISNUMBER(M312))),"",M124-M312)</f>
        <v/>
      </c>
      <c r="N500" s="48" t="str">
        <f aca="false">IF(OR(NOT(ISNUMBER(N124)),NOT(ISNUMBER(N312))),"",N124-N312)</f>
        <v/>
      </c>
      <c r="O500" s="54" t="str">
        <f aca="false">IF(OR(NOT(ISNUMBER(O124)),NOT(ISNUMBER(O312))),"",O124-O312)</f>
        <v/>
      </c>
      <c r="P500" s="11" t="str">
        <f aca="false">IF(COUNT(D500:N500)=0,"",IF(AND(MAX(D500:N500)&lt;2,MIN(D500:N500)&gt;-2),"Sin diferencia","Diferencia a explicar"))</f>
        <v/>
      </c>
    </row>
    <row r="501" customFormat="false" ht="15" hidden="true" customHeight="false" outlineLevel="1" collapsed="false">
      <c r="A501" s="11" t="s">
        <v>2204</v>
      </c>
      <c r="B501" s="15" t="s">
        <v>2087</v>
      </c>
      <c r="C501" s="11" t="s">
        <v>748</v>
      </c>
      <c r="E501" s="50" t="str">
        <f aca="false">IF(OR(NOT(ISNUMBER(E125)),NOT(ISNUMBER(E313))),"",E125-E313)</f>
        <v/>
      </c>
      <c r="F501" s="50" t="str">
        <f aca="false">IF(OR(NOT(ISNUMBER(F125)),NOT(ISNUMBER(F313))),"",F125-F313)</f>
        <v/>
      </c>
      <c r="G501" s="50" t="str">
        <f aca="false">IF(OR(NOT(ISNUMBER(G125)),NOT(ISNUMBER(G313))),"",G125-G313)</f>
        <v/>
      </c>
      <c r="H501" s="50" t="str">
        <f aca="false">IF(OR(NOT(ISNUMBER(H125)),NOT(ISNUMBER(H313))),"",H125-H313)</f>
        <v/>
      </c>
      <c r="I501" s="50" t="str">
        <f aca="false">IF(OR(NOT(ISNUMBER(I125)),NOT(ISNUMBER(I313))),"",I125-I313)</f>
        <v/>
      </c>
      <c r="J501" s="50" t="str">
        <f aca="false">IF(OR(NOT(ISNUMBER(J125)),NOT(ISNUMBER(J313))),"",J125-J313)</f>
        <v/>
      </c>
      <c r="K501" s="50" t="str">
        <f aca="false">IF(OR(NOT(ISNUMBER(K125)),NOT(ISNUMBER(K313))),"",K125-K313)</f>
        <v/>
      </c>
      <c r="L501" s="50" t="str">
        <f aca="false">IF(OR(NOT(ISNUMBER(L125)),NOT(ISNUMBER(L313))),"",L125-L313)</f>
        <v/>
      </c>
      <c r="M501" s="50" t="str">
        <f aca="false">IF(OR(NOT(ISNUMBER(M125)),NOT(ISNUMBER(M313))),"",M125-M313)</f>
        <v/>
      </c>
      <c r="N501" s="50" t="str">
        <f aca="false">IF(OR(NOT(ISNUMBER(N125)),NOT(ISNUMBER(N313))),"",N125-N313)</f>
        <v/>
      </c>
      <c r="O501" s="68" t="str">
        <f aca="false">IF(OR(NOT(ISNUMBER(O125)),NOT(ISNUMBER(O313))),"",O125-O313)</f>
        <v/>
      </c>
      <c r="P501" s="11" t="str">
        <f aca="false">IF(COUNT(D501:N501)=0,"",IF(AND(MAX(D501:N501)&lt;0.005,MIN(D501:N501)&gt;-0.005),"Sin diferencia","Diferencia a explicar"))</f>
        <v/>
      </c>
    </row>
    <row r="502" customFormat="false" ht="15" hidden="true" customHeight="false" outlineLevel="1" collapsed="false">
      <c r="A502" s="11" t="s">
        <v>2205</v>
      </c>
      <c r="B502" s="53" t="str">
        <f aca="false">IF(INDEX(Prod_Nombre,20)="","Producto 20",INDEX(Prod_Nombre,20))</f>
        <v>Producto 20</v>
      </c>
      <c r="C502" s="11" t="s">
        <v>508</v>
      </c>
      <c r="D502" s="48" t="str">
        <f aca="false">IF(OR(NOT(ISNUMBER(D126)),NOT(ISNUMBER(D314))),"",D126-D314)</f>
        <v/>
      </c>
      <c r="E502" s="48" t="str">
        <f aca="false">IF(OR(NOT(ISNUMBER(E126)),NOT(ISNUMBER(E314))),"",E126-E314)</f>
        <v/>
      </c>
      <c r="F502" s="48" t="str">
        <f aca="false">IF(OR(NOT(ISNUMBER(F126)),NOT(ISNUMBER(F314))),"",F126-F314)</f>
        <v/>
      </c>
      <c r="G502" s="48" t="str">
        <f aca="false">IF(OR(NOT(ISNUMBER(G126)),NOT(ISNUMBER(G314))),"",G126-G314)</f>
        <v/>
      </c>
      <c r="H502" s="48" t="str">
        <f aca="false">IF(OR(NOT(ISNUMBER(H126)),NOT(ISNUMBER(H314))),"",H126-H314)</f>
        <v/>
      </c>
      <c r="I502" s="48" t="str">
        <f aca="false">IF(OR(NOT(ISNUMBER(I126)),NOT(ISNUMBER(I314))),"",I126-I314)</f>
        <v/>
      </c>
      <c r="J502" s="48" t="str">
        <f aca="false">IF(OR(NOT(ISNUMBER(J126)),NOT(ISNUMBER(J314))),"",J126-J314)</f>
        <v/>
      </c>
      <c r="K502" s="48" t="str">
        <f aca="false">IF(OR(NOT(ISNUMBER(K126)),NOT(ISNUMBER(K314))),"",K126-K314)</f>
        <v/>
      </c>
      <c r="L502" s="48" t="str">
        <f aca="false">IF(OR(NOT(ISNUMBER(L126)),NOT(ISNUMBER(L314))),"",L126-L314)</f>
        <v/>
      </c>
      <c r="M502" s="48" t="str">
        <f aca="false">IF(OR(NOT(ISNUMBER(M126)),NOT(ISNUMBER(M314))),"",M126-M314)</f>
        <v/>
      </c>
      <c r="N502" s="48" t="str">
        <f aca="false">IF(OR(NOT(ISNUMBER(N126)),NOT(ISNUMBER(N314))),"",N126-N314)</f>
        <v/>
      </c>
      <c r="O502" s="54" t="str">
        <f aca="false">IF(OR(NOT(ISNUMBER(O126)),NOT(ISNUMBER(O314))),"",O126-O314)</f>
        <v/>
      </c>
      <c r="P502" s="11" t="str">
        <f aca="false">IF(COUNT(D502:N502)=0,"",IF(AND(MAX(D502:N502)&lt;2,MIN(D502:N502)&gt;-2),"Sin diferencia","Diferencia a explicar"))</f>
        <v/>
      </c>
    </row>
    <row r="503" customFormat="false" ht="15" hidden="true" customHeight="false" outlineLevel="1" collapsed="false">
      <c r="A503" s="11" t="s">
        <v>2206</v>
      </c>
      <c r="B503" s="15" t="s">
        <v>2087</v>
      </c>
      <c r="C503" s="11" t="s">
        <v>748</v>
      </c>
      <c r="E503" s="50" t="str">
        <f aca="false">IF(OR(NOT(ISNUMBER(E127)),NOT(ISNUMBER(E315))),"",E127-E315)</f>
        <v/>
      </c>
      <c r="F503" s="50" t="str">
        <f aca="false">IF(OR(NOT(ISNUMBER(F127)),NOT(ISNUMBER(F315))),"",F127-F315)</f>
        <v/>
      </c>
      <c r="G503" s="50" t="str">
        <f aca="false">IF(OR(NOT(ISNUMBER(G127)),NOT(ISNUMBER(G315))),"",G127-G315)</f>
        <v/>
      </c>
      <c r="H503" s="50" t="str">
        <f aca="false">IF(OR(NOT(ISNUMBER(H127)),NOT(ISNUMBER(H315))),"",H127-H315)</f>
        <v/>
      </c>
      <c r="I503" s="50" t="str">
        <f aca="false">IF(OR(NOT(ISNUMBER(I127)),NOT(ISNUMBER(I315))),"",I127-I315)</f>
        <v/>
      </c>
      <c r="J503" s="50" t="str">
        <f aca="false">IF(OR(NOT(ISNUMBER(J127)),NOT(ISNUMBER(J315))),"",J127-J315)</f>
        <v/>
      </c>
      <c r="K503" s="50" t="str">
        <f aca="false">IF(OR(NOT(ISNUMBER(K127)),NOT(ISNUMBER(K315))),"",K127-K315)</f>
        <v/>
      </c>
      <c r="L503" s="50" t="str">
        <f aca="false">IF(OR(NOT(ISNUMBER(L127)),NOT(ISNUMBER(L315))),"",L127-L315)</f>
        <v/>
      </c>
      <c r="M503" s="50" t="str">
        <f aca="false">IF(OR(NOT(ISNUMBER(M127)),NOT(ISNUMBER(M315))),"",M127-M315)</f>
        <v/>
      </c>
      <c r="N503" s="50" t="str">
        <f aca="false">IF(OR(NOT(ISNUMBER(N127)),NOT(ISNUMBER(N315))),"",N127-N315)</f>
        <v/>
      </c>
      <c r="O503" s="68" t="str">
        <f aca="false">IF(OR(NOT(ISNUMBER(O127)),NOT(ISNUMBER(O315))),"",O127-O315)</f>
        <v/>
      </c>
      <c r="P503" s="11" t="str">
        <f aca="false">IF(COUNT(D503:N503)=0,"",IF(AND(MAX(D503:N503)&lt;0.005,MIN(D503:N503)&gt;-0.005),"Sin diferencia","Diferencia a explicar"))</f>
        <v/>
      </c>
    </row>
    <row r="504" customFormat="false" ht="15" hidden="true" customHeight="false" outlineLevel="1" collapsed="false">
      <c r="A504" s="11" t="s">
        <v>2207</v>
      </c>
      <c r="B504" s="53" t="str">
        <f aca="false">IF(INDEX(Prod_Nombre,21)="","Producto 21",INDEX(Prod_Nombre,21))</f>
        <v>Producto 21</v>
      </c>
      <c r="C504" s="11" t="s">
        <v>508</v>
      </c>
      <c r="D504" s="48" t="str">
        <f aca="false">IF(OR(NOT(ISNUMBER(D128)),NOT(ISNUMBER(D316))),"",D128-D316)</f>
        <v/>
      </c>
      <c r="E504" s="48" t="str">
        <f aca="false">IF(OR(NOT(ISNUMBER(E128)),NOT(ISNUMBER(E316))),"",E128-E316)</f>
        <v/>
      </c>
      <c r="F504" s="48" t="str">
        <f aca="false">IF(OR(NOT(ISNUMBER(F128)),NOT(ISNUMBER(F316))),"",F128-F316)</f>
        <v/>
      </c>
      <c r="G504" s="48" t="str">
        <f aca="false">IF(OR(NOT(ISNUMBER(G128)),NOT(ISNUMBER(G316))),"",G128-G316)</f>
        <v/>
      </c>
      <c r="H504" s="48" t="str">
        <f aca="false">IF(OR(NOT(ISNUMBER(H128)),NOT(ISNUMBER(H316))),"",H128-H316)</f>
        <v/>
      </c>
      <c r="I504" s="48" t="str">
        <f aca="false">IF(OR(NOT(ISNUMBER(I128)),NOT(ISNUMBER(I316))),"",I128-I316)</f>
        <v/>
      </c>
      <c r="J504" s="48" t="str">
        <f aca="false">IF(OR(NOT(ISNUMBER(J128)),NOT(ISNUMBER(J316))),"",J128-J316)</f>
        <v/>
      </c>
      <c r="K504" s="48" t="str">
        <f aca="false">IF(OR(NOT(ISNUMBER(K128)),NOT(ISNUMBER(K316))),"",K128-K316)</f>
        <v/>
      </c>
      <c r="L504" s="48" t="str">
        <f aca="false">IF(OR(NOT(ISNUMBER(L128)),NOT(ISNUMBER(L316))),"",L128-L316)</f>
        <v/>
      </c>
      <c r="M504" s="48" t="str">
        <f aca="false">IF(OR(NOT(ISNUMBER(M128)),NOT(ISNUMBER(M316))),"",M128-M316)</f>
        <v/>
      </c>
      <c r="N504" s="48" t="str">
        <f aca="false">IF(OR(NOT(ISNUMBER(N128)),NOT(ISNUMBER(N316))),"",N128-N316)</f>
        <v/>
      </c>
      <c r="O504" s="54" t="str">
        <f aca="false">IF(OR(NOT(ISNUMBER(O128)),NOT(ISNUMBER(O316))),"",O128-O316)</f>
        <v/>
      </c>
      <c r="P504" s="11" t="str">
        <f aca="false">IF(COUNT(D504:N504)=0,"",IF(AND(MAX(D504:N504)&lt;2,MIN(D504:N504)&gt;-2),"Sin diferencia","Diferencia a explicar"))</f>
        <v/>
      </c>
    </row>
    <row r="505" customFormat="false" ht="15" hidden="true" customHeight="false" outlineLevel="1" collapsed="false">
      <c r="A505" s="11" t="s">
        <v>2208</v>
      </c>
      <c r="B505" s="15" t="s">
        <v>2087</v>
      </c>
      <c r="C505" s="11" t="s">
        <v>748</v>
      </c>
      <c r="E505" s="50" t="str">
        <f aca="false">IF(OR(NOT(ISNUMBER(E129)),NOT(ISNUMBER(E317))),"",E129-E317)</f>
        <v/>
      </c>
      <c r="F505" s="50" t="str">
        <f aca="false">IF(OR(NOT(ISNUMBER(F129)),NOT(ISNUMBER(F317))),"",F129-F317)</f>
        <v/>
      </c>
      <c r="G505" s="50" t="str">
        <f aca="false">IF(OR(NOT(ISNUMBER(G129)),NOT(ISNUMBER(G317))),"",G129-G317)</f>
        <v/>
      </c>
      <c r="H505" s="50" t="str">
        <f aca="false">IF(OR(NOT(ISNUMBER(H129)),NOT(ISNUMBER(H317))),"",H129-H317)</f>
        <v/>
      </c>
      <c r="I505" s="50" t="str">
        <f aca="false">IF(OR(NOT(ISNUMBER(I129)),NOT(ISNUMBER(I317))),"",I129-I317)</f>
        <v/>
      </c>
      <c r="J505" s="50" t="str">
        <f aca="false">IF(OR(NOT(ISNUMBER(J129)),NOT(ISNUMBER(J317))),"",J129-J317)</f>
        <v/>
      </c>
      <c r="K505" s="50" t="str">
        <f aca="false">IF(OR(NOT(ISNUMBER(K129)),NOT(ISNUMBER(K317))),"",K129-K317)</f>
        <v/>
      </c>
      <c r="L505" s="50" t="str">
        <f aca="false">IF(OR(NOT(ISNUMBER(L129)),NOT(ISNUMBER(L317))),"",L129-L317)</f>
        <v/>
      </c>
      <c r="M505" s="50" t="str">
        <f aca="false">IF(OR(NOT(ISNUMBER(M129)),NOT(ISNUMBER(M317))),"",M129-M317)</f>
        <v/>
      </c>
      <c r="N505" s="50" t="str">
        <f aca="false">IF(OR(NOT(ISNUMBER(N129)),NOT(ISNUMBER(N317))),"",N129-N317)</f>
        <v/>
      </c>
      <c r="O505" s="68" t="str">
        <f aca="false">IF(OR(NOT(ISNUMBER(O129)),NOT(ISNUMBER(O317))),"",O129-O317)</f>
        <v/>
      </c>
      <c r="P505" s="11" t="str">
        <f aca="false">IF(COUNT(D505:N505)=0,"",IF(AND(MAX(D505:N505)&lt;0.005,MIN(D505:N505)&gt;-0.005),"Sin diferencia","Diferencia a explicar"))</f>
        <v/>
      </c>
    </row>
    <row r="506" customFormat="false" ht="15" hidden="true" customHeight="false" outlineLevel="1" collapsed="false">
      <c r="A506" s="11" t="s">
        <v>2209</v>
      </c>
      <c r="B506" s="53" t="str">
        <f aca="false">IF(INDEX(Prod_Nombre,22)="","Producto 22",INDEX(Prod_Nombre,22))</f>
        <v>Producto 22</v>
      </c>
      <c r="C506" s="11" t="s">
        <v>508</v>
      </c>
      <c r="D506" s="48" t="str">
        <f aca="false">IF(OR(NOT(ISNUMBER(D130)),NOT(ISNUMBER(D318))),"",D130-D318)</f>
        <v/>
      </c>
      <c r="E506" s="48" t="str">
        <f aca="false">IF(OR(NOT(ISNUMBER(E130)),NOT(ISNUMBER(E318))),"",E130-E318)</f>
        <v/>
      </c>
      <c r="F506" s="48" t="str">
        <f aca="false">IF(OR(NOT(ISNUMBER(F130)),NOT(ISNUMBER(F318))),"",F130-F318)</f>
        <v/>
      </c>
      <c r="G506" s="48" t="str">
        <f aca="false">IF(OR(NOT(ISNUMBER(G130)),NOT(ISNUMBER(G318))),"",G130-G318)</f>
        <v/>
      </c>
      <c r="H506" s="48" t="str">
        <f aca="false">IF(OR(NOT(ISNUMBER(H130)),NOT(ISNUMBER(H318))),"",H130-H318)</f>
        <v/>
      </c>
      <c r="I506" s="48" t="str">
        <f aca="false">IF(OR(NOT(ISNUMBER(I130)),NOT(ISNUMBER(I318))),"",I130-I318)</f>
        <v/>
      </c>
      <c r="J506" s="48" t="str">
        <f aca="false">IF(OR(NOT(ISNUMBER(J130)),NOT(ISNUMBER(J318))),"",J130-J318)</f>
        <v/>
      </c>
      <c r="K506" s="48" t="str">
        <f aca="false">IF(OR(NOT(ISNUMBER(K130)),NOT(ISNUMBER(K318))),"",K130-K318)</f>
        <v/>
      </c>
      <c r="L506" s="48" t="str">
        <f aca="false">IF(OR(NOT(ISNUMBER(L130)),NOT(ISNUMBER(L318))),"",L130-L318)</f>
        <v/>
      </c>
      <c r="M506" s="48" t="str">
        <f aca="false">IF(OR(NOT(ISNUMBER(M130)),NOT(ISNUMBER(M318))),"",M130-M318)</f>
        <v/>
      </c>
      <c r="N506" s="48" t="str">
        <f aca="false">IF(OR(NOT(ISNUMBER(N130)),NOT(ISNUMBER(N318))),"",N130-N318)</f>
        <v/>
      </c>
      <c r="O506" s="54" t="str">
        <f aca="false">IF(OR(NOT(ISNUMBER(O130)),NOT(ISNUMBER(O318))),"",O130-O318)</f>
        <v/>
      </c>
      <c r="P506" s="11" t="str">
        <f aca="false">IF(COUNT(D506:N506)=0,"",IF(AND(MAX(D506:N506)&lt;2,MIN(D506:N506)&gt;-2),"Sin diferencia","Diferencia a explicar"))</f>
        <v/>
      </c>
    </row>
    <row r="507" customFormat="false" ht="15" hidden="true" customHeight="false" outlineLevel="1" collapsed="false">
      <c r="A507" s="11" t="s">
        <v>2210</v>
      </c>
      <c r="B507" s="15" t="s">
        <v>2087</v>
      </c>
      <c r="C507" s="11" t="s">
        <v>748</v>
      </c>
      <c r="E507" s="50" t="str">
        <f aca="false">IF(OR(NOT(ISNUMBER(E131)),NOT(ISNUMBER(E319))),"",E131-E319)</f>
        <v/>
      </c>
      <c r="F507" s="50" t="str">
        <f aca="false">IF(OR(NOT(ISNUMBER(F131)),NOT(ISNUMBER(F319))),"",F131-F319)</f>
        <v/>
      </c>
      <c r="G507" s="50" t="str">
        <f aca="false">IF(OR(NOT(ISNUMBER(G131)),NOT(ISNUMBER(G319))),"",G131-G319)</f>
        <v/>
      </c>
      <c r="H507" s="50" t="str">
        <f aca="false">IF(OR(NOT(ISNUMBER(H131)),NOT(ISNUMBER(H319))),"",H131-H319)</f>
        <v/>
      </c>
      <c r="I507" s="50" t="str">
        <f aca="false">IF(OR(NOT(ISNUMBER(I131)),NOT(ISNUMBER(I319))),"",I131-I319)</f>
        <v/>
      </c>
      <c r="J507" s="50" t="str">
        <f aca="false">IF(OR(NOT(ISNUMBER(J131)),NOT(ISNUMBER(J319))),"",J131-J319)</f>
        <v/>
      </c>
      <c r="K507" s="50" t="str">
        <f aca="false">IF(OR(NOT(ISNUMBER(K131)),NOT(ISNUMBER(K319))),"",K131-K319)</f>
        <v/>
      </c>
      <c r="L507" s="50" t="str">
        <f aca="false">IF(OR(NOT(ISNUMBER(L131)),NOT(ISNUMBER(L319))),"",L131-L319)</f>
        <v/>
      </c>
      <c r="M507" s="50" t="str">
        <f aca="false">IF(OR(NOT(ISNUMBER(M131)),NOT(ISNUMBER(M319))),"",M131-M319)</f>
        <v/>
      </c>
      <c r="N507" s="50" t="str">
        <f aca="false">IF(OR(NOT(ISNUMBER(N131)),NOT(ISNUMBER(N319))),"",N131-N319)</f>
        <v/>
      </c>
      <c r="O507" s="68" t="str">
        <f aca="false">IF(OR(NOT(ISNUMBER(O131)),NOT(ISNUMBER(O319))),"",O131-O319)</f>
        <v/>
      </c>
      <c r="P507" s="11" t="str">
        <f aca="false">IF(COUNT(D507:N507)=0,"",IF(AND(MAX(D507:N507)&lt;0.005,MIN(D507:N507)&gt;-0.005),"Sin diferencia","Diferencia a explicar"))</f>
        <v/>
      </c>
    </row>
    <row r="508" customFormat="false" ht="15" hidden="true" customHeight="false" outlineLevel="1" collapsed="false">
      <c r="A508" s="11" t="s">
        <v>2211</v>
      </c>
      <c r="B508" s="53" t="str">
        <f aca="false">IF(INDEX(Prod_Nombre,23)="","Producto 23",INDEX(Prod_Nombre,23))</f>
        <v>Producto 23</v>
      </c>
      <c r="C508" s="11" t="s">
        <v>508</v>
      </c>
      <c r="D508" s="48" t="str">
        <f aca="false">IF(OR(NOT(ISNUMBER(D132)),NOT(ISNUMBER(D320))),"",D132-D320)</f>
        <v/>
      </c>
      <c r="E508" s="48" t="str">
        <f aca="false">IF(OR(NOT(ISNUMBER(E132)),NOT(ISNUMBER(E320))),"",E132-E320)</f>
        <v/>
      </c>
      <c r="F508" s="48" t="str">
        <f aca="false">IF(OR(NOT(ISNUMBER(F132)),NOT(ISNUMBER(F320))),"",F132-F320)</f>
        <v/>
      </c>
      <c r="G508" s="48" t="str">
        <f aca="false">IF(OR(NOT(ISNUMBER(G132)),NOT(ISNUMBER(G320))),"",G132-G320)</f>
        <v/>
      </c>
      <c r="H508" s="48" t="str">
        <f aca="false">IF(OR(NOT(ISNUMBER(H132)),NOT(ISNUMBER(H320))),"",H132-H320)</f>
        <v/>
      </c>
      <c r="I508" s="48" t="str">
        <f aca="false">IF(OR(NOT(ISNUMBER(I132)),NOT(ISNUMBER(I320))),"",I132-I320)</f>
        <v/>
      </c>
      <c r="J508" s="48" t="str">
        <f aca="false">IF(OR(NOT(ISNUMBER(J132)),NOT(ISNUMBER(J320))),"",J132-J320)</f>
        <v/>
      </c>
      <c r="K508" s="48" t="str">
        <f aca="false">IF(OR(NOT(ISNUMBER(K132)),NOT(ISNUMBER(K320))),"",K132-K320)</f>
        <v/>
      </c>
      <c r="L508" s="48" t="str">
        <f aca="false">IF(OR(NOT(ISNUMBER(L132)),NOT(ISNUMBER(L320))),"",L132-L320)</f>
        <v/>
      </c>
      <c r="M508" s="48" t="str">
        <f aca="false">IF(OR(NOT(ISNUMBER(M132)),NOT(ISNUMBER(M320))),"",M132-M320)</f>
        <v/>
      </c>
      <c r="N508" s="48" t="str">
        <f aca="false">IF(OR(NOT(ISNUMBER(N132)),NOT(ISNUMBER(N320))),"",N132-N320)</f>
        <v/>
      </c>
      <c r="O508" s="54" t="str">
        <f aca="false">IF(OR(NOT(ISNUMBER(O132)),NOT(ISNUMBER(O320))),"",O132-O320)</f>
        <v/>
      </c>
      <c r="P508" s="11" t="str">
        <f aca="false">IF(COUNT(D508:N508)=0,"",IF(AND(MAX(D508:N508)&lt;2,MIN(D508:N508)&gt;-2),"Sin diferencia","Diferencia a explicar"))</f>
        <v/>
      </c>
    </row>
    <row r="509" customFormat="false" ht="15" hidden="true" customHeight="false" outlineLevel="1" collapsed="false">
      <c r="A509" s="11" t="s">
        <v>2212</v>
      </c>
      <c r="B509" s="15" t="s">
        <v>2087</v>
      </c>
      <c r="C509" s="11" t="s">
        <v>748</v>
      </c>
      <c r="E509" s="50" t="str">
        <f aca="false">IF(OR(NOT(ISNUMBER(E133)),NOT(ISNUMBER(E321))),"",E133-E321)</f>
        <v/>
      </c>
      <c r="F509" s="50" t="str">
        <f aca="false">IF(OR(NOT(ISNUMBER(F133)),NOT(ISNUMBER(F321))),"",F133-F321)</f>
        <v/>
      </c>
      <c r="G509" s="50" t="str">
        <f aca="false">IF(OR(NOT(ISNUMBER(G133)),NOT(ISNUMBER(G321))),"",G133-G321)</f>
        <v/>
      </c>
      <c r="H509" s="50" t="str">
        <f aca="false">IF(OR(NOT(ISNUMBER(H133)),NOT(ISNUMBER(H321))),"",H133-H321)</f>
        <v/>
      </c>
      <c r="I509" s="50" t="str">
        <f aca="false">IF(OR(NOT(ISNUMBER(I133)),NOT(ISNUMBER(I321))),"",I133-I321)</f>
        <v/>
      </c>
      <c r="J509" s="50" t="str">
        <f aca="false">IF(OR(NOT(ISNUMBER(J133)),NOT(ISNUMBER(J321))),"",J133-J321)</f>
        <v/>
      </c>
      <c r="K509" s="50" t="str">
        <f aca="false">IF(OR(NOT(ISNUMBER(K133)),NOT(ISNUMBER(K321))),"",K133-K321)</f>
        <v/>
      </c>
      <c r="L509" s="50" t="str">
        <f aca="false">IF(OR(NOT(ISNUMBER(L133)),NOT(ISNUMBER(L321))),"",L133-L321)</f>
        <v/>
      </c>
      <c r="M509" s="50" t="str">
        <f aca="false">IF(OR(NOT(ISNUMBER(M133)),NOT(ISNUMBER(M321))),"",M133-M321)</f>
        <v/>
      </c>
      <c r="N509" s="50" t="str">
        <f aca="false">IF(OR(NOT(ISNUMBER(N133)),NOT(ISNUMBER(N321))),"",N133-N321)</f>
        <v/>
      </c>
      <c r="O509" s="68" t="str">
        <f aca="false">IF(OR(NOT(ISNUMBER(O133)),NOT(ISNUMBER(O321))),"",O133-O321)</f>
        <v/>
      </c>
      <c r="P509" s="11" t="str">
        <f aca="false">IF(COUNT(D509:N509)=0,"",IF(AND(MAX(D509:N509)&lt;0.005,MIN(D509:N509)&gt;-0.005),"Sin diferencia","Diferencia a explicar"))</f>
        <v/>
      </c>
    </row>
    <row r="510" customFormat="false" ht="15" hidden="true" customHeight="false" outlineLevel="1" collapsed="false">
      <c r="A510" s="11" t="s">
        <v>2213</v>
      </c>
      <c r="B510" s="53" t="str">
        <f aca="false">IF(INDEX(Prod_Nombre,24)="","Producto 24",INDEX(Prod_Nombre,24))</f>
        <v>Producto 24</v>
      </c>
      <c r="C510" s="11" t="s">
        <v>508</v>
      </c>
      <c r="D510" s="48" t="str">
        <f aca="false">IF(OR(NOT(ISNUMBER(D134)),NOT(ISNUMBER(D322))),"",D134-D322)</f>
        <v/>
      </c>
      <c r="E510" s="48" t="str">
        <f aca="false">IF(OR(NOT(ISNUMBER(E134)),NOT(ISNUMBER(E322))),"",E134-E322)</f>
        <v/>
      </c>
      <c r="F510" s="48" t="str">
        <f aca="false">IF(OR(NOT(ISNUMBER(F134)),NOT(ISNUMBER(F322))),"",F134-F322)</f>
        <v/>
      </c>
      <c r="G510" s="48" t="str">
        <f aca="false">IF(OR(NOT(ISNUMBER(G134)),NOT(ISNUMBER(G322))),"",G134-G322)</f>
        <v/>
      </c>
      <c r="H510" s="48" t="str">
        <f aca="false">IF(OR(NOT(ISNUMBER(H134)),NOT(ISNUMBER(H322))),"",H134-H322)</f>
        <v/>
      </c>
      <c r="I510" s="48" t="str">
        <f aca="false">IF(OR(NOT(ISNUMBER(I134)),NOT(ISNUMBER(I322))),"",I134-I322)</f>
        <v/>
      </c>
      <c r="J510" s="48" t="str">
        <f aca="false">IF(OR(NOT(ISNUMBER(J134)),NOT(ISNUMBER(J322))),"",J134-J322)</f>
        <v/>
      </c>
      <c r="K510" s="48" t="str">
        <f aca="false">IF(OR(NOT(ISNUMBER(K134)),NOT(ISNUMBER(K322))),"",K134-K322)</f>
        <v/>
      </c>
      <c r="L510" s="48" t="str">
        <f aca="false">IF(OR(NOT(ISNUMBER(L134)),NOT(ISNUMBER(L322))),"",L134-L322)</f>
        <v/>
      </c>
      <c r="M510" s="48" t="str">
        <f aca="false">IF(OR(NOT(ISNUMBER(M134)),NOT(ISNUMBER(M322))),"",M134-M322)</f>
        <v/>
      </c>
      <c r="N510" s="48" t="str">
        <f aca="false">IF(OR(NOT(ISNUMBER(N134)),NOT(ISNUMBER(N322))),"",N134-N322)</f>
        <v/>
      </c>
      <c r="O510" s="54" t="str">
        <f aca="false">IF(OR(NOT(ISNUMBER(O134)),NOT(ISNUMBER(O322))),"",O134-O322)</f>
        <v/>
      </c>
      <c r="P510" s="11" t="str">
        <f aca="false">IF(COUNT(D510:N510)=0,"",IF(AND(MAX(D510:N510)&lt;2,MIN(D510:N510)&gt;-2),"Sin diferencia","Diferencia a explicar"))</f>
        <v/>
      </c>
    </row>
    <row r="511" customFormat="false" ht="15" hidden="true" customHeight="false" outlineLevel="1" collapsed="false">
      <c r="A511" s="11" t="s">
        <v>2214</v>
      </c>
      <c r="B511" s="15" t="s">
        <v>2087</v>
      </c>
      <c r="C511" s="11" t="s">
        <v>748</v>
      </c>
      <c r="E511" s="50" t="str">
        <f aca="false">IF(OR(NOT(ISNUMBER(E135)),NOT(ISNUMBER(E323))),"",E135-E323)</f>
        <v/>
      </c>
      <c r="F511" s="50" t="str">
        <f aca="false">IF(OR(NOT(ISNUMBER(F135)),NOT(ISNUMBER(F323))),"",F135-F323)</f>
        <v/>
      </c>
      <c r="G511" s="50" t="str">
        <f aca="false">IF(OR(NOT(ISNUMBER(G135)),NOT(ISNUMBER(G323))),"",G135-G323)</f>
        <v/>
      </c>
      <c r="H511" s="50" t="str">
        <f aca="false">IF(OR(NOT(ISNUMBER(H135)),NOT(ISNUMBER(H323))),"",H135-H323)</f>
        <v/>
      </c>
      <c r="I511" s="50" t="str">
        <f aca="false">IF(OR(NOT(ISNUMBER(I135)),NOT(ISNUMBER(I323))),"",I135-I323)</f>
        <v/>
      </c>
      <c r="J511" s="50" t="str">
        <f aca="false">IF(OR(NOT(ISNUMBER(J135)),NOT(ISNUMBER(J323))),"",J135-J323)</f>
        <v/>
      </c>
      <c r="K511" s="50" t="str">
        <f aca="false">IF(OR(NOT(ISNUMBER(K135)),NOT(ISNUMBER(K323))),"",K135-K323)</f>
        <v/>
      </c>
      <c r="L511" s="50" t="str">
        <f aca="false">IF(OR(NOT(ISNUMBER(L135)),NOT(ISNUMBER(L323))),"",L135-L323)</f>
        <v/>
      </c>
      <c r="M511" s="50" t="str">
        <f aca="false">IF(OR(NOT(ISNUMBER(M135)),NOT(ISNUMBER(M323))),"",M135-M323)</f>
        <v/>
      </c>
      <c r="N511" s="50" t="str">
        <f aca="false">IF(OR(NOT(ISNUMBER(N135)),NOT(ISNUMBER(N323))),"",N135-N323)</f>
        <v/>
      </c>
      <c r="O511" s="68" t="str">
        <f aca="false">IF(OR(NOT(ISNUMBER(O135)),NOT(ISNUMBER(O323))),"",O135-O323)</f>
        <v/>
      </c>
      <c r="P511" s="11" t="str">
        <f aca="false">IF(COUNT(D511:N511)=0,"",IF(AND(MAX(D511:N511)&lt;0.005,MIN(D511:N511)&gt;-0.005),"Sin diferencia","Diferencia a explicar"))</f>
        <v/>
      </c>
    </row>
    <row r="512" customFormat="false" ht="15" hidden="true" customHeight="false" outlineLevel="1" collapsed="false">
      <c r="A512" s="11" t="s">
        <v>2215</v>
      </c>
      <c r="B512" s="53" t="str">
        <f aca="false">IF(INDEX(Prod_Nombre,25)="","Producto 25",INDEX(Prod_Nombre,25))</f>
        <v>Producto 25</v>
      </c>
      <c r="C512" s="11" t="s">
        <v>508</v>
      </c>
      <c r="D512" s="48" t="str">
        <f aca="false">IF(OR(NOT(ISNUMBER(D136)),NOT(ISNUMBER(D324))),"",D136-D324)</f>
        <v/>
      </c>
      <c r="E512" s="48" t="str">
        <f aca="false">IF(OR(NOT(ISNUMBER(E136)),NOT(ISNUMBER(E324))),"",E136-E324)</f>
        <v/>
      </c>
      <c r="F512" s="48" t="str">
        <f aca="false">IF(OR(NOT(ISNUMBER(F136)),NOT(ISNUMBER(F324))),"",F136-F324)</f>
        <v/>
      </c>
      <c r="G512" s="48" t="str">
        <f aca="false">IF(OR(NOT(ISNUMBER(G136)),NOT(ISNUMBER(G324))),"",G136-G324)</f>
        <v/>
      </c>
      <c r="H512" s="48" t="str">
        <f aca="false">IF(OR(NOT(ISNUMBER(H136)),NOT(ISNUMBER(H324))),"",H136-H324)</f>
        <v/>
      </c>
      <c r="I512" s="48" t="str">
        <f aca="false">IF(OR(NOT(ISNUMBER(I136)),NOT(ISNUMBER(I324))),"",I136-I324)</f>
        <v/>
      </c>
      <c r="J512" s="48" t="str">
        <f aca="false">IF(OR(NOT(ISNUMBER(J136)),NOT(ISNUMBER(J324))),"",J136-J324)</f>
        <v/>
      </c>
      <c r="K512" s="48" t="str">
        <f aca="false">IF(OR(NOT(ISNUMBER(K136)),NOT(ISNUMBER(K324))),"",K136-K324)</f>
        <v/>
      </c>
      <c r="L512" s="48" t="str">
        <f aca="false">IF(OR(NOT(ISNUMBER(L136)),NOT(ISNUMBER(L324))),"",L136-L324)</f>
        <v/>
      </c>
      <c r="M512" s="48" t="str">
        <f aca="false">IF(OR(NOT(ISNUMBER(M136)),NOT(ISNUMBER(M324))),"",M136-M324)</f>
        <v/>
      </c>
      <c r="N512" s="48" t="str">
        <f aca="false">IF(OR(NOT(ISNUMBER(N136)),NOT(ISNUMBER(N324))),"",N136-N324)</f>
        <v/>
      </c>
      <c r="O512" s="54" t="str">
        <f aca="false">IF(OR(NOT(ISNUMBER(O136)),NOT(ISNUMBER(O324))),"",O136-O324)</f>
        <v/>
      </c>
      <c r="P512" s="11" t="str">
        <f aca="false">IF(COUNT(D512:N512)=0,"",IF(AND(MAX(D512:N512)&lt;2,MIN(D512:N512)&gt;-2),"Sin diferencia","Diferencia a explicar"))</f>
        <v/>
      </c>
    </row>
    <row r="513" customFormat="false" ht="15" hidden="true" customHeight="false" outlineLevel="1" collapsed="false">
      <c r="A513" s="11" t="s">
        <v>2216</v>
      </c>
      <c r="B513" s="15" t="s">
        <v>2087</v>
      </c>
      <c r="C513" s="11" t="s">
        <v>748</v>
      </c>
      <c r="E513" s="50" t="str">
        <f aca="false">IF(OR(NOT(ISNUMBER(E137)),NOT(ISNUMBER(E325))),"",E137-E325)</f>
        <v/>
      </c>
      <c r="F513" s="50" t="str">
        <f aca="false">IF(OR(NOT(ISNUMBER(F137)),NOT(ISNUMBER(F325))),"",F137-F325)</f>
        <v/>
      </c>
      <c r="G513" s="50" t="str">
        <f aca="false">IF(OR(NOT(ISNUMBER(G137)),NOT(ISNUMBER(G325))),"",G137-G325)</f>
        <v/>
      </c>
      <c r="H513" s="50" t="str">
        <f aca="false">IF(OR(NOT(ISNUMBER(H137)),NOT(ISNUMBER(H325))),"",H137-H325)</f>
        <v/>
      </c>
      <c r="I513" s="50" t="str">
        <f aca="false">IF(OR(NOT(ISNUMBER(I137)),NOT(ISNUMBER(I325))),"",I137-I325)</f>
        <v/>
      </c>
      <c r="J513" s="50" t="str">
        <f aca="false">IF(OR(NOT(ISNUMBER(J137)),NOT(ISNUMBER(J325))),"",J137-J325)</f>
        <v/>
      </c>
      <c r="K513" s="50" t="str">
        <f aca="false">IF(OR(NOT(ISNUMBER(K137)),NOT(ISNUMBER(K325))),"",K137-K325)</f>
        <v/>
      </c>
      <c r="L513" s="50" t="str">
        <f aca="false">IF(OR(NOT(ISNUMBER(L137)),NOT(ISNUMBER(L325))),"",L137-L325)</f>
        <v/>
      </c>
      <c r="M513" s="50" t="str">
        <f aca="false">IF(OR(NOT(ISNUMBER(M137)),NOT(ISNUMBER(M325))),"",M137-M325)</f>
        <v/>
      </c>
      <c r="N513" s="50" t="str">
        <f aca="false">IF(OR(NOT(ISNUMBER(N137)),NOT(ISNUMBER(N325))),"",N137-N325)</f>
        <v/>
      </c>
      <c r="O513" s="68" t="str">
        <f aca="false">IF(OR(NOT(ISNUMBER(O137)),NOT(ISNUMBER(O325))),"",O137-O325)</f>
        <v/>
      </c>
      <c r="P513" s="11" t="str">
        <f aca="false">IF(COUNT(D513:N513)=0,"",IF(AND(MAX(D513:N513)&lt;0.005,MIN(D513:N513)&gt;-0.005),"Sin diferencia","Diferencia a explicar"))</f>
        <v/>
      </c>
    </row>
    <row r="514" customFormat="false" ht="15" hidden="false" customHeight="false" outlineLevel="0" collapsed="false">
      <c r="A514" s="11" t="s">
        <v>2217</v>
      </c>
      <c r="B514" s="15" t="s">
        <v>2163</v>
      </c>
      <c r="C514" s="11" t="s">
        <v>508</v>
      </c>
      <c r="D514" s="48"/>
      <c r="E514" s="48"/>
      <c r="F514" s="48"/>
      <c r="G514" s="48"/>
      <c r="H514" s="48"/>
      <c r="I514" s="48"/>
      <c r="J514" s="48"/>
      <c r="K514" s="48"/>
      <c r="L514" s="48"/>
      <c r="M514" s="48"/>
      <c r="N514" s="48"/>
    </row>
    <row r="515" customFormat="false" ht="15" hidden="false" customHeight="false" outlineLevel="0" collapsed="false">
      <c r="A515" s="13"/>
      <c r="B515" s="100" t="s">
        <v>2218</v>
      </c>
      <c r="C515" s="13"/>
      <c r="D515" s="13"/>
      <c r="E515" s="13"/>
      <c r="F515" s="13"/>
      <c r="G515" s="13"/>
      <c r="H515" s="13"/>
      <c r="I515" s="13"/>
      <c r="J515" s="13"/>
      <c r="K515" s="13"/>
      <c r="L515" s="13"/>
      <c r="M515" s="13"/>
      <c r="N515" s="13"/>
      <c r="O515" s="13"/>
      <c r="P515" s="13"/>
    </row>
    <row r="516" customFormat="false" ht="15" hidden="false" customHeight="false" outlineLevel="0" collapsed="false">
      <c r="A516" s="11" t="s">
        <v>2219</v>
      </c>
      <c r="B516" s="67" t="s">
        <v>2220</v>
      </c>
      <c r="C516" s="11" t="s">
        <v>508</v>
      </c>
      <c r="D516" s="54" t="str">
        <f aca="false">IF(OR(NOT(ISNUMBER(D140)),NOT(ISNUMBER(D328))),"",D140-D328)</f>
        <v/>
      </c>
      <c r="E516" s="54" t="n">
        <f aca="false">IF(OR(NOT(ISNUMBER(E140)),NOT(ISNUMBER(E328))),"",E140-E328)</f>
        <v>-0.00399999995715916</v>
      </c>
      <c r="F516" s="54" t="n">
        <f aca="false">IF(OR(NOT(ISNUMBER(F140)),NOT(ISNUMBER(F328))),"",F140-F328)</f>
        <v>-0.00500000000465661</v>
      </c>
      <c r="G516" s="54" t="n">
        <f aca="false">IF(OR(NOT(ISNUMBER(G140)),NOT(ISNUMBER(G328))),"",G140-G328)</f>
        <v>0.994000000064261</v>
      </c>
      <c r="H516" s="54" t="n">
        <f aca="false">IF(OR(NOT(ISNUMBER(H140)),NOT(ISNUMBER(H328))),"",H140-H328)</f>
        <v>0.993000000016764</v>
      </c>
      <c r="I516" s="54" t="n">
        <f aca="false">IF(OR(NOT(ISNUMBER(I140)),NOT(ISNUMBER(I328))),"",I140-I328)</f>
        <v>0.993000000016764</v>
      </c>
      <c r="J516" s="54" t="n">
        <f aca="false">IF(OR(NOT(ISNUMBER(J140)),NOT(ISNUMBER(J328))),"",J140-J328)</f>
        <v>0.993000000016764</v>
      </c>
      <c r="K516" s="54" t="n">
        <f aca="false">IF(OR(NOT(ISNUMBER(K140)),NOT(ISNUMBER(K328))),"",K140-K328)</f>
        <v>0.993000000016764</v>
      </c>
      <c r="L516" s="54" t="n">
        <f aca="false">IF(OR(NOT(ISNUMBER(L140)),NOT(ISNUMBER(L328))),"",L140-L328)</f>
        <v>0.993000000016764</v>
      </c>
      <c r="M516" s="54" t="n">
        <f aca="false">IF(OR(NOT(ISNUMBER(M140)),NOT(ISNUMBER(M328))),"",M140-M328)</f>
        <v>0.993000000016764</v>
      </c>
      <c r="N516" s="54" t="n">
        <f aca="false">IF(OR(NOT(ISNUMBER(N140)),NOT(ISNUMBER(N328))),"",N140-N328)</f>
        <v>0.993000000016764</v>
      </c>
      <c r="O516" s="54" t="n">
        <f aca="false">IF(OR(NOT(ISNUMBER(O140)),NOT(ISNUMBER(O328))),"",O140-O328)</f>
        <v>7.93600000068545</v>
      </c>
      <c r="P516" s="11" t="str">
        <f aca="false">IF(COUNT(D516:N516)=0,"",IF(AND(MAX(D516:N516)&lt;2,MIN(D516:N516)&gt;-2),"Sin diferencia","Diferencia a explicar"))</f>
        <v>Sin diferencia</v>
      </c>
    </row>
    <row r="517" customFormat="false" ht="15" hidden="false" customHeight="false" outlineLevel="0" collapsed="false">
      <c r="A517" s="11" t="s">
        <v>2221</v>
      </c>
      <c r="B517" s="53" t="str">
        <f aca="false">IF(INDEX(Prod_Nombre,1)="","Producto 1",INDEX(Prod_Nombre,1))</f>
        <v>Gabinetes metálicos 153 kg</v>
      </c>
      <c r="C517" s="11" t="s">
        <v>508</v>
      </c>
      <c r="D517" s="48" t="str">
        <f aca="false">IF(OR(NOT(ISNUMBER(D141)),NOT(ISNUMBER(D329))),"",D141-D329)</f>
        <v/>
      </c>
      <c r="E517" s="48" t="str">
        <f aca="false">IF(OR(NOT(ISNUMBER(E141)),NOT(ISNUMBER(E329))),"",E141-E329)</f>
        <v/>
      </c>
      <c r="F517" s="48" t="str">
        <f aca="false">IF(OR(NOT(ISNUMBER(F141)),NOT(ISNUMBER(F329))),"",F141-F329)</f>
        <v/>
      </c>
      <c r="G517" s="48" t="str">
        <f aca="false">IF(OR(NOT(ISNUMBER(G141)),NOT(ISNUMBER(G329))),"",G141-G329)</f>
        <v/>
      </c>
      <c r="H517" s="48" t="str">
        <f aca="false">IF(OR(NOT(ISNUMBER(H141)),NOT(ISNUMBER(H329))),"",H141-H329)</f>
        <v/>
      </c>
      <c r="I517" s="48" t="str">
        <f aca="false">IF(OR(NOT(ISNUMBER(I141)),NOT(ISNUMBER(I329))),"",I141-I329)</f>
        <v/>
      </c>
      <c r="J517" s="48" t="str">
        <f aca="false">IF(OR(NOT(ISNUMBER(J141)),NOT(ISNUMBER(J329))),"",J141-J329)</f>
        <v/>
      </c>
      <c r="K517" s="48" t="str">
        <f aca="false">IF(OR(NOT(ISNUMBER(K141)),NOT(ISNUMBER(K329))),"",K141-K329)</f>
        <v/>
      </c>
      <c r="L517" s="48" t="str">
        <f aca="false">IF(OR(NOT(ISNUMBER(L141)),NOT(ISNUMBER(L329))),"",L141-L329)</f>
        <v/>
      </c>
      <c r="M517" s="48" t="str">
        <f aca="false">IF(OR(NOT(ISNUMBER(M141)),NOT(ISNUMBER(M329))),"",M141-M329)</f>
        <v/>
      </c>
      <c r="N517" s="48" t="str">
        <f aca="false">IF(OR(NOT(ISNUMBER(N141)),NOT(ISNUMBER(N329))),"",N141-N329)</f>
        <v/>
      </c>
      <c r="O517" s="54" t="str">
        <f aca="false">IF(OR(NOT(ISNUMBER(O141)),NOT(ISNUMBER(O329))),"",O141-O329)</f>
        <v/>
      </c>
      <c r="P517" s="11" t="str">
        <f aca="false">IF(COUNT(D517:N517)=0,"",IF(AND(MAX(D517:N517)&lt;2,MIN(D517:N517)&gt;-2),"Sin diferencia","Diferencia a explicar"))</f>
        <v/>
      </c>
    </row>
    <row r="518" customFormat="false" ht="15" hidden="false" customHeight="false" outlineLevel="0" collapsed="false">
      <c r="A518" s="11" t="s">
        <v>2222</v>
      </c>
      <c r="B518" s="15" t="s">
        <v>2087</v>
      </c>
      <c r="C518" s="11" t="s">
        <v>748</v>
      </c>
      <c r="E518" s="50" t="str">
        <f aca="false">IF(OR(NOT(ISNUMBER(E142)),NOT(ISNUMBER(E330))),"",E142-E330)</f>
        <v/>
      </c>
      <c r="F518" s="50" t="str">
        <f aca="false">IF(OR(NOT(ISNUMBER(F142)),NOT(ISNUMBER(F330))),"",F142-F330)</f>
        <v/>
      </c>
      <c r="G518" s="50" t="str">
        <f aca="false">IF(OR(NOT(ISNUMBER(G142)),NOT(ISNUMBER(G330))),"",G142-G330)</f>
        <v/>
      </c>
      <c r="H518" s="50" t="str">
        <f aca="false">IF(OR(NOT(ISNUMBER(H142)),NOT(ISNUMBER(H330))),"",H142-H330)</f>
        <v/>
      </c>
      <c r="I518" s="50" t="str">
        <f aca="false">IF(OR(NOT(ISNUMBER(I142)),NOT(ISNUMBER(I330))),"",I142-I330)</f>
        <v/>
      </c>
      <c r="J518" s="50" t="str">
        <f aca="false">IF(OR(NOT(ISNUMBER(J142)),NOT(ISNUMBER(J330))),"",J142-J330)</f>
        <v/>
      </c>
      <c r="K518" s="50" t="str">
        <f aca="false">IF(OR(NOT(ISNUMBER(K142)),NOT(ISNUMBER(K330))),"",K142-K330)</f>
        <v/>
      </c>
      <c r="L518" s="50" t="str">
        <f aca="false">IF(OR(NOT(ISNUMBER(L142)),NOT(ISNUMBER(L330))),"",L142-L330)</f>
        <v/>
      </c>
      <c r="M518" s="50" t="str">
        <f aca="false">IF(OR(NOT(ISNUMBER(M142)),NOT(ISNUMBER(M330))),"",M142-M330)</f>
        <v/>
      </c>
      <c r="N518" s="50" t="str">
        <f aca="false">IF(OR(NOT(ISNUMBER(N142)),NOT(ISNUMBER(N330))),"",N142-N330)</f>
        <v/>
      </c>
      <c r="O518" s="68" t="str">
        <f aca="false">IF(OR(NOT(ISNUMBER(O142)),NOT(ISNUMBER(O330))),"",O142-O330)</f>
        <v/>
      </c>
      <c r="P518" s="11" t="str">
        <f aca="false">IF(COUNT(D518:N518)=0,"",IF(AND(MAX(D518:N518)&lt;0.005,MIN(D518:N518)&gt;-0.005),"Sin diferencia","Diferencia a explicar"))</f>
        <v/>
      </c>
    </row>
    <row r="519" customFormat="false" ht="15" hidden="false" customHeight="false" outlineLevel="0" collapsed="false">
      <c r="A519" s="11" t="s">
        <v>2223</v>
      </c>
      <c r="B519" s="53" t="str">
        <f aca="false">IF(INDEX(Prod_Nombre,2)="","Producto 2",INDEX(Prod_Nombre,2))</f>
        <v>Cajas metálicas 13 kg</v>
      </c>
      <c r="C519" s="11" t="s">
        <v>508</v>
      </c>
      <c r="D519" s="48" t="str">
        <f aca="false">IF(OR(NOT(ISNUMBER(D143)),NOT(ISNUMBER(D331))),"",D143-D331)</f>
        <v/>
      </c>
      <c r="E519" s="48" t="str">
        <f aca="false">IF(OR(NOT(ISNUMBER(E143)),NOT(ISNUMBER(E331))),"",E143-E331)</f>
        <v/>
      </c>
      <c r="F519" s="48" t="str">
        <f aca="false">IF(OR(NOT(ISNUMBER(F143)),NOT(ISNUMBER(F331))),"",F143-F331)</f>
        <v/>
      </c>
      <c r="G519" s="48" t="str">
        <f aca="false">IF(OR(NOT(ISNUMBER(G143)),NOT(ISNUMBER(G331))),"",G143-G331)</f>
        <v/>
      </c>
      <c r="H519" s="48" t="str">
        <f aca="false">IF(OR(NOT(ISNUMBER(H143)),NOT(ISNUMBER(H331))),"",H143-H331)</f>
        <v/>
      </c>
      <c r="I519" s="48" t="str">
        <f aca="false">IF(OR(NOT(ISNUMBER(I143)),NOT(ISNUMBER(I331))),"",I143-I331)</f>
        <v/>
      </c>
      <c r="J519" s="48" t="str">
        <f aca="false">IF(OR(NOT(ISNUMBER(J143)),NOT(ISNUMBER(J331))),"",J143-J331)</f>
        <v/>
      </c>
      <c r="K519" s="48" t="str">
        <f aca="false">IF(OR(NOT(ISNUMBER(K143)),NOT(ISNUMBER(K331))),"",K143-K331)</f>
        <v/>
      </c>
      <c r="L519" s="48" t="str">
        <f aca="false">IF(OR(NOT(ISNUMBER(L143)),NOT(ISNUMBER(L331))),"",L143-L331)</f>
        <v/>
      </c>
      <c r="M519" s="48" t="str">
        <f aca="false">IF(OR(NOT(ISNUMBER(M143)),NOT(ISNUMBER(M331))),"",M143-M331)</f>
        <v/>
      </c>
      <c r="N519" s="48" t="str">
        <f aca="false">IF(OR(NOT(ISNUMBER(N143)),NOT(ISNUMBER(N331))),"",N143-N331)</f>
        <v/>
      </c>
      <c r="O519" s="54" t="str">
        <f aca="false">IF(OR(NOT(ISNUMBER(O143)),NOT(ISNUMBER(O331))),"",O143-O331)</f>
        <v/>
      </c>
      <c r="P519" s="11" t="str">
        <f aca="false">IF(COUNT(D519:N519)=0,"",IF(AND(MAX(D519:N519)&lt;2,MIN(D519:N519)&gt;-2),"Sin diferencia","Diferencia a explicar"))</f>
        <v/>
      </c>
    </row>
    <row r="520" customFormat="false" ht="15" hidden="false" customHeight="false" outlineLevel="0" collapsed="false">
      <c r="A520" s="11" t="s">
        <v>2224</v>
      </c>
      <c r="B520" s="15" t="s">
        <v>2087</v>
      </c>
      <c r="C520" s="11" t="s">
        <v>748</v>
      </c>
      <c r="E520" s="50" t="str">
        <f aca="false">IF(OR(NOT(ISNUMBER(E144)),NOT(ISNUMBER(E332))),"",E144-E332)</f>
        <v/>
      </c>
      <c r="F520" s="50" t="str">
        <f aca="false">IF(OR(NOT(ISNUMBER(F144)),NOT(ISNUMBER(F332))),"",F144-F332)</f>
        <v/>
      </c>
      <c r="G520" s="50" t="str">
        <f aca="false">IF(OR(NOT(ISNUMBER(G144)),NOT(ISNUMBER(G332))),"",G144-G332)</f>
        <v/>
      </c>
      <c r="H520" s="50" t="str">
        <f aca="false">IF(OR(NOT(ISNUMBER(H144)),NOT(ISNUMBER(H332))),"",H144-H332)</f>
        <v/>
      </c>
      <c r="I520" s="50" t="str">
        <f aca="false">IF(OR(NOT(ISNUMBER(I144)),NOT(ISNUMBER(I332))),"",I144-I332)</f>
        <v/>
      </c>
      <c r="J520" s="50" t="str">
        <f aca="false">IF(OR(NOT(ISNUMBER(J144)),NOT(ISNUMBER(J332))),"",J144-J332)</f>
        <v/>
      </c>
      <c r="K520" s="50" t="str">
        <f aca="false">IF(OR(NOT(ISNUMBER(K144)),NOT(ISNUMBER(K332))),"",K144-K332)</f>
        <v/>
      </c>
      <c r="L520" s="50" t="str">
        <f aca="false">IF(OR(NOT(ISNUMBER(L144)),NOT(ISNUMBER(L332))),"",L144-L332)</f>
        <v/>
      </c>
      <c r="M520" s="50" t="str">
        <f aca="false">IF(OR(NOT(ISNUMBER(M144)),NOT(ISNUMBER(M332))),"",M144-M332)</f>
        <v/>
      </c>
      <c r="N520" s="50" t="str">
        <f aca="false">IF(OR(NOT(ISNUMBER(N144)),NOT(ISNUMBER(N332))),"",N144-N332)</f>
        <v/>
      </c>
      <c r="O520" s="68" t="str">
        <f aca="false">IF(OR(NOT(ISNUMBER(O144)),NOT(ISNUMBER(O332))),"",O144-O332)</f>
        <v/>
      </c>
      <c r="P520" s="11" t="str">
        <f aca="false">IF(COUNT(D520:N520)=0,"",IF(AND(MAX(D520:N520)&lt;0.005,MIN(D520:N520)&gt;-0.005),"Sin diferencia","Diferencia a explicar"))</f>
        <v/>
      </c>
    </row>
    <row r="521" customFormat="false" ht="15" hidden="true" customHeight="false" outlineLevel="1" collapsed="false">
      <c r="A521" s="11" t="s">
        <v>2225</v>
      </c>
      <c r="B521" s="53" t="str">
        <f aca="false">IF(INDEX(Prod_Nombre,3)="","Producto 3",INDEX(Prod_Nombre,3))</f>
        <v>Producto 3</v>
      </c>
      <c r="C521" s="11" t="s">
        <v>508</v>
      </c>
      <c r="D521" s="48" t="str">
        <f aca="false">IF(OR(NOT(ISNUMBER(D145)),NOT(ISNUMBER(D333))),"",D145-D333)</f>
        <v/>
      </c>
      <c r="E521" s="48" t="str">
        <f aca="false">IF(OR(NOT(ISNUMBER(E145)),NOT(ISNUMBER(E333))),"",E145-E333)</f>
        <v/>
      </c>
      <c r="F521" s="48" t="str">
        <f aca="false">IF(OR(NOT(ISNUMBER(F145)),NOT(ISNUMBER(F333))),"",F145-F333)</f>
        <v/>
      </c>
      <c r="G521" s="48" t="str">
        <f aca="false">IF(OR(NOT(ISNUMBER(G145)),NOT(ISNUMBER(G333))),"",G145-G333)</f>
        <v/>
      </c>
      <c r="H521" s="48" t="str">
        <f aca="false">IF(OR(NOT(ISNUMBER(H145)),NOT(ISNUMBER(H333))),"",H145-H333)</f>
        <v/>
      </c>
      <c r="I521" s="48" t="str">
        <f aca="false">IF(OR(NOT(ISNUMBER(I145)),NOT(ISNUMBER(I333))),"",I145-I333)</f>
        <v/>
      </c>
      <c r="J521" s="48" t="str">
        <f aca="false">IF(OR(NOT(ISNUMBER(J145)),NOT(ISNUMBER(J333))),"",J145-J333)</f>
        <v/>
      </c>
      <c r="K521" s="48" t="str">
        <f aca="false">IF(OR(NOT(ISNUMBER(K145)),NOT(ISNUMBER(K333))),"",K145-K333)</f>
        <v/>
      </c>
      <c r="L521" s="48" t="str">
        <f aca="false">IF(OR(NOT(ISNUMBER(L145)),NOT(ISNUMBER(L333))),"",L145-L333)</f>
        <v/>
      </c>
      <c r="M521" s="48" t="str">
        <f aca="false">IF(OR(NOT(ISNUMBER(M145)),NOT(ISNUMBER(M333))),"",M145-M333)</f>
        <v/>
      </c>
      <c r="N521" s="48" t="str">
        <f aca="false">IF(OR(NOT(ISNUMBER(N145)),NOT(ISNUMBER(N333))),"",N145-N333)</f>
        <v/>
      </c>
      <c r="O521" s="54" t="str">
        <f aca="false">IF(OR(NOT(ISNUMBER(O145)),NOT(ISNUMBER(O333))),"",O145-O333)</f>
        <v/>
      </c>
      <c r="P521" s="11" t="str">
        <f aca="false">IF(COUNT(D521:N521)=0,"",IF(AND(MAX(D521:N521)&lt;2,MIN(D521:N521)&gt;-2),"Sin diferencia","Diferencia a explicar"))</f>
        <v/>
      </c>
    </row>
    <row r="522" customFormat="false" ht="15" hidden="true" customHeight="false" outlineLevel="1" collapsed="false">
      <c r="A522" s="11" t="s">
        <v>2226</v>
      </c>
      <c r="B522" s="15" t="s">
        <v>2087</v>
      </c>
      <c r="C522" s="11" t="s">
        <v>748</v>
      </c>
      <c r="E522" s="50" t="str">
        <f aca="false">IF(OR(NOT(ISNUMBER(E146)),NOT(ISNUMBER(E334))),"",E146-E334)</f>
        <v/>
      </c>
      <c r="F522" s="50" t="str">
        <f aca="false">IF(OR(NOT(ISNUMBER(F146)),NOT(ISNUMBER(F334))),"",F146-F334)</f>
        <v/>
      </c>
      <c r="G522" s="50" t="str">
        <f aca="false">IF(OR(NOT(ISNUMBER(G146)),NOT(ISNUMBER(G334))),"",G146-G334)</f>
        <v/>
      </c>
      <c r="H522" s="50" t="str">
        <f aca="false">IF(OR(NOT(ISNUMBER(H146)),NOT(ISNUMBER(H334))),"",H146-H334)</f>
        <v/>
      </c>
      <c r="I522" s="50" t="str">
        <f aca="false">IF(OR(NOT(ISNUMBER(I146)),NOT(ISNUMBER(I334))),"",I146-I334)</f>
        <v/>
      </c>
      <c r="J522" s="50" t="str">
        <f aca="false">IF(OR(NOT(ISNUMBER(J146)),NOT(ISNUMBER(J334))),"",J146-J334)</f>
        <v/>
      </c>
      <c r="K522" s="50" t="str">
        <f aca="false">IF(OR(NOT(ISNUMBER(K146)),NOT(ISNUMBER(K334))),"",K146-K334)</f>
        <v/>
      </c>
      <c r="L522" s="50" t="str">
        <f aca="false">IF(OR(NOT(ISNUMBER(L146)),NOT(ISNUMBER(L334))),"",L146-L334)</f>
        <v/>
      </c>
      <c r="M522" s="50" t="str">
        <f aca="false">IF(OR(NOT(ISNUMBER(M146)),NOT(ISNUMBER(M334))),"",M146-M334)</f>
        <v/>
      </c>
      <c r="N522" s="50" t="str">
        <f aca="false">IF(OR(NOT(ISNUMBER(N146)),NOT(ISNUMBER(N334))),"",N146-N334)</f>
        <v/>
      </c>
      <c r="O522" s="68" t="str">
        <f aca="false">IF(OR(NOT(ISNUMBER(O146)),NOT(ISNUMBER(O334))),"",O146-O334)</f>
        <v/>
      </c>
      <c r="P522" s="11" t="str">
        <f aca="false">IF(COUNT(D522:N522)=0,"",IF(AND(MAX(D522:N522)&lt;0.005,MIN(D522:N522)&gt;-0.005),"Sin diferencia","Diferencia a explicar"))</f>
        <v/>
      </c>
    </row>
    <row r="523" customFormat="false" ht="15" hidden="true" customHeight="false" outlineLevel="1" collapsed="false">
      <c r="A523" s="11" t="s">
        <v>2227</v>
      </c>
      <c r="B523" s="53" t="str">
        <f aca="false">IF(INDEX(Prod_Nombre,4)="","Producto 4",INDEX(Prod_Nombre,4))</f>
        <v>Producto 4</v>
      </c>
      <c r="C523" s="11" t="s">
        <v>508</v>
      </c>
      <c r="D523" s="48" t="str">
        <f aca="false">IF(OR(NOT(ISNUMBER(D147)),NOT(ISNUMBER(D335))),"",D147-D335)</f>
        <v/>
      </c>
      <c r="E523" s="48" t="str">
        <f aca="false">IF(OR(NOT(ISNUMBER(E147)),NOT(ISNUMBER(E335))),"",E147-E335)</f>
        <v/>
      </c>
      <c r="F523" s="48" t="str">
        <f aca="false">IF(OR(NOT(ISNUMBER(F147)),NOT(ISNUMBER(F335))),"",F147-F335)</f>
        <v/>
      </c>
      <c r="G523" s="48" t="str">
        <f aca="false">IF(OR(NOT(ISNUMBER(G147)),NOT(ISNUMBER(G335))),"",G147-G335)</f>
        <v/>
      </c>
      <c r="H523" s="48" t="str">
        <f aca="false">IF(OR(NOT(ISNUMBER(H147)),NOT(ISNUMBER(H335))),"",H147-H335)</f>
        <v/>
      </c>
      <c r="I523" s="48" t="str">
        <f aca="false">IF(OR(NOT(ISNUMBER(I147)),NOT(ISNUMBER(I335))),"",I147-I335)</f>
        <v/>
      </c>
      <c r="J523" s="48" t="str">
        <f aca="false">IF(OR(NOT(ISNUMBER(J147)),NOT(ISNUMBER(J335))),"",J147-J335)</f>
        <v/>
      </c>
      <c r="K523" s="48" t="str">
        <f aca="false">IF(OR(NOT(ISNUMBER(K147)),NOT(ISNUMBER(K335))),"",K147-K335)</f>
        <v/>
      </c>
      <c r="L523" s="48" t="str">
        <f aca="false">IF(OR(NOT(ISNUMBER(L147)),NOT(ISNUMBER(L335))),"",L147-L335)</f>
        <v/>
      </c>
      <c r="M523" s="48" t="str">
        <f aca="false">IF(OR(NOT(ISNUMBER(M147)),NOT(ISNUMBER(M335))),"",M147-M335)</f>
        <v/>
      </c>
      <c r="N523" s="48" t="str">
        <f aca="false">IF(OR(NOT(ISNUMBER(N147)),NOT(ISNUMBER(N335))),"",N147-N335)</f>
        <v/>
      </c>
      <c r="O523" s="54" t="str">
        <f aca="false">IF(OR(NOT(ISNUMBER(O147)),NOT(ISNUMBER(O335))),"",O147-O335)</f>
        <v/>
      </c>
      <c r="P523" s="11" t="str">
        <f aca="false">IF(COUNT(D523:N523)=0,"",IF(AND(MAX(D523:N523)&lt;2,MIN(D523:N523)&gt;-2),"Sin diferencia","Diferencia a explicar"))</f>
        <v/>
      </c>
    </row>
    <row r="524" customFormat="false" ht="15" hidden="true" customHeight="false" outlineLevel="1" collapsed="false">
      <c r="A524" s="11" t="s">
        <v>2228</v>
      </c>
      <c r="B524" s="15" t="s">
        <v>2087</v>
      </c>
      <c r="C524" s="11" t="s">
        <v>748</v>
      </c>
      <c r="E524" s="50" t="str">
        <f aca="false">IF(OR(NOT(ISNUMBER(E148)),NOT(ISNUMBER(E336))),"",E148-E336)</f>
        <v/>
      </c>
      <c r="F524" s="50" t="str">
        <f aca="false">IF(OR(NOT(ISNUMBER(F148)),NOT(ISNUMBER(F336))),"",F148-F336)</f>
        <v/>
      </c>
      <c r="G524" s="50" t="str">
        <f aca="false">IF(OR(NOT(ISNUMBER(G148)),NOT(ISNUMBER(G336))),"",G148-G336)</f>
        <v/>
      </c>
      <c r="H524" s="50" t="str">
        <f aca="false">IF(OR(NOT(ISNUMBER(H148)),NOT(ISNUMBER(H336))),"",H148-H336)</f>
        <v/>
      </c>
      <c r="I524" s="50" t="str">
        <f aca="false">IF(OR(NOT(ISNUMBER(I148)),NOT(ISNUMBER(I336))),"",I148-I336)</f>
        <v/>
      </c>
      <c r="J524" s="50" t="str">
        <f aca="false">IF(OR(NOT(ISNUMBER(J148)),NOT(ISNUMBER(J336))),"",J148-J336)</f>
        <v/>
      </c>
      <c r="K524" s="50" t="str">
        <f aca="false">IF(OR(NOT(ISNUMBER(K148)),NOT(ISNUMBER(K336))),"",K148-K336)</f>
        <v/>
      </c>
      <c r="L524" s="50" t="str">
        <f aca="false">IF(OR(NOT(ISNUMBER(L148)),NOT(ISNUMBER(L336))),"",L148-L336)</f>
        <v/>
      </c>
      <c r="M524" s="50" t="str">
        <f aca="false">IF(OR(NOT(ISNUMBER(M148)),NOT(ISNUMBER(M336))),"",M148-M336)</f>
        <v/>
      </c>
      <c r="N524" s="50" t="str">
        <f aca="false">IF(OR(NOT(ISNUMBER(N148)),NOT(ISNUMBER(N336))),"",N148-N336)</f>
        <v/>
      </c>
      <c r="O524" s="68" t="str">
        <f aca="false">IF(OR(NOT(ISNUMBER(O148)),NOT(ISNUMBER(O336))),"",O148-O336)</f>
        <v/>
      </c>
      <c r="P524" s="11" t="str">
        <f aca="false">IF(COUNT(D524:N524)=0,"",IF(AND(MAX(D524:N524)&lt;0.005,MIN(D524:N524)&gt;-0.005),"Sin diferencia","Diferencia a explicar"))</f>
        <v/>
      </c>
    </row>
    <row r="525" customFormat="false" ht="15" hidden="true" customHeight="false" outlineLevel="1" collapsed="false">
      <c r="A525" s="11" t="s">
        <v>2229</v>
      </c>
      <c r="B525" s="53" t="str">
        <f aca="false">IF(INDEX(Prod_Nombre,5)="","Producto 5",INDEX(Prod_Nombre,5))</f>
        <v>Producto 5</v>
      </c>
      <c r="C525" s="11" t="s">
        <v>508</v>
      </c>
      <c r="D525" s="48" t="str">
        <f aca="false">IF(OR(NOT(ISNUMBER(D149)),NOT(ISNUMBER(D337))),"",D149-D337)</f>
        <v/>
      </c>
      <c r="E525" s="48" t="str">
        <f aca="false">IF(OR(NOT(ISNUMBER(E149)),NOT(ISNUMBER(E337))),"",E149-E337)</f>
        <v/>
      </c>
      <c r="F525" s="48" t="str">
        <f aca="false">IF(OR(NOT(ISNUMBER(F149)),NOT(ISNUMBER(F337))),"",F149-F337)</f>
        <v/>
      </c>
      <c r="G525" s="48" t="str">
        <f aca="false">IF(OR(NOT(ISNUMBER(G149)),NOT(ISNUMBER(G337))),"",G149-G337)</f>
        <v/>
      </c>
      <c r="H525" s="48" t="str">
        <f aca="false">IF(OR(NOT(ISNUMBER(H149)),NOT(ISNUMBER(H337))),"",H149-H337)</f>
        <v/>
      </c>
      <c r="I525" s="48" t="str">
        <f aca="false">IF(OR(NOT(ISNUMBER(I149)),NOT(ISNUMBER(I337))),"",I149-I337)</f>
        <v/>
      </c>
      <c r="J525" s="48" t="str">
        <f aca="false">IF(OR(NOT(ISNUMBER(J149)),NOT(ISNUMBER(J337))),"",J149-J337)</f>
        <v/>
      </c>
      <c r="K525" s="48" t="str">
        <f aca="false">IF(OR(NOT(ISNUMBER(K149)),NOT(ISNUMBER(K337))),"",K149-K337)</f>
        <v/>
      </c>
      <c r="L525" s="48" t="str">
        <f aca="false">IF(OR(NOT(ISNUMBER(L149)),NOT(ISNUMBER(L337))),"",L149-L337)</f>
        <v/>
      </c>
      <c r="M525" s="48" t="str">
        <f aca="false">IF(OR(NOT(ISNUMBER(M149)),NOT(ISNUMBER(M337))),"",M149-M337)</f>
        <v/>
      </c>
      <c r="N525" s="48" t="str">
        <f aca="false">IF(OR(NOT(ISNUMBER(N149)),NOT(ISNUMBER(N337))),"",N149-N337)</f>
        <v/>
      </c>
      <c r="O525" s="54" t="str">
        <f aca="false">IF(OR(NOT(ISNUMBER(O149)),NOT(ISNUMBER(O337))),"",O149-O337)</f>
        <v/>
      </c>
      <c r="P525" s="11" t="str">
        <f aca="false">IF(COUNT(D525:N525)=0,"",IF(AND(MAX(D525:N525)&lt;2,MIN(D525:N525)&gt;-2),"Sin diferencia","Diferencia a explicar"))</f>
        <v/>
      </c>
    </row>
    <row r="526" customFormat="false" ht="15" hidden="true" customHeight="false" outlineLevel="1" collapsed="false">
      <c r="A526" s="11" t="s">
        <v>2230</v>
      </c>
      <c r="B526" s="15" t="s">
        <v>2087</v>
      </c>
      <c r="C526" s="11" t="s">
        <v>748</v>
      </c>
      <c r="E526" s="50" t="str">
        <f aca="false">IF(OR(NOT(ISNUMBER(E150)),NOT(ISNUMBER(E338))),"",E150-E338)</f>
        <v/>
      </c>
      <c r="F526" s="50" t="str">
        <f aca="false">IF(OR(NOT(ISNUMBER(F150)),NOT(ISNUMBER(F338))),"",F150-F338)</f>
        <v/>
      </c>
      <c r="G526" s="50" t="str">
        <f aca="false">IF(OR(NOT(ISNUMBER(G150)),NOT(ISNUMBER(G338))),"",G150-G338)</f>
        <v/>
      </c>
      <c r="H526" s="50" t="str">
        <f aca="false">IF(OR(NOT(ISNUMBER(H150)),NOT(ISNUMBER(H338))),"",H150-H338)</f>
        <v/>
      </c>
      <c r="I526" s="50" t="str">
        <f aca="false">IF(OR(NOT(ISNUMBER(I150)),NOT(ISNUMBER(I338))),"",I150-I338)</f>
        <v/>
      </c>
      <c r="J526" s="50" t="str">
        <f aca="false">IF(OR(NOT(ISNUMBER(J150)),NOT(ISNUMBER(J338))),"",J150-J338)</f>
        <v/>
      </c>
      <c r="K526" s="50" t="str">
        <f aca="false">IF(OR(NOT(ISNUMBER(K150)),NOT(ISNUMBER(K338))),"",K150-K338)</f>
        <v/>
      </c>
      <c r="L526" s="50" t="str">
        <f aca="false">IF(OR(NOT(ISNUMBER(L150)),NOT(ISNUMBER(L338))),"",L150-L338)</f>
        <v/>
      </c>
      <c r="M526" s="50" t="str">
        <f aca="false">IF(OR(NOT(ISNUMBER(M150)),NOT(ISNUMBER(M338))),"",M150-M338)</f>
        <v/>
      </c>
      <c r="N526" s="50" t="str">
        <f aca="false">IF(OR(NOT(ISNUMBER(N150)),NOT(ISNUMBER(N338))),"",N150-N338)</f>
        <v/>
      </c>
      <c r="O526" s="68" t="str">
        <f aca="false">IF(OR(NOT(ISNUMBER(O150)),NOT(ISNUMBER(O338))),"",O150-O338)</f>
        <v/>
      </c>
      <c r="P526" s="11" t="str">
        <f aca="false">IF(COUNT(D526:N526)=0,"",IF(AND(MAX(D526:N526)&lt;0.005,MIN(D526:N526)&gt;-0.005),"Sin diferencia","Diferencia a explicar"))</f>
        <v/>
      </c>
    </row>
    <row r="527" customFormat="false" ht="15" hidden="true" customHeight="false" outlineLevel="1" collapsed="false">
      <c r="A527" s="11" t="s">
        <v>2231</v>
      </c>
      <c r="B527" s="53" t="str">
        <f aca="false">IF(INDEX(Prod_Nombre,6)="","Producto 6",INDEX(Prod_Nombre,6))</f>
        <v>Producto 6</v>
      </c>
      <c r="C527" s="11" t="s">
        <v>508</v>
      </c>
      <c r="D527" s="48" t="str">
        <f aca="false">IF(OR(NOT(ISNUMBER(D151)),NOT(ISNUMBER(D339))),"",D151-D339)</f>
        <v/>
      </c>
      <c r="E527" s="48" t="str">
        <f aca="false">IF(OR(NOT(ISNUMBER(E151)),NOT(ISNUMBER(E339))),"",E151-E339)</f>
        <v/>
      </c>
      <c r="F527" s="48" t="str">
        <f aca="false">IF(OR(NOT(ISNUMBER(F151)),NOT(ISNUMBER(F339))),"",F151-F339)</f>
        <v/>
      </c>
      <c r="G527" s="48" t="str">
        <f aca="false">IF(OR(NOT(ISNUMBER(G151)),NOT(ISNUMBER(G339))),"",G151-G339)</f>
        <v/>
      </c>
      <c r="H527" s="48" t="str">
        <f aca="false">IF(OR(NOT(ISNUMBER(H151)),NOT(ISNUMBER(H339))),"",H151-H339)</f>
        <v/>
      </c>
      <c r="I527" s="48" t="str">
        <f aca="false">IF(OR(NOT(ISNUMBER(I151)),NOT(ISNUMBER(I339))),"",I151-I339)</f>
        <v/>
      </c>
      <c r="J527" s="48" t="str">
        <f aca="false">IF(OR(NOT(ISNUMBER(J151)),NOT(ISNUMBER(J339))),"",J151-J339)</f>
        <v/>
      </c>
      <c r="K527" s="48" t="str">
        <f aca="false">IF(OR(NOT(ISNUMBER(K151)),NOT(ISNUMBER(K339))),"",K151-K339)</f>
        <v/>
      </c>
      <c r="L527" s="48" t="str">
        <f aca="false">IF(OR(NOT(ISNUMBER(L151)),NOT(ISNUMBER(L339))),"",L151-L339)</f>
        <v/>
      </c>
      <c r="M527" s="48" t="str">
        <f aca="false">IF(OR(NOT(ISNUMBER(M151)),NOT(ISNUMBER(M339))),"",M151-M339)</f>
        <v/>
      </c>
      <c r="N527" s="48" t="str">
        <f aca="false">IF(OR(NOT(ISNUMBER(N151)),NOT(ISNUMBER(N339))),"",N151-N339)</f>
        <v/>
      </c>
      <c r="O527" s="54" t="str">
        <f aca="false">IF(OR(NOT(ISNUMBER(O151)),NOT(ISNUMBER(O339))),"",O151-O339)</f>
        <v/>
      </c>
      <c r="P527" s="11" t="str">
        <f aca="false">IF(COUNT(D527:N527)=0,"",IF(AND(MAX(D527:N527)&lt;2,MIN(D527:N527)&gt;-2),"Sin diferencia","Diferencia a explicar"))</f>
        <v/>
      </c>
    </row>
    <row r="528" customFormat="false" ht="15" hidden="true" customHeight="false" outlineLevel="1" collapsed="false">
      <c r="A528" s="11" t="s">
        <v>2232</v>
      </c>
      <c r="B528" s="15" t="s">
        <v>2087</v>
      </c>
      <c r="C528" s="11" t="s">
        <v>748</v>
      </c>
      <c r="E528" s="50" t="str">
        <f aca="false">IF(OR(NOT(ISNUMBER(E152)),NOT(ISNUMBER(E340))),"",E152-E340)</f>
        <v/>
      </c>
      <c r="F528" s="50" t="str">
        <f aca="false">IF(OR(NOT(ISNUMBER(F152)),NOT(ISNUMBER(F340))),"",F152-F340)</f>
        <v/>
      </c>
      <c r="G528" s="50" t="str">
        <f aca="false">IF(OR(NOT(ISNUMBER(G152)),NOT(ISNUMBER(G340))),"",G152-G340)</f>
        <v/>
      </c>
      <c r="H528" s="50" t="str">
        <f aca="false">IF(OR(NOT(ISNUMBER(H152)),NOT(ISNUMBER(H340))),"",H152-H340)</f>
        <v/>
      </c>
      <c r="I528" s="50" t="str">
        <f aca="false">IF(OR(NOT(ISNUMBER(I152)),NOT(ISNUMBER(I340))),"",I152-I340)</f>
        <v/>
      </c>
      <c r="J528" s="50" t="str">
        <f aca="false">IF(OR(NOT(ISNUMBER(J152)),NOT(ISNUMBER(J340))),"",J152-J340)</f>
        <v/>
      </c>
      <c r="K528" s="50" t="str">
        <f aca="false">IF(OR(NOT(ISNUMBER(K152)),NOT(ISNUMBER(K340))),"",K152-K340)</f>
        <v/>
      </c>
      <c r="L528" s="50" t="str">
        <f aca="false">IF(OR(NOT(ISNUMBER(L152)),NOT(ISNUMBER(L340))),"",L152-L340)</f>
        <v/>
      </c>
      <c r="M528" s="50" t="str">
        <f aca="false">IF(OR(NOT(ISNUMBER(M152)),NOT(ISNUMBER(M340))),"",M152-M340)</f>
        <v/>
      </c>
      <c r="N528" s="50" t="str">
        <f aca="false">IF(OR(NOT(ISNUMBER(N152)),NOT(ISNUMBER(N340))),"",N152-N340)</f>
        <v/>
      </c>
      <c r="O528" s="68" t="str">
        <f aca="false">IF(OR(NOT(ISNUMBER(O152)),NOT(ISNUMBER(O340))),"",O152-O340)</f>
        <v/>
      </c>
      <c r="P528" s="11" t="str">
        <f aca="false">IF(COUNT(D528:N528)=0,"",IF(AND(MAX(D528:N528)&lt;0.005,MIN(D528:N528)&gt;-0.005),"Sin diferencia","Diferencia a explicar"))</f>
        <v/>
      </c>
    </row>
    <row r="529" customFormat="false" ht="15" hidden="true" customHeight="false" outlineLevel="1" collapsed="false">
      <c r="A529" s="11" t="s">
        <v>2233</v>
      </c>
      <c r="B529" s="53" t="str">
        <f aca="false">IF(INDEX(Prod_Nombre,7)="","Producto 7",INDEX(Prod_Nombre,7))</f>
        <v>Producto 7</v>
      </c>
      <c r="C529" s="11" t="s">
        <v>508</v>
      </c>
      <c r="D529" s="48" t="str">
        <f aca="false">IF(OR(NOT(ISNUMBER(D153)),NOT(ISNUMBER(D341))),"",D153-D341)</f>
        <v/>
      </c>
      <c r="E529" s="48" t="str">
        <f aca="false">IF(OR(NOT(ISNUMBER(E153)),NOT(ISNUMBER(E341))),"",E153-E341)</f>
        <v/>
      </c>
      <c r="F529" s="48" t="str">
        <f aca="false">IF(OR(NOT(ISNUMBER(F153)),NOT(ISNUMBER(F341))),"",F153-F341)</f>
        <v/>
      </c>
      <c r="G529" s="48" t="str">
        <f aca="false">IF(OR(NOT(ISNUMBER(G153)),NOT(ISNUMBER(G341))),"",G153-G341)</f>
        <v/>
      </c>
      <c r="H529" s="48" t="str">
        <f aca="false">IF(OR(NOT(ISNUMBER(H153)),NOT(ISNUMBER(H341))),"",H153-H341)</f>
        <v/>
      </c>
      <c r="I529" s="48" t="str">
        <f aca="false">IF(OR(NOT(ISNUMBER(I153)),NOT(ISNUMBER(I341))),"",I153-I341)</f>
        <v/>
      </c>
      <c r="J529" s="48" t="str">
        <f aca="false">IF(OR(NOT(ISNUMBER(J153)),NOT(ISNUMBER(J341))),"",J153-J341)</f>
        <v/>
      </c>
      <c r="K529" s="48" t="str">
        <f aca="false">IF(OR(NOT(ISNUMBER(K153)),NOT(ISNUMBER(K341))),"",K153-K341)</f>
        <v/>
      </c>
      <c r="L529" s="48" t="str">
        <f aca="false">IF(OR(NOT(ISNUMBER(L153)),NOT(ISNUMBER(L341))),"",L153-L341)</f>
        <v/>
      </c>
      <c r="M529" s="48" t="str">
        <f aca="false">IF(OR(NOT(ISNUMBER(M153)),NOT(ISNUMBER(M341))),"",M153-M341)</f>
        <v/>
      </c>
      <c r="N529" s="48" t="str">
        <f aca="false">IF(OR(NOT(ISNUMBER(N153)),NOT(ISNUMBER(N341))),"",N153-N341)</f>
        <v/>
      </c>
      <c r="O529" s="54" t="str">
        <f aca="false">IF(OR(NOT(ISNUMBER(O153)),NOT(ISNUMBER(O341))),"",O153-O341)</f>
        <v/>
      </c>
      <c r="P529" s="11" t="str">
        <f aca="false">IF(COUNT(D529:N529)=0,"",IF(AND(MAX(D529:N529)&lt;2,MIN(D529:N529)&gt;-2),"Sin diferencia","Diferencia a explicar"))</f>
        <v/>
      </c>
    </row>
    <row r="530" customFormat="false" ht="15" hidden="true" customHeight="false" outlineLevel="1" collapsed="false">
      <c r="A530" s="11" t="s">
        <v>2234</v>
      </c>
      <c r="B530" s="15" t="s">
        <v>2087</v>
      </c>
      <c r="C530" s="11" t="s">
        <v>748</v>
      </c>
      <c r="E530" s="50" t="str">
        <f aca="false">IF(OR(NOT(ISNUMBER(E154)),NOT(ISNUMBER(E342))),"",E154-E342)</f>
        <v/>
      </c>
      <c r="F530" s="50" t="str">
        <f aca="false">IF(OR(NOT(ISNUMBER(F154)),NOT(ISNUMBER(F342))),"",F154-F342)</f>
        <v/>
      </c>
      <c r="G530" s="50" t="str">
        <f aca="false">IF(OR(NOT(ISNUMBER(G154)),NOT(ISNUMBER(G342))),"",G154-G342)</f>
        <v/>
      </c>
      <c r="H530" s="50" t="str">
        <f aca="false">IF(OR(NOT(ISNUMBER(H154)),NOT(ISNUMBER(H342))),"",H154-H342)</f>
        <v/>
      </c>
      <c r="I530" s="50" t="str">
        <f aca="false">IF(OR(NOT(ISNUMBER(I154)),NOT(ISNUMBER(I342))),"",I154-I342)</f>
        <v/>
      </c>
      <c r="J530" s="50" t="str">
        <f aca="false">IF(OR(NOT(ISNUMBER(J154)),NOT(ISNUMBER(J342))),"",J154-J342)</f>
        <v/>
      </c>
      <c r="K530" s="50" t="str">
        <f aca="false">IF(OR(NOT(ISNUMBER(K154)),NOT(ISNUMBER(K342))),"",K154-K342)</f>
        <v/>
      </c>
      <c r="L530" s="50" t="str">
        <f aca="false">IF(OR(NOT(ISNUMBER(L154)),NOT(ISNUMBER(L342))),"",L154-L342)</f>
        <v/>
      </c>
      <c r="M530" s="50" t="str">
        <f aca="false">IF(OR(NOT(ISNUMBER(M154)),NOT(ISNUMBER(M342))),"",M154-M342)</f>
        <v/>
      </c>
      <c r="N530" s="50" t="str">
        <f aca="false">IF(OR(NOT(ISNUMBER(N154)),NOT(ISNUMBER(N342))),"",N154-N342)</f>
        <v/>
      </c>
      <c r="O530" s="68" t="str">
        <f aca="false">IF(OR(NOT(ISNUMBER(O154)),NOT(ISNUMBER(O342))),"",O154-O342)</f>
        <v/>
      </c>
      <c r="P530" s="11" t="str">
        <f aca="false">IF(COUNT(D530:N530)=0,"",IF(AND(MAX(D530:N530)&lt;0.005,MIN(D530:N530)&gt;-0.005),"Sin diferencia","Diferencia a explicar"))</f>
        <v/>
      </c>
    </row>
    <row r="531" customFormat="false" ht="15" hidden="true" customHeight="false" outlineLevel="1" collapsed="false">
      <c r="A531" s="11" t="s">
        <v>2235</v>
      </c>
      <c r="B531" s="53" t="str">
        <f aca="false">IF(INDEX(Prod_Nombre,8)="","Producto 8",INDEX(Prod_Nombre,8))</f>
        <v>Producto 8</v>
      </c>
      <c r="C531" s="11" t="s">
        <v>508</v>
      </c>
      <c r="D531" s="48" t="str">
        <f aca="false">IF(OR(NOT(ISNUMBER(D155)),NOT(ISNUMBER(D343))),"",D155-D343)</f>
        <v/>
      </c>
      <c r="E531" s="48" t="str">
        <f aca="false">IF(OR(NOT(ISNUMBER(E155)),NOT(ISNUMBER(E343))),"",E155-E343)</f>
        <v/>
      </c>
      <c r="F531" s="48" t="str">
        <f aca="false">IF(OR(NOT(ISNUMBER(F155)),NOT(ISNUMBER(F343))),"",F155-F343)</f>
        <v/>
      </c>
      <c r="G531" s="48" t="str">
        <f aca="false">IF(OR(NOT(ISNUMBER(G155)),NOT(ISNUMBER(G343))),"",G155-G343)</f>
        <v/>
      </c>
      <c r="H531" s="48" t="str">
        <f aca="false">IF(OR(NOT(ISNUMBER(H155)),NOT(ISNUMBER(H343))),"",H155-H343)</f>
        <v/>
      </c>
      <c r="I531" s="48" t="str">
        <f aca="false">IF(OR(NOT(ISNUMBER(I155)),NOT(ISNUMBER(I343))),"",I155-I343)</f>
        <v/>
      </c>
      <c r="J531" s="48" t="str">
        <f aca="false">IF(OR(NOT(ISNUMBER(J155)),NOT(ISNUMBER(J343))),"",J155-J343)</f>
        <v/>
      </c>
      <c r="K531" s="48" t="str">
        <f aca="false">IF(OR(NOT(ISNUMBER(K155)),NOT(ISNUMBER(K343))),"",K155-K343)</f>
        <v/>
      </c>
      <c r="L531" s="48" t="str">
        <f aca="false">IF(OR(NOT(ISNUMBER(L155)),NOT(ISNUMBER(L343))),"",L155-L343)</f>
        <v/>
      </c>
      <c r="M531" s="48" t="str">
        <f aca="false">IF(OR(NOT(ISNUMBER(M155)),NOT(ISNUMBER(M343))),"",M155-M343)</f>
        <v/>
      </c>
      <c r="N531" s="48" t="str">
        <f aca="false">IF(OR(NOT(ISNUMBER(N155)),NOT(ISNUMBER(N343))),"",N155-N343)</f>
        <v/>
      </c>
      <c r="O531" s="54" t="str">
        <f aca="false">IF(OR(NOT(ISNUMBER(O155)),NOT(ISNUMBER(O343))),"",O155-O343)</f>
        <v/>
      </c>
      <c r="P531" s="11" t="str">
        <f aca="false">IF(COUNT(D531:N531)=0,"",IF(AND(MAX(D531:N531)&lt;2,MIN(D531:N531)&gt;-2),"Sin diferencia","Diferencia a explicar"))</f>
        <v/>
      </c>
    </row>
    <row r="532" customFormat="false" ht="15" hidden="true" customHeight="false" outlineLevel="1" collapsed="false">
      <c r="A532" s="11" t="s">
        <v>2236</v>
      </c>
      <c r="B532" s="15" t="s">
        <v>2087</v>
      </c>
      <c r="C532" s="11" t="s">
        <v>748</v>
      </c>
      <c r="E532" s="50" t="str">
        <f aca="false">IF(OR(NOT(ISNUMBER(E156)),NOT(ISNUMBER(E344))),"",E156-E344)</f>
        <v/>
      </c>
      <c r="F532" s="50" t="str">
        <f aca="false">IF(OR(NOT(ISNUMBER(F156)),NOT(ISNUMBER(F344))),"",F156-F344)</f>
        <v/>
      </c>
      <c r="G532" s="50" t="str">
        <f aca="false">IF(OR(NOT(ISNUMBER(G156)),NOT(ISNUMBER(G344))),"",G156-G344)</f>
        <v/>
      </c>
      <c r="H532" s="50" t="str">
        <f aca="false">IF(OR(NOT(ISNUMBER(H156)),NOT(ISNUMBER(H344))),"",H156-H344)</f>
        <v/>
      </c>
      <c r="I532" s="50" t="str">
        <f aca="false">IF(OR(NOT(ISNUMBER(I156)),NOT(ISNUMBER(I344))),"",I156-I344)</f>
        <v/>
      </c>
      <c r="J532" s="50" t="str">
        <f aca="false">IF(OR(NOT(ISNUMBER(J156)),NOT(ISNUMBER(J344))),"",J156-J344)</f>
        <v/>
      </c>
      <c r="K532" s="50" t="str">
        <f aca="false">IF(OR(NOT(ISNUMBER(K156)),NOT(ISNUMBER(K344))),"",K156-K344)</f>
        <v/>
      </c>
      <c r="L532" s="50" t="str">
        <f aca="false">IF(OR(NOT(ISNUMBER(L156)),NOT(ISNUMBER(L344))),"",L156-L344)</f>
        <v/>
      </c>
      <c r="M532" s="50" t="str">
        <f aca="false">IF(OR(NOT(ISNUMBER(M156)),NOT(ISNUMBER(M344))),"",M156-M344)</f>
        <v/>
      </c>
      <c r="N532" s="50" t="str">
        <f aca="false">IF(OR(NOT(ISNUMBER(N156)),NOT(ISNUMBER(N344))),"",N156-N344)</f>
        <v/>
      </c>
      <c r="O532" s="68" t="str">
        <f aca="false">IF(OR(NOT(ISNUMBER(O156)),NOT(ISNUMBER(O344))),"",O156-O344)</f>
        <v/>
      </c>
      <c r="P532" s="11" t="str">
        <f aca="false">IF(COUNT(D532:N532)=0,"",IF(AND(MAX(D532:N532)&lt;0.005,MIN(D532:N532)&gt;-0.005),"Sin diferencia","Diferencia a explicar"))</f>
        <v/>
      </c>
    </row>
    <row r="533" customFormat="false" ht="15" hidden="true" customHeight="false" outlineLevel="1" collapsed="false">
      <c r="A533" s="11" t="s">
        <v>2237</v>
      </c>
      <c r="B533" s="53" t="str">
        <f aca="false">IF(INDEX(Prod_Nombre,9)="","Producto 9",INDEX(Prod_Nombre,9))</f>
        <v>Producto 9</v>
      </c>
      <c r="C533" s="11" t="s">
        <v>508</v>
      </c>
      <c r="D533" s="48" t="str">
        <f aca="false">IF(OR(NOT(ISNUMBER(D157)),NOT(ISNUMBER(D345))),"",D157-D345)</f>
        <v/>
      </c>
      <c r="E533" s="48" t="str">
        <f aca="false">IF(OR(NOT(ISNUMBER(E157)),NOT(ISNUMBER(E345))),"",E157-E345)</f>
        <v/>
      </c>
      <c r="F533" s="48" t="str">
        <f aca="false">IF(OR(NOT(ISNUMBER(F157)),NOT(ISNUMBER(F345))),"",F157-F345)</f>
        <v/>
      </c>
      <c r="G533" s="48" t="str">
        <f aca="false">IF(OR(NOT(ISNUMBER(G157)),NOT(ISNUMBER(G345))),"",G157-G345)</f>
        <v/>
      </c>
      <c r="H533" s="48" t="str">
        <f aca="false">IF(OR(NOT(ISNUMBER(H157)),NOT(ISNUMBER(H345))),"",H157-H345)</f>
        <v/>
      </c>
      <c r="I533" s="48" t="str">
        <f aca="false">IF(OR(NOT(ISNUMBER(I157)),NOT(ISNUMBER(I345))),"",I157-I345)</f>
        <v/>
      </c>
      <c r="J533" s="48" t="str">
        <f aca="false">IF(OR(NOT(ISNUMBER(J157)),NOT(ISNUMBER(J345))),"",J157-J345)</f>
        <v/>
      </c>
      <c r="K533" s="48" t="str">
        <f aca="false">IF(OR(NOT(ISNUMBER(K157)),NOT(ISNUMBER(K345))),"",K157-K345)</f>
        <v/>
      </c>
      <c r="L533" s="48" t="str">
        <f aca="false">IF(OR(NOT(ISNUMBER(L157)),NOT(ISNUMBER(L345))),"",L157-L345)</f>
        <v/>
      </c>
      <c r="M533" s="48" t="str">
        <f aca="false">IF(OR(NOT(ISNUMBER(M157)),NOT(ISNUMBER(M345))),"",M157-M345)</f>
        <v/>
      </c>
      <c r="N533" s="48" t="str">
        <f aca="false">IF(OR(NOT(ISNUMBER(N157)),NOT(ISNUMBER(N345))),"",N157-N345)</f>
        <v/>
      </c>
      <c r="O533" s="54" t="str">
        <f aca="false">IF(OR(NOT(ISNUMBER(O157)),NOT(ISNUMBER(O345))),"",O157-O345)</f>
        <v/>
      </c>
      <c r="P533" s="11" t="str">
        <f aca="false">IF(COUNT(D533:N533)=0,"",IF(AND(MAX(D533:N533)&lt;2,MIN(D533:N533)&gt;-2),"Sin diferencia","Diferencia a explicar"))</f>
        <v/>
      </c>
    </row>
    <row r="534" customFormat="false" ht="15" hidden="true" customHeight="false" outlineLevel="1" collapsed="false">
      <c r="A534" s="11" t="s">
        <v>2238</v>
      </c>
      <c r="B534" s="15" t="s">
        <v>2087</v>
      </c>
      <c r="C534" s="11" t="s">
        <v>748</v>
      </c>
      <c r="E534" s="50" t="str">
        <f aca="false">IF(OR(NOT(ISNUMBER(E158)),NOT(ISNUMBER(E346))),"",E158-E346)</f>
        <v/>
      </c>
      <c r="F534" s="50" t="str">
        <f aca="false">IF(OR(NOT(ISNUMBER(F158)),NOT(ISNUMBER(F346))),"",F158-F346)</f>
        <v/>
      </c>
      <c r="G534" s="50" t="str">
        <f aca="false">IF(OR(NOT(ISNUMBER(G158)),NOT(ISNUMBER(G346))),"",G158-G346)</f>
        <v/>
      </c>
      <c r="H534" s="50" t="str">
        <f aca="false">IF(OR(NOT(ISNUMBER(H158)),NOT(ISNUMBER(H346))),"",H158-H346)</f>
        <v/>
      </c>
      <c r="I534" s="50" t="str">
        <f aca="false">IF(OR(NOT(ISNUMBER(I158)),NOT(ISNUMBER(I346))),"",I158-I346)</f>
        <v/>
      </c>
      <c r="J534" s="50" t="str">
        <f aca="false">IF(OR(NOT(ISNUMBER(J158)),NOT(ISNUMBER(J346))),"",J158-J346)</f>
        <v/>
      </c>
      <c r="K534" s="50" t="str">
        <f aca="false">IF(OR(NOT(ISNUMBER(K158)),NOT(ISNUMBER(K346))),"",K158-K346)</f>
        <v/>
      </c>
      <c r="L534" s="50" t="str">
        <f aca="false">IF(OR(NOT(ISNUMBER(L158)),NOT(ISNUMBER(L346))),"",L158-L346)</f>
        <v/>
      </c>
      <c r="M534" s="50" t="str">
        <f aca="false">IF(OR(NOT(ISNUMBER(M158)),NOT(ISNUMBER(M346))),"",M158-M346)</f>
        <v/>
      </c>
      <c r="N534" s="50" t="str">
        <f aca="false">IF(OR(NOT(ISNUMBER(N158)),NOT(ISNUMBER(N346))),"",N158-N346)</f>
        <v/>
      </c>
      <c r="O534" s="68" t="str">
        <f aca="false">IF(OR(NOT(ISNUMBER(O158)),NOT(ISNUMBER(O346))),"",O158-O346)</f>
        <v/>
      </c>
      <c r="P534" s="11" t="str">
        <f aca="false">IF(COUNT(D534:N534)=0,"",IF(AND(MAX(D534:N534)&lt;0.005,MIN(D534:N534)&gt;-0.005),"Sin diferencia","Diferencia a explicar"))</f>
        <v/>
      </c>
    </row>
    <row r="535" customFormat="false" ht="15" hidden="true" customHeight="false" outlineLevel="1" collapsed="false">
      <c r="A535" s="11" t="s">
        <v>2239</v>
      </c>
      <c r="B535" s="53" t="str">
        <f aca="false">IF(INDEX(Prod_Nombre,10)="","Producto 10",INDEX(Prod_Nombre,10))</f>
        <v>Producto 10</v>
      </c>
      <c r="C535" s="11" t="s">
        <v>508</v>
      </c>
      <c r="D535" s="48" t="str">
        <f aca="false">IF(OR(NOT(ISNUMBER(D159)),NOT(ISNUMBER(D347))),"",D159-D347)</f>
        <v/>
      </c>
      <c r="E535" s="48" t="str">
        <f aca="false">IF(OR(NOT(ISNUMBER(E159)),NOT(ISNUMBER(E347))),"",E159-E347)</f>
        <v/>
      </c>
      <c r="F535" s="48" t="str">
        <f aca="false">IF(OR(NOT(ISNUMBER(F159)),NOT(ISNUMBER(F347))),"",F159-F347)</f>
        <v/>
      </c>
      <c r="G535" s="48" t="str">
        <f aca="false">IF(OR(NOT(ISNUMBER(G159)),NOT(ISNUMBER(G347))),"",G159-G347)</f>
        <v/>
      </c>
      <c r="H535" s="48" t="str">
        <f aca="false">IF(OR(NOT(ISNUMBER(H159)),NOT(ISNUMBER(H347))),"",H159-H347)</f>
        <v/>
      </c>
      <c r="I535" s="48" t="str">
        <f aca="false">IF(OR(NOT(ISNUMBER(I159)),NOT(ISNUMBER(I347))),"",I159-I347)</f>
        <v/>
      </c>
      <c r="J535" s="48" t="str">
        <f aca="false">IF(OR(NOT(ISNUMBER(J159)),NOT(ISNUMBER(J347))),"",J159-J347)</f>
        <v/>
      </c>
      <c r="K535" s="48" t="str">
        <f aca="false">IF(OR(NOT(ISNUMBER(K159)),NOT(ISNUMBER(K347))),"",K159-K347)</f>
        <v/>
      </c>
      <c r="L535" s="48" t="str">
        <f aca="false">IF(OR(NOT(ISNUMBER(L159)),NOT(ISNUMBER(L347))),"",L159-L347)</f>
        <v/>
      </c>
      <c r="M535" s="48" t="str">
        <f aca="false">IF(OR(NOT(ISNUMBER(M159)),NOT(ISNUMBER(M347))),"",M159-M347)</f>
        <v/>
      </c>
      <c r="N535" s="48" t="str">
        <f aca="false">IF(OR(NOT(ISNUMBER(N159)),NOT(ISNUMBER(N347))),"",N159-N347)</f>
        <v/>
      </c>
      <c r="O535" s="54" t="str">
        <f aca="false">IF(OR(NOT(ISNUMBER(O159)),NOT(ISNUMBER(O347))),"",O159-O347)</f>
        <v/>
      </c>
      <c r="P535" s="11" t="str">
        <f aca="false">IF(COUNT(D535:N535)=0,"",IF(AND(MAX(D535:N535)&lt;2,MIN(D535:N535)&gt;-2),"Sin diferencia","Diferencia a explicar"))</f>
        <v/>
      </c>
    </row>
    <row r="536" customFormat="false" ht="15" hidden="true" customHeight="false" outlineLevel="1" collapsed="false">
      <c r="A536" s="11" t="s">
        <v>2240</v>
      </c>
      <c r="B536" s="15" t="s">
        <v>2087</v>
      </c>
      <c r="C536" s="11" t="s">
        <v>748</v>
      </c>
      <c r="E536" s="50" t="str">
        <f aca="false">IF(OR(NOT(ISNUMBER(E160)),NOT(ISNUMBER(E348))),"",E160-E348)</f>
        <v/>
      </c>
      <c r="F536" s="50" t="str">
        <f aca="false">IF(OR(NOT(ISNUMBER(F160)),NOT(ISNUMBER(F348))),"",F160-F348)</f>
        <v/>
      </c>
      <c r="G536" s="50" t="str">
        <f aca="false">IF(OR(NOT(ISNUMBER(G160)),NOT(ISNUMBER(G348))),"",G160-G348)</f>
        <v/>
      </c>
      <c r="H536" s="50" t="str">
        <f aca="false">IF(OR(NOT(ISNUMBER(H160)),NOT(ISNUMBER(H348))),"",H160-H348)</f>
        <v/>
      </c>
      <c r="I536" s="50" t="str">
        <f aca="false">IF(OR(NOT(ISNUMBER(I160)),NOT(ISNUMBER(I348))),"",I160-I348)</f>
        <v/>
      </c>
      <c r="J536" s="50" t="str">
        <f aca="false">IF(OR(NOT(ISNUMBER(J160)),NOT(ISNUMBER(J348))),"",J160-J348)</f>
        <v/>
      </c>
      <c r="K536" s="50" t="str">
        <f aca="false">IF(OR(NOT(ISNUMBER(K160)),NOT(ISNUMBER(K348))),"",K160-K348)</f>
        <v/>
      </c>
      <c r="L536" s="50" t="str">
        <f aca="false">IF(OR(NOT(ISNUMBER(L160)),NOT(ISNUMBER(L348))),"",L160-L348)</f>
        <v/>
      </c>
      <c r="M536" s="50" t="str">
        <f aca="false">IF(OR(NOT(ISNUMBER(M160)),NOT(ISNUMBER(M348))),"",M160-M348)</f>
        <v/>
      </c>
      <c r="N536" s="50" t="str">
        <f aca="false">IF(OR(NOT(ISNUMBER(N160)),NOT(ISNUMBER(N348))),"",N160-N348)</f>
        <v/>
      </c>
      <c r="O536" s="68" t="str">
        <f aca="false">IF(OR(NOT(ISNUMBER(O160)),NOT(ISNUMBER(O348))),"",O160-O348)</f>
        <v/>
      </c>
      <c r="P536" s="11" t="str">
        <f aca="false">IF(COUNT(D536:N536)=0,"",IF(AND(MAX(D536:N536)&lt;0.005,MIN(D536:N536)&gt;-0.005),"Sin diferencia","Diferencia a explicar"))</f>
        <v/>
      </c>
    </row>
    <row r="537" customFormat="false" ht="15" hidden="true" customHeight="false" outlineLevel="1" collapsed="false">
      <c r="A537" s="11" t="s">
        <v>2241</v>
      </c>
      <c r="B537" s="53" t="str">
        <f aca="false">IF(INDEX(Prod_Nombre,11)="","Producto 11",INDEX(Prod_Nombre,11))</f>
        <v>Producto 11</v>
      </c>
      <c r="C537" s="11" t="s">
        <v>508</v>
      </c>
      <c r="D537" s="48" t="str">
        <f aca="false">IF(OR(NOT(ISNUMBER(D161)),NOT(ISNUMBER(D349))),"",D161-D349)</f>
        <v/>
      </c>
      <c r="E537" s="48" t="str">
        <f aca="false">IF(OR(NOT(ISNUMBER(E161)),NOT(ISNUMBER(E349))),"",E161-E349)</f>
        <v/>
      </c>
      <c r="F537" s="48" t="str">
        <f aca="false">IF(OR(NOT(ISNUMBER(F161)),NOT(ISNUMBER(F349))),"",F161-F349)</f>
        <v/>
      </c>
      <c r="G537" s="48" t="str">
        <f aca="false">IF(OR(NOT(ISNUMBER(G161)),NOT(ISNUMBER(G349))),"",G161-G349)</f>
        <v/>
      </c>
      <c r="H537" s="48" t="str">
        <f aca="false">IF(OR(NOT(ISNUMBER(H161)),NOT(ISNUMBER(H349))),"",H161-H349)</f>
        <v/>
      </c>
      <c r="I537" s="48" t="str">
        <f aca="false">IF(OR(NOT(ISNUMBER(I161)),NOT(ISNUMBER(I349))),"",I161-I349)</f>
        <v/>
      </c>
      <c r="J537" s="48" t="str">
        <f aca="false">IF(OR(NOT(ISNUMBER(J161)),NOT(ISNUMBER(J349))),"",J161-J349)</f>
        <v/>
      </c>
      <c r="K537" s="48" t="str">
        <f aca="false">IF(OR(NOT(ISNUMBER(K161)),NOT(ISNUMBER(K349))),"",K161-K349)</f>
        <v/>
      </c>
      <c r="L537" s="48" t="str">
        <f aca="false">IF(OR(NOT(ISNUMBER(L161)),NOT(ISNUMBER(L349))),"",L161-L349)</f>
        <v/>
      </c>
      <c r="M537" s="48" t="str">
        <f aca="false">IF(OR(NOT(ISNUMBER(M161)),NOT(ISNUMBER(M349))),"",M161-M349)</f>
        <v/>
      </c>
      <c r="N537" s="48" t="str">
        <f aca="false">IF(OR(NOT(ISNUMBER(N161)),NOT(ISNUMBER(N349))),"",N161-N349)</f>
        <v/>
      </c>
      <c r="O537" s="54" t="str">
        <f aca="false">IF(OR(NOT(ISNUMBER(O161)),NOT(ISNUMBER(O349))),"",O161-O349)</f>
        <v/>
      </c>
      <c r="P537" s="11" t="str">
        <f aca="false">IF(COUNT(D537:N537)=0,"",IF(AND(MAX(D537:N537)&lt;2,MIN(D537:N537)&gt;-2),"Sin diferencia","Diferencia a explicar"))</f>
        <v/>
      </c>
    </row>
    <row r="538" customFormat="false" ht="15" hidden="true" customHeight="false" outlineLevel="1" collapsed="false">
      <c r="A538" s="11" t="s">
        <v>2242</v>
      </c>
      <c r="B538" s="15" t="s">
        <v>2087</v>
      </c>
      <c r="C538" s="11" t="s">
        <v>748</v>
      </c>
      <c r="E538" s="50" t="str">
        <f aca="false">IF(OR(NOT(ISNUMBER(E162)),NOT(ISNUMBER(E350))),"",E162-E350)</f>
        <v/>
      </c>
      <c r="F538" s="50" t="str">
        <f aca="false">IF(OR(NOT(ISNUMBER(F162)),NOT(ISNUMBER(F350))),"",F162-F350)</f>
        <v/>
      </c>
      <c r="G538" s="50" t="str">
        <f aca="false">IF(OR(NOT(ISNUMBER(G162)),NOT(ISNUMBER(G350))),"",G162-G350)</f>
        <v/>
      </c>
      <c r="H538" s="50" t="str">
        <f aca="false">IF(OR(NOT(ISNUMBER(H162)),NOT(ISNUMBER(H350))),"",H162-H350)</f>
        <v/>
      </c>
      <c r="I538" s="50" t="str">
        <f aca="false">IF(OR(NOT(ISNUMBER(I162)),NOT(ISNUMBER(I350))),"",I162-I350)</f>
        <v/>
      </c>
      <c r="J538" s="50" t="str">
        <f aca="false">IF(OR(NOT(ISNUMBER(J162)),NOT(ISNUMBER(J350))),"",J162-J350)</f>
        <v/>
      </c>
      <c r="K538" s="50" t="str">
        <f aca="false">IF(OR(NOT(ISNUMBER(K162)),NOT(ISNUMBER(K350))),"",K162-K350)</f>
        <v/>
      </c>
      <c r="L538" s="50" t="str">
        <f aca="false">IF(OR(NOT(ISNUMBER(L162)),NOT(ISNUMBER(L350))),"",L162-L350)</f>
        <v/>
      </c>
      <c r="M538" s="50" t="str">
        <f aca="false">IF(OR(NOT(ISNUMBER(M162)),NOT(ISNUMBER(M350))),"",M162-M350)</f>
        <v/>
      </c>
      <c r="N538" s="50" t="str">
        <f aca="false">IF(OR(NOT(ISNUMBER(N162)),NOT(ISNUMBER(N350))),"",N162-N350)</f>
        <v/>
      </c>
      <c r="O538" s="68" t="str">
        <f aca="false">IF(OR(NOT(ISNUMBER(O162)),NOT(ISNUMBER(O350))),"",O162-O350)</f>
        <v/>
      </c>
      <c r="P538" s="11" t="str">
        <f aca="false">IF(COUNT(D538:N538)=0,"",IF(AND(MAX(D538:N538)&lt;0.005,MIN(D538:N538)&gt;-0.005),"Sin diferencia","Diferencia a explicar"))</f>
        <v/>
      </c>
    </row>
    <row r="539" customFormat="false" ht="15" hidden="true" customHeight="false" outlineLevel="1" collapsed="false">
      <c r="A539" s="11" t="s">
        <v>2243</v>
      </c>
      <c r="B539" s="53" t="str">
        <f aca="false">IF(INDEX(Prod_Nombre,12)="","Producto 12",INDEX(Prod_Nombre,12))</f>
        <v>Producto 12</v>
      </c>
      <c r="C539" s="11" t="s">
        <v>508</v>
      </c>
      <c r="D539" s="48" t="str">
        <f aca="false">IF(OR(NOT(ISNUMBER(D163)),NOT(ISNUMBER(D351))),"",D163-D351)</f>
        <v/>
      </c>
      <c r="E539" s="48" t="str">
        <f aca="false">IF(OR(NOT(ISNUMBER(E163)),NOT(ISNUMBER(E351))),"",E163-E351)</f>
        <v/>
      </c>
      <c r="F539" s="48" t="str">
        <f aca="false">IF(OR(NOT(ISNUMBER(F163)),NOT(ISNUMBER(F351))),"",F163-F351)</f>
        <v/>
      </c>
      <c r="G539" s="48" t="str">
        <f aca="false">IF(OR(NOT(ISNUMBER(G163)),NOT(ISNUMBER(G351))),"",G163-G351)</f>
        <v/>
      </c>
      <c r="H539" s="48" t="str">
        <f aca="false">IF(OR(NOT(ISNUMBER(H163)),NOT(ISNUMBER(H351))),"",H163-H351)</f>
        <v/>
      </c>
      <c r="I539" s="48" t="str">
        <f aca="false">IF(OR(NOT(ISNUMBER(I163)),NOT(ISNUMBER(I351))),"",I163-I351)</f>
        <v/>
      </c>
      <c r="J539" s="48" t="str">
        <f aca="false">IF(OR(NOT(ISNUMBER(J163)),NOT(ISNUMBER(J351))),"",J163-J351)</f>
        <v/>
      </c>
      <c r="K539" s="48" t="str">
        <f aca="false">IF(OR(NOT(ISNUMBER(K163)),NOT(ISNUMBER(K351))),"",K163-K351)</f>
        <v/>
      </c>
      <c r="L539" s="48" t="str">
        <f aca="false">IF(OR(NOT(ISNUMBER(L163)),NOT(ISNUMBER(L351))),"",L163-L351)</f>
        <v/>
      </c>
      <c r="M539" s="48" t="str">
        <f aca="false">IF(OR(NOT(ISNUMBER(M163)),NOT(ISNUMBER(M351))),"",M163-M351)</f>
        <v/>
      </c>
      <c r="N539" s="48" t="str">
        <f aca="false">IF(OR(NOT(ISNUMBER(N163)),NOT(ISNUMBER(N351))),"",N163-N351)</f>
        <v/>
      </c>
      <c r="O539" s="54" t="str">
        <f aca="false">IF(OR(NOT(ISNUMBER(O163)),NOT(ISNUMBER(O351))),"",O163-O351)</f>
        <v/>
      </c>
      <c r="P539" s="11" t="str">
        <f aca="false">IF(COUNT(D539:N539)=0,"",IF(AND(MAX(D539:N539)&lt;2,MIN(D539:N539)&gt;-2),"Sin diferencia","Diferencia a explicar"))</f>
        <v/>
      </c>
    </row>
    <row r="540" customFormat="false" ht="15" hidden="true" customHeight="false" outlineLevel="1" collapsed="false">
      <c r="A540" s="11" t="s">
        <v>2244</v>
      </c>
      <c r="B540" s="15" t="s">
        <v>2087</v>
      </c>
      <c r="C540" s="11" t="s">
        <v>748</v>
      </c>
      <c r="E540" s="50" t="str">
        <f aca="false">IF(OR(NOT(ISNUMBER(E164)),NOT(ISNUMBER(E352))),"",E164-E352)</f>
        <v/>
      </c>
      <c r="F540" s="50" t="str">
        <f aca="false">IF(OR(NOT(ISNUMBER(F164)),NOT(ISNUMBER(F352))),"",F164-F352)</f>
        <v/>
      </c>
      <c r="G540" s="50" t="str">
        <f aca="false">IF(OR(NOT(ISNUMBER(G164)),NOT(ISNUMBER(G352))),"",G164-G352)</f>
        <v/>
      </c>
      <c r="H540" s="50" t="str">
        <f aca="false">IF(OR(NOT(ISNUMBER(H164)),NOT(ISNUMBER(H352))),"",H164-H352)</f>
        <v/>
      </c>
      <c r="I540" s="50" t="str">
        <f aca="false">IF(OR(NOT(ISNUMBER(I164)),NOT(ISNUMBER(I352))),"",I164-I352)</f>
        <v/>
      </c>
      <c r="J540" s="50" t="str">
        <f aca="false">IF(OR(NOT(ISNUMBER(J164)),NOT(ISNUMBER(J352))),"",J164-J352)</f>
        <v/>
      </c>
      <c r="K540" s="50" t="str">
        <f aca="false">IF(OR(NOT(ISNUMBER(K164)),NOT(ISNUMBER(K352))),"",K164-K352)</f>
        <v/>
      </c>
      <c r="L540" s="50" t="str">
        <f aca="false">IF(OR(NOT(ISNUMBER(L164)),NOT(ISNUMBER(L352))),"",L164-L352)</f>
        <v/>
      </c>
      <c r="M540" s="50" t="str">
        <f aca="false">IF(OR(NOT(ISNUMBER(M164)),NOT(ISNUMBER(M352))),"",M164-M352)</f>
        <v/>
      </c>
      <c r="N540" s="50" t="str">
        <f aca="false">IF(OR(NOT(ISNUMBER(N164)),NOT(ISNUMBER(N352))),"",N164-N352)</f>
        <v/>
      </c>
      <c r="O540" s="68" t="str">
        <f aca="false">IF(OR(NOT(ISNUMBER(O164)),NOT(ISNUMBER(O352))),"",O164-O352)</f>
        <v/>
      </c>
      <c r="P540" s="11" t="str">
        <f aca="false">IF(COUNT(D540:N540)=0,"",IF(AND(MAX(D540:N540)&lt;0.005,MIN(D540:N540)&gt;-0.005),"Sin diferencia","Diferencia a explicar"))</f>
        <v/>
      </c>
    </row>
    <row r="541" customFormat="false" ht="15" hidden="true" customHeight="false" outlineLevel="1" collapsed="false">
      <c r="A541" s="11" t="s">
        <v>2245</v>
      </c>
      <c r="B541" s="53" t="str">
        <f aca="false">IF(INDEX(Prod_Nombre,13)="","Producto 13",INDEX(Prod_Nombre,13))</f>
        <v>Producto 13</v>
      </c>
      <c r="C541" s="11" t="s">
        <v>508</v>
      </c>
      <c r="D541" s="48" t="str">
        <f aca="false">IF(OR(NOT(ISNUMBER(D165)),NOT(ISNUMBER(D353))),"",D165-D353)</f>
        <v/>
      </c>
      <c r="E541" s="48" t="str">
        <f aca="false">IF(OR(NOT(ISNUMBER(E165)),NOT(ISNUMBER(E353))),"",E165-E353)</f>
        <v/>
      </c>
      <c r="F541" s="48" t="str">
        <f aca="false">IF(OR(NOT(ISNUMBER(F165)),NOT(ISNUMBER(F353))),"",F165-F353)</f>
        <v/>
      </c>
      <c r="G541" s="48" t="str">
        <f aca="false">IF(OR(NOT(ISNUMBER(G165)),NOT(ISNUMBER(G353))),"",G165-G353)</f>
        <v/>
      </c>
      <c r="H541" s="48" t="str">
        <f aca="false">IF(OR(NOT(ISNUMBER(H165)),NOT(ISNUMBER(H353))),"",H165-H353)</f>
        <v/>
      </c>
      <c r="I541" s="48" t="str">
        <f aca="false">IF(OR(NOT(ISNUMBER(I165)),NOT(ISNUMBER(I353))),"",I165-I353)</f>
        <v/>
      </c>
      <c r="J541" s="48" t="str">
        <f aca="false">IF(OR(NOT(ISNUMBER(J165)),NOT(ISNUMBER(J353))),"",J165-J353)</f>
        <v/>
      </c>
      <c r="K541" s="48" t="str">
        <f aca="false">IF(OR(NOT(ISNUMBER(K165)),NOT(ISNUMBER(K353))),"",K165-K353)</f>
        <v/>
      </c>
      <c r="L541" s="48" t="str">
        <f aca="false">IF(OR(NOT(ISNUMBER(L165)),NOT(ISNUMBER(L353))),"",L165-L353)</f>
        <v/>
      </c>
      <c r="M541" s="48" t="str">
        <f aca="false">IF(OR(NOT(ISNUMBER(M165)),NOT(ISNUMBER(M353))),"",M165-M353)</f>
        <v/>
      </c>
      <c r="N541" s="48" t="str">
        <f aca="false">IF(OR(NOT(ISNUMBER(N165)),NOT(ISNUMBER(N353))),"",N165-N353)</f>
        <v/>
      </c>
      <c r="O541" s="54" t="str">
        <f aca="false">IF(OR(NOT(ISNUMBER(O165)),NOT(ISNUMBER(O353))),"",O165-O353)</f>
        <v/>
      </c>
      <c r="P541" s="11" t="str">
        <f aca="false">IF(COUNT(D541:N541)=0,"",IF(AND(MAX(D541:N541)&lt;2,MIN(D541:N541)&gt;-2),"Sin diferencia","Diferencia a explicar"))</f>
        <v/>
      </c>
    </row>
    <row r="542" customFormat="false" ht="15" hidden="true" customHeight="false" outlineLevel="1" collapsed="false">
      <c r="A542" s="11" t="s">
        <v>2246</v>
      </c>
      <c r="B542" s="15" t="s">
        <v>2087</v>
      </c>
      <c r="C542" s="11" t="s">
        <v>748</v>
      </c>
      <c r="E542" s="50" t="str">
        <f aca="false">IF(OR(NOT(ISNUMBER(E166)),NOT(ISNUMBER(E354))),"",E166-E354)</f>
        <v/>
      </c>
      <c r="F542" s="50" t="str">
        <f aca="false">IF(OR(NOT(ISNUMBER(F166)),NOT(ISNUMBER(F354))),"",F166-F354)</f>
        <v/>
      </c>
      <c r="G542" s="50" t="str">
        <f aca="false">IF(OR(NOT(ISNUMBER(G166)),NOT(ISNUMBER(G354))),"",G166-G354)</f>
        <v/>
      </c>
      <c r="H542" s="50" t="str">
        <f aca="false">IF(OR(NOT(ISNUMBER(H166)),NOT(ISNUMBER(H354))),"",H166-H354)</f>
        <v/>
      </c>
      <c r="I542" s="50" t="str">
        <f aca="false">IF(OR(NOT(ISNUMBER(I166)),NOT(ISNUMBER(I354))),"",I166-I354)</f>
        <v/>
      </c>
      <c r="J542" s="50" t="str">
        <f aca="false">IF(OR(NOT(ISNUMBER(J166)),NOT(ISNUMBER(J354))),"",J166-J354)</f>
        <v/>
      </c>
      <c r="K542" s="50" t="str">
        <f aca="false">IF(OR(NOT(ISNUMBER(K166)),NOT(ISNUMBER(K354))),"",K166-K354)</f>
        <v/>
      </c>
      <c r="L542" s="50" t="str">
        <f aca="false">IF(OR(NOT(ISNUMBER(L166)),NOT(ISNUMBER(L354))),"",L166-L354)</f>
        <v/>
      </c>
      <c r="M542" s="50" t="str">
        <f aca="false">IF(OR(NOT(ISNUMBER(M166)),NOT(ISNUMBER(M354))),"",M166-M354)</f>
        <v/>
      </c>
      <c r="N542" s="50" t="str">
        <f aca="false">IF(OR(NOT(ISNUMBER(N166)),NOT(ISNUMBER(N354))),"",N166-N354)</f>
        <v/>
      </c>
      <c r="O542" s="68" t="str">
        <f aca="false">IF(OR(NOT(ISNUMBER(O166)),NOT(ISNUMBER(O354))),"",O166-O354)</f>
        <v/>
      </c>
      <c r="P542" s="11" t="str">
        <f aca="false">IF(COUNT(D542:N542)=0,"",IF(AND(MAX(D542:N542)&lt;0.005,MIN(D542:N542)&gt;-0.005),"Sin diferencia","Diferencia a explicar"))</f>
        <v/>
      </c>
    </row>
    <row r="543" customFormat="false" ht="15" hidden="true" customHeight="false" outlineLevel="1" collapsed="false">
      <c r="A543" s="11" t="s">
        <v>2247</v>
      </c>
      <c r="B543" s="53" t="str">
        <f aca="false">IF(INDEX(Prod_Nombre,14)="","Producto 14",INDEX(Prod_Nombre,14))</f>
        <v>Producto 14</v>
      </c>
      <c r="C543" s="11" t="s">
        <v>508</v>
      </c>
      <c r="D543" s="48" t="str">
        <f aca="false">IF(OR(NOT(ISNUMBER(D167)),NOT(ISNUMBER(D355))),"",D167-D355)</f>
        <v/>
      </c>
      <c r="E543" s="48" t="str">
        <f aca="false">IF(OR(NOT(ISNUMBER(E167)),NOT(ISNUMBER(E355))),"",E167-E355)</f>
        <v/>
      </c>
      <c r="F543" s="48" t="str">
        <f aca="false">IF(OR(NOT(ISNUMBER(F167)),NOT(ISNUMBER(F355))),"",F167-F355)</f>
        <v/>
      </c>
      <c r="G543" s="48" t="str">
        <f aca="false">IF(OR(NOT(ISNUMBER(G167)),NOT(ISNUMBER(G355))),"",G167-G355)</f>
        <v/>
      </c>
      <c r="H543" s="48" t="str">
        <f aca="false">IF(OR(NOT(ISNUMBER(H167)),NOT(ISNUMBER(H355))),"",H167-H355)</f>
        <v/>
      </c>
      <c r="I543" s="48" t="str">
        <f aca="false">IF(OR(NOT(ISNUMBER(I167)),NOT(ISNUMBER(I355))),"",I167-I355)</f>
        <v/>
      </c>
      <c r="J543" s="48" t="str">
        <f aca="false">IF(OR(NOT(ISNUMBER(J167)),NOT(ISNUMBER(J355))),"",J167-J355)</f>
        <v/>
      </c>
      <c r="K543" s="48" t="str">
        <f aca="false">IF(OR(NOT(ISNUMBER(K167)),NOT(ISNUMBER(K355))),"",K167-K355)</f>
        <v/>
      </c>
      <c r="L543" s="48" t="str">
        <f aca="false">IF(OR(NOT(ISNUMBER(L167)),NOT(ISNUMBER(L355))),"",L167-L355)</f>
        <v/>
      </c>
      <c r="M543" s="48" t="str">
        <f aca="false">IF(OR(NOT(ISNUMBER(M167)),NOT(ISNUMBER(M355))),"",M167-M355)</f>
        <v/>
      </c>
      <c r="N543" s="48" t="str">
        <f aca="false">IF(OR(NOT(ISNUMBER(N167)),NOT(ISNUMBER(N355))),"",N167-N355)</f>
        <v/>
      </c>
      <c r="O543" s="54" t="str">
        <f aca="false">IF(OR(NOT(ISNUMBER(O167)),NOT(ISNUMBER(O355))),"",O167-O355)</f>
        <v/>
      </c>
      <c r="P543" s="11" t="str">
        <f aca="false">IF(COUNT(D543:N543)=0,"",IF(AND(MAX(D543:N543)&lt;2,MIN(D543:N543)&gt;-2),"Sin diferencia","Diferencia a explicar"))</f>
        <v/>
      </c>
    </row>
    <row r="544" customFormat="false" ht="15" hidden="true" customHeight="false" outlineLevel="1" collapsed="false">
      <c r="A544" s="11" t="s">
        <v>2248</v>
      </c>
      <c r="B544" s="15" t="s">
        <v>2087</v>
      </c>
      <c r="C544" s="11" t="s">
        <v>748</v>
      </c>
      <c r="E544" s="50" t="str">
        <f aca="false">IF(OR(NOT(ISNUMBER(E168)),NOT(ISNUMBER(E356))),"",E168-E356)</f>
        <v/>
      </c>
      <c r="F544" s="50" t="str">
        <f aca="false">IF(OR(NOT(ISNUMBER(F168)),NOT(ISNUMBER(F356))),"",F168-F356)</f>
        <v/>
      </c>
      <c r="G544" s="50" t="str">
        <f aca="false">IF(OR(NOT(ISNUMBER(G168)),NOT(ISNUMBER(G356))),"",G168-G356)</f>
        <v/>
      </c>
      <c r="H544" s="50" t="str">
        <f aca="false">IF(OR(NOT(ISNUMBER(H168)),NOT(ISNUMBER(H356))),"",H168-H356)</f>
        <v/>
      </c>
      <c r="I544" s="50" t="str">
        <f aca="false">IF(OR(NOT(ISNUMBER(I168)),NOT(ISNUMBER(I356))),"",I168-I356)</f>
        <v/>
      </c>
      <c r="J544" s="50" t="str">
        <f aca="false">IF(OR(NOT(ISNUMBER(J168)),NOT(ISNUMBER(J356))),"",J168-J356)</f>
        <v/>
      </c>
      <c r="K544" s="50" t="str">
        <f aca="false">IF(OR(NOT(ISNUMBER(K168)),NOT(ISNUMBER(K356))),"",K168-K356)</f>
        <v/>
      </c>
      <c r="L544" s="50" t="str">
        <f aca="false">IF(OR(NOT(ISNUMBER(L168)),NOT(ISNUMBER(L356))),"",L168-L356)</f>
        <v/>
      </c>
      <c r="M544" s="50" t="str">
        <f aca="false">IF(OR(NOT(ISNUMBER(M168)),NOT(ISNUMBER(M356))),"",M168-M356)</f>
        <v/>
      </c>
      <c r="N544" s="50" t="str">
        <f aca="false">IF(OR(NOT(ISNUMBER(N168)),NOT(ISNUMBER(N356))),"",N168-N356)</f>
        <v/>
      </c>
      <c r="O544" s="68" t="str">
        <f aca="false">IF(OR(NOT(ISNUMBER(O168)),NOT(ISNUMBER(O356))),"",O168-O356)</f>
        <v/>
      </c>
      <c r="P544" s="11" t="str">
        <f aca="false">IF(COUNT(D544:N544)=0,"",IF(AND(MAX(D544:N544)&lt;0.005,MIN(D544:N544)&gt;-0.005),"Sin diferencia","Diferencia a explicar"))</f>
        <v/>
      </c>
    </row>
    <row r="545" customFormat="false" ht="15" hidden="true" customHeight="false" outlineLevel="1" collapsed="false">
      <c r="A545" s="11" t="s">
        <v>2249</v>
      </c>
      <c r="B545" s="53" t="str">
        <f aca="false">IF(INDEX(Prod_Nombre,15)="","Producto 15",INDEX(Prod_Nombre,15))</f>
        <v>Producto 15</v>
      </c>
      <c r="C545" s="11" t="s">
        <v>508</v>
      </c>
      <c r="D545" s="48" t="str">
        <f aca="false">IF(OR(NOT(ISNUMBER(D169)),NOT(ISNUMBER(D357))),"",D169-D357)</f>
        <v/>
      </c>
      <c r="E545" s="48" t="str">
        <f aca="false">IF(OR(NOT(ISNUMBER(E169)),NOT(ISNUMBER(E357))),"",E169-E357)</f>
        <v/>
      </c>
      <c r="F545" s="48" t="str">
        <f aca="false">IF(OR(NOT(ISNUMBER(F169)),NOT(ISNUMBER(F357))),"",F169-F357)</f>
        <v/>
      </c>
      <c r="G545" s="48" t="str">
        <f aca="false">IF(OR(NOT(ISNUMBER(G169)),NOT(ISNUMBER(G357))),"",G169-G357)</f>
        <v/>
      </c>
      <c r="H545" s="48" t="str">
        <f aca="false">IF(OR(NOT(ISNUMBER(H169)),NOT(ISNUMBER(H357))),"",H169-H357)</f>
        <v/>
      </c>
      <c r="I545" s="48" t="str">
        <f aca="false">IF(OR(NOT(ISNUMBER(I169)),NOT(ISNUMBER(I357))),"",I169-I357)</f>
        <v/>
      </c>
      <c r="J545" s="48" t="str">
        <f aca="false">IF(OR(NOT(ISNUMBER(J169)),NOT(ISNUMBER(J357))),"",J169-J357)</f>
        <v/>
      </c>
      <c r="K545" s="48" t="str">
        <f aca="false">IF(OR(NOT(ISNUMBER(K169)),NOT(ISNUMBER(K357))),"",K169-K357)</f>
        <v/>
      </c>
      <c r="L545" s="48" t="str">
        <f aca="false">IF(OR(NOT(ISNUMBER(L169)),NOT(ISNUMBER(L357))),"",L169-L357)</f>
        <v/>
      </c>
      <c r="M545" s="48" t="str">
        <f aca="false">IF(OR(NOT(ISNUMBER(M169)),NOT(ISNUMBER(M357))),"",M169-M357)</f>
        <v/>
      </c>
      <c r="N545" s="48" t="str">
        <f aca="false">IF(OR(NOT(ISNUMBER(N169)),NOT(ISNUMBER(N357))),"",N169-N357)</f>
        <v/>
      </c>
      <c r="O545" s="54" t="str">
        <f aca="false">IF(OR(NOT(ISNUMBER(O169)),NOT(ISNUMBER(O357))),"",O169-O357)</f>
        <v/>
      </c>
      <c r="P545" s="11" t="str">
        <f aca="false">IF(COUNT(D545:N545)=0,"",IF(AND(MAX(D545:N545)&lt;2,MIN(D545:N545)&gt;-2),"Sin diferencia","Diferencia a explicar"))</f>
        <v/>
      </c>
    </row>
    <row r="546" customFormat="false" ht="15" hidden="true" customHeight="false" outlineLevel="1" collapsed="false">
      <c r="A546" s="11" t="s">
        <v>2250</v>
      </c>
      <c r="B546" s="15" t="s">
        <v>2087</v>
      </c>
      <c r="C546" s="11" t="s">
        <v>748</v>
      </c>
      <c r="E546" s="50" t="str">
        <f aca="false">IF(OR(NOT(ISNUMBER(E170)),NOT(ISNUMBER(E358))),"",E170-E358)</f>
        <v/>
      </c>
      <c r="F546" s="50" t="str">
        <f aca="false">IF(OR(NOT(ISNUMBER(F170)),NOT(ISNUMBER(F358))),"",F170-F358)</f>
        <v/>
      </c>
      <c r="G546" s="50" t="str">
        <f aca="false">IF(OR(NOT(ISNUMBER(G170)),NOT(ISNUMBER(G358))),"",G170-G358)</f>
        <v/>
      </c>
      <c r="H546" s="50" t="str">
        <f aca="false">IF(OR(NOT(ISNUMBER(H170)),NOT(ISNUMBER(H358))),"",H170-H358)</f>
        <v/>
      </c>
      <c r="I546" s="50" t="str">
        <f aca="false">IF(OR(NOT(ISNUMBER(I170)),NOT(ISNUMBER(I358))),"",I170-I358)</f>
        <v/>
      </c>
      <c r="J546" s="50" t="str">
        <f aca="false">IF(OR(NOT(ISNUMBER(J170)),NOT(ISNUMBER(J358))),"",J170-J358)</f>
        <v/>
      </c>
      <c r="K546" s="50" t="str">
        <f aca="false">IF(OR(NOT(ISNUMBER(K170)),NOT(ISNUMBER(K358))),"",K170-K358)</f>
        <v/>
      </c>
      <c r="L546" s="50" t="str">
        <f aca="false">IF(OR(NOT(ISNUMBER(L170)),NOT(ISNUMBER(L358))),"",L170-L358)</f>
        <v/>
      </c>
      <c r="M546" s="50" t="str">
        <f aca="false">IF(OR(NOT(ISNUMBER(M170)),NOT(ISNUMBER(M358))),"",M170-M358)</f>
        <v/>
      </c>
      <c r="N546" s="50" t="str">
        <f aca="false">IF(OR(NOT(ISNUMBER(N170)),NOT(ISNUMBER(N358))),"",N170-N358)</f>
        <v/>
      </c>
      <c r="O546" s="68" t="str">
        <f aca="false">IF(OR(NOT(ISNUMBER(O170)),NOT(ISNUMBER(O358))),"",O170-O358)</f>
        <v/>
      </c>
      <c r="P546" s="11" t="str">
        <f aca="false">IF(COUNT(D546:N546)=0,"",IF(AND(MAX(D546:N546)&lt;0.005,MIN(D546:N546)&gt;-0.005),"Sin diferencia","Diferencia a explicar"))</f>
        <v/>
      </c>
    </row>
    <row r="547" customFormat="false" ht="15" hidden="true" customHeight="false" outlineLevel="1" collapsed="false">
      <c r="A547" s="11" t="s">
        <v>2251</v>
      </c>
      <c r="B547" s="53" t="str">
        <f aca="false">IF(INDEX(Prod_Nombre,16)="","Producto 16",INDEX(Prod_Nombre,16))</f>
        <v>Producto 16</v>
      </c>
      <c r="C547" s="11" t="s">
        <v>508</v>
      </c>
      <c r="D547" s="48" t="str">
        <f aca="false">IF(OR(NOT(ISNUMBER(D171)),NOT(ISNUMBER(D359))),"",D171-D359)</f>
        <v/>
      </c>
      <c r="E547" s="48" t="str">
        <f aca="false">IF(OR(NOT(ISNUMBER(E171)),NOT(ISNUMBER(E359))),"",E171-E359)</f>
        <v/>
      </c>
      <c r="F547" s="48" t="str">
        <f aca="false">IF(OR(NOT(ISNUMBER(F171)),NOT(ISNUMBER(F359))),"",F171-F359)</f>
        <v/>
      </c>
      <c r="G547" s="48" t="str">
        <f aca="false">IF(OR(NOT(ISNUMBER(G171)),NOT(ISNUMBER(G359))),"",G171-G359)</f>
        <v/>
      </c>
      <c r="H547" s="48" t="str">
        <f aca="false">IF(OR(NOT(ISNUMBER(H171)),NOT(ISNUMBER(H359))),"",H171-H359)</f>
        <v/>
      </c>
      <c r="I547" s="48" t="str">
        <f aca="false">IF(OR(NOT(ISNUMBER(I171)),NOT(ISNUMBER(I359))),"",I171-I359)</f>
        <v/>
      </c>
      <c r="J547" s="48" t="str">
        <f aca="false">IF(OR(NOT(ISNUMBER(J171)),NOT(ISNUMBER(J359))),"",J171-J359)</f>
        <v/>
      </c>
      <c r="K547" s="48" t="str">
        <f aca="false">IF(OR(NOT(ISNUMBER(K171)),NOT(ISNUMBER(K359))),"",K171-K359)</f>
        <v/>
      </c>
      <c r="L547" s="48" t="str">
        <f aca="false">IF(OR(NOT(ISNUMBER(L171)),NOT(ISNUMBER(L359))),"",L171-L359)</f>
        <v/>
      </c>
      <c r="M547" s="48" t="str">
        <f aca="false">IF(OR(NOT(ISNUMBER(M171)),NOT(ISNUMBER(M359))),"",M171-M359)</f>
        <v/>
      </c>
      <c r="N547" s="48" t="str">
        <f aca="false">IF(OR(NOT(ISNUMBER(N171)),NOT(ISNUMBER(N359))),"",N171-N359)</f>
        <v/>
      </c>
      <c r="O547" s="54" t="str">
        <f aca="false">IF(OR(NOT(ISNUMBER(O171)),NOT(ISNUMBER(O359))),"",O171-O359)</f>
        <v/>
      </c>
      <c r="P547" s="11" t="str">
        <f aca="false">IF(COUNT(D547:N547)=0,"",IF(AND(MAX(D547:N547)&lt;2,MIN(D547:N547)&gt;-2),"Sin diferencia","Diferencia a explicar"))</f>
        <v/>
      </c>
    </row>
    <row r="548" customFormat="false" ht="15" hidden="true" customHeight="false" outlineLevel="1" collapsed="false">
      <c r="A548" s="11" t="s">
        <v>2252</v>
      </c>
      <c r="B548" s="15" t="s">
        <v>2087</v>
      </c>
      <c r="C548" s="11" t="s">
        <v>748</v>
      </c>
      <c r="E548" s="50" t="str">
        <f aca="false">IF(OR(NOT(ISNUMBER(E172)),NOT(ISNUMBER(E360))),"",E172-E360)</f>
        <v/>
      </c>
      <c r="F548" s="50" t="str">
        <f aca="false">IF(OR(NOT(ISNUMBER(F172)),NOT(ISNUMBER(F360))),"",F172-F360)</f>
        <v/>
      </c>
      <c r="G548" s="50" t="str">
        <f aca="false">IF(OR(NOT(ISNUMBER(G172)),NOT(ISNUMBER(G360))),"",G172-G360)</f>
        <v/>
      </c>
      <c r="H548" s="50" t="str">
        <f aca="false">IF(OR(NOT(ISNUMBER(H172)),NOT(ISNUMBER(H360))),"",H172-H360)</f>
        <v/>
      </c>
      <c r="I548" s="50" t="str">
        <f aca="false">IF(OR(NOT(ISNUMBER(I172)),NOT(ISNUMBER(I360))),"",I172-I360)</f>
        <v/>
      </c>
      <c r="J548" s="50" t="str">
        <f aca="false">IF(OR(NOT(ISNUMBER(J172)),NOT(ISNUMBER(J360))),"",J172-J360)</f>
        <v/>
      </c>
      <c r="K548" s="50" t="str">
        <f aca="false">IF(OR(NOT(ISNUMBER(K172)),NOT(ISNUMBER(K360))),"",K172-K360)</f>
        <v/>
      </c>
      <c r="L548" s="50" t="str">
        <f aca="false">IF(OR(NOT(ISNUMBER(L172)),NOT(ISNUMBER(L360))),"",L172-L360)</f>
        <v/>
      </c>
      <c r="M548" s="50" t="str">
        <f aca="false">IF(OR(NOT(ISNUMBER(M172)),NOT(ISNUMBER(M360))),"",M172-M360)</f>
        <v/>
      </c>
      <c r="N548" s="50" t="str">
        <f aca="false">IF(OR(NOT(ISNUMBER(N172)),NOT(ISNUMBER(N360))),"",N172-N360)</f>
        <v/>
      </c>
      <c r="O548" s="68" t="str">
        <f aca="false">IF(OR(NOT(ISNUMBER(O172)),NOT(ISNUMBER(O360))),"",O172-O360)</f>
        <v/>
      </c>
      <c r="P548" s="11" t="str">
        <f aca="false">IF(COUNT(D548:N548)=0,"",IF(AND(MAX(D548:N548)&lt;0.005,MIN(D548:N548)&gt;-0.005),"Sin diferencia","Diferencia a explicar"))</f>
        <v/>
      </c>
    </row>
    <row r="549" customFormat="false" ht="15" hidden="true" customHeight="false" outlineLevel="1" collapsed="false">
      <c r="A549" s="11" t="s">
        <v>2253</v>
      </c>
      <c r="B549" s="53" t="str">
        <f aca="false">IF(INDEX(Prod_Nombre,17)="","Producto 17",INDEX(Prod_Nombre,17))</f>
        <v>Producto 17</v>
      </c>
      <c r="C549" s="11" t="s">
        <v>508</v>
      </c>
      <c r="D549" s="48" t="str">
        <f aca="false">IF(OR(NOT(ISNUMBER(D173)),NOT(ISNUMBER(D361))),"",D173-D361)</f>
        <v/>
      </c>
      <c r="E549" s="48" t="str">
        <f aca="false">IF(OR(NOT(ISNUMBER(E173)),NOT(ISNUMBER(E361))),"",E173-E361)</f>
        <v/>
      </c>
      <c r="F549" s="48" t="str">
        <f aca="false">IF(OR(NOT(ISNUMBER(F173)),NOT(ISNUMBER(F361))),"",F173-F361)</f>
        <v/>
      </c>
      <c r="G549" s="48" t="str">
        <f aca="false">IF(OR(NOT(ISNUMBER(G173)),NOT(ISNUMBER(G361))),"",G173-G361)</f>
        <v/>
      </c>
      <c r="H549" s="48" t="str">
        <f aca="false">IF(OR(NOT(ISNUMBER(H173)),NOT(ISNUMBER(H361))),"",H173-H361)</f>
        <v/>
      </c>
      <c r="I549" s="48" t="str">
        <f aca="false">IF(OR(NOT(ISNUMBER(I173)),NOT(ISNUMBER(I361))),"",I173-I361)</f>
        <v/>
      </c>
      <c r="J549" s="48" t="str">
        <f aca="false">IF(OR(NOT(ISNUMBER(J173)),NOT(ISNUMBER(J361))),"",J173-J361)</f>
        <v/>
      </c>
      <c r="K549" s="48" t="str">
        <f aca="false">IF(OR(NOT(ISNUMBER(K173)),NOT(ISNUMBER(K361))),"",K173-K361)</f>
        <v/>
      </c>
      <c r="L549" s="48" t="str">
        <f aca="false">IF(OR(NOT(ISNUMBER(L173)),NOT(ISNUMBER(L361))),"",L173-L361)</f>
        <v/>
      </c>
      <c r="M549" s="48" t="str">
        <f aca="false">IF(OR(NOT(ISNUMBER(M173)),NOT(ISNUMBER(M361))),"",M173-M361)</f>
        <v/>
      </c>
      <c r="N549" s="48" t="str">
        <f aca="false">IF(OR(NOT(ISNUMBER(N173)),NOT(ISNUMBER(N361))),"",N173-N361)</f>
        <v/>
      </c>
      <c r="O549" s="54" t="str">
        <f aca="false">IF(OR(NOT(ISNUMBER(O173)),NOT(ISNUMBER(O361))),"",O173-O361)</f>
        <v/>
      </c>
      <c r="P549" s="11" t="str">
        <f aca="false">IF(COUNT(D549:N549)=0,"",IF(AND(MAX(D549:N549)&lt;2,MIN(D549:N549)&gt;-2),"Sin diferencia","Diferencia a explicar"))</f>
        <v/>
      </c>
    </row>
    <row r="550" customFormat="false" ht="15" hidden="true" customHeight="false" outlineLevel="1" collapsed="false">
      <c r="A550" s="11" t="s">
        <v>2254</v>
      </c>
      <c r="B550" s="15" t="s">
        <v>2087</v>
      </c>
      <c r="C550" s="11" t="s">
        <v>748</v>
      </c>
      <c r="E550" s="50" t="str">
        <f aca="false">IF(OR(NOT(ISNUMBER(E174)),NOT(ISNUMBER(E362))),"",E174-E362)</f>
        <v/>
      </c>
      <c r="F550" s="50" t="str">
        <f aca="false">IF(OR(NOT(ISNUMBER(F174)),NOT(ISNUMBER(F362))),"",F174-F362)</f>
        <v/>
      </c>
      <c r="G550" s="50" t="str">
        <f aca="false">IF(OR(NOT(ISNUMBER(G174)),NOT(ISNUMBER(G362))),"",G174-G362)</f>
        <v/>
      </c>
      <c r="H550" s="50" t="str">
        <f aca="false">IF(OR(NOT(ISNUMBER(H174)),NOT(ISNUMBER(H362))),"",H174-H362)</f>
        <v/>
      </c>
      <c r="I550" s="50" t="str">
        <f aca="false">IF(OR(NOT(ISNUMBER(I174)),NOT(ISNUMBER(I362))),"",I174-I362)</f>
        <v/>
      </c>
      <c r="J550" s="50" t="str">
        <f aca="false">IF(OR(NOT(ISNUMBER(J174)),NOT(ISNUMBER(J362))),"",J174-J362)</f>
        <v/>
      </c>
      <c r="K550" s="50" t="str">
        <f aca="false">IF(OR(NOT(ISNUMBER(K174)),NOT(ISNUMBER(K362))),"",K174-K362)</f>
        <v/>
      </c>
      <c r="L550" s="50" t="str">
        <f aca="false">IF(OR(NOT(ISNUMBER(L174)),NOT(ISNUMBER(L362))),"",L174-L362)</f>
        <v/>
      </c>
      <c r="M550" s="50" t="str">
        <f aca="false">IF(OR(NOT(ISNUMBER(M174)),NOT(ISNUMBER(M362))),"",M174-M362)</f>
        <v/>
      </c>
      <c r="N550" s="50" t="str">
        <f aca="false">IF(OR(NOT(ISNUMBER(N174)),NOT(ISNUMBER(N362))),"",N174-N362)</f>
        <v/>
      </c>
      <c r="O550" s="68" t="str">
        <f aca="false">IF(OR(NOT(ISNUMBER(O174)),NOT(ISNUMBER(O362))),"",O174-O362)</f>
        <v/>
      </c>
      <c r="P550" s="11" t="str">
        <f aca="false">IF(COUNT(D550:N550)=0,"",IF(AND(MAX(D550:N550)&lt;0.005,MIN(D550:N550)&gt;-0.005),"Sin diferencia","Diferencia a explicar"))</f>
        <v/>
      </c>
    </row>
    <row r="551" customFormat="false" ht="15" hidden="true" customHeight="false" outlineLevel="1" collapsed="false">
      <c r="A551" s="11" t="s">
        <v>2255</v>
      </c>
      <c r="B551" s="53" t="str">
        <f aca="false">IF(INDEX(Prod_Nombre,18)="","Producto 18",INDEX(Prod_Nombre,18))</f>
        <v>Producto 18</v>
      </c>
      <c r="C551" s="11" t="s">
        <v>508</v>
      </c>
      <c r="D551" s="48" t="str">
        <f aca="false">IF(OR(NOT(ISNUMBER(D175)),NOT(ISNUMBER(D363))),"",D175-D363)</f>
        <v/>
      </c>
      <c r="E551" s="48" t="str">
        <f aca="false">IF(OR(NOT(ISNUMBER(E175)),NOT(ISNUMBER(E363))),"",E175-E363)</f>
        <v/>
      </c>
      <c r="F551" s="48" t="str">
        <f aca="false">IF(OR(NOT(ISNUMBER(F175)),NOT(ISNUMBER(F363))),"",F175-F363)</f>
        <v/>
      </c>
      <c r="G551" s="48" t="str">
        <f aca="false">IF(OR(NOT(ISNUMBER(G175)),NOT(ISNUMBER(G363))),"",G175-G363)</f>
        <v/>
      </c>
      <c r="H551" s="48" t="str">
        <f aca="false">IF(OR(NOT(ISNUMBER(H175)),NOT(ISNUMBER(H363))),"",H175-H363)</f>
        <v/>
      </c>
      <c r="I551" s="48" t="str">
        <f aca="false">IF(OR(NOT(ISNUMBER(I175)),NOT(ISNUMBER(I363))),"",I175-I363)</f>
        <v/>
      </c>
      <c r="J551" s="48" t="str">
        <f aca="false">IF(OR(NOT(ISNUMBER(J175)),NOT(ISNUMBER(J363))),"",J175-J363)</f>
        <v/>
      </c>
      <c r="K551" s="48" t="str">
        <f aca="false">IF(OR(NOT(ISNUMBER(K175)),NOT(ISNUMBER(K363))),"",K175-K363)</f>
        <v/>
      </c>
      <c r="L551" s="48" t="str">
        <f aca="false">IF(OR(NOT(ISNUMBER(L175)),NOT(ISNUMBER(L363))),"",L175-L363)</f>
        <v/>
      </c>
      <c r="M551" s="48" t="str">
        <f aca="false">IF(OR(NOT(ISNUMBER(M175)),NOT(ISNUMBER(M363))),"",M175-M363)</f>
        <v/>
      </c>
      <c r="N551" s="48" t="str">
        <f aca="false">IF(OR(NOT(ISNUMBER(N175)),NOT(ISNUMBER(N363))),"",N175-N363)</f>
        <v/>
      </c>
      <c r="O551" s="54" t="str">
        <f aca="false">IF(OR(NOT(ISNUMBER(O175)),NOT(ISNUMBER(O363))),"",O175-O363)</f>
        <v/>
      </c>
      <c r="P551" s="11" t="str">
        <f aca="false">IF(COUNT(D551:N551)=0,"",IF(AND(MAX(D551:N551)&lt;2,MIN(D551:N551)&gt;-2),"Sin diferencia","Diferencia a explicar"))</f>
        <v/>
      </c>
    </row>
    <row r="552" customFormat="false" ht="15" hidden="true" customHeight="false" outlineLevel="1" collapsed="false">
      <c r="A552" s="11" t="s">
        <v>2256</v>
      </c>
      <c r="B552" s="15" t="s">
        <v>2087</v>
      </c>
      <c r="C552" s="11" t="s">
        <v>748</v>
      </c>
      <c r="E552" s="50" t="str">
        <f aca="false">IF(OR(NOT(ISNUMBER(E176)),NOT(ISNUMBER(E364))),"",E176-E364)</f>
        <v/>
      </c>
      <c r="F552" s="50" t="str">
        <f aca="false">IF(OR(NOT(ISNUMBER(F176)),NOT(ISNUMBER(F364))),"",F176-F364)</f>
        <v/>
      </c>
      <c r="G552" s="50" t="str">
        <f aca="false">IF(OR(NOT(ISNUMBER(G176)),NOT(ISNUMBER(G364))),"",G176-G364)</f>
        <v/>
      </c>
      <c r="H552" s="50" t="str">
        <f aca="false">IF(OR(NOT(ISNUMBER(H176)),NOT(ISNUMBER(H364))),"",H176-H364)</f>
        <v/>
      </c>
      <c r="I552" s="50" t="str">
        <f aca="false">IF(OR(NOT(ISNUMBER(I176)),NOT(ISNUMBER(I364))),"",I176-I364)</f>
        <v/>
      </c>
      <c r="J552" s="50" t="str">
        <f aca="false">IF(OR(NOT(ISNUMBER(J176)),NOT(ISNUMBER(J364))),"",J176-J364)</f>
        <v/>
      </c>
      <c r="K552" s="50" t="str">
        <f aca="false">IF(OR(NOT(ISNUMBER(K176)),NOT(ISNUMBER(K364))),"",K176-K364)</f>
        <v/>
      </c>
      <c r="L552" s="50" t="str">
        <f aca="false">IF(OR(NOT(ISNUMBER(L176)),NOT(ISNUMBER(L364))),"",L176-L364)</f>
        <v/>
      </c>
      <c r="M552" s="50" t="str">
        <f aca="false">IF(OR(NOT(ISNUMBER(M176)),NOT(ISNUMBER(M364))),"",M176-M364)</f>
        <v/>
      </c>
      <c r="N552" s="50" t="str">
        <f aca="false">IF(OR(NOT(ISNUMBER(N176)),NOT(ISNUMBER(N364))),"",N176-N364)</f>
        <v/>
      </c>
      <c r="O552" s="68" t="str">
        <f aca="false">IF(OR(NOT(ISNUMBER(O176)),NOT(ISNUMBER(O364))),"",O176-O364)</f>
        <v/>
      </c>
      <c r="P552" s="11" t="str">
        <f aca="false">IF(COUNT(D552:N552)=0,"",IF(AND(MAX(D552:N552)&lt;0.005,MIN(D552:N552)&gt;-0.005),"Sin diferencia","Diferencia a explicar"))</f>
        <v/>
      </c>
    </row>
    <row r="553" customFormat="false" ht="15" hidden="true" customHeight="false" outlineLevel="1" collapsed="false">
      <c r="A553" s="11" t="s">
        <v>2257</v>
      </c>
      <c r="B553" s="53" t="str">
        <f aca="false">IF(INDEX(Prod_Nombre,19)="","Producto 19",INDEX(Prod_Nombre,19))</f>
        <v>Producto 19</v>
      </c>
      <c r="C553" s="11" t="s">
        <v>508</v>
      </c>
      <c r="D553" s="48" t="str">
        <f aca="false">IF(OR(NOT(ISNUMBER(D177)),NOT(ISNUMBER(D365))),"",D177-D365)</f>
        <v/>
      </c>
      <c r="E553" s="48" t="str">
        <f aca="false">IF(OR(NOT(ISNUMBER(E177)),NOT(ISNUMBER(E365))),"",E177-E365)</f>
        <v/>
      </c>
      <c r="F553" s="48" t="str">
        <f aca="false">IF(OR(NOT(ISNUMBER(F177)),NOT(ISNUMBER(F365))),"",F177-F365)</f>
        <v/>
      </c>
      <c r="G553" s="48" t="str">
        <f aca="false">IF(OR(NOT(ISNUMBER(G177)),NOT(ISNUMBER(G365))),"",G177-G365)</f>
        <v/>
      </c>
      <c r="H553" s="48" t="str">
        <f aca="false">IF(OR(NOT(ISNUMBER(H177)),NOT(ISNUMBER(H365))),"",H177-H365)</f>
        <v/>
      </c>
      <c r="I553" s="48" t="str">
        <f aca="false">IF(OR(NOT(ISNUMBER(I177)),NOT(ISNUMBER(I365))),"",I177-I365)</f>
        <v/>
      </c>
      <c r="J553" s="48" t="str">
        <f aca="false">IF(OR(NOT(ISNUMBER(J177)),NOT(ISNUMBER(J365))),"",J177-J365)</f>
        <v/>
      </c>
      <c r="K553" s="48" t="str">
        <f aca="false">IF(OR(NOT(ISNUMBER(K177)),NOT(ISNUMBER(K365))),"",K177-K365)</f>
        <v/>
      </c>
      <c r="L553" s="48" t="str">
        <f aca="false">IF(OR(NOT(ISNUMBER(L177)),NOT(ISNUMBER(L365))),"",L177-L365)</f>
        <v/>
      </c>
      <c r="M553" s="48" t="str">
        <f aca="false">IF(OR(NOT(ISNUMBER(M177)),NOT(ISNUMBER(M365))),"",M177-M365)</f>
        <v/>
      </c>
      <c r="N553" s="48" t="str">
        <f aca="false">IF(OR(NOT(ISNUMBER(N177)),NOT(ISNUMBER(N365))),"",N177-N365)</f>
        <v/>
      </c>
      <c r="O553" s="54" t="str">
        <f aca="false">IF(OR(NOT(ISNUMBER(O177)),NOT(ISNUMBER(O365))),"",O177-O365)</f>
        <v/>
      </c>
      <c r="P553" s="11" t="str">
        <f aca="false">IF(COUNT(D553:N553)=0,"",IF(AND(MAX(D553:N553)&lt;2,MIN(D553:N553)&gt;-2),"Sin diferencia","Diferencia a explicar"))</f>
        <v/>
      </c>
    </row>
    <row r="554" customFormat="false" ht="15" hidden="true" customHeight="false" outlineLevel="1" collapsed="false">
      <c r="A554" s="11" t="s">
        <v>2258</v>
      </c>
      <c r="B554" s="15" t="s">
        <v>2087</v>
      </c>
      <c r="C554" s="11" t="s">
        <v>748</v>
      </c>
      <c r="E554" s="50" t="str">
        <f aca="false">IF(OR(NOT(ISNUMBER(E178)),NOT(ISNUMBER(E366))),"",E178-E366)</f>
        <v/>
      </c>
      <c r="F554" s="50" t="str">
        <f aca="false">IF(OR(NOT(ISNUMBER(F178)),NOT(ISNUMBER(F366))),"",F178-F366)</f>
        <v/>
      </c>
      <c r="G554" s="50" t="str">
        <f aca="false">IF(OR(NOT(ISNUMBER(G178)),NOT(ISNUMBER(G366))),"",G178-G366)</f>
        <v/>
      </c>
      <c r="H554" s="50" t="str">
        <f aca="false">IF(OR(NOT(ISNUMBER(H178)),NOT(ISNUMBER(H366))),"",H178-H366)</f>
        <v/>
      </c>
      <c r="I554" s="50" t="str">
        <f aca="false">IF(OR(NOT(ISNUMBER(I178)),NOT(ISNUMBER(I366))),"",I178-I366)</f>
        <v/>
      </c>
      <c r="J554" s="50" t="str">
        <f aca="false">IF(OR(NOT(ISNUMBER(J178)),NOT(ISNUMBER(J366))),"",J178-J366)</f>
        <v/>
      </c>
      <c r="K554" s="50" t="str">
        <f aca="false">IF(OR(NOT(ISNUMBER(K178)),NOT(ISNUMBER(K366))),"",K178-K366)</f>
        <v/>
      </c>
      <c r="L554" s="50" t="str">
        <f aca="false">IF(OR(NOT(ISNUMBER(L178)),NOT(ISNUMBER(L366))),"",L178-L366)</f>
        <v/>
      </c>
      <c r="M554" s="50" t="str">
        <f aca="false">IF(OR(NOT(ISNUMBER(M178)),NOT(ISNUMBER(M366))),"",M178-M366)</f>
        <v/>
      </c>
      <c r="N554" s="50" t="str">
        <f aca="false">IF(OR(NOT(ISNUMBER(N178)),NOT(ISNUMBER(N366))),"",N178-N366)</f>
        <v/>
      </c>
      <c r="O554" s="68" t="str">
        <f aca="false">IF(OR(NOT(ISNUMBER(O178)),NOT(ISNUMBER(O366))),"",O178-O366)</f>
        <v/>
      </c>
      <c r="P554" s="11" t="str">
        <f aca="false">IF(COUNT(D554:N554)=0,"",IF(AND(MAX(D554:N554)&lt;0.005,MIN(D554:N554)&gt;-0.005),"Sin diferencia","Diferencia a explicar"))</f>
        <v/>
      </c>
    </row>
    <row r="555" customFormat="false" ht="15" hidden="true" customHeight="false" outlineLevel="1" collapsed="false">
      <c r="A555" s="11" t="s">
        <v>2259</v>
      </c>
      <c r="B555" s="53" t="str">
        <f aca="false">IF(INDEX(Prod_Nombre,20)="","Producto 20",INDEX(Prod_Nombre,20))</f>
        <v>Producto 20</v>
      </c>
      <c r="C555" s="11" t="s">
        <v>508</v>
      </c>
      <c r="D555" s="48" t="str">
        <f aca="false">IF(OR(NOT(ISNUMBER(D179)),NOT(ISNUMBER(D367))),"",D179-D367)</f>
        <v/>
      </c>
      <c r="E555" s="48" t="str">
        <f aca="false">IF(OR(NOT(ISNUMBER(E179)),NOT(ISNUMBER(E367))),"",E179-E367)</f>
        <v/>
      </c>
      <c r="F555" s="48" t="str">
        <f aca="false">IF(OR(NOT(ISNUMBER(F179)),NOT(ISNUMBER(F367))),"",F179-F367)</f>
        <v/>
      </c>
      <c r="G555" s="48" t="str">
        <f aca="false">IF(OR(NOT(ISNUMBER(G179)),NOT(ISNUMBER(G367))),"",G179-G367)</f>
        <v/>
      </c>
      <c r="H555" s="48" t="str">
        <f aca="false">IF(OR(NOT(ISNUMBER(H179)),NOT(ISNUMBER(H367))),"",H179-H367)</f>
        <v/>
      </c>
      <c r="I555" s="48" t="str">
        <f aca="false">IF(OR(NOT(ISNUMBER(I179)),NOT(ISNUMBER(I367))),"",I179-I367)</f>
        <v/>
      </c>
      <c r="J555" s="48" t="str">
        <f aca="false">IF(OR(NOT(ISNUMBER(J179)),NOT(ISNUMBER(J367))),"",J179-J367)</f>
        <v/>
      </c>
      <c r="K555" s="48" t="str">
        <f aca="false">IF(OR(NOT(ISNUMBER(K179)),NOT(ISNUMBER(K367))),"",K179-K367)</f>
        <v/>
      </c>
      <c r="L555" s="48" t="str">
        <f aca="false">IF(OR(NOT(ISNUMBER(L179)),NOT(ISNUMBER(L367))),"",L179-L367)</f>
        <v/>
      </c>
      <c r="M555" s="48" t="str">
        <f aca="false">IF(OR(NOT(ISNUMBER(M179)),NOT(ISNUMBER(M367))),"",M179-M367)</f>
        <v/>
      </c>
      <c r="N555" s="48" t="str">
        <f aca="false">IF(OR(NOT(ISNUMBER(N179)),NOT(ISNUMBER(N367))),"",N179-N367)</f>
        <v/>
      </c>
      <c r="O555" s="54" t="str">
        <f aca="false">IF(OR(NOT(ISNUMBER(O179)),NOT(ISNUMBER(O367))),"",O179-O367)</f>
        <v/>
      </c>
      <c r="P555" s="11" t="str">
        <f aca="false">IF(COUNT(D555:N555)=0,"",IF(AND(MAX(D555:N555)&lt;2,MIN(D555:N555)&gt;-2),"Sin diferencia","Diferencia a explicar"))</f>
        <v/>
      </c>
    </row>
    <row r="556" customFormat="false" ht="15" hidden="true" customHeight="false" outlineLevel="1" collapsed="false">
      <c r="A556" s="11" t="s">
        <v>2260</v>
      </c>
      <c r="B556" s="15" t="s">
        <v>2087</v>
      </c>
      <c r="C556" s="11" t="s">
        <v>748</v>
      </c>
      <c r="E556" s="50" t="str">
        <f aca="false">IF(OR(NOT(ISNUMBER(E180)),NOT(ISNUMBER(E368))),"",E180-E368)</f>
        <v/>
      </c>
      <c r="F556" s="50" t="str">
        <f aca="false">IF(OR(NOT(ISNUMBER(F180)),NOT(ISNUMBER(F368))),"",F180-F368)</f>
        <v/>
      </c>
      <c r="G556" s="50" t="str">
        <f aca="false">IF(OR(NOT(ISNUMBER(G180)),NOT(ISNUMBER(G368))),"",G180-G368)</f>
        <v/>
      </c>
      <c r="H556" s="50" t="str">
        <f aca="false">IF(OR(NOT(ISNUMBER(H180)),NOT(ISNUMBER(H368))),"",H180-H368)</f>
        <v/>
      </c>
      <c r="I556" s="50" t="str">
        <f aca="false">IF(OR(NOT(ISNUMBER(I180)),NOT(ISNUMBER(I368))),"",I180-I368)</f>
        <v/>
      </c>
      <c r="J556" s="50" t="str">
        <f aca="false">IF(OR(NOT(ISNUMBER(J180)),NOT(ISNUMBER(J368))),"",J180-J368)</f>
        <v/>
      </c>
      <c r="K556" s="50" t="str">
        <f aca="false">IF(OR(NOT(ISNUMBER(K180)),NOT(ISNUMBER(K368))),"",K180-K368)</f>
        <v/>
      </c>
      <c r="L556" s="50" t="str">
        <f aca="false">IF(OR(NOT(ISNUMBER(L180)),NOT(ISNUMBER(L368))),"",L180-L368)</f>
        <v/>
      </c>
      <c r="M556" s="50" t="str">
        <f aca="false">IF(OR(NOT(ISNUMBER(M180)),NOT(ISNUMBER(M368))),"",M180-M368)</f>
        <v/>
      </c>
      <c r="N556" s="50" t="str">
        <f aca="false">IF(OR(NOT(ISNUMBER(N180)),NOT(ISNUMBER(N368))),"",N180-N368)</f>
        <v/>
      </c>
      <c r="O556" s="68" t="str">
        <f aca="false">IF(OR(NOT(ISNUMBER(O180)),NOT(ISNUMBER(O368))),"",O180-O368)</f>
        <v/>
      </c>
      <c r="P556" s="11" t="str">
        <f aca="false">IF(COUNT(D556:N556)=0,"",IF(AND(MAX(D556:N556)&lt;0.005,MIN(D556:N556)&gt;-0.005),"Sin diferencia","Diferencia a explicar"))</f>
        <v/>
      </c>
    </row>
    <row r="557" customFormat="false" ht="15" hidden="true" customHeight="false" outlineLevel="1" collapsed="false">
      <c r="A557" s="11" t="s">
        <v>2261</v>
      </c>
      <c r="B557" s="53" t="str">
        <f aca="false">IF(INDEX(Prod_Nombre,21)="","Producto 21",INDEX(Prod_Nombre,21))</f>
        <v>Producto 21</v>
      </c>
      <c r="C557" s="11" t="s">
        <v>508</v>
      </c>
      <c r="D557" s="48" t="str">
        <f aca="false">IF(OR(NOT(ISNUMBER(D181)),NOT(ISNUMBER(D369))),"",D181-D369)</f>
        <v/>
      </c>
      <c r="E557" s="48" t="str">
        <f aca="false">IF(OR(NOT(ISNUMBER(E181)),NOT(ISNUMBER(E369))),"",E181-E369)</f>
        <v/>
      </c>
      <c r="F557" s="48" t="str">
        <f aca="false">IF(OR(NOT(ISNUMBER(F181)),NOT(ISNUMBER(F369))),"",F181-F369)</f>
        <v/>
      </c>
      <c r="G557" s="48" t="str">
        <f aca="false">IF(OR(NOT(ISNUMBER(G181)),NOT(ISNUMBER(G369))),"",G181-G369)</f>
        <v/>
      </c>
      <c r="H557" s="48" t="str">
        <f aca="false">IF(OR(NOT(ISNUMBER(H181)),NOT(ISNUMBER(H369))),"",H181-H369)</f>
        <v/>
      </c>
      <c r="I557" s="48" t="str">
        <f aca="false">IF(OR(NOT(ISNUMBER(I181)),NOT(ISNUMBER(I369))),"",I181-I369)</f>
        <v/>
      </c>
      <c r="J557" s="48" t="str">
        <f aca="false">IF(OR(NOT(ISNUMBER(J181)),NOT(ISNUMBER(J369))),"",J181-J369)</f>
        <v/>
      </c>
      <c r="K557" s="48" t="str">
        <f aca="false">IF(OR(NOT(ISNUMBER(K181)),NOT(ISNUMBER(K369))),"",K181-K369)</f>
        <v/>
      </c>
      <c r="L557" s="48" t="str">
        <f aca="false">IF(OR(NOT(ISNUMBER(L181)),NOT(ISNUMBER(L369))),"",L181-L369)</f>
        <v/>
      </c>
      <c r="M557" s="48" t="str">
        <f aca="false">IF(OR(NOT(ISNUMBER(M181)),NOT(ISNUMBER(M369))),"",M181-M369)</f>
        <v/>
      </c>
      <c r="N557" s="48" t="str">
        <f aca="false">IF(OR(NOT(ISNUMBER(N181)),NOT(ISNUMBER(N369))),"",N181-N369)</f>
        <v/>
      </c>
      <c r="O557" s="54" t="str">
        <f aca="false">IF(OR(NOT(ISNUMBER(O181)),NOT(ISNUMBER(O369))),"",O181-O369)</f>
        <v/>
      </c>
      <c r="P557" s="11" t="str">
        <f aca="false">IF(COUNT(D557:N557)=0,"",IF(AND(MAX(D557:N557)&lt;2,MIN(D557:N557)&gt;-2),"Sin diferencia","Diferencia a explicar"))</f>
        <v/>
      </c>
    </row>
    <row r="558" customFormat="false" ht="15" hidden="true" customHeight="false" outlineLevel="1" collapsed="false">
      <c r="A558" s="11" t="s">
        <v>2262</v>
      </c>
      <c r="B558" s="15" t="s">
        <v>2087</v>
      </c>
      <c r="C558" s="11" t="s">
        <v>748</v>
      </c>
      <c r="E558" s="50" t="str">
        <f aca="false">IF(OR(NOT(ISNUMBER(E182)),NOT(ISNUMBER(E370))),"",E182-E370)</f>
        <v/>
      </c>
      <c r="F558" s="50" t="str">
        <f aca="false">IF(OR(NOT(ISNUMBER(F182)),NOT(ISNUMBER(F370))),"",F182-F370)</f>
        <v/>
      </c>
      <c r="G558" s="50" t="str">
        <f aca="false">IF(OR(NOT(ISNUMBER(G182)),NOT(ISNUMBER(G370))),"",G182-G370)</f>
        <v/>
      </c>
      <c r="H558" s="50" t="str">
        <f aca="false">IF(OR(NOT(ISNUMBER(H182)),NOT(ISNUMBER(H370))),"",H182-H370)</f>
        <v/>
      </c>
      <c r="I558" s="50" t="str">
        <f aca="false">IF(OR(NOT(ISNUMBER(I182)),NOT(ISNUMBER(I370))),"",I182-I370)</f>
        <v/>
      </c>
      <c r="J558" s="50" t="str">
        <f aca="false">IF(OR(NOT(ISNUMBER(J182)),NOT(ISNUMBER(J370))),"",J182-J370)</f>
        <v/>
      </c>
      <c r="K558" s="50" t="str">
        <f aca="false">IF(OR(NOT(ISNUMBER(K182)),NOT(ISNUMBER(K370))),"",K182-K370)</f>
        <v/>
      </c>
      <c r="L558" s="50" t="str">
        <f aca="false">IF(OR(NOT(ISNUMBER(L182)),NOT(ISNUMBER(L370))),"",L182-L370)</f>
        <v/>
      </c>
      <c r="M558" s="50" t="str">
        <f aca="false">IF(OR(NOT(ISNUMBER(M182)),NOT(ISNUMBER(M370))),"",M182-M370)</f>
        <v/>
      </c>
      <c r="N558" s="50" t="str">
        <f aca="false">IF(OR(NOT(ISNUMBER(N182)),NOT(ISNUMBER(N370))),"",N182-N370)</f>
        <v/>
      </c>
      <c r="O558" s="68" t="str">
        <f aca="false">IF(OR(NOT(ISNUMBER(O182)),NOT(ISNUMBER(O370))),"",O182-O370)</f>
        <v/>
      </c>
      <c r="P558" s="11" t="str">
        <f aca="false">IF(COUNT(D558:N558)=0,"",IF(AND(MAX(D558:N558)&lt;0.005,MIN(D558:N558)&gt;-0.005),"Sin diferencia","Diferencia a explicar"))</f>
        <v/>
      </c>
    </row>
    <row r="559" customFormat="false" ht="15" hidden="true" customHeight="false" outlineLevel="1" collapsed="false">
      <c r="A559" s="11" t="s">
        <v>2263</v>
      </c>
      <c r="B559" s="53" t="str">
        <f aca="false">IF(INDEX(Prod_Nombre,22)="","Producto 22",INDEX(Prod_Nombre,22))</f>
        <v>Producto 22</v>
      </c>
      <c r="C559" s="11" t="s">
        <v>508</v>
      </c>
      <c r="D559" s="48" t="str">
        <f aca="false">IF(OR(NOT(ISNUMBER(D183)),NOT(ISNUMBER(D371))),"",D183-D371)</f>
        <v/>
      </c>
      <c r="E559" s="48" t="str">
        <f aca="false">IF(OR(NOT(ISNUMBER(E183)),NOT(ISNUMBER(E371))),"",E183-E371)</f>
        <v/>
      </c>
      <c r="F559" s="48" t="str">
        <f aca="false">IF(OR(NOT(ISNUMBER(F183)),NOT(ISNUMBER(F371))),"",F183-F371)</f>
        <v/>
      </c>
      <c r="G559" s="48" t="str">
        <f aca="false">IF(OR(NOT(ISNUMBER(G183)),NOT(ISNUMBER(G371))),"",G183-G371)</f>
        <v/>
      </c>
      <c r="H559" s="48" t="str">
        <f aca="false">IF(OR(NOT(ISNUMBER(H183)),NOT(ISNUMBER(H371))),"",H183-H371)</f>
        <v/>
      </c>
      <c r="I559" s="48" t="str">
        <f aca="false">IF(OR(NOT(ISNUMBER(I183)),NOT(ISNUMBER(I371))),"",I183-I371)</f>
        <v/>
      </c>
      <c r="J559" s="48" t="str">
        <f aca="false">IF(OR(NOT(ISNUMBER(J183)),NOT(ISNUMBER(J371))),"",J183-J371)</f>
        <v/>
      </c>
      <c r="K559" s="48" t="str">
        <f aca="false">IF(OR(NOT(ISNUMBER(K183)),NOT(ISNUMBER(K371))),"",K183-K371)</f>
        <v/>
      </c>
      <c r="L559" s="48" t="str">
        <f aca="false">IF(OR(NOT(ISNUMBER(L183)),NOT(ISNUMBER(L371))),"",L183-L371)</f>
        <v/>
      </c>
      <c r="M559" s="48" t="str">
        <f aca="false">IF(OR(NOT(ISNUMBER(M183)),NOT(ISNUMBER(M371))),"",M183-M371)</f>
        <v/>
      </c>
      <c r="N559" s="48" t="str">
        <f aca="false">IF(OR(NOT(ISNUMBER(N183)),NOT(ISNUMBER(N371))),"",N183-N371)</f>
        <v/>
      </c>
      <c r="O559" s="54" t="str">
        <f aca="false">IF(OR(NOT(ISNUMBER(O183)),NOT(ISNUMBER(O371))),"",O183-O371)</f>
        <v/>
      </c>
      <c r="P559" s="11" t="str">
        <f aca="false">IF(COUNT(D559:N559)=0,"",IF(AND(MAX(D559:N559)&lt;2,MIN(D559:N559)&gt;-2),"Sin diferencia","Diferencia a explicar"))</f>
        <v/>
      </c>
    </row>
    <row r="560" customFormat="false" ht="15" hidden="true" customHeight="false" outlineLevel="1" collapsed="false">
      <c r="A560" s="11" t="s">
        <v>2264</v>
      </c>
      <c r="B560" s="15" t="s">
        <v>2087</v>
      </c>
      <c r="C560" s="11" t="s">
        <v>748</v>
      </c>
      <c r="E560" s="50" t="str">
        <f aca="false">IF(OR(NOT(ISNUMBER(E184)),NOT(ISNUMBER(E372))),"",E184-E372)</f>
        <v/>
      </c>
      <c r="F560" s="50" t="str">
        <f aca="false">IF(OR(NOT(ISNUMBER(F184)),NOT(ISNUMBER(F372))),"",F184-F372)</f>
        <v/>
      </c>
      <c r="G560" s="50" t="str">
        <f aca="false">IF(OR(NOT(ISNUMBER(G184)),NOT(ISNUMBER(G372))),"",G184-G372)</f>
        <v/>
      </c>
      <c r="H560" s="50" t="str">
        <f aca="false">IF(OR(NOT(ISNUMBER(H184)),NOT(ISNUMBER(H372))),"",H184-H372)</f>
        <v/>
      </c>
      <c r="I560" s="50" t="str">
        <f aca="false">IF(OR(NOT(ISNUMBER(I184)),NOT(ISNUMBER(I372))),"",I184-I372)</f>
        <v/>
      </c>
      <c r="J560" s="50" t="str">
        <f aca="false">IF(OR(NOT(ISNUMBER(J184)),NOT(ISNUMBER(J372))),"",J184-J372)</f>
        <v/>
      </c>
      <c r="K560" s="50" t="str">
        <f aca="false">IF(OR(NOT(ISNUMBER(K184)),NOT(ISNUMBER(K372))),"",K184-K372)</f>
        <v/>
      </c>
      <c r="L560" s="50" t="str">
        <f aca="false">IF(OR(NOT(ISNUMBER(L184)),NOT(ISNUMBER(L372))),"",L184-L372)</f>
        <v/>
      </c>
      <c r="M560" s="50" t="str">
        <f aca="false">IF(OR(NOT(ISNUMBER(M184)),NOT(ISNUMBER(M372))),"",M184-M372)</f>
        <v/>
      </c>
      <c r="N560" s="50" t="str">
        <f aca="false">IF(OR(NOT(ISNUMBER(N184)),NOT(ISNUMBER(N372))),"",N184-N372)</f>
        <v/>
      </c>
      <c r="O560" s="68" t="str">
        <f aca="false">IF(OR(NOT(ISNUMBER(O184)),NOT(ISNUMBER(O372))),"",O184-O372)</f>
        <v/>
      </c>
      <c r="P560" s="11" t="str">
        <f aca="false">IF(COUNT(D560:N560)=0,"",IF(AND(MAX(D560:N560)&lt;0.005,MIN(D560:N560)&gt;-0.005),"Sin diferencia","Diferencia a explicar"))</f>
        <v/>
      </c>
    </row>
    <row r="561" customFormat="false" ht="15" hidden="true" customHeight="false" outlineLevel="1" collapsed="false">
      <c r="A561" s="11" t="s">
        <v>2265</v>
      </c>
      <c r="B561" s="53" t="str">
        <f aca="false">IF(INDEX(Prod_Nombre,23)="","Producto 23",INDEX(Prod_Nombre,23))</f>
        <v>Producto 23</v>
      </c>
      <c r="C561" s="11" t="s">
        <v>508</v>
      </c>
      <c r="D561" s="48" t="str">
        <f aca="false">IF(OR(NOT(ISNUMBER(D185)),NOT(ISNUMBER(D373))),"",D185-D373)</f>
        <v/>
      </c>
      <c r="E561" s="48" t="str">
        <f aca="false">IF(OR(NOT(ISNUMBER(E185)),NOT(ISNUMBER(E373))),"",E185-E373)</f>
        <v/>
      </c>
      <c r="F561" s="48" t="str">
        <f aca="false">IF(OR(NOT(ISNUMBER(F185)),NOT(ISNUMBER(F373))),"",F185-F373)</f>
        <v/>
      </c>
      <c r="G561" s="48" t="str">
        <f aca="false">IF(OR(NOT(ISNUMBER(G185)),NOT(ISNUMBER(G373))),"",G185-G373)</f>
        <v/>
      </c>
      <c r="H561" s="48" t="str">
        <f aca="false">IF(OR(NOT(ISNUMBER(H185)),NOT(ISNUMBER(H373))),"",H185-H373)</f>
        <v/>
      </c>
      <c r="I561" s="48" t="str">
        <f aca="false">IF(OR(NOT(ISNUMBER(I185)),NOT(ISNUMBER(I373))),"",I185-I373)</f>
        <v/>
      </c>
      <c r="J561" s="48" t="str">
        <f aca="false">IF(OR(NOT(ISNUMBER(J185)),NOT(ISNUMBER(J373))),"",J185-J373)</f>
        <v/>
      </c>
      <c r="K561" s="48" t="str">
        <f aca="false">IF(OR(NOT(ISNUMBER(K185)),NOT(ISNUMBER(K373))),"",K185-K373)</f>
        <v/>
      </c>
      <c r="L561" s="48" t="str">
        <f aca="false">IF(OR(NOT(ISNUMBER(L185)),NOT(ISNUMBER(L373))),"",L185-L373)</f>
        <v/>
      </c>
      <c r="M561" s="48" t="str">
        <f aca="false">IF(OR(NOT(ISNUMBER(M185)),NOT(ISNUMBER(M373))),"",M185-M373)</f>
        <v/>
      </c>
      <c r="N561" s="48" t="str">
        <f aca="false">IF(OR(NOT(ISNUMBER(N185)),NOT(ISNUMBER(N373))),"",N185-N373)</f>
        <v/>
      </c>
      <c r="O561" s="54" t="str">
        <f aca="false">IF(OR(NOT(ISNUMBER(O185)),NOT(ISNUMBER(O373))),"",O185-O373)</f>
        <v/>
      </c>
      <c r="P561" s="11" t="str">
        <f aca="false">IF(COUNT(D561:N561)=0,"",IF(AND(MAX(D561:N561)&lt;2,MIN(D561:N561)&gt;-2),"Sin diferencia","Diferencia a explicar"))</f>
        <v/>
      </c>
    </row>
    <row r="562" customFormat="false" ht="15" hidden="true" customHeight="false" outlineLevel="1" collapsed="false">
      <c r="A562" s="11" t="s">
        <v>2266</v>
      </c>
      <c r="B562" s="15" t="s">
        <v>2087</v>
      </c>
      <c r="C562" s="11" t="s">
        <v>748</v>
      </c>
      <c r="E562" s="50" t="str">
        <f aca="false">IF(OR(NOT(ISNUMBER(E186)),NOT(ISNUMBER(E374))),"",E186-E374)</f>
        <v/>
      </c>
      <c r="F562" s="50" t="str">
        <f aca="false">IF(OR(NOT(ISNUMBER(F186)),NOT(ISNUMBER(F374))),"",F186-F374)</f>
        <v/>
      </c>
      <c r="G562" s="50" t="str">
        <f aca="false">IF(OR(NOT(ISNUMBER(G186)),NOT(ISNUMBER(G374))),"",G186-G374)</f>
        <v/>
      </c>
      <c r="H562" s="50" t="str">
        <f aca="false">IF(OR(NOT(ISNUMBER(H186)),NOT(ISNUMBER(H374))),"",H186-H374)</f>
        <v/>
      </c>
      <c r="I562" s="50" t="str">
        <f aca="false">IF(OR(NOT(ISNUMBER(I186)),NOT(ISNUMBER(I374))),"",I186-I374)</f>
        <v/>
      </c>
      <c r="J562" s="50" t="str">
        <f aca="false">IF(OR(NOT(ISNUMBER(J186)),NOT(ISNUMBER(J374))),"",J186-J374)</f>
        <v/>
      </c>
      <c r="K562" s="50" t="str">
        <f aca="false">IF(OR(NOT(ISNUMBER(K186)),NOT(ISNUMBER(K374))),"",K186-K374)</f>
        <v/>
      </c>
      <c r="L562" s="50" t="str">
        <f aca="false">IF(OR(NOT(ISNUMBER(L186)),NOT(ISNUMBER(L374))),"",L186-L374)</f>
        <v/>
      </c>
      <c r="M562" s="50" t="str">
        <f aca="false">IF(OR(NOT(ISNUMBER(M186)),NOT(ISNUMBER(M374))),"",M186-M374)</f>
        <v/>
      </c>
      <c r="N562" s="50" t="str">
        <f aca="false">IF(OR(NOT(ISNUMBER(N186)),NOT(ISNUMBER(N374))),"",N186-N374)</f>
        <v/>
      </c>
      <c r="O562" s="68" t="str">
        <f aca="false">IF(OR(NOT(ISNUMBER(O186)),NOT(ISNUMBER(O374))),"",O186-O374)</f>
        <v/>
      </c>
      <c r="P562" s="11" t="str">
        <f aca="false">IF(COUNT(D562:N562)=0,"",IF(AND(MAX(D562:N562)&lt;0.005,MIN(D562:N562)&gt;-0.005),"Sin diferencia","Diferencia a explicar"))</f>
        <v/>
      </c>
    </row>
    <row r="563" customFormat="false" ht="15" hidden="true" customHeight="false" outlineLevel="1" collapsed="false">
      <c r="A563" s="11" t="s">
        <v>2267</v>
      </c>
      <c r="B563" s="53" t="str">
        <f aca="false">IF(INDEX(Prod_Nombre,24)="","Producto 24",INDEX(Prod_Nombre,24))</f>
        <v>Producto 24</v>
      </c>
      <c r="C563" s="11" t="s">
        <v>508</v>
      </c>
      <c r="D563" s="48" t="str">
        <f aca="false">IF(OR(NOT(ISNUMBER(D187)),NOT(ISNUMBER(D375))),"",D187-D375)</f>
        <v/>
      </c>
      <c r="E563" s="48" t="str">
        <f aca="false">IF(OR(NOT(ISNUMBER(E187)),NOT(ISNUMBER(E375))),"",E187-E375)</f>
        <v/>
      </c>
      <c r="F563" s="48" t="str">
        <f aca="false">IF(OR(NOT(ISNUMBER(F187)),NOT(ISNUMBER(F375))),"",F187-F375)</f>
        <v/>
      </c>
      <c r="G563" s="48" t="str">
        <f aca="false">IF(OR(NOT(ISNUMBER(G187)),NOT(ISNUMBER(G375))),"",G187-G375)</f>
        <v/>
      </c>
      <c r="H563" s="48" t="str">
        <f aca="false">IF(OR(NOT(ISNUMBER(H187)),NOT(ISNUMBER(H375))),"",H187-H375)</f>
        <v/>
      </c>
      <c r="I563" s="48" t="str">
        <f aca="false">IF(OR(NOT(ISNUMBER(I187)),NOT(ISNUMBER(I375))),"",I187-I375)</f>
        <v/>
      </c>
      <c r="J563" s="48" t="str">
        <f aca="false">IF(OR(NOT(ISNUMBER(J187)),NOT(ISNUMBER(J375))),"",J187-J375)</f>
        <v/>
      </c>
      <c r="K563" s="48" t="str">
        <f aca="false">IF(OR(NOT(ISNUMBER(K187)),NOT(ISNUMBER(K375))),"",K187-K375)</f>
        <v/>
      </c>
      <c r="L563" s="48" t="str">
        <f aca="false">IF(OR(NOT(ISNUMBER(L187)),NOT(ISNUMBER(L375))),"",L187-L375)</f>
        <v/>
      </c>
      <c r="M563" s="48" t="str">
        <f aca="false">IF(OR(NOT(ISNUMBER(M187)),NOT(ISNUMBER(M375))),"",M187-M375)</f>
        <v/>
      </c>
      <c r="N563" s="48" t="str">
        <f aca="false">IF(OR(NOT(ISNUMBER(N187)),NOT(ISNUMBER(N375))),"",N187-N375)</f>
        <v/>
      </c>
      <c r="O563" s="54" t="str">
        <f aca="false">IF(OR(NOT(ISNUMBER(O187)),NOT(ISNUMBER(O375))),"",O187-O375)</f>
        <v/>
      </c>
      <c r="P563" s="11" t="str">
        <f aca="false">IF(COUNT(D563:N563)=0,"",IF(AND(MAX(D563:N563)&lt;2,MIN(D563:N563)&gt;-2),"Sin diferencia","Diferencia a explicar"))</f>
        <v/>
      </c>
    </row>
    <row r="564" customFormat="false" ht="15" hidden="true" customHeight="false" outlineLevel="1" collapsed="false">
      <c r="A564" s="11" t="s">
        <v>2268</v>
      </c>
      <c r="B564" s="15" t="s">
        <v>2087</v>
      </c>
      <c r="C564" s="11" t="s">
        <v>748</v>
      </c>
      <c r="E564" s="50" t="str">
        <f aca="false">IF(OR(NOT(ISNUMBER(E188)),NOT(ISNUMBER(E376))),"",E188-E376)</f>
        <v/>
      </c>
      <c r="F564" s="50" t="str">
        <f aca="false">IF(OR(NOT(ISNUMBER(F188)),NOT(ISNUMBER(F376))),"",F188-F376)</f>
        <v/>
      </c>
      <c r="G564" s="50" t="str">
        <f aca="false">IF(OR(NOT(ISNUMBER(G188)),NOT(ISNUMBER(G376))),"",G188-G376)</f>
        <v/>
      </c>
      <c r="H564" s="50" t="str">
        <f aca="false">IF(OR(NOT(ISNUMBER(H188)),NOT(ISNUMBER(H376))),"",H188-H376)</f>
        <v/>
      </c>
      <c r="I564" s="50" t="str">
        <f aca="false">IF(OR(NOT(ISNUMBER(I188)),NOT(ISNUMBER(I376))),"",I188-I376)</f>
        <v/>
      </c>
      <c r="J564" s="50" t="str">
        <f aca="false">IF(OR(NOT(ISNUMBER(J188)),NOT(ISNUMBER(J376))),"",J188-J376)</f>
        <v/>
      </c>
      <c r="K564" s="50" t="str">
        <f aca="false">IF(OR(NOT(ISNUMBER(K188)),NOT(ISNUMBER(K376))),"",K188-K376)</f>
        <v/>
      </c>
      <c r="L564" s="50" t="str">
        <f aca="false">IF(OR(NOT(ISNUMBER(L188)),NOT(ISNUMBER(L376))),"",L188-L376)</f>
        <v/>
      </c>
      <c r="M564" s="50" t="str">
        <f aca="false">IF(OR(NOT(ISNUMBER(M188)),NOT(ISNUMBER(M376))),"",M188-M376)</f>
        <v/>
      </c>
      <c r="N564" s="50" t="str">
        <f aca="false">IF(OR(NOT(ISNUMBER(N188)),NOT(ISNUMBER(N376))),"",N188-N376)</f>
        <v/>
      </c>
      <c r="O564" s="68" t="str">
        <f aca="false">IF(OR(NOT(ISNUMBER(O188)),NOT(ISNUMBER(O376))),"",O188-O376)</f>
        <v/>
      </c>
      <c r="P564" s="11" t="str">
        <f aca="false">IF(COUNT(D564:N564)=0,"",IF(AND(MAX(D564:N564)&lt;0.005,MIN(D564:N564)&gt;-0.005),"Sin diferencia","Diferencia a explicar"))</f>
        <v/>
      </c>
    </row>
    <row r="565" customFormat="false" ht="15" hidden="true" customHeight="false" outlineLevel="1" collapsed="false">
      <c r="A565" s="11" t="s">
        <v>2269</v>
      </c>
      <c r="B565" s="53" t="str">
        <f aca="false">IF(INDEX(Prod_Nombre,25)="","Producto 25",INDEX(Prod_Nombre,25))</f>
        <v>Producto 25</v>
      </c>
      <c r="C565" s="11" t="s">
        <v>508</v>
      </c>
      <c r="D565" s="48" t="str">
        <f aca="false">IF(OR(NOT(ISNUMBER(D189)),NOT(ISNUMBER(D377))),"",D189-D377)</f>
        <v/>
      </c>
      <c r="E565" s="48" t="str">
        <f aca="false">IF(OR(NOT(ISNUMBER(E189)),NOT(ISNUMBER(E377))),"",E189-E377)</f>
        <v/>
      </c>
      <c r="F565" s="48" t="str">
        <f aca="false">IF(OR(NOT(ISNUMBER(F189)),NOT(ISNUMBER(F377))),"",F189-F377)</f>
        <v/>
      </c>
      <c r="G565" s="48" t="str">
        <f aca="false">IF(OR(NOT(ISNUMBER(G189)),NOT(ISNUMBER(G377))),"",G189-G377)</f>
        <v/>
      </c>
      <c r="H565" s="48" t="str">
        <f aca="false">IF(OR(NOT(ISNUMBER(H189)),NOT(ISNUMBER(H377))),"",H189-H377)</f>
        <v/>
      </c>
      <c r="I565" s="48" t="str">
        <f aca="false">IF(OR(NOT(ISNUMBER(I189)),NOT(ISNUMBER(I377))),"",I189-I377)</f>
        <v/>
      </c>
      <c r="J565" s="48" t="str">
        <f aca="false">IF(OR(NOT(ISNUMBER(J189)),NOT(ISNUMBER(J377))),"",J189-J377)</f>
        <v/>
      </c>
      <c r="K565" s="48" t="str">
        <f aca="false">IF(OR(NOT(ISNUMBER(K189)),NOT(ISNUMBER(K377))),"",K189-K377)</f>
        <v/>
      </c>
      <c r="L565" s="48" t="str">
        <f aca="false">IF(OR(NOT(ISNUMBER(L189)),NOT(ISNUMBER(L377))),"",L189-L377)</f>
        <v/>
      </c>
      <c r="M565" s="48" t="str">
        <f aca="false">IF(OR(NOT(ISNUMBER(M189)),NOT(ISNUMBER(M377))),"",M189-M377)</f>
        <v/>
      </c>
      <c r="N565" s="48" t="str">
        <f aca="false">IF(OR(NOT(ISNUMBER(N189)),NOT(ISNUMBER(N377))),"",N189-N377)</f>
        <v/>
      </c>
      <c r="O565" s="54" t="str">
        <f aca="false">IF(OR(NOT(ISNUMBER(O189)),NOT(ISNUMBER(O377))),"",O189-O377)</f>
        <v/>
      </c>
      <c r="P565" s="11" t="str">
        <f aca="false">IF(COUNT(D565:N565)=0,"",IF(AND(MAX(D565:N565)&lt;2,MIN(D565:N565)&gt;-2),"Sin diferencia","Diferencia a explicar"))</f>
        <v/>
      </c>
    </row>
    <row r="566" customFormat="false" ht="15" hidden="true" customHeight="false" outlineLevel="1" collapsed="false">
      <c r="A566" s="11" t="s">
        <v>2270</v>
      </c>
      <c r="B566" s="15" t="s">
        <v>2087</v>
      </c>
      <c r="C566" s="11" t="s">
        <v>748</v>
      </c>
      <c r="E566" s="50" t="str">
        <f aca="false">IF(OR(NOT(ISNUMBER(E190)),NOT(ISNUMBER(E378))),"",E190-E378)</f>
        <v/>
      </c>
      <c r="F566" s="50" t="str">
        <f aca="false">IF(OR(NOT(ISNUMBER(F190)),NOT(ISNUMBER(F378))),"",F190-F378)</f>
        <v/>
      </c>
      <c r="G566" s="50" t="str">
        <f aca="false">IF(OR(NOT(ISNUMBER(G190)),NOT(ISNUMBER(G378))),"",G190-G378)</f>
        <v/>
      </c>
      <c r="H566" s="50" t="str">
        <f aca="false">IF(OR(NOT(ISNUMBER(H190)),NOT(ISNUMBER(H378))),"",H190-H378)</f>
        <v/>
      </c>
      <c r="I566" s="50" t="str">
        <f aca="false">IF(OR(NOT(ISNUMBER(I190)),NOT(ISNUMBER(I378))),"",I190-I378)</f>
        <v/>
      </c>
      <c r="J566" s="50" t="str">
        <f aca="false">IF(OR(NOT(ISNUMBER(J190)),NOT(ISNUMBER(J378))),"",J190-J378)</f>
        <v/>
      </c>
      <c r="K566" s="50" t="str">
        <f aca="false">IF(OR(NOT(ISNUMBER(K190)),NOT(ISNUMBER(K378))),"",K190-K378)</f>
        <v/>
      </c>
      <c r="L566" s="50" t="str">
        <f aca="false">IF(OR(NOT(ISNUMBER(L190)),NOT(ISNUMBER(L378))),"",L190-L378)</f>
        <v/>
      </c>
      <c r="M566" s="50" t="str">
        <f aca="false">IF(OR(NOT(ISNUMBER(M190)),NOT(ISNUMBER(M378))),"",M190-M378)</f>
        <v/>
      </c>
      <c r="N566" s="50" t="str">
        <f aca="false">IF(OR(NOT(ISNUMBER(N190)),NOT(ISNUMBER(N378))),"",N190-N378)</f>
        <v/>
      </c>
      <c r="O566" s="68" t="str">
        <f aca="false">IF(OR(NOT(ISNUMBER(O190)),NOT(ISNUMBER(O378))),"",O190-O378)</f>
        <v/>
      </c>
      <c r="P566" s="11" t="str">
        <f aca="false">IF(COUNT(D566:N566)=0,"",IF(AND(MAX(D566:N566)&lt;0.005,MIN(D566:N566)&gt;-0.005),"Sin diferencia","Diferencia a explicar"))</f>
        <v/>
      </c>
    </row>
    <row r="567" customFormat="false" ht="15" hidden="false" customHeight="false" outlineLevel="0" collapsed="false">
      <c r="A567" s="11" t="s">
        <v>2271</v>
      </c>
      <c r="B567" s="15" t="s">
        <v>2163</v>
      </c>
      <c r="C567" s="11" t="s">
        <v>508</v>
      </c>
      <c r="D567" s="48"/>
      <c r="E567" s="48"/>
      <c r="F567" s="48"/>
      <c r="G567" s="48"/>
      <c r="H567" s="48"/>
      <c r="I567" s="48"/>
      <c r="J567" s="48"/>
      <c r="K567" s="48"/>
      <c r="L567" s="48"/>
      <c r="M567" s="48"/>
      <c r="N567" s="48"/>
    </row>
    <row r="569" customFormat="false" ht="15" hidden="false" customHeight="false" outlineLevel="0" collapsed="false">
      <c r="A569" s="12" t="s">
        <v>240</v>
      </c>
      <c r="B569" s="13"/>
      <c r="C569" s="13"/>
      <c r="D569" s="13"/>
      <c r="E569" s="13"/>
      <c r="F569" s="13"/>
      <c r="G569" s="13"/>
      <c r="H569" s="13"/>
      <c r="I569" s="13"/>
      <c r="J569" s="13"/>
      <c r="K569" s="13"/>
      <c r="L569" s="13"/>
      <c r="M569" s="13"/>
      <c r="N569" s="13"/>
      <c r="O569" s="13"/>
    </row>
    <row r="570" customFormat="false" ht="15" hidden="false" customHeight="false" outlineLevel="0" collapsed="false">
      <c r="B570" s="11" t="s">
        <v>2272</v>
      </c>
    </row>
    <row r="571" customFormat="false" ht="15" hidden="false" customHeight="false" outlineLevel="0" collapsed="false">
      <c r="B571" s="11" t="s">
        <v>2273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9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2274</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10a, pág. 19"</f>
        <v>Plan de referencia: Plan CIE–PERG Oct-2025 — cuadro 10a, pág. 19</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2275</v>
      </c>
      <c r="C8" s="13"/>
      <c r="D8" s="13"/>
      <c r="E8" s="13"/>
      <c r="F8" s="13"/>
      <c r="G8" s="13"/>
      <c r="H8" s="13"/>
      <c r="I8" s="13"/>
      <c r="J8" s="13"/>
      <c r="K8" s="13"/>
      <c r="L8" s="13"/>
      <c r="M8" s="13"/>
      <c r="N8" s="13"/>
      <c r="O8" s="13"/>
    </row>
    <row r="9" customFormat="false" ht="15" hidden="false" customHeight="false" outlineLevel="0" collapsed="false">
      <c r="A9" s="11" t="s">
        <v>2276</v>
      </c>
      <c r="B9" s="67" t="s">
        <v>2277</v>
      </c>
      <c r="C9" s="11" t="s">
        <v>508</v>
      </c>
      <c r="D9" s="54" t="n">
        <f aca="false">IF(cu_P=1,(SUMIFS(Calculo!$F$93:$ES$93,Calculo!$F$16:$ES$16,1)+SUMIFS(Calculo!$F$94:$ES$94,Calculo!$F$16:$ES$16,1)+SUMIFS(Calculo!$F$95:$ES$95,Calculo!$F$16:$ES$16,1)+SUMIFS(Calculo!$F$96:$ES$96,Calculo!$F$16:$ES$16,1)+SUMIFS(Calculo!$F$100:$ES$100,Calculo!$F$16:$ES$16,1)),(SUMIFS(Calculo!$F$249:$ES$249,Calculo!$F$172:$ES$172,1)+SUMIFS(Calculo!$F$250:$ES$250,Calculo!$F$172:$ES$172,1)+SUMIFS(Calculo!$F$251:$ES$251,Calculo!$F$172:$ES$172,1)+SUMIFS(Calculo!$F$252:$ES$252,Calculo!$F$172:$ES$172,1)+SUMIFS(Calculo!$F$256:$ES$256,Calculo!$F$172:$ES$172,1)))</f>
        <v>0</v>
      </c>
      <c r="E9" s="54" t="n">
        <f aca="false">IF(cu_P=1,(SUMIFS(Calculo!$F$93:$ES$93,Calculo!$F$14:$ES$14,1)+SUMIFS(Calculo!$F$94:$ES$94,Calculo!$F$14:$ES$14,1)+SUMIFS(Calculo!$F$95:$ES$95,Calculo!$F$14:$ES$14,1)+SUMIFS(Calculo!$F$96:$ES$96,Calculo!$F$14:$ES$14,1)+SUMIFS(Calculo!$F$100:$ES$100,Calculo!$F$14:$ES$14,1)),(SUMIFS(Calculo!$F$249:$ES$249,Calculo!$F$170:$ES$170,1)+SUMIFS(Calculo!$F$250:$ES$250,Calculo!$F$170:$ES$170,1)+SUMIFS(Calculo!$F$251:$ES$251,Calculo!$F$170:$ES$170,1)+SUMIFS(Calculo!$F$252:$ES$252,Calculo!$F$170:$ES$170,1)+SUMIFS(Calculo!$F$256:$ES$256,Calculo!$F$170:$ES$170,1)))</f>
        <v>3949342.36854141</v>
      </c>
      <c r="F9" s="54" t="n">
        <f aca="false">IF(cu_P=1,(SUMIFS(Calculo!$F$93:$ES$93,Calculo!$F$14:$ES$14,2)+SUMIFS(Calculo!$F$94:$ES$94,Calculo!$F$14:$ES$14,2)+SUMIFS(Calculo!$F$95:$ES$95,Calculo!$F$14:$ES$14,2)+SUMIFS(Calculo!$F$96:$ES$96,Calculo!$F$14:$ES$14,2)+SUMIFS(Calculo!$F$100:$ES$100,Calculo!$F$14:$ES$14,2)),(SUMIFS(Calculo!$F$249:$ES$249,Calculo!$F$170:$ES$170,2)+SUMIFS(Calculo!$F$250:$ES$250,Calculo!$F$170:$ES$170,2)+SUMIFS(Calculo!$F$251:$ES$251,Calculo!$F$170:$ES$170,2)+SUMIFS(Calculo!$F$252:$ES$252,Calculo!$F$170:$ES$170,2)+SUMIFS(Calculo!$F$256:$ES$256,Calculo!$F$170:$ES$170,2)))</f>
        <v>4818155.09832091</v>
      </c>
      <c r="G9" s="54" t="n">
        <f aca="false">IF(cu_P=1,(SUMIFS(Calculo!$F$93:$ES$93,Calculo!$F$14:$ES$14,3)+SUMIFS(Calculo!$F$94:$ES$94,Calculo!$F$14:$ES$14,3)+SUMIFS(Calculo!$F$95:$ES$95,Calculo!$F$14:$ES$14,3)+SUMIFS(Calculo!$F$96:$ES$96,Calculo!$F$14:$ES$14,3)+SUMIFS(Calculo!$F$100:$ES$100,Calculo!$F$14:$ES$14,3)),(SUMIFS(Calculo!$F$249:$ES$249,Calculo!$F$170:$ES$170,3)+SUMIFS(Calculo!$F$250:$ES$250,Calculo!$F$170:$ES$170,3)+SUMIFS(Calculo!$F$251:$ES$251,Calculo!$F$170:$ES$170,3)+SUMIFS(Calculo!$F$252:$ES$252,Calculo!$F$170:$ES$170,3)+SUMIFS(Calculo!$F$256:$ES$256,Calculo!$F$170:$ES$170,3)))</f>
        <v>5729838.11066699</v>
      </c>
      <c r="H9" s="54" t="n">
        <f aca="false">IF(cu_P=1,(SUMIFS(Calculo!$F$93:$ES$93,Calculo!$F$14:$ES$14,4)+SUMIFS(Calculo!$F$94:$ES$94,Calculo!$F$14:$ES$14,4)+SUMIFS(Calculo!$F$95:$ES$95,Calculo!$F$14:$ES$14,4)+SUMIFS(Calculo!$F$96:$ES$96,Calculo!$F$14:$ES$14,4)+SUMIFS(Calculo!$F$100:$ES$100,Calculo!$F$14:$ES$14,4)),(SUMIFS(Calculo!$F$249:$ES$249,Calculo!$F$170:$ES$170,4)+SUMIFS(Calculo!$F$250:$ES$250,Calculo!$F$170:$ES$170,4)+SUMIFS(Calculo!$F$251:$ES$251,Calculo!$F$170:$ES$170,4)+SUMIFS(Calculo!$F$252:$ES$252,Calculo!$F$170:$ES$170,4)+SUMIFS(Calculo!$F$256:$ES$256,Calculo!$F$170:$ES$170,4)))</f>
        <v>6476243.72569418</v>
      </c>
      <c r="I9" s="54" t="n">
        <f aca="false">IF(cu_P=1,(SUMIFS(Calculo!$F$93:$ES$93,Calculo!$F$14:$ES$14,5)+SUMIFS(Calculo!$F$94:$ES$94,Calculo!$F$14:$ES$14,5)+SUMIFS(Calculo!$F$95:$ES$95,Calculo!$F$14:$ES$14,5)+SUMIFS(Calculo!$F$96:$ES$96,Calculo!$F$14:$ES$14,5)+SUMIFS(Calculo!$F$100:$ES$100,Calculo!$F$14:$ES$14,5)),(SUMIFS(Calculo!$F$249:$ES$249,Calculo!$F$170:$ES$170,5)+SUMIFS(Calculo!$F$250:$ES$250,Calculo!$F$170:$ES$170,5)+SUMIFS(Calculo!$F$251:$ES$251,Calculo!$F$170:$ES$170,5)+SUMIFS(Calculo!$F$252:$ES$252,Calculo!$F$170:$ES$170,5)+SUMIFS(Calculo!$F$256:$ES$256,Calculo!$F$170:$ES$170,5)))</f>
        <v>6540269.14643612</v>
      </c>
      <c r="J9" s="54" t="n">
        <f aca="false">IF(cu_P=1,(SUMIFS(Calculo!$F$93:$ES$93,Calculo!$F$14:$ES$14,6)+SUMIFS(Calculo!$F$94:$ES$94,Calculo!$F$14:$ES$14,6)+SUMIFS(Calculo!$F$95:$ES$95,Calculo!$F$14:$ES$14,6)+SUMIFS(Calculo!$F$96:$ES$96,Calculo!$F$14:$ES$14,6)+SUMIFS(Calculo!$F$100:$ES$100,Calculo!$F$14:$ES$14,6)),(SUMIFS(Calculo!$F$249:$ES$249,Calculo!$F$170:$ES$170,6)+SUMIFS(Calculo!$F$250:$ES$250,Calculo!$F$170:$ES$170,6)+SUMIFS(Calculo!$F$251:$ES$251,Calculo!$F$170:$ES$170,6)+SUMIFS(Calculo!$F$252:$ES$252,Calculo!$F$170:$ES$170,6)+SUMIFS(Calculo!$F$256:$ES$256,Calculo!$F$170:$ES$170,6)))</f>
        <v>6571740.98981382</v>
      </c>
      <c r="K9" s="54" t="n">
        <f aca="false">IF(cu_P=1,(SUMIFS(Calculo!$F$93:$ES$93,Calculo!$F$14:$ES$14,7)+SUMIFS(Calculo!$F$94:$ES$94,Calculo!$F$14:$ES$14,7)+SUMIFS(Calculo!$F$95:$ES$95,Calculo!$F$14:$ES$14,7)+SUMIFS(Calculo!$F$96:$ES$96,Calculo!$F$14:$ES$14,7)+SUMIFS(Calculo!$F$100:$ES$100,Calculo!$F$14:$ES$14,7)),(SUMIFS(Calculo!$F$249:$ES$249,Calculo!$F$170:$ES$170,7)+SUMIFS(Calculo!$F$250:$ES$250,Calculo!$F$170:$ES$170,7)+SUMIFS(Calculo!$F$251:$ES$251,Calculo!$F$170:$ES$170,7)+SUMIFS(Calculo!$F$252:$ES$252,Calculo!$F$170:$ES$170,7)+SUMIFS(Calculo!$F$256:$ES$256,Calculo!$F$170:$ES$170,7)))</f>
        <v>6603534.30458225</v>
      </c>
      <c r="L9" s="54" t="n">
        <f aca="false">IF(cu_P=1,(SUMIFS(Calculo!$F$93:$ES$93,Calculo!$F$14:$ES$14,8)+SUMIFS(Calculo!$F$94:$ES$94,Calculo!$F$14:$ES$14,8)+SUMIFS(Calculo!$F$95:$ES$95,Calculo!$F$14:$ES$14,8)+SUMIFS(Calculo!$F$96:$ES$96,Calculo!$F$14:$ES$14,8)+SUMIFS(Calculo!$F$100:$ES$100,Calculo!$F$14:$ES$14,8)),(SUMIFS(Calculo!$F$249:$ES$249,Calculo!$F$170:$ES$170,8)+SUMIFS(Calculo!$F$250:$ES$250,Calculo!$F$170:$ES$170,8)+SUMIFS(Calculo!$F$251:$ES$251,Calculo!$F$170:$ES$170,8)+SUMIFS(Calculo!$F$252:$ES$252,Calculo!$F$170:$ES$170,8)+SUMIFS(Calculo!$F$256:$ES$256,Calculo!$F$170:$ES$170,8)))</f>
        <v>6635652.44051446</v>
      </c>
      <c r="M9" s="54" t="n">
        <f aca="false">IF(cu_P=1,(SUMIFS(Calculo!$F$93:$ES$93,Calculo!$F$14:$ES$14,9)+SUMIFS(Calculo!$F$94:$ES$94,Calculo!$F$14:$ES$14,9)+SUMIFS(Calculo!$F$95:$ES$95,Calculo!$F$14:$ES$14,9)+SUMIFS(Calculo!$F$96:$ES$96,Calculo!$F$14:$ES$14,9)+SUMIFS(Calculo!$F$100:$ES$100,Calculo!$F$14:$ES$14,9)),(SUMIFS(Calculo!$F$249:$ES$249,Calculo!$F$170:$ES$170,9)+SUMIFS(Calculo!$F$250:$ES$250,Calculo!$F$170:$ES$170,9)+SUMIFS(Calculo!$F$251:$ES$251,Calculo!$F$170:$ES$170,9)+SUMIFS(Calculo!$F$252:$ES$252,Calculo!$F$170:$ES$170,9)+SUMIFS(Calculo!$F$256:$ES$256,Calculo!$F$170:$ES$170,9)))</f>
        <v>6668098.78358242</v>
      </c>
      <c r="N9" s="54" t="n">
        <f aca="false">IF(cu_P=1,(SUMIFS(Calculo!$F$93:$ES$93,Calculo!$F$14:$ES$14,10)+SUMIFS(Calculo!$F$94:$ES$94,Calculo!$F$14:$ES$14,10)+SUMIFS(Calculo!$F$95:$ES$95,Calculo!$F$14:$ES$14,10)+SUMIFS(Calculo!$F$96:$ES$96,Calculo!$F$14:$ES$14,10)+SUMIFS(Calculo!$F$100:$ES$100,Calculo!$F$14:$ES$14,10)),(SUMIFS(Calculo!$F$249:$ES$249,Calculo!$F$170:$ES$170,10)+SUMIFS(Calculo!$F$250:$ES$250,Calculo!$F$170:$ES$170,10)+SUMIFS(Calculo!$F$251:$ES$251,Calculo!$F$170:$ES$170,10)+SUMIFS(Calculo!$F$252:$ES$252,Calculo!$F$170:$ES$170,10)+SUMIFS(Calculo!$F$256:$ES$256,Calculo!$F$170:$ES$170,10)))</f>
        <v>6700876.75637301</v>
      </c>
      <c r="O9" s="54" t="n">
        <f aca="false">SUM(D9:N9)</f>
        <v>60693751.7245256</v>
      </c>
    </row>
    <row r="10" customFormat="false" ht="15" hidden="false" customHeight="false" outlineLevel="0" collapsed="false">
      <c r="A10" s="11" t="s">
        <v>2278</v>
      </c>
      <c r="B10" s="15" t="s">
        <v>1120</v>
      </c>
      <c r="C10" s="11" t="s">
        <v>508</v>
      </c>
      <c r="D10" s="48" t="n">
        <f aca="false">IF(cu_P=1,SUMIFS(Calculo!$F$73:$ES$73,Calculo!$F$16:$ES$16,1),SUMIFS(Calculo!$F$229:$ES$229,Calculo!$F$172:$ES$172,1))</f>
        <v>0</v>
      </c>
      <c r="E10" s="48" t="n">
        <f aca="false">IF(cu_P=1,SUMIFS(Calculo!$F$73:$ES$73,Calculo!$F$14:$ES$14,1),SUMIFS(Calculo!$F$229:$ES$229,Calculo!$F$170:$ES$170,1))</f>
        <v>1510500</v>
      </c>
      <c r="F10" s="48" t="n">
        <f aca="false">IF(cu_P=1,SUMIFS(Calculo!$F$73:$ES$73,Calculo!$F$14:$ES$14,2),SUMIFS(Calculo!$F$229:$ES$229,Calculo!$F$170:$ES$170,2))</f>
        <v>1925716.5</v>
      </c>
      <c r="G10" s="48" t="n">
        <f aca="false">IF(cu_P=1,SUMIFS(Calculo!$F$73:$ES$73,Calculo!$F$14:$ES$14,3),SUMIFS(Calculo!$F$229:$ES$229,Calculo!$F$170:$ES$170,3))</f>
        <v>2349086.28</v>
      </c>
      <c r="H10" s="48" t="n">
        <f aca="false">IF(cu_P=1,SUMIFS(Calculo!$F$73:$ES$73,Calculo!$F$14:$ES$14,4),SUMIFS(Calculo!$F$229:$ES$229,Calculo!$F$170:$ES$170,4))</f>
        <v>2704385.57985</v>
      </c>
      <c r="I10" s="48" t="n">
        <f aca="false">IF(cu_P=1,SUMIFS(Calculo!$F$73:$ES$73,Calculo!$F$14:$ES$14,5),SUMIFS(Calculo!$F$229:$ES$229,Calculo!$F$170:$ES$170,5))</f>
        <v>2731429.4356485</v>
      </c>
      <c r="J10" s="48" t="n">
        <f aca="false">IF(cu_P=1,SUMIFS(Calculo!$F$73:$ES$73,Calculo!$F$14:$ES$14,6),SUMIFS(Calculo!$F$229:$ES$229,Calculo!$F$170:$ES$170,6))</f>
        <v>2758743.73000499</v>
      </c>
      <c r="K10" s="48" t="n">
        <f aca="false">IF(cu_P=1,SUMIFS(Calculo!$F$73:$ES$73,Calculo!$F$14:$ES$14,7),SUMIFS(Calculo!$F$229:$ES$229,Calculo!$F$170:$ES$170,7))</f>
        <v>2786331.16730504</v>
      </c>
      <c r="L10" s="48" t="n">
        <f aca="false">IF(cu_P=1,SUMIFS(Calculo!$F$73:$ES$73,Calculo!$F$14:$ES$14,8),SUMIFS(Calculo!$F$229:$ES$229,Calculo!$F$170:$ES$170,8))</f>
        <v>2814194.47897809</v>
      </c>
      <c r="M10" s="48" t="n">
        <f aca="false">IF(cu_P=1,SUMIFS(Calculo!$F$73:$ES$73,Calculo!$F$14:$ES$14,9),SUMIFS(Calculo!$F$229:$ES$229,Calculo!$F$170:$ES$170,9))</f>
        <v>2842336.42376787</v>
      </c>
      <c r="N10" s="48" t="n">
        <f aca="false">IF(cu_P=1,SUMIFS(Calculo!$F$73:$ES$73,Calculo!$F$14:$ES$14,10),SUMIFS(Calculo!$F$229:$ES$229,Calculo!$F$170:$ES$170,10))</f>
        <v>2870759.78800555</v>
      </c>
      <c r="O10" s="54" t="n">
        <f aca="false">SUM(D10:N10)</f>
        <v>25293483.38356</v>
      </c>
    </row>
    <row r="11" customFormat="false" ht="15" hidden="false" customHeight="false" outlineLevel="0" collapsed="false">
      <c r="A11" s="11" t="s">
        <v>2279</v>
      </c>
      <c r="B11" s="15" t="s">
        <v>1122</v>
      </c>
      <c r="C11" s="11" t="s">
        <v>508</v>
      </c>
      <c r="D11" s="48" t="n">
        <f aca="false">IF(cu_P=1,SUMIFS(Calculo!$F$74:$ES$74,Calculo!$F$16:$ES$16,1),SUMIFS(Calculo!$F$230:$ES$230,Calculo!$F$172:$ES$172,1))</f>
        <v>0</v>
      </c>
      <c r="E11" s="48" t="n">
        <f aca="false">IF(cu_P=1,SUMIFS(Calculo!$F$74:$ES$74,Calculo!$F$14:$ES$14,1),SUMIFS(Calculo!$F$230:$ES$230,Calculo!$F$170:$ES$170,1))</f>
        <v>879570</v>
      </c>
      <c r="F11" s="48" t="n">
        <f aca="false">IF(cu_P=1,SUMIFS(Calculo!$F$74:$ES$74,Calculo!$F$14:$ES$14,2),SUMIFS(Calculo!$F$230:$ES$230,Calculo!$F$170:$ES$170,2))</f>
        <v>1111590</v>
      </c>
      <c r="G11" s="48" t="n">
        <f aca="false">IF(cu_P=1,SUMIFS(Calculo!$F$74:$ES$74,Calculo!$F$14:$ES$14,3),SUMIFS(Calculo!$F$230:$ES$230,Calculo!$F$170:$ES$170,3))</f>
        <v>1343610</v>
      </c>
      <c r="H11" s="48" t="n">
        <f aca="false">IF(cu_P=1,SUMIFS(Calculo!$F$74:$ES$74,Calculo!$F$14:$ES$14,4),SUMIFS(Calculo!$F$230:$ES$230,Calculo!$F$170:$ES$170,4))</f>
        <v>1527120</v>
      </c>
      <c r="I11" s="48" t="n">
        <f aca="false">IF(cu_P=1,SUMIFS(Calculo!$F$74:$ES$74,Calculo!$F$14:$ES$14,5),SUMIFS(Calculo!$F$230:$ES$230,Calculo!$F$170:$ES$170,5))</f>
        <v>1527120</v>
      </c>
      <c r="J11" s="48" t="n">
        <f aca="false">IF(cu_P=1,SUMIFS(Calculo!$F$74:$ES$74,Calculo!$F$14:$ES$14,6),SUMIFS(Calculo!$F$230:$ES$230,Calculo!$F$170:$ES$170,6))</f>
        <v>1527120</v>
      </c>
      <c r="K11" s="48" t="n">
        <f aca="false">IF(cu_P=1,SUMIFS(Calculo!$F$74:$ES$74,Calculo!$F$14:$ES$14,7),SUMIFS(Calculo!$F$230:$ES$230,Calculo!$F$170:$ES$170,7))</f>
        <v>1527120</v>
      </c>
      <c r="L11" s="48" t="n">
        <f aca="false">IF(cu_P=1,SUMIFS(Calculo!$F$74:$ES$74,Calculo!$F$14:$ES$14,8),SUMIFS(Calculo!$F$230:$ES$230,Calculo!$F$170:$ES$170,8))</f>
        <v>1527120</v>
      </c>
      <c r="M11" s="48" t="n">
        <f aca="false">IF(cu_P=1,SUMIFS(Calculo!$F$74:$ES$74,Calculo!$F$14:$ES$14,9),SUMIFS(Calculo!$F$230:$ES$230,Calculo!$F$170:$ES$170,9))</f>
        <v>1527120</v>
      </c>
      <c r="N11" s="48" t="n">
        <f aca="false">IF(cu_P=1,SUMIFS(Calculo!$F$74:$ES$74,Calculo!$F$14:$ES$14,10),SUMIFS(Calculo!$F$230:$ES$230,Calculo!$F$170:$ES$170,10))</f>
        <v>1527120</v>
      </c>
      <c r="O11" s="54" t="n">
        <f aca="false">SUM(D11:N11)</f>
        <v>14024610</v>
      </c>
    </row>
    <row r="12" customFormat="false" ht="15" hidden="false" customHeight="false" outlineLevel="0" collapsed="false">
      <c r="A12" s="11" t="s">
        <v>2280</v>
      </c>
      <c r="B12" s="15" t="s">
        <v>2281</v>
      </c>
      <c r="C12" s="11" t="s">
        <v>508</v>
      </c>
      <c r="D12" s="48" t="n">
        <f aca="false">IF(cu_P=1,SUMIFS(Calculo!$F$75:$ES$75,Calculo!$F$16:$ES$16,1),SUMIFS(Calculo!$F$231:$ES$231,Calculo!$F$172:$ES$172,1))</f>
        <v>0</v>
      </c>
      <c r="E12" s="48" t="n">
        <f aca="false">IF(cu_P=1,SUMIFS(Calculo!$F$75:$ES$75,Calculo!$F$14:$ES$14,1),SUMIFS(Calculo!$F$231:$ES$231,Calculo!$F$170:$ES$170,1))</f>
        <v>526011.996</v>
      </c>
      <c r="F12" s="48" t="n">
        <f aca="false">IF(cu_P=1,SUMIFS(Calculo!$F$75:$ES$75,Calculo!$F$14:$ES$14,2),SUMIFS(Calculo!$F$231:$ES$231,Calculo!$F$170:$ES$170,2))</f>
        <v>664339.995</v>
      </c>
      <c r="G12" s="48" t="n">
        <f aca="false">IF(cu_P=1,SUMIFS(Calculo!$F$75:$ES$75,Calculo!$F$14:$ES$14,3),SUMIFS(Calculo!$F$231:$ES$231,Calculo!$F$170:$ES$170,3))</f>
        <v>802667.994</v>
      </c>
      <c r="H12" s="48" t="n">
        <f aca="false">IF(cu_P=1,SUMIFS(Calculo!$F$75:$ES$75,Calculo!$F$14:$ES$14,4),SUMIFS(Calculo!$F$231:$ES$231,Calculo!$F$170:$ES$170,4))</f>
        <v>913695.993</v>
      </c>
      <c r="I12" s="48" t="n">
        <f aca="false">IF(cu_P=1,SUMIFS(Calculo!$F$75:$ES$75,Calculo!$F$14:$ES$14,5),SUMIFS(Calculo!$F$231:$ES$231,Calculo!$F$170:$ES$170,5))</f>
        <v>913695.993</v>
      </c>
      <c r="J12" s="48" t="n">
        <f aca="false">IF(cu_P=1,SUMIFS(Calculo!$F$75:$ES$75,Calculo!$F$14:$ES$14,6),SUMIFS(Calculo!$F$231:$ES$231,Calculo!$F$170:$ES$170,6))</f>
        <v>913695.993</v>
      </c>
      <c r="K12" s="48" t="n">
        <f aca="false">IF(cu_P=1,SUMIFS(Calculo!$F$75:$ES$75,Calculo!$F$14:$ES$14,7),SUMIFS(Calculo!$F$231:$ES$231,Calculo!$F$170:$ES$170,7))</f>
        <v>913695.993</v>
      </c>
      <c r="L12" s="48" t="n">
        <f aca="false">IF(cu_P=1,SUMIFS(Calculo!$F$75:$ES$75,Calculo!$F$14:$ES$14,8),SUMIFS(Calculo!$F$231:$ES$231,Calculo!$F$170:$ES$170,8))</f>
        <v>913695.993</v>
      </c>
      <c r="M12" s="48" t="n">
        <f aca="false">IF(cu_P=1,SUMIFS(Calculo!$F$75:$ES$75,Calculo!$F$14:$ES$14,9),SUMIFS(Calculo!$F$231:$ES$231,Calculo!$F$170:$ES$170,9))</f>
        <v>913695.993</v>
      </c>
      <c r="N12" s="48" t="n">
        <f aca="false">IF(cu_P=1,SUMIFS(Calculo!$F$75:$ES$75,Calculo!$F$14:$ES$14,10),SUMIFS(Calculo!$F$231:$ES$231,Calculo!$F$170:$ES$170,10))</f>
        <v>913695.993</v>
      </c>
      <c r="O12" s="54" t="n">
        <f aca="false">SUM(D12:N12)</f>
        <v>8388891.936</v>
      </c>
    </row>
    <row r="13" customFormat="false" ht="15" hidden="false" customHeight="false" outlineLevel="0" collapsed="false">
      <c r="A13" s="11" t="s">
        <v>2282</v>
      </c>
      <c r="B13" s="15" t="s">
        <v>2283</v>
      </c>
      <c r="C13" s="11" t="s">
        <v>508</v>
      </c>
      <c r="D13" s="48" t="n">
        <f aca="false">IF(cu_P=1,((SUMIFS(Calculo!$F$78:$ES$78,Calculo!$F$16:$ES$16,1))-SUMPRODUCT((Calculo!$F$16:$ES$16=1)*Calculo!$F$77:$ES$77*Calculo!$F$19:$ES$19)*P_Alim)/(1+P_Cargas),((SUMIFS(Calculo!$F$234:$ES$234,Calculo!$F$172:$ES$172,1))-SUMPRODUCT((Calculo!$F$172:$ES$172=1)*Calculo!$F$233:$ES$233*Calculo!$F$175:$ES$175)*V_Alim)/(1+V_Cargas))</f>
        <v>0</v>
      </c>
      <c r="E13" s="48" t="n">
        <f aca="false">IF(cu_P=1,((SUMIFS(Calculo!$F$78:$ES$78,Calculo!$F$14:$ES$14,1))-SUMPRODUCT((Calculo!$F$14:$ES$14=1)*Calculo!$F$77:$ES$77*Calculo!$F$19:$ES$19)*P_Alim)/(1+P_Cargas),((SUMIFS(Calculo!$F$234:$ES$234,Calculo!$F$170:$ES$170,1))-SUMPRODUCT((Calculo!$F$170:$ES$170=1)*Calculo!$F$233:$ES$233*Calculo!$F$175:$ES$175)*V_Alim)/(1+V_Cargas))</f>
        <v>245126.975342466</v>
      </c>
      <c r="F13" s="48" t="n">
        <f aca="false">IF(cu_P=1,((SUMIFS(Calculo!$F$78:$ES$78,Calculo!$F$14:$ES$14,2))-SUMPRODUCT((Calculo!$F$14:$ES$14=2)*Calculo!$F$77:$ES$77*Calculo!$F$19:$ES$19)*P_Alim)/(1+P_Cargas),((SUMIFS(Calculo!$F$234:$ES$234,Calculo!$F$170:$ES$170,2))-SUMPRODUCT((Calculo!$F$170:$ES$170=2)*Calculo!$F$233:$ES$233*Calculo!$F$175:$ES$175)*V_Alim)/(1+V_Cargas))</f>
        <v>245126.975342466</v>
      </c>
      <c r="G13" s="48" t="n">
        <f aca="false">IF(cu_P=1,((SUMIFS(Calculo!$F$78:$ES$78,Calculo!$F$14:$ES$14,3))-SUMPRODUCT((Calculo!$F$14:$ES$14=3)*Calculo!$F$77:$ES$77*Calculo!$F$19:$ES$19)*P_Alim)/(1+P_Cargas),((SUMIFS(Calculo!$F$234:$ES$234,Calculo!$F$170:$ES$170,3))-SUMPRODUCT((Calculo!$F$170:$ES$170=3)*Calculo!$F$233:$ES$233*Calculo!$F$175:$ES$175)*V_Alim)/(1+V_Cargas))</f>
        <v>265327.175342466</v>
      </c>
      <c r="H13" s="48" t="n">
        <f aca="false">IF(cu_P=1,((SUMIFS(Calculo!$F$78:$ES$78,Calculo!$F$14:$ES$14,4))-SUMPRODUCT((Calculo!$F$14:$ES$14=4)*Calculo!$F$77:$ES$77*Calculo!$F$19:$ES$19)*P_Alim)/(1+P_Cargas),((SUMIFS(Calculo!$F$234:$ES$234,Calculo!$F$170:$ES$170,4))-SUMPRODUCT((Calculo!$F$170:$ES$170=4)*Calculo!$F$233:$ES$233*Calculo!$F$175:$ES$175)*V_Alim)/(1+V_Cargas))</f>
        <v>281107.370958904</v>
      </c>
      <c r="I13" s="48" t="n">
        <f aca="false">IF(cu_P=1,((SUMIFS(Calculo!$F$78:$ES$78,Calculo!$F$14:$ES$14,5))-SUMPRODUCT((Calculo!$F$14:$ES$14=5)*Calculo!$F$77:$ES$77*Calculo!$F$19:$ES$19)*P_Alim)/(1+P_Cargas),((SUMIFS(Calculo!$F$234:$ES$234,Calculo!$F$170:$ES$170,5))-SUMPRODUCT((Calculo!$F$170:$ES$170=5)*Calculo!$F$233:$ES$233*Calculo!$F$175:$ES$175)*V_Alim)/(1+V_Cargas))</f>
        <v>300784.428493151</v>
      </c>
      <c r="J13" s="48" t="n">
        <f aca="false">IF(cu_P=1,((SUMIFS(Calculo!$F$78:$ES$78,Calculo!$F$14:$ES$14,6))-SUMPRODUCT((Calculo!$F$14:$ES$14=6)*Calculo!$F$77:$ES$77*Calculo!$F$19:$ES$19)*P_Alim)/(1+P_Cargas),((SUMIFS(Calculo!$F$234:$ES$234,Calculo!$F$170:$ES$170,6))-SUMPRODUCT((Calculo!$F$170:$ES$170=6)*Calculo!$F$233:$ES$233*Calculo!$F$175:$ES$175)*V_Alim)/(1+V_Cargas))</f>
        <v>300784.428493151</v>
      </c>
      <c r="K13" s="48" t="n">
        <f aca="false">IF(cu_P=1,((SUMIFS(Calculo!$F$78:$ES$78,Calculo!$F$14:$ES$14,7))-SUMPRODUCT((Calculo!$F$14:$ES$14=7)*Calculo!$F$77:$ES$77*Calculo!$F$19:$ES$19)*P_Alim)/(1+P_Cargas),((SUMIFS(Calculo!$F$234:$ES$234,Calculo!$F$170:$ES$170,7))-SUMPRODUCT((Calculo!$F$170:$ES$170=7)*Calculo!$F$233:$ES$233*Calculo!$F$175:$ES$175)*V_Alim)/(1+V_Cargas))</f>
        <v>300784.428493151</v>
      </c>
      <c r="L13" s="48" t="n">
        <f aca="false">IF(cu_P=1,((SUMIFS(Calculo!$F$78:$ES$78,Calculo!$F$14:$ES$14,8))-SUMPRODUCT((Calculo!$F$14:$ES$14=8)*Calculo!$F$77:$ES$77*Calculo!$F$19:$ES$19)*P_Alim)/(1+P_Cargas),((SUMIFS(Calculo!$F$234:$ES$234,Calculo!$F$170:$ES$170,8))-SUMPRODUCT((Calculo!$F$170:$ES$170=8)*Calculo!$F$233:$ES$233*Calculo!$F$175:$ES$175)*V_Alim)/(1+V_Cargas))</f>
        <v>300784.428493151</v>
      </c>
      <c r="M13" s="48" t="n">
        <f aca="false">IF(cu_P=1,((SUMIFS(Calculo!$F$78:$ES$78,Calculo!$F$14:$ES$14,9))-SUMPRODUCT((Calculo!$F$14:$ES$14=9)*Calculo!$F$77:$ES$77*Calculo!$F$19:$ES$19)*P_Alim)/(1+P_Cargas),((SUMIFS(Calculo!$F$234:$ES$234,Calculo!$F$170:$ES$170,9))-SUMPRODUCT((Calculo!$F$170:$ES$170=9)*Calculo!$F$233:$ES$233*Calculo!$F$175:$ES$175)*V_Alim)/(1+V_Cargas))</f>
        <v>300784.428493151</v>
      </c>
      <c r="N13" s="48" t="n">
        <f aca="false">IF(cu_P=1,((SUMIFS(Calculo!$F$78:$ES$78,Calculo!$F$14:$ES$14,10))-SUMPRODUCT((Calculo!$F$14:$ES$14=10)*Calculo!$F$77:$ES$77*Calculo!$F$19:$ES$19)*P_Alim)/(1+P_Cargas),((SUMIFS(Calculo!$F$234:$ES$234,Calculo!$F$170:$ES$170,10))-SUMPRODUCT((Calculo!$F$170:$ES$170=10)*Calculo!$F$233:$ES$233*Calculo!$F$175:$ES$175)*V_Alim)/(1+V_Cargas))</f>
        <v>300784.428493151</v>
      </c>
      <c r="O13" s="54" t="n">
        <f aca="false">SUM(D13:N13)</f>
        <v>2841395.06794521</v>
      </c>
    </row>
    <row r="14" customFormat="false" ht="15" hidden="false" customHeight="false" outlineLevel="0" collapsed="false">
      <c r="A14" s="11" t="s">
        <v>2284</v>
      </c>
      <c r="B14" s="15" t="s">
        <v>2285</v>
      </c>
      <c r="C14" s="11" t="s">
        <v>508</v>
      </c>
      <c r="D14" s="48" t="n">
        <f aca="false">IF(cu_P=1,((SUMIFS(Calculo!$F$80:$ES$80,Calculo!$F$16:$ES$16,1))-SUMPRODUCT((Calculo!$F$16:$ES$16=1)*Calculo!$F$79:$ES$79*Calculo!$F$19:$ES$19)*P_Alim)/(1+P_Cargas),((SUMIFS(Calculo!$F$236:$ES$236,Calculo!$F$172:$ES$172,1))-SUMPRODUCT((Calculo!$F$172:$ES$172=1)*Calculo!$F$235:$ES$235*Calculo!$F$175:$ES$175)*V_Alim)/(1+V_Cargas))</f>
        <v>0</v>
      </c>
      <c r="E14" s="48" t="n">
        <f aca="false">IF(cu_P=1,((SUMIFS(Calculo!$F$80:$ES$80,Calculo!$F$14:$ES$14,1))-SUMPRODUCT((Calculo!$F$14:$ES$14=1)*Calculo!$F$79:$ES$79*Calculo!$F$19:$ES$19)*P_Alim)/(1+P_Cargas),((SUMIFS(Calculo!$F$236:$ES$236,Calculo!$F$170:$ES$170,1))-SUMPRODUCT((Calculo!$F$170:$ES$170=1)*Calculo!$F$235:$ES$235*Calculo!$F$175:$ES$175)*V_Alim)/(1+V_Cargas))</f>
        <v>160104.48</v>
      </c>
      <c r="F14" s="48" t="n">
        <f aca="false">IF(cu_P=1,((SUMIFS(Calculo!$F$80:$ES$80,Calculo!$F$14:$ES$14,2))-SUMPRODUCT((Calculo!$F$14:$ES$14=2)*Calculo!$F$79:$ES$79*Calculo!$F$19:$ES$19)*P_Alim)/(1+P_Cargas),((SUMIFS(Calculo!$F$236:$ES$236,Calculo!$F$170:$ES$170,2))-SUMPRODUCT((Calculo!$F$170:$ES$170=2)*Calculo!$F$235:$ES$235*Calculo!$F$175:$ES$175)*V_Alim)/(1+V_Cargas))</f>
        <v>160104.48</v>
      </c>
      <c r="G14" s="48" t="n">
        <f aca="false">IF(cu_P=1,((SUMIFS(Calculo!$F$80:$ES$80,Calculo!$F$14:$ES$14,3))-SUMPRODUCT((Calculo!$F$14:$ES$14=3)*Calculo!$F$79:$ES$79*Calculo!$F$19:$ES$19)*P_Alim)/(1+P_Cargas),((SUMIFS(Calculo!$F$236:$ES$236,Calculo!$F$170:$ES$170,3))-SUMPRODUCT((Calculo!$F$170:$ES$170=3)*Calculo!$F$235:$ES$235*Calculo!$F$175:$ES$175)*V_Alim)/(1+V_Cargas))</f>
        <v>160104.48</v>
      </c>
      <c r="H14" s="48" t="n">
        <f aca="false">IF(cu_P=1,((SUMIFS(Calculo!$F$80:$ES$80,Calculo!$F$14:$ES$14,4))-SUMPRODUCT((Calculo!$F$14:$ES$14=4)*Calculo!$F$79:$ES$79*Calculo!$F$19:$ES$19)*P_Alim)/(1+P_Cargas),((SUMIFS(Calculo!$F$236:$ES$236,Calculo!$F$170:$ES$170,4))-SUMPRODUCT((Calculo!$F$170:$ES$170=4)*Calculo!$F$235:$ES$235*Calculo!$F$175:$ES$175)*V_Alim)/(1+V_Cargas))</f>
        <v>160104.48</v>
      </c>
      <c r="I14" s="48" t="n">
        <f aca="false">IF(cu_P=1,((SUMIFS(Calculo!$F$80:$ES$80,Calculo!$F$14:$ES$14,5))-SUMPRODUCT((Calculo!$F$14:$ES$14=5)*Calculo!$F$79:$ES$79*Calculo!$F$19:$ES$19)*P_Alim)/(1+P_Cargas),((SUMIFS(Calculo!$F$236:$ES$236,Calculo!$F$170:$ES$170,5))-SUMPRODUCT((Calculo!$F$170:$ES$170=5)*Calculo!$F$235:$ES$235*Calculo!$F$175:$ES$175)*V_Alim)/(1+V_Cargas))</f>
        <v>160104.48</v>
      </c>
      <c r="J14" s="48" t="n">
        <f aca="false">IF(cu_P=1,((SUMIFS(Calculo!$F$80:$ES$80,Calculo!$F$14:$ES$14,6))-SUMPRODUCT((Calculo!$F$14:$ES$14=6)*Calculo!$F$79:$ES$79*Calculo!$F$19:$ES$19)*P_Alim)/(1+P_Cargas),((SUMIFS(Calculo!$F$236:$ES$236,Calculo!$F$170:$ES$170,6))-SUMPRODUCT((Calculo!$F$170:$ES$170=6)*Calculo!$F$235:$ES$235*Calculo!$F$175:$ES$175)*V_Alim)/(1+V_Cargas))</f>
        <v>160104.48</v>
      </c>
      <c r="K14" s="48" t="n">
        <f aca="false">IF(cu_P=1,((SUMIFS(Calculo!$F$80:$ES$80,Calculo!$F$14:$ES$14,7))-SUMPRODUCT((Calculo!$F$14:$ES$14=7)*Calculo!$F$79:$ES$79*Calculo!$F$19:$ES$19)*P_Alim)/(1+P_Cargas),((SUMIFS(Calculo!$F$236:$ES$236,Calculo!$F$170:$ES$170,7))-SUMPRODUCT((Calculo!$F$170:$ES$170=7)*Calculo!$F$235:$ES$235*Calculo!$F$175:$ES$175)*V_Alim)/(1+V_Cargas))</f>
        <v>160104.48</v>
      </c>
      <c r="L14" s="48" t="n">
        <f aca="false">IF(cu_P=1,((SUMIFS(Calculo!$F$80:$ES$80,Calculo!$F$14:$ES$14,8))-SUMPRODUCT((Calculo!$F$14:$ES$14=8)*Calculo!$F$79:$ES$79*Calculo!$F$19:$ES$19)*P_Alim)/(1+P_Cargas),((SUMIFS(Calculo!$F$236:$ES$236,Calculo!$F$170:$ES$170,8))-SUMPRODUCT((Calculo!$F$170:$ES$170=8)*Calculo!$F$235:$ES$235*Calculo!$F$175:$ES$175)*V_Alim)/(1+V_Cargas))</f>
        <v>160104.48</v>
      </c>
      <c r="M14" s="48" t="n">
        <f aca="false">IF(cu_P=1,((SUMIFS(Calculo!$F$80:$ES$80,Calculo!$F$14:$ES$14,9))-SUMPRODUCT((Calculo!$F$14:$ES$14=9)*Calculo!$F$79:$ES$79*Calculo!$F$19:$ES$19)*P_Alim)/(1+P_Cargas),((SUMIFS(Calculo!$F$236:$ES$236,Calculo!$F$170:$ES$170,9))-SUMPRODUCT((Calculo!$F$170:$ES$170=9)*Calculo!$F$235:$ES$235*Calculo!$F$175:$ES$175)*V_Alim)/(1+V_Cargas))</f>
        <v>160104.48</v>
      </c>
      <c r="N14" s="48" t="n">
        <f aca="false">IF(cu_P=1,((SUMIFS(Calculo!$F$80:$ES$80,Calculo!$F$14:$ES$14,10))-SUMPRODUCT((Calculo!$F$14:$ES$14=10)*Calculo!$F$79:$ES$79*Calculo!$F$19:$ES$19)*P_Alim)/(1+P_Cargas),((SUMIFS(Calculo!$F$236:$ES$236,Calculo!$F$170:$ES$170,10))-SUMPRODUCT((Calculo!$F$170:$ES$170=10)*Calculo!$F$235:$ES$235*Calculo!$F$175:$ES$175)*V_Alim)/(1+V_Cargas))</f>
        <v>160104.48</v>
      </c>
      <c r="O14" s="54" t="n">
        <f aca="false">SUM(D14:N14)</f>
        <v>1601044.8</v>
      </c>
    </row>
    <row r="15" customFormat="false" ht="15" hidden="false" customHeight="false" outlineLevel="0" collapsed="false">
      <c r="A15" s="11" t="s">
        <v>2286</v>
      </c>
      <c r="B15" s="15" t="s">
        <v>2287</v>
      </c>
      <c r="C15" s="11" t="s">
        <v>508</v>
      </c>
      <c r="D15" s="48" t="n">
        <f aca="false">IF(cu_P=1,(((SUMIFS(Calculo!$F$78:$ES$78,Calculo!$F$16:$ES$16,1))-SUMPRODUCT((Calculo!$F$16:$ES$16=1)*Calculo!$F$77:$ES$77*Calculo!$F$19:$ES$19)*P_Alim)/(1+P_Cargas)+((SUMIFS(Calculo!$F$80:$ES$80,Calculo!$F$16:$ES$16,1))-SUMPRODUCT((Calculo!$F$16:$ES$16=1)*Calculo!$F$79:$ES$79*Calculo!$F$19:$ES$19)*P_Alim)/(1+P_Cargas))*P_Cargas,(((SUMIFS(Calculo!$F$234:$ES$234,Calculo!$F$172:$ES$172,1))-SUMPRODUCT((Calculo!$F$172:$ES$172=1)*Calculo!$F$233:$ES$233*Calculo!$F$175:$ES$175)*V_Alim)/(1+V_Cargas)+((SUMIFS(Calculo!$F$236:$ES$236,Calculo!$F$172:$ES$172,1))-SUMPRODUCT((Calculo!$F$172:$ES$172=1)*Calculo!$F$235:$ES$235*Calculo!$F$175:$ES$175)*V_Alim)/(1+V_Cargas))*V_Cargas)</f>
        <v>0</v>
      </c>
      <c r="E15" s="48" t="n">
        <f aca="false">IF(cu_P=1,(((SUMIFS(Calculo!$F$78:$ES$78,Calculo!$F$14:$ES$14,1))-SUMPRODUCT((Calculo!$F$14:$ES$14=1)*Calculo!$F$77:$ES$77*Calculo!$F$19:$ES$19)*P_Alim)/(1+P_Cargas)+((SUMIFS(Calculo!$F$80:$ES$80,Calculo!$F$14:$ES$14,1))-SUMPRODUCT((Calculo!$F$14:$ES$14=1)*Calculo!$F$79:$ES$79*Calculo!$F$19:$ES$19)*P_Alim)/(1+P_Cargas))*P_Cargas,(((SUMIFS(Calculo!$F$234:$ES$234,Calculo!$F$170:$ES$170,1))-SUMPRODUCT((Calculo!$F$170:$ES$170=1)*Calculo!$F$233:$ES$233*Calculo!$F$175:$ES$175)*V_Alim)/(1+V_Cargas)+((SUMIFS(Calculo!$F$236:$ES$236,Calculo!$F$170:$ES$170,1))-SUMPRODUCT((Calculo!$F$170:$ES$170=1)*Calculo!$F$235:$ES$235*Calculo!$F$175:$ES$175)*V_Alim)/(1+V_Cargas))*V_Cargas)</f>
        <v>174614.234107068</v>
      </c>
      <c r="F15" s="48" t="n">
        <f aca="false">IF(cu_P=1,(((SUMIFS(Calculo!$F$78:$ES$78,Calculo!$F$14:$ES$14,2))-SUMPRODUCT((Calculo!$F$14:$ES$14=2)*Calculo!$F$77:$ES$77*Calculo!$F$19:$ES$19)*P_Alim)/(1+P_Cargas)+((SUMIFS(Calculo!$F$80:$ES$80,Calculo!$F$14:$ES$14,2))-SUMPRODUCT((Calculo!$F$14:$ES$14=2)*Calculo!$F$79:$ES$79*Calculo!$F$19:$ES$19)*P_Alim)/(1+P_Cargas))*P_Cargas,(((SUMIFS(Calculo!$F$234:$ES$234,Calculo!$F$170:$ES$170,2))-SUMPRODUCT((Calculo!$F$170:$ES$170=2)*Calculo!$F$233:$ES$233*Calculo!$F$175:$ES$175)*V_Alim)/(1+V_Cargas)+((SUMIFS(Calculo!$F$236:$ES$236,Calculo!$F$170:$ES$170,2))-SUMPRODUCT((Calculo!$F$170:$ES$170=2)*Calculo!$F$235:$ES$235*Calculo!$F$175:$ES$175)*V_Alim)/(1+V_Cargas))*V_Cargas)</f>
        <v>174614.234107068</v>
      </c>
      <c r="G15" s="48" t="n">
        <f aca="false">IF(cu_P=1,(((SUMIFS(Calculo!$F$78:$ES$78,Calculo!$F$14:$ES$14,3))-SUMPRODUCT((Calculo!$F$14:$ES$14=3)*Calculo!$F$77:$ES$77*Calculo!$F$19:$ES$19)*P_Alim)/(1+P_Cargas)+((SUMIFS(Calculo!$F$80:$ES$80,Calculo!$F$14:$ES$14,3))-SUMPRODUCT((Calculo!$F$14:$ES$14=3)*Calculo!$F$79:$ES$79*Calculo!$F$19:$ES$19)*P_Alim)/(1+P_Cargas))*P_Cargas,(((SUMIFS(Calculo!$F$234:$ES$234,Calculo!$F$170:$ES$170,3))-SUMPRODUCT((Calculo!$F$170:$ES$170=3)*Calculo!$F$233:$ES$233*Calculo!$F$175:$ES$175)*V_Alim)/(1+V_Cargas)+((SUMIFS(Calculo!$F$236:$ES$236,Calculo!$F$170:$ES$170,3))-SUMPRODUCT((Calculo!$F$170:$ES$170=3)*Calculo!$F$235:$ES$235*Calculo!$F$175:$ES$175)*V_Alim)/(1+V_Cargas))*V_Cargas)</f>
        <v>183318.500287068</v>
      </c>
      <c r="H15" s="48" t="n">
        <f aca="false">IF(cu_P=1,(((SUMIFS(Calculo!$F$78:$ES$78,Calculo!$F$14:$ES$14,4))-SUMPRODUCT((Calculo!$F$14:$ES$14=4)*Calculo!$F$77:$ES$77*Calculo!$F$19:$ES$19)*P_Alim)/(1+P_Cargas)+((SUMIFS(Calculo!$F$80:$ES$80,Calculo!$F$14:$ES$14,4))-SUMPRODUCT((Calculo!$F$14:$ES$14=4)*Calculo!$F$79:$ES$79*Calculo!$F$19:$ES$19)*P_Alim)/(1+P_Cargas))*P_Cargas,(((SUMIFS(Calculo!$F$234:$ES$234,Calculo!$F$170:$ES$170,4))-SUMPRODUCT((Calculo!$F$170:$ES$170=4)*Calculo!$F$233:$ES$233*Calculo!$F$175:$ES$175)*V_Alim)/(1+V_Cargas)+((SUMIFS(Calculo!$F$236:$ES$236,Calculo!$F$170:$ES$170,4))-SUMPRODUCT((Calculo!$F$170:$ES$170=4)*Calculo!$F$235:$ES$235*Calculo!$F$175:$ES$175)*V_Alim)/(1+V_Cargas))*V_Cargas)</f>
        <v>190118.186578192</v>
      </c>
      <c r="I15" s="48" t="n">
        <f aca="false">IF(cu_P=1,(((SUMIFS(Calculo!$F$78:$ES$78,Calculo!$F$14:$ES$14,5))-SUMPRODUCT((Calculo!$F$14:$ES$14=5)*Calculo!$F$77:$ES$77*Calculo!$F$19:$ES$19)*P_Alim)/(1+P_Cargas)+((SUMIFS(Calculo!$F$80:$ES$80,Calculo!$F$14:$ES$14,5))-SUMPRODUCT((Calculo!$F$14:$ES$14=5)*Calculo!$F$79:$ES$79*Calculo!$F$19:$ES$19)*P_Alim)/(1+P_Cargas))*P_Cargas,(((SUMIFS(Calculo!$F$234:$ES$234,Calculo!$F$170:$ES$170,5))-SUMPRODUCT((Calculo!$F$170:$ES$170=5)*Calculo!$F$233:$ES$233*Calculo!$F$175:$ES$175)*V_Alim)/(1+V_Cargas)+((SUMIFS(Calculo!$F$236:$ES$236,Calculo!$F$170:$ES$170,5))-SUMPRODUCT((Calculo!$F$170:$ES$170=5)*Calculo!$F$235:$ES$235*Calculo!$F$175:$ES$175)*V_Alim)/(1+V_Cargas))*V_Cargas)</f>
        <v>198597.030669699</v>
      </c>
      <c r="J15" s="48" t="n">
        <f aca="false">IF(cu_P=1,(((SUMIFS(Calculo!$F$78:$ES$78,Calculo!$F$14:$ES$14,6))-SUMPRODUCT((Calculo!$F$14:$ES$14=6)*Calculo!$F$77:$ES$77*Calculo!$F$19:$ES$19)*P_Alim)/(1+P_Cargas)+((SUMIFS(Calculo!$F$80:$ES$80,Calculo!$F$14:$ES$14,6))-SUMPRODUCT((Calculo!$F$14:$ES$14=6)*Calculo!$F$79:$ES$79*Calculo!$F$19:$ES$19)*P_Alim)/(1+P_Cargas))*P_Cargas,(((SUMIFS(Calculo!$F$234:$ES$234,Calculo!$F$170:$ES$170,6))-SUMPRODUCT((Calculo!$F$170:$ES$170=6)*Calculo!$F$233:$ES$233*Calculo!$F$175:$ES$175)*V_Alim)/(1+V_Cargas)+((SUMIFS(Calculo!$F$236:$ES$236,Calculo!$F$170:$ES$170,6))-SUMPRODUCT((Calculo!$F$170:$ES$170=6)*Calculo!$F$235:$ES$235*Calculo!$F$175:$ES$175)*V_Alim)/(1+V_Cargas))*V_Cargas)</f>
        <v>198597.030669699</v>
      </c>
      <c r="K15" s="48" t="n">
        <f aca="false">IF(cu_P=1,(((SUMIFS(Calculo!$F$78:$ES$78,Calculo!$F$14:$ES$14,7))-SUMPRODUCT((Calculo!$F$14:$ES$14=7)*Calculo!$F$77:$ES$77*Calculo!$F$19:$ES$19)*P_Alim)/(1+P_Cargas)+((SUMIFS(Calculo!$F$80:$ES$80,Calculo!$F$14:$ES$14,7))-SUMPRODUCT((Calculo!$F$14:$ES$14=7)*Calculo!$F$79:$ES$79*Calculo!$F$19:$ES$19)*P_Alim)/(1+P_Cargas))*P_Cargas,(((SUMIFS(Calculo!$F$234:$ES$234,Calculo!$F$170:$ES$170,7))-SUMPRODUCT((Calculo!$F$170:$ES$170=7)*Calculo!$F$233:$ES$233*Calculo!$F$175:$ES$175)*V_Alim)/(1+V_Cargas)+((SUMIFS(Calculo!$F$236:$ES$236,Calculo!$F$170:$ES$170,7))-SUMPRODUCT((Calculo!$F$170:$ES$170=7)*Calculo!$F$235:$ES$235*Calculo!$F$175:$ES$175)*V_Alim)/(1+V_Cargas))*V_Cargas)</f>
        <v>198597.030669699</v>
      </c>
      <c r="L15" s="48" t="n">
        <f aca="false">IF(cu_P=1,(((SUMIFS(Calculo!$F$78:$ES$78,Calculo!$F$14:$ES$14,8))-SUMPRODUCT((Calculo!$F$14:$ES$14=8)*Calculo!$F$77:$ES$77*Calculo!$F$19:$ES$19)*P_Alim)/(1+P_Cargas)+((SUMIFS(Calculo!$F$80:$ES$80,Calculo!$F$14:$ES$14,8))-SUMPRODUCT((Calculo!$F$14:$ES$14=8)*Calculo!$F$79:$ES$79*Calculo!$F$19:$ES$19)*P_Alim)/(1+P_Cargas))*P_Cargas,(((SUMIFS(Calculo!$F$234:$ES$234,Calculo!$F$170:$ES$170,8))-SUMPRODUCT((Calculo!$F$170:$ES$170=8)*Calculo!$F$233:$ES$233*Calculo!$F$175:$ES$175)*V_Alim)/(1+V_Cargas)+((SUMIFS(Calculo!$F$236:$ES$236,Calculo!$F$170:$ES$170,8))-SUMPRODUCT((Calculo!$F$170:$ES$170=8)*Calculo!$F$235:$ES$235*Calculo!$F$175:$ES$175)*V_Alim)/(1+V_Cargas))*V_Cargas)</f>
        <v>198597.030669699</v>
      </c>
      <c r="M15" s="48" t="n">
        <f aca="false">IF(cu_P=1,(((SUMIFS(Calculo!$F$78:$ES$78,Calculo!$F$14:$ES$14,9))-SUMPRODUCT((Calculo!$F$14:$ES$14=9)*Calculo!$F$77:$ES$77*Calculo!$F$19:$ES$19)*P_Alim)/(1+P_Cargas)+((SUMIFS(Calculo!$F$80:$ES$80,Calculo!$F$14:$ES$14,9))-SUMPRODUCT((Calculo!$F$14:$ES$14=9)*Calculo!$F$79:$ES$79*Calculo!$F$19:$ES$19)*P_Alim)/(1+P_Cargas))*P_Cargas,(((SUMIFS(Calculo!$F$234:$ES$234,Calculo!$F$170:$ES$170,9))-SUMPRODUCT((Calculo!$F$170:$ES$170=9)*Calculo!$F$233:$ES$233*Calculo!$F$175:$ES$175)*V_Alim)/(1+V_Cargas)+((SUMIFS(Calculo!$F$236:$ES$236,Calculo!$F$170:$ES$170,9))-SUMPRODUCT((Calculo!$F$170:$ES$170=9)*Calculo!$F$235:$ES$235*Calculo!$F$175:$ES$175)*V_Alim)/(1+V_Cargas))*V_Cargas)</f>
        <v>198597.030669699</v>
      </c>
      <c r="N15" s="48" t="n">
        <f aca="false">IF(cu_P=1,(((SUMIFS(Calculo!$F$78:$ES$78,Calculo!$F$14:$ES$14,10))-SUMPRODUCT((Calculo!$F$14:$ES$14=10)*Calculo!$F$77:$ES$77*Calculo!$F$19:$ES$19)*P_Alim)/(1+P_Cargas)+((SUMIFS(Calculo!$F$80:$ES$80,Calculo!$F$14:$ES$14,10))-SUMPRODUCT((Calculo!$F$14:$ES$14=10)*Calculo!$F$79:$ES$79*Calculo!$F$19:$ES$19)*P_Alim)/(1+P_Cargas))*P_Cargas,(((SUMIFS(Calculo!$F$234:$ES$234,Calculo!$F$170:$ES$170,10))-SUMPRODUCT((Calculo!$F$170:$ES$170=10)*Calculo!$F$233:$ES$233*Calculo!$F$175:$ES$175)*V_Alim)/(1+V_Cargas)+((SUMIFS(Calculo!$F$236:$ES$236,Calculo!$F$170:$ES$170,10))-SUMPRODUCT((Calculo!$F$170:$ES$170=10)*Calculo!$F$235:$ES$235*Calculo!$F$175:$ES$175)*V_Alim)/(1+V_Cargas))*V_Cargas)</f>
        <v>198597.030669699</v>
      </c>
      <c r="O15" s="54" t="n">
        <f aca="false">SUM(D15:N15)</f>
        <v>1914247.33909759</v>
      </c>
    </row>
    <row r="16" customFormat="false" ht="15" hidden="false" customHeight="false" outlineLevel="0" collapsed="false">
      <c r="A16" s="11" t="s">
        <v>2288</v>
      </c>
      <c r="B16" s="15" t="s">
        <v>2289</v>
      </c>
      <c r="C16" s="11" t="s">
        <v>508</v>
      </c>
      <c r="D16" s="48" t="n">
        <f aca="false">IF(cu_P=1,SUMPRODUCT((Calculo!$F$16:$ES$16=1)*Calculo!$F$77:$ES$77*Calculo!$F$19:$ES$19)*P_Alim+SUMPRODUCT((Calculo!$F$16:$ES$16=1)*Calculo!$F$79:$ES$79*Calculo!$F$19:$ES$19)*P_Alim,SUMPRODUCT((Calculo!$F$172:$ES$172=1)*Calculo!$F$233:$ES$233*Calculo!$F$175:$ES$175)*V_Alim+SUMPRODUCT((Calculo!$F$172:$ES$172=1)*Calculo!$F$235:$ES$235*Calculo!$F$175:$ES$175)*V_Alim)</f>
        <v>0</v>
      </c>
      <c r="E16" s="48" t="n">
        <f aca="false">IF(cu_P=1,SUMPRODUCT((Calculo!$F$14:$ES$14=1)*Calculo!$F$77:$ES$77*Calculo!$F$19:$ES$19)*P_Alim+SUMPRODUCT((Calculo!$F$14:$ES$14=1)*Calculo!$F$79:$ES$79*Calculo!$F$19:$ES$19)*P_Alim,SUMPRODUCT((Calculo!$F$170:$ES$170=1)*Calculo!$F$233:$ES$233*Calculo!$F$175:$ES$175)*V_Alim+SUMPRODUCT((Calculo!$F$170:$ES$170=1)*Calculo!$F$235:$ES$235*Calculo!$F$175:$ES$175)*V_Alim)</f>
        <v>56810.9589041096</v>
      </c>
      <c r="F16" s="48" t="n">
        <f aca="false">IF(cu_P=1,SUMPRODUCT((Calculo!$F$14:$ES$14=2)*Calculo!$F$77:$ES$77*Calculo!$F$19:$ES$19)*P_Alim+SUMPRODUCT((Calculo!$F$14:$ES$14=2)*Calculo!$F$79:$ES$79*Calculo!$F$19:$ES$19)*P_Alim,SUMPRODUCT((Calculo!$F$170:$ES$170=2)*Calculo!$F$233:$ES$233*Calculo!$F$175:$ES$175)*V_Alim+SUMPRODUCT((Calculo!$F$170:$ES$170=2)*Calculo!$F$235:$ES$235*Calculo!$F$175:$ES$175)*V_Alim)</f>
        <v>56810.9589041096</v>
      </c>
      <c r="G16" s="48" t="n">
        <f aca="false">IF(cu_P=1,SUMPRODUCT((Calculo!$F$14:$ES$14=3)*Calculo!$F$77:$ES$77*Calculo!$F$19:$ES$19)*P_Alim+SUMPRODUCT((Calculo!$F$14:$ES$14=3)*Calculo!$F$79:$ES$79*Calculo!$F$19:$ES$19)*P_Alim,SUMPRODUCT((Calculo!$F$170:$ES$170=3)*Calculo!$F$233:$ES$233*Calculo!$F$175:$ES$175)*V_Alim+SUMPRODUCT((Calculo!$F$170:$ES$170=3)*Calculo!$F$235:$ES$235*Calculo!$F$175:$ES$175)*V_Alim)</f>
        <v>59651.5068493151</v>
      </c>
      <c r="H16" s="48" t="n">
        <f aca="false">IF(cu_P=1,SUMPRODUCT((Calculo!$F$14:$ES$14=4)*Calculo!$F$77:$ES$77*Calculo!$F$19:$ES$19)*P_Alim+SUMPRODUCT((Calculo!$F$14:$ES$14=4)*Calculo!$F$79:$ES$79*Calculo!$F$19:$ES$19)*P_Alim,SUMPRODUCT((Calculo!$F$170:$ES$170=4)*Calculo!$F$233:$ES$233*Calculo!$F$175:$ES$175)*V_Alim+SUMPRODUCT((Calculo!$F$170:$ES$170=4)*Calculo!$F$235:$ES$235*Calculo!$F$175:$ES$175)*V_Alim)</f>
        <v>62492.0547945206</v>
      </c>
      <c r="I16" s="48" t="n">
        <f aca="false">IF(cu_P=1,SUMPRODUCT((Calculo!$F$14:$ES$14=5)*Calculo!$F$77:$ES$77*Calculo!$F$19:$ES$19)*P_Alim+SUMPRODUCT((Calculo!$F$14:$ES$14=5)*Calculo!$F$79:$ES$79*Calculo!$F$19:$ES$19)*P_Alim,SUMPRODUCT((Calculo!$F$170:$ES$170=5)*Calculo!$F$233:$ES$233*Calculo!$F$175:$ES$175)*V_Alim+SUMPRODUCT((Calculo!$F$170:$ES$170=5)*Calculo!$F$235:$ES$235*Calculo!$F$175:$ES$175)*V_Alim)</f>
        <v>65332.602739726</v>
      </c>
      <c r="J16" s="48" t="n">
        <f aca="false">IF(cu_P=1,SUMPRODUCT((Calculo!$F$14:$ES$14=6)*Calculo!$F$77:$ES$77*Calculo!$F$19:$ES$19)*P_Alim+SUMPRODUCT((Calculo!$F$14:$ES$14=6)*Calculo!$F$79:$ES$79*Calculo!$F$19:$ES$19)*P_Alim,SUMPRODUCT((Calculo!$F$170:$ES$170=6)*Calculo!$F$233:$ES$233*Calculo!$F$175:$ES$175)*V_Alim+SUMPRODUCT((Calculo!$F$170:$ES$170=6)*Calculo!$F$235:$ES$235*Calculo!$F$175:$ES$175)*V_Alim)</f>
        <v>65332.602739726</v>
      </c>
      <c r="K16" s="48" t="n">
        <f aca="false">IF(cu_P=1,SUMPRODUCT((Calculo!$F$14:$ES$14=7)*Calculo!$F$77:$ES$77*Calculo!$F$19:$ES$19)*P_Alim+SUMPRODUCT((Calculo!$F$14:$ES$14=7)*Calculo!$F$79:$ES$79*Calculo!$F$19:$ES$19)*P_Alim,SUMPRODUCT((Calculo!$F$170:$ES$170=7)*Calculo!$F$233:$ES$233*Calculo!$F$175:$ES$175)*V_Alim+SUMPRODUCT((Calculo!$F$170:$ES$170=7)*Calculo!$F$235:$ES$235*Calculo!$F$175:$ES$175)*V_Alim)</f>
        <v>65332.602739726</v>
      </c>
      <c r="L16" s="48" t="n">
        <f aca="false">IF(cu_P=1,SUMPRODUCT((Calculo!$F$14:$ES$14=8)*Calculo!$F$77:$ES$77*Calculo!$F$19:$ES$19)*P_Alim+SUMPRODUCT((Calculo!$F$14:$ES$14=8)*Calculo!$F$79:$ES$79*Calculo!$F$19:$ES$19)*P_Alim,SUMPRODUCT((Calculo!$F$170:$ES$170=8)*Calculo!$F$233:$ES$233*Calculo!$F$175:$ES$175)*V_Alim+SUMPRODUCT((Calculo!$F$170:$ES$170=8)*Calculo!$F$235:$ES$235*Calculo!$F$175:$ES$175)*V_Alim)</f>
        <v>65332.602739726</v>
      </c>
      <c r="M16" s="48" t="n">
        <f aca="false">IF(cu_P=1,SUMPRODUCT((Calculo!$F$14:$ES$14=9)*Calculo!$F$77:$ES$77*Calculo!$F$19:$ES$19)*P_Alim+SUMPRODUCT((Calculo!$F$14:$ES$14=9)*Calculo!$F$79:$ES$79*Calculo!$F$19:$ES$19)*P_Alim,SUMPRODUCT((Calculo!$F$170:$ES$170=9)*Calculo!$F$233:$ES$233*Calculo!$F$175:$ES$175)*V_Alim+SUMPRODUCT((Calculo!$F$170:$ES$170=9)*Calculo!$F$235:$ES$235*Calculo!$F$175:$ES$175)*V_Alim)</f>
        <v>65332.602739726</v>
      </c>
      <c r="N16" s="48" t="n">
        <f aca="false">IF(cu_P=1,SUMPRODUCT((Calculo!$F$14:$ES$14=10)*Calculo!$F$77:$ES$77*Calculo!$F$19:$ES$19)*P_Alim+SUMPRODUCT((Calculo!$F$14:$ES$14=10)*Calculo!$F$79:$ES$79*Calculo!$F$19:$ES$19)*P_Alim,SUMPRODUCT((Calculo!$F$170:$ES$170=10)*Calculo!$F$233:$ES$233*Calculo!$F$175:$ES$175)*V_Alim+SUMPRODUCT((Calculo!$F$170:$ES$170=10)*Calculo!$F$235:$ES$235*Calculo!$F$175:$ES$175)*V_Alim)</f>
        <v>65332.602739726</v>
      </c>
      <c r="O16" s="54" t="n">
        <f aca="false">SUM(D16:N16)</f>
        <v>627761.095890411</v>
      </c>
    </row>
    <row r="17" customFormat="false" ht="15" hidden="false" customHeight="false" outlineLevel="0" collapsed="false">
      <c r="A17" s="11" t="s">
        <v>2290</v>
      </c>
      <c r="B17" s="15" t="s">
        <v>2291</v>
      </c>
      <c r="C17" s="11" t="s">
        <v>508</v>
      </c>
      <c r="D17" s="48" t="n">
        <f aca="false">IF(cu_P=1,SUMIFS(Calculo!$F$86:$ES$86,Calculo!$F$16:$ES$16,1),SUMIFS(Calculo!$F$242:$ES$242,Calculo!$F$172:$ES$172,1))</f>
        <v>0</v>
      </c>
      <c r="E17" s="48" t="n">
        <f aca="false">IF(cu_P=1,SUMIFS(Calculo!$F$86:$ES$86,Calculo!$F$14:$ES$14,1),SUMIFS(Calculo!$F$242:$ES$242,Calculo!$F$170:$ES$170,1))</f>
        <v>52721.738630137</v>
      </c>
      <c r="F17" s="48" t="n">
        <f aca="false">IF(cu_P=1,SUMIFS(Calculo!$F$86:$ES$86,Calculo!$F$14:$ES$14,2),SUMIFS(Calculo!$F$242:$ES$242,Calculo!$F$170:$ES$170,2))</f>
        <v>53315.899430137</v>
      </c>
      <c r="G17" s="48" t="n">
        <f aca="false">IF(cu_P=1,SUMIFS(Calculo!$F$86:$ES$86,Calculo!$F$14:$ES$14,3),SUMIFS(Calculo!$F$242:$ES$242,Calculo!$F$170:$ES$170,3))</f>
        <v>53921.943446137</v>
      </c>
      <c r="H17" s="48" t="n">
        <f aca="false">IF(cu_P=1,SUMIFS(Calculo!$F$86:$ES$86,Calculo!$F$14:$ES$14,4),SUMIFS(Calculo!$F$242:$ES$242,Calculo!$F$170:$ES$170,4))</f>
        <v>54540.108342457</v>
      </c>
      <c r="I17" s="48" t="n">
        <f aca="false">IF(cu_P=1,SUMIFS(Calculo!$F$86:$ES$86,Calculo!$F$14:$ES$14,5),SUMIFS(Calculo!$F$242:$ES$242,Calculo!$F$170:$ES$170,5))</f>
        <v>55170.6365367034</v>
      </c>
      <c r="J17" s="48" t="n">
        <f aca="false">IF(cu_P=1,SUMIFS(Calculo!$F$86:$ES$86,Calculo!$F$14:$ES$14,6),SUMIFS(Calculo!$F$242:$ES$242,Calculo!$F$170:$ES$170,6))</f>
        <v>55813.7752948347</v>
      </c>
      <c r="K17" s="48" t="n">
        <f aca="false">IF(cu_P=1,SUMIFS(Calculo!$F$86:$ES$86,Calculo!$F$14:$ES$14,7),SUMIFS(Calculo!$F$242:$ES$242,Calculo!$F$170:$ES$170,7))</f>
        <v>56469.7768281287</v>
      </c>
      <c r="L17" s="48" t="n">
        <f aca="false">IF(cu_P=1,SUMIFS(Calculo!$F$86:$ES$86,Calculo!$F$14:$ES$14,8),SUMIFS(Calculo!$F$242:$ES$242,Calculo!$F$170:$ES$170,8))</f>
        <v>57138.8983920885</v>
      </c>
      <c r="M17" s="48" t="n">
        <f aca="false">IF(cu_P=1,SUMIFS(Calculo!$F$86:$ES$86,Calculo!$F$14:$ES$14,9),SUMIFS(Calculo!$F$242:$ES$242,Calculo!$F$170:$ES$170,9))</f>
        <v>57821.4023873275</v>
      </c>
      <c r="N17" s="48" t="n">
        <f aca="false">IF(cu_P=1,SUMIFS(Calculo!$F$86:$ES$86,Calculo!$F$14:$ES$14,10),SUMIFS(Calculo!$F$242:$ES$242,Calculo!$F$170:$ES$170,10))</f>
        <v>58517.5564624714</v>
      </c>
      <c r="O17" s="54" t="n">
        <f aca="false">SUM(D17:N17)</f>
        <v>555431.735750422</v>
      </c>
    </row>
    <row r="18" customFormat="false" ht="15" hidden="false" customHeight="false" outlineLevel="0" collapsed="false">
      <c r="A18" s="11" t="s">
        <v>2292</v>
      </c>
      <c r="B18" s="15" t="s">
        <v>2293</v>
      </c>
      <c r="C18" s="11" t="s">
        <v>508</v>
      </c>
      <c r="D18" s="48" t="n">
        <f aca="false">IF(cu_P=1,SUMIFS(Calculo!$F$76:$ES$76,Calculo!$F$16:$ES$16,1),SUMIFS(Calculo!$F$232:$ES$232,Calculo!$F$172:$ES$172,1))</f>
        <v>0</v>
      </c>
      <c r="E18" s="48" t="n">
        <f aca="false">IF(cu_P=1,SUMIFS(Calculo!$F$76:$ES$76,Calculo!$F$14:$ES$14,1),SUMIFS(Calculo!$F$232:$ES$232,Calculo!$F$170:$ES$170,1))</f>
        <v>71702.1</v>
      </c>
      <c r="F18" s="48" t="n">
        <f aca="false">IF(cu_P=1,SUMIFS(Calculo!$F$76:$ES$76,Calculo!$F$14:$ES$14,2),SUMIFS(Calculo!$F$232:$ES$232,Calculo!$F$170:$ES$170,2))</f>
        <v>91119.195</v>
      </c>
      <c r="G18" s="48" t="n">
        <f aca="false">IF(cu_P=1,SUMIFS(Calculo!$F$76:$ES$76,Calculo!$F$14:$ES$14,3),SUMIFS(Calculo!$F$232:$ES$232,Calculo!$F$170:$ES$170,3))</f>
        <v>110780.8884</v>
      </c>
      <c r="H18" s="48" t="n">
        <f aca="false">IF(cu_P=1,SUMIFS(Calculo!$F$76:$ES$76,Calculo!$F$14:$ES$14,4),SUMIFS(Calculo!$F$232:$ES$232,Calculo!$F$170:$ES$170,4))</f>
        <v>126945.1673955</v>
      </c>
      <c r="I18" s="48" t="n">
        <f aca="false">IF(cu_P=1,SUMIFS(Calculo!$F$76:$ES$76,Calculo!$F$14:$ES$14,5),SUMIFS(Calculo!$F$232:$ES$232,Calculo!$F$170:$ES$170,5))</f>
        <v>127756.483069455</v>
      </c>
      <c r="J18" s="48" t="n">
        <f aca="false">IF(cu_P=1,SUMIFS(Calculo!$F$76:$ES$76,Calculo!$F$14:$ES$14,6),SUMIFS(Calculo!$F$232:$ES$232,Calculo!$F$170:$ES$170,6))</f>
        <v>128575.91190015</v>
      </c>
      <c r="K18" s="48" t="n">
        <f aca="false">IF(cu_P=1,SUMIFS(Calculo!$F$76:$ES$76,Calculo!$F$14:$ES$14,7),SUMIFS(Calculo!$F$232:$ES$232,Calculo!$F$170:$ES$170,7))</f>
        <v>129403.535019151</v>
      </c>
      <c r="L18" s="48" t="n">
        <f aca="false">IF(cu_P=1,SUMIFS(Calculo!$F$76:$ES$76,Calculo!$F$14:$ES$14,8),SUMIFS(Calculo!$F$232:$ES$232,Calculo!$F$170:$ES$170,8))</f>
        <v>130239.434369343</v>
      </c>
      <c r="M18" s="48" t="n">
        <f aca="false">IF(cu_P=1,SUMIFS(Calculo!$F$76:$ES$76,Calculo!$F$14:$ES$14,9),SUMIFS(Calculo!$F$232:$ES$232,Calculo!$F$170:$ES$170,9))</f>
        <v>131083.692713036</v>
      </c>
      <c r="N18" s="48" t="n">
        <f aca="false">IF(cu_P=1,SUMIFS(Calculo!$F$76:$ES$76,Calculo!$F$14:$ES$14,10),SUMIFS(Calculo!$F$232:$ES$232,Calculo!$F$170:$ES$170,10))</f>
        <v>131936.393640166</v>
      </c>
      <c r="O18" s="54" t="n">
        <f aca="false">SUM(D18:N18)</f>
        <v>1179542.8015068</v>
      </c>
    </row>
    <row r="19" customFormat="false" ht="15" hidden="false" customHeight="false" outlineLevel="0" collapsed="false">
      <c r="A19" s="11" t="s">
        <v>2294</v>
      </c>
      <c r="B19" s="15" t="s">
        <v>1142</v>
      </c>
      <c r="C19" s="11" t="s">
        <v>508</v>
      </c>
      <c r="D19" s="48" t="n">
        <f aca="false">IF(cu_P=1,SUMIFS(Calculo!$F$84:$ES$84,Calculo!$F$16:$ES$16,1),SUMIFS(Calculo!$F$240:$ES$240,Calculo!$F$172:$ES$172,1))</f>
        <v>0</v>
      </c>
      <c r="E19" s="48" t="n">
        <f aca="false">IF(cu_P=1,SUMIFS(Calculo!$F$84:$ES$84,Calculo!$F$14:$ES$14,1),SUMIFS(Calculo!$F$240:$ES$240,Calculo!$F$170:$ES$170,1))</f>
        <v>4850</v>
      </c>
      <c r="F19" s="48" t="n">
        <f aca="false">IF(cu_P=1,SUMIFS(Calculo!$F$84:$ES$84,Calculo!$F$14:$ES$14,2),SUMIFS(Calculo!$F$240:$ES$240,Calculo!$F$170:$ES$170,2))</f>
        <v>6181.2</v>
      </c>
      <c r="G19" s="48" t="n">
        <f aca="false">IF(cu_P=1,SUMIFS(Calculo!$F$84:$ES$84,Calculo!$F$14:$ES$14,3),SUMIFS(Calculo!$F$240:$ES$240,Calculo!$F$170:$ES$170,3))</f>
        <v>7538.539</v>
      </c>
      <c r="H19" s="48" t="n">
        <f aca="false">IF(cu_P=1,SUMIFS(Calculo!$F$84:$ES$84,Calculo!$F$14:$ES$14,4),SUMIFS(Calculo!$F$240:$ES$240,Calculo!$F$170:$ES$170,4))</f>
        <v>8685.43743</v>
      </c>
      <c r="I19" s="48" t="n">
        <f aca="false">IF(cu_P=1,SUMIFS(Calculo!$F$84:$ES$84,Calculo!$F$14:$ES$14,5),SUMIFS(Calculo!$F$240:$ES$240,Calculo!$F$170:$ES$170,5))</f>
        <v>8772.2918043</v>
      </c>
      <c r="J19" s="48" t="n">
        <f aca="false">IF(cu_P=1,SUMIFS(Calculo!$F$84:$ES$84,Calculo!$F$14:$ES$14,6),SUMIFS(Calculo!$F$240:$ES$240,Calculo!$F$170:$ES$170,6))</f>
        <v>8860.014722343</v>
      </c>
      <c r="K19" s="48" t="n">
        <f aca="false">IF(cu_P=1,SUMIFS(Calculo!$F$84:$ES$84,Calculo!$F$14:$ES$14,7),SUMIFS(Calculo!$F$240:$ES$240,Calculo!$F$170:$ES$170,7))</f>
        <v>8948.61486956643</v>
      </c>
      <c r="L19" s="48" t="n">
        <f aca="false">IF(cu_P=1,SUMIFS(Calculo!$F$84:$ES$84,Calculo!$F$14:$ES$14,8),SUMIFS(Calculo!$F$240:$ES$240,Calculo!$F$170:$ES$170,8))</f>
        <v>9038.10101826209</v>
      </c>
      <c r="M19" s="48" t="n">
        <f aca="false">IF(cu_P=1,SUMIFS(Calculo!$F$84:$ES$84,Calculo!$F$14:$ES$14,9),SUMIFS(Calculo!$F$240:$ES$240,Calculo!$F$170:$ES$170,9))</f>
        <v>9128.48202844471</v>
      </c>
      <c r="N19" s="48" t="n">
        <f aca="false">IF(cu_P=1,SUMIFS(Calculo!$F$84:$ES$84,Calculo!$F$14:$ES$14,10),SUMIFS(Calculo!$F$240:$ES$240,Calculo!$F$170:$ES$170,10))</f>
        <v>9219.76684872916</v>
      </c>
      <c r="O19" s="54" t="n">
        <f aca="false">SUM(D19:N19)</f>
        <v>81222.4477216454</v>
      </c>
    </row>
    <row r="20" customFormat="false" ht="15" hidden="false" customHeight="false" outlineLevel="0" collapsed="false">
      <c r="A20" s="11" t="s">
        <v>2295</v>
      </c>
      <c r="B20" s="15" t="s">
        <v>1140</v>
      </c>
      <c r="C20" s="11" t="s">
        <v>508</v>
      </c>
      <c r="D20" s="48" t="n">
        <f aca="false">IF(cu_P=1,SUMIFS(Calculo!$F$83:$ES$83,Calculo!$F$16:$ES$16,1),SUMIFS(Calculo!$F$239:$ES$239,Calculo!$F$172:$ES$172,1))</f>
        <v>0</v>
      </c>
      <c r="E20" s="48" t="n">
        <f aca="false">IF(cu_P=1,SUMIFS(Calculo!$F$83:$ES$83,Calculo!$F$14:$ES$14,1),SUMIFS(Calculo!$F$239:$ES$239,Calculo!$F$170:$ES$170,1))</f>
        <v>33075.4870556548</v>
      </c>
      <c r="F20" s="48" t="n">
        <f aca="false">IF(cu_P=1,SUMIFS(Calculo!$F$83:$ES$83,Calculo!$F$14:$ES$14,2),SUMIFS(Calculo!$F$239:$ES$239,Calculo!$F$170:$ES$170,2))</f>
        <v>40931.1320456548</v>
      </c>
      <c r="G20" s="48" t="n">
        <f aca="false">IF(cu_P=1,SUMIFS(Calculo!$F$83:$ES$83,Calculo!$F$14:$ES$14,3),SUMIFS(Calculo!$F$239:$ES$239,Calculo!$F$170:$ES$170,3))</f>
        <v>49185.7599769069</v>
      </c>
      <c r="H20" s="48" t="n">
        <f aca="false">IF(cu_P=1,SUMIFS(Calculo!$F$83:$ES$83,Calculo!$F$14:$ES$14,4),SUMIFS(Calculo!$F$239:$ES$239,Calculo!$F$170:$ES$170,4))</f>
        <v>55938.3372639345</v>
      </c>
      <c r="I20" s="48" t="n">
        <f aca="false">IF(cu_P=1,SUMIFS(Calculo!$F$83:$ES$83,Calculo!$F$14:$ES$14,5),SUMIFS(Calculo!$F$239:$ES$239,Calculo!$F$170:$ES$170,5))</f>
        <v>56518.7403176291</v>
      </c>
      <c r="J20" s="48" t="n">
        <f aca="false">IF(cu_P=1,SUMIFS(Calculo!$F$83:$ES$83,Calculo!$F$14:$ES$14,6),SUMIFS(Calculo!$F$239:$ES$239,Calculo!$F$170:$ES$170,6))</f>
        <v>56791.883261194</v>
      </c>
      <c r="K20" s="48" t="n">
        <f aca="false">IF(cu_P=1,SUMIFS(Calculo!$F$83:$ES$83,Calculo!$F$14:$ES$14,7),SUMIFS(Calculo!$F$239:$ES$239,Calculo!$F$170:$ES$170,7))</f>
        <v>57067.7576341945</v>
      </c>
      <c r="L20" s="48" t="n">
        <f aca="false">IF(cu_P=1,SUMIFS(Calculo!$F$83:$ES$83,Calculo!$F$14:$ES$14,8),SUMIFS(Calculo!$F$239:$ES$239,Calculo!$F$170:$ES$170,8))</f>
        <v>57346.390750925</v>
      </c>
      <c r="M20" s="48" t="n">
        <f aca="false">IF(cu_P=1,SUMIFS(Calculo!$F$83:$ES$83,Calculo!$F$14:$ES$14,9),SUMIFS(Calculo!$F$239:$ES$239,Calculo!$F$170:$ES$170,9))</f>
        <v>57627.8101988228</v>
      </c>
      <c r="N20" s="48" t="n">
        <f aca="false">IF(cu_P=1,SUMIFS(Calculo!$F$83:$ES$83,Calculo!$F$14:$ES$14,10),SUMIFS(Calculo!$F$239:$ES$239,Calculo!$F$170:$ES$170,10))</f>
        <v>57912.0438411996</v>
      </c>
      <c r="O20" s="54" t="n">
        <f aca="false">SUM(D20:N20)</f>
        <v>522395.342346116</v>
      </c>
    </row>
    <row r="21" customFormat="false" ht="15" hidden="false" customHeight="false" outlineLevel="0" collapsed="false">
      <c r="A21" s="11" t="s">
        <v>2296</v>
      </c>
      <c r="B21" s="15" t="s">
        <v>1151</v>
      </c>
      <c r="C21" s="11" t="s">
        <v>508</v>
      </c>
      <c r="D21" s="48" t="n">
        <f aca="false">IF(cu_P=1,SUMIFS(Calculo!$F$89:$ES$89,Calculo!$F$16:$ES$16,1),SUMIFS(Calculo!$F$245:$ES$245,Calculo!$F$172:$ES$172,1))</f>
        <v>0</v>
      </c>
      <c r="E21" s="48" t="n">
        <f aca="false">IF(cu_P=1,SUMIFS(Calculo!$F$89:$ES$89,Calculo!$F$14:$ES$14,1),SUMIFS(Calculo!$F$245:$ES$245,Calculo!$F$170:$ES$170,1))</f>
        <v>185754.398501972</v>
      </c>
      <c r="F21" s="48" t="n">
        <f aca="false">IF(cu_P=1,SUMIFS(Calculo!$F$89:$ES$89,Calculo!$F$14:$ES$14,2),SUMIFS(Calculo!$F$245:$ES$245,Calculo!$F$170:$ES$170,2))</f>
        <v>226492.528491472</v>
      </c>
      <c r="G21" s="48" t="n">
        <f aca="false">IF(cu_P=1,SUMIFS(Calculo!$F$89:$ES$89,Calculo!$F$14:$ES$14,3),SUMIFS(Calculo!$F$245:$ES$245,Calculo!$F$170:$ES$170,3))</f>
        <v>269259.653365095</v>
      </c>
      <c r="H21" s="48" t="n">
        <f aca="false">IF(cu_P=1,SUMIFS(Calculo!$F$89:$ES$89,Calculo!$F$14:$ES$14,4),SUMIFS(Calculo!$F$245:$ES$245,Calculo!$F$170:$ES$170,4))</f>
        <v>304256.635780675</v>
      </c>
      <c r="I21" s="48" t="n">
        <f aca="false">IF(cu_P=1,SUMIFS(Calculo!$F$89:$ES$89,Calculo!$F$14:$ES$14,5),SUMIFS(Calculo!$F$245:$ES$245,Calculo!$F$170:$ES$170,5))</f>
        <v>307264.106113958</v>
      </c>
      <c r="J21" s="48" t="n">
        <f aca="false">IF(cu_P=1,SUMIFS(Calculo!$F$89:$ES$89,Calculo!$F$14:$ES$14,6),SUMIFS(Calculo!$F$245:$ES$245,Calculo!$F$170:$ES$170,6))</f>
        <v>308720.992504304</v>
      </c>
      <c r="K21" s="48" t="n">
        <f aca="false">IF(cu_P=1,SUMIFS(Calculo!$F$89:$ES$89,Calculo!$F$14:$ES$14,7),SUMIFS(Calculo!$F$245:$ES$245,Calculo!$F$170:$ES$170,7))</f>
        <v>310192.769327933</v>
      </c>
      <c r="L21" s="48" t="n">
        <f aca="false">IF(cu_P=1,SUMIFS(Calculo!$F$89:$ES$89,Calculo!$F$14:$ES$14,8),SUMIFS(Calculo!$F$245:$ES$245,Calculo!$F$170:$ES$170,8))</f>
        <v>311679.591920564</v>
      </c>
      <c r="M21" s="48" t="n">
        <f aca="false">IF(cu_P=1,SUMIFS(Calculo!$F$89:$ES$89,Calculo!$F$14:$ES$14,9),SUMIFS(Calculo!$F$245:$ES$245,Calculo!$F$170:$ES$170,9))</f>
        <v>313181.617299904</v>
      </c>
      <c r="N21" s="48" t="n">
        <f aca="false">IF(cu_P=1,SUMIFS(Calculo!$F$89:$ES$89,Calculo!$F$14:$ES$14,10),SUMIFS(Calculo!$F$245:$ES$245,Calculo!$F$170:$ES$170,10))</f>
        <v>314699.004185034</v>
      </c>
      <c r="O21" s="54" t="n">
        <f aca="false">SUM(D21:N21)</f>
        <v>2851501.29749091</v>
      </c>
    </row>
    <row r="22" customFormat="false" ht="15" hidden="false" customHeight="false" outlineLevel="0" collapsed="false">
      <c r="A22" s="11" t="s">
        <v>2297</v>
      </c>
      <c r="B22" s="15" t="s">
        <v>2298</v>
      </c>
      <c r="C22" s="11" t="s">
        <v>508</v>
      </c>
      <c r="D22" s="48" t="n">
        <f aca="false">IF(cu_P=1,SUMIFS(Calculo!$F$85:$ES$85,Calculo!$F$16:$ES$16,1),SUMIFS(Calculo!$F$241:$ES$241,Calculo!$F$172:$ES$172,1))</f>
        <v>0</v>
      </c>
      <c r="E22" s="48" t="n">
        <f aca="false">IF(cu_P=1,SUMIFS(Calculo!$F$85:$ES$85,Calculo!$F$14:$ES$14,1),SUMIFS(Calculo!$F$241:$ES$241,Calculo!$F$170:$ES$170,1))</f>
        <v>48500</v>
      </c>
      <c r="F22" s="48" t="n">
        <f aca="false">IF(cu_P=1,SUMIFS(Calculo!$F$85:$ES$85,Calculo!$F$14:$ES$14,2),SUMIFS(Calculo!$F$241:$ES$241,Calculo!$F$170:$ES$170,2))</f>
        <v>61812</v>
      </c>
      <c r="G22" s="48" t="n">
        <f aca="false">IF(cu_P=1,SUMIFS(Calculo!$F$85:$ES$85,Calculo!$F$14:$ES$14,3),SUMIFS(Calculo!$F$241:$ES$241,Calculo!$F$170:$ES$170,3))</f>
        <v>75385.39</v>
      </c>
      <c r="H22" s="48" t="n">
        <f aca="false">IF(cu_P=1,SUMIFS(Calculo!$F$85:$ES$85,Calculo!$F$14:$ES$14,4),SUMIFS(Calculo!$F$241:$ES$241,Calculo!$F$170:$ES$170,4))</f>
        <v>86854.3743</v>
      </c>
      <c r="I22" s="48" t="n">
        <f aca="false">IF(cu_P=1,SUMIFS(Calculo!$F$85:$ES$85,Calculo!$F$14:$ES$14,5),SUMIFS(Calculo!$F$241:$ES$241,Calculo!$F$170:$ES$170,5))</f>
        <v>87722.918043</v>
      </c>
      <c r="J22" s="48" t="n">
        <f aca="false">IF(cu_P=1,SUMIFS(Calculo!$F$85:$ES$85,Calculo!$F$14:$ES$14,6),SUMIFS(Calculo!$F$241:$ES$241,Calculo!$F$170:$ES$170,6))</f>
        <v>88600.14722343</v>
      </c>
      <c r="K22" s="48" t="n">
        <f aca="false">IF(cu_P=1,SUMIFS(Calculo!$F$85:$ES$85,Calculo!$F$14:$ES$14,7),SUMIFS(Calculo!$F$241:$ES$241,Calculo!$F$170:$ES$170,7))</f>
        <v>89486.1486956643</v>
      </c>
      <c r="L22" s="48" t="n">
        <f aca="false">IF(cu_P=1,SUMIFS(Calculo!$F$85:$ES$85,Calculo!$F$14:$ES$14,8),SUMIFS(Calculo!$F$241:$ES$241,Calculo!$F$170:$ES$170,8))</f>
        <v>90381.0101826209</v>
      </c>
      <c r="M22" s="48" t="n">
        <f aca="false">IF(cu_P=1,SUMIFS(Calculo!$F$85:$ES$85,Calculo!$F$14:$ES$14,9),SUMIFS(Calculo!$F$241:$ES$241,Calculo!$F$170:$ES$170,9))</f>
        <v>91284.8202844471</v>
      </c>
      <c r="N22" s="48" t="n">
        <f aca="false">IF(cu_P=1,SUMIFS(Calculo!$F$85:$ES$85,Calculo!$F$14:$ES$14,10),SUMIFS(Calculo!$F$241:$ES$241,Calculo!$F$170:$ES$170,10))</f>
        <v>92197.6684872916</v>
      </c>
      <c r="O22" s="54" t="n">
        <f aca="false">SUM(D22:N22)</f>
        <v>812224.477216454</v>
      </c>
    </row>
    <row r="23" customFormat="false" ht="15" hidden="false" customHeight="false" outlineLevel="0" collapsed="false">
      <c r="A23" s="11" t="s">
        <v>2299</v>
      </c>
      <c r="B23" s="15" t="s">
        <v>2300</v>
      </c>
      <c r="C23" s="11" t="s">
        <v>508</v>
      </c>
      <c r="D23" s="48" t="n">
        <f aca="false">IFERROR(IF(COUNT(D9,D10,D11,D12,D13,D14,D15,D16,D17,D18,D19,D20,D21,D22)=0,"",N(D9)-(N(D10)+N(D11)+N(D12)+N(D13)+N(D14)+N(D15)+N(D16)+N(D17)+N(D18)+N(D19)+N(D20)+N(D21)+N(D22))),"")</f>
        <v>0</v>
      </c>
      <c r="E23" s="48" t="n">
        <f aca="false">IFERROR(IF(COUNT(E9,E10,E11,E12,E13,E14,E15,E16,E17,E18,E19,E20,E21,E22)=0,"",N(E9)-(N(E10)+N(E11)+N(E12)+N(E13)+N(E14)+N(E15)+N(E16)+N(E17)+N(E18)+N(E19)+N(E20)+N(E21)+N(E22))),"")</f>
        <v>0</v>
      </c>
      <c r="F23" s="48" t="n">
        <f aca="false">IFERROR(IF(COUNT(F9,F10,F11,F12,F13,F14,F15,F16,F17,F18,F19,F20,F21,F22)=0,"",N(F9)-(N(F10)+N(F11)+N(F12)+N(F13)+N(F14)+N(F15)+N(F16)+N(F17)+N(F18)+N(F19)+N(F20)+N(F21)+N(F22))),"")</f>
        <v>0</v>
      </c>
      <c r="G23" s="48" t="n">
        <f aca="false">IFERROR(IF(COUNT(G9,G10,G11,G12,G13,G14,G15,G16,G17,G18,G19,G20,G21,G22)=0,"",N(G9)-(N(G10)+N(G11)+N(G12)+N(G13)+N(G14)+N(G15)+N(G16)+N(G17)+N(G18)+N(G19)+N(G20)+N(G21)+N(G22))),"")</f>
        <v>0</v>
      </c>
      <c r="H23" s="48" t="n">
        <f aca="false">IFERROR(IF(COUNT(H9,H10,H11,H12,H13,H14,H15,H16,H17,H18,H19,H20,H21,H22)=0,"",N(H9)-(N(H10)+N(H11)+N(H12)+N(H13)+N(H14)+N(H15)+N(H16)+N(H17)+N(H18)+N(H19)+N(H20)+N(H21)+N(H22))),"")</f>
        <v>0</v>
      </c>
      <c r="I23" s="48" t="n">
        <f aca="false">IFERROR(IF(COUNT(I9,I10,I11,I12,I13,I14,I15,I16,I17,I18,I19,I20,I21,I22)=0,"",N(I9)-(N(I10)+N(I11)+N(I12)+N(I13)+N(I14)+N(I15)+N(I16)+N(I17)+N(I18)+N(I19)+N(I20)+N(I21)+N(I22))),"")</f>
        <v>0</v>
      </c>
      <c r="J23" s="48" t="n">
        <f aca="false">IFERROR(IF(COUNT(J9,J10,J11,J12,J13,J14,J15,J16,J17,J18,J19,J20,J21,J22)=0,"",N(J9)-(N(J10)+N(J11)+N(J12)+N(J13)+N(J14)+N(J15)+N(J16)+N(J17)+N(J18)+N(J19)+N(J20)+N(J21)+N(J22))),"")</f>
        <v>0</v>
      </c>
      <c r="K23" s="48" t="n">
        <f aca="false">IFERROR(IF(COUNT(K9,K10,K11,K12,K13,K14,K15,K16,K17,K18,K19,K20,K21,K22)=0,"",N(K9)-(N(K10)+N(K11)+N(K12)+N(K13)+N(K14)+N(K15)+N(K16)+N(K17)+N(K18)+N(K19)+N(K20)+N(K21)+N(K22))),"")</f>
        <v>0</v>
      </c>
      <c r="L23" s="48" t="n">
        <f aca="false">IFERROR(IF(COUNT(L9,L10,L11,L12,L13,L14,L15,L16,L17,L18,L19,L20,L21,L22)=0,"",N(L9)-(N(L10)+N(L11)+N(L12)+N(L13)+N(L14)+N(L15)+N(L16)+N(L17)+N(L18)+N(L19)+N(L20)+N(L21)+N(L22))),"")</f>
        <v>0</v>
      </c>
      <c r="M23" s="48" t="n">
        <f aca="false">IFERROR(IF(COUNT(M9,M10,M11,M12,M13,M14,M15,M16,M17,M18,M19,M20,M21,M22)=0,"",N(M9)-(N(M10)+N(M11)+N(M12)+N(M13)+N(M14)+N(M15)+N(M16)+N(M17)+N(M18)+N(M19)+N(M20)+N(M21)+N(M22))),"")</f>
        <v>0</v>
      </c>
      <c r="N23" s="48" t="n">
        <f aca="false">IFERROR(IF(COUNT(N9,N10,N11,N12,N13,N14,N15,N16,N17,N18,N19,N20,N21,N22)=0,"",N(N9)-(N(N10)+N(N11)+N(N12)+N(N13)+N(N14)+N(N15)+N(N16)+N(N17)+N(N18)+N(N19)+N(N20)+N(N21)+N(N22))),"")</f>
        <v>0</v>
      </c>
      <c r="O23" s="54" t="n">
        <f aca="false">SUM(D23:N23)</f>
        <v>0</v>
      </c>
    </row>
    <row r="24" customFormat="false" ht="15" hidden="false" customHeight="false" outlineLevel="0" collapsed="false">
      <c r="A24" s="13"/>
      <c r="B24" s="100" t="s">
        <v>2301</v>
      </c>
      <c r="C24" s="13"/>
      <c r="D24" s="13"/>
      <c r="E24" s="13"/>
      <c r="F24" s="13"/>
      <c r="G24" s="13"/>
      <c r="H24" s="13"/>
      <c r="I24" s="13"/>
      <c r="J24" s="13"/>
      <c r="K24" s="13"/>
      <c r="L24" s="13"/>
      <c r="M24" s="13"/>
      <c r="N24" s="13"/>
      <c r="O24" s="13"/>
    </row>
    <row r="25" customFormat="false" ht="15" hidden="false" customHeight="false" outlineLevel="0" collapsed="false">
      <c r="A25" s="11" t="s">
        <v>2302</v>
      </c>
      <c r="B25" s="67" t="s">
        <v>2303</v>
      </c>
      <c r="C25" s="11" t="s">
        <v>508</v>
      </c>
      <c r="D25" s="54" t="n">
        <f aca="false">IF(cu_P=1,(SUMIFS(Calculo!$F$98:$ES$98,Calculo!$F$16:$ES$16,1)+SUMIFS(Calculo!$F$99:$ES$99,Calculo!$F$16:$ES$16,1)),(SUMIFS(Calculo!$F$254:$ES$254,Calculo!$F$172:$ES$172,1)+SUMIFS(Calculo!$F$255:$ES$255,Calculo!$F$172:$ES$172,1)))</f>
        <v>0</v>
      </c>
      <c r="E25" s="54" t="n">
        <f aca="false">IF(cu_P=1,(SUMIFS(Calculo!$F$98:$ES$98,Calculo!$F$14:$ES$14,1)+SUMIFS(Calculo!$F$99:$ES$99,Calculo!$F$14:$ES$14,1)),(SUMIFS(Calculo!$F$254:$ES$254,Calculo!$F$170:$ES$170,1)+SUMIFS(Calculo!$F$255:$ES$255,Calculo!$F$170:$ES$170,1)))</f>
        <v>390687.625751515</v>
      </c>
      <c r="F25" s="54" t="n">
        <f aca="false">IF(cu_P=1,(SUMIFS(Calculo!$F$98:$ES$98,Calculo!$F$14:$ES$14,2)+SUMIFS(Calculo!$F$99:$ES$99,Calculo!$F$14:$ES$14,2)),(SUMIFS(Calculo!$F$254:$ES$254,Calculo!$F$170:$ES$170,2)+SUMIFS(Calculo!$F$255:$ES$255,Calculo!$F$170:$ES$170,2)))</f>
        <v>397088.065751515</v>
      </c>
      <c r="G25" s="54" t="n">
        <f aca="false">IF(cu_P=1,(SUMIFS(Calculo!$F$98:$ES$98,Calculo!$F$14:$ES$14,3)+SUMIFS(Calculo!$F$99:$ES$99,Calculo!$F$14:$ES$14,3)),(SUMIFS(Calculo!$F$254:$ES$254,Calculo!$F$170:$ES$170,3)+SUMIFS(Calculo!$F$255:$ES$255,Calculo!$F$170:$ES$170,3)))</f>
        <v>403680.518951515</v>
      </c>
      <c r="H25" s="54" t="n">
        <f aca="false">IF(cu_P=1,(SUMIFS(Calculo!$F$98:$ES$98,Calculo!$F$14:$ES$14,4)+SUMIFS(Calculo!$F$99:$ES$99,Calculo!$F$14:$ES$14,4)),(SUMIFS(Calculo!$F$254:$ES$254,Calculo!$F$170:$ES$170,4)+SUMIFS(Calculo!$F$255:$ES$255,Calculo!$F$170:$ES$170,4)))</f>
        <v>410470.745747515</v>
      </c>
      <c r="I25" s="54" t="n">
        <f aca="false">IF(cu_P=1,(SUMIFS(Calculo!$F$98:$ES$98,Calculo!$F$14:$ES$14,5)+SUMIFS(Calculo!$F$99:$ES$99,Calculo!$F$14:$ES$14,5)),(SUMIFS(Calculo!$F$254:$ES$254,Calculo!$F$170:$ES$170,5)+SUMIFS(Calculo!$F$255:$ES$255,Calculo!$F$170:$ES$170,5)))</f>
        <v>417464.679347395</v>
      </c>
      <c r="J25" s="54" t="n">
        <f aca="false">IF(cu_P=1,(SUMIFS(Calculo!$F$98:$ES$98,Calculo!$F$14:$ES$14,6)+SUMIFS(Calculo!$F$99:$ES$99,Calculo!$F$14:$ES$14,6)),(SUMIFS(Calculo!$F$254:$ES$254,Calculo!$F$170:$ES$170,6)+SUMIFS(Calculo!$F$255:$ES$255,Calculo!$F$170:$ES$170,6)))</f>
        <v>424668.430955271</v>
      </c>
      <c r="K25" s="54" t="n">
        <f aca="false">IF(cu_P=1,(SUMIFS(Calculo!$F$98:$ES$98,Calculo!$F$14:$ES$14,7)+SUMIFS(Calculo!$F$99:$ES$99,Calculo!$F$14:$ES$14,7)),(SUMIFS(Calculo!$F$254:$ES$254,Calculo!$F$170:$ES$170,7)+SUMIFS(Calculo!$F$255:$ES$255,Calculo!$F$170:$ES$170,7)))</f>
        <v>432088.295111384</v>
      </c>
      <c r="L25" s="54" t="n">
        <f aca="false">IF(cu_P=1,(SUMIFS(Calculo!$F$98:$ES$98,Calculo!$F$14:$ES$14,8)+SUMIFS(Calculo!$F$99:$ES$99,Calculo!$F$14:$ES$14,8)),(SUMIFS(Calculo!$F$254:$ES$254,Calculo!$F$170:$ES$170,8)+SUMIFS(Calculo!$F$255:$ES$255,Calculo!$F$170:$ES$170,8)))</f>
        <v>439730.75519218</v>
      </c>
      <c r="M25" s="54" t="n">
        <f aca="false">IF(cu_P=1,(SUMIFS(Calculo!$F$98:$ES$98,Calculo!$F$14:$ES$14,9)+SUMIFS(Calculo!$F$99:$ES$99,Calculo!$F$14:$ES$14,9)),(SUMIFS(Calculo!$F$254:$ES$254,Calculo!$F$170:$ES$170,9)+SUMIFS(Calculo!$F$255:$ES$255,Calculo!$F$170:$ES$170,9)))</f>
        <v>447602.4890754</v>
      </c>
      <c r="N25" s="54" t="n">
        <f aca="false">IF(cu_P=1,(SUMIFS(Calculo!$F$98:$ES$98,Calculo!$F$14:$ES$14,10)+SUMIFS(Calculo!$F$99:$ES$99,Calculo!$F$14:$ES$14,10)),(SUMIFS(Calculo!$F$254:$ES$254,Calculo!$F$170:$ES$170,10)+SUMIFS(Calculo!$F$255:$ES$255,Calculo!$F$170:$ES$170,10)))</f>
        <v>455710.374975117</v>
      </c>
      <c r="O25" s="54" t="n">
        <f aca="false">SUM(D25:N25)</f>
        <v>4219191.98085881</v>
      </c>
    </row>
    <row r="26" customFormat="false" ht="15" hidden="false" customHeight="false" outlineLevel="0" collapsed="false">
      <c r="A26" s="11" t="s">
        <v>2304</v>
      </c>
      <c r="B26" s="15" t="s">
        <v>2305</v>
      </c>
      <c r="C26" s="11" t="s">
        <v>508</v>
      </c>
      <c r="D26" s="48" t="n">
        <f aca="false">IF(cu_P=1,((SUMIFS(Calculo!$F$82:$ES$82,Calculo!$F$16:$ES$16,1))-SUMPRODUCT((Calculo!$F$16:$ES$16=1)*Calculo!$F$81:$ES$81*Calculo!$F$19:$ES$19)*P_Alim)/(1+P_Cargas),((SUMIFS(Calculo!$F$238:$ES$238,Calculo!$F$172:$ES$172,1))-SUMPRODUCT((Calculo!$F$172:$ES$172=1)*Calculo!$F$237:$ES$237*Calculo!$F$175:$ES$175)*V_Alim)/(1+V_Cargas))</f>
        <v>0</v>
      </c>
      <c r="E26" s="48" t="n">
        <f aca="false">IF(cu_P=1,((SUMIFS(Calculo!$F$82:$ES$82,Calculo!$F$14:$ES$14,1))-SUMPRODUCT((Calculo!$F$14:$ES$14=1)*Calculo!$F$81:$ES$81*Calculo!$F$19:$ES$19)*P_Alim)/(1+P_Cargas),((SUMIFS(Calculo!$F$238:$ES$238,Calculo!$F$170:$ES$170,1))-SUMPRODUCT((Calculo!$F$170:$ES$170=1)*Calculo!$F$237:$ES$237*Calculo!$F$175:$ES$175)*V_Alim)/(1+V_Cargas))</f>
        <v>71832.8367123288</v>
      </c>
      <c r="F26" s="48" t="n">
        <f aca="false">IF(cu_P=1,((SUMIFS(Calculo!$F$82:$ES$82,Calculo!$F$14:$ES$14,2))-SUMPRODUCT((Calculo!$F$14:$ES$14=2)*Calculo!$F$81:$ES$81*Calculo!$F$19:$ES$19)*P_Alim)/(1+P_Cargas),((SUMIFS(Calculo!$F$238:$ES$238,Calculo!$F$170:$ES$170,2))-SUMPRODUCT((Calculo!$F$170:$ES$170=2)*Calculo!$F$237:$ES$237*Calculo!$F$175:$ES$175)*V_Alim)/(1+V_Cargas))</f>
        <v>71832.8367123288</v>
      </c>
      <c r="G26" s="48" t="n">
        <f aca="false">IF(cu_P=1,((SUMIFS(Calculo!$F$82:$ES$82,Calculo!$F$14:$ES$14,3))-SUMPRODUCT((Calculo!$F$14:$ES$14=3)*Calculo!$F$81:$ES$81*Calculo!$F$19:$ES$19)*P_Alim)/(1+P_Cargas),((SUMIFS(Calculo!$F$238:$ES$238,Calculo!$F$170:$ES$170,3))-SUMPRODUCT((Calculo!$F$170:$ES$170=3)*Calculo!$F$237:$ES$237*Calculo!$F$175:$ES$175)*V_Alim)/(1+V_Cargas))</f>
        <v>71832.8367123288</v>
      </c>
      <c r="H26" s="48" t="n">
        <f aca="false">IF(cu_P=1,((SUMIFS(Calculo!$F$82:$ES$82,Calculo!$F$14:$ES$14,4))-SUMPRODUCT((Calculo!$F$14:$ES$14=4)*Calculo!$F$81:$ES$81*Calculo!$F$19:$ES$19)*P_Alim)/(1+P_Cargas),((SUMIFS(Calculo!$F$238:$ES$238,Calculo!$F$170:$ES$170,4))-SUMPRODUCT((Calculo!$F$170:$ES$170=4)*Calculo!$F$237:$ES$237*Calculo!$F$175:$ES$175)*V_Alim)/(1+V_Cargas))</f>
        <v>71832.8367123288</v>
      </c>
      <c r="I26" s="48" t="n">
        <f aca="false">IF(cu_P=1,((SUMIFS(Calculo!$F$82:$ES$82,Calculo!$F$14:$ES$14,5))-SUMPRODUCT((Calculo!$F$14:$ES$14=5)*Calculo!$F$81:$ES$81*Calculo!$F$19:$ES$19)*P_Alim)/(1+P_Cargas),((SUMIFS(Calculo!$F$238:$ES$238,Calculo!$F$170:$ES$170,5))-SUMPRODUCT((Calculo!$F$170:$ES$170=5)*Calculo!$F$237:$ES$237*Calculo!$F$175:$ES$175)*V_Alim)/(1+V_Cargas))</f>
        <v>71832.8367123288</v>
      </c>
      <c r="J26" s="48" t="n">
        <f aca="false">IF(cu_P=1,((SUMIFS(Calculo!$F$82:$ES$82,Calculo!$F$14:$ES$14,6))-SUMPRODUCT((Calculo!$F$14:$ES$14=6)*Calculo!$F$81:$ES$81*Calculo!$F$19:$ES$19)*P_Alim)/(1+P_Cargas),((SUMIFS(Calculo!$F$238:$ES$238,Calculo!$F$170:$ES$170,6))-SUMPRODUCT((Calculo!$F$170:$ES$170=6)*Calculo!$F$237:$ES$237*Calculo!$F$175:$ES$175)*V_Alim)/(1+V_Cargas))</f>
        <v>71832.8367123288</v>
      </c>
      <c r="K26" s="48" t="n">
        <f aca="false">IF(cu_P=1,((SUMIFS(Calculo!$F$82:$ES$82,Calculo!$F$14:$ES$14,7))-SUMPRODUCT((Calculo!$F$14:$ES$14=7)*Calculo!$F$81:$ES$81*Calculo!$F$19:$ES$19)*P_Alim)/(1+P_Cargas),((SUMIFS(Calculo!$F$238:$ES$238,Calculo!$F$170:$ES$170,7))-SUMPRODUCT((Calculo!$F$170:$ES$170=7)*Calculo!$F$237:$ES$237*Calculo!$F$175:$ES$175)*V_Alim)/(1+V_Cargas))</f>
        <v>71832.8367123288</v>
      </c>
      <c r="L26" s="48" t="n">
        <f aca="false">IF(cu_P=1,((SUMIFS(Calculo!$F$82:$ES$82,Calculo!$F$14:$ES$14,8))-SUMPRODUCT((Calculo!$F$14:$ES$14=8)*Calculo!$F$81:$ES$81*Calculo!$F$19:$ES$19)*P_Alim)/(1+P_Cargas),((SUMIFS(Calculo!$F$238:$ES$238,Calculo!$F$170:$ES$170,8))-SUMPRODUCT((Calculo!$F$170:$ES$170=8)*Calculo!$F$237:$ES$237*Calculo!$F$175:$ES$175)*V_Alim)/(1+V_Cargas))</f>
        <v>71832.8367123288</v>
      </c>
      <c r="M26" s="48" t="n">
        <f aca="false">IF(cu_P=1,((SUMIFS(Calculo!$F$82:$ES$82,Calculo!$F$14:$ES$14,9))-SUMPRODUCT((Calculo!$F$14:$ES$14=9)*Calculo!$F$81:$ES$81*Calculo!$F$19:$ES$19)*P_Alim)/(1+P_Cargas),((SUMIFS(Calculo!$F$238:$ES$238,Calculo!$F$170:$ES$170,9))-SUMPRODUCT((Calculo!$F$170:$ES$170=9)*Calculo!$F$237:$ES$237*Calculo!$F$175:$ES$175)*V_Alim)/(1+V_Cargas))</f>
        <v>71832.8367123288</v>
      </c>
      <c r="N26" s="48" t="n">
        <f aca="false">IF(cu_P=1,((SUMIFS(Calculo!$F$82:$ES$82,Calculo!$F$14:$ES$14,10))-SUMPRODUCT((Calculo!$F$14:$ES$14=10)*Calculo!$F$81:$ES$81*Calculo!$F$19:$ES$19)*P_Alim)/(1+P_Cargas),((SUMIFS(Calculo!$F$238:$ES$238,Calculo!$F$170:$ES$170,10))-SUMPRODUCT((Calculo!$F$170:$ES$170=10)*Calculo!$F$237:$ES$237*Calculo!$F$175:$ES$175)*V_Alim)/(1+V_Cargas))</f>
        <v>71832.8367123288</v>
      </c>
      <c r="O26" s="54" t="n">
        <f aca="false">SUM(D26:N26)</f>
        <v>718328.367123288</v>
      </c>
    </row>
    <row r="27" customFormat="false" ht="15" hidden="false" customHeight="false" outlineLevel="0" collapsed="false">
      <c r="A27" s="11" t="s">
        <v>2306</v>
      </c>
      <c r="B27" s="15" t="s">
        <v>2307</v>
      </c>
      <c r="C27" s="11" t="s">
        <v>508</v>
      </c>
      <c r="D27" s="48" t="n">
        <f aca="false">IF(cu_P=1,((SUMIFS(Calculo!$F$82:$ES$82,Calculo!$F$16:$ES$16,1))-SUMPRODUCT((Calculo!$F$16:$ES$16=1)*Calculo!$F$81:$ES$81*Calculo!$F$19:$ES$19)*P_Alim)/(1+P_Cargas)*P_Cargas,((SUMIFS(Calculo!$F$238:$ES$238,Calculo!$F$172:$ES$172,1))-SUMPRODUCT((Calculo!$F$172:$ES$172=1)*Calculo!$F$237:$ES$237*Calculo!$F$175:$ES$175)*V_Alim)/(1+V_Cargas)*V_Cargas)</f>
        <v>0</v>
      </c>
      <c r="E27" s="48" t="n">
        <f aca="false">IF(cu_P=1,((SUMIFS(Calculo!$F$82:$ES$82,Calculo!$F$14:$ES$14,1))-SUMPRODUCT((Calculo!$F$14:$ES$14=1)*Calculo!$F$81:$ES$81*Calculo!$F$19:$ES$19)*P_Alim)/(1+P_Cargas)*P_Cargas,((SUMIFS(Calculo!$F$238:$ES$238,Calculo!$F$170:$ES$170,1))-SUMPRODUCT((Calculo!$F$170:$ES$170=1)*Calculo!$F$237:$ES$237*Calculo!$F$175:$ES$175)*V_Alim)/(1+V_Cargas)*V_Cargas)</f>
        <v>30952.7693393425</v>
      </c>
      <c r="F27" s="48" t="n">
        <f aca="false">IF(cu_P=1,((SUMIFS(Calculo!$F$82:$ES$82,Calculo!$F$14:$ES$14,2))-SUMPRODUCT((Calculo!$F$14:$ES$14=2)*Calculo!$F$81:$ES$81*Calculo!$F$19:$ES$19)*P_Alim)/(1+P_Cargas)*P_Cargas,((SUMIFS(Calculo!$F$238:$ES$238,Calculo!$F$170:$ES$170,2))-SUMPRODUCT((Calculo!$F$170:$ES$170=2)*Calculo!$F$237:$ES$237*Calculo!$F$175:$ES$175)*V_Alim)/(1+V_Cargas)*V_Cargas)</f>
        <v>30952.7693393425</v>
      </c>
      <c r="G27" s="48" t="n">
        <f aca="false">IF(cu_P=1,((SUMIFS(Calculo!$F$82:$ES$82,Calculo!$F$14:$ES$14,3))-SUMPRODUCT((Calculo!$F$14:$ES$14=3)*Calculo!$F$81:$ES$81*Calculo!$F$19:$ES$19)*P_Alim)/(1+P_Cargas)*P_Cargas,((SUMIFS(Calculo!$F$238:$ES$238,Calculo!$F$170:$ES$170,3))-SUMPRODUCT((Calculo!$F$170:$ES$170=3)*Calculo!$F$237:$ES$237*Calculo!$F$175:$ES$175)*V_Alim)/(1+V_Cargas)*V_Cargas)</f>
        <v>30952.7693393425</v>
      </c>
      <c r="H27" s="48" t="n">
        <f aca="false">IF(cu_P=1,((SUMIFS(Calculo!$F$82:$ES$82,Calculo!$F$14:$ES$14,4))-SUMPRODUCT((Calculo!$F$14:$ES$14=4)*Calculo!$F$81:$ES$81*Calculo!$F$19:$ES$19)*P_Alim)/(1+P_Cargas)*P_Cargas,((SUMIFS(Calculo!$F$238:$ES$238,Calculo!$F$170:$ES$170,4))-SUMPRODUCT((Calculo!$F$170:$ES$170=4)*Calculo!$F$237:$ES$237*Calculo!$F$175:$ES$175)*V_Alim)/(1+V_Cargas)*V_Cargas)</f>
        <v>30952.7693393425</v>
      </c>
      <c r="I27" s="48" t="n">
        <f aca="false">IF(cu_P=1,((SUMIFS(Calculo!$F$82:$ES$82,Calculo!$F$14:$ES$14,5))-SUMPRODUCT((Calculo!$F$14:$ES$14=5)*Calculo!$F$81:$ES$81*Calculo!$F$19:$ES$19)*P_Alim)/(1+P_Cargas)*P_Cargas,((SUMIFS(Calculo!$F$238:$ES$238,Calculo!$F$170:$ES$170,5))-SUMPRODUCT((Calculo!$F$170:$ES$170=5)*Calculo!$F$237:$ES$237*Calculo!$F$175:$ES$175)*V_Alim)/(1+V_Cargas)*V_Cargas)</f>
        <v>30952.7693393425</v>
      </c>
      <c r="J27" s="48" t="n">
        <f aca="false">IF(cu_P=1,((SUMIFS(Calculo!$F$82:$ES$82,Calculo!$F$14:$ES$14,6))-SUMPRODUCT((Calculo!$F$14:$ES$14=6)*Calculo!$F$81:$ES$81*Calculo!$F$19:$ES$19)*P_Alim)/(1+P_Cargas)*P_Cargas,((SUMIFS(Calculo!$F$238:$ES$238,Calculo!$F$170:$ES$170,6))-SUMPRODUCT((Calculo!$F$170:$ES$170=6)*Calculo!$F$237:$ES$237*Calculo!$F$175:$ES$175)*V_Alim)/(1+V_Cargas)*V_Cargas)</f>
        <v>30952.7693393425</v>
      </c>
      <c r="K27" s="48" t="n">
        <f aca="false">IF(cu_P=1,((SUMIFS(Calculo!$F$82:$ES$82,Calculo!$F$14:$ES$14,7))-SUMPRODUCT((Calculo!$F$14:$ES$14=7)*Calculo!$F$81:$ES$81*Calculo!$F$19:$ES$19)*P_Alim)/(1+P_Cargas)*P_Cargas,((SUMIFS(Calculo!$F$238:$ES$238,Calculo!$F$170:$ES$170,7))-SUMPRODUCT((Calculo!$F$170:$ES$170=7)*Calculo!$F$237:$ES$237*Calculo!$F$175:$ES$175)*V_Alim)/(1+V_Cargas)*V_Cargas)</f>
        <v>30952.7693393425</v>
      </c>
      <c r="L27" s="48" t="n">
        <f aca="false">IF(cu_P=1,((SUMIFS(Calculo!$F$82:$ES$82,Calculo!$F$14:$ES$14,8))-SUMPRODUCT((Calculo!$F$14:$ES$14=8)*Calculo!$F$81:$ES$81*Calculo!$F$19:$ES$19)*P_Alim)/(1+P_Cargas)*P_Cargas,((SUMIFS(Calculo!$F$238:$ES$238,Calculo!$F$170:$ES$170,8))-SUMPRODUCT((Calculo!$F$170:$ES$170=8)*Calculo!$F$237:$ES$237*Calculo!$F$175:$ES$175)*V_Alim)/(1+V_Cargas)*V_Cargas)</f>
        <v>30952.7693393425</v>
      </c>
      <c r="M27" s="48" t="n">
        <f aca="false">IF(cu_P=1,((SUMIFS(Calculo!$F$82:$ES$82,Calculo!$F$14:$ES$14,9))-SUMPRODUCT((Calculo!$F$14:$ES$14=9)*Calculo!$F$81:$ES$81*Calculo!$F$19:$ES$19)*P_Alim)/(1+P_Cargas)*P_Cargas,((SUMIFS(Calculo!$F$238:$ES$238,Calculo!$F$170:$ES$170,9))-SUMPRODUCT((Calculo!$F$170:$ES$170=9)*Calculo!$F$237:$ES$237*Calculo!$F$175:$ES$175)*V_Alim)/(1+V_Cargas)*V_Cargas)</f>
        <v>30952.7693393425</v>
      </c>
      <c r="N27" s="48" t="n">
        <f aca="false">IF(cu_P=1,((SUMIFS(Calculo!$F$82:$ES$82,Calculo!$F$14:$ES$14,10))-SUMPRODUCT((Calculo!$F$14:$ES$14=10)*Calculo!$F$81:$ES$81*Calculo!$F$19:$ES$19)*P_Alim)/(1+P_Cargas)*P_Cargas,((SUMIFS(Calculo!$F$238:$ES$238,Calculo!$F$170:$ES$170,10))-SUMPRODUCT((Calculo!$F$170:$ES$170=10)*Calculo!$F$237:$ES$237*Calculo!$F$175:$ES$175)*V_Alim)/(1+V_Cargas)*V_Cargas)</f>
        <v>30952.7693393425</v>
      </c>
      <c r="O27" s="54" t="n">
        <f aca="false">SUM(D27:N27)</f>
        <v>309527.693393425</v>
      </c>
    </row>
    <row r="28" customFormat="false" ht="15" hidden="false" customHeight="false" outlineLevel="0" collapsed="false">
      <c r="A28" s="11" t="s">
        <v>2308</v>
      </c>
      <c r="B28" s="15" t="s">
        <v>373</v>
      </c>
      <c r="C28" s="11" t="s">
        <v>508</v>
      </c>
      <c r="D28" s="48" t="n">
        <f aca="false">IF(cu_P=1,SUMPRODUCT((Calculo!$F$16:$ES$16=1)*Calculo!$F$81:$ES$81*Calculo!$F$19:$ES$19)*P_Alim,SUMPRODUCT((Calculo!$F$172:$ES$172=1)*Calculo!$F$237:$ES$237*Calculo!$F$175:$ES$175)*V_Alim)</f>
        <v>0</v>
      </c>
      <c r="E28" s="48" t="n">
        <f aca="false">IF(cu_P=1,SUMPRODUCT((Calculo!$F$14:$ES$14=1)*Calculo!$F$81:$ES$81*Calculo!$F$19:$ES$19)*P_Alim,SUMPRODUCT((Calculo!$F$170:$ES$170=1)*Calculo!$F$237:$ES$237*Calculo!$F$175:$ES$175)*V_Alim)</f>
        <v>4734.24657534247</v>
      </c>
      <c r="F28" s="48" t="n">
        <f aca="false">IF(cu_P=1,SUMPRODUCT((Calculo!$F$14:$ES$14=2)*Calculo!$F$81:$ES$81*Calculo!$F$19:$ES$19)*P_Alim,SUMPRODUCT((Calculo!$F$170:$ES$170=2)*Calculo!$F$237:$ES$237*Calculo!$F$175:$ES$175)*V_Alim)</f>
        <v>4734.24657534247</v>
      </c>
      <c r="G28" s="48" t="n">
        <f aca="false">IF(cu_P=1,SUMPRODUCT((Calculo!$F$14:$ES$14=3)*Calculo!$F$81:$ES$81*Calculo!$F$19:$ES$19)*P_Alim,SUMPRODUCT((Calculo!$F$170:$ES$170=3)*Calculo!$F$237:$ES$237*Calculo!$F$175:$ES$175)*V_Alim)</f>
        <v>4734.24657534247</v>
      </c>
      <c r="H28" s="48" t="n">
        <f aca="false">IF(cu_P=1,SUMPRODUCT((Calculo!$F$14:$ES$14=4)*Calculo!$F$81:$ES$81*Calculo!$F$19:$ES$19)*P_Alim,SUMPRODUCT((Calculo!$F$170:$ES$170=4)*Calculo!$F$237:$ES$237*Calculo!$F$175:$ES$175)*V_Alim)</f>
        <v>4734.24657534247</v>
      </c>
      <c r="I28" s="48" t="n">
        <f aca="false">IF(cu_P=1,SUMPRODUCT((Calculo!$F$14:$ES$14=5)*Calculo!$F$81:$ES$81*Calculo!$F$19:$ES$19)*P_Alim,SUMPRODUCT((Calculo!$F$170:$ES$170=5)*Calculo!$F$237:$ES$237*Calculo!$F$175:$ES$175)*V_Alim)</f>
        <v>4734.24657534247</v>
      </c>
      <c r="J28" s="48" t="n">
        <f aca="false">IF(cu_P=1,SUMPRODUCT((Calculo!$F$14:$ES$14=6)*Calculo!$F$81:$ES$81*Calculo!$F$19:$ES$19)*P_Alim,SUMPRODUCT((Calculo!$F$170:$ES$170=6)*Calculo!$F$237:$ES$237*Calculo!$F$175:$ES$175)*V_Alim)</f>
        <v>4734.24657534247</v>
      </c>
      <c r="K28" s="48" t="n">
        <f aca="false">IF(cu_P=1,SUMPRODUCT((Calculo!$F$14:$ES$14=7)*Calculo!$F$81:$ES$81*Calculo!$F$19:$ES$19)*P_Alim,SUMPRODUCT((Calculo!$F$170:$ES$170=7)*Calculo!$F$237:$ES$237*Calculo!$F$175:$ES$175)*V_Alim)</f>
        <v>4734.24657534247</v>
      </c>
      <c r="L28" s="48" t="n">
        <f aca="false">IF(cu_P=1,SUMPRODUCT((Calculo!$F$14:$ES$14=8)*Calculo!$F$81:$ES$81*Calculo!$F$19:$ES$19)*P_Alim,SUMPRODUCT((Calculo!$F$170:$ES$170=8)*Calculo!$F$237:$ES$237*Calculo!$F$175:$ES$175)*V_Alim)</f>
        <v>4734.24657534247</v>
      </c>
      <c r="M28" s="48" t="n">
        <f aca="false">IF(cu_P=1,SUMPRODUCT((Calculo!$F$14:$ES$14=9)*Calculo!$F$81:$ES$81*Calculo!$F$19:$ES$19)*P_Alim,SUMPRODUCT((Calculo!$F$170:$ES$170=9)*Calculo!$F$237:$ES$237*Calculo!$F$175:$ES$175)*V_Alim)</f>
        <v>4734.24657534247</v>
      </c>
      <c r="N28" s="48" t="n">
        <f aca="false">IF(cu_P=1,SUMPRODUCT((Calculo!$F$14:$ES$14=10)*Calculo!$F$81:$ES$81*Calculo!$F$19:$ES$19)*P_Alim,SUMPRODUCT((Calculo!$F$170:$ES$170=10)*Calculo!$F$237:$ES$237*Calculo!$F$175:$ES$175)*V_Alim)</f>
        <v>4734.24657534247</v>
      </c>
      <c r="O28" s="54" t="n">
        <f aca="false">SUM(D28:N28)</f>
        <v>47342.4657534247</v>
      </c>
    </row>
    <row r="29" customFormat="false" ht="15" hidden="false" customHeight="false" outlineLevel="0" collapsed="false">
      <c r="A29" s="11" t="s">
        <v>2309</v>
      </c>
      <c r="B29" s="15" t="s">
        <v>2310</v>
      </c>
      <c r="C29" s="11" t="s">
        <v>508</v>
      </c>
      <c r="D29" s="48" t="n">
        <f aca="false">IF(cu_P=1,SUMIFS(Calculo!$F$87:$ES$87,Calculo!$F$16:$ES$16,1),SUMIFS(Calculo!$F$243:$ES$243,Calculo!$F$172:$ES$172,1))</f>
        <v>0</v>
      </c>
      <c r="E29" s="48" t="n">
        <f aca="false">IF(cu_P=1,SUMIFS(Calculo!$F$87:$ES$87,Calculo!$F$14:$ES$14,1),SUMIFS(Calculo!$F$243:$ES$243,Calculo!$F$170:$ES$170,1))</f>
        <v>274723.029041096</v>
      </c>
      <c r="F29" s="48" t="n">
        <f aca="false">IF(cu_P=1,SUMIFS(Calculo!$F$87:$ES$87,Calculo!$F$14:$ES$14,2),SUMIFS(Calculo!$F$243:$ES$243,Calculo!$F$170:$ES$170,2))</f>
        <v>281123.469041096</v>
      </c>
      <c r="G29" s="48" t="n">
        <f aca="false">IF(cu_P=1,SUMIFS(Calculo!$F$87:$ES$87,Calculo!$F$14:$ES$14,3),SUMIFS(Calculo!$F$243:$ES$243,Calculo!$F$170:$ES$170,3))</f>
        <v>287715.922241096</v>
      </c>
      <c r="H29" s="48" t="n">
        <f aca="false">IF(cu_P=1,SUMIFS(Calculo!$F$87:$ES$87,Calculo!$F$14:$ES$14,4),SUMIFS(Calculo!$F$243:$ES$243,Calculo!$F$170:$ES$170,4))</f>
        <v>294506.149037096</v>
      </c>
      <c r="I29" s="48" t="n">
        <f aca="false">IF(cu_P=1,SUMIFS(Calculo!$F$87:$ES$87,Calculo!$F$14:$ES$14,5),SUMIFS(Calculo!$F$243:$ES$243,Calculo!$F$170:$ES$170,5))</f>
        <v>301500.082636976</v>
      </c>
      <c r="J29" s="48" t="n">
        <f aca="false">IF(cu_P=1,SUMIFS(Calculo!$F$87:$ES$87,Calculo!$F$14:$ES$14,6),SUMIFS(Calculo!$F$243:$ES$243,Calculo!$F$170:$ES$170,6))</f>
        <v>308703.834244852</v>
      </c>
      <c r="K29" s="48" t="n">
        <f aca="false">IF(cu_P=1,SUMIFS(Calculo!$F$87:$ES$87,Calculo!$F$14:$ES$14,7),SUMIFS(Calculo!$F$243:$ES$243,Calculo!$F$170:$ES$170,7))</f>
        <v>316123.698400965</v>
      </c>
      <c r="L29" s="48" t="n">
        <f aca="false">IF(cu_P=1,SUMIFS(Calculo!$F$87:$ES$87,Calculo!$F$14:$ES$14,8),SUMIFS(Calculo!$F$243:$ES$243,Calculo!$F$170:$ES$170,8))</f>
        <v>323766.158481761</v>
      </c>
      <c r="M29" s="48" t="n">
        <f aca="false">IF(cu_P=1,SUMIFS(Calculo!$F$87:$ES$87,Calculo!$F$14:$ES$14,9),SUMIFS(Calculo!$F$243:$ES$243,Calculo!$F$170:$ES$170,9))</f>
        <v>331637.892364981</v>
      </c>
      <c r="N29" s="48" t="n">
        <f aca="false">IF(cu_P=1,SUMIFS(Calculo!$F$87:$ES$87,Calculo!$F$14:$ES$14,10),SUMIFS(Calculo!$F$243:$ES$243,Calculo!$F$170:$ES$170,10))</f>
        <v>339745.778264698</v>
      </c>
      <c r="O29" s="54" t="n">
        <f aca="false">SUM(D29:N29)</f>
        <v>3059546.01375462</v>
      </c>
    </row>
    <row r="30" customFormat="false" ht="15" hidden="false" customHeight="false" outlineLevel="0" collapsed="false">
      <c r="A30" s="11" t="s">
        <v>2311</v>
      </c>
      <c r="B30" s="15" t="s">
        <v>1153</v>
      </c>
      <c r="C30" s="11" t="s">
        <v>508</v>
      </c>
      <c r="D30" s="48" t="n">
        <f aca="false">IF(cu_P=1,SUMIFS(Calculo!$F$90:$ES$90,Calculo!$F$16:$ES$16,1),SUMIFS(Calculo!$F$246:$ES$246,Calculo!$F$172:$ES$172,1))</f>
        <v>0</v>
      </c>
      <c r="E30" s="48" t="n">
        <f aca="false">IF(cu_P=1,SUMIFS(Calculo!$F$90:$ES$90,Calculo!$F$14:$ES$14,1),SUMIFS(Calculo!$F$246:$ES$246,Calculo!$F$170:$ES$170,1))</f>
        <v>8444.74408340548</v>
      </c>
      <c r="F30" s="48" t="n">
        <f aca="false">IF(cu_P=1,SUMIFS(Calculo!$F$90:$ES$90,Calculo!$F$14:$ES$14,2),SUMIFS(Calculo!$F$246:$ES$246,Calculo!$F$170:$ES$170,2))</f>
        <v>8444.74408340548</v>
      </c>
      <c r="G30" s="48" t="n">
        <f aca="false">IF(cu_P=1,SUMIFS(Calculo!$F$90:$ES$90,Calculo!$F$14:$ES$14,3),SUMIFS(Calculo!$F$246:$ES$246,Calculo!$F$170:$ES$170,3))</f>
        <v>8444.74408340548</v>
      </c>
      <c r="H30" s="48" t="n">
        <f aca="false">IF(cu_P=1,SUMIFS(Calculo!$F$90:$ES$90,Calculo!$F$14:$ES$14,4),SUMIFS(Calculo!$F$246:$ES$246,Calculo!$F$170:$ES$170,4))</f>
        <v>8444.74408340548</v>
      </c>
      <c r="I30" s="48" t="n">
        <f aca="false">IF(cu_P=1,SUMIFS(Calculo!$F$90:$ES$90,Calculo!$F$14:$ES$14,5),SUMIFS(Calculo!$F$246:$ES$246,Calculo!$F$170:$ES$170,5))</f>
        <v>8444.74408340548</v>
      </c>
      <c r="J30" s="48" t="n">
        <f aca="false">IF(cu_P=1,SUMIFS(Calculo!$F$90:$ES$90,Calculo!$F$14:$ES$14,6),SUMIFS(Calculo!$F$246:$ES$246,Calculo!$F$170:$ES$170,6))</f>
        <v>8444.74408340548</v>
      </c>
      <c r="K30" s="48" t="n">
        <f aca="false">IF(cu_P=1,SUMIFS(Calculo!$F$90:$ES$90,Calculo!$F$14:$ES$14,7),SUMIFS(Calculo!$F$246:$ES$246,Calculo!$F$170:$ES$170,7))</f>
        <v>8444.74408340548</v>
      </c>
      <c r="L30" s="48" t="n">
        <f aca="false">IF(cu_P=1,SUMIFS(Calculo!$F$90:$ES$90,Calculo!$F$14:$ES$14,8),SUMIFS(Calculo!$F$246:$ES$246,Calculo!$F$170:$ES$170,8))</f>
        <v>8444.74408340548</v>
      </c>
      <c r="M30" s="48" t="n">
        <f aca="false">IF(cu_P=1,SUMIFS(Calculo!$F$90:$ES$90,Calculo!$F$14:$ES$14,9),SUMIFS(Calculo!$F$246:$ES$246,Calculo!$F$170:$ES$170,9))</f>
        <v>8444.74408340548</v>
      </c>
      <c r="N30" s="48" t="n">
        <f aca="false">IF(cu_P=1,SUMIFS(Calculo!$F$90:$ES$90,Calculo!$F$14:$ES$14,10),SUMIFS(Calculo!$F$246:$ES$246,Calculo!$F$170:$ES$170,10))</f>
        <v>8444.74408340548</v>
      </c>
      <c r="O30" s="54" t="n">
        <f aca="false">SUM(D30:N30)</f>
        <v>84447.4408340548</v>
      </c>
    </row>
    <row r="31" customFormat="false" ht="15" hidden="false" customHeight="false" outlineLevel="0" collapsed="false">
      <c r="A31" s="11" t="s">
        <v>2312</v>
      </c>
      <c r="B31" s="15" t="s">
        <v>2300</v>
      </c>
      <c r="C31" s="11" t="s">
        <v>508</v>
      </c>
      <c r="D31" s="48" t="n">
        <f aca="false">IFERROR(IF(COUNT(D25,D26,D27,D28,D29,D30)=0,"",N(D25)-(N(D26)+N(D27)+N(D28)+N(D29)+N(D30))),"")</f>
        <v>0</v>
      </c>
      <c r="E31" s="48" t="n">
        <f aca="false">IFERROR(IF(COUNT(E25,E26,E27,E28,E29,E30)=0,"",N(E25)-(N(E26)+N(E27)+N(E28)+N(E29)+N(E30))),"")</f>
        <v>0</v>
      </c>
      <c r="F31" s="48" t="n">
        <f aca="false">IFERROR(IF(COUNT(F25,F26,F27,F28,F29,F30)=0,"",N(F25)-(N(F26)+N(F27)+N(F28)+N(F29)+N(F30))),"")</f>
        <v>0</v>
      </c>
      <c r="G31" s="48" t="n">
        <f aca="false">IFERROR(IF(COUNT(G25,G26,G27,G28,G29,G30)=0,"",N(G25)-(N(G26)+N(G27)+N(G28)+N(G29)+N(G30))),"")</f>
        <v>0</v>
      </c>
      <c r="H31" s="48" t="n">
        <f aca="false">IFERROR(IF(COUNT(H25,H26,H27,H28,H29,H30)=0,"",N(H25)-(N(H26)+N(H27)+N(H28)+N(H29)+N(H30))),"")</f>
        <v>0</v>
      </c>
      <c r="I31" s="48" t="n">
        <f aca="false">IFERROR(IF(COUNT(I25,I26,I27,I28,I29,I30)=0,"",N(I25)-(N(I26)+N(I27)+N(I28)+N(I29)+N(I30))),"")</f>
        <v>0</v>
      </c>
      <c r="J31" s="48" t="n">
        <f aca="false">IFERROR(IF(COUNT(J25,J26,J27,J28,J29,J30)=0,"",N(J25)-(N(J26)+N(J27)+N(J28)+N(J29)+N(J30))),"")</f>
        <v>0</v>
      </c>
      <c r="K31" s="48" t="n">
        <f aca="false">IFERROR(IF(COUNT(K25,K26,K27,K28,K29,K30)=0,"",N(K25)-(N(K26)+N(K27)+N(K28)+N(K29)+N(K30))),"")</f>
        <v>0</v>
      </c>
      <c r="L31" s="48" t="n">
        <f aca="false">IFERROR(IF(COUNT(L25,L26,L27,L28,L29,L30)=0,"",N(L25)-(N(L26)+N(L27)+N(L28)+N(L29)+N(L30))),"")</f>
        <v>0</v>
      </c>
      <c r="M31" s="48" t="n">
        <f aca="false">IFERROR(IF(COUNT(M25,M26,M27,M28,M29,M30)=0,"",N(M25)-(N(M26)+N(M27)+N(M28)+N(M29)+N(M30))),"")</f>
        <v>0</v>
      </c>
      <c r="N31" s="48" t="n">
        <f aca="false">IFERROR(IF(COUNT(N25,N26,N27,N28,N29,N30)=0,"",N(N25)-(N(N26)+N(N27)+N(N28)+N(N29)+N(N30))),"")</f>
        <v>0</v>
      </c>
      <c r="O31" s="54" t="n">
        <f aca="false">SUM(D31:N31)</f>
        <v>0</v>
      </c>
    </row>
    <row r="32" customFormat="false" ht="15" hidden="false" customHeight="false" outlineLevel="0" collapsed="false">
      <c r="A32" s="13"/>
      <c r="B32" s="100" t="s">
        <v>2313</v>
      </c>
      <c r="C32" s="13"/>
      <c r="D32" s="13"/>
      <c r="E32" s="13"/>
      <c r="F32" s="13"/>
      <c r="G32" s="13"/>
      <c r="H32" s="13"/>
      <c r="I32" s="13"/>
      <c r="J32" s="13"/>
      <c r="K32" s="13"/>
      <c r="L32" s="13"/>
      <c r="M32" s="13"/>
      <c r="N32" s="13"/>
      <c r="O32" s="13"/>
    </row>
    <row r="33" customFormat="false" ht="15" hidden="false" customHeight="false" outlineLevel="0" collapsed="false">
      <c r="A33" s="11" t="s">
        <v>2314</v>
      </c>
      <c r="B33" s="15" t="s">
        <v>2315</v>
      </c>
      <c r="C33" s="11" t="s">
        <v>508</v>
      </c>
      <c r="D33" s="48" t="n">
        <f aca="false">IF(cu_P=1,-SUMIFS(Calculo!$F$101:$ES$101,Calculo!$F$16:$ES$16,1),-SUMIFS(Calculo!$F$257:$ES$257,Calculo!$F$172:$ES$172,1))</f>
        <v>-0</v>
      </c>
      <c r="E33" s="48" t="n">
        <f aca="false">IF(cu_P=1,-SUMIFS(Calculo!$F$101:$ES$101,Calculo!$F$14:$ES$14,1),-SUMIFS(Calculo!$F$257:$ES$257,Calculo!$F$170:$ES$170,1))</f>
        <v>-0</v>
      </c>
      <c r="F33" s="48" t="n">
        <f aca="false">IF(cu_P=1,-SUMIFS(Calculo!$F$101:$ES$101,Calculo!$F$14:$ES$14,2),-SUMIFS(Calculo!$F$257:$ES$257,Calculo!$F$170:$ES$170,2))</f>
        <v>-0</v>
      </c>
      <c r="G33" s="48" t="n">
        <f aca="false">IF(cu_P=1,-SUMIFS(Calculo!$F$101:$ES$101,Calculo!$F$14:$ES$14,3),-SUMIFS(Calculo!$F$257:$ES$257,Calculo!$F$170:$ES$170,3))</f>
        <v>-0</v>
      </c>
      <c r="H33" s="48" t="n">
        <f aca="false">IF(cu_P=1,-SUMIFS(Calculo!$F$101:$ES$101,Calculo!$F$14:$ES$14,4),-SUMIFS(Calculo!$F$257:$ES$257,Calculo!$F$170:$ES$170,4))</f>
        <v>-0</v>
      </c>
      <c r="I33" s="48" t="n">
        <f aca="false">IF(cu_P=1,-SUMIFS(Calculo!$F$101:$ES$101,Calculo!$F$14:$ES$14,5),-SUMIFS(Calculo!$F$257:$ES$257,Calculo!$F$170:$ES$170,5))</f>
        <v>-0</v>
      </c>
      <c r="J33" s="48" t="n">
        <f aca="false">IF(cu_P=1,-SUMIFS(Calculo!$F$101:$ES$101,Calculo!$F$14:$ES$14,6),-SUMIFS(Calculo!$F$257:$ES$257,Calculo!$F$170:$ES$170,6))</f>
        <v>-0</v>
      </c>
      <c r="K33" s="48" t="n">
        <f aca="false">IF(cu_P=1,-SUMIFS(Calculo!$F$101:$ES$101,Calculo!$F$14:$ES$14,7),-SUMIFS(Calculo!$F$257:$ES$257,Calculo!$F$170:$ES$170,7))</f>
        <v>-0</v>
      </c>
      <c r="L33" s="48" t="n">
        <f aca="false">IF(cu_P=1,-SUMIFS(Calculo!$F$101:$ES$101,Calculo!$F$14:$ES$14,8),-SUMIFS(Calculo!$F$257:$ES$257,Calculo!$F$170:$ES$170,8))</f>
        <v>-0</v>
      </c>
      <c r="M33" s="48" t="n">
        <f aca="false">IF(cu_P=1,-SUMIFS(Calculo!$F$101:$ES$101,Calculo!$F$14:$ES$14,9),-SUMIFS(Calculo!$F$257:$ES$257,Calculo!$F$170:$ES$170,9))</f>
        <v>-0</v>
      </c>
      <c r="N33" s="48" t="n">
        <f aca="false">IF(cu_P=1,-SUMIFS(Calculo!$F$101:$ES$101,Calculo!$F$14:$ES$14,10),-SUMIFS(Calculo!$F$257:$ES$257,Calculo!$F$170:$ES$170,10))</f>
        <v>-0</v>
      </c>
      <c r="O33" s="54" t="n">
        <f aca="false">SUM(D33:N33)</f>
        <v>0</v>
      </c>
    </row>
    <row r="34" customFormat="false" ht="15" hidden="false" customHeight="false" outlineLevel="0" collapsed="false">
      <c r="A34" s="11" t="s">
        <v>2316</v>
      </c>
      <c r="B34" s="67" t="s">
        <v>2317</v>
      </c>
      <c r="C34" s="11" t="s">
        <v>508</v>
      </c>
      <c r="D34" s="54" t="n">
        <f aca="false">IF(cu_P=1,SUMIFS(Calculo!$F$103:$ES$103,Calculo!$F$16:$ES$16,1),SUMIFS(Calculo!$F$259:$ES$259,Calculo!$F$172:$ES$172,1))</f>
        <v>0</v>
      </c>
      <c r="E34" s="54" t="n">
        <f aca="false">IF(cu_P=1,SUMIFS(Calculo!$F$103:$ES$103,Calculo!$F$14:$ES$14,1),SUMIFS(Calculo!$F$259:$ES$259,Calculo!$F$170:$ES$170,1))</f>
        <v>71592.209</v>
      </c>
      <c r="F34" s="54" t="n">
        <f aca="false">IF(cu_P=1,SUMIFS(Calculo!$F$103:$ES$103,Calculo!$F$14:$ES$14,2),SUMIFS(Calculo!$F$259:$ES$259,Calculo!$F$170:$ES$170,2))</f>
        <v>81592.209</v>
      </c>
      <c r="G34" s="54" t="n">
        <f aca="false">IF(cu_P=1,SUMIFS(Calculo!$F$103:$ES$103,Calculo!$F$14:$ES$14,3),SUMIFS(Calculo!$F$259:$ES$259,Calculo!$F$170:$ES$170,3))</f>
        <v>81592.209</v>
      </c>
      <c r="H34" s="54" t="n">
        <f aca="false">IF(cu_P=1,SUMIFS(Calculo!$F$103:$ES$103,Calculo!$F$14:$ES$14,4),SUMIFS(Calculo!$F$259:$ES$259,Calculo!$F$170:$ES$170,4))</f>
        <v>81592.209</v>
      </c>
      <c r="I34" s="54" t="n">
        <f aca="false">IF(cu_P=1,SUMIFS(Calculo!$F$103:$ES$103,Calculo!$F$14:$ES$14,5),SUMIFS(Calculo!$F$259:$ES$259,Calculo!$F$170:$ES$170,5))</f>
        <v>81592.209</v>
      </c>
      <c r="J34" s="54" t="n">
        <f aca="false">IF(cu_P=1,SUMIFS(Calculo!$F$103:$ES$103,Calculo!$F$14:$ES$14,6),SUMIFS(Calculo!$F$259:$ES$259,Calculo!$F$170:$ES$170,6))</f>
        <v>69416.609</v>
      </c>
      <c r="K34" s="54" t="n">
        <f aca="false">IF(cu_P=1,SUMIFS(Calculo!$F$103:$ES$103,Calculo!$F$14:$ES$14,7),SUMIFS(Calculo!$F$259:$ES$259,Calculo!$F$170:$ES$170,7))</f>
        <v>69416.609</v>
      </c>
      <c r="L34" s="54" t="n">
        <f aca="false">IF(cu_P=1,SUMIFS(Calculo!$F$103:$ES$103,Calculo!$F$14:$ES$14,8),SUMIFS(Calculo!$F$259:$ES$259,Calculo!$F$170:$ES$170,8))</f>
        <v>69416.609</v>
      </c>
      <c r="M34" s="54" t="n">
        <f aca="false">IF(cu_P=1,SUMIFS(Calculo!$F$103:$ES$103,Calculo!$F$14:$ES$14,9),SUMIFS(Calculo!$F$259:$ES$259,Calculo!$F$170:$ES$170,9))</f>
        <v>69416.609</v>
      </c>
      <c r="N34" s="54" t="n">
        <f aca="false">IF(cu_P=1,SUMIFS(Calculo!$F$103:$ES$103,Calculo!$F$14:$ES$14,10),SUMIFS(Calculo!$F$259:$ES$259,Calculo!$F$170:$ES$170,10))</f>
        <v>69416.609</v>
      </c>
      <c r="O34" s="54" t="n">
        <f aca="false">SUM(D34:N34)</f>
        <v>745044.09</v>
      </c>
    </row>
    <row r="35" customFormat="false" ht="15" hidden="false" customHeight="false" outlineLevel="0" collapsed="false">
      <c r="A35" s="11" t="s">
        <v>2318</v>
      </c>
      <c r="B35" s="67" t="s">
        <v>2319</v>
      </c>
      <c r="C35" s="11" t="s">
        <v>508</v>
      </c>
      <c r="D35" s="54" t="n">
        <f aca="false">IF(cu_P=1,SUMIFS(Calculo!$F$105:$ES$105,Calculo!$F$16:$ES$16,1),SUMIFS(Calculo!$F$261:$ES$261,Calculo!$F$172:$ES$172,1))</f>
        <v>0</v>
      </c>
      <c r="E35" s="54" t="n">
        <f aca="false">IF(cu_P=1,SUMIFS(Calculo!$F$105:$ES$105,Calculo!$F$14:$ES$14,1),SUMIFS(Calculo!$F$261:$ES$261,Calculo!$F$170:$ES$170,1))</f>
        <v>271101.932431026</v>
      </c>
      <c r="F35" s="54" t="n">
        <f aca="false">IF(cu_P=1,SUMIFS(Calculo!$F$105:$ES$105,Calculo!$F$14:$ES$14,2),SUMIFS(Calculo!$F$261:$ES$261,Calculo!$F$170:$ES$170,2))</f>
        <v>226274.254121452</v>
      </c>
      <c r="G35" s="54" t="n">
        <f aca="false">IF(cu_P=1,SUMIFS(Calculo!$F$105:$ES$105,Calculo!$F$14:$ES$14,3),SUMIFS(Calculo!$F$261:$ES$261,Calculo!$F$170:$ES$170,3))</f>
        <v>169415.972941167</v>
      </c>
      <c r="H35" s="54" t="n">
        <f aca="false">IF(cu_P=1,SUMIFS(Calculo!$F$105:$ES$105,Calculo!$F$14:$ES$14,4),SUMIFS(Calculo!$F$261:$ES$261,Calculo!$F$170:$ES$170,4))</f>
        <v>107223.992796456</v>
      </c>
      <c r="I35" s="54" t="n">
        <f aca="false">IF(cu_P=1,SUMIFS(Calculo!$F$105:$ES$105,Calculo!$F$14:$ES$14,5),SUMIFS(Calculo!$F$261:$ES$261,Calculo!$F$170:$ES$170,5))</f>
        <v>39197.9759343531</v>
      </c>
      <c r="J35" s="54" t="n">
        <f aca="false">IF(cu_P=1,SUMIFS(Calculo!$F$105:$ES$105,Calculo!$F$14:$ES$14,6),SUMIFS(Calculo!$F$261:$ES$261,Calculo!$F$170:$ES$170,6))</f>
        <v>0</v>
      </c>
      <c r="K35" s="54" t="n">
        <f aca="false">IF(cu_P=1,SUMIFS(Calculo!$F$105:$ES$105,Calculo!$F$14:$ES$14,7),SUMIFS(Calculo!$F$261:$ES$261,Calculo!$F$170:$ES$170,7))</f>
        <v>0</v>
      </c>
      <c r="L35" s="54" t="n">
        <f aca="false">IF(cu_P=1,SUMIFS(Calculo!$F$105:$ES$105,Calculo!$F$14:$ES$14,8),SUMIFS(Calculo!$F$261:$ES$261,Calculo!$F$170:$ES$170,8))</f>
        <v>0</v>
      </c>
      <c r="M35" s="54" t="n">
        <f aca="false">IF(cu_P=1,SUMIFS(Calculo!$F$105:$ES$105,Calculo!$F$14:$ES$14,9),SUMIFS(Calculo!$F$261:$ES$261,Calculo!$F$170:$ES$170,9))</f>
        <v>0</v>
      </c>
      <c r="N35" s="54" t="n">
        <f aca="false">IF(cu_P=1,SUMIFS(Calculo!$F$105:$ES$105,Calculo!$F$14:$ES$14,10),SUMIFS(Calculo!$F$261:$ES$261,Calculo!$F$170:$ES$170,10))</f>
        <v>0</v>
      </c>
      <c r="O35" s="54" t="n">
        <f aca="false">SUM(D35:N35)</f>
        <v>813214.128224454</v>
      </c>
    </row>
    <row r="36" customFormat="false" ht="15" hidden="false" customHeight="false" outlineLevel="0" collapsed="false">
      <c r="A36" s="11" t="s">
        <v>2320</v>
      </c>
      <c r="B36" s="67" t="s">
        <v>2321</v>
      </c>
      <c r="C36" s="11" t="s">
        <v>508</v>
      </c>
      <c r="D36" s="54" t="n">
        <f aca="false">IFERROR(IF(COUNT(D9,D25,D33,D34,D35)=0,"",N(D9)+N(D25)+N(D33)+N(D34)+N(D35)),"")</f>
        <v>0</v>
      </c>
      <c r="E36" s="54" t="n">
        <f aca="false">IFERROR(IF(COUNT(E9,E25,E33,E34,E35)=0,"",N(E9)+N(E25)+N(E33)+N(E34)+N(E35)),"")</f>
        <v>4682724.13572395</v>
      </c>
      <c r="F36" s="54" t="n">
        <f aca="false">IFERROR(IF(COUNT(F9,F25,F33,F34,F35)=0,"",N(F9)+N(F25)+N(F33)+N(F34)+N(F35)),"")</f>
        <v>5523109.62719388</v>
      </c>
      <c r="G36" s="54" t="n">
        <f aca="false">IFERROR(IF(COUNT(G9,G25,G33,G34,G35)=0,"",N(G9)+N(G25)+N(G33)+N(G34)+N(G35)),"")</f>
        <v>6384526.81155967</v>
      </c>
      <c r="H36" s="54" t="n">
        <f aca="false">IFERROR(IF(COUNT(H9,H25,H33,H34,H35)=0,"",N(H9)+N(H25)+N(H33)+N(H34)+N(H35)),"")</f>
        <v>7075530.67323815</v>
      </c>
      <c r="I36" s="54" t="n">
        <f aca="false">IFERROR(IF(COUNT(I9,I25,I33,I34,I35)=0,"",N(I9)+N(I25)+N(I33)+N(I34)+N(I35)),"")</f>
        <v>7078524.01071787</v>
      </c>
      <c r="J36" s="54" t="n">
        <f aca="false">IFERROR(IF(COUNT(J9,J25,J33,J34,J35)=0,"",N(J9)+N(J25)+N(J33)+N(J34)+N(J35)),"")</f>
        <v>7065826.02976909</v>
      </c>
      <c r="K36" s="54" t="n">
        <f aca="false">IFERROR(IF(COUNT(K9,K25,K33,K34,K35)=0,"",N(K9)+N(K25)+N(K33)+N(K34)+N(K35)),"")</f>
        <v>7105039.20869363</v>
      </c>
      <c r="L36" s="54" t="n">
        <f aca="false">IFERROR(IF(COUNT(L9,L25,L33,L34,L35)=0,"",N(L9)+N(L25)+N(L33)+N(L34)+N(L35)),"")</f>
        <v>7144799.80470664</v>
      </c>
      <c r="M36" s="54" t="n">
        <f aca="false">IFERROR(IF(COUNT(M9,M25,M33,M34,M35)=0,"",N(M9)+N(M25)+N(M33)+N(M34)+N(M35)),"")</f>
        <v>7185117.88165782</v>
      </c>
      <c r="N36" s="54" t="n">
        <f aca="false">IFERROR(IF(COUNT(N9,N25,N33,N34,N35)=0,"",N(N9)+N(N25)+N(N33)+N(N34)+N(N35)),"")</f>
        <v>7226003.74034813</v>
      </c>
      <c r="O36" s="54" t="n">
        <f aca="false">SUM(D36:N36)</f>
        <v>66471201.9236088</v>
      </c>
    </row>
    <row r="37" customFormat="false" ht="15" hidden="false" customHeight="false" outlineLevel="0" collapsed="false">
      <c r="A37" s="11" t="s">
        <v>2322</v>
      </c>
      <c r="B37" s="15" t="s">
        <v>2323</v>
      </c>
      <c r="C37" s="11" t="s">
        <v>544</v>
      </c>
      <c r="D37" s="48" t="n">
        <f aca="false">IF(cu_P=1,SUMPRODUCT((Calculo!$F$16:$ES$16=1)*Calculo!$F$21:$ES$45),SUMPRODUCT((Calculo!$F$172:$ES$172=1)*Calculo!$F$177:$ES$201))</f>
        <v>0</v>
      </c>
      <c r="E37" s="48" t="n">
        <f aca="false">IF(cu_P=1,SUMPRODUCT((Calculo!$F$14:$ES$14=1)*Calculo!$F$21:$ES$45),SUMPRODUCT((Calculo!$F$170:$ES$170=1)*Calculo!$F$177:$ES$201))</f>
        <v>82000</v>
      </c>
      <c r="F37" s="48" t="n">
        <f aca="false">IF(cu_P=1,SUMPRODUCT((Calculo!$F$14:$ES$14=2)*Calculo!$F$21:$ES$45),SUMPRODUCT((Calculo!$F$170:$ES$170=2)*Calculo!$F$177:$ES$201))</f>
        <v>105000</v>
      </c>
      <c r="G37" s="48" t="n">
        <f aca="false">IF(cu_P=1,SUMPRODUCT((Calculo!$F$14:$ES$14=3)*Calculo!$F$21:$ES$45),SUMPRODUCT((Calculo!$F$170:$ES$170=3)*Calculo!$F$177:$ES$201))</f>
        <v>128000</v>
      </c>
      <c r="H37" s="48" t="n">
        <f aca="false">IF(cu_P=1,SUMPRODUCT((Calculo!$F$14:$ES$14=4)*Calculo!$F$21:$ES$45),SUMPRODUCT((Calculo!$F$170:$ES$170=4)*Calculo!$F$177:$ES$201))</f>
        <v>141000</v>
      </c>
      <c r="I37" s="48" t="n">
        <f aca="false">IF(cu_P=1,SUMPRODUCT((Calculo!$F$14:$ES$14=5)*Calculo!$F$21:$ES$45),SUMPRODUCT((Calculo!$F$170:$ES$170=5)*Calculo!$F$177:$ES$201))</f>
        <v>141000</v>
      </c>
      <c r="J37" s="48" t="n">
        <f aca="false">IF(cu_P=1,SUMPRODUCT((Calculo!$F$14:$ES$14=6)*Calculo!$F$21:$ES$45),SUMPRODUCT((Calculo!$F$170:$ES$170=6)*Calculo!$F$177:$ES$201))</f>
        <v>141000</v>
      </c>
      <c r="K37" s="48" t="n">
        <f aca="false">IF(cu_P=1,SUMPRODUCT((Calculo!$F$14:$ES$14=7)*Calculo!$F$21:$ES$45),SUMPRODUCT((Calculo!$F$170:$ES$170=7)*Calculo!$F$177:$ES$201))</f>
        <v>141000</v>
      </c>
      <c r="L37" s="48" t="n">
        <f aca="false">IF(cu_P=1,SUMPRODUCT((Calculo!$F$14:$ES$14=8)*Calculo!$F$21:$ES$45),SUMPRODUCT((Calculo!$F$170:$ES$170=8)*Calculo!$F$177:$ES$201))</f>
        <v>141000</v>
      </c>
      <c r="M37" s="48" t="n">
        <f aca="false">IF(cu_P=1,SUMPRODUCT((Calculo!$F$14:$ES$14=9)*Calculo!$F$21:$ES$45),SUMPRODUCT((Calculo!$F$170:$ES$170=9)*Calculo!$F$177:$ES$201))</f>
        <v>141000</v>
      </c>
      <c r="N37" s="48" t="n">
        <f aca="false">IF(cu_P=1,SUMPRODUCT((Calculo!$F$14:$ES$14=10)*Calculo!$F$21:$ES$45),SUMPRODUCT((Calculo!$F$170:$ES$170=10)*Calculo!$F$177:$ES$201))</f>
        <v>141000</v>
      </c>
      <c r="O37" s="54" t="n">
        <f aca="false">SUM(D37:N37)</f>
        <v>1302000</v>
      </c>
    </row>
    <row r="38" customFormat="false" ht="15" hidden="false" customHeight="false" outlineLevel="0" collapsed="false">
      <c r="A38" s="11" t="s">
        <v>2324</v>
      </c>
      <c r="B38" s="15" t="s">
        <v>2325</v>
      </c>
      <c r="C38" s="11" t="s">
        <v>748</v>
      </c>
      <c r="D38" s="50" t="str">
        <f aca="false">IFERROR(IF(OR(NOT(ISNUMBER(D36)),N(D37)=0),"",D36/D37),"")</f>
        <v/>
      </c>
      <c r="E38" s="50" t="n">
        <f aca="false">IFERROR(IF(OR(NOT(ISNUMBER(E36)),N(E37)=0),"",E36/E37),"")</f>
        <v>57.1063918990725</v>
      </c>
      <c r="F38" s="50" t="n">
        <f aca="false">IFERROR(IF(OR(NOT(ISNUMBER(F36)),N(F37)=0),"",F36/F37),"")</f>
        <v>52.6010440685131</v>
      </c>
      <c r="G38" s="50" t="n">
        <f aca="false">IFERROR(IF(OR(NOT(ISNUMBER(G36)),N(G37)=0),"",G36/G37),"")</f>
        <v>49.8791157153099</v>
      </c>
      <c r="H38" s="50" t="n">
        <f aca="false">IFERROR(IF(OR(NOT(ISNUMBER(H36)),N(H37)=0),"",H36/H37),"")</f>
        <v>50.1810686045259</v>
      </c>
      <c r="I38" s="50" t="n">
        <f aca="false">IFERROR(IF(OR(NOT(ISNUMBER(I36)),N(I37)=0),"",I36/I37),"")</f>
        <v>50.2022979483537</v>
      </c>
      <c r="J38" s="50" t="n">
        <f aca="false">IFERROR(IF(OR(NOT(ISNUMBER(J36)),N(J37)=0),"",J36/J37),"")</f>
        <v>50.1122413458801</v>
      </c>
      <c r="K38" s="50" t="n">
        <f aca="false">IFERROR(IF(OR(NOT(ISNUMBER(K36)),N(K37)=0),"",K36/K37),"")</f>
        <v>50.3903489978272</v>
      </c>
      <c r="L38" s="50" t="n">
        <f aca="false">IFERROR(IF(OR(NOT(ISNUMBER(L36)),N(L37)=0),"",L36/L37),"")</f>
        <v>50.6723390404727</v>
      </c>
      <c r="M38" s="50" t="n">
        <f aca="false">IFERROR(IF(OR(NOT(ISNUMBER(M36)),N(M37)=0),"",M36/M37),"")</f>
        <v>50.9582828486371</v>
      </c>
      <c r="N38" s="50" t="n">
        <f aca="false">IFERROR(IF(OR(NOT(ISNUMBER(N36)),N(N37)=0),"",N36/N37),"")</f>
        <v>51.2482534776463</v>
      </c>
      <c r="O38" s="68" t="n">
        <f aca="false">IFERROR(IF(OR(NOT(ISNUMBER(O36)),N(O37)=0),"",O36/O37),"")</f>
        <v>51.0531504789622</v>
      </c>
    </row>
    <row r="39" customFormat="false" ht="15" hidden="false" customHeight="false" outlineLevel="0" collapsed="false">
      <c r="A39" s="13"/>
      <c r="B39" s="100" t="s">
        <v>2326</v>
      </c>
      <c r="C39" s="13"/>
      <c r="D39" s="13"/>
      <c r="E39" s="13"/>
      <c r="F39" s="13"/>
      <c r="G39" s="13"/>
      <c r="H39" s="13"/>
      <c r="I39" s="13"/>
      <c r="J39" s="13"/>
      <c r="K39" s="13"/>
      <c r="L39" s="13"/>
      <c r="M39" s="13"/>
      <c r="N39" s="13"/>
      <c r="O39" s="13"/>
    </row>
    <row r="40" customFormat="false" ht="15" hidden="false" customHeight="false" outlineLevel="0" collapsed="false">
      <c r="A40" s="11" t="s">
        <v>2327</v>
      </c>
      <c r="B40" s="53" t="str">
        <f aca="false">IF(Costos!$B$75="","Concepto 1",Costos!$B$75&amp;" ("&amp;Costos!$C$75&amp;")")</f>
        <v>Energía eléctrica planta (Producción)</v>
      </c>
      <c r="C40" s="11" t="s">
        <v>508</v>
      </c>
      <c r="D40" s="48" t="n">
        <f aca="false">IF(cu_P=1,N(INDEX(FC_O,1))*SUM(Calculo!$F$16:$ES$16)*IF(INDEX(FC_Mon,1)="PYG",1/INDEX(TC_O,1,1)*(1+P_dTC),1)*IF(N(INDEX(FC_Desde,1))=0,1,0),N(INDEX(FC_V,1))*SUM(Calculo!$F$172:$ES$172)*IF(INDEX(FC_Mon,1)="PYG",1/INDEX(TC_V,1,1)*(1+V_dTC),1)*IF(N(INDEX(FC_Desde,1))=0,1,0))</f>
        <v>0</v>
      </c>
      <c r="E40" s="48" t="n">
        <f aca="false">IF(cu_P=1,N(INDEX(FC_O,1))*(1+N(INDEX(FC_g,1)))^0*COUNTIFS(Calculo!$F$14:$ES$14,1)*IF(INDEX(FC_Mon,1)="PYG",1/INDEX(TC_O,1,1)*(1+P_dTC),1)*IF(OR(N(INDEX(FC_Desde,1))=0,1&gt;=N(INDEX(FC_Desde,1))),1,0),N(INDEX(FC_V,1))*(1+N(INDEX(FC_g,1)))^0*COUNTIFS(Calculo!$F$170:$ES$170,1)*IF(INDEX(FC_Mon,1)="PYG",1/INDEX(TC_V,1,1)*(1+V_dTC),1)*IF(OR(N(INDEX(FC_Desde,1))=0,1&gt;=N(INDEX(FC_Desde,1))),1,0))</f>
        <v>23013.698630137</v>
      </c>
      <c r="F40" s="48" t="n">
        <f aca="false">IF(cu_P=1,N(INDEX(FC_O,1))*(1+N(INDEX(FC_g,1)))^1*COUNTIFS(Calculo!$F$14:$ES$14,2)*IF(INDEX(FC_Mon,1)="PYG",1/INDEX(TC_O,1,2)*(1+P_dTC),1)*IF(OR(N(INDEX(FC_Desde,1))=0,2&gt;=N(INDEX(FC_Desde,1))),1,0),N(INDEX(FC_V,1))*(1+N(INDEX(FC_g,1)))^1*COUNTIFS(Calculo!$F$170:$ES$170,2)*IF(INDEX(FC_Mon,1)="PYG",1/INDEX(TC_V,1,2)*(1+V_dTC),1)*IF(OR(N(INDEX(FC_Desde,1))=0,2&gt;=N(INDEX(FC_Desde,1))),1,0))</f>
        <v>23013.698630137</v>
      </c>
      <c r="G40" s="48" t="n">
        <f aca="false">IF(cu_P=1,N(INDEX(FC_O,1))*(1+N(INDEX(FC_g,1)))^2*COUNTIFS(Calculo!$F$14:$ES$14,3)*IF(INDEX(FC_Mon,1)="PYG",1/INDEX(TC_O,1,3)*(1+P_dTC),1)*IF(OR(N(INDEX(FC_Desde,1))=0,3&gt;=N(INDEX(FC_Desde,1))),1,0),N(INDEX(FC_V,1))*(1+N(INDEX(FC_g,1)))^2*COUNTIFS(Calculo!$F$170:$ES$170,3)*IF(INDEX(FC_Mon,1)="PYG",1/INDEX(TC_V,1,3)*(1+V_dTC),1)*IF(OR(N(INDEX(FC_Desde,1))=0,3&gt;=N(INDEX(FC_Desde,1))),1,0))</f>
        <v>23013.698630137</v>
      </c>
      <c r="H40" s="48" t="n">
        <f aca="false">IF(cu_P=1,N(INDEX(FC_O,1))*(1+N(INDEX(FC_g,1)))^3*COUNTIFS(Calculo!$F$14:$ES$14,4)*IF(INDEX(FC_Mon,1)="PYG",1/INDEX(TC_O,1,4)*(1+P_dTC),1)*IF(OR(N(INDEX(FC_Desde,1))=0,4&gt;=N(INDEX(FC_Desde,1))),1,0),N(INDEX(FC_V,1))*(1+N(INDEX(FC_g,1)))^3*COUNTIFS(Calculo!$F$170:$ES$170,4)*IF(INDEX(FC_Mon,1)="PYG",1/INDEX(TC_V,1,4)*(1+V_dTC),1)*IF(OR(N(INDEX(FC_Desde,1))=0,4&gt;=N(INDEX(FC_Desde,1))),1,0))</f>
        <v>23013.698630137</v>
      </c>
      <c r="I40" s="48" t="n">
        <f aca="false">IF(cu_P=1,N(INDEX(FC_O,1))*(1+N(INDEX(FC_g,1)))^4*COUNTIFS(Calculo!$F$14:$ES$14,5)*IF(INDEX(FC_Mon,1)="PYG",1/INDEX(TC_O,1,5)*(1+P_dTC),1)*IF(OR(N(INDEX(FC_Desde,1))=0,5&gt;=N(INDEX(FC_Desde,1))),1,0),N(INDEX(FC_V,1))*(1+N(INDEX(FC_g,1)))^4*COUNTIFS(Calculo!$F$170:$ES$170,5)*IF(INDEX(FC_Mon,1)="PYG",1/INDEX(TC_V,1,5)*(1+V_dTC),1)*IF(OR(N(INDEX(FC_Desde,1))=0,5&gt;=N(INDEX(FC_Desde,1))),1,0))</f>
        <v>23013.698630137</v>
      </c>
      <c r="J40" s="48" t="n">
        <f aca="false">IF(cu_P=1,N(INDEX(FC_O,1))*(1+N(INDEX(FC_g,1)))^5*COUNTIFS(Calculo!$F$14:$ES$14,6)*IF(INDEX(FC_Mon,1)="PYG",1/INDEX(TC_O,1,6)*(1+P_dTC),1)*IF(OR(N(INDEX(FC_Desde,1))=0,6&gt;=N(INDEX(FC_Desde,1))),1,0),N(INDEX(FC_V,1))*(1+N(INDEX(FC_g,1)))^5*COUNTIFS(Calculo!$F$170:$ES$170,6)*IF(INDEX(FC_Mon,1)="PYG",1/INDEX(TC_V,1,6)*(1+V_dTC),1)*IF(OR(N(INDEX(FC_Desde,1))=0,6&gt;=N(INDEX(FC_Desde,1))),1,0))</f>
        <v>23013.698630137</v>
      </c>
      <c r="K40" s="48" t="n">
        <f aca="false">IF(cu_P=1,N(INDEX(FC_O,1))*(1+N(INDEX(FC_g,1)))^6*COUNTIFS(Calculo!$F$14:$ES$14,7)*IF(INDEX(FC_Mon,1)="PYG",1/INDEX(TC_O,1,7)*(1+P_dTC),1)*IF(OR(N(INDEX(FC_Desde,1))=0,7&gt;=N(INDEX(FC_Desde,1))),1,0),N(INDEX(FC_V,1))*(1+N(INDEX(FC_g,1)))^6*COUNTIFS(Calculo!$F$170:$ES$170,7)*IF(INDEX(FC_Mon,1)="PYG",1/INDEX(TC_V,1,7)*(1+V_dTC),1)*IF(OR(N(INDEX(FC_Desde,1))=0,7&gt;=N(INDEX(FC_Desde,1))),1,0))</f>
        <v>23013.698630137</v>
      </c>
      <c r="L40" s="48" t="n">
        <f aca="false">IF(cu_P=1,N(INDEX(FC_O,1))*(1+N(INDEX(FC_g,1)))^7*COUNTIFS(Calculo!$F$14:$ES$14,8)*IF(INDEX(FC_Mon,1)="PYG",1/INDEX(TC_O,1,8)*(1+P_dTC),1)*IF(OR(N(INDEX(FC_Desde,1))=0,8&gt;=N(INDEX(FC_Desde,1))),1,0),N(INDEX(FC_V,1))*(1+N(INDEX(FC_g,1)))^7*COUNTIFS(Calculo!$F$170:$ES$170,8)*IF(INDEX(FC_Mon,1)="PYG",1/INDEX(TC_V,1,8)*(1+V_dTC),1)*IF(OR(N(INDEX(FC_Desde,1))=0,8&gt;=N(INDEX(FC_Desde,1))),1,0))</f>
        <v>23013.698630137</v>
      </c>
      <c r="M40" s="48" t="n">
        <f aca="false">IF(cu_P=1,N(INDEX(FC_O,1))*(1+N(INDEX(FC_g,1)))^8*COUNTIFS(Calculo!$F$14:$ES$14,9)*IF(INDEX(FC_Mon,1)="PYG",1/INDEX(TC_O,1,9)*(1+P_dTC),1)*IF(OR(N(INDEX(FC_Desde,1))=0,9&gt;=N(INDEX(FC_Desde,1))),1,0),N(INDEX(FC_V,1))*(1+N(INDEX(FC_g,1)))^8*COUNTIFS(Calculo!$F$170:$ES$170,9)*IF(INDEX(FC_Mon,1)="PYG",1/INDEX(TC_V,1,9)*(1+V_dTC),1)*IF(OR(N(INDEX(FC_Desde,1))=0,9&gt;=N(INDEX(FC_Desde,1))),1,0))</f>
        <v>23013.698630137</v>
      </c>
      <c r="N40" s="48" t="n">
        <f aca="false">IF(cu_P=1,N(INDEX(FC_O,1))*(1+N(INDEX(FC_g,1)))^9*COUNTIFS(Calculo!$F$14:$ES$14,10)*IF(INDEX(FC_Mon,1)="PYG",1/INDEX(TC_O,1,10)*(1+P_dTC),1)*IF(OR(N(INDEX(FC_Desde,1))=0,10&gt;=N(INDEX(FC_Desde,1))),1,0),N(INDEX(FC_V,1))*(1+N(INDEX(FC_g,1)))^9*COUNTIFS(Calculo!$F$170:$ES$170,10)*IF(INDEX(FC_Mon,1)="PYG",1/INDEX(TC_V,1,10)*(1+V_dTC),1)*IF(OR(N(INDEX(FC_Desde,1))=0,10&gt;=N(INDEX(FC_Desde,1))),1,0))</f>
        <v>23013.698630137</v>
      </c>
      <c r="O40" s="54" t="n">
        <f aca="false">SUM(D40:N40)</f>
        <v>230136.98630137</v>
      </c>
    </row>
    <row r="41" customFormat="false" ht="15" hidden="false" customHeight="false" outlineLevel="0" collapsed="false">
      <c r="A41" s="11" t="s">
        <v>2328</v>
      </c>
      <c r="B41" s="53" t="str">
        <f aca="false">IF(Costos!$B$76="","Concepto 2",Costos!$B$76&amp;" ("&amp;Costos!$C$76&amp;")")</f>
        <v>Mantenimiento y reparaciones planta (Producción)</v>
      </c>
      <c r="C41" s="11" t="s">
        <v>508</v>
      </c>
      <c r="D41" s="48" t="n">
        <f aca="false">IF(cu_P=1,N(INDEX(FC_O,2))*SUM(Calculo!$F$16:$ES$16)*IF(INDEX(FC_Mon,2)="PYG",1/INDEX(TC_O,1,1)*(1+P_dTC),1)*IF(N(INDEX(FC_Desde,2))=0,1,0),N(INDEX(FC_V,2))*SUM(Calculo!$F$172:$ES$172)*IF(INDEX(FC_Mon,2)="PYG",1/INDEX(TC_V,1,1)*(1+V_dTC),1)*IF(N(INDEX(FC_Desde,2))=0,1,0))</f>
        <v>0</v>
      </c>
      <c r="E41" s="48" t="n">
        <f aca="false">IF(cu_P=1,N(INDEX(FC_O,2))*(1+N(INDEX(FC_g,2)))^0*COUNTIFS(Calculo!$F$14:$ES$14,1)*IF(INDEX(FC_Mon,2)="PYG",1/INDEX(TC_O,1,1)*(1+P_dTC),1)*IF(OR(N(INDEX(FC_Desde,2))=0,1&gt;=N(INDEX(FC_Desde,2))),1,0),N(INDEX(FC_V,2))*(1+N(INDEX(FC_g,2)))^0*COUNTIFS(Calculo!$F$170:$ES$170,1)*IF(INDEX(FC_Mon,2)="PYG",1/INDEX(TC_V,1,1)*(1+V_dTC),1)*IF(OR(N(INDEX(FC_Desde,2))=0,1&gt;=N(INDEX(FC_Desde,2))),1,0))</f>
        <v>29708.04</v>
      </c>
      <c r="F41" s="48" t="n">
        <f aca="false">IF(cu_P=1,N(INDEX(FC_O,2))*(1+N(INDEX(FC_g,2)))^1*COUNTIFS(Calculo!$F$14:$ES$14,2)*IF(INDEX(FC_Mon,2)="PYG",1/INDEX(TC_O,1,2)*(1+P_dTC),1)*IF(OR(N(INDEX(FC_Desde,2))=0,2&gt;=N(INDEX(FC_Desde,2))),1,0),N(INDEX(FC_V,2))*(1+N(INDEX(FC_g,2)))^1*COUNTIFS(Calculo!$F$170:$ES$170,2)*IF(INDEX(FC_Mon,2)="PYG",1/INDEX(TC_V,1,2)*(1+V_dTC),1)*IF(OR(N(INDEX(FC_Desde,2))=0,2&gt;=N(INDEX(FC_Desde,2))),1,0))</f>
        <v>30302.2008</v>
      </c>
      <c r="G41" s="48" t="n">
        <f aca="false">IF(cu_P=1,N(INDEX(FC_O,2))*(1+N(INDEX(FC_g,2)))^2*COUNTIFS(Calculo!$F$14:$ES$14,3)*IF(INDEX(FC_Mon,2)="PYG",1/INDEX(TC_O,1,3)*(1+P_dTC),1)*IF(OR(N(INDEX(FC_Desde,2))=0,3&gt;=N(INDEX(FC_Desde,2))),1,0),N(INDEX(FC_V,2))*(1+N(INDEX(FC_g,2)))^2*COUNTIFS(Calculo!$F$170:$ES$170,3)*IF(INDEX(FC_Mon,2)="PYG",1/INDEX(TC_V,1,3)*(1+V_dTC),1)*IF(OR(N(INDEX(FC_Desde,2))=0,3&gt;=N(INDEX(FC_Desde,2))),1,0))</f>
        <v>30908.244816</v>
      </c>
      <c r="H41" s="48" t="n">
        <f aca="false">IF(cu_P=1,N(INDEX(FC_O,2))*(1+N(INDEX(FC_g,2)))^3*COUNTIFS(Calculo!$F$14:$ES$14,4)*IF(INDEX(FC_Mon,2)="PYG",1/INDEX(TC_O,1,4)*(1+P_dTC),1)*IF(OR(N(INDEX(FC_Desde,2))=0,4&gt;=N(INDEX(FC_Desde,2))),1,0),N(INDEX(FC_V,2))*(1+N(INDEX(FC_g,2)))^3*COUNTIFS(Calculo!$F$170:$ES$170,4)*IF(INDEX(FC_Mon,2)="PYG",1/INDEX(TC_V,1,4)*(1+V_dTC),1)*IF(OR(N(INDEX(FC_Desde,2))=0,4&gt;=N(INDEX(FC_Desde,2))),1,0))</f>
        <v>31526.40971232</v>
      </c>
      <c r="I41" s="48" t="n">
        <f aca="false">IF(cu_P=1,N(INDEX(FC_O,2))*(1+N(INDEX(FC_g,2)))^4*COUNTIFS(Calculo!$F$14:$ES$14,5)*IF(INDEX(FC_Mon,2)="PYG",1/INDEX(TC_O,1,5)*(1+P_dTC),1)*IF(OR(N(INDEX(FC_Desde,2))=0,5&gt;=N(INDEX(FC_Desde,2))),1,0),N(INDEX(FC_V,2))*(1+N(INDEX(FC_g,2)))^4*COUNTIFS(Calculo!$F$170:$ES$170,5)*IF(INDEX(FC_Mon,2)="PYG",1/INDEX(TC_V,1,5)*(1+V_dTC),1)*IF(OR(N(INDEX(FC_Desde,2))=0,5&gt;=N(INDEX(FC_Desde,2))),1,0))</f>
        <v>32156.9379065664</v>
      </c>
      <c r="J41" s="48" t="n">
        <f aca="false">IF(cu_P=1,N(INDEX(FC_O,2))*(1+N(INDEX(FC_g,2)))^5*COUNTIFS(Calculo!$F$14:$ES$14,6)*IF(INDEX(FC_Mon,2)="PYG",1/INDEX(TC_O,1,6)*(1+P_dTC),1)*IF(OR(N(INDEX(FC_Desde,2))=0,6&gt;=N(INDEX(FC_Desde,2))),1,0),N(INDEX(FC_V,2))*(1+N(INDEX(FC_g,2)))^5*COUNTIFS(Calculo!$F$170:$ES$170,6)*IF(INDEX(FC_Mon,2)="PYG",1/INDEX(TC_V,1,6)*(1+V_dTC),1)*IF(OR(N(INDEX(FC_Desde,2))=0,6&gt;=N(INDEX(FC_Desde,2))),1,0))</f>
        <v>32800.0766646977</v>
      </c>
      <c r="K41" s="48" t="n">
        <f aca="false">IF(cu_P=1,N(INDEX(FC_O,2))*(1+N(INDEX(FC_g,2)))^6*COUNTIFS(Calculo!$F$14:$ES$14,7)*IF(INDEX(FC_Mon,2)="PYG",1/INDEX(TC_O,1,7)*(1+P_dTC),1)*IF(OR(N(INDEX(FC_Desde,2))=0,7&gt;=N(INDEX(FC_Desde,2))),1,0),N(INDEX(FC_V,2))*(1+N(INDEX(FC_g,2)))^6*COUNTIFS(Calculo!$F$170:$ES$170,7)*IF(INDEX(FC_Mon,2)="PYG",1/INDEX(TC_V,1,7)*(1+V_dTC),1)*IF(OR(N(INDEX(FC_Desde,2))=0,7&gt;=N(INDEX(FC_Desde,2))),1,0))</f>
        <v>33456.0781979917</v>
      </c>
      <c r="L41" s="48" t="n">
        <f aca="false">IF(cu_P=1,N(INDEX(FC_O,2))*(1+N(INDEX(FC_g,2)))^7*COUNTIFS(Calculo!$F$14:$ES$14,8)*IF(INDEX(FC_Mon,2)="PYG",1/INDEX(TC_O,1,8)*(1+P_dTC),1)*IF(OR(N(INDEX(FC_Desde,2))=0,8&gt;=N(INDEX(FC_Desde,2))),1,0),N(INDEX(FC_V,2))*(1+N(INDEX(FC_g,2)))^7*COUNTIFS(Calculo!$F$170:$ES$170,8)*IF(INDEX(FC_Mon,2)="PYG",1/INDEX(TC_V,1,8)*(1+V_dTC),1)*IF(OR(N(INDEX(FC_Desde,2))=0,8&gt;=N(INDEX(FC_Desde,2))),1,0))</f>
        <v>34125.1997619515</v>
      </c>
      <c r="M41" s="48" t="n">
        <f aca="false">IF(cu_P=1,N(INDEX(FC_O,2))*(1+N(INDEX(FC_g,2)))^8*COUNTIFS(Calculo!$F$14:$ES$14,9)*IF(INDEX(FC_Mon,2)="PYG",1/INDEX(TC_O,1,9)*(1+P_dTC),1)*IF(OR(N(INDEX(FC_Desde,2))=0,9&gt;=N(INDEX(FC_Desde,2))),1,0),N(INDEX(FC_V,2))*(1+N(INDEX(FC_g,2)))^8*COUNTIFS(Calculo!$F$170:$ES$170,9)*IF(INDEX(FC_Mon,2)="PYG",1/INDEX(TC_V,1,9)*(1+V_dTC),1)*IF(OR(N(INDEX(FC_Desde,2))=0,9&gt;=N(INDEX(FC_Desde,2))),1,0))</f>
        <v>34807.7037571906</v>
      </c>
      <c r="N41" s="48" t="n">
        <f aca="false">IF(cu_P=1,N(INDEX(FC_O,2))*(1+N(INDEX(FC_g,2)))^9*COUNTIFS(Calculo!$F$14:$ES$14,10)*IF(INDEX(FC_Mon,2)="PYG",1/INDEX(TC_O,1,10)*(1+P_dTC),1)*IF(OR(N(INDEX(FC_Desde,2))=0,10&gt;=N(INDEX(FC_Desde,2))),1,0),N(INDEX(FC_V,2))*(1+N(INDEX(FC_g,2)))^9*COUNTIFS(Calculo!$F$170:$ES$170,10)*IF(INDEX(FC_Mon,2)="PYG",1/INDEX(TC_V,1,10)*(1+V_dTC),1)*IF(OR(N(INDEX(FC_Desde,2))=0,10&gt;=N(INDEX(FC_Desde,2))),1,0))</f>
        <v>35503.8578323344</v>
      </c>
      <c r="O41" s="54" t="n">
        <f aca="false">SUM(D41:N41)</f>
        <v>325294.749449052</v>
      </c>
    </row>
    <row r="42" customFormat="false" ht="15" hidden="false" customHeight="false" outlineLevel="0" collapsed="false">
      <c r="A42" s="11" t="s">
        <v>2329</v>
      </c>
      <c r="B42" s="53" t="str">
        <f aca="false">IF(Costos!$B$77="","Concepto 3",Costos!$B$77&amp;" ("&amp;Costos!$C$77&amp;")")</f>
        <v>Alquiler de nave (3.865 m2 x USD 4 + IVA) (Administración)</v>
      </c>
      <c r="C42" s="11" t="s">
        <v>508</v>
      </c>
      <c r="D42" s="48" t="n">
        <f aca="false">IF(cu_P=1,N(INDEX(FC_O,3))*SUM(Calculo!$F$16:$ES$16)*IF(INDEX(FC_Mon,3)="PYG",1/INDEX(TC_O,1,1)*(1+P_dTC),1)*IF(N(INDEX(FC_Desde,3))=0,1,0),N(INDEX(FC_V,3))*SUM(Calculo!$F$172:$ES$172)*IF(INDEX(FC_Mon,3)="PYG",1/INDEX(TC_V,1,1)*(1+V_dTC),1)*IF(N(INDEX(FC_Desde,3))=0,1,0))</f>
        <v>0</v>
      </c>
      <c r="E42" s="48" t="n">
        <f aca="false">IF(cu_P=1,N(INDEX(FC_O,3))*(1+N(INDEX(FC_g,3)))^0*COUNTIFS(Calculo!$F$14:$ES$14,1)*IF(INDEX(FC_Mon,3)="PYG",1/INDEX(TC_O,1,1)*(1+P_dTC),1)*IF(OR(N(INDEX(FC_Desde,3))=0,1&gt;=N(INDEX(FC_Desde,3))),1,0),N(INDEX(FC_V,3))*(1+N(INDEX(FC_g,3)))^0*COUNTIFS(Calculo!$F$170:$ES$170,1)*IF(INDEX(FC_Mon,3)="PYG",1/INDEX(TC_V,1,1)*(1+V_dTC),1)*IF(OR(N(INDEX(FC_Desde,3))=0,1&gt;=N(INDEX(FC_Desde,3))),1,0))</f>
        <v>204072</v>
      </c>
      <c r="F42" s="48" t="n">
        <f aca="false">IF(cu_P=1,N(INDEX(FC_O,3))*(1+N(INDEX(FC_g,3)))^1*COUNTIFS(Calculo!$F$14:$ES$14,2)*IF(INDEX(FC_Mon,3)="PYG",1/INDEX(TC_O,1,2)*(1+P_dTC),1)*IF(OR(N(INDEX(FC_Desde,3))=0,2&gt;=N(INDEX(FC_Desde,3))),1,0),N(INDEX(FC_V,3))*(1+N(INDEX(FC_g,3)))^1*COUNTIFS(Calculo!$F$170:$ES$170,2)*IF(INDEX(FC_Mon,3)="PYG",1/INDEX(TC_V,1,2)*(1+V_dTC),1)*IF(OR(N(INDEX(FC_Desde,3))=0,2&gt;=N(INDEX(FC_Desde,3))),1,0))</f>
        <v>210194.16</v>
      </c>
      <c r="G42" s="48" t="n">
        <f aca="false">IF(cu_P=1,N(INDEX(FC_O,3))*(1+N(INDEX(FC_g,3)))^2*COUNTIFS(Calculo!$F$14:$ES$14,3)*IF(INDEX(FC_Mon,3)="PYG",1/INDEX(TC_O,1,3)*(1+P_dTC),1)*IF(OR(N(INDEX(FC_Desde,3))=0,3&gt;=N(INDEX(FC_Desde,3))),1,0),N(INDEX(FC_V,3))*(1+N(INDEX(FC_g,3)))^2*COUNTIFS(Calculo!$F$170:$ES$170,3)*IF(INDEX(FC_Mon,3)="PYG",1/INDEX(TC_V,1,3)*(1+V_dTC),1)*IF(OR(N(INDEX(FC_Desde,3))=0,3&gt;=N(INDEX(FC_Desde,3))),1,0))</f>
        <v>216499.9848</v>
      </c>
      <c r="H42" s="48" t="n">
        <f aca="false">IF(cu_P=1,N(INDEX(FC_O,3))*(1+N(INDEX(FC_g,3)))^3*COUNTIFS(Calculo!$F$14:$ES$14,4)*IF(INDEX(FC_Mon,3)="PYG",1/INDEX(TC_O,1,4)*(1+P_dTC),1)*IF(OR(N(INDEX(FC_Desde,3))=0,4&gt;=N(INDEX(FC_Desde,3))),1,0),N(INDEX(FC_V,3))*(1+N(INDEX(FC_g,3)))^3*COUNTIFS(Calculo!$F$170:$ES$170,4)*IF(INDEX(FC_Mon,3)="PYG",1/INDEX(TC_V,1,4)*(1+V_dTC),1)*IF(OR(N(INDEX(FC_Desde,3))=0,4&gt;=N(INDEX(FC_Desde,3))),1,0))</f>
        <v>222994.984344</v>
      </c>
      <c r="I42" s="48" t="n">
        <f aca="false">IF(cu_P=1,N(INDEX(FC_O,3))*(1+N(INDEX(FC_g,3)))^4*COUNTIFS(Calculo!$F$14:$ES$14,5)*IF(INDEX(FC_Mon,3)="PYG",1/INDEX(TC_O,1,5)*(1+P_dTC),1)*IF(OR(N(INDEX(FC_Desde,3))=0,5&gt;=N(INDEX(FC_Desde,3))),1,0),N(INDEX(FC_V,3))*(1+N(INDEX(FC_g,3)))^4*COUNTIFS(Calculo!$F$170:$ES$170,5)*IF(INDEX(FC_Mon,3)="PYG",1/INDEX(TC_V,1,5)*(1+V_dTC),1)*IF(OR(N(INDEX(FC_Desde,3))=0,5&gt;=N(INDEX(FC_Desde,3))),1,0))</f>
        <v>229684.83387432</v>
      </c>
      <c r="J42" s="48" t="n">
        <f aca="false">IF(cu_P=1,N(INDEX(FC_O,3))*(1+N(INDEX(FC_g,3)))^5*COUNTIFS(Calculo!$F$14:$ES$14,6)*IF(INDEX(FC_Mon,3)="PYG",1/INDEX(TC_O,1,6)*(1+P_dTC),1)*IF(OR(N(INDEX(FC_Desde,3))=0,6&gt;=N(INDEX(FC_Desde,3))),1,0),N(INDEX(FC_V,3))*(1+N(INDEX(FC_g,3)))^5*COUNTIFS(Calculo!$F$170:$ES$170,6)*IF(INDEX(FC_Mon,3)="PYG",1/INDEX(TC_V,1,6)*(1+V_dTC),1)*IF(OR(N(INDEX(FC_Desde,3))=0,6&gt;=N(INDEX(FC_Desde,3))),1,0))</f>
        <v>236575.37889055</v>
      </c>
      <c r="K42" s="48" t="n">
        <f aca="false">IF(cu_P=1,N(INDEX(FC_O,3))*(1+N(INDEX(FC_g,3)))^6*COUNTIFS(Calculo!$F$14:$ES$14,7)*IF(INDEX(FC_Mon,3)="PYG",1/INDEX(TC_O,1,7)*(1+P_dTC),1)*IF(OR(N(INDEX(FC_Desde,3))=0,7&gt;=N(INDEX(FC_Desde,3))),1,0),N(INDEX(FC_V,3))*(1+N(INDEX(FC_g,3)))^6*COUNTIFS(Calculo!$F$170:$ES$170,7)*IF(INDEX(FC_Mon,3)="PYG",1/INDEX(TC_V,1,7)*(1+V_dTC),1)*IF(OR(N(INDEX(FC_Desde,3))=0,7&gt;=N(INDEX(FC_Desde,3))),1,0))</f>
        <v>243672.640257266</v>
      </c>
      <c r="L42" s="48" t="n">
        <f aca="false">IF(cu_P=1,N(INDEX(FC_O,3))*(1+N(INDEX(FC_g,3)))^7*COUNTIFS(Calculo!$F$14:$ES$14,8)*IF(INDEX(FC_Mon,3)="PYG",1/INDEX(TC_O,1,8)*(1+P_dTC),1)*IF(OR(N(INDEX(FC_Desde,3))=0,8&gt;=N(INDEX(FC_Desde,3))),1,0),N(INDEX(FC_V,3))*(1+N(INDEX(FC_g,3)))^7*COUNTIFS(Calculo!$F$170:$ES$170,8)*IF(INDEX(FC_Mon,3)="PYG",1/INDEX(TC_V,1,8)*(1+V_dTC),1)*IF(OR(N(INDEX(FC_Desde,3))=0,8&gt;=N(INDEX(FC_Desde,3))),1,0))</f>
        <v>250982.819464984</v>
      </c>
      <c r="M42" s="48" t="n">
        <f aca="false">IF(cu_P=1,N(INDEX(FC_O,3))*(1+N(INDEX(FC_g,3)))^8*COUNTIFS(Calculo!$F$14:$ES$14,9)*IF(INDEX(FC_Mon,3)="PYG",1/INDEX(TC_O,1,9)*(1+P_dTC),1)*IF(OR(N(INDEX(FC_Desde,3))=0,9&gt;=N(INDEX(FC_Desde,3))),1,0),N(INDEX(FC_V,3))*(1+N(INDEX(FC_g,3)))^8*COUNTIFS(Calculo!$F$170:$ES$170,9)*IF(INDEX(FC_Mon,3)="PYG",1/INDEX(TC_V,1,9)*(1+V_dTC),1)*IF(OR(N(INDEX(FC_Desde,3))=0,9&gt;=N(INDEX(FC_Desde,3))),1,0))</f>
        <v>258512.304048934</v>
      </c>
      <c r="N42" s="48" t="n">
        <f aca="false">IF(cu_P=1,N(INDEX(FC_O,3))*(1+N(INDEX(FC_g,3)))^9*COUNTIFS(Calculo!$F$14:$ES$14,10)*IF(INDEX(FC_Mon,3)="PYG",1/INDEX(TC_O,1,10)*(1+P_dTC),1)*IF(OR(N(INDEX(FC_Desde,3))=0,10&gt;=N(INDEX(FC_Desde,3))),1,0),N(INDEX(FC_V,3))*(1+N(INDEX(FC_g,3)))^9*COUNTIFS(Calculo!$F$170:$ES$170,10)*IF(INDEX(FC_Mon,3)="PYG",1/INDEX(TC_V,1,10)*(1+V_dTC),1)*IF(OR(N(INDEX(FC_Desde,3))=0,10&gt;=N(INDEX(FC_Desde,3))),1,0))</f>
        <v>266267.673170402</v>
      </c>
      <c r="O42" s="54" t="n">
        <f aca="false">SUM(D42:N42)</f>
        <v>2339456.77885046</v>
      </c>
    </row>
    <row r="43" customFormat="false" ht="15" hidden="false" customHeight="false" outlineLevel="0" collapsed="false">
      <c r="A43" s="11" t="s">
        <v>2330</v>
      </c>
      <c r="B43" s="53" t="str">
        <f aca="false">IF(Costos!$B$78="","Concepto 4",Costos!$B$78&amp;" ("&amp;Costos!$C$78&amp;")")</f>
        <v>Expensas (USD 0,20/m2) (Administración)</v>
      </c>
      <c r="C43" s="11" t="s">
        <v>508</v>
      </c>
      <c r="D43" s="48" t="n">
        <f aca="false">IF(cu_P=1,N(INDEX(FC_O,4))*SUM(Calculo!$F$16:$ES$16)*IF(INDEX(FC_Mon,4)="PYG",1/INDEX(TC_O,1,1)*(1+P_dTC),1)*IF(N(INDEX(FC_Desde,4))=0,1,0),N(INDEX(FC_V,4))*SUM(Calculo!$F$172:$ES$172)*IF(INDEX(FC_Mon,4)="PYG",1/INDEX(TC_V,1,1)*(1+V_dTC),1)*IF(N(INDEX(FC_Desde,4))=0,1,0))</f>
        <v>0</v>
      </c>
      <c r="E43" s="48" t="n">
        <f aca="false">IF(cu_P=1,N(INDEX(FC_O,4))*(1+N(INDEX(FC_g,4)))^0*COUNTIFS(Calculo!$F$14:$ES$14,1)*IF(INDEX(FC_Mon,4)="PYG",1/INDEX(TC_O,1,1)*(1+P_dTC),1)*IF(OR(N(INDEX(FC_Desde,4))=0,1&gt;=N(INDEX(FC_Desde,4))),1,0),N(INDEX(FC_V,4))*(1+N(INDEX(FC_g,4)))^0*COUNTIFS(Calculo!$F$170:$ES$170,1)*IF(INDEX(FC_Mon,4)="PYG",1/INDEX(TC_V,1,1)*(1+V_dTC),1)*IF(OR(N(INDEX(FC_Desde,4))=0,1&gt;=N(INDEX(FC_Desde,4))),1,0))</f>
        <v>9276</v>
      </c>
      <c r="F43" s="48" t="n">
        <f aca="false">IF(cu_P=1,N(INDEX(FC_O,4))*(1+N(INDEX(FC_g,4)))^1*COUNTIFS(Calculo!$F$14:$ES$14,2)*IF(INDEX(FC_Mon,4)="PYG",1/INDEX(TC_O,1,2)*(1+P_dTC),1)*IF(OR(N(INDEX(FC_Desde,4))=0,2&gt;=N(INDEX(FC_Desde,4))),1,0),N(INDEX(FC_V,4))*(1+N(INDEX(FC_g,4)))^1*COUNTIFS(Calculo!$F$170:$ES$170,2)*IF(INDEX(FC_Mon,4)="PYG",1/INDEX(TC_V,1,2)*(1+V_dTC),1)*IF(OR(N(INDEX(FC_Desde,4))=0,2&gt;=N(INDEX(FC_Desde,4))),1,0))</f>
        <v>9554.28</v>
      </c>
      <c r="G43" s="48" t="n">
        <f aca="false">IF(cu_P=1,N(INDEX(FC_O,4))*(1+N(INDEX(FC_g,4)))^2*COUNTIFS(Calculo!$F$14:$ES$14,3)*IF(INDEX(FC_Mon,4)="PYG",1/INDEX(TC_O,1,3)*(1+P_dTC),1)*IF(OR(N(INDEX(FC_Desde,4))=0,3&gt;=N(INDEX(FC_Desde,4))),1,0),N(INDEX(FC_V,4))*(1+N(INDEX(FC_g,4)))^2*COUNTIFS(Calculo!$F$170:$ES$170,3)*IF(INDEX(FC_Mon,4)="PYG",1/INDEX(TC_V,1,3)*(1+V_dTC),1)*IF(OR(N(INDEX(FC_Desde,4))=0,3&gt;=N(INDEX(FC_Desde,4))),1,0))</f>
        <v>9840.9084</v>
      </c>
      <c r="H43" s="48" t="n">
        <f aca="false">IF(cu_P=1,N(INDEX(FC_O,4))*(1+N(INDEX(FC_g,4)))^3*COUNTIFS(Calculo!$F$14:$ES$14,4)*IF(INDEX(FC_Mon,4)="PYG",1/INDEX(TC_O,1,4)*(1+P_dTC),1)*IF(OR(N(INDEX(FC_Desde,4))=0,4&gt;=N(INDEX(FC_Desde,4))),1,0),N(INDEX(FC_V,4))*(1+N(INDEX(FC_g,4)))^3*COUNTIFS(Calculo!$F$170:$ES$170,4)*IF(INDEX(FC_Mon,4)="PYG",1/INDEX(TC_V,1,4)*(1+V_dTC),1)*IF(OR(N(INDEX(FC_Desde,4))=0,4&gt;=N(INDEX(FC_Desde,4))),1,0))</f>
        <v>10136.135652</v>
      </c>
      <c r="I43" s="48" t="n">
        <f aca="false">IF(cu_P=1,N(INDEX(FC_O,4))*(1+N(INDEX(FC_g,4)))^4*COUNTIFS(Calculo!$F$14:$ES$14,5)*IF(INDEX(FC_Mon,4)="PYG",1/INDEX(TC_O,1,5)*(1+P_dTC),1)*IF(OR(N(INDEX(FC_Desde,4))=0,5&gt;=N(INDEX(FC_Desde,4))),1,0),N(INDEX(FC_V,4))*(1+N(INDEX(FC_g,4)))^4*COUNTIFS(Calculo!$F$170:$ES$170,5)*IF(INDEX(FC_Mon,4)="PYG",1/INDEX(TC_V,1,5)*(1+V_dTC),1)*IF(OR(N(INDEX(FC_Desde,4))=0,5&gt;=N(INDEX(FC_Desde,4))),1,0))</f>
        <v>10440.21972156</v>
      </c>
      <c r="J43" s="48" t="n">
        <f aca="false">IF(cu_P=1,N(INDEX(FC_O,4))*(1+N(INDEX(FC_g,4)))^5*COUNTIFS(Calculo!$F$14:$ES$14,6)*IF(INDEX(FC_Mon,4)="PYG",1/INDEX(TC_O,1,6)*(1+P_dTC),1)*IF(OR(N(INDEX(FC_Desde,4))=0,6&gt;=N(INDEX(FC_Desde,4))),1,0),N(INDEX(FC_V,4))*(1+N(INDEX(FC_g,4)))^5*COUNTIFS(Calculo!$F$170:$ES$170,6)*IF(INDEX(FC_Mon,4)="PYG",1/INDEX(TC_V,1,6)*(1+V_dTC),1)*IF(OR(N(INDEX(FC_Desde,4))=0,6&gt;=N(INDEX(FC_Desde,4))),1,0))</f>
        <v>10753.4263132068</v>
      </c>
      <c r="K43" s="48" t="n">
        <f aca="false">IF(cu_P=1,N(INDEX(FC_O,4))*(1+N(INDEX(FC_g,4)))^6*COUNTIFS(Calculo!$F$14:$ES$14,7)*IF(INDEX(FC_Mon,4)="PYG",1/INDEX(TC_O,1,7)*(1+P_dTC),1)*IF(OR(N(INDEX(FC_Desde,4))=0,7&gt;=N(INDEX(FC_Desde,4))),1,0),N(INDEX(FC_V,4))*(1+N(INDEX(FC_g,4)))^6*COUNTIFS(Calculo!$F$170:$ES$170,7)*IF(INDEX(FC_Mon,4)="PYG",1/INDEX(TC_V,1,7)*(1+V_dTC),1)*IF(OR(N(INDEX(FC_Desde,4))=0,7&gt;=N(INDEX(FC_Desde,4))),1,0))</f>
        <v>11076.029102603</v>
      </c>
      <c r="L43" s="48" t="n">
        <f aca="false">IF(cu_P=1,N(INDEX(FC_O,4))*(1+N(INDEX(FC_g,4)))^7*COUNTIFS(Calculo!$F$14:$ES$14,8)*IF(INDEX(FC_Mon,4)="PYG",1/INDEX(TC_O,1,8)*(1+P_dTC),1)*IF(OR(N(INDEX(FC_Desde,4))=0,8&gt;=N(INDEX(FC_Desde,4))),1,0),N(INDEX(FC_V,4))*(1+N(INDEX(FC_g,4)))^7*COUNTIFS(Calculo!$F$170:$ES$170,8)*IF(INDEX(FC_Mon,4)="PYG",1/INDEX(TC_V,1,8)*(1+V_dTC),1)*IF(OR(N(INDEX(FC_Desde,4))=0,8&gt;=N(INDEX(FC_Desde,4))),1,0))</f>
        <v>11408.3099756811</v>
      </c>
      <c r="M43" s="48" t="n">
        <f aca="false">IF(cu_P=1,N(INDEX(FC_O,4))*(1+N(INDEX(FC_g,4)))^8*COUNTIFS(Calculo!$F$14:$ES$14,9)*IF(INDEX(FC_Mon,4)="PYG",1/INDEX(TC_O,1,9)*(1+P_dTC),1)*IF(OR(N(INDEX(FC_Desde,4))=0,9&gt;=N(INDEX(FC_Desde,4))),1,0),N(INDEX(FC_V,4))*(1+N(INDEX(FC_g,4)))^8*COUNTIFS(Calculo!$F$170:$ES$170,9)*IF(INDEX(FC_Mon,4)="PYG",1/INDEX(TC_V,1,9)*(1+V_dTC),1)*IF(OR(N(INDEX(FC_Desde,4))=0,9&gt;=N(INDEX(FC_Desde,4))),1,0))</f>
        <v>11750.5592749515</v>
      </c>
      <c r="N43" s="48" t="n">
        <f aca="false">IF(cu_P=1,N(INDEX(FC_O,4))*(1+N(INDEX(FC_g,4)))^9*COUNTIFS(Calculo!$F$14:$ES$14,10)*IF(INDEX(FC_Mon,4)="PYG",1/INDEX(TC_O,1,10)*(1+P_dTC),1)*IF(OR(N(INDEX(FC_Desde,4))=0,10&gt;=N(INDEX(FC_Desde,4))),1,0),N(INDEX(FC_V,4))*(1+N(INDEX(FC_g,4)))^9*COUNTIFS(Calculo!$F$170:$ES$170,10)*IF(INDEX(FC_Mon,4)="PYG",1/INDEX(TC_V,1,10)*(1+V_dTC),1)*IF(OR(N(INDEX(FC_Desde,4))=0,10&gt;=N(INDEX(FC_Desde,4))),1,0))</f>
        <v>12103.0760532001</v>
      </c>
      <c r="O43" s="54" t="n">
        <f aca="false">SUM(D43:N43)</f>
        <v>106338.944493203</v>
      </c>
    </row>
    <row r="44" customFormat="false" ht="15" hidden="false" customHeight="false" outlineLevel="0" collapsed="false">
      <c r="A44" s="11" t="s">
        <v>2331</v>
      </c>
      <c r="B44" s="53" t="str">
        <f aca="false">IF(Costos!$B$79="","Concepto 5",Costos!$B$79&amp;" ("&amp;Costos!$C$79&amp;")")</f>
        <v>Agua, comunicaciones y electricidad (Administración)</v>
      </c>
      <c r="C44" s="11" t="s">
        <v>508</v>
      </c>
      <c r="D44" s="48" t="n">
        <f aca="false">IF(cu_P=1,N(INDEX(FC_O,5))*SUM(Calculo!$F$16:$ES$16)*IF(INDEX(FC_Mon,5)="PYG",1/INDEX(TC_O,1,1)*(1+P_dTC),1)*IF(N(INDEX(FC_Desde,5))=0,1,0),N(INDEX(FC_V,5))*SUM(Calculo!$F$172:$ES$172)*IF(INDEX(FC_Mon,5)="PYG",1/INDEX(TC_V,1,1)*(1+V_dTC),1)*IF(N(INDEX(FC_Desde,5))=0,1,0))</f>
        <v>0</v>
      </c>
      <c r="E44" s="48" t="n">
        <f aca="false">IF(cu_P=1,N(INDEX(FC_O,5))*(1+N(INDEX(FC_g,5)))^0*COUNTIFS(Calculo!$F$14:$ES$14,1)*IF(INDEX(FC_Mon,5)="PYG",1/INDEX(TC_O,1,1)*(1+P_dTC),1)*IF(OR(N(INDEX(FC_Desde,5))=0,1&gt;=N(INDEX(FC_Desde,5))),1,0),N(INDEX(FC_V,5))*(1+N(INDEX(FC_g,5)))^0*COUNTIFS(Calculo!$F$170:$ES$170,1)*IF(INDEX(FC_Mon,5)="PYG",1/INDEX(TC_V,1,1)*(1+V_dTC),1)*IF(OR(N(INDEX(FC_Desde,5))=0,1&gt;=N(INDEX(FC_Desde,5))),1,0))</f>
        <v>1232.87671232877</v>
      </c>
      <c r="F44" s="48" t="n">
        <f aca="false">IF(cu_P=1,N(INDEX(FC_O,5))*(1+N(INDEX(FC_g,5)))^1*COUNTIFS(Calculo!$F$14:$ES$14,2)*IF(INDEX(FC_Mon,5)="PYG",1/INDEX(TC_O,1,2)*(1+P_dTC),1)*IF(OR(N(INDEX(FC_Desde,5))=0,2&gt;=N(INDEX(FC_Desde,5))),1,0),N(INDEX(FC_V,5))*(1+N(INDEX(FC_g,5)))^1*COUNTIFS(Calculo!$F$170:$ES$170,2)*IF(INDEX(FC_Mon,5)="PYG",1/INDEX(TC_V,1,2)*(1+V_dTC),1)*IF(OR(N(INDEX(FC_Desde,5))=0,2&gt;=N(INDEX(FC_Desde,5))),1,0))</f>
        <v>1232.87671232877</v>
      </c>
      <c r="G44" s="48" t="n">
        <f aca="false">IF(cu_P=1,N(INDEX(FC_O,5))*(1+N(INDEX(FC_g,5)))^2*COUNTIFS(Calculo!$F$14:$ES$14,3)*IF(INDEX(FC_Mon,5)="PYG",1/INDEX(TC_O,1,3)*(1+P_dTC),1)*IF(OR(N(INDEX(FC_Desde,5))=0,3&gt;=N(INDEX(FC_Desde,5))),1,0),N(INDEX(FC_V,5))*(1+N(INDEX(FC_g,5)))^2*COUNTIFS(Calculo!$F$170:$ES$170,3)*IF(INDEX(FC_Mon,5)="PYG",1/INDEX(TC_V,1,3)*(1+V_dTC),1)*IF(OR(N(INDEX(FC_Desde,5))=0,3&gt;=N(INDEX(FC_Desde,5))),1,0))</f>
        <v>1232.87671232877</v>
      </c>
      <c r="H44" s="48" t="n">
        <f aca="false">IF(cu_P=1,N(INDEX(FC_O,5))*(1+N(INDEX(FC_g,5)))^3*COUNTIFS(Calculo!$F$14:$ES$14,4)*IF(INDEX(FC_Mon,5)="PYG",1/INDEX(TC_O,1,4)*(1+P_dTC),1)*IF(OR(N(INDEX(FC_Desde,5))=0,4&gt;=N(INDEX(FC_Desde,5))),1,0),N(INDEX(FC_V,5))*(1+N(INDEX(FC_g,5)))^3*COUNTIFS(Calculo!$F$170:$ES$170,4)*IF(INDEX(FC_Mon,5)="PYG",1/INDEX(TC_V,1,4)*(1+V_dTC),1)*IF(OR(N(INDEX(FC_Desde,5))=0,4&gt;=N(INDEX(FC_Desde,5))),1,0))</f>
        <v>1232.87671232877</v>
      </c>
      <c r="I44" s="48" t="n">
        <f aca="false">IF(cu_P=1,N(INDEX(FC_O,5))*(1+N(INDEX(FC_g,5)))^4*COUNTIFS(Calculo!$F$14:$ES$14,5)*IF(INDEX(FC_Mon,5)="PYG",1/INDEX(TC_O,1,5)*(1+P_dTC),1)*IF(OR(N(INDEX(FC_Desde,5))=0,5&gt;=N(INDEX(FC_Desde,5))),1,0),N(INDEX(FC_V,5))*(1+N(INDEX(FC_g,5)))^4*COUNTIFS(Calculo!$F$170:$ES$170,5)*IF(INDEX(FC_Mon,5)="PYG",1/INDEX(TC_V,1,5)*(1+V_dTC),1)*IF(OR(N(INDEX(FC_Desde,5))=0,5&gt;=N(INDEX(FC_Desde,5))),1,0))</f>
        <v>1232.87671232877</v>
      </c>
      <c r="J44" s="48" t="n">
        <f aca="false">IF(cu_P=1,N(INDEX(FC_O,5))*(1+N(INDEX(FC_g,5)))^5*COUNTIFS(Calculo!$F$14:$ES$14,6)*IF(INDEX(FC_Mon,5)="PYG",1/INDEX(TC_O,1,6)*(1+P_dTC),1)*IF(OR(N(INDEX(FC_Desde,5))=0,6&gt;=N(INDEX(FC_Desde,5))),1,0),N(INDEX(FC_V,5))*(1+N(INDEX(FC_g,5)))^5*COUNTIFS(Calculo!$F$170:$ES$170,6)*IF(INDEX(FC_Mon,5)="PYG",1/INDEX(TC_V,1,6)*(1+V_dTC),1)*IF(OR(N(INDEX(FC_Desde,5))=0,6&gt;=N(INDEX(FC_Desde,5))),1,0))</f>
        <v>1232.87671232877</v>
      </c>
      <c r="K44" s="48" t="n">
        <f aca="false">IF(cu_P=1,N(INDEX(FC_O,5))*(1+N(INDEX(FC_g,5)))^6*COUNTIFS(Calculo!$F$14:$ES$14,7)*IF(INDEX(FC_Mon,5)="PYG",1/INDEX(TC_O,1,7)*(1+P_dTC),1)*IF(OR(N(INDEX(FC_Desde,5))=0,7&gt;=N(INDEX(FC_Desde,5))),1,0),N(INDEX(FC_V,5))*(1+N(INDEX(FC_g,5)))^6*COUNTIFS(Calculo!$F$170:$ES$170,7)*IF(INDEX(FC_Mon,5)="PYG",1/INDEX(TC_V,1,7)*(1+V_dTC),1)*IF(OR(N(INDEX(FC_Desde,5))=0,7&gt;=N(INDEX(FC_Desde,5))),1,0))</f>
        <v>1232.87671232877</v>
      </c>
      <c r="L44" s="48" t="n">
        <f aca="false">IF(cu_P=1,N(INDEX(FC_O,5))*(1+N(INDEX(FC_g,5)))^7*COUNTIFS(Calculo!$F$14:$ES$14,8)*IF(INDEX(FC_Mon,5)="PYG",1/INDEX(TC_O,1,8)*(1+P_dTC),1)*IF(OR(N(INDEX(FC_Desde,5))=0,8&gt;=N(INDEX(FC_Desde,5))),1,0),N(INDEX(FC_V,5))*(1+N(INDEX(FC_g,5)))^7*COUNTIFS(Calculo!$F$170:$ES$170,8)*IF(INDEX(FC_Mon,5)="PYG",1/INDEX(TC_V,1,8)*(1+V_dTC),1)*IF(OR(N(INDEX(FC_Desde,5))=0,8&gt;=N(INDEX(FC_Desde,5))),1,0))</f>
        <v>1232.87671232877</v>
      </c>
      <c r="M44" s="48" t="n">
        <f aca="false">IF(cu_P=1,N(INDEX(FC_O,5))*(1+N(INDEX(FC_g,5)))^8*COUNTIFS(Calculo!$F$14:$ES$14,9)*IF(INDEX(FC_Mon,5)="PYG",1/INDEX(TC_O,1,9)*(1+P_dTC),1)*IF(OR(N(INDEX(FC_Desde,5))=0,9&gt;=N(INDEX(FC_Desde,5))),1,0),N(INDEX(FC_V,5))*(1+N(INDEX(FC_g,5)))^8*COUNTIFS(Calculo!$F$170:$ES$170,9)*IF(INDEX(FC_Mon,5)="PYG",1/INDEX(TC_V,1,9)*(1+V_dTC),1)*IF(OR(N(INDEX(FC_Desde,5))=0,9&gt;=N(INDEX(FC_Desde,5))),1,0))</f>
        <v>1232.87671232877</v>
      </c>
      <c r="N44" s="48" t="n">
        <f aca="false">IF(cu_P=1,N(INDEX(FC_O,5))*(1+N(INDEX(FC_g,5)))^9*COUNTIFS(Calculo!$F$14:$ES$14,10)*IF(INDEX(FC_Mon,5)="PYG",1/INDEX(TC_O,1,10)*(1+P_dTC),1)*IF(OR(N(INDEX(FC_Desde,5))=0,10&gt;=N(INDEX(FC_Desde,5))),1,0),N(INDEX(FC_V,5))*(1+N(INDEX(FC_g,5)))^9*COUNTIFS(Calculo!$F$170:$ES$170,10)*IF(INDEX(FC_Mon,5)="PYG",1/INDEX(TC_V,1,10)*(1+V_dTC),1)*IF(OR(N(INDEX(FC_Desde,5))=0,10&gt;=N(INDEX(FC_Desde,5))),1,0))</f>
        <v>1232.87671232877</v>
      </c>
      <c r="O44" s="54" t="n">
        <f aca="false">SUM(D44:N44)</f>
        <v>12328.7671232877</v>
      </c>
    </row>
    <row r="45" customFormat="false" ht="15" hidden="false" customHeight="false" outlineLevel="0" collapsed="false">
      <c r="A45" s="11" t="s">
        <v>2332</v>
      </c>
      <c r="B45" s="53" t="str">
        <f aca="false">IF(Costos!$B$80="","Concepto 6",Costos!$B$80&amp;" ("&amp;Costos!$C$80&amp;")")</f>
        <v>Mantenimiento y reparaciones adm. (Administración)</v>
      </c>
      <c r="C45" s="11" t="s">
        <v>508</v>
      </c>
      <c r="D45" s="48" t="n">
        <f aca="false">IF(cu_P=1,N(INDEX(FC_O,6))*SUM(Calculo!$F$16:$ES$16)*IF(INDEX(FC_Mon,6)="PYG",1/INDEX(TC_O,1,1)*(1+P_dTC),1)*IF(N(INDEX(FC_Desde,6))=0,1,0),N(INDEX(FC_V,6))*SUM(Calculo!$F$172:$ES$172)*IF(INDEX(FC_Mon,6)="PYG",1/INDEX(TC_V,1,1)*(1+V_dTC),1)*IF(N(INDEX(FC_Desde,6))=0,1,0))</f>
        <v>0</v>
      </c>
      <c r="E45" s="48" t="n">
        <f aca="false">IF(cu_P=1,N(INDEX(FC_O,6))*(1+N(INDEX(FC_g,6)))^0*COUNTIFS(Calculo!$F$14:$ES$14,1)*IF(INDEX(FC_Mon,6)="PYG",1/INDEX(TC_O,1,1)*(1+P_dTC),1)*IF(OR(N(INDEX(FC_Desde,6))=0,1&gt;=N(INDEX(FC_Desde,6))),1,0),N(INDEX(FC_V,6))*(1+N(INDEX(FC_g,6)))^0*COUNTIFS(Calculo!$F$170:$ES$170,1)*IF(INDEX(FC_Mon,6)="PYG",1/INDEX(TC_V,1,1)*(1+V_dTC),1)*IF(OR(N(INDEX(FC_Desde,6))=0,1&gt;=N(INDEX(FC_Desde,6))),1,0))</f>
        <v>4931.50684931507</v>
      </c>
      <c r="F45" s="48" t="n">
        <f aca="false">IF(cu_P=1,N(INDEX(FC_O,6))*(1+N(INDEX(FC_g,6)))^1*COUNTIFS(Calculo!$F$14:$ES$14,2)*IF(INDEX(FC_Mon,6)="PYG",1/INDEX(TC_O,1,2)*(1+P_dTC),1)*IF(OR(N(INDEX(FC_Desde,6))=0,2&gt;=N(INDEX(FC_Desde,6))),1,0),N(INDEX(FC_V,6))*(1+N(INDEX(FC_g,6)))^1*COUNTIFS(Calculo!$F$170:$ES$170,2)*IF(INDEX(FC_Mon,6)="PYG",1/INDEX(TC_V,1,2)*(1+V_dTC),1)*IF(OR(N(INDEX(FC_Desde,6))=0,2&gt;=N(INDEX(FC_Desde,6))),1,0))</f>
        <v>4931.50684931507</v>
      </c>
      <c r="G45" s="48" t="n">
        <f aca="false">IF(cu_P=1,N(INDEX(FC_O,6))*(1+N(INDEX(FC_g,6)))^2*COUNTIFS(Calculo!$F$14:$ES$14,3)*IF(INDEX(FC_Mon,6)="PYG",1/INDEX(TC_O,1,3)*(1+P_dTC),1)*IF(OR(N(INDEX(FC_Desde,6))=0,3&gt;=N(INDEX(FC_Desde,6))),1,0),N(INDEX(FC_V,6))*(1+N(INDEX(FC_g,6)))^2*COUNTIFS(Calculo!$F$170:$ES$170,3)*IF(INDEX(FC_Mon,6)="PYG",1/INDEX(TC_V,1,3)*(1+V_dTC),1)*IF(OR(N(INDEX(FC_Desde,6))=0,3&gt;=N(INDEX(FC_Desde,6))),1,0))</f>
        <v>4931.50684931507</v>
      </c>
      <c r="H45" s="48" t="n">
        <f aca="false">IF(cu_P=1,N(INDEX(FC_O,6))*(1+N(INDEX(FC_g,6)))^3*COUNTIFS(Calculo!$F$14:$ES$14,4)*IF(INDEX(FC_Mon,6)="PYG",1/INDEX(TC_O,1,4)*(1+P_dTC),1)*IF(OR(N(INDEX(FC_Desde,6))=0,4&gt;=N(INDEX(FC_Desde,6))),1,0),N(INDEX(FC_V,6))*(1+N(INDEX(FC_g,6)))^3*COUNTIFS(Calculo!$F$170:$ES$170,4)*IF(INDEX(FC_Mon,6)="PYG",1/INDEX(TC_V,1,4)*(1+V_dTC),1)*IF(OR(N(INDEX(FC_Desde,6))=0,4&gt;=N(INDEX(FC_Desde,6))),1,0))</f>
        <v>4931.50684931507</v>
      </c>
      <c r="I45" s="48" t="n">
        <f aca="false">IF(cu_P=1,N(INDEX(FC_O,6))*(1+N(INDEX(FC_g,6)))^4*COUNTIFS(Calculo!$F$14:$ES$14,5)*IF(INDEX(FC_Mon,6)="PYG",1/INDEX(TC_O,1,5)*(1+P_dTC),1)*IF(OR(N(INDEX(FC_Desde,6))=0,5&gt;=N(INDEX(FC_Desde,6))),1,0),N(INDEX(FC_V,6))*(1+N(INDEX(FC_g,6)))^4*COUNTIFS(Calculo!$F$170:$ES$170,5)*IF(INDEX(FC_Mon,6)="PYG",1/INDEX(TC_V,1,5)*(1+V_dTC),1)*IF(OR(N(INDEX(FC_Desde,6))=0,5&gt;=N(INDEX(FC_Desde,6))),1,0))</f>
        <v>4931.50684931507</v>
      </c>
      <c r="J45" s="48" t="n">
        <f aca="false">IF(cu_P=1,N(INDEX(FC_O,6))*(1+N(INDEX(FC_g,6)))^5*COUNTIFS(Calculo!$F$14:$ES$14,6)*IF(INDEX(FC_Mon,6)="PYG",1/INDEX(TC_O,1,6)*(1+P_dTC),1)*IF(OR(N(INDEX(FC_Desde,6))=0,6&gt;=N(INDEX(FC_Desde,6))),1,0),N(INDEX(FC_V,6))*(1+N(INDEX(FC_g,6)))^5*COUNTIFS(Calculo!$F$170:$ES$170,6)*IF(INDEX(FC_Mon,6)="PYG",1/INDEX(TC_V,1,6)*(1+V_dTC),1)*IF(OR(N(INDEX(FC_Desde,6))=0,6&gt;=N(INDEX(FC_Desde,6))),1,0))</f>
        <v>4931.50684931507</v>
      </c>
      <c r="K45" s="48" t="n">
        <f aca="false">IF(cu_P=1,N(INDEX(FC_O,6))*(1+N(INDEX(FC_g,6)))^6*COUNTIFS(Calculo!$F$14:$ES$14,7)*IF(INDEX(FC_Mon,6)="PYG",1/INDEX(TC_O,1,7)*(1+P_dTC),1)*IF(OR(N(INDEX(FC_Desde,6))=0,7&gt;=N(INDEX(FC_Desde,6))),1,0),N(INDEX(FC_V,6))*(1+N(INDEX(FC_g,6)))^6*COUNTIFS(Calculo!$F$170:$ES$170,7)*IF(INDEX(FC_Mon,6)="PYG",1/INDEX(TC_V,1,7)*(1+V_dTC),1)*IF(OR(N(INDEX(FC_Desde,6))=0,7&gt;=N(INDEX(FC_Desde,6))),1,0))</f>
        <v>4931.50684931507</v>
      </c>
      <c r="L45" s="48" t="n">
        <f aca="false">IF(cu_P=1,N(INDEX(FC_O,6))*(1+N(INDEX(FC_g,6)))^7*COUNTIFS(Calculo!$F$14:$ES$14,8)*IF(INDEX(FC_Mon,6)="PYG",1/INDEX(TC_O,1,8)*(1+P_dTC),1)*IF(OR(N(INDEX(FC_Desde,6))=0,8&gt;=N(INDEX(FC_Desde,6))),1,0),N(INDEX(FC_V,6))*(1+N(INDEX(FC_g,6)))^7*COUNTIFS(Calculo!$F$170:$ES$170,8)*IF(INDEX(FC_Mon,6)="PYG",1/INDEX(TC_V,1,8)*(1+V_dTC),1)*IF(OR(N(INDEX(FC_Desde,6))=0,8&gt;=N(INDEX(FC_Desde,6))),1,0))</f>
        <v>4931.50684931507</v>
      </c>
      <c r="M45" s="48" t="n">
        <f aca="false">IF(cu_P=1,N(INDEX(FC_O,6))*(1+N(INDEX(FC_g,6)))^8*COUNTIFS(Calculo!$F$14:$ES$14,9)*IF(INDEX(FC_Mon,6)="PYG",1/INDEX(TC_O,1,9)*(1+P_dTC),1)*IF(OR(N(INDEX(FC_Desde,6))=0,9&gt;=N(INDEX(FC_Desde,6))),1,0),N(INDEX(FC_V,6))*(1+N(INDEX(FC_g,6)))^8*COUNTIFS(Calculo!$F$170:$ES$170,9)*IF(INDEX(FC_Mon,6)="PYG",1/INDEX(TC_V,1,9)*(1+V_dTC),1)*IF(OR(N(INDEX(FC_Desde,6))=0,9&gt;=N(INDEX(FC_Desde,6))),1,0))</f>
        <v>4931.50684931507</v>
      </c>
      <c r="N45" s="48" t="n">
        <f aca="false">IF(cu_P=1,N(INDEX(FC_O,6))*(1+N(INDEX(FC_g,6)))^9*COUNTIFS(Calculo!$F$14:$ES$14,10)*IF(INDEX(FC_Mon,6)="PYG",1/INDEX(TC_O,1,10)*(1+P_dTC),1)*IF(OR(N(INDEX(FC_Desde,6))=0,10&gt;=N(INDEX(FC_Desde,6))),1,0),N(INDEX(FC_V,6))*(1+N(INDEX(FC_g,6)))^9*COUNTIFS(Calculo!$F$170:$ES$170,10)*IF(INDEX(FC_Mon,6)="PYG",1/INDEX(TC_V,1,10)*(1+V_dTC),1)*IF(OR(N(INDEX(FC_Desde,6))=0,10&gt;=N(INDEX(FC_Desde,6))),1,0))</f>
        <v>4931.50684931507</v>
      </c>
      <c r="O45" s="54" t="n">
        <f aca="false">SUM(D45:N45)</f>
        <v>49315.0684931507</v>
      </c>
    </row>
    <row r="46" customFormat="false" ht="15" hidden="false" customHeight="false" outlineLevel="0" collapsed="false">
      <c r="A46" s="11" t="s">
        <v>2333</v>
      </c>
      <c r="B46" s="53" t="str">
        <f aca="false">IF(Costos!$B$81="","Concepto 7",Costos!$B$81&amp;" ("&amp;Costos!$C$81&amp;")")</f>
        <v>Seguros sobre activos fijos (Administración)</v>
      </c>
      <c r="C46" s="11" t="s">
        <v>508</v>
      </c>
      <c r="D46" s="48" t="n">
        <f aca="false">IF(cu_P=1,N(INDEX(FC_O,7))*SUM(Calculo!$F$16:$ES$16)*IF(INDEX(FC_Mon,7)="PYG",1/INDEX(TC_O,1,1)*(1+P_dTC),1)*IF(N(INDEX(FC_Desde,7))=0,1,0),N(INDEX(FC_V,7))*SUM(Calculo!$F$172:$ES$172)*IF(INDEX(FC_Mon,7)="PYG",1/INDEX(TC_V,1,1)*(1+V_dTC),1)*IF(N(INDEX(FC_Desde,7))=0,1,0))</f>
        <v>0</v>
      </c>
      <c r="E46" s="48" t="n">
        <f aca="false">IF(cu_P=1,N(INDEX(FC_O,7))*(1+N(INDEX(FC_g,7)))^0*COUNTIFS(Calculo!$F$14:$ES$14,1)*IF(INDEX(FC_Mon,7)="PYG",1/INDEX(TC_O,1,1)*(1+P_dTC),1)*IF(OR(N(INDEX(FC_Desde,7))=0,1&gt;=N(INDEX(FC_Desde,7))),1,0),N(INDEX(FC_V,7))*(1+N(INDEX(FC_g,7)))^0*COUNTIFS(Calculo!$F$170:$ES$170,1)*IF(INDEX(FC_Mon,7)="PYG",1/INDEX(TC_V,1,1)*(1+V_dTC),1)*IF(OR(N(INDEX(FC_Desde,7))=0,1&gt;=N(INDEX(FC_Desde,7))),1,0))</f>
        <v>8219.17808219178</v>
      </c>
      <c r="F46" s="48" t="n">
        <f aca="false">IF(cu_P=1,N(INDEX(FC_O,7))*(1+N(INDEX(FC_g,7)))^1*COUNTIFS(Calculo!$F$14:$ES$14,2)*IF(INDEX(FC_Mon,7)="PYG",1/INDEX(TC_O,1,2)*(1+P_dTC),1)*IF(OR(N(INDEX(FC_Desde,7))=0,2&gt;=N(INDEX(FC_Desde,7))),1,0),N(INDEX(FC_V,7))*(1+N(INDEX(FC_g,7)))^1*COUNTIFS(Calculo!$F$170:$ES$170,2)*IF(INDEX(FC_Mon,7)="PYG",1/INDEX(TC_V,1,2)*(1+V_dTC),1)*IF(OR(N(INDEX(FC_Desde,7))=0,2&gt;=N(INDEX(FC_Desde,7))),1,0))</f>
        <v>8219.17808219178</v>
      </c>
      <c r="G46" s="48" t="n">
        <f aca="false">IF(cu_P=1,N(INDEX(FC_O,7))*(1+N(INDEX(FC_g,7)))^2*COUNTIFS(Calculo!$F$14:$ES$14,3)*IF(INDEX(FC_Mon,7)="PYG",1/INDEX(TC_O,1,3)*(1+P_dTC),1)*IF(OR(N(INDEX(FC_Desde,7))=0,3&gt;=N(INDEX(FC_Desde,7))),1,0),N(INDEX(FC_V,7))*(1+N(INDEX(FC_g,7)))^2*COUNTIFS(Calculo!$F$170:$ES$170,3)*IF(INDEX(FC_Mon,7)="PYG",1/INDEX(TC_V,1,3)*(1+V_dTC),1)*IF(OR(N(INDEX(FC_Desde,7))=0,3&gt;=N(INDEX(FC_Desde,7))),1,0))</f>
        <v>8219.17808219178</v>
      </c>
      <c r="H46" s="48" t="n">
        <f aca="false">IF(cu_P=1,N(INDEX(FC_O,7))*(1+N(INDEX(FC_g,7)))^3*COUNTIFS(Calculo!$F$14:$ES$14,4)*IF(INDEX(FC_Mon,7)="PYG",1/INDEX(TC_O,1,4)*(1+P_dTC),1)*IF(OR(N(INDEX(FC_Desde,7))=0,4&gt;=N(INDEX(FC_Desde,7))),1,0),N(INDEX(FC_V,7))*(1+N(INDEX(FC_g,7)))^3*COUNTIFS(Calculo!$F$170:$ES$170,4)*IF(INDEX(FC_Mon,7)="PYG",1/INDEX(TC_V,1,4)*(1+V_dTC),1)*IF(OR(N(INDEX(FC_Desde,7))=0,4&gt;=N(INDEX(FC_Desde,7))),1,0))</f>
        <v>8219.17808219178</v>
      </c>
      <c r="I46" s="48" t="n">
        <f aca="false">IF(cu_P=1,N(INDEX(FC_O,7))*(1+N(INDEX(FC_g,7)))^4*COUNTIFS(Calculo!$F$14:$ES$14,5)*IF(INDEX(FC_Mon,7)="PYG",1/INDEX(TC_O,1,5)*(1+P_dTC),1)*IF(OR(N(INDEX(FC_Desde,7))=0,5&gt;=N(INDEX(FC_Desde,7))),1,0),N(INDEX(FC_V,7))*(1+N(INDEX(FC_g,7)))^4*COUNTIFS(Calculo!$F$170:$ES$170,5)*IF(INDEX(FC_Mon,7)="PYG",1/INDEX(TC_V,1,5)*(1+V_dTC),1)*IF(OR(N(INDEX(FC_Desde,7))=0,5&gt;=N(INDEX(FC_Desde,7))),1,0))</f>
        <v>8219.17808219178</v>
      </c>
      <c r="J46" s="48" t="n">
        <f aca="false">IF(cu_P=1,N(INDEX(FC_O,7))*(1+N(INDEX(FC_g,7)))^5*COUNTIFS(Calculo!$F$14:$ES$14,6)*IF(INDEX(FC_Mon,7)="PYG",1/INDEX(TC_O,1,6)*(1+P_dTC),1)*IF(OR(N(INDEX(FC_Desde,7))=0,6&gt;=N(INDEX(FC_Desde,7))),1,0),N(INDEX(FC_V,7))*(1+N(INDEX(FC_g,7)))^5*COUNTIFS(Calculo!$F$170:$ES$170,6)*IF(INDEX(FC_Mon,7)="PYG",1/INDEX(TC_V,1,6)*(1+V_dTC),1)*IF(OR(N(INDEX(FC_Desde,7))=0,6&gt;=N(INDEX(FC_Desde,7))),1,0))</f>
        <v>8219.17808219178</v>
      </c>
      <c r="K46" s="48" t="n">
        <f aca="false">IF(cu_P=1,N(INDEX(FC_O,7))*(1+N(INDEX(FC_g,7)))^6*COUNTIFS(Calculo!$F$14:$ES$14,7)*IF(INDEX(FC_Mon,7)="PYG",1/INDEX(TC_O,1,7)*(1+P_dTC),1)*IF(OR(N(INDEX(FC_Desde,7))=0,7&gt;=N(INDEX(FC_Desde,7))),1,0),N(INDEX(FC_V,7))*(1+N(INDEX(FC_g,7)))^6*COUNTIFS(Calculo!$F$170:$ES$170,7)*IF(INDEX(FC_Mon,7)="PYG",1/INDEX(TC_V,1,7)*(1+V_dTC),1)*IF(OR(N(INDEX(FC_Desde,7))=0,7&gt;=N(INDEX(FC_Desde,7))),1,0))</f>
        <v>8219.17808219178</v>
      </c>
      <c r="L46" s="48" t="n">
        <f aca="false">IF(cu_P=1,N(INDEX(FC_O,7))*(1+N(INDEX(FC_g,7)))^7*COUNTIFS(Calculo!$F$14:$ES$14,8)*IF(INDEX(FC_Mon,7)="PYG",1/INDEX(TC_O,1,8)*(1+P_dTC),1)*IF(OR(N(INDEX(FC_Desde,7))=0,8&gt;=N(INDEX(FC_Desde,7))),1,0),N(INDEX(FC_V,7))*(1+N(INDEX(FC_g,7)))^7*COUNTIFS(Calculo!$F$170:$ES$170,8)*IF(INDEX(FC_Mon,7)="PYG",1/INDEX(TC_V,1,8)*(1+V_dTC),1)*IF(OR(N(INDEX(FC_Desde,7))=0,8&gt;=N(INDEX(FC_Desde,7))),1,0))</f>
        <v>8219.17808219178</v>
      </c>
      <c r="M46" s="48" t="n">
        <f aca="false">IF(cu_P=1,N(INDEX(FC_O,7))*(1+N(INDEX(FC_g,7)))^8*COUNTIFS(Calculo!$F$14:$ES$14,9)*IF(INDEX(FC_Mon,7)="PYG",1/INDEX(TC_O,1,9)*(1+P_dTC),1)*IF(OR(N(INDEX(FC_Desde,7))=0,9&gt;=N(INDEX(FC_Desde,7))),1,0),N(INDEX(FC_V,7))*(1+N(INDEX(FC_g,7)))^8*COUNTIFS(Calculo!$F$170:$ES$170,9)*IF(INDEX(FC_Mon,7)="PYG",1/INDEX(TC_V,1,9)*(1+V_dTC),1)*IF(OR(N(INDEX(FC_Desde,7))=0,9&gt;=N(INDEX(FC_Desde,7))),1,0))</f>
        <v>8219.17808219178</v>
      </c>
      <c r="N46" s="48" t="n">
        <f aca="false">IF(cu_P=1,N(INDEX(FC_O,7))*(1+N(INDEX(FC_g,7)))^9*COUNTIFS(Calculo!$F$14:$ES$14,10)*IF(INDEX(FC_Mon,7)="PYG",1/INDEX(TC_O,1,10)*(1+P_dTC),1)*IF(OR(N(INDEX(FC_Desde,7))=0,10&gt;=N(INDEX(FC_Desde,7))),1,0),N(INDEX(FC_V,7))*(1+N(INDEX(FC_g,7)))^9*COUNTIFS(Calculo!$F$170:$ES$170,10)*IF(INDEX(FC_Mon,7)="PYG",1/INDEX(TC_V,1,10)*(1+V_dTC),1)*IF(OR(N(INDEX(FC_Desde,7))=0,10&gt;=N(INDEX(FC_Desde,7))),1,0))</f>
        <v>8219.17808219178</v>
      </c>
      <c r="O46" s="54" t="n">
        <f aca="false">SUM(D46:N46)</f>
        <v>82191.7808219178</v>
      </c>
    </row>
    <row r="47" customFormat="false" ht="15" hidden="false" customHeight="false" outlineLevel="0" collapsed="false">
      <c r="A47" s="11" t="s">
        <v>2334</v>
      </c>
      <c r="B47" s="53" t="str">
        <f aca="false">IF(Costos!$B$82="","Concepto 8",Costos!$B$82&amp;" ("&amp;Costos!$C$82&amp;")")</f>
        <v>Gastos generales (Administración)</v>
      </c>
      <c r="C47" s="11" t="s">
        <v>508</v>
      </c>
      <c r="D47" s="48" t="n">
        <f aca="false">IF(cu_P=1,N(INDEX(FC_O,8))*SUM(Calculo!$F$16:$ES$16)*IF(INDEX(FC_Mon,8)="PYG",1/INDEX(TC_O,1,1)*(1+P_dTC),1)*IF(N(INDEX(FC_Desde,8))=0,1,0),N(INDEX(FC_V,8))*SUM(Calculo!$F$172:$ES$172)*IF(INDEX(FC_Mon,8)="PYG",1/INDEX(TC_V,1,1)*(1+V_dTC),1)*IF(N(INDEX(FC_Desde,8))=0,1,0))</f>
        <v>0</v>
      </c>
      <c r="E47" s="48" t="n">
        <f aca="false">IF(cu_P=1,N(INDEX(FC_O,8))*(1+N(INDEX(FC_g,8)))^0*COUNTIFS(Calculo!$F$14:$ES$14,1)*IF(INDEX(FC_Mon,8)="PYG",1/INDEX(TC_O,1,1)*(1+P_dTC),1)*IF(OR(N(INDEX(FC_Desde,8))=0,1&gt;=N(INDEX(FC_Desde,8))),1,0),N(INDEX(FC_V,8))*(1+N(INDEX(FC_g,8)))^0*COUNTIFS(Calculo!$F$170:$ES$170,1)*IF(INDEX(FC_Mon,8)="PYG",1/INDEX(TC_V,1,1)*(1+V_dTC),1)*IF(OR(N(INDEX(FC_Desde,8))=0,1&gt;=N(INDEX(FC_Desde,8))),1,0))</f>
        <v>22059.96</v>
      </c>
      <c r="F47" s="48" t="n">
        <f aca="false">IF(cu_P=1,N(INDEX(FC_O,8))*(1+N(INDEX(FC_g,8)))^1*COUNTIFS(Calculo!$F$14:$ES$14,2)*IF(INDEX(FC_Mon,8)="PYG",1/INDEX(TC_O,1,2)*(1+P_dTC),1)*IF(OR(N(INDEX(FC_Desde,8))=0,2&gt;=N(INDEX(FC_Desde,8))),1,0),N(INDEX(FC_V,8))*(1+N(INDEX(FC_g,8)))^1*COUNTIFS(Calculo!$F$170:$ES$170,2)*IF(INDEX(FC_Mon,8)="PYG",1/INDEX(TC_V,1,2)*(1+V_dTC),1)*IF(OR(N(INDEX(FC_Desde,8))=0,2&gt;=N(INDEX(FC_Desde,8))),1,0))</f>
        <v>22059.96</v>
      </c>
      <c r="G47" s="48" t="n">
        <f aca="false">IF(cu_P=1,N(INDEX(FC_O,8))*(1+N(INDEX(FC_g,8)))^2*COUNTIFS(Calculo!$F$14:$ES$14,3)*IF(INDEX(FC_Mon,8)="PYG",1/INDEX(TC_O,1,3)*(1+P_dTC),1)*IF(OR(N(INDEX(FC_Desde,8))=0,3&gt;=N(INDEX(FC_Desde,8))),1,0),N(INDEX(FC_V,8))*(1+N(INDEX(FC_g,8)))^2*COUNTIFS(Calculo!$F$170:$ES$170,3)*IF(INDEX(FC_Mon,8)="PYG",1/INDEX(TC_V,1,3)*(1+V_dTC),1)*IF(OR(N(INDEX(FC_Desde,8))=0,3&gt;=N(INDEX(FC_Desde,8))),1,0))</f>
        <v>22059.96</v>
      </c>
      <c r="H47" s="48" t="n">
        <f aca="false">IF(cu_P=1,N(INDEX(FC_O,8))*(1+N(INDEX(FC_g,8)))^3*COUNTIFS(Calculo!$F$14:$ES$14,4)*IF(INDEX(FC_Mon,8)="PYG",1/INDEX(TC_O,1,4)*(1+P_dTC),1)*IF(OR(N(INDEX(FC_Desde,8))=0,4&gt;=N(INDEX(FC_Desde,8))),1,0),N(INDEX(FC_V,8))*(1+N(INDEX(FC_g,8)))^3*COUNTIFS(Calculo!$F$170:$ES$170,4)*IF(INDEX(FC_Mon,8)="PYG",1/INDEX(TC_V,1,4)*(1+V_dTC),1)*IF(OR(N(INDEX(FC_Desde,8))=0,4&gt;=N(INDEX(FC_Desde,8))),1,0))</f>
        <v>22059.96</v>
      </c>
      <c r="I47" s="48" t="n">
        <f aca="false">IF(cu_P=1,N(INDEX(FC_O,8))*(1+N(INDEX(FC_g,8)))^4*COUNTIFS(Calculo!$F$14:$ES$14,5)*IF(INDEX(FC_Mon,8)="PYG",1/INDEX(TC_O,1,5)*(1+P_dTC),1)*IF(OR(N(INDEX(FC_Desde,8))=0,5&gt;=N(INDEX(FC_Desde,8))),1,0),N(INDEX(FC_V,8))*(1+N(INDEX(FC_g,8)))^4*COUNTIFS(Calculo!$F$170:$ES$170,5)*IF(INDEX(FC_Mon,8)="PYG",1/INDEX(TC_V,1,5)*(1+V_dTC),1)*IF(OR(N(INDEX(FC_Desde,8))=0,5&gt;=N(INDEX(FC_Desde,8))),1,0))</f>
        <v>22059.96</v>
      </c>
      <c r="J47" s="48" t="n">
        <f aca="false">IF(cu_P=1,N(INDEX(FC_O,8))*(1+N(INDEX(FC_g,8)))^5*COUNTIFS(Calculo!$F$14:$ES$14,6)*IF(INDEX(FC_Mon,8)="PYG",1/INDEX(TC_O,1,6)*(1+P_dTC),1)*IF(OR(N(INDEX(FC_Desde,8))=0,6&gt;=N(INDEX(FC_Desde,8))),1,0),N(INDEX(FC_V,8))*(1+N(INDEX(FC_g,8)))^5*COUNTIFS(Calculo!$F$170:$ES$170,6)*IF(INDEX(FC_Mon,8)="PYG",1/INDEX(TC_V,1,6)*(1+V_dTC),1)*IF(OR(N(INDEX(FC_Desde,8))=0,6&gt;=N(INDEX(FC_Desde,8))),1,0))</f>
        <v>22059.96</v>
      </c>
      <c r="K47" s="48" t="n">
        <f aca="false">IF(cu_P=1,N(INDEX(FC_O,8))*(1+N(INDEX(FC_g,8)))^6*COUNTIFS(Calculo!$F$14:$ES$14,7)*IF(INDEX(FC_Mon,8)="PYG",1/INDEX(TC_O,1,7)*(1+P_dTC),1)*IF(OR(N(INDEX(FC_Desde,8))=0,7&gt;=N(INDEX(FC_Desde,8))),1,0),N(INDEX(FC_V,8))*(1+N(INDEX(FC_g,8)))^6*COUNTIFS(Calculo!$F$170:$ES$170,7)*IF(INDEX(FC_Mon,8)="PYG",1/INDEX(TC_V,1,7)*(1+V_dTC),1)*IF(OR(N(INDEX(FC_Desde,8))=0,7&gt;=N(INDEX(FC_Desde,8))),1,0))</f>
        <v>22059.96</v>
      </c>
      <c r="L47" s="48" t="n">
        <f aca="false">IF(cu_P=1,N(INDEX(FC_O,8))*(1+N(INDEX(FC_g,8)))^7*COUNTIFS(Calculo!$F$14:$ES$14,8)*IF(INDEX(FC_Mon,8)="PYG",1/INDEX(TC_O,1,8)*(1+P_dTC),1)*IF(OR(N(INDEX(FC_Desde,8))=0,8&gt;=N(INDEX(FC_Desde,8))),1,0),N(INDEX(FC_V,8))*(1+N(INDEX(FC_g,8)))^7*COUNTIFS(Calculo!$F$170:$ES$170,8)*IF(INDEX(FC_Mon,8)="PYG",1/INDEX(TC_V,1,8)*(1+V_dTC),1)*IF(OR(N(INDEX(FC_Desde,8))=0,8&gt;=N(INDEX(FC_Desde,8))),1,0))</f>
        <v>22059.96</v>
      </c>
      <c r="M47" s="48" t="n">
        <f aca="false">IF(cu_P=1,N(INDEX(FC_O,8))*(1+N(INDEX(FC_g,8)))^8*COUNTIFS(Calculo!$F$14:$ES$14,9)*IF(INDEX(FC_Mon,8)="PYG",1/INDEX(TC_O,1,9)*(1+P_dTC),1)*IF(OR(N(INDEX(FC_Desde,8))=0,9&gt;=N(INDEX(FC_Desde,8))),1,0),N(INDEX(FC_V,8))*(1+N(INDEX(FC_g,8)))^8*COUNTIFS(Calculo!$F$170:$ES$170,9)*IF(INDEX(FC_Mon,8)="PYG",1/INDEX(TC_V,1,9)*(1+V_dTC),1)*IF(OR(N(INDEX(FC_Desde,8))=0,9&gt;=N(INDEX(FC_Desde,8))),1,0))</f>
        <v>22059.96</v>
      </c>
      <c r="N47" s="48" t="n">
        <f aca="false">IF(cu_P=1,N(INDEX(FC_O,8))*(1+N(INDEX(FC_g,8)))^9*COUNTIFS(Calculo!$F$14:$ES$14,10)*IF(INDEX(FC_Mon,8)="PYG",1/INDEX(TC_O,1,10)*(1+P_dTC),1)*IF(OR(N(INDEX(FC_Desde,8))=0,10&gt;=N(INDEX(FC_Desde,8))),1,0),N(INDEX(FC_V,8))*(1+N(INDEX(FC_g,8)))^9*COUNTIFS(Calculo!$F$170:$ES$170,10)*IF(INDEX(FC_Mon,8)="PYG",1/INDEX(TC_V,1,10)*(1+V_dTC),1)*IF(OR(N(INDEX(FC_Desde,8))=0,10&gt;=N(INDEX(FC_Desde,8))),1,0))</f>
        <v>22059.96</v>
      </c>
      <c r="O47" s="54" t="n">
        <f aca="false">SUM(D47:N47)</f>
        <v>220599.6</v>
      </c>
    </row>
    <row r="48" customFormat="false" ht="15" hidden="false" customHeight="false" outlineLevel="0" collapsed="false">
      <c r="A48" s="11" t="s">
        <v>2335</v>
      </c>
      <c r="B48" s="53" t="str">
        <f aca="false">IF(Costos!$B$83="","Concepto 9",Costos!$B$83&amp;" ("&amp;Costos!$C$83&amp;")")</f>
        <v>Honorarios y otros fijos (Administración)</v>
      </c>
      <c r="C48" s="11" t="s">
        <v>508</v>
      </c>
      <c r="D48" s="48" t="n">
        <f aca="false">IF(cu_P=1,N(INDEX(FC_O,9))*SUM(Calculo!$F$16:$ES$16)*IF(INDEX(FC_Mon,9)="PYG",1/INDEX(TC_O,1,1)*(1+P_dTC),1)*IF(N(INDEX(FC_Desde,9))=0,1,0),N(INDEX(FC_V,9))*SUM(Calculo!$F$172:$ES$172)*IF(INDEX(FC_Mon,9)="PYG",1/INDEX(TC_V,1,1)*(1+V_dTC),1)*IF(N(INDEX(FC_Desde,9))=0,1,0))</f>
        <v>0</v>
      </c>
      <c r="E48" s="48" t="n">
        <f aca="false">IF(cu_P=1,N(INDEX(FC_O,9))*(1+N(INDEX(FC_g,9)))^0*COUNTIFS(Calculo!$F$14:$ES$14,1)*IF(INDEX(FC_Mon,9)="PYG",1/INDEX(TC_O,1,1)*(1+P_dTC),1)*IF(OR(N(INDEX(FC_Desde,9))=0,1&gt;=N(INDEX(FC_Desde,9))),1,0),N(INDEX(FC_V,9))*(1+N(INDEX(FC_g,9)))^0*COUNTIFS(Calculo!$F$170:$ES$170,1)*IF(INDEX(FC_Mon,9)="PYG",1/INDEX(TC_V,1,1)*(1+V_dTC),1)*IF(OR(N(INDEX(FC_Desde,9))=0,1&gt;=N(INDEX(FC_Desde,9))),1,0))</f>
        <v>24931.5073972603</v>
      </c>
      <c r="F48" s="48" t="n">
        <f aca="false">IF(cu_P=1,N(INDEX(FC_O,9))*(1+N(INDEX(FC_g,9)))^1*COUNTIFS(Calculo!$F$14:$ES$14,2)*IF(INDEX(FC_Mon,9)="PYG",1/INDEX(TC_O,1,2)*(1+P_dTC),1)*IF(OR(N(INDEX(FC_Desde,9))=0,2&gt;=N(INDEX(FC_Desde,9))),1,0),N(INDEX(FC_V,9))*(1+N(INDEX(FC_g,9)))^1*COUNTIFS(Calculo!$F$170:$ES$170,2)*IF(INDEX(FC_Mon,9)="PYG",1/INDEX(TC_V,1,2)*(1+V_dTC),1)*IF(OR(N(INDEX(FC_Desde,9))=0,2&gt;=N(INDEX(FC_Desde,9))),1,0))</f>
        <v>24931.5073972603</v>
      </c>
      <c r="G48" s="48" t="n">
        <f aca="false">IF(cu_P=1,N(INDEX(FC_O,9))*(1+N(INDEX(FC_g,9)))^2*COUNTIFS(Calculo!$F$14:$ES$14,3)*IF(INDEX(FC_Mon,9)="PYG",1/INDEX(TC_O,1,3)*(1+P_dTC),1)*IF(OR(N(INDEX(FC_Desde,9))=0,3&gt;=N(INDEX(FC_Desde,9))),1,0),N(INDEX(FC_V,9))*(1+N(INDEX(FC_g,9)))^2*COUNTIFS(Calculo!$F$170:$ES$170,3)*IF(INDEX(FC_Mon,9)="PYG",1/INDEX(TC_V,1,3)*(1+V_dTC),1)*IF(OR(N(INDEX(FC_Desde,9))=0,3&gt;=N(INDEX(FC_Desde,9))),1,0))</f>
        <v>24931.5073972603</v>
      </c>
      <c r="H48" s="48" t="n">
        <f aca="false">IF(cu_P=1,N(INDEX(FC_O,9))*(1+N(INDEX(FC_g,9)))^3*COUNTIFS(Calculo!$F$14:$ES$14,4)*IF(INDEX(FC_Mon,9)="PYG",1/INDEX(TC_O,1,4)*(1+P_dTC),1)*IF(OR(N(INDEX(FC_Desde,9))=0,4&gt;=N(INDEX(FC_Desde,9))),1,0),N(INDEX(FC_V,9))*(1+N(INDEX(FC_g,9)))^3*COUNTIFS(Calculo!$F$170:$ES$170,4)*IF(INDEX(FC_Mon,9)="PYG",1/INDEX(TC_V,1,4)*(1+V_dTC),1)*IF(OR(N(INDEX(FC_Desde,9))=0,4&gt;=N(INDEX(FC_Desde,9))),1,0))</f>
        <v>24931.5073972603</v>
      </c>
      <c r="I48" s="48" t="n">
        <f aca="false">IF(cu_P=1,N(INDEX(FC_O,9))*(1+N(INDEX(FC_g,9)))^4*COUNTIFS(Calculo!$F$14:$ES$14,5)*IF(INDEX(FC_Mon,9)="PYG",1/INDEX(TC_O,1,5)*(1+P_dTC),1)*IF(OR(N(INDEX(FC_Desde,9))=0,5&gt;=N(INDEX(FC_Desde,9))),1,0),N(INDEX(FC_V,9))*(1+N(INDEX(FC_g,9)))^4*COUNTIFS(Calculo!$F$170:$ES$170,5)*IF(INDEX(FC_Mon,9)="PYG",1/INDEX(TC_V,1,5)*(1+V_dTC),1)*IF(OR(N(INDEX(FC_Desde,9))=0,5&gt;=N(INDEX(FC_Desde,9))),1,0))</f>
        <v>24931.5073972603</v>
      </c>
      <c r="J48" s="48" t="n">
        <f aca="false">IF(cu_P=1,N(INDEX(FC_O,9))*(1+N(INDEX(FC_g,9)))^5*COUNTIFS(Calculo!$F$14:$ES$14,6)*IF(INDEX(FC_Mon,9)="PYG",1/INDEX(TC_O,1,6)*(1+P_dTC),1)*IF(OR(N(INDEX(FC_Desde,9))=0,6&gt;=N(INDEX(FC_Desde,9))),1,0),N(INDEX(FC_V,9))*(1+N(INDEX(FC_g,9)))^5*COUNTIFS(Calculo!$F$170:$ES$170,6)*IF(INDEX(FC_Mon,9)="PYG",1/INDEX(TC_V,1,6)*(1+V_dTC),1)*IF(OR(N(INDEX(FC_Desde,9))=0,6&gt;=N(INDEX(FC_Desde,9))),1,0))</f>
        <v>24931.5073972603</v>
      </c>
      <c r="K48" s="48" t="n">
        <f aca="false">IF(cu_P=1,N(INDEX(FC_O,9))*(1+N(INDEX(FC_g,9)))^6*COUNTIFS(Calculo!$F$14:$ES$14,7)*IF(INDEX(FC_Mon,9)="PYG",1/INDEX(TC_O,1,7)*(1+P_dTC),1)*IF(OR(N(INDEX(FC_Desde,9))=0,7&gt;=N(INDEX(FC_Desde,9))),1,0),N(INDEX(FC_V,9))*(1+N(INDEX(FC_g,9)))^6*COUNTIFS(Calculo!$F$170:$ES$170,7)*IF(INDEX(FC_Mon,9)="PYG",1/INDEX(TC_V,1,7)*(1+V_dTC),1)*IF(OR(N(INDEX(FC_Desde,9))=0,7&gt;=N(INDEX(FC_Desde,9))),1,0))</f>
        <v>24931.5073972603</v>
      </c>
      <c r="L48" s="48" t="n">
        <f aca="false">IF(cu_P=1,N(INDEX(FC_O,9))*(1+N(INDEX(FC_g,9)))^7*COUNTIFS(Calculo!$F$14:$ES$14,8)*IF(INDEX(FC_Mon,9)="PYG",1/INDEX(TC_O,1,8)*(1+P_dTC),1)*IF(OR(N(INDEX(FC_Desde,9))=0,8&gt;=N(INDEX(FC_Desde,9))),1,0),N(INDEX(FC_V,9))*(1+N(INDEX(FC_g,9)))^7*COUNTIFS(Calculo!$F$170:$ES$170,8)*IF(INDEX(FC_Mon,9)="PYG",1/INDEX(TC_V,1,8)*(1+V_dTC),1)*IF(OR(N(INDEX(FC_Desde,9))=0,8&gt;=N(INDEX(FC_Desde,9))),1,0))</f>
        <v>24931.5073972603</v>
      </c>
      <c r="M48" s="48" t="n">
        <f aca="false">IF(cu_P=1,N(INDEX(FC_O,9))*(1+N(INDEX(FC_g,9)))^8*COUNTIFS(Calculo!$F$14:$ES$14,9)*IF(INDEX(FC_Mon,9)="PYG",1/INDEX(TC_O,1,9)*(1+P_dTC),1)*IF(OR(N(INDEX(FC_Desde,9))=0,9&gt;=N(INDEX(FC_Desde,9))),1,0),N(INDEX(FC_V,9))*(1+N(INDEX(FC_g,9)))^8*COUNTIFS(Calculo!$F$170:$ES$170,9)*IF(INDEX(FC_Mon,9)="PYG",1/INDEX(TC_V,1,9)*(1+V_dTC),1)*IF(OR(N(INDEX(FC_Desde,9))=0,9&gt;=N(INDEX(FC_Desde,9))),1,0))</f>
        <v>24931.5073972603</v>
      </c>
      <c r="N48" s="48" t="n">
        <f aca="false">IF(cu_P=1,N(INDEX(FC_O,9))*(1+N(INDEX(FC_g,9)))^9*COUNTIFS(Calculo!$F$14:$ES$14,10)*IF(INDEX(FC_Mon,9)="PYG",1/INDEX(TC_O,1,10)*(1+P_dTC),1)*IF(OR(N(INDEX(FC_Desde,9))=0,10&gt;=N(INDEX(FC_Desde,9))),1,0),N(INDEX(FC_V,9))*(1+N(INDEX(FC_g,9)))^9*COUNTIFS(Calculo!$F$170:$ES$170,10)*IF(INDEX(FC_Mon,9)="PYG",1/INDEX(TC_V,1,10)*(1+V_dTC),1)*IF(OR(N(INDEX(FC_Desde,9))=0,10&gt;=N(INDEX(FC_Desde,9))),1,0))</f>
        <v>24931.5073972603</v>
      </c>
      <c r="O48" s="54" t="n">
        <f aca="false">SUM(D48:N48)</f>
        <v>249315.073972603</v>
      </c>
    </row>
    <row r="49" customFormat="false" ht="15" hidden="true" customHeight="false" outlineLevel="1" collapsed="false">
      <c r="A49" s="11" t="s">
        <v>2336</v>
      </c>
      <c r="B49" s="53" t="str">
        <f aca="false">IF(Costos!$B$84="","Concepto 10",Costos!$B$84&amp;" ("&amp;Costos!$C$84&amp;")")</f>
        <v>Concepto 10</v>
      </c>
      <c r="C49" s="11" t="s">
        <v>508</v>
      </c>
      <c r="D49" s="48" t="n">
        <f aca="false">IF(cu_P=1,N(INDEX(FC_O,10))*SUM(Calculo!$F$16:$ES$16)*IF(INDEX(FC_Mon,10)="PYG",1/INDEX(TC_O,1,1)*(1+P_dTC),1)*IF(N(INDEX(FC_Desde,10))=0,1,0),N(INDEX(FC_V,10))*SUM(Calculo!$F$172:$ES$172)*IF(INDEX(FC_Mon,10)="PYG",1/INDEX(TC_V,1,1)*(1+V_dTC),1)*IF(N(INDEX(FC_Desde,10))=0,1,0))</f>
        <v>0</v>
      </c>
      <c r="E49" s="48" t="n">
        <f aca="false">IF(cu_P=1,N(INDEX(FC_O,10))*(1+N(INDEX(FC_g,10)))^0*COUNTIFS(Calculo!$F$14:$ES$14,1)*IF(INDEX(FC_Mon,10)="PYG",1/INDEX(TC_O,1,1)*(1+P_dTC),1)*IF(OR(N(INDEX(FC_Desde,10))=0,1&gt;=N(INDEX(FC_Desde,10))),1,0),N(INDEX(FC_V,10))*(1+N(INDEX(FC_g,10)))^0*COUNTIFS(Calculo!$F$170:$ES$170,1)*IF(INDEX(FC_Mon,10)="PYG",1/INDEX(TC_V,1,1)*(1+V_dTC),1)*IF(OR(N(INDEX(FC_Desde,10))=0,1&gt;=N(INDEX(FC_Desde,10))),1,0))</f>
        <v>0</v>
      </c>
      <c r="F49" s="48" t="n">
        <f aca="false">IF(cu_P=1,N(INDEX(FC_O,10))*(1+N(INDEX(FC_g,10)))^1*COUNTIFS(Calculo!$F$14:$ES$14,2)*IF(INDEX(FC_Mon,10)="PYG",1/INDEX(TC_O,1,2)*(1+P_dTC),1)*IF(OR(N(INDEX(FC_Desde,10))=0,2&gt;=N(INDEX(FC_Desde,10))),1,0),N(INDEX(FC_V,10))*(1+N(INDEX(FC_g,10)))^1*COUNTIFS(Calculo!$F$170:$ES$170,2)*IF(INDEX(FC_Mon,10)="PYG",1/INDEX(TC_V,1,2)*(1+V_dTC),1)*IF(OR(N(INDEX(FC_Desde,10))=0,2&gt;=N(INDEX(FC_Desde,10))),1,0))</f>
        <v>0</v>
      </c>
      <c r="G49" s="48" t="n">
        <f aca="false">IF(cu_P=1,N(INDEX(FC_O,10))*(1+N(INDEX(FC_g,10)))^2*COUNTIFS(Calculo!$F$14:$ES$14,3)*IF(INDEX(FC_Mon,10)="PYG",1/INDEX(TC_O,1,3)*(1+P_dTC),1)*IF(OR(N(INDEX(FC_Desde,10))=0,3&gt;=N(INDEX(FC_Desde,10))),1,0),N(INDEX(FC_V,10))*(1+N(INDEX(FC_g,10)))^2*COUNTIFS(Calculo!$F$170:$ES$170,3)*IF(INDEX(FC_Mon,10)="PYG",1/INDEX(TC_V,1,3)*(1+V_dTC),1)*IF(OR(N(INDEX(FC_Desde,10))=0,3&gt;=N(INDEX(FC_Desde,10))),1,0))</f>
        <v>0</v>
      </c>
      <c r="H49" s="48" t="n">
        <f aca="false">IF(cu_P=1,N(INDEX(FC_O,10))*(1+N(INDEX(FC_g,10)))^3*COUNTIFS(Calculo!$F$14:$ES$14,4)*IF(INDEX(FC_Mon,10)="PYG",1/INDEX(TC_O,1,4)*(1+P_dTC),1)*IF(OR(N(INDEX(FC_Desde,10))=0,4&gt;=N(INDEX(FC_Desde,10))),1,0),N(INDEX(FC_V,10))*(1+N(INDEX(FC_g,10)))^3*COUNTIFS(Calculo!$F$170:$ES$170,4)*IF(INDEX(FC_Mon,10)="PYG",1/INDEX(TC_V,1,4)*(1+V_dTC),1)*IF(OR(N(INDEX(FC_Desde,10))=0,4&gt;=N(INDEX(FC_Desde,10))),1,0))</f>
        <v>0</v>
      </c>
      <c r="I49" s="48" t="n">
        <f aca="false">IF(cu_P=1,N(INDEX(FC_O,10))*(1+N(INDEX(FC_g,10)))^4*COUNTIFS(Calculo!$F$14:$ES$14,5)*IF(INDEX(FC_Mon,10)="PYG",1/INDEX(TC_O,1,5)*(1+P_dTC),1)*IF(OR(N(INDEX(FC_Desde,10))=0,5&gt;=N(INDEX(FC_Desde,10))),1,0),N(INDEX(FC_V,10))*(1+N(INDEX(FC_g,10)))^4*COUNTIFS(Calculo!$F$170:$ES$170,5)*IF(INDEX(FC_Mon,10)="PYG",1/INDEX(TC_V,1,5)*(1+V_dTC),1)*IF(OR(N(INDEX(FC_Desde,10))=0,5&gt;=N(INDEX(FC_Desde,10))),1,0))</f>
        <v>0</v>
      </c>
      <c r="J49" s="48" t="n">
        <f aca="false">IF(cu_P=1,N(INDEX(FC_O,10))*(1+N(INDEX(FC_g,10)))^5*COUNTIFS(Calculo!$F$14:$ES$14,6)*IF(INDEX(FC_Mon,10)="PYG",1/INDEX(TC_O,1,6)*(1+P_dTC),1)*IF(OR(N(INDEX(FC_Desde,10))=0,6&gt;=N(INDEX(FC_Desde,10))),1,0),N(INDEX(FC_V,10))*(1+N(INDEX(FC_g,10)))^5*COUNTIFS(Calculo!$F$170:$ES$170,6)*IF(INDEX(FC_Mon,10)="PYG",1/INDEX(TC_V,1,6)*(1+V_dTC),1)*IF(OR(N(INDEX(FC_Desde,10))=0,6&gt;=N(INDEX(FC_Desde,10))),1,0))</f>
        <v>0</v>
      </c>
      <c r="K49" s="48" t="n">
        <f aca="false">IF(cu_P=1,N(INDEX(FC_O,10))*(1+N(INDEX(FC_g,10)))^6*COUNTIFS(Calculo!$F$14:$ES$14,7)*IF(INDEX(FC_Mon,10)="PYG",1/INDEX(TC_O,1,7)*(1+P_dTC),1)*IF(OR(N(INDEX(FC_Desde,10))=0,7&gt;=N(INDEX(FC_Desde,10))),1,0),N(INDEX(FC_V,10))*(1+N(INDEX(FC_g,10)))^6*COUNTIFS(Calculo!$F$170:$ES$170,7)*IF(INDEX(FC_Mon,10)="PYG",1/INDEX(TC_V,1,7)*(1+V_dTC),1)*IF(OR(N(INDEX(FC_Desde,10))=0,7&gt;=N(INDEX(FC_Desde,10))),1,0))</f>
        <v>0</v>
      </c>
      <c r="L49" s="48" t="n">
        <f aca="false">IF(cu_P=1,N(INDEX(FC_O,10))*(1+N(INDEX(FC_g,10)))^7*COUNTIFS(Calculo!$F$14:$ES$14,8)*IF(INDEX(FC_Mon,10)="PYG",1/INDEX(TC_O,1,8)*(1+P_dTC),1)*IF(OR(N(INDEX(FC_Desde,10))=0,8&gt;=N(INDEX(FC_Desde,10))),1,0),N(INDEX(FC_V,10))*(1+N(INDEX(FC_g,10)))^7*COUNTIFS(Calculo!$F$170:$ES$170,8)*IF(INDEX(FC_Mon,10)="PYG",1/INDEX(TC_V,1,8)*(1+V_dTC),1)*IF(OR(N(INDEX(FC_Desde,10))=0,8&gt;=N(INDEX(FC_Desde,10))),1,0))</f>
        <v>0</v>
      </c>
      <c r="M49" s="48" t="n">
        <f aca="false">IF(cu_P=1,N(INDEX(FC_O,10))*(1+N(INDEX(FC_g,10)))^8*COUNTIFS(Calculo!$F$14:$ES$14,9)*IF(INDEX(FC_Mon,10)="PYG",1/INDEX(TC_O,1,9)*(1+P_dTC),1)*IF(OR(N(INDEX(FC_Desde,10))=0,9&gt;=N(INDEX(FC_Desde,10))),1,0),N(INDEX(FC_V,10))*(1+N(INDEX(FC_g,10)))^8*COUNTIFS(Calculo!$F$170:$ES$170,9)*IF(INDEX(FC_Mon,10)="PYG",1/INDEX(TC_V,1,9)*(1+V_dTC),1)*IF(OR(N(INDEX(FC_Desde,10))=0,9&gt;=N(INDEX(FC_Desde,10))),1,0))</f>
        <v>0</v>
      </c>
      <c r="N49" s="48" t="n">
        <f aca="false">IF(cu_P=1,N(INDEX(FC_O,10))*(1+N(INDEX(FC_g,10)))^9*COUNTIFS(Calculo!$F$14:$ES$14,10)*IF(INDEX(FC_Mon,10)="PYG",1/INDEX(TC_O,1,10)*(1+P_dTC),1)*IF(OR(N(INDEX(FC_Desde,10))=0,10&gt;=N(INDEX(FC_Desde,10))),1,0),N(INDEX(FC_V,10))*(1+N(INDEX(FC_g,10)))^9*COUNTIFS(Calculo!$F$170:$ES$170,10)*IF(INDEX(FC_Mon,10)="PYG",1/INDEX(TC_V,1,10)*(1+V_dTC),1)*IF(OR(N(INDEX(FC_Desde,10))=0,10&gt;=N(INDEX(FC_Desde,10))),1,0))</f>
        <v>0</v>
      </c>
      <c r="O49" s="54" t="n">
        <f aca="false">SUM(D49:N49)</f>
        <v>0</v>
      </c>
    </row>
    <row r="50" customFormat="false" ht="15" hidden="true" customHeight="false" outlineLevel="1" collapsed="false">
      <c r="A50" s="11" t="s">
        <v>2337</v>
      </c>
      <c r="B50" s="53" t="str">
        <f aca="false">IF(Costos!$B$85="","Concepto 11",Costos!$B$85&amp;" ("&amp;Costos!$C$85&amp;")")</f>
        <v>Concepto 11</v>
      </c>
      <c r="C50" s="11" t="s">
        <v>508</v>
      </c>
      <c r="D50" s="48" t="n">
        <f aca="false">IF(cu_P=1,N(INDEX(FC_O,11))*SUM(Calculo!$F$16:$ES$16)*IF(INDEX(FC_Mon,11)="PYG",1/INDEX(TC_O,1,1)*(1+P_dTC),1)*IF(N(INDEX(FC_Desde,11))=0,1,0),N(INDEX(FC_V,11))*SUM(Calculo!$F$172:$ES$172)*IF(INDEX(FC_Mon,11)="PYG",1/INDEX(TC_V,1,1)*(1+V_dTC),1)*IF(N(INDEX(FC_Desde,11))=0,1,0))</f>
        <v>0</v>
      </c>
      <c r="E50" s="48" t="n">
        <f aca="false">IF(cu_P=1,N(INDEX(FC_O,11))*(1+N(INDEX(FC_g,11)))^0*COUNTIFS(Calculo!$F$14:$ES$14,1)*IF(INDEX(FC_Mon,11)="PYG",1/INDEX(TC_O,1,1)*(1+P_dTC),1)*IF(OR(N(INDEX(FC_Desde,11))=0,1&gt;=N(INDEX(FC_Desde,11))),1,0),N(INDEX(FC_V,11))*(1+N(INDEX(FC_g,11)))^0*COUNTIFS(Calculo!$F$170:$ES$170,1)*IF(INDEX(FC_Mon,11)="PYG",1/INDEX(TC_V,1,1)*(1+V_dTC),1)*IF(OR(N(INDEX(FC_Desde,11))=0,1&gt;=N(INDEX(FC_Desde,11))),1,0))</f>
        <v>0</v>
      </c>
      <c r="F50" s="48" t="n">
        <f aca="false">IF(cu_P=1,N(INDEX(FC_O,11))*(1+N(INDEX(FC_g,11)))^1*COUNTIFS(Calculo!$F$14:$ES$14,2)*IF(INDEX(FC_Mon,11)="PYG",1/INDEX(TC_O,1,2)*(1+P_dTC),1)*IF(OR(N(INDEX(FC_Desde,11))=0,2&gt;=N(INDEX(FC_Desde,11))),1,0),N(INDEX(FC_V,11))*(1+N(INDEX(FC_g,11)))^1*COUNTIFS(Calculo!$F$170:$ES$170,2)*IF(INDEX(FC_Mon,11)="PYG",1/INDEX(TC_V,1,2)*(1+V_dTC),1)*IF(OR(N(INDEX(FC_Desde,11))=0,2&gt;=N(INDEX(FC_Desde,11))),1,0))</f>
        <v>0</v>
      </c>
      <c r="G50" s="48" t="n">
        <f aca="false">IF(cu_P=1,N(INDEX(FC_O,11))*(1+N(INDEX(FC_g,11)))^2*COUNTIFS(Calculo!$F$14:$ES$14,3)*IF(INDEX(FC_Mon,11)="PYG",1/INDEX(TC_O,1,3)*(1+P_dTC),1)*IF(OR(N(INDEX(FC_Desde,11))=0,3&gt;=N(INDEX(FC_Desde,11))),1,0),N(INDEX(FC_V,11))*(1+N(INDEX(FC_g,11)))^2*COUNTIFS(Calculo!$F$170:$ES$170,3)*IF(INDEX(FC_Mon,11)="PYG",1/INDEX(TC_V,1,3)*(1+V_dTC),1)*IF(OR(N(INDEX(FC_Desde,11))=0,3&gt;=N(INDEX(FC_Desde,11))),1,0))</f>
        <v>0</v>
      </c>
      <c r="H50" s="48" t="n">
        <f aca="false">IF(cu_P=1,N(INDEX(FC_O,11))*(1+N(INDEX(FC_g,11)))^3*COUNTIFS(Calculo!$F$14:$ES$14,4)*IF(INDEX(FC_Mon,11)="PYG",1/INDEX(TC_O,1,4)*(1+P_dTC),1)*IF(OR(N(INDEX(FC_Desde,11))=0,4&gt;=N(INDEX(FC_Desde,11))),1,0),N(INDEX(FC_V,11))*(1+N(INDEX(FC_g,11)))^3*COUNTIFS(Calculo!$F$170:$ES$170,4)*IF(INDEX(FC_Mon,11)="PYG",1/INDEX(TC_V,1,4)*(1+V_dTC),1)*IF(OR(N(INDEX(FC_Desde,11))=0,4&gt;=N(INDEX(FC_Desde,11))),1,0))</f>
        <v>0</v>
      </c>
      <c r="I50" s="48" t="n">
        <f aca="false">IF(cu_P=1,N(INDEX(FC_O,11))*(1+N(INDEX(FC_g,11)))^4*COUNTIFS(Calculo!$F$14:$ES$14,5)*IF(INDEX(FC_Mon,11)="PYG",1/INDEX(TC_O,1,5)*(1+P_dTC),1)*IF(OR(N(INDEX(FC_Desde,11))=0,5&gt;=N(INDEX(FC_Desde,11))),1,0),N(INDEX(FC_V,11))*(1+N(INDEX(FC_g,11)))^4*COUNTIFS(Calculo!$F$170:$ES$170,5)*IF(INDEX(FC_Mon,11)="PYG",1/INDEX(TC_V,1,5)*(1+V_dTC),1)*IF(OR(N(INDEX(FC_Desde,11))=0,5&gt;=N(INDEX(FC_Desde,11))),1,0))</f>
        <v>0</v>
      </c>
      <c r="J50" s="48" t="n">
        <f aca="false">IF(cu_P=1,N(INDEX(FC_O,11))*(1+N(INDEX(FC_g,11)))^5*COUNTIFS(Calculo!$F$14:$ES$14,6)*IF(INDEX(FC_Mon,11)="PYG",1/INDEX(TC_O,1,6)*(1+P_dTC),1)*IF(OR(N(INDEX(FC_Desde,11))=0,6&gt;=N(INDEX(FC_Desde,11))),1,0),N(INDEX(FC_V,11))*(1+N(INDEX(FC_g,11)))^5*COUNTIFS(Calculo!$F$170:$ES$170,6)*IF(INDEX(FC_Mon,11)="PYG",1/INDEX(TC_V,1,6)*(1+V_dTC),1)*IF(OR(N(INDEX(FC_Desde,11))=0,6&gt;=N(INDEX(FC_Desde,11))),1,0))</f>
        <v>0</v>
      </c>
      <c r="K50" s="48" t="n">
        <f aca="false">IF(cu_P=1,N(INDEX(FC_O,11))*(1+N(INDEX(FC_g,11)))^6*COUNTIFS(Calculo!$F$14:$ES$14,7)*IF(INDEX(FC_Mon,11)="PYG",1/INDEX(TC_O,1,7)*(1+P_dTC),1)*IF(OR(N(INDEX(FC_Desde,11))=0,7&gt;=N(INDEX(FC_Desde,11))),1,0),N(INDEX(FC_V,11))*(1+N(INDEX(FC_g,11)))^6*COUNTIFS(Calculo!$F$170:$ES$170,7)*IF(INDEX(FC_Mon,11)="PYG",1/INDEX(TC_V,1,7)*(1+V_dTC),1)*IF(OR(N(INDEX(FC_Desde,11))=0,7&gt;=N(INDEX(FC_Desde,11))),1,0))</f>
        <v>0</v>
      </c>
      <c r="L50" s="48" t="n">
        <f aca="false">IF(cu_P=1,N(INDEX(FC_O,11))*(1+N(INDEX(FC_g,11)))^7*COUNTIFS(Calculo!$F$14:$ES$14,8)*IF(INDEX(FC_Mon,11)="PYG",1/INDEX(TC_O,1,8)*(1+P_dTC),1)*IF(OR(N(INDEX(FC_Desde,11))=0,8&gt;=N(INDEX(FC_Desde,11))),1,0),N(INDEX(FC_V,11))*(1+N(INDEX(FC_g,11)))^7*COUNTIFS(Calculo!$F$170:$ES$170,8)*IF(INDEX(FC_Mon,11)="PYG",1/INDEX(TC_V,1,8)*(1+V_dTC),1)*IF(OR(N(INDEX(FC_Desde,11))=0,8&gt;=N(INDEX(FC_Desde,11))),1,0))</f>
        <v>0</v>
      </c>
      <c r="M50" s="48" t="n">
        <f aca="false">IF(cu_P=1,N(INDEX(FC_O,11))*(1+N(INDEX(FC_g,11)))^8*COUNTIFS(Calculo!$F$14:$ES$14,9)*IF(INDEX(FC_Mon,11)="PYG",1/INDEX(TC_O,1,9)*(1+P_dTC),1)*IF(OR(N(INDEX(FC_Desde,11))=0,9&gt;=N(INDEX(FC_Desde,11))),1,0),N(INDEX(FC_V,11))*(1+N(INDEX(FC_g,11)))^8*COUNTIFS(Calculo!$F$170:$ES$170,9)*IF(INDEX(FC_Mon,11)="PYG",1/INDEX(TC_V,1,9)*(1+V_dTC),1)*IF(OR(N(INDEX(FC_Desde,11))=0,9&gt;=N(INDEX(FC_Desde,11))),1,0))</f>
        <v>0</v>
      </c>
      <c r="N50" s="48" t="n">
        <f aca="false">IF(cu_P=1,N(INDEX(FC_O,11))*(1+N(INDEX(FC_g,11)))^9*COUNTIFS(Calculo!$F$14:$ES$14,10)*IF(INDEX(FC_Mon,11)="PYG",1/INDEX(TC_O,1,10)*(1+P_dTC),1)*IF(OR(N(INDEX(FC_Desde,11))=0,10&gt;=N(INDEX(FC_Desde,11))),1,0),N(INDEX(FC_V,11))*(1+N(INDEX(FC_g,11)))^9*COUNTIFS(Calculo!$F$170:$ES$170,10)*IF(INDEX(FC_Mon,11)="PYG",1/INDEX(TC_V,1,10)*(1+V_dTC),1)*IF(OR(N(INDEX(FC_Desde,11))=0,10&gt;=N(INDEX(FC_Desde,11))),1,0))</f>
        <v>0</v>
      </c>
      <c r="O50" s="54" t="n">
        <f aca="false">SUM(D50:N50)</f>
        <v>0</v>
      </c>
    </row>
    <row r="51" customFormat="false" ht="15" hidden="true" customHeight="false" outlineLevel="1" collapsed="false">
      <c r="A51" s="11" t="s">
        <v>2338</v>
      </c>
      <c r="B51" s="53" t="str">
        <f aca="false">IF(Costos!$B$86="","Concepto 12",Costos!$B$86&amp;" ("&amp;Costos!$C$86&amp;")")</f>
        <v>Concepto 12</v>
      </c>
      <c r="C51" s="11" t="s">
        <v>508</v>
      </c>
      <c r="D51" s="48" t="n">
        <f aca="false">IF(cu_P=1,N(INDEX(FC_O,12))*SUM(Calculo!$F$16:$ES$16)*IF(INDEX(FC_Mon,12)="PYG",1/INDEX(TC_O,1,1)*(1+P_dTC),1)*IF(N(INDEX(FC_Desde,12))=0,1,0),N(INDEX(FC_V,12))*SUM(Calculo!$F$172:$ES$172)*IF(INDEX(FC_Mon,12)="PYG",1/INDEX(TC_V,1,1)*(1+V_dTC),1)*IF(N(INDEX(FC_Desde,12))=0,1,0))</f>
        <v>0</v>
      </c>
      <c r="E51" s="48" t="n">
        <f aca="false">IF(cu_P=1,N(INDEX(FC_O,12))*(1+N(INDEX(FC_g,12)))^0*COUNTIFS(Calculo!$F$14:$ES$14,1)*IF(INDEX(FC_Mon,12)="PYG",1/INDEX(TC_O,1,1)*(1+P_dTC),1)*IF(OR(N(INDEX(FC_Desde,12))=0,1&gt;=N(INDEX(FC_Desde,12))),1,0),N(INDEX(FC_V,12))*(1+N(INDEX(FC_g,12)))^0*COUNTIFS(Calculo!$F$170:$ES$170,1)*IF(INDEX(FC_Mon,12)="PYG",1/INDEX(TC_V,1,1)*(1+V_dTC),1)*IF(OR(N(INDEX(FC_Desde,12))=0,1&gt;=N(INDEX(FC_Desde,12))),1,0))</f>
        <v>0</v>
      </c>
      <c r="F51" s="48" t="n">
        <f aca="false">IF(cu_P=1,N(INDEX(FC_O,12))*(1+N(INDEX(FC_g,12)))^1*COUNTIFS(Calculo!$F$14:$ES$14,2)*IF(INDEX(FC_Mon,12)="PYG",1/INDEX(TC_O,1,2)*(1+P_dTC),1)*IF(OR(N(INDEX(FC_Desde,12))=0,2&gt;=N(INDEX(FC_Desde,12))),1,0),N(INDEX(FC_V,12))*(1+N(INDEX(FC_g,12)))^1*COUNTIFS(Calculo!$F$170:$ES$170,2)*IF(INDEX(FC_Mon,12)="PYG",1/INDEX(TC_V,1,2)*(1+V_dTC),1)*IF(OR(N(INDEX(FC_Desde,12))=0,2&gt;=N(INDEX(FC_Desde,12))),1,0))</f>
        <v>0</v>
      </c>
      <c r="G51" s="48" t="n">
        <f aca="false">IF(cu_P=1,N(INDEX(FC_O,12))*(1+N(INDEX(FC_g,12)))^2*COUNTIFS(Calculo!$F$14:$ES$14,3)*IF(INDEX(FC_Mon,12)="PYG",1/INDEX(TC_O,1,3)*(1+P_dTC),1)*IF(OR(N(INDEX(FC_Desde,12))=0,3&gt;=N(INDEX(FC_Desde,12))),1,0),N(INDEX(FC_V,12))*(1+N(INDEX(FC_g,12)))^2*COUNTIFS(Calculo!$F$170:$ES$170,3)*IF(INDEX(FC_Mon,12)="PYG",1/INDEX(TC_V,1,3)*(1+V_dTC),1)*IF(OR(N(INDEX(FC_Desde,12))=0,3&gt;=N(INDEX(FC_Desde,12))),1,0))</f>
        <v>0</v>
      </c>
      <c r="H51" s="48" t="n">
        <f aca="false">IF(cu_P=1,N(INDEX(FC_O,12))*(1+N(INDEX(FC_g,12)))^3*COUNTIFS(Calculo!$F$14:$ES$14,4)*IF(INDEX(FC_Mon,12)="PYG",1/INDEX(TC_O,1,4)*(1+P_dTC),1)*IF(OR(N(INDEX(FC_Desde,12))=0,4&gt;=N(INDEX(FC_Desde,12))),1,0),N(INDEX(FC_V,12))*(1+N(INDEX(FC_g,12)))^3*COUNTIFS(Calculo!$F$170:$ES$170,4)*IF(INDEX(FC_Mon,12)="PYG",1/INDEX(TC_V,1,4)*(1+V_dTC),1)*IF(OR(N(INDEX(FC_Desde,12))=0,4&gt;=N(INDEX(FC_Desde,12))),1,0))</f>
        <v>0</v>
      </c>
      <c r="I51" s="48" t="n">
        <f aca="false">IF(cu_P=1,N(INDEX(FC_O,12))*(1+N(INDEX(FC_g,12)))^4*COUNTIFS(Calculo!$F$14:$ES$14,5)*IF(INDEX(FC_Mon,12)="PYG",1/INDEX(TC_O,1,5)*(1+P_dTC),1)*IF(OR(N(INDEX(FC_Desde,12))=0,5&gt;=N(INDEX(FC_Desde,12))),1,0),N(INDEX(FC_V,12))*(1+N(INDEX(FC_g,12)))^4*COUNTIFS(Calculo!$F$170:$ES$170,5)*IF(INDEX(FC_Mon,12)="PYG",1/INDEX(TC_V,1,5)*(1+V_dTC),1)*IF(OR(N(INDEX(FC_Desde,12))=0,5&gt;=N(INDEX(FC_Desde,12))),1,0))</f>
        <v>0</v>
      </c>
      <c r="J51" s="48" t="n">
        <f aca="false">IF(cu_P=1,N(INDEX(FC_O,12))*(1+N(INDEX(FC_g,12)))^5*COUNTIFS(Calculo!$F$14:$ES$14,6)*IF(INDEX(FC_Mon,12)="PYG",1/INDEX(TC_O,1,6)*(1+P_dTC),1)*IF(OR(N(INDEX(FC_Desde,12))=0,6&gt;=N(INDEX(FC_Desde,12))),1,0),N(INDEX(FC_V,12))*(1+N(INDEX(FC_g,12)))^5*COUNTIFS(Calculo!$F$170:$ES$170,6)*IF(INDEX(FC_Mon,12)="PYG",1/INDEX(TC_V,1,6)*(1+V_dTC),1)*IF(OR(N(INDEX(FC_Desde,12))=0,6&gt;=N(INDEX(FC_Desde,12))),1,0))</f>
        <v>0</v>
      </c>
      <c r="K51" s="48" t="n">
        <f aca="false">IF(cu_P=1,N(INDEX(FC_O,12))*(1+N(INDEX(FC_g,12)))^6*COUNTIFS(Calculo!$F$14:$ES$14,7)*IF(INDEX(FC_Mon,12)="PYG",1/INDEX(TC_O,1,7)*(1+P_dTC),1)*IF(OR(N(INDEX(FC_Desde,12))=0,7&gt;=N(INDEX(FC_Desde,12))),1,0),N(INDEX(FC_V,12))*(1+N(INDEX(FC_g,12)))^6*COUNTIFS(Calculo!$F$170:$ES$170,7)*IF(INDEX(FC_Mon,12)="PYG",1/INDEX(TC_V,1,7)*(1+V_dTC),1)*IF(OR(N(INDEX(FC_Desde,12))=0,7&gt;=N(INDEX(FC_Desde,12))),1,0))</f>
        <v>0</v>
      </c>
      <c r="L51" s="48" t="n">
        <f aca="false">IF(cu_P=1,N(INDEX(FC_O,12))*(1+N(INDEX(FC_g,12)))^7*COUNTIFS(Calculo!$F$14:$ES$14,8)*IF(INDEX(FC_Mon,12)="PYG",1/INDEX(TC_O,1,8)*(1+P_dTC),1)*IF(OR(N(INDEX(FC_Desde,12))=0,8&gt;=N(INDEX(FC_Desde,12))),1,0),N(INDEX(FC_V,12))*(1+N(INDEX(FC_g,12)))^7*COUNTIFS(Calculo!$F$170:$ES$170,8)*IF(INDEX(FC_Mon,12)="PYG",1/INDEX(TC_V,1,8)*(1+V_dTC),1)*IF(OR(N(INDEX(FC_Desde,12))=0,8&gt;=N(INDEX(FC_Desde,12))),1,0))</f>
        <v>0</v>
      </c>
      <c r="M51" s="48" t="n">
        <f aca="false">IF(cu_P=1,N(INDEX(FC_O,12))*(1+N(INDEX(FC_g,12)))^8*COUNTIFS(Calculo!$F$14:$ES$14,9)*IF(INDEX(FC_Mon,12)="PYG",1/INDEX(TC_O,1,9)*(1+P_dTC),1)*IF(OR(N(INDEX(FC_Desde,12))=0,9&gt;=N(INDEX(FC_Desde,12))),1,0),N(INDEX(FC_V,12))*(1+N(INDEX(FC_g,12)))^8*COUNTIFS(Calculo!$F$170:$ES$170,9)*IF(INDEX(FC_Mon,12)="PYG",1/INDEX(TC_V,1,9)*(1+V_dTC),1)*IF(OR(N(INDEX(FC_Desde,12))=0,9&gt;=N(INDEX(FC_Desde,12))),1,0))</f>
        <v>0</v>
      </c>
      <c r="N51" s="48" t="n">
        <f aca="false">IF(cu_P=1,N(INDEX(FC_O,12))*(1+N(INDEX(FC_g,12)))^9*COUNTIFS(Calculo!$F$14:$ES$14,10)*IF(INDEX(FC_Mon,12)="PYG",1/INDEX(TC_O,1,10)*(1+P_dTC),1)*IF(OR(N(INDEX(FC_Desde,12))=0,10&gt;=N(INDEX(FC_Desde,12))),1,0),N(INDEX(FC_V,12))*(1+N(INDEX(FC_g,12)))^9*COUNTIFS(Calculo!$F$170:$ES$170,10)*IF(INDEX(FC_Mon,12)="PYG",1/INDEX(TC_V,1,10)*(1+V_dTC),1)*IF(OR(N(INDEX(FC_Desde,12))=0,10&gt;=N(INDEX(FC_Desde,12))),1,0))</f>
        <v>0</v>
      </c>
      <c r="O51" s="54" t="n">
        <f aca="false">SUM(D51:N51)</f>
        <v>0</v>
      </c>
    </row>
    <row r="52" customFormat="false" ht="15" hidden="true" customHeight="false" outlineLevel="1" collapsed="false">
      <c r="A52" s="11" t="s">
        <v>2339</v>
      </c>
      <c r="B52" s="53" t="str">
        <f aca="false">IF(Costos!$B$87="","Concepto 13",Costos!$B$87&amp;" ("&amp;Costos!$C$87&amp;")")</f>
        <v>Concepto 13</v>
      </c>
      <c r="C52" s="11" t="s">
        <v>508</v>
      </c>
      <c r="D52" s="48" t="n">
        <f aca="false">IF(cu_P=1,N(INDEX(FC_O,13))*SUM(Calculo!$F$16:$ES$16)*IF(INDEX(FC_Mon,13)="PYG",1/INDEX(TC_O,1,1)*(1+P_dTC),1)*IF(N(INDEX(FC_Desde,13))=0,1,0),N(INDEX(FC_V,13))*SUM(Calculo!$F$172:$ES$172)*IF(INDEX(FC_Mon,13)="PYG",1/INDEX(TC_V,1,1)*(1+V_dTC),1)*IF(N(INDEX(FC_Desde,13))=0,1,0))</f>
        <v>0</v>
      </c>
      <c r="E52" s="48" t="n">
        <f aca="false">IF(cu_P=1,N(INDEX(FC_O,13))*(1+N(INDEX(FC_g,13)))^0*COUNTIFS(Calculo!$F$14:$ES$14,1)*IF(INDEX(FC_Mon,13)="PYG",1/INDEX(TC_O,1,1)*(1+P_dTC),1)*IF(OR(N(INDEX(FC_Desde,13))=0,1&gt;=N(INDEX(FC_Desde,13))),1,0),N(INDEX(FC_V,13))*(1+N(INDEX(FC_g,13)))^0*COUNTIFS(Calculo!$F$170:$ES$170,1)*IF(INDEX(FC_Mon,13)="PYG",1/INDEX(TC_V,1,1)*(1+V_dTC),1)*IF(OR(N(INDEX(FC_Desde,13))=0,1&gt;=N(INDEX(FC_Desde,13))),1,0))</f>
        <v>0</v>
      </c>
      <c r="F52" s="48" t="n">
        <f aca="false">IF(cu_P=1,N(INDEX(FC_O,13))*(1+N(INDEX(FC_g,13)))^1*COUNTIFS(Calculo!$F$14:$ES$14,2)*IF(INDEX(FC_Mon,13)="PYG",1/INDEX(TC_O,1,2)*(1+P_dTC),1)*IF(OR(N(INDEX(FC_Desde,13))=0,2&gt;=N(INDEX(FC_Desde,13))),1,0),N(INDEX(FC_V,13))*(1+N(INDEX(FC_g,13)))^1*COUNTIFS(Calculo!$F$170:$ES$170,2)*IF(INDEX(FC_Mon,13)="PYG",1/INDEX(TC_V,1,2)*(1+V_dTC),1)*IF(OR(N(INDEX(FC_Desde,13))=0,2&gt;=N(INDEX(FC_Desde,13))),1,0))</f>
        <v>0</v>
      </c>
      <c r="G52" s="48" t="n">
        <f aca="false">IF(cu_P=1,N(INDEX(FC_O,13))*(1+N(INDEX(FC_g,13)))^2*COUNTIFS(Calculo!$F$14:$ES$14,3)*IF(INDEX(FC_Mon,13)="PYG",1/INDEX(TC_O,1,3)*(1+P_dTC),1)*IF(OR(N(INDEX(FC_Desde,13))=0,3&gt;=N(INDEX(FC_Desde,13))),1,0),N(INDEX(FC_V,13))*(1+N(INDEX(FC_g,13)))^2*COUNTIFS(Calculo!$F$170:$ES$170,3)*IF(INDEX(FC_Mon,13)="PYG",1/INDEX(TC_V,1,3)*(1+V_dTC),1)*IF(OR(N(INDEX(FC_Desde,13))=0,3&gt;=N(INDEX(FC_Desde,13))),1,0))</f>
        <v>0</v>
      </c>
      <c r="H52" s="48" t="n">
        <f aca="false">IF(cu_P=1,N(INDEX(FC_O,13))*(1+N(INDEX(FC_g,13)))^3*COUNTIFS(Calculo!$F$14:$ES$14,4)*IF(INDEX(FC_Mon,13)="PYG",1/INDEX(TC_O,1,4)*(1+P_dTC),1)*IF(OR(N(INDEX(FC_Desde,13))=0,4&gt;=N(INDEX(FC_Desde,13))),1,0),N(INDEX(FC_V,13))*(1+N(INDEX(FC_g,13)))^3*COUNTIFS(Calculo!$F$170:$ES$170,4)*IF(INDEX(FC_Mon,13)="PYG",1/INDEX(TC_V,1,4)*(1+V_dTC),1)*IF(OR(N(INDEX(FC_Desde,13))=0,4&gt;=N(INDEX(FC_Desde,13))),1,0))</f>
        <v>0</v>
      </c>
      <c r="I52" s="48" t="n">
        <f aca="false">IF(cu_P=1,N(INDEX(FC_O,13))*(1+N(INDEX(FC_g,13)))^4*COUNTIFS(Calculo!$F$14:$ES$14,5)*IF(INDEX(FC_Mon,13)="PYG",1/INDEX(TC_O,1,5)*(1+P_dTC),1)*IF(OR(N(INDEX(FC_Desde,13))=0,5&gt;=N(INDEX(FC_Desde,13))),1,0),N(INDEX(FC_V,13))*(1+N(INDEX(FC_g,13)))^4*COUNTIFS(Calculo!$F$170:$ES$170,5)*IF(INDEX(FC_Mon,13)="PYG",1/INDEX(TC_V,1,5)*(1+V_dTC),1)*IF(OR(N(INDEX(FC_Desde,13))=0,5&gt;=N(INDEX(FC_Desde,13))),1,0))</f>
        <v>0</v>
      </c>
      <c r="J52" s="48" t="n">
        <f aca="false">IF(cu_P=1,N(INDEX(FC_O,13))*(1+N(INDEX(FC_g,13)))^5*COUNTIFS(Calculo!$F$14:$ES$14,6)*IF(INDEX(FC_Mon,13)="PYG",1/INDEX(TC_O,1,6)*(1+P_dTC),1)*IF(OR(N(INDEX(FC_Desde,13))=0,6&gt;=N(INDEX(FC_Desde,13))),1,0),N(INDEX(FC_V,13))*(1+N(INDEX(FC_g,13)))^5*COUNTIFS(Calculo!$F$170:$ES$170,6)*IF(INDEX(FC_Mon,13)="PYG",1/INDEX(TC_V,1,6)*(1+V_dTC),1)*IF(OR(N(INDEX(FC_Desde,13))=0,6&gt;=N(INDEX(FC_Desde,13))),1,0))</f>
        <v>0</v>
      </c>
      <c r="K52" s="48" t="n">
        <f aca="false">IF(cu_P=1,N(INDEX(FC_O,13))*(1+N(INDEX(FC_g,13)))^6*COUNTIFS(Calculo!$F$14:$ES$14,7)*IF(INDEX(FC_Mon,13)="PYG",1/INDEX(TC_O,1,7)*(1+P_dTC),1)*IF(OR(N(INDEX(FC_Desde,13))=0,7&gt;=N(INDEX(FC_Desde,13))),1,0),N(INDEX(FC_V,13))*(1+N(INDEX(FC_g,13)))^6*COUNTIFS(Calculo!$F$170:$ES$170,7)*IF(INDEX(FC_Mon,13)="PYG",1/INDEX(TC_V,1,7)*(1+V_dTC),1)*IF(OR(N(INDEX(FC_Desde,13))=0,7&gt;=N(INDEX(FC_Desde,13))),1,0))</f>
        <v>0</v>
      </c>
      <c r="L52" s="48" t="n">
        <f aca="false">IF(cu_P=1,N(INDEX(FC_O,13))*(1+N(INDEX(FC_g,13)))^7*COUNTIFS(Calculo!$F$14:$ES$14,8)*IF(INDEX(FC_Mon,13)="PYG",1/INDEX(TC_O,1,8)*(1+P_dTC),1)*IF(OR(N(INDEX(FC_Desde,13))=0,8&gt;=N(INDEX(FC_Desde,13))),1,0),N(INDEX(FC_V,13))*(1+N(INDEX(FC_g,13)))^7*COUNTIFS(Calculo!$F$170:$ES$170,8)*IF(INDEX(FC_Mon,13)="PYG",1/INDEX(TC_V,1,8)*(1+V_dTC),1)*IF(OR(N(INDEX(FC_Desde,13))=0,8&gt;=N(INDEX(FC_Desde,13))),1,0))</f>
        <v>0</v>
      </c>
      <c r="M52" s="48" t="n">
        <f aca="false">IF(cu_P=1,N(INDEX(FC_O,13))*(1+N(INDEX(FC_g,13)))^8*COUNTIFS(Calculo!$F$14:$ES$14,9)*IF(INDEX(FC_Mon,13)="PYG",1/INDEX(TC_O,1,9)*(1+P_dTC),1)*IF(OR(N(INDEX(FC_Desde,13))=0,9&gt;=N(INDEX(FC_Desde,13))),1,0),N(INDEX(FC_V,13))*(1+N(INDEX(FC_g,13)))^8*COUNTIFS(Calculo!$F$170:$ES$170,9)*IF(INDEX(FC_Mon,13)="PYG",1/INDEX(TC_V,1,9)*(1+V_dTC),1)*IF(OR(N(INDEX(FC_Desde,13))=0,9&gt;=N(INDEX(FC_Desde,13))),1,0))</f>
        <v>0</v>
      </c>
      <c r="N52" s="48" t="n">
        <f aca="false">IF(cu_P=1,N(INDEX(FC_O,13))*(1+N(INDEX(FC_g,13)))^9*COUNTIFS(Calculo!$F$14:$ES$14,10)*IF(INDEX(FC_Mon,13)="PYG",1/INDEX(TC_O,1,10)*(1+P_dTC),1)*IF(OR(N(INDEX(FC_Desde,13))=0,10&gt;=N(INDEX(FC_Desde,13))),1,0),N(INDEX(FC_V,13))*(1+N(INDEX(FC_g,13)))^9*COUNTIFS(Calculo!$F$170:$ES$170,10)*IF(INDEX(FC_Mon,13)="PYG",1/INDEX(TC_V,1,10)*(1+V_dTC),1)*IF(OR(N(INDEX(FC_Desde,13))=0,10&gt;=N(INDEX(FC_Desde,13))),1,0))</f>
        <v>0</v>
      </c>
      <c r="O52" s="54" t="n">
        <f aca="false">SUM(D52:N52)</f>
        <v>0</v>
      </c>
    </row>
    <row r="53" customFormat="false" ht="15" hidden="true" customHeight="false" outlineLevel="1" collapsed="false">
      <c r="A53" s="11" t="s">
        <v>2340</v>
      </c>
      <c r="B53" s="53" t="str">
        <f aca="false">IF(Costos!$B$88="","Concepto 14",Costos!$B$88&amp;" ("&amp;Costos!$C$88&amp;")")</f>
        <v>Concepto 14</v>
      </c>
      <c r="C53" s="11" t="s">
        <v>508</v>
      </c>
      <c r="D53" s="48" t="n">
        <f aca="false">IF(cu_P=1,N(INDEX(FC_O,14))*SUM(Calculo!$F$16:$ES$16)*IF(INDEX(FC_Mon,14)="PYG",1/INDEX(TC_O,1,1)*(1+P_dTC),1)*IF(N(INDEX(FC_Desde,14))=0,1,0),N(INDEX(FC_V,14))*SUM(Calculo!$F$172:$ES$172)*IF(INDEX(FC_Mon,14)="PYG",1/INDEX(TC_V,1,1)*(1+V_dTC),1)*IF(N(INDEX(FC_Desde,14))=0,1,0))</f>
        <v>0</v>
      </c>
      <c r="E53" s="48" t="n">
        <f aca="false">IF(cu_P=1,N(INDEX(FC_O,14))*(1+N(INDEX(FC_g,14)))^0*COUNTIFS(Calculo!$F$14:$ES$14,1)*IF(INDEX(FC_Mon,14)="PYG",1/INDEX(TC_O,1,1)*(1+P_dTC),1)*IF(OR(N(INDEX(FC_Desde,14))=0,1&gt;=N(INDEX(FC_Desde,14))),1,0),N(INDEX(FC_V,14))*(1+N(INDEX(FC_g,14)))^0*COUNTIFS(Calculo!$F$170:$ES$170,1)*IF(INDEX(FC_Mon,14)="PYG",1/INDEX(TC_V,1,1)*(1+V_dTC),1)*IF(OR(N(INDEX(FC_Desde,14))=0,1&gt;=N(INDEX(FC_Desde,14))),1,0))</f>
        <v>0</v>
      </c>
      <c r="F53" s="48" t="n">
        <f aca="false">IF(cu_P=1,N(INDEX(FC_O,14))*(1+N(INDEX(FC_g,14)))^1*COUNTIFS(Calculo!$F$14:$ES$14,2)*IF(INDEX(FC_Mon,14)="PYG",1/INDEX(TC_O,1,2)*(1+P_dTC),1)*IF(OR(N(INDEX(FC_Desde,14))=0,2&gt;=N(INDEX(FC_Desde,14))),1,0),N(INDEX(FC_V,14))*(1+N(INDEX(FC_g,14)))^1*COUNTIFS(Calculo!$F$170:$ES$170,2)*IF(INDEX(FC_Mon,14)="PYG",1/INDEX(TC_V,1,2)*(1+V_dTC),1)*IF(OR(N(INDEX(FC_Desde,14))=0,2&gt;=N(INDEX(FC_Desde,14))),1,0))</f>
        <v>0</v>
      </c>
      <c r="G53" s="48" t="n">
        <f aca="false">IF(cu_P=1,N(INDEX(FC_O,14))*(1+N(INDEX(FC_g,14)))^2*COUNTIFS(Calculo!$F$14:$ES$14,3)*IF(INDEX(FC_Mon,14)="PYG",1/INDEX(TC_O,1,3)*(1+P_dTC),1)*IF(OR(N(INDEX(FC_Desde,14))=0,3&gt;=N(INDEX(FC_Desde,14))),1,0),N(INDEX(FC_V,14))*(1+N(INDEX(FC_g,14)))^2*COUNTIFS(Calculo!$F$170:$ES$170,3)*IF(INDEX(FC_Mon,14)="PYG",1/INDEX(TC_V,1,3)*(1+V_dTC),1)*IF(OR(N(INDEX(FC_Desde,14))=0,3&gt;=N(INDEX(FC_Desde,14))),1,0))</f>
        <v>0</v>
      </c>
      <c r="H53" s="48" t="n">
        <f aca="false">IF(cu_P=1,N(INDEX(FC_O,14))*(1+N(INDEX(FC_g,14)))^3*COUNTIFS(Calculo!$F$14:$ES$14,4)*IF(INDEX(FC_Mon,14)="PYG",1/INDEX(TC_O,1,4)*(1+P_dTC),1)*IF(OR(N(INDEX(FC_Desde,14))=0,4&gt;=N(INDEX(FC_Desde,14))),1,0),N(INDEX(FC_V,14))*(1+N(INDEX(FC_g,14)))^3*COUNTIFS(Calculo!$F$170:$ES$170,4)*IF(INDEX(FC_Mon,14)="PYG",1/INDEX(TC_V,1,4)*(1+V_dTC),1)*IF(OR(N(INDEX(FC_Desde,14))=0,4&gt;=N(INDEX(FC_Desde,14))),1,0))</f>
        <v>0</v>
      </c>
      <c r="I53" s="48" t="n">
        <f aca="false">IF(cu_P=1,N(INDEX(FC_O,14))*(1+N(INDEX(FC_g,14)))^4*COUNTIFS(Calculo!$F$14:$ES$14,5)*IF(INDEX(FC_Mon,14)="PYG",1/INDEX(TC_O,1,5)*(1+P_dTC),1)*IF(OR(N(INDEX(FC_Desde,14))=0,5&gt;=N(INDEX(FC_Desde,14))),1,0),N(INDEX(FC_V,14))*(1+N(INDEX(FC_g,14)))^4*COUNTIFS(Calculo!$F$170:$ES$170,5)*IF(INDEX(FC_Mon,14)="PYG",1/INDEX(TC_V,1,5)*(1+V_dTC),1)*IF(OR(N(INDEX(FC_Desde,14))=0,5&gt;=N(INDEX(FC_Desde,14))),1,0))</f>
        <v>0</v>
      </c>
      <c r="J53" s="48" t="n">
        <f aca="false">IF(cu_P=1,N(INDEX(FC_O,14))*(1+N(INDEX(FC_g,14)))^5*COUNTIFS(Calculo!$F$14:$ES$14,6)*IF(INDEX(FC_Mon,14)="PYG",1/INDEX(TC_O,1,6)*(1+P_dTC),1)*IF(OR(N(INDEX(FC_Desde,14))=0,6&gt;=N(INDEX(FC_Desde,14))),1,0),N(INDEX(FC_V,14))*(1+N(INDEX(FC_g,14)))^5*COUNTIFS(Calculo!$F$170:$ES$170,6)*IF(INDEX(FC_Mon,14)="PYG",1/INDEX(TC_V,1,6)*(1+V_dTC),1)*IF(OR(N(INDEX(FC_Desde,14))=0,6&gt;=N(INDEX(FC_Desde,14))),1,0))</f>
        <v>0</v>
      </c>
      <c r="K53" s="48" t="n">
        <f aca="false">IF(cu_P=1,N(INDEX(FC_O,14))*(1+N(INDEX(FC_g,14)))^6*COUNTIFS(Calculo!$F$14:$ES$14,7)*IF(INDEX(FC_Mon,14)="PYG",1/INDEX(TC_O,1,7)*(1+P_dTC),1)*IF(OR(N(INDEX(FC_Desde,14))=0,7&gt;=N(INDEX(FC_Desde,14))),1,0),N(INDEX(FC_V,14))*(1+N(INDEX(FC_g,14)))^6*COUNTIFS(Calculo!$F$170:$ES$170,7)*IF(INDEX(FC_Mon,14)="PYG",1/INDEX(TC_V,1,7)*(1+V_dTC),1)*IF(OR(N(INDEX(FC_Desde,14))=0,7&gt;=N(INDEX(FC_Desde,14))),1,0))</f>
        <v>0</v>
      </c>
      <c r="L53" s="48" t="n">
        <f aca="false">IF(cu_P=1,N(INDEX(FC_O,14))*(1+N(INDEX(FC_g,14)))^7*COUNTIFS(Calculo!$F$14:$ES$14,8)*IF(INDEX(FC_Mon,14)="PYG",1/INDEX(TC_O,1,8)*(1+P_dTC),1)*IF(OR(N(INDEX(FC_Desde,14))=0,8&gt;=N(INDEX(FC_Desde,14))),1,0),N(INDEX(FC_V,14))*(1+N(INDEX(FC_g,14)))^7*COUNTIFS(Calculo!$F$170:$ES$170,8)*IF(INDEX(FC_Mon,14)="PYG",1/INDEX(TC_V,1,8)*(1+V_dTC),1)*IF(OR(N(INDEX(FC_Desde,14))=0,8&gt;=N(INDEX(FC_Desde,14))),1,0))</f>
        <v>0</v>
      </c>
      <c r="M53" s="48" t="n">
        <f aca="false">IF(cu_P=1,N(INDEX(FC_O,14))*(1+N(INDEX(FC_g,14)))^8*COUNTIFS(Calculo!$F$14:$ES$14,9)*IF(INDEX(FC_Mon,14)="PYG",1/INDEX(TC_O,1,9)*(1+P_dTC),1)*IF(OR(N(INDEX(FC_Desde,14))=0,9&gt;=N(INDEX(FC_Desde,14))),1,0),N(INDEX(FC_V,14))*(1+N(INDEX(FC_g,14)))^8*COUNTIFS(Calculo!$F$170:$ES$170,9)*IF(INDEX(FC_Mon,14)="PYG",1/INDEX(TC_V,1,9)*(1+V_dTC),1)*IF(OR(N(INDEX(FC_Desde,14))=0,9&gt;=N(INDEX(FC_Desde,14))),1,0))</f>
        <v>0</v>
      </c>
      <c r="N53" s="48" t="n">
        <f aca="false">IF(cu_P=1,N(INDEX(FC_O,14))*(1+N(INDEX(FC_g,14)))^9*COUNTIFS(Calculo!$F$14:$ES$14,10)*IF(INDEX(FC_Mon,14)="PYG",1/INDEX(TC_O,1,10)*(1+P_dTC),1)*IF(OR(N(INDEX(FC_Desde,14))=0,10&gt;=N(INDEX(FC_Desde,14))),1,0),N(INDEX(FC_V,14))*(1+N(INDEX(FC_g,14)))^9*COUNTIFS(Calculo!$F$170:$ES$170,10)*IF(INDEX(FC_Mon,14)="PYG",1/INDEX(TC_V,1,10)*(1+V_dTC),1)*IF(OR(N(INDEX(FC_Desde,14))=0,10&gt;=N(INDEX(FC_Desde,14))),1,0))</f>
        <v>0</v>
      </c>
      <c r="O53" s="54" t="n">
        <f aca="false">SUM(D53:N53)</f>
        <v>0</v>
      </c>
    </row>
    <row r="54" customFormat="false" ht="15" hidden="true" customHeight="false" outlineLevel="1" collapsed="false">
      <c r="A54" s="11" t="s">
        <v>2341</v>
      </c>
      <c r="B54" s="53" t="str">
        <f aca="false">IF(Costos!$B$89="","Concepto 15",Costos!$B$89&amp;" ("&amp;Costos!$C$89&amp;")")</f>
        <v>Concepto 15</v>
      </c>
      <c r="C54" s="11" t="s">
        <v>508</v>
      </c>
      <c r="D54" s="48" t="n">
        <f aca="false">IF(cu_P=1,N(INDEX(FC_O,15))*SUM(Calculo!$F$16:$ES$16)*IF(INDEX(FC_Mon,15)="PYG",1/INDEX(TC_O,1,1)*(1+P_dTC),1)*IF(N(INDEX(FC_Desde,15))=0,1,0),N(INDEX(FC_V,15))*SUM(Calculo!$F$172:$ES$172)*IF(INDEX(FC_Mon,15)="PYG",1/INDEX(TC_V,1,1)*(1+V_dTC),1)*IF(N(INDEX(FC_Desde,15))=0,1,0))</f>
        <v>0</v>
      </c>
      <c r="E54" s="48" t="n">
        <f aca="false">IF(cu_P=1,N(INDEX(FC_O,15))*(1+N(INDEX(FC_g,15)))^0*COUNTIFS(Calculo!$F$14:$ES$14,1)*IF(INDEX(FC_Mon,15)="PYG",1/INDEX(TC_O,1,1)*(1+P_dTC),1)*IF(OR(N(INDEX(FC_Desde,15))=0,1&gt;=N(INDEX(FC_Desde,15))),1,0),N(INDEX(FC_V,15))*(1+N(INDEX(FC_g,15)))^0*COUNTIFS(Calculo!$F$170:$ES$170,1)*IF(INDEX(FC_Mon,15)="PYG",1/INDEX(TC_V,1,1)*(1+V_dTC),1)*IF(OR(N(INDEX(FC_Desde,15))=0,1&gt;=N(INDEX(FC_Desde,15))),1,0))</f>
        <v>0</v>
      </c>
      <c r="F54" s="48" t="n">
        <f aca="false">IF(cu_P=1,N(INDEX(FC_O,15))*(1+N(INDEX(FC_g,15)))^1*COUNTIFS(Calculo!$F$14:$ES$14,2)*IF(INDEX(FC_Mon,15)="PYG",1/INDEX(TC_O,1,2)*(1+P_dTC),1)*IF(OR(N(INDEX(FC_Desde,15))=0,2&gt;=N(INDEX(FC_Desde,15))),1,0),N(INDEX(FC_V,15))*(1+N(INDEX(FC_g,15)))^1*COUNTIFS(Calculo!$F$170:$ES$170,2)*IF(INDEX(FC_Mon,15)="PYG",1/INDEX(TC_V,1,2)*(1+V_dTC),1)*IF(OR(N(INDEX(FC_Desde,15))=0,2&gt;=N(INDEX(FC_Desde,15))),1,0))</f>
        <v>0</v>
      </c>
      <c r="G54" s="48" t="n">
        <f aca="false">IF(cu_P=1,N(INDEX(FC_O,15))*(1+N(INDEX(FC_g,15)))^2*COUNTIFS(Calculo!$F$14:$ES$14,3)*IF(INDEX(FC_Mon,15)="PYG",1/INDEX(TC_O,1,3)*(1+P_dTC),1)*IF(OR(N(INDEX(FC_Desde,15))=0,3&gt;=N(INDEX(FC_Desde,15))),1,0),N(INDEX(FC_V,15))*(1+N(INDEX(FC_g,15)))^2*COUNTIFS(Calculo!$F$170:$ES$170,3)*IF(INDEX(FC_Mon,15)="PYG",1/INDEX(TC_V,1,3)*(1+V_dTC),1)*IF(OR(N(INDEX(FC_Desde,15))=0,3&gt;=N(INDEX(FC_Desde,15))),1,0))</f>
        <v>0</v>
      </c>
      <c r="H54" s="48" t="n">
        <f aca="false">IF(cu_P=1,N(INDEX(FC_O,15))*(1+N(INDEX(FC_g,15)))^3*COUNTIFS(Calculo!$F$14:$ES$14,4)*IF(INDEX(FC_Mon,15)="PYG",1/INDEX(TC_O,1,4)*(1+P_dTC),1)*IF(OR(N(INDEX(FC_Desde,15))=0,4&gt;=N(INDEX(FC_Desde,15))),1,0),N(INDEX(FC_V,15))*(1+N(INDEX(FC_g,15)))^3*COUNTIFS(Calculo!$F$170:$ES$170,4)*IF(INDEX(FC_Mon,15)="PYG",1/INDEX(TC_V,1,4)*(1+V_dTC),1)*IF(OR(N(INDEX(FC_Desde,15))=0,4&gt;=N(INDEX(FC_Desde,15))),1,0))</f>
        <v>0</v>
      </c>
      <c r="I54" s="48" t="n">
        <f aca="false">IF(cu_P=1,N(INDEX(FC_O,15))*(1+N(INDEX(FC_g,15)))^4*COUNTIFS(Calculo!$F$14:$ES$14,5)*IF(INDEX(FC_Mon,15)="PYG",1/INDEX(TC_O,1,5)*(1+P_dTC),1)*IF(OR(N(INDEX(FC_Desde,15))=0,5&gt;=N(INDEX(FC_Desde,15))),1,0),N(INDEX(FC_V,15))*(1+N(INDEX(FC_g,15)))^4*COUNTIFS(Calculo!$F$170:$ES$170,5)*IF(INDEX(FC_Mon,15)="PYG",1/INDEX(TC_V,1,5)*(1+V_dTC),1)*IF(OR(N(INDEX(FC_Desde,15))=0,5&gt;=N(INDEX(FC_Desde,15))),1,0))</f>
        <v>0</v>
      </c>
      <c r="J54" s="48" t="n">
        <f aca="false">IF(cu_P=1,N(INDEX(FC_O,15))*(1+N(INDEX(FC_g,15)))^5*COUNTIFS(Calculo!$F$14:$ES$14,6)*IF(INDEX(FC_Mon,15)="PYG",1/INDEX(TC_O,1,6)*(1+P_dTC),1)*IF(OR(N(INDEX(FC_Desde,15))=0,6&gt;=N(INDEX(FC_Desde,15))),1,0),N(INDEX(FC_V,15))*(1+N(INDEX(FC_g,15)))^5*COUNTIFS(Calculo!$F$170:$ES$170,6)*IF(INDEX(FC_Mon,15)="PYG",1/INDEX(TC_V,1,6)*(1+V_dTC),1)*IF(OR(N(INDEX(FC_Desde,15))=0,6&gt;=N(INDEX(FC_Desde,15))),1,0))</f>
        <v>0</v>
      </c>
      <c r="K54" s="48" t="n">
        <f aca="false">IF(cu_P=1,N(INDEX(FC_O,15))*(1+N(INDEX(FC_g,15)))^6*COUNTIFS(Calculo!$F$14:$ES$14,7)*IF(INDEX(FC_Mon,15)="PYG",1/INDEX(TC_O,1,7)*(1+P_dTC),1)*IF(OR(N(INDEX(FC_Desde,15))=0,7&gt;=N(INDEX(FC_Desde,15))),1,0),N(INDEX(FC_V,15))*(1+N(INDEX(FC_g,15)))^6*COUNTIFS(Calculo!$F$170:$ES$170,7)*IF(INDEX(FC_Mon,15)="PYG",1/INDEX(TC_V,1,7)*(1+V_dTC),1)*IF(OR(N(INDEX(FC_Desde,15))=0,7&gt;=N(INDEX(FC_Desde,15))),1,0))</f>
        <v>0</v>
      </c>
      <c r="L54" s="48" t="n">
        <f aca="false">IF(cu_P=1,N(INDEX(FC_O,15))*(1+N(INDEX(FC_g,15)))^7*COUNTIFS(Calculo!$F$14:$ES$14,8)*IF(INDEX(FC_Mon,15)="PYG",1/INDEX(TC_O,1,8)*(1+P_dTC),1)*IF(OR(N(INDEX(FC_Desde,15))=0,8&gt;=N(INDEX(FC_Desde,15))),1,0),N(INDEX(FC_V,15))*(1+N(INDEX(FC_g,15)))^7*COUNTIFS(Calculo!$F$170:$ES$170,8)*IF(INDEX(FC_Mon,15)="PYG",1/INDEX(TC_V,1,8)*(1+V_dTC),1)*IF(OR(N(INDEX(FC_Desde,15))=0,8&gt;=N(INDEX(FC_Desde,15))),1,0))</f>
        <v>0</v>
      </c>
      <c r="M54" s="48" t="n">
        <f aca="false">IF(cu_P=1,N(INDEX(FC_O,15))*(1+N(INDEX(FC_g,15)))^8*COUNTIFS(Calculo!$F$14:$ES$14,9)*IF(INDEX(FC_Mon,15)="PYG",1/INDEX(TC_O,1,9)*(1+P_dTC),1)*IF(OR(N(INDEX(FC_Desde,15))=0,9&gt;=N(INDEX(FC_Desde,15))),1,0),N(INDEX(FC_V,15))*(1+N(INDEX(FC_g,15)))^8*COUNTIFS(Calculo!$F$170:$ES$170,9)*IF(INDEX(FC_Mon,15)="PYG",1/INDEX(TC_V,1,9)*(1+V_dTC),1)*IF(OR(N(INDEX(FC_Desde,15))=0,9&gt;=N(INDEX(FC_Desde,15))),1,0))</f>
        <v>0</v>
      </c>
      <c r="N54" s="48" t="n">
        <f aca="false">IF(cu_P=1,N(INDEX(FC_O,15))*(1+N(INDEX(FC_g,15)))^9*COUNTIFS(Calculo!$F$14:$ES$14,10)*IF(INDEX(FC_Mon,15)="PYG",1/INDEX(TC_O,1,10)*(1+P_dTC),1)*IF(OR(N(INDEX(FC_Desde,15))=0,10&gt;=N(INDEX(FC_Desde,15))),1,0),N(INDEX(FC_V,15))*(1+N(INDEX(FC_g,15)))^9*COUNTIFS(Calculo!$F$170:$ES$170,10)*IF(INDEX(FC_Mon,15)="PYG",1/INDEX(TC_V,1,10)*(1+V_dTC),1)*IF(OR(N(INDEX(FC_Desde,15))=0,10&gt;=N(INDEX(FC_Desde,15))),1,0))</f>
        <v>0</v>
      </c>
      <c r="O54" s="54" t="n">
        <f aca="false">SUM(D54:N54)</f>
        <v>0</v>
      </c>
    </row>
    <row r="55" customFormat="false" ht="15" hidden="true" customHeight="false" outlineLevel="1" collapsed="false">
      <c r="A55" s="11" t="s">
        <v>2342</v>
      </c>
      <c r="B55" s="53" t="str">
        <f aca="false">IF(Costos!$B$90="","Concepto 16",Costos!$B$90&amp;" ("&amp;Costos!$C$90&amp;")")</f>
        <v>Concepto 16</v>
      </c>
      <c r="C55" s="11" t="s">
        <v>508</v>
      </c>
      <c r="D55" s="48" t="n">
        <f aca="false">IF(cu_P=1,N(INDEX(FC_O,16))*SUM(Calculo!$F$16:$ES$16)*IF(INDEX(FC_Mon,16)="PYG",1/INDEX(TC_O,1,1)*(1+P_dTC),1)*IF(N(INDEX(FC_Desde,16))=0,1,0),N(INDEX(FC_V,16))*SUM(Calculo!$F$172:$ES$172)*IF(INDEX(FC_Mon,16)="PYG",1/INDEX(TC_V,1,1)*(1+V_dTC),1)*IF(N(INDEX(FC_Desde,16))=0,1,0))</f>
        <v>0</v>
      </c>
      <c r="E55" s="48" t="n">
        <f aca="false">IF(cu_P=1,N(INDEX(FC_O,16))*(1+N(INDEX(FC_g,16)))^0*COUNTIFS(Calculo!$F$14:$ES$14,1)*IF(INDEX(FC_Mon,16)="PYG",1/INDEX(TC_O,1,1)*(1+P_dTC),1)*IF(OR(N(INDEX(FC_Desde,16))=0,1&gt;=N(INDEX(FC_Desde,16))),1,0),N(INDEX(FC_V,16))*(1+N(INDEX(FC_g,16)))^0*COUNTIFS(Calculo!$F$170:$ES$170,1)*IF(INDEX(FC_Mon,16)="PYG",1/INDEX(TC_V,1,1)*(1+V_dTC),1)*IF(OR(N(INDEX(FC_Desde,16))=0,1&gt;=N(INDEX(FC_Desde,16))),1,0))</f>
        <v>0</v>
      </c>
      <c r="F55" s="48" t="n">
        <f aca="false">IF(cu_P=1,N(INDEX(FC_O,16))*(1+N(INDEX(FC_g,16)))^1*COUNTIFS(Calculo!$F$14:$ES$14,2)*IF(INDEX(FC_Mon,16)="PYG",1/INDEX(TC_O,1,2)*(1+P_dTC),1)*IF(OR(N(INDEX(FC_Desde,16))=0,2&gt;=N(INDEX(FC_Desde,16))),1,0),N(INDEX(FC_V,16))*(1+N(INDEX(FC_g,16)))^1*COUNTIFS(Calculo!$F$170:$ES$170,2)*IF(INDEX(FC_Mon,16)="PYG",1/INDEX(TC_V,1,2)*(1+V_dTC),1)*IF(OR(N(INDEX(FC_Desde,16))=0,2&gt;=N(INDEX(FC_Desde,16))),1,0))</f>
        <v>0</v>
      </c>
      <c r="G55" s="48" t="n">
        <f aca="false">IF(cu_P=1,N(INDEX(FC_O,16))*(1+N(INDEX(FC_g,16)))^2*COUNTIFS(Calculo!$F$14:$ES$14,3)*IF(INDEX(FC_Mon,16)="PYG",1/INDEX(TC_O,1,3)*(1+P_dTC),1)*IF(OR(N(INDEX(FC_Desde,16))=0,3&gt;=N(INDEX(FC_Desde,16))),1,0),N(INDEX(FC_V,16))*(1+N(INDEX(FC_g,16)))^2*COUNTIFS(Calculo!$F$170:$ES$170,3)*IF(INDEX(FC_Mon,16)="PYG",1/INDEX(TC_V,1,3)*(1+V_dTC),1)*IF(OR(N(INDEX(FC_Desde,16))=0,3&gt;=N(INDEX(FC_Desde,16))),1,0))</f>
        <v>0</v>
      </c>
      <c r="H55" s="48" t="n">
        <f aca="false">IF(cu_P=1,N(INDEX(FC_O,16))*(1+N(INDEX(FC_g,16)))^3*COUNTIFS(Calculo!$F$14:$ES$14,4)*IF(INDEX(FC_Mon,16)="PYG",1/INDEX(TC_O,1,4)*(1+P_dTC),1)*IF(OR(N(INDEX(FC_Desde,16))=0,4&gt;=N(INDEX(FC_Desde,16))),1,0),N(INDEX(FC_V,16))*(1+N(INDEX(FC_g,16)))^3*COUNTIFS(Calculo!$F$170:$ES$170,4)*IF(INDEX(FC_Mon,16)="PYG",1/INDEX(TC_V,1,4)*(1+V_dTC),1)*IF(OR(N(INDEX(FC_Desde,16))=0,4&gt;=N(INDEX(FC_Desde,16))),1,0))</f>
        <v>0</v>
      </c>
      <c r="I55" s="48" t="n">
        <f aca="false">IF(cu_P=1,N(INDEX(FC_O,16))*(1+N(INDEX(FC_g,16)))^4*COUNTIFS(Calculo!$F$14:$ES$14,5)*IF(INDEX(FC_Mon,16)="PYG",1/INDEX(TC_O,1,5)*(1+P_dTC),1)*IF(OR(N(INDEX(FC_Desde,16))=0,5&gt;=N(INDEX(FC_Desde,16))),1,0),N(INDEX(FC_V,16))*(1+N(INDEX(FC_g,16)))^4*COUNTIFS(Calculo!$F$170:$ES$170,5)*IF(INDEX(FC_Mon,16)="PYG",1/INDEX(TC_V,1,5)*(1+V_dTC),1)*IF(OR(N(INDEX(FC_Desde,16))=0,5&gt;=N(INDEX(FC_Desde,16))),1,0))</f>
        <v>0</v>
      </c>
      <c r="J55" s="48" t="n">
        <f aca="false">IF(cu_P=1,N(INDEX(FC_O,16))*(1+N(INDEX(FC_g,16)))^5*COUNTIFS(Calculo!$F$14:$ES$14,6)*IF(INDEX(FC_Mon,16)="PYG",1/INDEX(TC_O,1,6)*(1+P_dTC),1)*IF(OR(N(INDEX(FC_Desde,16))=0,6&gt;=N(INDEX(FC_Desde,16))),1,0),N(INDEX(FC_V,16))*(1+N(INDEX(FC_g,16)))^5*COUNTIFS(Calculo!$F$170:$ES$170,6)*IF(INDEX(FC_Mon,16)="PYG",1/INDEX(TC_V,1,6)*(1+V_dTC),1)*IF(OR(N(INDEX(FC_Desde,16))=0,6&gt;=N(INDEX(FC_Desde,16))),1,0))</f>
        <v>0</v>
      </c>
      <c r="K55" s="48" t="n">
        <f aca="false">IF(cu_P=1,N(INDEX(FC_O,16))*(1+N(INDEX(FC_g,16)))^6*COUNTIFS(Calculo!$F$14:$ES$14,7)*IF(INDEX(FC_Mon,16)="PYG",1/INDEX(TC_O,1,7)*(1+P_dTC),1)*IF(OR(N(INDEX(FC_Desde,16))=0,7&gt;=N(INDEX(FC_Desde,16))),1,0),N(INDEX(FC_V,16))*(1+N(INDEX(FC_g,16)))^6*COUNTIFS(Calculo!$F$170:$ES$170,7)*IF(INDEX(FC_Mon,16)="PYG",1/INDEX(TC_V,1,7)*(1+V_dTC),1)*IF(OR(N(INDEX(FC_Desde,16))=0,7&gt;=N(INDEX(FC_Desde,16))),1,0))</f>
        <v>0</v>
      </c>
      <c r="L55" s="48" t="n">
        <f aca="false">IF(cu_P=1,N(INDEX(FC_O,16))*(1+N(INDEX(FC_g,16)))^7*COUNTIFS(Calculo!$F$14:$ES$14,8)*IF(INDEX(FC_Mon,16)="PYG",1/INDEX(TC_O,1,8)*(1+P_dTC),1)*IF(OR(N(INDEX(FC_Desde,16))=0,8&gt;=N(INDEX(FC_Desde,16))),1,0),N(INDEX(FC_V,16))*(1+N(INDEX(FC_g,16)))^7*COUNTIFS(Calculo!$F$170:$ES$170,8)*IF(INDEX(FC_Mon,16)="PYG",1/INDEX(TC_V,1,8)*(1+V_dTC),1)*IF(OR(N(INDEX(FC_Desde,16))=0,8&gt;=N(INDEX(FC_Desde,16))),1,0))</f>
        <v>0</v>
      </c>
      <c r="M55" s="48" t="n">
        <f aca="false">IF(cu_P=1,N(INDEX(FC_O,16))*(1+N(INDEX(FC_g,16)))^8*COUNTIFS(Calculo!$F$14:$ES$14,9)*IF(INDEX(FC_Mon,16)="PYG",1/INDEX(TC_O,1,9)*(1+P_dTC),1)*IF(OR(N(INDEX(FC_Desde,16))=0,9&gt;=N(INDEX(FC_Desde,16))),1,0),N(INDEX(FC_V,16))*(1+N(INDEX(FC_g,16)))^8*COUNTIFS(Calculo!$F$170:$ES$170,9)*IF(INDEX(FC_Mon,16)="PYG",1/INDEX(TC_V,1,9)*(1+V_dTC),1)*IF(OR(N(INDEX(FC_Desde,16))=0,9&gt;=N(INDEX(FC_Desde,16))),1,0))</f>
        <v>0</v>
      </c>
      <c r="N55" s="48" t="n">
        <f aca="false">IF(cu_P=1,N(INDEX(FC_O,16))*(1+N(INDEX(FC_g,16)))^9*COUNTIFS(Calculo!$F$14:$ES$14,10)*IF(INDEX(FC_Mon,16)="PYG",1/INDEX(TC_O,1,10)*(1+P_dTC),1)*IF(OR(N(INDEX(FC_Desde,16))=0,10&gt;=N(INDEX(FC_Desde,16))),1,0),N(INDEX(FC_V,16))*(1+N(INDEX(FC_g,16)))^9*COUNTIFS(Calculo!$F$170:$ES$170,10)*IF(INDEX(FC_Mon,16)="PYG",1/INDEX(TC_V,1,10)*(1+V_dTC),1)*IF(OR(N(INDEX(FC_Desde,16))=0,10&gt;=N(INDEX(FC_Desde,16))),1,0))</f>
        <v>0</v>
      </c>
      <c r="O55" s="54" t="n">
        <f aca="false">SUM(D55:N55)</f>
        <v>0</v>
      </c>
    </row>
    <row r="56" customFormat="false" ht="15" hidden="true" customHeight="false" outlineLevel="1" collapsed="false">
      <c r="A56" s="11" t="s">
        <v>2343</v>
      </c>
      <c r="B56" s="53" t="str">
        <f aca="false">IF(Costos!$B$91="","Concepto 17",Costos!$B$91&amp;" ("&amp;Costos!$C$91&amp;")")</f>
        <v>Concepto 17</v>
      </c>
      <c r="C56" s="11" t="s">
        <v>508</v>
      </c>
      <c r="D56" s="48" t="n">
        <f aca="false">IF(cu_P=1,N(INDEX(FC_O,17))*SUM(Calculo!$F$16:$ES$16)*IF(INDEX(FC_Mon,17)="PYG",1/INDEX(TC_O,1,1)*(1+P_dTC),1)*IF(N(INDEX(FC_Desde,17))=0,1,0),N(INDEX(FC_V,17))*SUM(Calculo!$F$172:$ES$172)*IF(INDEX(FC_Mon,17)="PYG",1/INDEX(TC_V,1,1)*(1+V_dTC),1)*IF(N(INDEX(FC_Desde,17))=0,1,0))</f>
        <v>0</v>
      </c>
      <c r="E56" s="48" t="n">
        <f aca="false">IF(cu_P=1,N(INDEX(FC_O,17))*(1+N(INDEX(FC_g,17)))^0*COUNTIFS(Calculo!$F$14:$ES$14,1)*IF(INDEX(FC_Mon,17)="PYG",1/INDEX(TC_O,1,1)*(1+P_dTC),1)*IF(OR(N(INDEX(FC_Desde,17))=0,1&gt;=N(INDEX(FC_Desde,17))),1,0),N(INDEX(FC_V,17))*(1+N(INDEX(FC_g,17)))^0*COUNTIFS(Calculo!$F$170:$ES$170,1)*IF(INDEX(FC_Mon,17)="PYG",1/INDEX(TC_V,1,1)*(1+V_dTC),1)*IF(OR(N(INDEX(FC_Desde,17))=0,1&gt;=N(INDEX(FC_Desde,17))),1,0))</f>
        <v>0</v>
      </c>
      <c r="F56" s="48" t="n">
        <f aca="false">IF(cu_P=1,N(INDEX(FC_O,17))*(1+N(INDEX(FC_g,17)))^1*COUNTIFS(Calculo!$F$14:$ES$14,2)*IF(INDEX(FC_Mon,17)="PYG",1/INDEX(TC_O,1,2)*(1+P_dTC),1)*IF(OR(N(INDEX(FC_Desde,17))=0,2&gt;=N(INDEX(FC_Desde,17))),1,0),N(INDEX(FC_V,17))*(1+N(INDEX(FC_g,17)))^1*COUNTIFS(Calculo!$F$170:$ES$170,2)*IF(INDEX(FC_Mon,17)="PYG",1/INDEX(TC_V,1,2)*(1+V_dTC),1)*IF(OR(N(INDEX(FC_Desde,17))=0,2&gt;=N(INDEX(FC_Desde,17))),1,0))</f>
        <v>0</v>
      </c>
      <c r="G56" s="48" t="n">
        <f aca="false">IF(cu_P=1,N(INDEX(FC_O,17))*(1+N(INDEX(FC_g,17)))^2*COUNTIFS(Calculo!$F$14:$ES$14,3)*IF(INDEX(FC_Mon,17)="PYG",1/INDEX(TC_O,1,3)*(1+P_dTC),1)*IF(OR(N(INDEX(FC_Desde,17))=0,3&gt;=N(INDEX(FC_Desde,17))),1,0),N(INDEX(FC_V,17))*(1+N(INDEX(FC_g,17)))^2*COUNTIFS(Calculo!$F$170:$ES$170,3)*IF(INDEX(FC_Mon,17)="PYG",1/INDEX(TC_V,1,3)*(1+V_dTC),1)*IF(OR(N(INDEX(FC_Desde,17))=0,3&gt;=N(INDEX(FC_Desde,17))),1,0))</f>
        <v>0</v>
      </c>
      <c r="H56" s="48" t="n">
        <f aca="false">IF(cu_P=1,N(INDEX(FC_O,17))*(1+N(INDEX(FC_g,17)))^3*COUNTIFS(Calculo!$F$14:$ES$14,4)*IF(INDEX(FC_Mon,17)="PYG",1/INDEX(TC_O,1,4)*(1+P_dTC),1)*IF(OR(N(INDEX(FC_Desde,17))=0,4&gt;=N(INDEX(FC_Desde,17))),1,0),N(INDEX(FC_V,17))*(1+N(INDEX(FC_g,17)))^3*COUNTIFS(Calculo!$F$170:$ES$170,4)*IF(INDEX(FC_Mon,17)="PYG",1/INDEX(TC_V,1,4)*(1+V_dTC),1)*IF(OR(N(INDEX(FC_Desde,17))=0,4&gt;=N(INDEX(FC_Desde,17))),1,0))</f>
        <v>0</v>
      </c>
      <c r="I56" s="48" t="n">
        <f aca="false">IF(cu_P=1,N(INDEX(FC_O,17))*(1+N(INDEX(FC_g,17)))^4*COUNTIFS(Calculo!$F$14:$ES$14,5)*IF(INDEX(FC_Mon,17)="PYG",1/INDEX(TC_O,1,5)*(1+P_dTC),1)*IF(OR(N(INDEX(FC_Desde,17))=0,5&gt;=N(INDEX(FC_Desde,17))),1,0),N(INDEX(FC_V,17))*(1+N(INDEX(FC_g,17)))^4*COUNTIFS(Calculo!$F$170:$ES$170,5)*IF(INDEX(FC_Mon,17)="PYG",1/INDEX(TC_V,1,5)*(1+V_dTC),1)*IF(OR(N(INDEX(FC_Desde,17))=0,5&gt;=N(INDEX(FC_Desde,17))),1,0))</f>
        <v>0</v>
      </c>
      <c r="J56" s="48" t="n">
        <f aca="false">IF(cu_P=1,N(INDEX(FC_O,17))*(1+N(INDEX(FC_g,17)))^5*COUNTIFS(Calculo!$F$14:$ES$14,6)*IF(INDEX(FC_Mon,17)="PYG",1/INDEX(TC_O,1,6)*(1+P_dTC),1)*IF(OR(N(INDEX(FC_Desde,17))=0,6&gt;=N(INDEX(FC_Desde,17))),1,0),N(INDEX(FC_V,17))*(1+N(INDEX(FC_g,17)))^5*COUNTIFS(Calculo!$F$170:$ES$170,6)*IF(INDEX(FC_Mon,17)="PYG",1/INDEX(TC_V,1,6)*(1+V_dTC),1)*IF(OR(N(INDEX(FC_Desde,17))=0,6&gt;=N(INDEX(FC_Desde,17))),1,0))</f>
        <v>0</v>
      </c>
      <c r="K56" s="48" t="n">
        <f aca="false">IF(cu_P=1,N(INDEX(FC_O,17))*(1+N(INDEX(FC_g,17)))^6*COUNTIFS(Calculo!$F$14:$ES$14,7)*IF(INDEX(FC_Mon,17)="PYG",1/INDEX(TC_O,1,7)*(1+P_dTC),1)*IF(OR(N(INDEX(FC_Desde,17))=0,7&gt;=N(INDEX(FC_Desde,17))),1,0),N(INDEX(FC_V,17))*(1+N(INDEX(FC_g,17)))^6*COUNTIFS(Calculo!$F$170:$ES$170,7)*IF(INDEX(FC_Mon,17)="PYG",1/INDEX(TC_V,1,7)*(1+V_dTC),1)*IF(OR(N(INDEX(FC_Desde,17))=0,7&gt;=N(INDEX(FC_Desde,17))),1,0))</f>
        <v>0</v>
      </c>
      <c r="L56" s="48" t="n">
        <f aca="false">IF(cu_P=1,N(INDEX(FC_O,17))*(1+N(INDEX(FC_g,17)))^7*COUNTIFS(Calculo!$F$14:$ES$14,8)*IF(INDEX(FC_Mon,17)="PYG",1/INDEX(TC_O,1,8)*(1+P_dTC),1)*IF(OR(N(INDEX(FC_Desde,17))=0,8&gt;=N(INDEX(FC_Desde,17))),1,0),N(INDEX(FC_V,17))*(1+N(INDEX(FC_g,17)))^7*COUNTIFS(Calculo!$F$170:$ES$170,8)*IF(INDEX(FC_Mon,17)="PYG",1/INDEX(TC_V,1,8)*(1+V_dTC),1)*IF(OR(N(INDEX(FC_Desde,17))=0,8&gt;=N(INDEX(FC_Desde,17))),1,0))</f>
        <v>0</v>
      </c>
      <c r="M56" s="48" t="n">
        <f aca="false">IF(cu_P=1,N(INDEX(FC_O,17))*(1+N(INDEX(FC_g,17)))^8*COUNTIFS(Calculo!$F$14:$ES$14,9)*IF(INDEX(FC_Mon,17)="PYG",1/INDEX(TC_O,1,9)*(1+P_dTC),1)*IF(OR(N(INDEX(FC_Desde,17))=0,9&gt;=N(INDEX(FC_Desde,17))),1,0),N(INDEX(FC_V,17))*(1+N(INDEX(FC_g,17)))^8*COUNTIFS(Calculo!$F$170:$ES$170,9)*IF(INDEX(FC_Mon,17)="PYG",1/INDEX(TC_V,1,9)*(1+V_dTC),1)*IF(OR(N(INDEX(FC_Desde,17))=0,9&gt;=N(INDEX(FC_Desde,17))),1,0))</f>
        <v>0</v>
      </c>
      <c r="N56" s="48" t="n">
        <f aca="false">IF(cu_P=1,N(INDEX(FC_O,17))*(1+N(INDEX(FC_g,17)))^9*COUNTIFS(Calculo!$F$14:$ES$14,10)*IF(INDEX(FC_Mon,17)="PYG",1/INDEX(TC_O,1,10)*(1+P_dTC),1)*IF(OR(N(INDEX(FC_Desde,17))=0,10&gt;=N(INDEX(FC_Desde,17))),1,0),N(INDEX(FC_V,17))*(1+N(INDEX(FC_g,17)))^9*COUNTIFS(Calculo!$F$170:$ES$170,10)*IF(INDEX(FC_Mon,17)="PYG",1/INDEX(TC_V,1,10)*(1+V_dTC),1)*IF(OR(N(INDEX(FC_Desde,17))=0,10&gt;=N(INDEX(FC_Desde,17))),1,0))</f>
        <v>0</v>
      </c>
      <c r="O56" s="54" t="n">
        <f aca="false">SUM(D56:N56)</f>
        <v>0</v>
      </c>
    </row>
    <row r="57" customFormat="false" ht="15" hidden="true" customHeight="false" outlineLevel="1" collapsed="false">
      <c r="A57" s="11" t="s">
        <v>2344</v>
      </c>
      <c r="B57" s="53" t="str">
        <f aca="false">IF(Costos!$B$92="","Concepto 18",Costos!$B$92&amp;" ("&amp;Costos!$C$92&amp;")")</f>
        <v>Concepto 18</v>
      </c>
      <c r="C57" s="11" t="s">
        <v>508</v>
      </c>
      <c r="D57" s="48" t="n">
        <f aca="false">IF(cu_P=1,N(INDEX(FC_O,18))*SUM(Calculo!$F$16:$ES$16)*IF(INDEX(FC_Mon,18)="PYG",1/INDEX(TC_O,1,1)*(1+P_dTC),1)*IF(N(INDEX(FC_Desde,18))=0,1,0),N(INDEX(FC_V,18))*SUM(Calculo!$F$172:$ES$172)*IF(INDEX(FC_Mon,18)="PYG",1/INDEX(TC_V,1,1)*(1+V_dTC),1)*IF(N(INDEX(FC_Desde,18))=0,1,0))</f>
        <v>0</v>
      </c>
      <c r="E57" s="48" t="n">
        <f aca="false">IF(cu_P=1,N(INDEX(FC_O,18))*(1+N(INDEX(FC_g,18)))^0*COUNTIFS(Calculo!$F$14:$ES$14,1)*IF(INDEX(FC_Mon,18)="PYG",1/INDEX(TC_O,1,1)*(1+P_dTC),1)*IF(OR(N(INDEX(FC_Desde,18))=0,1&gt;=N(INDEX(FC_Desde,18))),1,0),N(INDEX(FC_V,18))*(1+N(INDEX(FC_g,18)))^0*COUNTIFS(Calculo!$F$170:$ES$170,1)*IF(INDEX(FC_Mon,18)="PYG",1/INDEX(TC_V,1,1)*(1+V_dTC),1)*IF(OR(N(INDEX(FC_Desde,18))=0,1&gt;=N(INDEX(FC_Desde,18))),1,0))</f>
        <v>0</v>
      </c>
      <c r="F57" s="48" t="n">
        <f aca="false">IF(cu_P=1,N(INDEX(FC_O,18))*(1+N(INDEX(FC_g,18)))^1*COUNTIFS(Calculo!$F$14:$ES$14,2)*IF(INDEX(FC_Mon,18)="PYG",1/INDEX(TC_O,1,2)*(1+P_dTC),1)*IF(OR(N(INDEX(FC_Desde,18))=0,2&gt;=N(INDEX(FC_Desde,18))),1,0),N(INDEX(FC_V,18))*(1+N(INDEX(FC_g,18)))^1*COUNTIFS(Calculo!$F$170:$ES$170,2)*IF(INDEX(FC_Mon,18)="PYG",1/INDEX(TC_V,1,2)*(1+V_dTC),1)*IF(OR(N(INDEX(FC_Desde,18))=0,2&gt;=N(INDEX(FC_Desde,18))),1,0))</f>
        <v>0</v>
      </c>
      <c r="G57" s="48" t="n">
        <f aca="false">IF(cu_P=1,N(INDEX(FC_O,18))*(1+N(INDEX(FC_g,18)))^2*COUNTIFS(Calculo!$F$14:$ES$14,3)*IF(INDEX(FC_Mon,18)="PYG",1/INDEX(TC_O,1,3)*(1+P_dTC),1)*IF(OR(N(INDEX(FC_Desde,18))=0,3&gt;=N(INDEX(FC_Desde,18))),1,0),N(INDEX(FC_V,18))*(1+N(INDEX(FC_g,18)))^2*COUNTIFS(Calculo!$F$170:$ES$170,3)*IF(INDEX(FC_Mon,18)="PYG",1/INDEX(TC_V,1,3)*(1+V_dTC),1)*IF(OR(N(INDEX(FC_Desde,18))=0,3&gt;=N(INDEX(FC_Desde,18))),1,0))</f>
        <v>0</v>
      </c>
      <c r="H57" s="48" t="n">
        <f aca="false">IF(cu_P=1,N(INDEX(FC_O,18))*(1+N(INDEX(FC_g,18)))^3*COUNTIFS(Calculo!$F$14:$ES$14,4)*IF(INDEX(FC_Mon,18)="PYG",1/INDEX(TC_O,1,4)*(1+P_dTC),1)*IF(OR(N(INDEX(FC_Desde,18))=0,4&gt;=N(INDEX(FC_Desde,18))),1,0),N(INDEX(FC_V,18))*(1+N(INDEX(FC_g,18)))^3*COUNTIFS(Calculo!$F$170:$ES$170,4)*IF(INDEX(FC_Mon,18)="PYG",1/INDEX(TC_V,1,4)*(1+V_dTC),1)*IF(OR(N(INDEX(FC_Desde,18))=0,4&gt;=N(INDEX(FC_Desde,18))),1,0))</f>
        <v>0</v>
      </c>
      <c r="I57" s="48" t="n">
        <f aca="false">IF(cu_P=1,N(INDEX(FC_O,18))*(1+N(INDEX(FC_g,18)))^4*COUNTIFS(Calculo!$F$14:$ES$14,5)*IF(INDEX(FC_Mon,18)="PYG",1/INDEX(TC_O,1,5)*(1+P_dTC),1)*IF(OR(N(INDEX(FC_Desde,18))=0,5&gt;=N(INDEX(FC_Desde,18))),1,0),N(INDEX(FC_V,18))*(1+N(INDEX(FC_g,18)))^4*COUNTIFS(Calculo!$F$170:$ES$170,5)*IF(INDEX(FC_Mon,18)="PYG",1/INDEX(TC_V,1,5)*(1+V_dTC),1)*IF(OR(N(INDEX(FC_Desde,18))=0,5&gt;=N(INDEX(FC_Desde,18))),1,0))</f>
        <v>0</v>
      </c>
      <c r="J57" s="48" t="n">
        <f aca="false">IF(cu_P=1,N(INDEX(FC_O,18))*(1+N(INDEX(FC_g,18)))^5*COUNTIFS(Calculo!$F$14:$ES$14,6)*IF(INDEX(FC_Mon,18)="PYG",1/INDEX(TC_O,1,6)*(1+P_dTC),1)*IF(OR(N(INDEX(FC_Desde,18))=0,6&gt;=N(INDEX(FC_Desde,18))),1,0),N(INDEX(FC_V,18))*(1+N(INDEX(FC_g,18)))^5*COUNTIFS(Calculo!$F$170:$ES$170,6)*IF(INDEX(FC_Mon,18)="PYG",1/INDEX(TC_V,1,6)*(1+V_dTC),1)*IF(OR(N(INDEX(FC_Desde,18))=0,6&gt;=N(INDEX(FC_Desde,18))),1,0))</f>
        <v>0</v>
      </c>
      <c r="K57" s="48" t="n">
        <f aca="false">IF(cu_P=1,N(INDEX(FC_O,18))*(1+N(INDEX(FC_g,18)))^6*COUNTIFS(Calculo!$F$14:$ES$14,7)*IF(INDEX(FC_Mon,18)="PYG",1/INDEX(TC_O,1,7)*(1+P_dTC),1)*IF(OR(N(INDEX(FC_Desde,18))=0,7&gt;=N(INDEX(FC_Desde,18))),1,0),N(INDEX(FC_V,18))*(1+N(INDEX(FC_g,18)))^6*COUNTIFS(Calculo!$F$170:$ES$170,7)*IF(INDEX(FC_Mon,18)="PYG",1/INDEX(TC_V,1,7)*(1+V_dTC),1)*IF(OR(N(INDEX(FC_Desde,18))=0,7&gt;=N(INDEX(FC_Desde,18))),1,0))</f>
        <v>0</v>
      </c>
      <c r="L57" s="48" t="n">
        <f aca="false">IF(cu_P=1,N(INDEX(FC_O,18))*(1+N(INDEX(FC_g,18)))^7*COUNTIFS(Calculo!$F$14:$ES$14,8)*IF(INDEX(FC_Mon,18)="PYG",1/INDEX(TC_O,1,8)*(1+P_dTC),1)*IF(OR(N(INDEX(FC_Desde,18))=0,8&gt;=N(INDEX(FC_Desde,18))),1,0),N(INDEX(FC_V,18))*(1+N(INDEX(FC_g,18)))^7*COUNTIFS(Calculo!$F$170:$ES$170,8)*IF(INDEX(FC_Mon,18)="PYG",1/INDEX(TC_V,1,8)*(1+V_dTC),1)*IF(OR(N(INDEX(FC_Desde,18))=0,8&gt;=N(INDEX(FC_Desde,18))),1,0))</f>
        <v>0</v>
      </c>
      <c r="M57" s="48" t="n">
        <f aca="false">IF(cu_P=1,N(INDEX(FC_O,18))*(1+N(INDEX(FC_g,18)))^8*COUNTIFS(Calculo!$F$14:$ES$14,9)*IF(INDEX(FC_Mon,18)="PYG",1/INDEX(TC_O,1,9)*(1+P_dTC),1)*IF(OR(N(INDEX(FC_Desde,18))=0,9&gt;=N(INDEX(FC_Desde,18))),1,0),N(INDEX(FC_V,18))*(1+N(INDEX(FC_g,18)))^8*COUNTIFS(Calculo!$F$170:$ES$170,9)*IF(INDEX(FC_Mon,18)="PYG",1/INDEX(TC_V,1,9)*(1+V_dTC),1)*IF(OR(N(INDEX(FC_Desde,18))=0,9&gt;=N(INDEX(FC_Desde,18))),1,0))</f>
        <v>0</v>
      </c>
      <c r="N57" s="48" t="n">
        <f aca="false">IF(cu_P=1,N(INDEX(FC_O,18))*(1+N(INDEX(FC_g,18)))^9*COUNTIFS(Calculo!$F$14:$ES$14,10)*IF(INDEX(FC_Mon,18)="PYG",1/INDEX(TC_O,1,10)*(1+P_dTC),1)*IF(OR(N(INDEX(FC_Desde,18))=0,10&gt;=N(INDEX(FC_Desde,18))),1,0),N(INDEX(FC_V,18))*(1+N(INDEX(FC_g,18)))^9*COUNTIFS(Calculo!$F$170:$ES$170,10)*IF(INDEX(FC_Mon,18)="PYG",1/INDEX(TC_V,1,10)*(1+V_dTC),1)*IF(OR(N(INDEX(FC_Desde,18))=0,10&gt;=N(INDEX(FC_Desde,18))),1,0))</f>
        <v>0</v>
      </c>
      <c r="O57" s="54" t="n">
        <f aca="false">SUM(D57:N57)</f>
        <v>0</v>
      </c>
    </row>
    <row r="58" customFormat="false" ht="15" hidden="true" customHeight="false" outlineLevel="1" collapsed="false">
      <c r="A58" s="11" t="s">
        <v>2345</v>
      </c>
      <c r="B58" s="53" t="str">
        <f aca="false">IF(Costos!$B$93="","Concepto 19",Costos!$B$93&amp;" ("&amp;Costos!$C$93&amp;")")</f>
        <v>Concepto 19</v>
      </c>
      <c r="C58" s="11" t="s">
        <v>508</v>
      </c>
      <c r="D58" s="48" t="n">
        <f aca="false">IF(cu_P=1,N(INDEX(FC_O,19))*SUM(Calculo!$F$16:$ES$16)*IF(INDEX(FC_Mon,19)="PYG",1/INDEX(TC_O,1,1)*(1+P_dTC),1)*IF(N(INDEX(FC_Desde,19))=0,1,0),N(INDEX(FC_V,19))*SUM(Calculo!$F$172:$ES$172)*IF(INDEX(FC_Mon,19)="PYG",1/INDEX(TC_V,1,1)*(1+V_dTC),1)*IF(N(INDEX(FC_Desde,19))=0,1,0))</f>
        <v>0</v>
      </c>
      <c r="E58" s="48" t="n">
        <f aca="false">IF(cu_P=1,N(INDEX(FC_O,19))*(1+N(INDEX(FC_g,19)))^0*COUNTIFS(Calculo!$F$14:$ES$14,1)*IF(INDEX(FC_Mon,19)="PYG",1/INDEX(TC_O,1,1)*(1+P_dTC),1)*IF(OR(N(INDEX(FC_Desde,19))=0,1&gt;=N(INDEX(FC_Desde,19))),1,0),N(INDEX(FC_V,19))*(1+N(INDEX(FC_g,19)))^0*COUNTIFS(Calculo!$F$170:$ES$170,1)*IF(INDEX(FC_Mon,19)="PYG",1/INDEX(TC_V,1,1)*(1+V_dTC),1)*IF(OR(N(INDEX(FC_Desde,19))=0,1&gt;=N(INDEX(FC_Desde,19))),1,0))</f>
        <v>0</v>
      </c>
      <c r="F58" s="48" t="n">
        <f aca="false">IF(cu_P=1,N(INDEX(FC_O,19))*(1+N(INDEX(FC_g,19)))^1*COUNTIFS(Calculo!$F$14:$ES$14,2)*IF(INDEX(FC_Mon,19)="PYG",1/INDEX(TC_O,1,2)*(1+P_dTC),1)*IF(OR(N(INDEX(FC_Desde,19))=0,2&gt;=N(INDEX(FC_Desde,19))),1,0),N(INDEX(FC_V,19))*(1+N(INDEX(FC_g,19)))^1*COUNTIFS(Calculo!$F$170:$ES$170,2)*IF(INDEX(FC_Mon,19)="PYG",1/INDEX(TC_V,1,2)*(1+V_dTC),1)*IF(OR(N(INDEX(FC_Desde,19))=0,2&gt;=N(INDEX(FC_Desde,19))),1,0))</f>
        <v>0</v>
      </c>
      <c r="G58" s="48" t="n">
        <f aca="false">IF(cu_P=1,N(INDEX(FC_O,19))*(1+N(INDEX(FC_g,19)))^2*COUNTIFS(Calculo!$F$14:$ES$14,3)*IF(INDEX(FC_Mon,19)="PYG",1/INDEX(TC_O,1,3)*(1+P_dTC),1)*IF(OR(N(INDEX(FC_Desde,19))=0,3&gt;=N(INDEX(FC_Desde,19))),1,0),N(INDEX(FC_V,19))*(1+N(INDEX(FC_g,19)))^2*COUNTIFS(Calculo!$F$170:$ES$170,3)*IF(INDEX(FC_Mon,19)="PYG",1/INDEX(TC_V,1,3)*(1+V_dTC),1)*IF(OR(N(INDEX(FC_Desde,19))=0,3&gt;=N(INDEX(FC_Desde,19))),1,0))</f>
        <v>0</v>
      </c>
      <c r="H58" s="48" t="n">
        <f aca="false">IF(cu_P=1,N(INDEX(FC_O,19))*(1+N(INDEX(FC_g,19)))^3*COUNTIFS(Calculo!$F$14:$ES$14,4)*IF(INDEX(FC_Mon,19)="PYG",1/INDEX(TC_O,1,4)*(1+P_dTC),1)*IF(OR(N(INDEX(FC_Desde,19))=0,4&gt;=N(INDEX(FC_Desde,19))),1,0),N(INDEX(FC_V,19))*(1+N(INDEX(FC_g,19)))^3*COUNTIFS(Calculo!$F$170:$ES$170,4)*IF(INDEX(FC_Mon,19)="PYG",1/INDEX(TC_V,1,4)*(1+V_dTC),1)*IF(OR(N(INDEX(FC_Desde,19))=0,4&gt;=N(INDEX(FC_Desde,19))),1,0))</f>
        <v>0</v>
      </c>
      <c r="I58" s="48" t="n">
        <f aca="false">IF(cu_P=1,N(INDEX(FC_O,19))*(1+N(INDEX(FC_g,19)))^4*COUNTIFS(Calculo!$F$14:$ES$14,5)*IF(INDEX(FC_Mon,19)="PYG",1/INDEX(TC_O,1,5)*(1+P_dTC),1)*IF(OR(N(INDEX(FC_Desde,19))=0,5&gt;=N(INDEX(FC_Desde,19))),1,0),N(INDEX(FC_V,19))*(1+N(INDEX(FC_g,19)))^4*COUNTIFS(Calculo!$F$170:$ES$170,5)*IF(INDEX(FC_Mon,19)="PYG",1/INDEX(TC_V,1,5)*(1+V_dTC),1)*IF(OR(N(INDEX(FC_Desde,19))=0,5&gt;=N(INDEX(FC_Desde,19))),1,0))</f>
        <v>0</v>
      </c>
      <c r="J58" s="48" t="n">
        <f aca="false">IF(cu_P=1,N(INDEX(FC_O,19))*(1+N(INDEX(FC_g,19)))^5*COUNTIFS(Calculo!$F$14:$ES$14,6)*IF(INDEX(FC_Mon,19)="PYG",1/INDEX(TC_O,1,6)*(1+P_dTC),1)*IF(OR(N(INDEX(FC_Desde,19))=0,6&gt;=N(INDEX(FC_Desde,19))),1,0),N(INDEX(FC_V,19))*(1+N(INDEX(FC_g,19)))^5*COUNTIFS(Calculo!$F$170:$ES$170,6)*IF(INDEX(FC_Mon,19)="PYG",1/INDEX(TC_V,1,6)*(1+V_dTC),1)*IF(OR(N(INDEX(FC_Desde,19))=0,6&gt;=N(INDEX(FC_Desde,19))),1,0))</f>
        <v>0</v>
      </c>
      <c r="K58" s="48" t="n">
        <f aca="false">IF(cu_P=1,N(INDEX(FC_O,19))*(1+N(INDEX(FC_g,19)))^6*COUNTIFS(Calculo!$F$14:$ES$14,7)*IF(INDEX(FC_Mon,19)="PYG",1/INDEX(TC_O,1,7)*(1+P_dTC),1)*IF(OR(N(INDEX(FC_Desde,19))=0,7&gt;=N(INDEX(FC_Desde,19))),1,0),N(INDEX(FC_V,19))*(1+N(INDEX(FC_g,19)))^6*COUNTIFS(Calculo!$F$170:$ES$170,7)*IF(INDEX(FC_Mon,19)="PYG",1/INDEX(TC_V,1,7)*(1+V_dTC),1)*IF(OR(N(INDEX(FC_Desde,19))=0,7&gt;=N(INDEX(FC_Desde,19))),1,0))</f>
        <v>0</v>
      </c>
      <c r="L58" s="48" t="n">
        <f aca="false">IF(cu_P=1,N(INDEX(FC_O,19))*(1+N(INDEX(FC_g,19)))^7*COUNTIFS(Calculo!$F$14:$ES$14,8)*IF(INDEX(FC_Mon,19)="PYG",1/INDEX(TC_O,1,8)*(1+P_dTC),1)*IF(OR(N(INDEX(FC_Desde,19))=0,8&gt;=N(INDEX(FC_Desde,19))),1,0),N(INDEX(FC_V,19))*(1+N(INDEX(FC_g,19)))^7*COUNTIFS(Calculo!$F$170:$ES$170,8)*IF(INDEX(FC_Mon,19)="PYG",1/INDEX(TC_V,1,8)*(1+V_dTC),1)*IF(OR(N(INDEX(FC_Desde,19))=0,8&gt;=N(INDEX(FC_Desde,19))),1,0))</f>
        <v>0</v>
      </c>
      <c r="M58" s="48" t="n">
        <f aca="false">IF(cu_P=1,N(INDEX(FC_O,19))*(1+N(INDEX(FC_g,19)))^8*COUNTIFS(Calculo!$F$14:$ES$14,9)*IF(INDEX(FC_Mon,19)="PYG",1/INDEX(TC_O,1,9)*(1+P_dTC),1)*IF(OR(N(INDEX(FC_Desde,19))=0,9&gt;=N(INDEX(FC_Desde,19))),1,0),N(INDEX(FC_V,19))*(1+N(INDEX(FC_g,19)))^8*COUNTIFS(Calculo!$F$170:$ES$170,9)*IF(INDEX(FC_Mon,19)="PYG",1/INDEX(TC_V,1,9)*(1+V_dTC),1)*IF(OR(N(INDEX(FC_Desde,19))=0,9&gt;=N(INDEX(FC_Desde,19))),1,0))</f>
        <v>0</v>
      </c>
      <c r="N58" s="48" t="n">
        <f aca="false">IF(cu_P=1,N(INDEX(FC_O,19))*(1+N(INDEX(FC_g,19)))^9*COUNTIFS(Calculo!$F$14:$ES$14,10)*IF(INDEX(FC_Mon,19)="PYG",1/INDEX(TC_O,1,10)*(1+P_dTC),1)*IF(OR(N(INDEX(FC_Desde,19))=0,10&gt;=N(INDEX(FC_Desde,19))),1,0),N(INDEX(FC_V,19))*(1+N(INDEX(FC_g,19)))^9*COUNTIFS(Calculo!$F$170:$ES$170,10)*IF(INDEX(FC_Mon,19)="PYG",1/INDEX(TC_V,1,10)*(1+V_dTC),1)*IF(OR(N(INDEX(FC_Desde,19))=0,10&gt;=N(INDEX(FC_Desde,19))),1,0))</f>
        <v>0</v>
      </c>
      <c r="O58" s="54" t="n">
        <f aca="false">SUM(D58:N58)</f>
        <v>0</v>
      </c>
    </row>
    <row r="59" customFormat="false" ht="15" hidden="true" customHeight="false" outlineLevel="1" collapsed="false">
      <c r="A59" s="11" t="s">
        <v>2346</v>
      </c>
      <c r="B59" s="53" t="str">
        <f aca="false">IF(Costos!$B$94="","Concepto 20",Costos!$B$94&amp;" ("&amp;Costos!$C$94&amp;")")</f>
        <v>Concepto 20</v>
      </c>
      <c r="C59" s="11" t="s">
        <v>508</v>
      </c>
      <c r="D59" s="48" t="n">
        <f aca="false">IF(cu_P=1,N(INDEX(FC_O,20))*SUM(Calculo!$F$16:$ES$16)*IF(INDEX(FC_Mon,20)="PYG",1/INDEX(TC_O,1,1)*(1+P_dTC),1)*IF(N(INDEX(FC_Desde,20))=0,1,0),N(INDEX(FC_V,20))*SUM(Calculo!$F$172:$ES$172)*IF(INDEX(FC_Mon,20)="PYG",1/INDEX(TC_V,1,1)*(1+V_dTC),1)*IF(N(INDEX(FC_Desde,20))=0,1,0))</f>
        <v>0</v>
      </c>
      <c r="E59" s="48" t="n">
        <f aca="false">IF(cu_P=1,N(INDEX(FC_O,20))*(1+N(INDEX(FC_g,20)))^0*COUNTIFS(Calculo!$F$14:$ES$14,1)*IF(INDEX(FC_Mon,20)="PYG",1/INDEX(TC_O,1,1)*(1+P_dTC),1)*IF(OR(N(INDEX(FC_Desde,20))=0,1&gt;=N(INDEX(FC_Desde,20))),1,0),N(INDEX(FC_V,20))*(1+N(INDEX(FC_g,20)))^0*COUNTIFS(Calculo!$F$170:$ES$170,1)*IF(INDEX(FC_Mon,20)="PYG",1/INDEX(TC_V,1,1)*(1+V_dTC),1)*IF(OR(N(INDEX(FC_Desde,20))=0,1&gt;=N(INDEX(FC_Desde,20))),1,0))</f>
        <v>0</v>
      </c>
      <c r="F59" s="48" t="n">
        <f aca="false">IF(cu_P=1,N(INDEX(FC_O,20))*(1+N(INDEX(FC_g,20)))^1*COUNTIFS(Calculo!$F$14:$ES$14,2)*IF(INDEX(FC_Mon,20)="PYG",1/INDEX(TC_O,1,2)*(1+P_dTC),1)*IF(OR(N(INDEX(FC_Desde,20))=0,2&gt;=N(INDEX(FC_Desde,20))),1,0),N(INDEX(FC_V,20))*(1+N(INDEX(FC_g,20)))^1*COUNTIFS(Calculo!$F$170:$ES$170,2)*IF(INDEX(FC_Mon,20)="PYG",1/INDEX(TC_V,1,2)*(1+V_dTC),1)*IF(OR(N(INDEX(FC_Desde,20))=0,2&gt;=N(INDEX(FC_Desde,20))),1,0))</f>
        <v>0</v>
      </c>
      <c r="G59" s="48" t="n">
        <f aca="false">IF(cu_P=1,N(INDEX(FC_O,20))*(1+N(INDEX(FC_g,20)))^2*COUNTIFS(Calculo!$F$14:$ES$14,3)*IF(INDEX(FC_Mon,20)="PYG",1/INDEX(TC_O,1,3)*(1+P_dTC),1)*IF(OR(N(INDEX(FC_Desde,20))=0,3&gt;=N(INDEX(FC_Desde,20))),1,0),N(INDEX(FC_V,20))*(1+N(INDEX(FC_g,20)))^2*COUNTIFS(Calculo!$F$170:$ES$170,3)*IF(INDEX(FC_Mon,20)="PYG",1/INDEX(TC_V,1,3)*(1+V_dTC),1)*IF(OR(N(INDEX(FC_Desde,20))=0,3&gt;=N(INDEX(FC_Desde,20))),1,0))</f>
        <v>0</v>
      </c>
      <c r="H59" s="48" t="n">
        <f aca="false">IF(cu_P=1,N(INDEX(FC_O,20))*(1+N(INDEX(FC_g,20)))^3*COUNTIFS(Calculo!$F$14:$ES$14,4)*IF(INDEX(FC_Mon,20)="PYG",1/INDEX(TC_O,1,4)*(1+P_dTC),1)*IF(OR(N(INDEX(FC_Desde,20))=0,4&gt;=N(INDEX(FC_Desde,20))),1,0),N(INDEX(FC_V,20))*(1+N(INDEX(FC_g,20)))^3*COUNTIFS(Calculo!$F$170:$ES$170,4)*IF(INDEX(FC_Mon,20)="PYG",1/INDEX(TC_V,1,4)*(1+V_dTC),1)*IF(OR(N(INDEX(FC_Desde,20))=0,4&gt;=N(INDEX(FC_Desde,20))),1,0))</f>
        <v>0</v>
      </c>
      <c r="I59" s="48" t="n">
        <f aca="false">IF(cu_P=1,N(INDEX(FC_O,20))*(1+N(INDEX(FC_g,20)))^4*COUNTIFS(Calculo!$F$14:$ES$14,5)*IF(INDEX(FC_Mon,20)="PYG",1/INDEX(TC_O,1,5)*(1+P_dTC),1)*IF(OR(N(INDEX(FC_Desde,20))=0,5&gt;=N(INDEX(FC_Desde,20))),1,0),N(INDEX(FC_V,20))*(1+N(INDEX(FC_g,20)))^4*COUNTIFS(Calculo!$F$170:$ES$170,5)*IF(INDEX(FC_Mon,20)="PYG",1/INDEX(TC_V,1,5)*(1+V_dTC),1)*IF(OR(N(INDEX(FC_Desde,20))=0,5&gt;=N(INDEX(FC_Desde,20))),1,0))</f>
        <v>0</v>
      </c>
      <c r="J59" s="48" t="n">
        <f aca="false">IF(cu_P=1,N(INDEX(FC_O,20))*(1+N(INDEX(FC_g,20)))^5*COUNTIFS(Calculo!$F$14:$ES$14,6)*IF(INDEX(FC_Mon,20)="PYG",1/INDEX(TC_O,1,6)*(1+P_dTC),1)*IF(OR(N(INDEX(FC_Desde,20))=0,6&gt;=N(INDEX(FC_Desde,20))),1,0),N(INDEX(FC_V,20))*(1+N(INDEX(FC_g,20)))^5*COUNTIFS(Calculo!$F$170:$ES$170,6)*IF(INDEX(FC_Mon,20)="PYG",1/INDEX(TC_V,1,6)*(1+V_dTC),1)*IF(OR(N(INDEX(FC_Desde,20))=0,6&gt;=N(INDEX(FC_Desde,20))),1,0))</f>
        <v>0</v>
      </c>
      <c r="K59" s="48" t="n">
        <f aca="false">IF(cu_P=1,N(INDEX(FC_O,20))*(1+N(INDEX(FC_g,20)))^6*COUNTIFS(Calculo!$F$14:$ES$14,7)*IF(INDEX(FC_Mon,20)="PYG",1/INDEX(TC_O,1,7)*(1+P_dTC),1)*IF(OR(N(INDEX(FC_Desde,20))=0,7&gt;=N(INDEX(FC_Desde,20))),1,0),N(INDEX(FC_V,20))*(1+N(INDEX(FC_g,20)))^6*COUNTIFS(Calculo!$F$170:$ES$170,7)*IF(INDEX(FC_Mon,20)="PYG",1/INDEX(TC_V,1,7)*(1+V_dTC),1)*IF(OR(N(INDEX(FC_Desde,20))=0,7&gt;=N(INDEX(FC_Desde,20))),1,0))</f>
        <v>0</v>
      </c>
      <c r="L59" s="48" t="n">
        <f aca="false">IF(cu_P=1,N(INDEX(FC_O,20))*(1+N(INDEX(FC_g,20)))^7*COUNTIFS(Calculo!$F$14:$ES$14,8)*IF(INDEX(FC_Mon,20)="PYG",1/INDEX(TC_O,1,8)*(1+P_dTC),1)*IF(OR(N(INDEX(FC_Desde,20))=0,8&gt;=N(INDEX(FC_Desde,20))),1,0),N(INDEX(FC_V,20))*(1+N(INDEX(FC_g,20)))^7*COUNTIFS(Calculo!$F$170:$ES$170,8)*IF(INDEX(FC_Mon,20)="PYG",1/INDEX(TC_V,1,8)*(1+V_dTC),1)*IF(OR(N(INDEX(FC_Desde,20))=0,8&gt;=N(INDEX(FC_Desde,20))),1,0))</f>
        <v>0</v>
      </c>
      <c r="M59" s="48" t="n">
        <f aca="false">IF(cu_P=1,N(INDEX(FC_O,20))*(1+N(INDEX(FC_g,20)))^8*COUNTIFS(Calculo!$F$14:$ES$14,9)*IF(INDEX(FC_Mon,20)="PYG",1/INDEX(TC_O,1,9)*(1+P_dTC),1)*IF(OR(N(INDEX(FC_Desde,20))=0,9&gt;=N(INDEX(FC_Desde,20))),1,0),N(INDEX(FC_V,20))*(1+N(INDEX(FC_g,20)))^8*COUNTIFS(Calculo!$F$170:$ES$170,9)*IF(INDEX(FC_Mon,20)="PYG",1/INDEX(TC_V,1,9)*(1+V_dTC),1)*IF(OR(N(INDEX(FC_Desde,20))=0,9&gt;=N(INDEX(FC_Desde,20))),1,0))</f>
        <v>0</v>
      </c>
      <c r="N59" s="48" t="n">
        <f aca="false">IF(cu_P=1,N(INDEX(FC_O,20))*(1+N(INDEX(FC_g,20)))^9*COUNTIFS(Calculo!$F$14:$ES$14,10)*IF(INDEX(FC_Mon,20)="PYG",1/INDEX(TC_O,1,10)*(1+P_dTC),1)*IF(OR(N(INDEX(FC_Desde,20))=0,10&gt;=N(INDEX(FC_Desde,20))),1,0),N(INDEX(FC_V,20))*(1+N(INDEX(FC_g,20)))^9*COUNTIFS(Calculo!$F$170:$ES$170,10)*IF(INDEX(FC_Mon,20)="PYG",1/INDEX(TC_V,1,10)*(1+V_dTC),1)*IF(OR(N(INDEX(FC_Desde,20))=0,10&gt;=N(INDEX(FC_Desde,20))),1,0))</f>
        <v>0</v>
      </c>
      <c r="O59" s="54" t="n">
        <f aca="false">SUM(D59:N59)</f>
        <v>0</v>
      </c>
    </row>
    <row r="60" customFormat="false" ht="15" hidden="true" customHeight="false" outlineLevel="1" collapsed="false">
      <c r="A60" s="11" t="s">
        <v>2347</v>
      </c>
      <c r="B60" s="53" t="str">
        <f aca="false">IF(Costos!$B$95="","Concepto 21",Costos!$B$95&amp;" ("&amp;Costos!$C$95&amp;")")</f>
        <v>Concepto 21</v>
      </c>
      <c r="C60" s="11" t="s">
        <v>508</v>
      </c>
      <c r="D60" s="48" t="n">
        <f aca="false">IF(cu_P=1,N(INDEX(FC_O,21))*SUM(Calculo!$F$16:$ES$16)*IF(INDEX(FC_Mon,21)="PYG",1/INDEX(TC_O,1,1)*(1+P_dTC),1)*IF(N(INDEX(FC_Desde,21))=0,1,0),N(INDEX(FC_V,21))*SUM(Calculo!$F$172:$ES$172)*IF(INDEX(FC_Mon,21)="PYG",1/INDEX(TC_V,1,1)*(1+V_dTC),1)*IF(N(INDEX(FC_Desde,21))=0,1,0))</f>
        <v>0</v>
      </c>
      <c r="E60" s="48" t="n">
        <f aca="false">IF(cu_P=1,N(INDEX(FC_O,21))*(1+N(INDEX(FC_g,21)))^0*COUNTIFS(Calculo!$F$14:$ES$14,1)*IF(INDEX(FC_Mon,21)="PYG",1/INDEX(TC_O,1,1)*(1+P_dTC),1)*IF(OR(N(INDEX(FC_Desde,21))=0,1&gt;=N(INDEX(FC_Desde,21))),1,0),N(INDEX(FC_V,21))*(1+N(INDEX(FC_g,21)))^0*COUNTIFS(Calculo!$F$170:$ES$170,1)*IF(INDEX(FC_Mon,21)="PYG",1/INDEX(TC_V,1,1)*(1+V_dTC),1)*IF(OR(N(INDEX(FC_Desde,21))=0,1&gt;=N(INDEX(FC_Desde,21))),1,0))</f>
        <v>0</v>
      </c>
      <c r="F60" s="48" t="n">
        <f aca="false">IF(cu_P=1,N(INDEX(FC_O,21))*(1+N(INDEX(FC_g,21)))^1*COUNTIFS(Calculo!$F$14:$ES$14,2)*IF(INDEX(FC_Mon,21)="PYG",1/INDEX(TC_O,1,2)*(1+P_dTC),1)*IF(OR(N(INDEX(FC_Desde,21))=0,2&gt;=N(INDEX(FC_Desde,21))),1,0),N(INDEX(FC_V,21))*(1+N(INDEX(FC_g,21)))^1*COUNTIFS(Calculo!$F$170:$ES$170,2)*IF(INDEX(FC_Mon,21)="PYG",1/INDEX(TC_V,1,2)*(1+V_dTC),1)*IF(OR(N(INDEX(FC_Desde,21))=0,2&gt;=N(INDEX(FC_Desde,21))),1,0))</f>
        <v>0</v>
      </c>
      <c r="G60" s="48" t="n">
        <f aca="false">IF(cu_P=1,N(INDEX(FC_O,21))*(1+N(INDEX(FC_g,21)))^2*COUNTIFS(Calculo!$F$14:$ES$14,3)*IF(INDEX(FC_Mon,21)="PYG",1/INDEX(TC_O,1,3)*(1+P_dTC),1)*IF(OR(N(INDEX(FC_Desde,21))=0,3&gt;=N(INDEX(FC_Desde,21))),1,0),N(INDEX(FC_V,21))*(1+N(INDEX(FC_g,21)))^2*COUNTIFS(Calculo!$F$170:$ES$170,3)*IF(INDEX(FC_Mon,21)="PYG",1/INDEX(TC_V,1,3)*(1+V_dTC),1)*IF(OR(N(INDEX(FC_Desde,21))=0,3&gt;=N(INDEX(FC_Desde,21))),1,0))</f>
        <v>0</v>
      </c>
      <c r="H60" s="48" t="n">
        <f aca="false">IF(cu_P=1,N(INDEX(FC_O,21))*(1+N(INDEX(FC_g,21)))^3*COUNTIFS(Calculo!$F$14:$ES$14,4)*IF(INDEX(FC_Mon,21)="PYG",1/INDEX(TC_O,1,4)*(1+P_dTC),1)*IF(OR(N(INDEX(FC_Desde,21))=0,4&gt;=N(INDEX(FC_Desde,21))),1,0),N(INDEX(FC_V,21))*(1+N(INDEX(FC_g,21)))^3*COUNTIFS(Calculo!$F$170:$ES$170,4)*IF(INDEX(FC_Mon,21)="PYG",1/INDEX(TC_V,1,4)*(1+V_dTC),1)*IF(OR(N(INDEX(FC_Desde,21))=0,4&gt;=N(INDEX(FC_Desde,21))),1,0))</f>
        <v>0</v>
      </c>
      <c r="I60" s="48" t="n">
        <f aca="false">IF(cu_P=1,N(INDEX(FC_O,21))*(1+N(INDEX(FC_g,21)))^4*COUNTIFS(Calculo!$F$14:$ES$14,5)*IF(INDEX(FC_Mon,21)="PYG",1/INDEX(TC_O,1,5)*(1+P_dTC),1)*IF(OR(N(INDEX(FC_Desde,21))=0,5&gt;=N(INDEX(FC_Desde,21))),1,0),N(INDEX(FC_V,21))*(1+N(INDEX(FC_g,21)))^4*COUNTIFS(Calculo!$F$170:$ES$170,5)*IF(INDEX(FC_Mon,21)="PYG",1/INDEX(TC_V,1,5)*(1+V_dTC),1)*IF(OR(N(INDEX(FC_Desde,21))=0,5&gt;=N(INDEX(FC_Desde,21))),1,0))</f>
        <v>0</v>
      </c>
      <c r="J60" s="48" t="n">
        <f aca="false">IF(cu_P=1,N(INDEX(FC_O,21))*(1+N(INDEX(FC_g,21)))^5*COUNTIFS(Calculo!$F$14:$ES$14,6)*IF(INDEX(FC_Mon,21)="PYG",1/INDEX(TC_O,1,6)*(1+P_dTC),1)*IF(OR(N(INDEX(FC_Desde,21))=0,6&gt;=N(INDEX(FC_Desde,21))),1,0),N(INDEX(FC_V,21))*(1+N(INDEX(FC_g,21)))^5*COUNTIFS(Calculo!$F$170:$ES$170,6)*IF(INDEX(FC_Mon,21)="PYG",1/INDEX(TC_V,1,6)*(1+V_dTC),1)*IF(OR(N(INDEX(FC_Desde,21))=0,6&gt;=N(INDEX(FC_Desde,21))),1,0))</f>
        <v>0</v>
      </c>
      <c r="K60" s="48" t="n">
        <f aca="false">IF(cu_P=1,N(INDEX(FC_O,21))*(1+N(INDEX(FC_g,21)))^6*COUNTIFS(Calculo!$F$14:$ES$14,7)*IF(INDEX(FC_Mon,21)="PYG",1/INDEX(TC_O,1,7)*(1+P_dTC),1)*IF(OR(N(INDEX(FC_Desde,21))=0,7&gt;=N(INDEX(FC_Desde,21))),1,0),N(INDEX(FC_V,21))*(1+N(INDEX(FC_g,21)))^6*COUNTIFS(Calculo!$F$170:$ES$170,7)*IF(INDEX(FC_Mon,21)="PYG",1/INDEX(TC_V,1,7)*(1+V_dTC),1)*IF(OR(N(INDEX(FC_Desde,21))=0,7&gt;=N(INDEX(FC_Desde,21))),1,0))</f>
        <v>0</v>
      </c>
      <c r="L60" s="48" t="n">
        <f aca="false">IF(cu_P=1,N(INDEX(FC_O,21))*(1+N(INDEX(FC_g,21)))^7*COUNTIFS(Calculo!$F$14:$ES$14,8)*IF(INDEX(FC_Mon,21)="PYG",1/INDEX(TC_O,1,8)*(1+P_dTC),1)*IF(OR(N(INDEX(FC_Desde,21))=0,8&gt;=N(INDEX(FC_Desde,21))),1,0),N(INDEX(FC_V,21))*(1+N(INDEX(FC_g,21)))^7*COUNTIFS(Calculo!$F$170:$ES$170,8)*IF(INDEX(FC_Mon,21)="PYG",1/INDEX(TC_V,1,8)*(1+V_dTC),1)*IF(OR(N(INDEX(FC_Desde,21))=0,8&gt;=N(INDEX(FC_Desde,21))),1,0))</f>
        <v>0</v>
      </c>
      <c r="M60" s="48" t="n">
        <f aca="false">IF(cu_P=1,N(INDEX(FC_O,21))*(1+N(INDEX(FC_g,21)))^8*COUNTIFS(Calculo!$F$14:$ES$14,9)*IF(INDEX(FC_Mon,21)="PYG",1/INDEX(TC_O,1,9)*(1+P_dTC),1)*IF(OR(N(INDEX(FC_Desde,21))=0,9&gt;=N(INDEX(FC_Desde,21))),1,0),N(INDEX(FC_V,21))*(1+N(INDEX(FC_g,21)))^8*COUNTIFS(Calculo!$F$170:$ES$170,9)*IF(INDEX(FC_Mon,21)="PYG",1/INDEX(TC_V,1,9)*(1+V_dTC),1)*IF(OR(N(INDEX(FC_Desde,21))=0,9&gt;=N(INDEX(FC_Desde,21))),1,0))</f>
        <v>0</v>
      </c>
      <c r="N60" s="48" t="n">
        <f aca="false">IF(cu_P=1,N(INDEX(FC_O,21))*(1+N(INDEX(FC_g,21)))^9*COUNTIFS(Calculo!$F$14:$ES$14,10)*IF(INDEX(FC_Mon,21)="PYG",1/INDEX(TC_O,1,10)*(1+P_dTC),1)*IF(OR(N(INDEX(FC_Desde,21))=0,10&gt;=N(INDEX(FC_Desde,21))),1,0),N(INDEX(FC_V,21))*(1+N(INDEX(FC_g,21)))^9*COUNTIFS(Calculo!$F$170:$ES$170,10)*IF(INDEX(FC_Mon,21)="PYG",1/INDEX(TC_V,1,10)*(1+V_dTC),1)*IF(OR(N(INDEX(FC_Desde,21))=0,10&gt;=N(INDEX(FC_Desde,21))),1,0))</f>
        <v>0</v>
      </c>
      <c r="O60" s="54" t="n">
        <f aca="false">SUM(D60:N60)</f>
        <v>0</v>
      </c>
    </row>
    <row r="61" customFormat="false" ht="15" hidden="true" customHeight="false" outlineLevel="1" collapsed="false">
      <c r="A61" s="11" t="s">
        <v>2348</v>
      </c>
      <c r="B61" s="53" t="str">
        <f aca="false">IF(Costos!$B$96="","Concepto 22",Costos!$B$96&amp;" ("&amp;Costos!$C$96&amp;")")</f>
        <v>Concepto 22</v>
      </c>
      <c r="C61" s="11" t="s">
        <v>508</v>
      </c>
      <c r="D61" s="48" t="n">
        <f aca="false">IF(cu_P=1,N(INDEX(FC_O,22))*SUM(Calculo!$F$16:$ES$16)*IF(INDEX(FC_Mon,22)="PYG",1/INDEX(TC_O,1,1)*(1+P_dTC),1)*IF(N(INDEX(FC_Desde,22))=0,1,0),N(INDEX(FC_V,22))*SUM(Calculo!$F$172:$ES$172)*IF(INDEX(FC_Mon,22)="PYG",1/INDEX(TC_V,1,1)*(1+V_dTC),1)*IF(N(INDEX(FC_Desde,22))=0,1,0))</f>
        <v>0</v>
      </c>
      <c r="E61" s="48" t="n">
        <f aca="false">IF(cu_P=1,N(INDEX(FC_O,22))*(1+N(INDEX(FC_g,22)))^0*COUNTIFS(Calculo!$F$14:$ES$14,1)*IF(INDEX(FC_Mon,22)="PYG",1/INDEX(TC_O,1,1)*(1+P_dTC),1)*IF(OR(N(INDEX(FC_Desde,22))=0,1&gt;=N(INDEX(FC_Desde,22))),1,0),N(INDEX(FC_V,22))*(1+N(INDEX(FC_g,22)))^0*COUNTIFS(Calculo!$F$170:$ES$170,1)*IF(INDEX(FC_Mon,22)="PYG",1/INDEX(TC_V,1,1)*(1+V_dTC),1)*IF(OR(N(INDEX(FC_Desde,22))=0,1&gt;=N(INDEX(FC_Desde,22))),1,0))</f>
        <v>0</v>
      </c>
      <c r="F61" s="48" t="n">
        <f aca="false">IF(cu_P=1,N(INDEX(FC_O,22))*(1+N(INDEX(FC_g,22)))^1*COUNTIFS(Calculo!$F$14:$ES$14,2)*IF(INDEX(FC_Mon,22)="PYG",1/INDEX(TC_O,1,2)*(1+P_dTC),1)*IF(OR(N(INDEX(FC_Desde,22))=0,2&gt;=N(INDEX(FC_Desde,22))),1,0),N(INDEX(FC_V,22))*(1+N(INDEX(FC_g,22)))^1*COUNTIFS(Calculo!$F$170:$ES$170,2)*IF(INDEX(FC_Mon,22)="PYG",1/INDEX(TC_V,1,2)*(1+V_dTC),1)*IF(OR(N(INDEX(FC_Desde,22))=0,2&gt;=N(INDEX(FC_Desde,22))),1,0))</f>
        <v>0</v>
      </c>
      <c r="G61" s="48" t="n">
        <f aca="false">IF(cu_P=1,N(INDEX(FC_O,22))*(1+N(INDEX(FC_g,22)))^2*COUNTIFS(Calculo!$F$14:$ES$14,3)*IF(INDEX(FC_Mon,22)="PYG",1/INDEX(TC_O,1,3)*(1+P_dTC),1)*IF(OR(N(INDEX(FC_Desde,22))=0,3&gt;=N(INDEX(FC_Desde,22))),1,0),N(INDEX(FC_V,22))*(1+N(INDEX(FC_g,22)))^2*COUNTIFS(Calculo!$F$170:$ES$170,3)*IF(INDEX(FC_Mon,22)="PYG",1/INDEX(TC_V,1,3)*(1+V_dTC),1)*IF(OR(N(INDEX(FC_Desde,22))=0,3&gt;=N(INDEX(FC_Desde,22))),1,0))</f>
        <v>0</v>
      </c>
      <c r="H61" s="48" t="n">
        <f aca="false">IF(cu_P=1,N(INDEX(FC_O,22))*(1+N(INDEX(FC_g,22)))^3*COUNTIFS(Calculo!$F$14:$ES$14,4)*IF(INDEX(FC_Mon,22)="PYG",1/INDEX(TC_O,1,4)*(1+P_dTC),1)*IF(OR(N(INDEX(FC_Desde,22))=0,4&gt;=N(INDEX(FC_Desde,22))),1,0),N(INDEX(FC_V,22))*(1+N(INDEX(FC_g,22)))^3*COUNTIFS(Calculo!$F$170:$ES$170,4)*IF(INDEX(FC_Mon,22)="PYG",1/INDEX(TC_V,1,4)*(1+V_dTC),1)*IF(OR(N(INDEX(FC_Desde,22))=0,4&gt;=N(INDEX(FC_Desde,22))),1,0))</f>
        <v>0</v>
      </c>
      <c r="I61" s="48" t="n">
        <f aca="false">IF(cu_P=1,N(INDEX(FC_O,22))*(1+N(INDEX(FC_g,22)))^4*COUNTIFS(Calculo!$F$14:$ES$14,5)*IF(INDEX(FC_Mon,22)="PYG",1/INDEX(TC_O,1,5)*(1+P_dTC),1)*IF(OR(N(INDEX(FC_Desde,22))=0,5&gt;=N(INDEX(FC_Desde,22))),1,0),N(INDEX(FC_V,22))*(1+N(INDEX(FC_g,22)))^4*COUNTIFS(Calculo!$F$170:$ES$170,5)*IF(INDEX(FC_Mon,22)="PYG",1/INDEX(TC_V,1,5)*(1+V_dTC),1)*IF(OR(N(INDEX(FC_Desde,22))=0,5&gt;=N(INDEX(FC_Desde,22))),1,0))</f>
        <v>0</v>
      </c>
      <c r="J61" s="48" t="n">
        <f aca="false">IF(cu_P=1,N(INDEX(FC_O,22))*(1+N(INDEX(FC_g,22)))^5*COUNTIFS(Calculo!$F$14:$ES$14,6)*IF(INDEX(FC_Mon,22)="PYG",1/INDEX(TC_O,1,6)*(1+P_dTC),1)*IF(OR(N(INDEX(FC_Desde,22))=0,6&gt;=N(INDEX(FC_Desde,22))),1,0),N(INDEX(FC_V,22))*(1+N(INDEX(FC_g,22)))^5*COUNTIFS(Calculo!$F$170:$ES$170,6)*IF(INDEX(FC_Mon,22)="PYG",1/INDEX(TC_V,1,6)*(1+V_dTC),1)*IF(OR(N(INDEX(FC_Desde,22))=0,6&gt;=N(INDEX(FC_Desde,22))),1,0))</f>
        <v>0</v>
      </c>
      <c r="K61" s="48" t="n">
        <f aca="false">IF(cu_P=1,N(INDEX(FC_O,22))*(1+N(INDEX(FC_g,22)))^6*COUNTIFS(Calculo!$F$14:$ES$14,7)*IF(INDEX(FC_Mon,22)="PYG",1/INDEX(TC_O,1,7)*(1+P_dTC),1)*IF(OR(N(INDEX(FC_Desde,22))=0,7&gt;=N(INDEX(FC_Desde,22))),1,0),N(INDEX(FC_V,22))*(1+N(INDEX(FC_g,22)))^6*COUNTIFS(Calculo!$F$170:$ES$170,7)*IF(INDEX(FC_Mon,22)="PYG",1/INDEX(TC_V,1,7)*(1+V_dTC),1)*IF(OR(N(INDEX(FC_Desde,22))=0,7&gt;=N(INDEX(FC_Desde,22))),1,0))</f>
        <v>0</v>
      </c>
      <c r="L61" s="48" t="n">
        <f aca="false">IF(cu_P=1,N(INDEX(FC_O,22))*(1+N(INDEX(FC_g,22)))^7*COUNTIFS(Calculo!$F$14:$ES$14,8)*IF(INDEX(FC_Mon,22)="PYG",1/INDEX(TC_O,1,8)*(1+P_dTC),1)*IF(OR(N(INDEX(FC_Desde,22))=0,8&gt;=N(INDEX(FC_Desde,22))),1,0),N(INDEX(FC_V,22))*(1+N(INDEX(FC_g,22)))^7*COUNTIFS(Calculo!$F$170:$ES$170,8)*IF(INDEX(FC_Mon,22)="PYG",1/INDEX(TC_V,1,8)*(1+V_dTC),1)*IF(OR(N(INDEX(FC_Desde,22))=0,8&gt;=N(INDEX(FC_Desde,22))),1,0))</f>
        <v>0</v>
      </c>
      <c r="M61" s="48" t="n">
        <f aca="false">IF(cu_P=1,N(INDEX(FC_O,22))*(1+N(INDEX(FC_g,22)))^8*COUNTIFS(Calculo!$F$14:$ES$14,9)*IF(INDEX(FC_Mon,22)="PYG",1/INDEX(TC_O,1,9)*(1+P_dTC),1)*IF(OR(N(INDEX(FC_Desde,22))=0,9&gt;=N(INDEX(FC_Desde,22))),1,0),N(INDEX(FC_V,22))*(1+N(INDEX(FC_g,22)))^8*COUNTIFS(Calculo!$F$170:$ES$170,9)*IF(INDEX(FC_Mon,22)="PYG",1/INDEX(TC_V,1,9)*(1+V_dTC),1)*IF(OR(N(INDEX(FC_Desde,22))=0,9&gt;=N(INDEX(FC_Desde,22))),1,0))</f>
        <v>0</v>
      </c>
      <c r="N61" s="48" t="n">
        <f aca="false">IF(cu_P=1,N(INDEX(FC_O,22))*(1+N(INDEX(FC_g,22)))^9*COUNTIFS(Calculo!$F$14:$ES$14,10)*IF(INDEX(FC_Mon,22)="PYG",1/INDEX(TC_O,1,10)*(1+P_dTC),1)*IF(OR(N(INDEX(FC_Desde,22))=0,10&gt;=N(INDEX(FC_Desde,22))),1,0),N(INDEX(FC_V,22))*(1+N(INDEX(FC_g,22)))^9*COUNTIFS(Calculo!$F$170:$ES$170,10)*IF(INDEX(FC_Mon,22)="PYG",1/INDEX(TC_V,1,10)*(1+V_dTC),1)*IF(OR(N(INDEX(FC_Desde,22))=0,10&gt;=N(INDEX(FC_Desde,22))),1,0))</f>
        <v>0</v>
      </c>
      <c r="O61" s="54" t="n">
        <f aca="false">SUM(D61:N61)</f>
        <v>0</v>
      </c>
    </row>
    <row r="62" customFormat="false" ht="15" hidden="true" customHeight="false" outlineLevel="1" collapsed="false">
      <c r="A62" s="11" t="s">
        <v>2349</v>
      </c>
      <c r="B62" s="53" t="str">
        <f aca="false">IF(Costos!$B$97="","Concepto 23",Costos!$B$97&amp;" ("&amp;Costos!$C$97&amp;")")</f>
        <v>Concepto 23</v>
      </c>
      <c r="C62" s="11" t="s">
        <v>508</v>
      </c>
      <c r="D62" s="48" t="n">
        <f aca="false">IF(cu_P=1,N(INDEX(FC_O,23))*SUM(Calculo!$F$16:$ES$16)*IF(INDEX(FC_Mon,23)="PYG",1/INDEX(TC_O,1,1)*(1+P_dTC),1)*IF(N(INDEX(FC_Desde,23))=0,1,0),N(INDEX(FC_V,23))*SUM(Calculo!$F$172:$ES$172)*IF(INDEX(FC_Mon,23)="PYG",1/INDEX(TC_V,1,1)*(1+V_dTC),1)*IF(N(INDEX(FC_Desde,23))=0,1,0))</f>
        <v>0</v>
      </c>
      <c r="E62" s="48" t="n">
        <f aca="false">IF(cu_P=1,N(INDEX(FC_O,23))*(1+N(INDEX(FC_g,23)))^0*COUNTIFS(Calculo!$F$14:$ES$14,1)*IF(INDEX(FC_Mon,23)="PYG",1/INDEX(TC_O,1,1)*(1+P_dTC),1)*IF(OR(N(INDEX(FC_Desde,23))=0,1&gt;=N(INDEX(FC_Desde,23))),1,0),N(INDEX(FC_V,23))*(1+N(INDEX(FC_g,23)))^0*COUNTIFS(Calculo!$F$170:$ES$170,1)*IF(INDEX(FC_Mon,23)="PYG",1/INDEX(TC_V,1,1)*(1+V_dTC),1)*IF(OR(N(INDEX(FC_Desde,23))=0,1&gt;=N(INDEX(FC_Desde,23))),1,0))</f>
        <v>0</v>
      </c>
      <c r="F62" s="48" t="n">
        <f aca="false">IF(cu_P=1,N(INDEX(FC_O,23))*(1+N(INDEX(FC_g,23)))^1*COUNTIFS(Calculo!$F$14:$ES$14,2)*IF(INDEX(FC_Mon,23)="PYG",1/INDEX(TC_O,1,2)*(1+P_dTC),1)*IF(OR(N(INDEX(FC_Desde,23))=0,2&gt;=N(INDEX(FC_Desde,23))),1,0),N(INDEX(FC_V,23))*(1+N(INDEX(FC_g,23)))^1*COUNTIFS(Calculo!$F$170:$ES$170,2)*IF(INDEX(FC_Mon,23)="PYG",1/INDEX(TC_V,1,2)*(1+V_dTC),1)*IF(OR(N(INDEX(FC_Desde,23))=0,2&gt;=N(INDEX(FC_Desde,23))),1,0))</f>
        <v>0</v>
      </c>
      <c r="G62" s="48" t="n">
        <f aca="false">IF(cu_P=1,N(INDEX(FC_O,23))*(1+N(INDEX(FC_g,23)))^2*COUNTIFS(Calculo!$F$14:$ES$14,3)*IF(INDEX(FC_Mon,23)="PYG",1/INDEX(TC_O,1,3)*(1+P_dTC),1)*IF(OR(N(INDEX(FC_Desde,23))=0,3&gt;=N(INDEX(FC_Desde,23))),1,0),N(INDEX(FC_V,23))*(1+N(INDEX(FC_g,23)))^2*COUNTIFS(Calculo!$F$170:$ES$170,3)*IF(INDEX(FC_Mon,23)="PYG",1/INDEX(TC_V,1,3)*(1+V_dTC),1)*IF(OR(N(INDEX(FC_Desde,23))=0,3&gt;=N(INDEX(FC_Desde,23))),1,0))</f>
        <v>0</v>
      </c>
      <c r="H62" s="48" t="n">
        <f aca="false">IF(cu_P=1,N(INDEX(FC_O,23))*(1+N(INDEX(FC_g,23)))^3*COUNTIFS(Calculo!$F$14:$ES$14,4)*IF(INDEX(FC_Mon,23)="PYG",1/INDEX(TC_O,1,4)*(1+P_dTC),1)*IF(OR(N(INDEX(FC_Desde,23))=0,4&gt;=N(INDEX(FC_Desde,23))),1,0),N(INDEX(FC_V,23))*(1+N(INDEX(FC_g,23)))^3*COUNTIFS(Calculo!$F$170:$ES$170,4)*IF(INDEX(FC_Mon,23)="PYG",1/INDEX(TC_V,1,4)*(1+V_dTC),1)*IF(OR(N(INDEX(FC_Desde,23))=0,4&gt;=N(INDEX(FC_Desde,23))),1,0))</f>
        <v>0</v>
      </c>
      <c r="I62" s="48" t="n">
        <f aca="false">IF(cu_P=1,N(INDEX(FC_O,23))*(1+N(INDEX(FC_g,23)))^4*COUNTIFS(Calculo!$F$14:$ES$14,5)*IF(INDEX(FC_Mon,23)="PYG",1/INDEX(TC_O,1,5)*(1+P_dTC),1)*IF(OR(N(INDEX(FC_Desde,23))=0,5&gt;=N(INDEX(FC_Desde,23))),1,0),N(INDEX(FC_V,23))*(1+N(INDEX(FC_g,23)))^4*COUNTIFS(Calculo!$F$170:$ES$170,5)*IF(INDEX(FC_Mon,23)="PYG",1/INDEX(TC_V,1,5)*(1+V_dTC),1)*IF(OR(N(INDEX(FC_Desde,23))=0,5&gt;=N(INDEX(FC_Desde,23))),1,0))</f>
        <v>0</v>
      </c>
      <c r="J62" s="48" t="n">
        <f aca="false">IF(cu_P=1,N(INDEX(FC_O,23))*(1+N(INDEX(FC_g,23)))^5*COUNTIFS(Calculo!$F$14:$ES$14,6)*IF(INDEX(FC_Mon,23)="PYG",1/INDEX(TC_O,1,6)*(1+P_dTC),1)*IF(OR(N(INDEX(FC_Desde,23))=0,6&gt;=N(INDEX(FC_Desde,23))),1,0),N(INDEX(FC_V,23))*(1+N(INDEX(FC_g,23)))^5*COUNTIFS(Calculo!$F$170:$ES$170,6)*IF(INDEX(FC_Mon,23)="PYG",1/INDEX(TC_V,1,6)*(1+V_dTC),1)*IF(OR(N(INDEX(FC_Desde,23))=0,6&gt;=N(INDEX(FC_Desde,23))),1,0))</f>
        <v>0</v>
      </c>
      <c r="K62" s="48" t="n">
        <f aca="false">IF(cu_P=1,N(INDEX(FC_O,23))*(1+N(INDEX(FC_g,23)))^6*COUNTIFS(Calculo!$F$14:$ES$14,7)*IF(INDEX(FC_Mon,23)="PYG",1/INDEX(TC_O,1,7)*(1+P_dTC),1)*IF(OR(N(INDEX(FC_Desde,23))=0,7&gt;=N(INDEX(FC_Desde,23))),1,0),N(INDEX(FC_V,23))*(1+N(INDEX(FC_g,23)))^6*COUNTIFS(Calculo!$F$170:$ES$170,7)*IF(INDEX(FC_Mon,23)="PYG",1/INDEX(TC_V,1,7)*(1+V_dTC),1)*IF(OR(N(INDEX(FC_Desde,23))=0,7&gt;=N(INDEX(FC_Desde,23))),1,0))</f>
        <v>0</v>
      </c>
      <c r="L62" s="48" t="n">
        <f aca="false">IF(cu_P=1,N(INDEX(FC_O,23))*(1+N(INDEX(FC_g,23)))^7*COUNTIFS(Calculo!$F$14:$ES$14,8)*IF(INDEX(FC_Mon,23)="PYG",1/INDEX(TC_O,1,8)*(1+P_dTC),1)*IF(OR(N(INDEX(FC_Desde,23))=0,8&gt;=N(INDEX(FC_Desde,23))),1,0),N(INDEX(FC_V,23))*(1+N(INDEX(FC_g,23)))^7*COUNTIFS(Calculo!$F$170:$ES$170,8)*IF(INDEX(FC_Mon,23)="PYG",1/INDEX(TC_V,1,8)*(1+V_dTC),1)*IF(OR(N(INDEX(FC_Desde,23))=0,8&gt;=N(INDEX(FC_Desde,23))),1,0))</f>
        <v>0</v>
      </c>
      <c r="M62" s="48" t="n">
        <f aca="false">IF(cu_P=1,N(INDEX(FC_O,23))*(1+N(INDEX(FC_g,23)))^8*COUNTIFS(Calculo!$F$14:$ES$14,9)*IF(INDEX(FC_Mon,23)="PYG",1/INDEX(TC_O,1,9)*(1+P_dTC),1)*IF(OR(N(INDEX(FC_Desde,23))=0,9&gt;=N(INDEX(FC_Desde,23))),1,0),N(INDEX(FC_V,23))*(1+N(INDEX(FC_g,23)))^8*COUNTIFS(Calculo!$F$170:$ES$170,9)*IF(INDEX(FC_Mon,23)="PYG",1/INDEX(TC_V,1,9)*(1+V_dTC),1)*IF(OR(N(INDEX(FC_Desde,23))=0,9&gt;=N(INDEX(FC_Desde,23))),1,0))</f>
        <v>0</v>
      </c>
      <c r="N62" s="48" t="n">
        <f aca="false">IF(cu_P=1,N(INDEX(FC_O,23))*(1+N(INDEX(FC_g,23)))^9*COUNTIFS(Calculo!$F$14:$ES$14,10)*IF(INDEX(FC_Mon,23)="PYG",1/INDEX(TC_O,1,10)*(1+P_dTC),1)*IF(OR(N(INDEX(FC_Desde,23))=0,10&gt;=N(INDEX(FC_Desde,23))),1,0),N(INDEX(FC_V,23))*(1+N(INDEX(FC_g,23)))^9*COUNTIFS(Calculo!$F$170:$ES$170,10)*IF(INDEX(FC_Mon,23)="PYG",1/INDEX(TC_V,1,10)*(1+V_dTC),1)*IF(OR(N(INDEX(FC_Desde,23))=0,10&gt;=N(INDEX(FC_Desde,23))),1,0))</f>
        <v>0</v>
      </c>
      <c r="O62" s="54" t="n">
        <f aca="false">SUM(D62:N62)</f>
        <v>0</v>
      </c>
    </row>
    <row r="63" customFormat="false" ht="15" hidden="true" customHeight="false" outlineLevel="1" collapsed="false">
      <c r="A63" s="11" t="s">
        <v>2350</v>
      </c>
      <c r="B63" s="53" t="str">
        <f aca="false">IF(Costos!$B$98="","Concepto 24",Costos!$B$98&amp;" ("&amp;Costos!$C$98&amp;")")</f>
        <v>Concepto 24</v>
      </c>
      <c r="C63" s="11" t="s">
        <v>508</v>
      </c>
      <c r="D63" s="48" t="n">
        <f aca="false">IF(cu_P=1,N(INDEX(FC_O,24))*SUM(Calculo!$F$16:$ES$16)*IF(INDEX(FC_Mon,24)="PYG",1/INDEX(TC_O,1,1)*(1+P_dTC),1)*IF(N(INDEX(FC_Desde,24))=0,1,0),N(INDEX(FC_V,24))*SUM(Calculo!$F$172:$ES$172)*IF(INDEX(FC_Mon,24)="PYG",1/INDEX(TC_V,1,1)*(1+V_dTC),1)*IF(N(INDEX(FC_Desde,24))=0,1,0))</f>
        <v>0</v>
      </c>
      <c r="E63" s="48" t="n">
        <f aca="false">IF(cu_P=1,N(INDEX(FC_O,24))*(1+N(INDEX(FC_g,24)))^0*COUNTIFS(Calculo!$F$14:$ES$14,1)*IF(INDEX(FC_Mon,24)="PYG",1/INDEX(TC_O,1,1)*(1+P_dTC),1)*IF(OR(N(INDEX(FC_Desde,24))=0,1&gt;=N(INDEX(FC_Desde,24))),1,0),N(INDEX(FC_V,24))*(1+N(INDEX(FC_g,24)))^0*COUNTIFS(Calculo!$F$170:$ES$170,1)*IF(INDEX(FC_Mon,24)="PYG",1/INDEX(TC_V,1,1)*(1+V_dTC),1)*IF(OR(N(INDEX(FC_Desde,24))=0,1&gt;=N(INDEX(FC_Desde,24))),1,0))</f>
        <v>0</v>
      </c>
      <c r="F63" s="48" t="n">
        <f aca="false">IF(cu_P=1,N(INDEX(FC_O,24))*(1+N(INDEX(FC_g,24)))^1*COUNTIFS(Calculo!$F$14:$ES$14,2)*IF(INDEX(FC_Mon,24)="PYG",1/INDEX(TC_O,1,2)*(1+P_dTC),1)*IF(OR(N(INDEX(FC_Desde,24))=0,2&gt;=N(INDEX(FC_Desde,24))),1,0),N(INDEX(FC_V,24))*(1+N(INDEX(FC_g,24)))^1*COUNTIFS(Calculo!$F$170:$ES$170,2)*IF(INDEX(FC_Mon,24)="PYG",1/INDEX(TC_V,1,2)*(1+V_dTC),1)*IF(OR(N(INDEX(FC_Desde,24))=0,2&gt;=N(INDEX(FC_Desde,24))),1,0))</f>
        <v>0</v>
      </c>
      <c r="G63" s="48" t="n">
        <f aca="false">IF(cu_P=1,N(INDEX(FC_O,24))*(1+N(INDEX(FC_g,24)))^2*COUNTIFS(Calculo!$F$14:$ES$14,3)*IF(INDEX(FC_Mon,24)="PYG",1/INDEX(TC_O,1,3)*(1+P_dTC),1)*IF(OR(N(INDEX(FC_Desde,24))=0,3&gt;=N(INDEX(FC_Desde,24))),1,0),N(INDEX(FC_V,24))*(1+N(INDEX(FC_g,24)))^2*COUNTIFS(Calculo!$F$170:$ES$170,3)*IF(INDEX(FC_Mon,24)="PYG",1/INDEX(TC_V,1,3)*(1+V_dTC),1)*IF(OR(N(INDEX(FC_Desde,24))=0,3&gt;=N(INDEX(FC_Desde,24))),1,0))</f>
        <v>0</v>
      </c>
      <c r="H63" s="48" t="n">
        <f aca="false">IF(cu_P=1,N(INDEX(FC_O,24))*(1+N(INDEX(FC_g,24)))^3*COUNTIFS(Calculo!$F$14:$ES$14,4)*IF(INDEX(FC_Mon,24)="PYG",1/INDEX(TC_O,1,4)*(1+P_dTC),1)*IF(OR(N(INDEX(FC_Desde,24))=0,4&gt;=N(INDEX(FC_Desde,24))),1,0),N(INDEX(FC_V,24))*(1+N(INDEX(FC_g,24)))^3*COUNTIFS(Calculo!$F$170:$ES$170,4)*IF(INDEX(FC_Mon,24)="PYG",1/INDEX(TC_V,1,4)*(1+V_dTC),1)*IF(OR(N(INDEX(FC_Desde,24))=0,4&gt;=N(INDEX(FC_Desde,24))),1,0))</f>
        <v>0</v>
      </c>
      <c r="I63" s="48" t="n">
        <f aca="false">IF(cu_P=1,N(INDEX(FC_O,24))*(1+N(INDEX(FC_g,24)))^4*COUNTIFS(Calculo!$F$14:$ES$14,5)*IF(INDEX(FC_Mon,24)="PYG",1/INDEX(TC_O,1,5)*(1+P_dTC),1)*IF(OR(N(INDEX(FC_Desde,24))=0,5&gt;=N(INDEX(FC_Desde,24))),1,0),N(INDEX(FC_V,24))*(1+N(INDEX(FC_g,24)))^4*COUNTIFS(Calculo!$F$170:$ES$170,5)*IF(INDEX(FC_Mon,24)="PYG",1/INDEX(TC_V,1,5)*(1+V_dTC),1)*IF(OR(N(INDEX(FC_Desde,24))=0,5&gt;=N(INDEX(FC_Desde,24))),1,0))</f>
        <v>0</v>
      </c>
      <c r="J63" s="48" t="n">
        <f aca="false">IF(cu_P=1,N(INDEX(FC_O,24))*(1+N(INDEX(FC_g,24)))^5*COUNTIFS(Calculo!$F$14:$ES$14,6)*IF(INDEX(FC_Mon,24)="PYG",1/INDEX(TC_O,1,6)*(1+P_dTC),1)*IF(OR(N(INDEX(FC_Desde,24))=0,6&gt;=N(INDEX(FC_Desde,24))),1,0),N(INDEX(FC_V,24))*(1+N(INDEX(FC_g,24)))^5*COUNTIFS(Calculo!$F$170:$ES$170,6)*IF(INDEX(FC_Mon,24)="PYG",1/INDEX(TC_V,1,6)*(1+V_dTC),1)*IF(OR(N(INDEX(FC_Desde,24))=0,6&gt;=N(INDEX(FC_Desde,24))),1,0))</f>
        <v>0</v>
      </c>
      <c r="K63" s="48" t="n">
        <f aca="false">IF(cu_P=1,N(INDEX(FC_O,24))*(1+N(INDEX(FC_g,24)))^6*COUNTIFS(Calculo!$F$14:$ES$14,7)*IF(INDEX(FC_Mon,24)="PYG",1/INDEX(TC_O,1,7)*(1+P_dTC),1)*IF(OR(N(INDEX(FC_Desde,24))=0,7&gt;=N(INDEX(FC_Desde,24))),1,0),N(INDEX(FC_V,24))*(1+N(INDEX(FC_g,24)))^6*COUNTIFS(Calculo!$F$170:$ES$170,7)*IF(INDEX(FC_Mon,24)="PYG",1/INDEX(TC_V,1,7)*(1+V_dTC),1)*IF(OR(N(INDEX(FC_Desde,24))=0,7&gt;=N(INDEX(FC_Desde,24))),1,0))</f>
        <v>0</v>
      </c>
      <c r="L63" s="48" t="n">
        <f aca="false">IF(cu_P=1,N(INDEX(FC_O,24))*(1+N(INDEX(FC_g,24)))^7*COUNTIFS(Calculo!$F$14:$ES$14,8)*IF(INDEX(FC_Mon,24)="PYG",1/INDEX(TC_O,1,8)*(1+P_dTC),1)*IF(OR(N(INDEX(FC_Desde,24))=0,8&gt;=N(INDEX(FC_Desde,24))),1,0),N(INDEX(FC_V,24))*(1+N(INDEX(FC_g,24)))^7*COUNTIFS(Calculo!$F$170:$ES$170,8)*IF(INDEX(FC_Mon,24)="PYG",1/INDEX(TC_V,1,8)*(1+V_dTC),1)*IF(OR(N(INDEX(FC_Desde,24))=0,8&gt;=N(INDEX(FC_Desde,24))),1,0))</f>
        <v>0</v>
      </c>
      <c r="M63" s="48" t="n">
        <f aca="false">IF(cu_P=1,N(INDEX(FC_O,24))*(1+N(INDEX(FC_g,24)))^8*COUNTIFS(Calculo!$F$14:$ES$14,9)*IF(INDEX(FC_Mon,24)="PYG",1/INDEX(TC_O,1,9)*(1+P_dTC),1)*IF(OR(N(INDEX(FC_Desde,24))=0,9&gt;=N(INDEX(FC_Desde,24))),1,0),N(INDEX(FC_V,24))*(1+N(INDEX(FC_g,24)))^8*COUNTIFS(Calculo!$F$170:$ES$170,9)*IF(INDEX(FC_Mon,24)="PYG",1/INDEX(TC_V,1,9)*(1+V_dTC),1)*IF(OR(N(INDEX(FC_Desde,24))=0,9&gt;=N(INDEX(FC_Desde,24))),1,0))</f>
        <v>0</v>
      </c>
      <c r="N63" s="48" t="n">
        <f aca="false">IF(cu_P=1,N(INDEX(FC_O,24))*(1+N(INDEX(FC_g,24)))^9*COUNTIFS(Calculo!$F$14:$ES$14,10)*IF(INDEX(FC_Mon,24)="PYG",1/INDEX(TC_O,1,10)*(1+P_dTC),1)*IF(OR(N(INDEX(FC_Desde,24))=0,10&gt;=N(INDEX(FC_Desde,24))),1,0),N(INDEX(FC_V,24))*(1+N(INDEX(FC_g,24)))^9*COUNTIFS(Calculo!$F$170:$ES$170,10)*IF(INDEX(FC_Mon,24)="PYG",1/INDEX(TC_V,1,10)*(1+V_dTC),1)*IF(OR(N(INDEX(FC_Desde,24))=0,10&gt;=N(INDEX(FC_Desde,24))),1,0))</f>
        <v>0</v>
      </c>
      <c r="O63" s="54" t="n">
        <f aca="false">SUM(D63:N63)</f>
        <v>0</v>
      </c>
    </row>
    <row r="64" customFormat="false" ht="15" hidden="true" customHeight="false" outlineLevel="1" collapsed="false">
      <c r="A64" s="11" t="s">
        <v>2351</v>
      </c>
      <c r="B64" s="53" t="str">
        <f aca="false">IF(Costos!$B$99="","Concepto 25",Costos!$B$99&amp;" ("&amp;Costos!$C$99&amp;")")</f>
        <v>Concepto 25</v>
      </c>
      <c r="C64" s="11" t="s">
        <v>508</v>
      </c>
      <c r="D64" s="48" t="n">
        <f aca="false">IF(cu_P=1,N(INDEX(FC_O,25))*SUM(Calculo!$F$16:$ES$16)*IF(INDEX(FC_Mon,25)="PYG",1/INDEX(TC_O,1,1)*(1+P_dTC),1)*IF(N(INDEX(FC_Desde,25))=0,1,0),N(INDEX(FC_V,25))*SUM(Calculo!$F$172:$ES$172)*IF(INDEX(FC_Mon,25)="PYG",1/INDEX(TC_V,1,1)*(1+V_dTC),1)*IF(N(INDEX(FC_Desde,25))=0,1,0))</f>
        <v>0</v>
      </c>
      <c r="E64" s="48" t="n">
        <f aca="false">IF(cu_P=1,N(INDEX(FC_O,25))*(1+N(INDEX(FC_g,25)))^0*COUNTIFS(Calculo!$F$14:$ES$14,1)*IF(INDEX(FC_Mon,25)="PYG",1/INDEX(TC_O,1,1)*(1+P_dTC),1)*IF(OR(N(INDEX(FC_Desde,25))=0,1&gt;=N(INDEX(FC_Desde,25))),1,0),N(INDEX(FC_V,25))*(1+N(INDEX(FC_g,25)))^0*COUNTIFS(Calculo!$F$170:$ES$170,1)*IF(INDEX(FC_Mon,25)="PYG",1/INDEX(TC_V,1,1)*(1+V_dTC),1)*IF(OR(N(INDEX(FC_Desde,25))=0,1&gt;=N(INDEX(FC_Desde,25))),1,0))</f>
        <v>0</v>
      </c>
      <c r="F64" s="48" t="n">
        <f aca="false">IF(cu_P=1,N(INDEX(FC_O,25))*(1+N(INDEX(FC_g,25)))^1*COUNTIFS(Calculo!$F$14:$ES$14,2)*IF(INDEX(FC_Mon,25)="PYG",1/INDEX(TC_O,1,2)*(1+P_dTC),1)*IF(OR(N(INDEX(FC_Desde,25))=0,2&gt;=N(INDEX(FC_Desde,25))),1,0),N(INDEX(FC_V,25))*(1+N(INDEX(FC_g,25)))^1*COUNTIFS(Calculo!$F$170:$ES$170,2)*IF(INDEX(FC_Mon,25)="PYG",1/INDEX(TC_V,1,2)*(1+V_dTC),1)*IF(OR(N(INDEX(FC_Desde,25))=0,2&gt;=N(INDEX(FC_Desde,25))),1,0))</f>
        <v>0</v>
      </c>
      <c r="G64" s="48" t="n">
        <f aca="false">IF(cu_P=1,N(INDEX(FC_O,25))*(1+N(INDEX(FC_g,25)))^2*COUNTIFS(Calculo!$F$14:$ES$14,3)*IF(INDEX(FC_Mon,25)="PYG",1/INDEX(TC_O,1,3)*(1+P_dTC),1)*IF(OR(N(INDEX(FC_Desde,25))=0,3&gt;=N(INDEX(FC_Desde,25))),1,0),N(INDEX(FC_V,25))*(1+N(INDEX(FC_g,25)))^2*COUNTIFS(Calculo!$F$170:$ES$170,3)*IF(INDEX(FC_Mon,25)="PYG",1/INDEX(TC_V,1,3)*(1+V_dTC),1)*IF(OR(N(INDEX(FC_Desde,25))=0,3&gt;=N(INDEX(FC_Desde,25))),1,0))</f>
        <v>0</v>
      </c>
      <c r="H64" s="48" t="n">
        <f aca="false">IF(cu_P=1,N(INDEX(FC_O,25))*(1+N(INDEX(FC_g,25)))^3*COUNTIFS(Calculo!$F$14:$ES$14,4)*IF(INDEX(FC_Mon,25)="PYG",1/INDEX(TC_O,1,4)*(1+P_dTC),1)*IF(OR(N(INDEX(FC_Desde,25))=0,4&gt;=N(INDEX(FC_Desde,25))),1,0),N(INDEX(FC_V,25))*(1+N(INDEX(FC_g,25)))^3*COUNTIFS(Calculo!$F$170:$ES$170,4)*IF(INDEX(FC_Mon,25)="PYG",1/INDEX(TC_V,1,4)*(1+V_dTC),1)*IF(OR(N(INDEX(FC_Desde,25))=0,4&gt;=N(INDEX(FC_Desde,25))),1,0))</f>
        <v>0</v>
      </c>
      <c r="I64" s="48" t="n">
        <f aca="false">IF(cu_P=1,N(INDEX(FC_O,25))*(1+N(INDEX(FC_g,25)))^4*COUNTIFS(Calculo!$F$14:$ES$14,5)*IF(INDEX(FC_Mon,25)="PYG",1/INDEX(TC_O,1,5)*(1+P_dTC),1)*IF(OR(N(INDEX(FC_Desde,25))=0,5&gt;=N(INDEX(FC_Desde,25))),1,0),N(INDEX(FC_V,25))*(1+N(INDEX(FC_g,25)))^4*COUNTIFS(Calculo!$F$170:$ES$170,5)*IF(INDEX(FC_Mon,25)="PYG",1/INDEX(TC_V,1,5)*(1+V_dTC),1)*IF(OR(N(INDEX(FC_Desde,25))=0,5&gt;=N(INDEX(FC_Desde,25))),1,0))</f>
        <v>0</v>
      </c>
      <c r="J64" s="48" t="n">
        <f aca="false">IF(cu_P=1,N(INDEX(FC_O,25))*(1+N(INDEX(FC_g,25)))^5*COUNTIFS(Calculo!$F$14:$ES$14,6)*IF(INDEX(FC_Mon,25)="PYG",1/INDEX(TC_O,1,6)*(1+P_dTC),1)*IF(OR(N(INDEX(FC_Desde,25))=0,6&gt;=N(INDEX(FC_Desde,25))),1,0),N(INDEX(FC_V,25))*(1+N(INDEX(FC_g,25)))^5*COUNTIFS(Calculo!$F$170:$ES$170,6)*IF(INDEX(FC_Mon,25)="PYG",1/INDEX(TC_V,1,6)*(1+V_dTC),1)*IF(OR(N(INDEX(FC_Desde,25))=0,6&gt;=N(INDEX(FC_Desde,25))),1,0))</f>
        <v>0</v>
      </c>
      <c r="K64" s="48" t="n">
        <f aca="false">IF(cu_P=1,N(INDEX(FC_O,25))*(1+N(INDEX(FC_g,25)))^6*COUNTIFS(Calculo!$F$14:$ES$14,7)*IF(INDEX(FC_Mon,25)="PYG",1/INDEX(TC_O,1,7)*(1+P_dTC),1)*IF(OR(N(INDEX(FC_Desde,25))=0,7&gt;=N(INDEX(FC_Desde,25))),1,0),N(INDEX(FC_V,25))*(1+N(INDEX(FC_g,25)))^6*COUNTIFS(Calculo!$F$170:$ES$170,7)*IF(INDEX(FC_Mon,25)="PYG",1/INDEX(TC_V,1,7)*(1+V_dTC),1)*IF(OR(N(INDEX(FC_Desde,25))=0,7&gt;=N(INDEX(FC_Desde,25))),1,0))</f>
        <v>0</v>
      </c>
      <c r="L64" s="48" t="n">
        <f aca="false">IF(cu_P=1,N(INDEX(FC_O,25))*(1+N(INDEX(FC_g,25)))^7*COUNTIFS(Calculo!$F$14:$ES$14,8)*IF(INDEX(FC_Mon,25)="PYG",1/INDEX(TC_O,1,8)*(1+P_dTC),1)*IF(OR(N(INDEX(FC_Desde,25))=0,8&gt;=N(INDEX(FC_Desde,25))),1,0),N(INDEX(FC_V,25))*(1+N(INDEX(FC_g,25)))^7*COUNTIFS(Calculo!$F$170:$ES$170,8)*IF(INDEX(FC_Mon,25)="PYG",1/INDEX(TC_V,1,8)*(1+V_dTC),1)*IF(OR(N(INDEX(FC_Desde,25))=0,8&gt;=N(INDEX(FC_Desde,25))),1,0))</f>
        <v>0</v>
      </c>
      <c r="M64" s="48" t="n">
        <f aca="false">IF(cu_P=1,N(INDEX(FC_O,25))*(1+N(INDEX(FC_g,25)))^8*COUNTIFS(Calculo!$F$14:$ES$14,9)*IF(INDEX(FC_Mon,25)="PYG",1/INDEX(TC_O,1,9)*(1+P_dTC),1)*IF(OR(N(INDEX(FC_Desde,25))=0,9&gt;=N(INDEX(FC_Desde,25))),1,0),N(INDEX(FC_V,25))*(1+N(INDEX(FC_g,25)))^8*COUNTIFS(Calculo!$F$170:$ES$170,9)*IF(INDEX(FC_Mon,25)="PYG",1/INDEX(TC_V,1,9)*(1+V_dTC),1)*IF(OR(N(INDEX(FC_Desde,25))=0,9&gt;=N(INDEX(FC_Desde,25))),1,0))</f>
        <v>0</v>
      </c>
      <c r="N64" s="48" t="n">
        <f aca="false">IF(cu_P=1,N(INDEX(FC_O,25))*(1+N(INDEX(FC_g,25)))^9*COUNTIFS(Calculo!$F$14:$ES$14,10)*IF(INDEX(FC_Mon,25)="PYG",1/INDEX(TC_O,1,10)*(1+P_dTC),1)*IF(OR(N(INDEX(FC_Desde,25))=0,10&gt;=N(INDEX(FC_Desde,25))),1,0),N(INDEX(FC_V,25))*(1+N(INDEX(FC_g,25)))^9*COUNTIFS(Calculo!$F$170:$ES$170,10)*IF(INDEX(FC_Mon,25)="PYG",1/INDEX(TC_V,1,10)*(1+V_dTC),1)*IF(OR(N(INDEX(FC_Desde,25))=0,10&gt;=N(INDEX(FC_Desde,25))),1,0))</f>
        <v>0</v>
      </c>
      <c r="O64" s="54" t="n">
        <f aca="false">SUM(D64:N64)</f>
        <v>0</v>
      </c>
    </row>
    <row r="65" customFormat="false" ht="15" hidden="false" customHeight="false" outlineLevel="0" collapsed="false">
      <c r="A65" s="11" t="s">
        <v>2352</v>
      </c>
      <c r="B65" s="15" t="s">
        <v>2353</v>
      </c>
      <c r="C65" s="11" t="s">
        <v>508</v>
      </c>
      <c r="D65" s="48" t="n">
        <f aca="false">IFERROR(IF(COUNT(D17,D29,D40,D41,D42,D43,D44,D45,D46,D47,D48,D49,D50,D51,D52,D53,D54,D55,D56,D57,D58,D59,D60,D61,D62,D63,D64)=0,"",N(D17)+N(D29)-(N(D40)+N(D41)+N(D42)+N(D43)+N(D44)+N(D45)+N(D46)+N(D47)+N(D48)+N(D49)+N(D50)+N(D51)+N(D52)+N(D53)+N(D54)+N(D55)+N(D56)+N(D57)+N(D58)+N(D59)+N(D60)+N(D61)+N(D62)+N(D63)+N(D64))),"")</f>
        <v>0</v>
      </c>
      <c r="E65" s="48" t="n">
        <f aca="false">IFERROR(IF(COUNT(E17,E29,E40,E41,E42,E43,E44,E45,E46,E47,E48,E49,E50,E51,E52,E53,E54,E55,E56,E57,E58,E59,E60,E61,E62,E63,E64)=0,"",N(E17)+N(E29)-(N(E40)+N(E41)+N(E42)+N(E43)+N(E44)+N(E45)+N(E46)+N(E47)+N(E48)+N(E49)+N(E50)+N(E51)+N(E52)+N(E53)+N(E54)+N(E55)+N(E56)+N(E57)+N(E58)+N(E59)+N(E60)+N(E61)+N(E62)+N(E63)+N(E64))),"")</f>
        <v>0</v>
      </c>
      <c r="F65" s="48" t="n">
        <f aca="false">IFERROR(IF(COUNT(F17,F29,F40,F41,F42,F43,F44,F45,F46,F47,F48,F49,F50,F51,F52,F53,F54,F55,F56,F57,F58,F59,F60,F61,F62,F63,F64)=0,"",N(F17)+N(F29)-(N(F40)+N(F41)+N(F42)+N(F43)+N(F44)+N(F45)+N(F46)+N(F47)+N(F48)+N(F49)+N(F50)+N(F51)+N(F52)+N(F53)+N(F54)+N(F55)+N(F56)+N(F57)+N(F58)+N(F59)+N(F60)+N(F61)+N(F62)+N(F63)+N(F64))),"")</f>
        <v>0</v>
      </c>
      <c r="G65" s="48" t="n">
        <f aca="false">IFERROR(IF(COUNT(G17,G29,G40,G41,G42,G43,G44,G45,G46,G47,G48,G49,G50,G51,G52,G53,G54,G55,G56,G57,G58,G59,G60,G61,G62,G63,G64)=0,"",N(G17)+N(G29)-(N(G40)+N(G41)+N(G42)+N(G43)+N(G44)+N(G45)+N(G46)+N(G47)+N(G48)+N(G49)+N(G50)+N(G51)+N(G52)+N(G53)+N(G54)+N(G55)+N(G56)+N(G57)+N(G58)+N(G59)+N(G60)+N(G61)+N(G62)+N(G63)+N(G64))),"")</f>
        <v>0</v>
      </c>
      <c r="H65" s="48" t="n">
        <f aca="false">IFERROR(IF(COUNT(H17,H29,H40,H41,H42,H43,H44,H45,H46,H47,H48,H49,H50,H51,H52,H53,H54,H55,H56,H57,H58,H59,H60,H61,H62,H63,H64)=0,"",N(H17)+N(H29)-(N(H40)+N(H41)+N(H42)+N(H43)+N(H44)+N(H45)+N(H46)+N(H47)+N(H48)+N(H49)+N(H50)+N(H51)+N(H52)+N(H53)+N(H54)+N(H55)+N(H56)+N(H57)+N(H58)+N(H59)+N(H60)+N(H61)+N(H62)+N(H63)+N(H64))),"")</f>
        <v>0</v>
      </c>
      <c r="I65" s="48" t="n">
        <f aca="false">IFERROR(IF(COUNT(I17,I29,I40,I41,I42,I43,I44,I45,I46,I47,I48,I49,I50,I51,I52,I53,I54,I55,I56,I57,I58,I59,I60,I61,I62,I63,I64)=0,"",N(I17)+N(I29)-(N(I40)+N(I41)+N(I42)+N(I43)+N(I44)+N(I45)+N(I46)+N(I47)+N(I48)+N(I49)+N(I50)+N(I51)+N(I52)+N(I53)+N(I54)+N(I55)+N(I56)+N(I57)+N(I58)+N(I59)+N(I60)+N(I61)+N(I62)+N(I63)+N(I64))),"")</f>
        <v>0</v>
      </c>
      <c r="J65" s="48" t="n">
        <f aca="false">IFERROR(IF(COUNT(J17,J29,J40,J41,J42,J43,J44,J45,J46,J47,J48,J49,J50,J51,J52,J53,J54,J55,J56,J57,J58,J59,J60,J61,J62,J63,J64)=0,"",N(J17)+N(J29)-(N(J40)+N(J41)+N(J42)+N(J43)+N(J44)+N(J45)+N(J46)+N(J47)+N(J48)+N(J49)+N(J50)+N(J51)+N(J52)+N(J53)+N(J54)+N(J55)+N(J56)+N(J57)+N(J58)+N(J59)+N(J60)+N(J61)+N(J62)+N(J63)+N(J64))),"")</f>
        <v>0</v>
      </c>
      <c r="K65" s="48" t="n">
        <f aca="false">IFERROR(IF(COUNT(K17,K29,K40,K41,K42,K43,K44,K45,K46,K47,K48,K49,K50,K51,K52,K53,K54,K55,K56,K57,K58,K59,K60,K61,K62,K63,K64)=0,"",N(K17)+N(K29)-(N(K40)+N(K41)+N(K42)+N(K43)+N(K44)+N(K45)+N(K46)+N(K47)+N(K48)+N(K49)+N(K50)+N(K51)+N(K52)+N(K53)+N(K54)+N(K55)+N(K56)+N(K57)+N(K58)+N(K59)+N(K60)+N(K61)+N(K62)+N(K63)+N(K64))),"")</f>
        <v>0</v>
      </c>
      <c r="L65" s="48" t="n">
        <f aca="false">IFERROR(IF(COUNT(L17,L29,L40,L41,L42,L43,L44,L45,L46,L47,L48,L49,L50,L51,L52,L53,L54,L55,L56,L57,L58,L59,L60,L61,L62,L63,L64)=0,"",N(L17)+N(L29)-(N(L40)+N(L41)+N(L42)+N(L43)+N(L44)+N(L45)+N(L46)+N(L47)+N(L48)+N(L49)+N(L50)+N(L51)+N(L52)+N(L53)+N(L54)+N(L55)+N(L56)+N(L57)+N(L58)+N(L59)+N(L60)+N(L61)+N(L62)+N(L63)+N(L64))),"")</f>
        <v>0</v>
      </c>
      <c r="M65" s="48" t="n">
        <f aca="false">IFERROR(IF(COUNT(M17,M29,M40,M41,M42,M43,M44,M45,M46,M47,M48,M49,M50,M51,M52,M53,M54,M55,M56,M57,M58,M59,M60,M61,M62,M63,M64)=0,"",N(M17)+N(M29)-(N(M40)+N(M41)+N(M42)+N(M43)+N(M44)+N(M45)+N(M46)+N(M47)+N(M48)+N(M49)+N(M50)+N(M51)+N(M52)+N(M53)+N(M54)+N(M55)+N(M56)+N(M57)+N(M58)+N(M59)+N(M60)+N(M61)+N(M62)+N(M63)+N(M64))),"")</f>
        <v>0</v>
      </c>
      <c r="N65" s="48" t="n">
        <f aca="false">IFERROR(IF(COUNT(N17,N29,N40,N41,N42,N43,N44,N45,N46,N47,N48,N49,N50,N51,N52,N53,N54,N55,N56,N57,N58,N59,N60,N61,N62,N63,N64)=0,"",N(N17)+N(N29)-(N(N40)+N(N41)+N(N42)+N(N43)+N(N44)+N(N45)+N(N46)+N(N47)+N(N48)+N(N49)+N(N50)+N(N51)+N(N52)+N(N53)+N(N54)+N(N55)+N(N56)+N(N57)+N(N58)+N(N59)+N(N60)+N(N61)+N(N62)+N(N63)+N(N64))),"")</f>
        <v>0</v>
      </c>
      <c r="O65" s="54" t="n">
        <f aca="false">SUM(D65:N65)</f>
        <v>0</v>
      </c>
    </row>
    <row r="67" customFormat="false" ht="15" hidden="false" customHeight="false" outlineLevel="0" collapsed="false">
      <c r="A67" s="65" t="s">
        <v>1992</v>
      </c>
      <c r="B67" s="64"/>
      <c r="C67" s="64"/>
      <c r="D67" s="64"/>
      <c r="E67" s="64"/>
      <c r="F67" s="64"/>
      <c r="G67" s="64"/>
      <c r="H67" s="64"/>
      <c r="I67" s="64"/>
      <c r="J67" s="64"/>
      <c r="K67" s="64"/>
      <c r="L67" s="64"/>
      <c r="M67" s="64"/>
      <c r="N67" s="64"/>
      <c r="O67" s="64"/>
    </row>
    <row r="68" customFormat="false" ht="24" hidden="false" customHeight="true" outlineLevel="0" collapsed="false">
      <c r="A68" s="14"/>
      <c r="B68" s="14" t="s">
        <v>1530</v>
      </c>
      <c r="C68" s="14" t="s">
        <v>355</v>
      </c>
      <c r="D68" s="14" t="s">
        <v>1857</v>
      </c>
      <c r="E68" s="14" t="s">
        <v>452</v>
      </c>
      <c r="F68" s="14" t="s">
        <v>453</v>
      </c>
      <c r="G68" s="14" t="s">
        <v>454</v>
      </c>
      <c r="H68" s="14" t="s">
        <v>455</v>
      </c>
      <c r="I68" s="14" t="s">
        <v>456</v>
      </c>
      <c r="J68" s="14" t="s">
        <v>457</v>
      </c>
      <c r="K68" s="14" t="s">
        <v>458</v>
      </c>
      <c r="L68" s="14" t="s">
        <v>459</v>
      </c>
      <c r="M68" s="14" t="s">
        <v>460</v>
      </c>
      <c r="N68" s="14" t="s">
        <v>461</v>
      </c>
      <c r="O68" s="14" t="s">
        <v>549</v>
      </c>
    </row>
    <row r="69" customFormat="false" ht="15" hidden="false" customHeight="false" outlineLevel="0" collapsed="false">
      <c r="B69" s="11" t="s">
        <v>1993</v>
      </c>
      <c r="D69" s="86" t="str">
        <f aca="false">IF(OR(n_Fecha1="",IF(cu_P=1,P_Inicio,V_Inicio)=1),"",YEAR(n_Fecha1))</f>
        <v/>
      </c>
      <c r="E69" s="86" t="str">
        <f aca="false">IF(n_Fecha1="","",YEAR(EOMONTH(n_Fecha1,IF(cu_P=1,P_Inicio,V_Inicio)-1+0)))</f>
        <v/>
      </c>
      <c r="F69" s="86" t="str">
        <f aca="false">IF(n_Fecha1="","",YEAR(EOMONTH(n_Fecha1,IF(cu_P=1,P_Inicio,V_Inicio)-1+12)))</f>
        <v/>
      </c>
      <c r="G69" s="86" t="str">
        <f aca="false">IF(n_Fecha1="","",YEAR(EOMONTH(n_Fecha1,IF(cu_P=1,P_Inicio,V_Inicio)-1+24)))</f>
        <v/>
      </c>
      <c r="H69" s="86" t="str">
        <f aca="false">IF(n_Fecha1="","",YEAR(EOMONTH(n_Fecha1,IF(cu_P=1,P_Inicio,V_Inicio)-1+36)))</f>
        <v/>
      </c>
      <c r="I69" s="86" t="str">
        <f aca="false">IF(n_Fecha1="","",YEAR(EOMONTH(n_Fecha1,IF(cu_P=1,P_Inicio,V_Inicio)-1+48)))</f>
        <v/>
      </c>
      <c r="J69" s="86" t="str">
        <f aca="false">IF(n_Fecha1="","",YEAR(EOMONTH(n_Fecha1,IF(cu_P=1,P_Inicio,V_Inicio)-1+60)))</f>
        <v/>
      </c>
      <c r="K69" s="86" t="str">
        <f aca="false">IF(n_Fecha1="","",YEAR(EOMONTH(n_Fecha1,IF(cu_P=1,P_Inicio,V_Inicio)-1+72)))</f>
        <v/>
      </c>
      <c r="L69" s="86" t="str">
        <f aca="false">IF(n_Fecha1="","",YEAR(EOMONTH(n_Fecha1,IF(cu_P=1,P_Inicio,V_Inicio)-1+84)))</f>
        <v/>
      </c>
      <c r="M69" s="86" t="str">
        <f aca="false">IF(n_Fecha1="","",YEAR(EOMONTH(n_Fecha1,IF(cu_P=1,P_Inicio,V_Inicio)-1+96)))</f>
        <v/>
      </c>
      <c r="N69" s="86" t="str">
        <f aca="false">IF(n_Fecha1="","",YEAR(EOMONTH(n_Fecha1,IF(cu_P=1,P_Inicio,V_Inicio)-1+108)))</f>
        <v/>
      </c>
    </row>
    <row r="70" customFormat="false" ht="15" hidden="false" customHeight="false" outlineLevel="0" collapsed="false">
      <c r="A70" s="13"/>
      <c r="B70" s="100" t="s">
        <v>2275</v>
      </c>
      <c r="C70" s="13"/>
      <c r="D70" s="13"/>
      <c r="E70" s="13"/>
      <c r="F70" s="13"/>
      <c r="G70" s="13"/>
      <c r="H70" s="13"/>
      <c r="I70" s="13"/>
      <c r="J70" s="13"/>
      <c r="K70" s="13"/>
      <c r="L70" s="13"/>
      <c r="M70" s="13"/>
      <c r="N70" s="13"/>
      <c r="O70" s="13"/>
    </row>
    <row r="71" customFormat="false" ht="15" hidden="false" customHeight="false" outlineLevel="0" collapsed="false">
      <c r="A71" s="11" t="s">
        <v>2276</v>
      </c>
      <c r="B71" s="67" t="s">
        <v>2277</v>
      </c>
      <c r="C71" s="11" t="s">
        <v>508</v>
      </c>
      <c r="D71" s="37"/>
      <c r="E71" s="37" t="n">
        <v>3659338</v>
      </c>
      <c r="F71" s="37" t="n">
        <v>4528150</v>
      </c>
      <c r="G71" s="37" t="n">
        <v>5428148</v>
      </c>
      <c r="H71" s="37" t="n">
        <v>6161710</v>
      </c>
      <c r="I71" s="37" t="n">
        <v>6213080</v>
      </c>
      <c r="J71" s="37" t="n">
        <v>6234396</v>
      </c>
      <c r="K71" s="37" t="n">
        <v>6255919</v>
      </c>
      <c r="L71" s="37" t="n">
        <v>6277651</v>
      </c>
      <c r="M71" s="37" t="n">
        <v>6299594</v>
      </c>
      <c r="N71" s="37" t="n">
        <v>6321750</v>
      </c>
      <c r="O71" s="54" t="n">
        <f aca="false">IF(COUNT(D71:N71)=0,"",SUM(D71:N71))</f>
        <v>57379736</v>
      </c>
    </row>
    <row r="72" customFormat="false" ht="15" hidden="false" customHeight="false" outlineLevel="0" collapsed="false">
      <c r="A72" s="11" t="s">
        <v>2278</v>
      </c>
      <c r="B72" s="15" t="s">
        <v>1120</v>
      </c>
      <c r="C72" s="11" t="s">
        <v>508</v>
      </c>
      <c r="D72" s="37"/>
      <c r="E72" s="37" t="n">
        <v>1510500</v>
      </c>
      <c r="F72" s="37" t="n">
        <v>1925717</v>
      </c>
      <c r="G72" s="37" t="n">
        <v>2340854</v>
      </c>
      <c r="H72" s="37" t="n">
        <v>2686334</v>
      </c>
      <c r="I72" s="37" t="n">
        <v>2704216</v>
      </c>
      <c r="J72" s="37" t="n">
        <v>2722278</v>
      </c>
      <c r="K72" s="37" t="n">
        <v>2740519</v>
      </c>
      <c r="L72" s="37" t="n">
        <v>2758944</v>
      </c>
      <c r="M72" s="37" t="n">
        <v>2777552</v>
      </c>
      <c r="N72" s="37" t="n">
        <v>2796347</v>
      </c>
      <c r="O72" s="54" t="n">
        <f aca="false">IF(COUNT(D72:N72)=0,"",SUM(D72:N72))</f>
        <v>24963261</v>
      </c>
    </row>
    <row r="73" customFormat="false" ht="15" hidden="false" customHeight="false" outlineLevel="0" collapsed="false">
      <c r="A73" s="11" t="s">
        <v>2279</v>
      </c>
      <c r="B73" s="15" t="s">
        <v>1122</v>
      </c>
      <c r="C73" s="11" t="s">
        <v>508</v>
      </c>
      <c r="D73" s="37"/>
      <c r="E73" s="37" t="n">
        <v>879570</v>
      </c>
      <c r="F73" s="37" t="n">
        <v>1111590</v>
      </c>
      <c r="G73" s="37" t="n">
        <v>1343610</v>
      </c>
      <c r="H73" s="37" t="n">
        <v>1527120</v>
      </c>
      <c r="I73" s="37" t="n">
        <v>1527120</v>
      </c>
      <c r="J73" s="37" t="n">
        <v>1527120</v>
      </c>
      <c r="K73" s="37" t="n">
        <v>1527120</v>
      </c>
      <c r="L73" s="37" t="n">
        <v>1527120</v>
      </c>
      <c r="M73" s="37" t="n">
        <v>1527120</v>
      </c>
      <c r="N73" s="37" t="n">
        <v>1527120</v>
      </c>
      <c r="O73" s="54" t="n">
        <f aca="false">IF(COUNT(D73:N73)=0,"",SUM(D73:N73))</f>
        <v>14024610</v>
      </c>
    </row>
    <row r="74" customFormat="false" ht="15" hidden="false" customHeight="false" outlineLevel="0" collapsed="false">
      <c r="A74" s="11" t="s">
        <v>2280</v>
      </c>
      <c r="B74" s="15" t="s">
        <v>2281</v>
      </c>
      <c r="C74" s="11" t="s">
        <v>508</v>
      </c>
      <c r="D74" s="37"/>
      <c r="E74" s="37" t="n">
        <v>526012</v>
      </c>
      <c r="F74" s="37" t="n">
        <v>664340</v>
      </c>
      <c r="G74" s="37" t="n">
        <v>802667</v>
      </c>
      <c r="H74" s="37" t="n">
        <v>913695</v>
      </c>
      <c r="I74" s="37" t="n">
        <v>913695</v>
      </c>
      <c r="J74" s="37" t="n">
        <v>913695</v>
      </c>
      <c r="K74" s="37" t="n">
        <v>913695</v>
      </c>
      <c r="L74" s="37" t="n">
        <v>913695</v>
      </c>
      <c r="M74" s="37" t="n">
        <v>913695</v>
      </c>
      <c r="N74" s="37" t="n">
        <v>913695</v>
      </c>
      <c r="O74" s="54" t="n">
        <f aca="false">IF(COUNT(D74:N74)=0,"",SUM(D74:N74))</f>
        <v>8388884</v>
      </c>
    </row>
    <row r="75" customFormat="false" ht="15" hidden="false" customHeight="false" outlineLevel="0" collapsed="false">
      <c r="A75" s="11" t="s">
        <v>2282</v>
      </c>
      <c r="B75" s="15" t="s">
        <v>2283</v>
      </c>
      <c r="C75" s="11" t="s">
        <v>508</v>
      </c>
      <c r="D75" s="37"/>
      <c r="E75" s="37" t="n">
        <v>223678</v>
      </c>
      <c r="F75" s="37" t="n">
        <v>223678</v>
      </c>
      <c r="G75" s="37" t="n">
        <v>242111</v>
      </c>
      <c r="H75" s="37" t="n">
        <v>256510</v>
      </c>
      <c r="I75" s="37" t="n">
        <v>274466</v>
      </c>
      <c r="J75" s="37" t="n">
        <v>274466</v>
      </c>
      <c r="K75" s="37" t="n">
        <v>274466</v>
      </c>
      <c r="L75" s="37" t="n">
        <v>274466</v>
      </c>
      <c r="M75" s="37" t="n">
        <v>274466</v>
      </c>
      <c r="N75" s="37" t="n">
        <v>274466</v>
      </c>
      <c r="O75" s="54" t="n">
        <f aca="false">IF(COUNT(D75:N75)=0,"",SUM(D75:N75))</f>
        <v>2592773</v>
      </c>
    </row>
    <row r="76" customFormat="false" ht="15" hidden="false" customHeight="false" outlineLevel="0" collapsed="false">
      <c r="A76" s="11" t="s">
        <v>2284</v>
      </c>
      <c r="B76" s="15" t="s">
        <v>2285</v>
      </c>
      <c r="C76" s="11" t="s">
        <v>508</v>
      </c>
      <c r="D76" s="37"/>
      <c r="E76" s="37"/>
      <c r="F76" s="37"/>
      <c r="G76" s="37"/>
      <c r="H76" s="37"/>
      <c r="I76" s="37"/>
      <c r="J76" s="37"/>
      <c r="K76" s="37"/>
      <c r="L76" s="37"/>
      <c r="M76" s="37"/>
      <c r="N76" s="37"/>
      <c r="O76" s="54" t="str">
        <f aca="false">IF(COUNT(D76:N76)=0,"",SUM(D76:N76))</f>
        <v/>
      </c>
    </row>
    <row r="77" customFormat="false" ht="15" hidden="false" customHeight="false" outlineLevel="0" collapsed="false">
      <c r="A77" s="11" t="s">
        <v>2286</v>
      </c>
      <c r="B77" s="15" t="s">
        <v>2287</v>
      </c>
      <c r="C77" s="11" t="s">
        <v>508</v>
      </c>
      <c r="D77" s="37"/>
      <c r="E77" s="37" t="n">
        <v>96376</v>
      </c>
      <c r="F77" s="37" t="n">
        <v>96376</v>
      </c>
      <c r="G77" s="37" t="n">
        <v>104318</v>
      </c>
      <c r="H77" s="37" t="n">
        <v>110522</v>
      </c>
      <c r="I77" s="37" t="n">
        <v>118258</v>
      </c>
      <c r="J77" s="37" t="n">
        <v>118258</v>
      </c>
      <c r="K77" s="37" t="n">
        <v>118258</v>
      </c>
      <c r="L77" s="37" t="n">
        <v>118258</v>
      </c>
      <c r="M77" s="37" t="n">
        <v>118258</v>
      </c>
      <c r="N77" s="37" t="n">
        <v>118258</v>
      </c>
      <c r="O77" s="54" t="n">
        <f aca="false">IF(COUNT(D77:N77)=0,"",SUM(D77:N77))</f>
        <v>1117140</v>
      </c>
    </row>
    <row r="78" customFormat="false" ht="15" hidden="false" customHeight="false" outlineLevel="0" collapsed="false">
      <c r="A78" s="11" t="s">
        <v>2288</v>
      </c>
      <c r="B78" s="15" t="s">
        <v>2289</v>
      </c>
      <c r="C78" s="11" t="s">
        <v>508</v>
      </c>
      <c r="D78" s="37"/>
      <c r="E78" s="37" t="n">
        <v>40715</v>
      </c>
      <c r="F78" s="37" t="n">
        <v>40715</v>
      </c>
      <c r="G78" s="37" t="n">
        <v>43555</v>
      </c>
      <c r="H78" s="37" t="n">
        <v>46396</v>
      </c>
      <c r="I78" s="37" t="n">
        <v>49236</v>
      </c>
      <c r="J78" s="37" t="n">
        <v>49236</v>
      </c>
      <c r="K78" s="37" t="n">
        <v>49236</v>
      </c>
      <c r="L78" s="37" t="n">
        <v>49236</v>
      </c>
      <c r="M78" s="37" t="n">
        <v>49236</v>
      </c>
      <c r="N78" s="37" t="n">
        <v>49236</v>
      </c>
      <c r="O78" s="54" t="n">
        <f aca="false">IF(COUNT(D78:N78)=0,"",SUM(D78:N78))</f>
        <v>466797</v>
      </c>
    </row>
    <row r="79" customFormat="false" ht="15" hidden="false" customHeight="false" outlineLevel="0" collapsed="false">
      <c r="A79" s="11" t="s">
        <v>2290</v>
      </c>
      <c r="B79" s="15" t="s">
        <v>2291</v>
      </c>
      <c r="C79" s="11" t="s">
        <v>508</v>
      </c>
      <c r="D79" s="37"/>
      <c r="E79" s="37" t="n">
        <v>52722</v>
      </c>
      <c r="F79" s="37" t="n">
        <v>53316</v>
      </c>
      <c r="G79" s="37" t="n">
        <v>53911</v>
      </c>
      <c r="H79" s="37" t="n">
        <v>54505</v>
      </c>
      <c r="I79" s="37" t="n">
        <v>55099</v>
      </c>
      <c r="J79" s="37" t="n">
        <v>55693</v>
      </c>
      <c r="K79" s="37" t="n">
        <v>56287</v>
      </c>
      <c r="L79" s="37" t="n">
        <v>56881</v>
      </c>
      <c r="M79" s="37" t="n">
        <v>57476</v>
      </c>
      <c r="N79" s="37" t="n">
        <v>58070</v>
      </c>
      <c r="O79" s="54" t="n">
        <f aca="false">IF(COUNT(D79:N79)=0,"",SUM(D79:N79))</f>
        <v>553960</v>
      </c>
    </row>
    <row r="80" customFormat="false" ht="15" hidden="false" customHeight="false" outlineLevel="0" collapsed="false">
      <c r="A80" s="11" t="s">
        <v>2292</v>
      </c>
      <c r="B80" s="15" t="s">
        <v>2293</v>
      </c>
      <c r="C80" s="11" t="s">
        <v>508</v>
      </c>
      <c r="D80" s="37"/>
      <c r="E80" s="37" t="n">
        <v>71702</v>
      </c>
      <c r="F80" s="37" t="n">
        <v>91119</v>
      </c>
      <c r="G80" s="37" t="n">
        <v>110534</v>
      </c>
      <c r="H80" s="37" t="n">
        <v>126404</v>
      </c>
      <c r="I80" s="37" t="n">
        <v>126940</v>
      </c>
      <c r="J80" s="37" t="n">
        <v>127482</v>
      </c>
      <c r="K80" s="37" t="n">
        <v>128029</v>
      </c>
      <c r="L80" s="37" t="n">
        <v>128582</v>
      </c>
      <c r="M80" s="37" t="n">
        <v>129140</v>
      </c>
      <c r="N80" s="37" t="n">
        <v>129704</v>
      </c>
      <c r="O80" s="54" t="n">
        <f aca="false">IF(COUNT(D80:N80)=0,"",SUM(D80:N80))</f>
        <v>1169636</v>
      </c>
    </row>
    <row r="81" customFormat="false" ht="15" hidden="false" customHeight="false" outlineLevel="0" collapsed="false">
      <c r="A81" s="11" t="s">
        <v>2294</v>
      </c>
      <c r="B81" s="15" t="s">
        <v>1142</v>
      </c>
      <c r="C81" s="11" t="s">
        <v>508</v>
      </c>
      <c r="D81" s="37"/>
      <c r="E81" s="37" t="n">
        <v>4850</v>
      </c>
      <c r="F81" s="37" t="n">
        <v>6181</v>
      </c>
      <c r="G81" s="37" t="n">
        <v>7539</v>
      </c>
      <c r="H81" s="37" t="n">
        <v>8685</v>
      </c>
      <c r="I81" s="37" t="n">
        <v>8772</v>
      </c>
      <c r="J81" s="37" t="n">
        <v>8860</v>
      </c>
      <c r="K81" s="37" t="n">
        <v>8949</v>
      </c>
      <c r="L81" s="37" t="n">
        <v>9038</v>
      </c>
      <c r="M81" s="37" t="n">
        <v>9128</v>
      </c>
      <c r="N81" s="37" t="n">
        <v>9220</v>
      </c>
      <c r="O81" s="54" t="n">
        <f aca="false">IF(COUNT(D81:N81)=0,"",SUM(D81:N81))</f>
        <v>81222</v>
      </c>
    </row>
    <row r="82" customFormat="false" ht="15" hidden="false" customHeight="false" outlineLevel="0" collapsed="false">
      <c r="A82" s="11" t="s">
        <v>2295</v>
      </c>
      <c r="B82" s="15" t="s">
        <v>1140</v>
      </c>
      <c r="C82" s="11" t="s">
        <v>508</v>
      </c>
      <c r="D82" s="37"/>
      <c r="E82" s="37" t="n">
        <v>32769</v>
      </c>
      <c r="F82" s="37" t="n">
        <v>40624</v>
      </c>
      <c r="G82" s="37" t="n">
        <v>48771</v>
      </c>
      <c r="H82" s="37" t="n">
        <v>55406</v>
      </c>
      <c r="I82" s="37" t="n">
        <v>55870</v>
      </c>
      <c r="J82" s="37" t="n">
        <v>56051</v>
      </c>
      <c r="K82" s="37" t="n">
        <v>56233</v>
      </c>
      <c r="L82" s="37" t="n">
        <v>56417</v>
      </c>
      <c r="M82" s="37" t="n">
        <v>56603</v>
      </c>
      <c r="N82" s="37" t="n">
        <v>56791</v>
      </c>
      <c r="O82" s="54" t="n">
        <f aca="false">IF(COUNT(D82:N82)=0,"",SUM(D82:N82))</f>
        <v>515535</v>
      </c>
    </row>
    <row r="83" customFormat="false" ht="15" hidden="false" customHeight="false" outlineLevel="0" collapsed="false">
      <c r="A83" s="11" t="s">
        <v>2296</v>
      </c>
      <c r="B83" s="15" t="s">
        <v>1151</v>
      </c>
      <c r="C83" s="11" t="s">
        <v>508</v>
      </c>
      <c r="D83" s="37"/>
      <c r="E83" s="37" t="n">
        <v>171945</v>
      </c>
      <c r="F83" s="37" t="n">
        <v>212683</v>
      </c>
      <c r="G83" s="37" t="n">
        <v>254893</v>
      </c>
      <c r="H83" s="37" t="n">
        <v>289279</v>
      </c>
      <c r="I83" s="37" t="n">
        <v>291684</v>
      </c>
      <c r="J83" s="37" t="n">
        <v>292657</v>
      </c>
      <c r="K83" s="37" t="n">
        <v>293640</v>
      </c>
      <c r="L83" s="37" t="n">
        <v>294632</v>
      </c>
      <c r="M83" s="37" t="n">
        <v>295634</v>
      </c>
      <c r="N83" s="37" t="n">
        <v>296645</v>
      </c>
      <c r="O83" s="54" t="n">
        <f aca="false">IF(COUNT(D83:N83)=0,"",SUM(D83:N83))</f>
        <v>2693692</v>
      </c>
    </row>
    <row r="84" customFormat="false" ht="15" hidden="false" customHeight="false" outlineLevel="0" collapsed="false">
      <c r="A84" s="11" t="s">
        <v>2297</v>
      </c>
      <c r="B84" s="15" t="s">
        <v>2298</v>
      </c>
      <c r="C84" s="11" t="s">
        <v>508</v>
      </c>
      <c r="D84" s="37"/>
      <c r="E84" s="37" t="n">
        <v>48500</v>
      </c>
      <c r="F84" s="37" t="n">
        <v>61812</v>
      </c>
      <c r="G84" s="37" t="n">
        <v>75385</v>
      </c>
      <c r="H84" s="37" t="n">
        <v>86854</v>
      </c>
      <c r="I84" s="37" t="n">
        <v>87723</v>
      </c>
      <c r="J84" s="37" t="n">
        <v>88600</v>
      </c>
      <c r="K84" s="37" t="n">
        <v>89486</v>
      </c>
      <c r="L84" s="37" t="n">
        <v>90381</v>
      </c>
      <c r="M84" s="37" t="n">
        <v>91285</v>
      </c>
      <c r="N84" s="37" t="n">
        <v>92198</v>
      </c>
      <c r="O84" s="54" t="n">
        <f aca="false">IF(COUNT(D84:N84)=0,"",SUM(D84:N84))</f>
        <v>812224</v>
      </c>
    </row>
    <row r="85" customFormat="false" ht="15" hidden="false" customHeight="false" outlineLevel="0" collapsed="false">
      <c r="A85" s="11" t="s">
        <v>2299</v>
      </c>
      <c r="B85" s="15" t="s">
        <v>2300</v>
      </c>
      <c r="C85" s="11" t="s">
        <v>508</v>
      </c>
      <c r="D85" s="48" t="str">
        <f aca="false">IFERROR(IF(COUNT(D71,D72,D73,D74,D75,D76,D77,D78,D79,D80,D81,D82,D83,D84)=0,"",N(D71)-(N(D72)+N(D73)+N(D74)+N(D75)+N(D76)+N(D77)+N(D78)+N(D79)+N(D80)+N(D81)+N(D82)+N(D83)+N(D84))),"")</f>
        <v/>
      </c>
      <c r="E85" s="48" t="n">
        <f aca="false">IFERROR(IF(COUNT(E71,E72,E73,E74,E75,E76,E77,E78,E79,E80,E81,E82,E83,E84)=0,"",N(E71)-(N(E72)+N(E73)+N(E74)+N(E75)+N(E76)+N(E77)+N(E78)+N(E79)+N(E80)+N(E81)+N(E82)+N(E83)+N(E84))),"")</f>
        <v>-1</v>
      </c>
      <c r="F85" s="48" t="n">
        <f aca="false">IFERROR(IF(COUNT(F71,F72,F73,F74,F75,F76,F77,F78,F79,F80,F81,F82,F83,F84)=0,"",N(F71)-(N(F72)+N(F73)+N(F74)+N(F75)+N(F76)+N(F77)+N(F78)+N(F79)+N(F80)+N(F81)+N(F82)+N(F83)+N(F84))),"")</f>
        <v>-1</v>
      </c>
      <c r="G85" s="48" t="n">
        <f aca="false">IFERROR(IF(COUNT(G71,G72,G73,G74,G75,G76,G77,G78,G79,G80,G81,G82,G83,G84)=0,"",N(G71)-(N(G72)+N(G73)+N(G74)+N(G75)+N(G76)+N(G77)+N(G78)+N(G79)+N(G80)+N(G81)+N(G82)+N(G83)+N(G84))),"")</f>
        <v>0</v>
      </c>
      <c r="H85" s="48" t="n">
        <f aca="false">IFERROR(IF(COUNT(H71,H72,H73,H74,H75,H76,H77,H78,H79,H80,H81,H82,H83,H84)=0,"",N(H71)-(N(H72)+N(H73)+N(H74)+N(H75)+N(H76)+N(H77)+N(H78)+N(H79)+N(H80)+N(H81)+N(H82)+N(H83)+N(H84))),"")</f>
        <v>0</v>
      </c>
      <c r="I85" s="48" t="n">
        <f aca="false">IFERROR(IF(COUNT(I71,I72,I73,I74,I75,I76,I77,I78,I79,I80,I81,I82,I83,I84)=0,"",N(I71)-(N(I72)+N(I73)+N(I74)+N(I75)+N(I76)+N(I77)+N(I78)+N(I79)+N(I80)+N(I81)+N(I82)+N(I83)+N(I84))),"")</f>
        <v>1</v>
      </c>
      <c r="J85" s="48" t="n">
        <f aca="false">IFERROR(IF(COUNT(J71,J72,J73,J74,J75,J76,J77,J78,J79,J80,J81,J82,J83,J84)=0,"",N(J71)-(N(J72)+N(J73)+N(J74)+N(J75)+N(J76)+N(J77)+N(J78)+N(J79)+N(J80)+N(J81)+N(J82)+N(J83)+N(J84))),"")</f>
        <v>0</v>
      </c>
      <c r="K85" s="48" t="n">
        <f aca="false">IFERROR(IF(COUNT(K71,K72,K73,K74,K75,K76,K77,K78,K79,K80,K81,K82,K83,K84)=0,"",N(K71)-(N(K72)+N(K73)+N(K74)+N(K75)+N(K76)+N(K77)+N(K78)+N(K79)+N(K80)+N(K81)+N(K82)+N(K83)+N(K84))),"")</f>
        <v>1</v>
      </c>
      <c r="L85" s="48" t="n">
        <f aca="false">IFERROR(IF(COUNT(L71,L72,L73,L74,L75,L76,L77,L78,L79,L80,L81,L82,L83,L84)=0,"",N(L71)-(N(L72)+N(L73)+N(L74)+N(L75)+N(L76)+N(L77)+N(L78)+N(L79)+N(L80)+N(L81)+N(L82)+N(L83)+N(L84))),"")</f>
        <v>1</v>
      </c>
      <c r="M85" s="48" t="n">
        <f aca="false">IFERROR(IF(COUNT(M71,M72,M73,M74,M75,M76,M77,M78,M79,M80,M81,M82,M83,M84)=0,"",N(M71)-(N(M72)+N(M73)+N(M74)+N(M75)+N(M76)+N(M77)+N(M78)+N(M79)+N(M80)+N(M81)+N(M82)+N(M83)+N(M84))),"")</f>
        <v>1</v>
      </c>
      <c r="N85" s="48" t="n">
        <f aca="false">IFERROR(IF(COUNT(N71,N72,N73,N74,N75,N76,N77,N78,N79,N80,N81,N82,N83,N84)=0,"",N(N71)-(N(N72)+N(N73)+N(N74)+N(N75)+N(N76)+N(N77)+N(N78)+N(N79)+N(N80)+N(N81)+N(N82)+N(N83)+N(N84))),"")</f>
        <v>0</v>
      </c>
      <c r="O85" s="54" t="n">
        <f aca="false">IF(COUNT(D85:N85)=0,"",SUM(D85:N85))</f>
        <v>2</v>
      </c>
    </row>
    <row r="86" customFormat="false" ht="15" hidden="false" customHeight="false" outlineLevel="0" collapsed="false">
      <c r="A86" s="13"/>
      <c r="B86" s="100" t="s">
        <v>2301</v>
      </c>
      <c r="C86" s="13"/>
      <c r="D86" s="13"/>
      <c r="E86" s="13"/>
      <c r="F86" s="13"/>
      <c r="G86" s="13"/>
      <c r="H86" s="13"/>
      <c r="I86" s="13"/>
      <c r="J86" s="13"/>
      <c r="K86" s="13"/>
      <c r="L86" s="13"/>
      <c r="M86" s="13"/>
      <c r="N86" s="13"/>
      <c r="O86" s="13"/>
    </row>
    <row r="87" customFormat="false" ht="15" hidden="false" customHeight="false" outlineLevel="0" collapsed="false">
      <c r="A87" s="11" t="s">
        <v>2302</v>
      </c>
      <c r="B87" s="67" t="s">
        <v>2303</v>
      </c>
      <c r="C87" s="11" t="s">
        <v>508</v>
      </c>
      <c r="D87" s="37"/>
      <c r="E87" s="37" t="n">
        <v>617639</v>
      </c>
      <c r="F87" s="37" t="n">
        <v>624039</v>
      </c>
      <c r="G87" s="37" t="n">
        <v>630632</v>
      </c>
      <c r="H87" s="37" t="n">
        <v>637422</v>
      </c>
      <c r="I87" s="37" t="n">
        <v>644416</v>
      </c>
      <c r="J87" s="37" t="n">
        <v>651620</v>
      </c>
      <c r="K87" s="37" t="n">
        <v>659039</v>
      </c>
      <c r="L87" s="37" t="n">
        <v>666682</v>
      </c>
      <c r="M87" s="37" t="n">
        <v>674554</v>
      </c>
      <c r="N87" s="37" t="n">
        <v>682662</v>
      </c>
      <c r="O87" s="54" t="n">
        <f aca="false">IF(COUNT(D87:N87)=0,"",SUM(D87:N87))</f>
        <v>6488705</v>
      </c>
    </row>
    <row r="88" customFormat="false" ht="15" hidden="false" customHeight="false" outlineLevel="0" collapsed="false">
      <c r="A88" s="11" t="s">
        <v>2304</v>
      </c>
      <c r="B88" s="15" t="s">
        <v>2305</v>
      </c>
      <c r="C88" s="11" t="s">
        <v>508</v>
      </c>
      <c r="D88" s="37"/>
      <c r="E88" s="37" t="n">
        <v>211643</v>
      </c>
      <c r="F88" s="37" t="n">
        <v>211643</v>
      </c>
      <c r="G88" s="37" t="n">
        <v>211643</v>
      </c>
      <c r="H88" s="37" t="n">
        <v>211643</v>
      </c>
      <c r="I88" s="37" t="n">
        <v>211643</v>
      </c>
      <c r="J88" s="37" t="n">
        <v>211643</v>
      </c>
      <c r="K88" s="37" t="n">
        <v>211643</v>
      </c>
      <c r="L88" s="37" t="n">
        <v>211643</v>
      </c>
      <c r="M88" s="37" t="n">
        <v>211643</v>
      </c>
      <c r="N88" s="37" t="n">
        <v>211643</v>
      </c>
      <c r="O88" s="54" t="n">
        <f aca="false">IF(COUNT(D88:N88)=0,"",SUM(D88:N88))</f>
        <v>2116430</v>
      </c>
    </row>
    <row r="89" customFormat="false" ht="15" hidden="false" customHeight="false" outlineLevel="0" collapsed="false">
      <c r="A89" s="11" t="s">
        <v>2306</v>
      </c>
      <c r="B89" s="15" t="s">
        <v>2307</v>
      </c>
      <c r="C89" s="11" t="s">
        <v>508</v>
      </c>
      <c r="D89" s="37"/>
      <c r="E89" s="37" t="n">
        <v>91190</v>
      </c>
      <c r="F89" s="37" t="n">
        <v>91190</v>
      </c>
      <c r="G89" s="37" t="n">
        <v>91190</v>
      </c>
      <c r="H89" s="37" t="n">
        <v>91190</v>
      </c>
      <c r="I89" s="37" t="n">
        <v>91190</v>
      </c>
      <c r="J89" s="37" t="n">
        <v>91190</v>
      </c>
      <c r="K89" s="37" t="n">
        <v>91190</v>
      </c>
      <c r="L89" s="37" t="n">
        <v>91190</v>
      </c>
      <c r="M89" s="37" t="n">
        <v>91190</v>
      </c>
      <c r="N89" s="37" t="n">
        <v>91190</v>
      </c>
      <c r="O89" s="54" t="n">
        <f aca="false">IF(COUNT(D89:N89)=0,"",SUM(D89:N89))</f>
        <v>911900</v>
      </c>
    </row>
    <row r="90" customFormat="false" ht="15" hidden="false" customHeight="false" outlineLevel="0" collapsed="false">
      <c r="A90" s="11" t="s">
        <v>2308</v>
      </c>
      <c r="B90" s="15" t="s">
        <v>373</v>
      </c>
      <c r="C90" s="11" t="s">
        <v>508</v>
      </c>
      <c r="D90" s="37"/>
      <c r="E90" s="37" t="n">
        <v>20831</v>
      </c>
      <c r="F90" s="37" t="n">
        <v>20831</v>
      </c>
      <c r="G90" s="37" t="n">
        <v>20831</v>
      </c>
      <c r="H90" s="37" t="n">
        <v>20831</v>
      </c>
      <c r="I90" s="37" t="n">
        <v>20831</v>
      </c>
      <c r="J90" s="37" t="n">
        <v>20831</v>
      </c>
      <c r="K90" s="37" t="n">
        <v>20831</v>
      </c>
      <c r="L90" s="37" t="n">
        <v>20831</v>
      </c>
      <c r="M90" s="37" t="n">
        <v>20831</v>
      </c>
      <c r="N90" s="37" t="n">
        <v>20831</v>
      </c>
      <c r="O90" s="54" t="n">
        <f aca="false">IF(COUNT(D90:N90)=0,"",SUM(D90:N90))</f>
        <v>208310</v>
      </c>
    </row>
    <row r="91" customFormat="false" ht="15" hidden="false" customHeight="false" outlineLevel="0" collapsed="false">
      <c r="A91" s="11" t="s">
        <v>2309</v>
      </c>
      <c r="B91" s="15" t="s">
        <v>2310</v>
      </c>
      <c r="C91" s="11" t="s">
        <v>508</v>
      </c>
      <c r="D91" s="37"/>
      <c r="E91" s="37" t="n">
        <v>274724</v>
      </c>
      <c r="F91" s="37" t="n">
        <v>281124</v>
      </c>
      <c r="G91" s="37" t="n">
        <v>287717</v>
      </c>
      <c r="H91" s="37" t="n">
        <v>294507</v>
      </c>
      <c r="I91" s="37" t="n">
        <v>301501</v>
      </c>
      <c r="J91" s="37" t="n">
        <v>308704</v>
      </c>
      <c r="K91" s="37" t="n">
        <v>316125</v>
      </c>
      <c r="L91" s="37" t="n">
        <v>323767</v>
      </c>
      <c r="M91" s="37" t="n">
        <v>331639</v>
      </c>
      <c r="N91" s="37" t="n">
        <v>339747</v>
      </c>
      <c r="O91" s="54" t="n">
        <f aca="false">IF(COUNT(D91:N91)=0,"",SUM(D91:N91))</f>
        <v>3059555</v>
      </c>
    </row>
    <row r="92" customFormat="false" ht="15" hidden="false" customHeight="false" outlineLevel="0" collapsed="false">
      <c r="A92" s="11" t="s">
        <v>2311</v>
      </c>
      <c r="B92" s="15" t="s">
        <v>1153</v>
      </c>
      <c r="C92" s="11" t="s">
        <v>508</v>
      </c>
      <c r="D92" s="37"/>
      <c r="E92" s="37" t="n">
        <v>19252</v>
      </c>
      <c r="F92" s="37" t="n">
        <v>19252</v>
      </c>
      <c r="G92" s="37" t="n">
        <v>19252</v>
      </c>
      <c r="H92" s="37" t="n">
        <v>19252</v>
      </c>
      <c r="I92" s="37" t="n">
        <v>19252</v>
      </c>
      <c r="J92" s="37" t="n">
        <v>19252</v>
      </c>
      <c r="K92" s="37" t="n">
        <v>19252</v>
      </c>
      <c r="L92" s="37" t="n">
        <v>19252</v>
      </c>
      <c r="M92" s="37" t="n">
        <v>19252</v>
      </c>
      <c r="N92" s="37" t="n">
        <v>19252</v>
      </c>
      <c r="O92" s="54" t="n">
        <f aca="false">IF(COUNT(D92:N92)=0,"",SUM(D92:N92))</f>
        <v>192520</v>
      </c>
    </row>
    <row r="93" customFormat="false" ht="15" hidden="false" customHeight="false" outlineLevel="0" collapsed="false">
      <c r="A93" s="11" t="s">
        <v>2312</v>
      </c>
      <c r="B93" s="15" t="s">
        <v>2300</v>
      </c>
      <c r="C93" s="11" t="s">
        <v>508</v>
      </c>
      <c r="D93" s="48" t="str">
        <f aca="false">IFERROR(IF(COUNT(D87,D88,D89,D90,D91,D92)=0,"",N(D87)-(N(D88)+N(D89)+N(D90)+N(D91)+N(D92))),"")</f>
        <v/>
      </c>
      <c r="E93" s="48" t="n">
        <f aca="false">IFERROR(IF(COUNT(E87,E88,E89,E90,E91,E92)=0,"",N(E87)-(N(E88)+N(E89)+N(E90)+N(E91)+N(E92))),"")</f>
        <v>-1</v>
      </c>
      <c r="F93" s="48" t="n">
        <f aca="false">IFERROR(IF(COUNT(F87,F88,F89,F90,F91,F92)=0,"",N(F87)-(N(F88)+N(F89)+N(F90)+N(F91)+N(F92))),"")</f>
        <v>-1</v>
      </c>
      <c r="G93" s="48" t="n">
        <f aca="false">IFERROR(IF(COUNT(G87,G88,G89,G90,G91,G92)=0,"",N(G87)-(N(G88)+N(G89)+N(G90)+N(G91)+N(G92))),"")</f>
        <v>-1</v>
      </c>
      <c r="H93" s="48" t="n">
        <f aca="false">IFERROR(IF(COUNT(H87,H88,H89,H90,H91,H92)=0,"",N(H87)-(N(H88)+N(H89)+N(H90)+N(H91)+N(H92))),"")</f>
        <v>-1</v>
      </c>
      <c r="I93" s="48" t="n">
        <f aca="false">IFERROR(IF(COUNT(I87,I88,I89,I90,I91,I92)=0,"",N(I87)-(N(I88)+N(I89)+N(I90)+N(I91)+N(I92))),"")</f>
        <v>-1</v>
      </c>
      <c r="J93" s="48" t="n">
        <f aca="false">IFERROR(IF(COUNT(J87,J88,J89,J90,J91,J92)=0,"",N(J87)-(N(J88)+N(J89)+N(J90)+N(J91)+N(J92))),"")</f>
        <v>0</v>
      </c>
      <c r="K93" s="48" t="n">
        <f aca="false">IFERROR(IF(COUNT(K87,K88,K89,K90,K91,K92)=0,"",N(K87)-(N(K88)+N(K89)+N(K90)+N(K91)+N(K92))),"")</f>
        <v>-2</v>
      </c>
      <c r="L93" s="48" t="n">
        <f aca="false">IFERROR(IF(COUNT(L87,L88,L89,L90,L91,L92)=0,"",N(L87)-(N(L88)+N(L89)+N(L90)+N(L91)+N(L92))),"")</f>
        <v>-1</v>
      </c>
      <c r="M93" s="48" t="n">
        <f aca="false">IFERROR(IF(COUNT(M87,M88,M89,M90,M91,M92)=0,"",N(M87)-(N(M88)+N(M89)+N(M90)+N(M91)+N(M92))),"")</f>
        <v>-1</v>
      </c>
      <c r="N93" s="48" t="n">
        <f aca="false">IFERROR(IF(COUNT(N87,N88,N89,N90,N91,N92)=0,"",N(N87)-(N(N88)+N(N89)+N(N90)+N(N91)+N(N92))),"")</f>
        <v>-1</v>
      </c>
      <c r="O93" s="54" t="n">
        <f aca="false">IF(COUNT(D93:N93)=0,"",SUM(D93:N93))</f>
        <v>-10</v>
      </c>
    </row>
    <row r="94" customFormat="false" ht="15" hidden="false" customHeight="false" outlineLevel="0" collapsed="false">
      <c r="A94" s="13"/>
      <c r="B94" s="100" t="s">
        <v>2313</v>
      </c>
      <c r="C94" s="13"/>
      <c r="D94" s="13"/>
      <c r="E94" s="13"/>
      <c r="F94" s="13"/>
      <c r="G94" s="13"/>
      <c r="H94" s="13"/>
      <c r="I94" s="13"/>
      <c r="J94" s="13"/>
      <c r="K94" s="13"/>
      <c r="L94" s="13"/>
      <c r="M94" s="13"/>
      <c r="N94" s="13"/>
      <c r="O94" s="13"/>
    </row>
    <row r="95" customFormat="false" ht="15" hidden="false" customHeight="false" outlineLevel="0" collapsed="false">
      <c r="A95" s="11" t="s">
        <v>2314</v>
      </c>
      <c r="B95" s="15" t="s">
        <v>2315</v>
      </c>
      <c r="C95" s="11" t="s">
        <v>508</v>
      </c>
      <c r="D95" s="37"/>
      <c r="E95" s="37" t="n">
        <v>0</v>
      </c>
      <c r="F95" s="37" t="n">
        <v>0</v>
      </c>
      <c r="G95" s="37" t="n">
        <v>0</v>
      </c>
      <c r="H95" s="37" t="n">
        <v>0</v>
      </c>
      <c r="I95" s="37" t="n">
        <v>0</v>
      </c>
      <c r="J95" s="37" t="n">
        <v>0</v>
      </c>
      <c r="K95" s="37" t="n">
        <v>0</v>
      </c>
      <c r="L95" s="37" t="n">
        <v>0</v>
      </c>
      <c r="M95" s="37" t="n">
        <v>0</v>
      </c>
      <c r="N95" s="37" t="n">
        <v>0</v>
      </c>
      <c r="O95" s="54" t="n">
        <f aca="false">IF(COUNT(D95:N95)=0,"",SUM(D95:N95))</f>
        <v>0</v>
      </c>
    </row>
    <row r="96" customFormat="false" ht="15" hidden="false" customHeight="false" outlineLevel="0" collapsed="false">
      <c r="A96" s="11" t="s">
        <v>2316</v>
      </c>
      <c r="B96" s="67" t="s">
        <v>2317</v>
      </c>
      <c r="C96" s="11" t="s">
        <v>508</v>
      </c>
      <c r="D96" s="37"/>
      <c r="E96" s="37" t="n">
        <v>0</v>
      </c>
      <c r="F96" s="37" t="n">
        <v>71592</v>
      </c>
      <c r="G96" s="37" t="n">
        <v>71592</v>
      </c>
      <c r="H96" s="37" t="n">
        <v>71592</v>
      </c>
      <c r="I96" s="37" t="n">
        <v>71592</v>
      </c>
      <c r="J96" s="37" t="n">
        <v>71592</v>
      </c>
      <c r="K96" s="37" t="n">
        <v>59417</v>
      </c>
      <c r="L96" s="37" t="n">
        <v>59417</v>
      </c>
      <c r="M96" s="37" t="n">
        <v>59417</v>
      </c>
      <c r="N96" s="37" t="n">
        <v>59417</v>
      </c>
      <c r="O96" s="54" t="n">
        <f aca="false">IF(COUNT(D96:N96)=0,"",SUM(D96:N96))</f>
        <v>595628</v>
      </c>
    </row>
    <row r="97" customFormat="false" ht="15" hidden="false" customHeight="false" outlineLevel="0" collapsed="false">
      <c r="A97" s="11" t="s">
        <v>2318</v>
      </c>
      <c r="B97" s="67" t="s">
        <v>2319</v>
      </c>
      <c r="C97" s="11" t="s">
        <v>508</v>
      </c>
      <c r="D97" s="37"/>
      <c r="E97" s="37" t="n">
        <v>271102</v>
      </c>
      <c r="F97" s="37" t="n">
        <v>226274</v>
      </c>
      <c r="G97" s="37" t="n">
        <v>169416</v>
      </c>
      <c r="H97" s="37" t="n">
        <v>107224</v>
      </c>
      <c r="I97" s="37" t="n">
        <v>39198</v>
      </c>
      <c r="J97" s="37" t="n">
        <v>0</v>
      </c>
      <c r="K97" s="37" t="n">
        <v>0</v>
      </c>
      <c r="L97" s="37" t="n">
        <v>0</v>
      </c>
      <c r="M97" s="37" t="n">
        <v>0</v>
      </c>
      <c r="N97" s="37" t="n">
        <v>0</v>
      </c>
      <c r="O97" s="54" t="n">
        <f aca="false">IF(COUNT(D97:N97)=0,"",SUM(D97:N97))</f>
        <v>813214</v>
      </c>
    </row>
    <row r="98" customFormat="false" ht="15" hidden="false" customHeight="false" outlineLevel="0" collapsed="false">
      <c r="A98" s="11" t="s">
        <v>2320</v>
      </c>
      <c r="B98" s="67" t="s">
        <v>2321</v>
      </c>
      <c r="C98" s="11" t="s">
        <v>508</v>
      </c>
      <c r="D98" s="54" t="str">
        <f aca="false">IFERROR(IF(COUNT(D71,D87,D95,D96,D97)=0,"",N(D71)+N(D87)+N(D95)+N(D96)+N(D97)),"")</f>
        <v/>
      </c>
      <c r="E98" s="54" t="n">
        <f aca="false">IFERROR(IF(COUNT(E71,E87,E95,E96,E97)=0,"",N(E71)+N(E87)+N(E95)+N(E96)+N(E97)),"")</f>
        <v>4548079</v>
      </c>
      <c r="F98" s="54" t="n">
        <f aca="false">IFERROR(IF(COUNT(F71,F87,F95,F96,F97)=0,"",N(F71)+N(F87)+N(F95)+N(F96)+N(F97)),"")</f>
        <v>5450055</v>
      </c>
      <c r="G98" s="54" t="n">
        <f aca="false">IFERROR(IF(COUNT(G71,G87,G95,G96,G97)=0,"",N(G71)+N(G87)+N(G95)+N(G96)+N(G97)),"")</f>
        <v>6299788</v>
      </c>
      <c r="H98" s="54" t="n">
        <f aca="false">IFERROR(IF(COUNT(H71,H87,H95,H96,H97)=0,"",N(H71)+N(H87)+N(H95)+N(H96)+N(H97)),"")</f>
        <v>6977948</v>
      </c>
      <c r="I98" s="54" t="n">
        <f aca="false">IFERROR(IF(COUNT(I71,I87,I95,I96,I97)=0,"",N(I71)+N(I87)+N(I95)+N(I96)+N(I97)),"")</f>
        <v>6968286</v>
      </c>
      <c r="J98" s="54" t="n">
        <f aca="false">IFERROR(IF(COUNT(J71,J87,J95,J96,J97)=0,"",N(J71)+N(J87)+N(J95)+N(J96)+N(J97)),"")</f>
        <v>6957608</v>
      </c>
      <c r="K98" s="54" t="n">
        <f aca="false">IFERROR(IF(COUNT(K71,K87,K95,K96,K97)=0,"",N(K71)+N(K87)+N(K95)+N(K96)+N(K97)),"")</f>
        <v>6974375</v>
      </c>
      <c r="L98" s="54" t="n">
        <f aca="false">IFERROR(IF(COUNT(L71,L87,L95,L96,L97)=0,"",N(L71)+N(L87)+N(L95)+N(L96)+N(L97)),"")</f>
        <v>7003750</v>
      </c>
      <c r="M98" s="54" t="n">
        <f aca="false">IFERROR(IF(COUNT(M71,M87,M95,M96,M97)=0,"",N(M71)+N(M87)+N(M95)+N(M96)+N(M97)),"")</f>
        <v>7033565</v>
      </c>
      <c r="N98" s="54" t="n">
        <f aca="false">IFERROR(IF(COUNT(N71,N87,N95,N96,N97)=0,"",N(N71)+N(N87)+N(N95)+N(N96)+N(N97)),"")</f>
        <v>7063829</v>
      </c>
      <c r="O98" s="54" t="n">
        <f aca="false">IF(COUNT(D98:N98)=0,"",SUM(D98:N98))</f>
        <v>65277283</v>
      </c>
    </row>
    <row r="99" customFormat="false" ht="15" hidden="false" customHeight="false" outlineLevel="0" collapsed="false">
      <c r="A99" s="11" t="s">
        <v>2322</v>
      </c>
      <c r="B99" s="15" t="s">
        <v>2323</v>
      </c>
      <c r="C99" s="11" t="s">
        <v>544</v>
      </c>
      <c r="D99" s="37"/>
      <c r="E99" s="37" t="n">
        <v>82000</v>
      </c>
      <c r="F99" s="37" t="n">
        <v>105000</v>
      </c>
      <c r="G99" s="37" t="n">
        <v>128000</v>
      </c>
      <c r="H99" s="37" t="n">
        <v>141000</v>
      </c>
      <c r="I99" s="37" t="n">
        <v>141000</v>
      </c>
      <c r="J99" s="37" t="n">
        <v>141000</v>
      </c>
      <c r="K99" s="37" t="n">
        <v>141000</v>
      </c>
      <c r="L99" s="37" t="n">
        <v>141000</v>
      </c>
      <c r="M99" s="37" t="n">
        <v>141000</v>
      </c>
      <c r="N99" s="37" t="n">
        <v>141000</v>
      </c>
      <c r="O99" s="54" t="n">
        <f aca="false">IF(COUNT(D99:N99)=0,"",SUM(D99:N99))</f>
        <v>1302000</v>
      </c>
    </row>
    <row r="100" customFormat="false" ht="15" hidden="false" customHeight="false" outlineLevel="0" collapsed="false">
      <c r="A100" s="11" t="s">
        <v>2324</v>
      </c>
      <c r="B100" s="15" t="s">
        <v>2325</v>
      </c>
      <c r="C100" s="11" t="s">
        <v>748</v>
      </c>
      <c r="D100" s="50" t="str">
        <f aca="false">IFERROR(IF(OR(NOT(ISNUMBER(D98)),N(D99)=0),"",D98/D99),"")</f>
        <v/>
      </c>
      <c r="E100" s="50" t="n">
        <f aca="false">IFERROR(IF(OR(NOT(ISNUMBER(E98)),N(E99)=0),"",E98/E99),"")</f>
        <v>55.4643780487805</v>
      </c>
      <c r="F100" s="50" t="n">
        <f aca="false">IFERROR(IF(OR(NOT(ISNUMBER(F98)),N(F99)=0),"",F98/F99),"")</f>
        <v>51.9052857142857</v>
      </c>
      <c r="G100" s="50" t="n">
        <f aca="false">IFERROR(IF(OR(NOT(ISNUMBER(G98)),N(G99)=0),"",G98/G99),"")</f>
        <v>49.21709375</v>
      </c>
      <c r="H100" s="50" t="n">
        <f aca="false">IFERROR(IF(OR(NOT(ISNUMBER(H98)),N(H99)=0),"",H98/H99),"")</f>
        <v>49.4889929078014</v>
      </c>
      <c r="I100" s="50" t="n">
        <f aca="false">IFERROR(IF(OR(NOT(ISNUMBER(I98)),N(I99)=0),"",I98/I99),"")</f>
        <v>49.4204680851064</v>
      </c>
      <c r="J100" s="50" t="n">
        <f aca="false">IFERROR(IF(OR(NOT(ISNUMBER(J98)),N(J99)=0),"",J98/J99),"")</f>
        <v>49.3447375886525</v>
      </c>
      <c r="K100" s="50" t="n">
        <f aca="false">IFERROR(IF(OR(NOT(ISNUMBER(K98)),N(K99)=0),"",K98/K99),"")</f>
        <v>49.4636524822695</v>
      </c>
      <c r="L100" s="50" t="n">
        <f aca="false">IFERROR(IF(OR(NOT(ISNUMBER(L98)),N(L99)=0),"",L98/L99),"")</f>
        <v>49.6719858156028</v>
      </c>
      <c r="M100" s="50" t="n">
        <f aca="false">IFERROR(IF(OR(NOT(ISNUMBER(M98)),N(M99)=0),"",M98/M99),"")</f>
        <v>49.8834397163121</v>
      </c>
      <c r="N100" s="50" t="n">
        <f aca="false">IFERROR(IF(OR(NOT(ISNUMBER(N98)),N(N99)=0),"",N98/N99),"")</f>
        <v>50.0980780141844</v>
      </c>
      <c r="O100" s="68" t="n">
        <f aca="false">IFERROR(IF(OR(NOT(ISNUMBER(O98)),N(O99)=0),"",O98/O99),"")</f>
        <v>50.1361620583717</v>
      </c>
    </row>
    <row r="101" customFormat="false" ht="15" hidden="false" customHeight="false" outlineLevel="0" collapsed="false">
      <c r="A101" s="13"/>
      <c r="B101" s="100" t="s">
        <v>2326</v>
      </c>
      <c r="C101" s="13"/>
      <c r="D101" s="13"/>
      <c r="E101" s="13"/>
      <c r="F101" s="13"/>
      <c r="G101" s="13"/>
      <c r="H101" s="13"/>
      <c r="I101" s="13"/>
      <c r="J101" s="13"/>
      <c r="K101" s="13"/>
      <c r="L101" s="13"/>
      <c r="M101" s="13"/>
      <c r="N101" s="13"/>
      <c r="O101" s="13"/>
    </row>
    <row r="102" customFormat="false" ht="15" hidden="false" customHeight="false" outlineLevel="0" collapsed="false">
      <c r="A102" s="11" t="s">
        <v>2327</v>
      </c>
      <c r="B102" s="53" t="str">
        <f aca="false">IF(Costos!$B$75="","Concepto 1",Costos!$B$75&amp;" ("&amp;Costos!$C$75&amp;")")</f>
        <v>Energía eléctrica planta (Producción)</v>
      </c>
      <c r="C102" s="11" t="s">
        <v>508</v>
      </c>
      <c r="D102" s="37"/>
      <c r="E102" s="37" t="n">
        <v>23014</v>
      </c>
      <c r="F102" s="37" t="n">
        <v>23014</v>
      </c>
      <c r="G102" s="37" t="n">
        <v>23014</v>
      </c>
      <c r="H102" s="37" t="n">
        <v>23014</v>
      </c>
      <c r="I102" s="37" t="n">
        <v>23014</v>
      </c>
      <c r="J102" s="37" t="n">
        <v>23014</v>
      </c>
      <c r="K102" s="37" t="n">
        <v>23014</v>
      </c>
      <c r="L102" s="37" t="n">
        <v>23014</v>
      </c>
      <c r="M102" s="37" t="n">
        <v>23014</v>
      </c>
      <c r="N102" s="37" t="n">
        <v>23014</v>
      </c>
      <c r="O102" s="54" t="n">
        <f aca="false">IF(COUNT(D102:N102)=0,"",SUM(D102:N102))</f>
        <v>230140</v>
      </c>
    </row>
    <row r="103" customFormat="false" ht="15" hidden="false" customHeight="false" outlineLevel="0" collapsed="false">
      <c r="A103" s="11" t="s">
        <v>2328</v>
      </c>
      <c r="B103" s="53" t="str">
        <f aca="false">IF(Costos!$B$76="","Concepto 2",Costos!$B$76&amp;" ("&amp;Costos!$C$76&amp;")")</f>
        <v>Mantenimiento y reparaciones planta (Producción)</v>
      </c>
      <c r="C103" s="11" t="s">
        <v>508</v>
      </c>
      <c r="D103" s="37"/>
      <c r="E103" s="37" t="n">
        <v>29708</v>
      </c>
      <c r="F103" s="37" t="n">
        <v>30302</v>
      </c>
      <c r="G103" s="37" t="n">
        <v>30897</v>
      </c>
      <c r="H103" s="37" t="n">
        <v>31491</v>
      </c>
      <c r="I103" s="37" t="n">
        <v>32085</v>
      </c>
      <c r="J103" s="37" t="n">
        <v>32679</v>
      </c>
      <c r="K103" s="37" t="n">
        <v>33273</v>
      </c>
      <c r="L103" s="37" t="n">
        <v>33867</v>
      </c>
      <c r="M103" s="37" t="n">
        <v>34462</v>
      </c>
      <c r="N103" s="37" t="n">
        <v>35056</v>
      </c>
      <c r="O103" s="54" t="n">
        <f aca="false">IF(COUNT(D103:N103)=0,"",SUM(D103:N103))</f>
        <v>323820</v>
      </c>
    </row>
    <row r="104" customFormat="false" ht="15" hidden="false" customHeight="false" outlineLevel="0" collapsed="false">
      <c r="A104" s="11" t="s">
        <v>2329</v>
      </c>
      <c r="B104" s="53" t="str">
        <f aca="false">IF(Costos!$B$77="","Concepto 3",Costos!$B$77&amp;" ("&amp;Costos!$C$77&amp;")")</f>
        <v>Alquiler de nave (3.865 m2 x USD 4 + IVA) (Administración)</v>
      </c>
      <c r="C104" s="11" t="s">
        <v>508</v>
      </c>
      <c r="D104" s="37"/>
      <c r="E104" s="37" t="n">
        <v>204072</v>
      </c>
      <c r="F104" s="37" t="n">
        <v>210194</v>
      </c>
      <c r="G104" s="37" t="n">
        <v>216500</v>
      </c>
      <c r="H104" s="37" t="n">
        <v>222995</v>
      </c>
      <c r="I104" s="37" t="n">
        <v>229685</v>
      </c>
      <c r="J104" s="37" t="n">
        <v>236575</v>
      </c>
      <c r="K104" s="37" t="n">
        <v>243673</v>
      </c>
      <c r="L104" s="37" t="n">
        <v>250983</v>
      </c>
      <c r="M104" s="37" t="n">
        <v>258512</v>
      </c>
      <c r="N104" s="37" t="n">
        <v>266268</v>
      </c>
      <c r="O104" s="54" t="n">
        <f aca="false">IF(COUNT(D104:N104)=0,"",SUM(D104:N104))</f>
        <v>2339457</v>
      </c>
    </row>
    <row r="105" customFormat="false" ht="15" hidden="false" customHeight="false" outlineLevel="0" collapsed="false">
      <c r="A105" s="11" t="s">
        <v>2330</v>
      </c>
      <c r="B105" s="53" t="str">
        <f aca="false">IF(Costos!$B$78="","Concepto 4",Costos!$B$78&amp;" ("&amp;Costos!$C$78&amp;")")</f>
        <v>Expensas (USD 0,20/m2) (Administración)</v>
      </c>
      <c r="C105" s="11" t="s">
        <v>508</v>
      </c>
      <c r="D105" s="37"/>
      <c r="E105" s="37" t="n">
        <v>9276</v>
      </c>
      <c r="F105" s="37" t="n">
        <v>9554</v>
      </c>
      <c r="G105" s="37" t="n">
        <v>9841</v>
      </c>
      <c r="H105" s="37" t="n">
        <v>10136</v>
      </c>
      <c r="I105" s="37" t="n">
        <v>10440</v>
      </c>
      <c r="J105" s="37" t="n">
        <v>10753</v>
      </c>
      <c r="K105" s="37" t="n">
        <v>11076</v>
      </c>
      <c r="L105" s="37" t="n">
        <v>11408</v>
      </c>
      <c r="M105" s="37" t="n">
        <v>11751</v>
      </c>
      <c r="N105" s="37" t="n">
        <v>12103</v>
      </c>
      <c r="O105" s="54" t="n">
        <f aca="false">IF(COUNT(D105:N105)=0,"",SUM(D105:N105))</f>
        <v>106338</v>
      </c>
    </row>
    <row r="106" customFormat="false" ht="15" hidden="false" customHeight="false" outlineLevel="0" collapsed="false">
      <c r="A106" s="11" t="s">
        <v>2331</v>
      </c>
      <c r="B106" s="53" t="str">
        <f aca="false">IF(Costos!$B$79="","Concepto 5",Costos!$B$79&amp;" ("&amp;Costos!$C$79&amp;")")</f>
        <v>Agua, comunicaciones y electricidad (Administración)</v>
      </c>
      <c r="C106" s="11" t="s">
        <v>508</v>
      </c>
      <c r="D106" s="37"/>
      <c r="E106" s="37" t="n">
        <v>1233</v>
      </c>
      <c r="F106" s="37" t="n">
        <v>1233</v>
      </c>
      <c r="G106" s="37" t="n">
        <v>1233</v>
      </c>
      <c r="H106" s="37" t="n">
        <v>1233</v>
      </c>
      <c r="I106" s="37" t="n">
        <v>1233</v>
      </c>
      <c r="J106" s="37" t="n">
        <v>1233</v>
      </c>
      <c r="K106" s="37" t="n">
        <v>1233</v>
      </c>
      <c r="L106" s="37" t="n">
        <v>1233</v>
      </c>
      <c r="M106" s="37" t="n">
        <v>1233</v>
      </c>
      <c r="N106" s="37" t="n">
        <v>1233</v>
      </c>
      <c r="O106" s="54" t="n">
        <f aca="false">IF(COUNT(D106:N106)=0,"",SUM(D106:N106))</f>
        <v>12330</v>
      </c>
    </row>
    <row r="107" customFormat="false" ht="15" hidden="false" customHeight="false" outlineLevel="0" collapsed="false">
      <c r="A107" s="11" t="s">
        <v>2332</v>
      </c>
      <c r="B107" s="53" t="str">
        <f aca="false">IF(Costos!$B$80="","Concepto 6",Costos!$B$80&amp;" ("&amp;Costos!$C$80&amp;")")</f>
        <v>Mantenimiento y reparaciones adm. (Administración)</v>
      </c>
      <c r="C107" s="11" t="s">
        <v>508</v>
      </c>
      <c r="D107" s="37"/>
      <c r="E107" s="37" t="n">
        <v>4932</v>
      </c>
      <c r="F107" s="37" t="n">
        <v>4932</v>
      </c>
      <c r="G107" s="37" t="n">
        <v>4932</v>
      </c>
      <c r="H107" s="37" t="n">
        <v>4932</v>
      </c>
      <c r="I107" s="37" t="n">
        <v>4932</v>
      </c>
      <c r="J107" s="37" t="n">
        <v>4932</v>
      </c>
      <c r="K107" s="37" t="n">
        <v>4932</v>
      </c>
      <c r="L107" s="37" t="n">
        <v>4932</v>
      </c>
      <c r="M107" s="37" t="n">
        <v>4932</v>
      </c>
      <c r="N107" s="37" t="n">
        <v>4932</v>
      </c>
      <c r="O107" s="54" t="n">
        <f aca="false">IF(COUNT(D107:N107)=0,"",SUM(D107:N107))</f>
        <v>49320</v>
      </c>
    </row>
    <row r="108" customFormat="false" ht="15" hidden="false" customHeight="false" outlineLevel="0" collapsed="false">
      <c r="A108" s="11" t="s">
        <v>2333</v>
      </c>
      <c r="B108" s="53" t="str">
        <f aca="false">IF(Costos!$B$81="","Concepto 7",Costos!$B$81&amp;" ("&amp;Costos!$C$81&amp;")")</f>
        <v>Seguros sobre activos fijos (Administración)</v>
      </c>
      <c r="C108" s="11" t="s">
        <v>508</v>
      </c>
      <c r="D108" s="37"/>
      <c r="E108" s="37" t="n">
        <v>8219</v>
      </c>
      <c r="F108" s="37" t="n">
        <v>8219</v>
      </c>
      <c r="G108" s="37" t="n">
        <v>8219</v>
      </c>
      <c r="H108" s="37" t="n">
        <v>8219</v>
      </c>
      <c r="I108" s="37" t="n">
        <v>8219</v>
      </c>
      <c r="J108" s="37" t="n">
        <v>8219</v>
      </c>
      <c r="K108" s="37" t="n">
        <v>8219</v>
      </c>
      <c r="L108" s="37" t="n">
        <v>8219</v>
      </c>
      <c r="M108" s="37" t="n">
        <v>8219</v>
      </c>
      <c r="N108" s="37" t="n">
        <v>8219</v>
      </c>
      <c r="O108" s="54" t="n">
        <f aca="false">IF(COUNT(D108:N108)=0,"",SUM(D108:N108))</f>
        <v>82190</v>
      </c>
    </row>
    <row r="109" customFormat="false" ht="15" hidden="false" customHeight="false" outlineLevel="0" collapsed="false">
      <c r="A109" s="11" t="s">
        <v>2334</v>
      </c>
      <c r="B109" s="53" t="str">
        <f aca="false">IF(Costos!$B$82="","Concepto 8",Costos!$B$82&amp;" ("&amp;Costos!$C$82&amp;")")</f>
        <v>Gastos generales (Administración)</v>
      </c>
      <c r="C109" s="11" t="s">
        <v>508</v>
      </c>
      <c r="D109" s="37"/>
      <c r="E109" s="37" t="n">
        <v>22060</v>
      </c>
      <c r="F109" s="37" t="n">
        <v>22060</v>
      </c>
      <c r="G109" s="37" t="n">
        <v>22060</v>
      </c>
      <c r="H109" s="37" t="n">
        <v>22060</v>
      </c>
      <c r="I109" s="37" t="n">
        <v>22060</v>
      </c>
      <c r="J109" s="37" t="n">
        <v>22060</v>
      </c>
      <c r="K109" s="37" t="n">
        <v>22060</v>
      </c>
      <c r="L109" s="37" t="n">
        <v>22060</v>
      </c>
      <c r="M109" s="37" t="n">
        <v>22060</v>
      </c>
      <c r="N109" s="37" t="n">
        <v>22060</v>
      </c>
      <c r="O109" s="54" t="n">
        <f aca="false">IF(COUNT(D109:N109)=0,"",SUM(D109:N109))</f>
        <v>220600</v>
      </c>
    </row>
    <row r="110" customFormat="false" ht="15" hidden="false" customHeight="false" outlineLevel="0" collapsed="false">
      <c r="A110" s="11" t="s">
        <v>2335</v>
      </c>
      <c r="B110" s="53" t="str">
        <f aca="false">IF(Costos!$B$83="","Concepto 9",Costos!$B$83&amp;" ("&amp;Costos!$C$83&amp;")")</f>
        <v>Honorarios y otros fijos (Administración)</v>
      </c>
      <c r="C110" s="11" t="s">
        <v>508</v>
      </c>
      <c r="D110" s="37"/>
      <c r="E110" s="37" t="n">
        <v>24932</v>
      </c>
      <c r="F110" s="37" t="n">
        <v>24932</v>
      </c>
      <c r="G110" s="37" t="n">
        <v>24932</v>
      </c>
      <c r="H110" s="37" t="n">
        <v>24932</v>
      </c>
      <c r="I110" s="37" t="n">
        <v>24932</v>
      </c>
      <c r="J110" s="37" t="n">
        <v>24932</v>
      </c>
      <c r="K110" s="37" t="n">
        <v>24932</v>
      </c>
      <c r="L110" s="37" t="n">
        <v>24932</v>
      </c>
      <c r="M110" s="37" t="n">
        <v>24932</v>
      </c>
      <c r="N110" s="37" t="n">
        <v>24932</v>
      </c>
      <c r="O110" s="54" t="n">
        <f aca="false">IF(COUNT(D110:N110)=0,"",SUM(D110:N110))</f>
        <v>249320</v>
      </c>
    </row>
    <row r="111" customFormat="false" ht="15" hidden="true" customHeight="false" outlineLevel="1" collapsed="false">
      <c r="A111" s="11" t="s">
        <v>2336</v>
      </c>
      <c r="B111" s="53" t="str">
        <f aca="false">IF(Costos!$B$84="","Concepto 10",Costos!$B$84&amp;" ("&amp;Costos!$C$84&amp;")")</f>
        <v>Concepto 10</v>
      </c>
      <c r="C111" s="11" t="s">
        <v>508</v>
      </c>
      <c r="D111" s="37"/>
      <c r="E111" s="37"/>
      <c r="F111" s="37"/>
      <c r="G111" s="37"/>
      <c r="H111" s="37"/>
      <c r="I111" s="37"/>
      <c r="J111" s="37"/>
      <c r="K111" s="37"/>
      <c r="L111" s="37"/>
      <c r="M111" s="37"/>
      <c r="N111" s="37"/>
      <c r="O111" s="54" t="str">
        <f aca="false">IF(COUNT(D111:N111)=0,"",SUM(D111:N111))</f>
        <v/>
      </c>
    </row>
    <row r="112" customFormat="false" ht="15" hidden="true" customHeight="false" outlineLevel="1" collapsed="false">
      <c r="A112" s="11" t="s">
        <v>2337</v>
      </c>
      <c r="B112" s="53" t="str">
        <f aca="false">IF(Costos!$B$85="","Concepto 11",Costos!$B$85&amp;" ("&amp;Costos!$C$85&amp;")")</f>
        <v>Concepto 11</v>
      </c>
      <c r="C112" s="11" t="s">
        <v>508</v>
      </c>
      <c r="D112" s="37"/>
      <c r="E112" s="37"/>
      <c r="F112" s="37"/>
      <c r="G112" s="37"/>
      <c r="H112" s="37"/>
      <c r="I112" s="37"/>
      <c r="J112" s="37"/>
      <c r="K112" s="37"/>
      <c r="L112" s="37"/>
      <c r="M112" s="37"/>
      <c r="N112" s="37"/>
      <c r="O112" s="54" t="str">
        <f aca="false">IF(COUNT(D112:N112)=0,"",SUM(D112:N112))</f>
        <v/>
      </c>
    </row>
    <row r="113" customFormat="false" ht="15" hidden="true" customHeight="false" outlineLevel="1" collapsed="false">
      <c r="A113" s="11" t="s">
        <v>2338</v>
      </c>
      <c r="B113" s="53" t="str">
        <f aca="false">IF(Costos!$B$86="","Concepto 12",Costos!$B$86&amp;" ("&amp;Costos!$C$86&amp;")")</f>
        <v>Concepto 12</v>
      </c>
      <c r="C113" s="11" t="s">
        <v>508</v>
      </c>
      <c r="D113" s="37"/>
      <c r="E113" s="37"/>
      <c r="F113" s="37"/>
      <c r="G113" s="37"/>
      <c r="H113" s="37"/>
      <c r="I113" s="37"/>
      <c r="J113" s="37"/>
      <c r="K113" s="37"/>
      <c r="L113" s="37"/>
      <c r="M113" s="37"/>
      <c r="N113" s="37"/>
      <c r="O113" s="54" t="str">
        <f aca="false">IF(COUNT(D113:N113)=0,"",SUM(D113:N113))</f>
        <v/>
      </c>
    </row>
    <row r="114" customFormat="false" ht="15" hidden="true" customHeight="false" outlineLevel="1" collapsed="false">
      <c r="A114" s="11" t="s">
        <v>2339</v>
      </c>
      <c r="B114" s="53" t="str">
        <f aca="false">IF(Costos!$B$87="","Concepto 13",Costos!$B$87&amp;" ("&amp;Costos!$C$87&amp;")")</f>
        <v>Concepto 13</v>
      </c>
      <c r="C114" s="11" t="s">
        <v>508</v>
      </c>
      <c r="D114" s="37"/>
      <c r="E114" s="37"/>
      <c r="F114" s="37"/>
      <c r="G114" s="37"/>
      <c r="H114" s="37"/>
      <c r="I114" s="37"/>
      <c r="J114" s="37"/>
      <c r="K114" s="37"/>
      <c r="L114" s="37"/>
      <c r="M114" s="37"/>
      <c r="N114" s="37"/>
      <c r="O114" s="54" t="str">
        <f aca="false">IF(COUNT(D114:N114)=0,"",SUM(D114:N114))</f>
        <v/>
      </c>
    </row>
    <row r="115" customFormat="false" ht="15" hidden="true" customHeight="false" outlineLevel="1" collapsed="false">
      <c r="A115" s="11" t="s">
        <v>2340</v>
      </c>
      <c r="B115" s="53" t="str">
        <f aca="false">IF(Costos!$B$88="","Concepto 14",Costos!$B$88&amp;" ("&amp;Costos!$C$88&amp;")")</f>
        <v>Concepto 14</v>
      </c>
      <c r="C115" s="11" t="s">
        <v>508</v>
      </c>
      <c r="D115" s="37"/>
      <c r="E115" s="37"/>
      <c r="F115" s="37"/>
      <c r="G115" s="37"/>
      <c r="H115" s="37"/>
      <c r="I115" s="37"/>
      <c r="J115" s="37"/>
      <c r="K115" s="37"/>
      <c r="L115" s="37"/>
      <c r="M115" s="37"/>
      <c r="N115" s="37"/>
      <c r="O115" s="54" t="str">
        <f aca="false">IF(COUNT(D115:N115)=0,"",SUM(D115:N115))</f>
        <v/>
      </c>
    </row>
    <row r="116" customFormat="false" ht="15" hidden="true" customHeight="false" outlineLevel="1" collapsed="false">
      <c r="A116" s="11" t="s">
        <v>2341</v>
      </c>
      <c r="B116" s="53" t="str">
        <f aca="false">IF(Costos!$B$89="","Concepto 15",Costos!$B$89&amp;" ("&amp;Costos!$C$89&amp;")")</f>
        <v>Concepto 15</v>
      </c>
      <c r="C116" s="11" t="s">
        <v>508</v>
      </c>
      <c r="D116" s="37"/>
      <c r="E116" s="37"/>
      <c r="F116" s="37"/>
      <c r="G116" s="37"/>
      <c r="H116" s="37"/>
      <c r="I116" s="37"/>
      <c r="J116" s="37"/>
      <c r="K116" s="37"/>
      <c r="L116" s="37"/>
      <c r="M116" s="37"/>
      <c r="N116" s="37"/>
      <c r="O116" s="54" t="str">
        <f aca="false">IF(COUNT(D116:N116)=0,"",SUM(D116:N116))</f>
        <v/>
      </c>
    </row>
    <row r="117" customFormat="false" ht="15" hidden="true" customHeight="false" outlineLevel="1" collapsed="false">
      <c r="A117" s="11" t="s">
        <v>2342</v>
      </c>
      <c r="B117" s="53" t="str">
        <f aca="false">IF(Costos!$B$90="","Concepto 16",Costos!$B$90&amp;" ("&amp;Costos!$C$90&amp;")")</f>
        <v>Concepto 16</v>
      </c>
      <c r="C117" s="11" t="s">
        <v>508</v>
      </c>
      <c r="D117" s="37"/>
      <c r="E117" s="37"/>
      <c r="F117" s="37"/>
      <c r="G117" s="37"/>
      <c r="H117" s="37"/>
      <c r="I117" s="37"/>
      <c r="J117" s="37"/>
      <c r="K117" s="37"/>
      <c r="L117" s="37"/>
      <c r="M117" s="37"/>
      <c r="N117" s="37"/>
      <c r="O117" s="54" t="str">
        <f aca="false">IF(COUNT(D117:N117)=0,"",SUM(D117:N117))</f>
        <v/>
      </c>
    </row>
    <row r="118" customFormat="false" ht="15" hidden="true" customHeight="false" outlineLevel="1" collapsed="false">
      <c r="A118" s="11" t="s">
        <v>2343</v>
      </c>
      <c r="B118" s="53" t="str">
        <f aca="false">IF(Costos!$B$91="","Concepto 17",Costos!$B$91&amp;" ("&amp;Costos!$C$91&amp;")")</f>
        <v>Concepto 17</v>
      </c>
      <c r="C118" s="11" t="s">
        <v>508</v>
      </c>
      <c r="D118" s="37"/>
      <c r="E118" s="37"/>
      <c r="F118" s="37"/>
      <c r="G118" s="37"/>
      <c r="H118" s="37"/>
      <c r="I118" s="37"/>
      <c r="J118" s="37"/>
      <c r="K118" s="37"/>
      <c r="L118" s="37"/>
      <c r="M118" s="37"/>
      <c r="N118" s="37"/>
      <c r="O118" s="54" t="str">
        <f aca="false">IF(COUNT(D118:N118)=0,"",SUM(D118:N118))</f>
        <v/>
      </c>
    </row>
    <row r="119" customFormat="false" ht="15" hidden="true" customHeight="false" outlineLevel="1" collapsed="false">
      <c r="A119" s="11" t="s">
        <v>2344</v>
      </c>
      <c r="B119" s="53" t="str">
        <f aca="false">IF(Costos!$B$92="","Concepto 18",Costos!$B$92&amp;" ("&amp;Costos!$C$92&amp;")")</f>
        <v>Concepto 18</v>
      </c>
      <c r="C119" s="11" t="s">
        <v>508</v>
      </c>
      <c r="D119" s="37"/>
      <c r="E119" s="37"/>
      <c r="F119" s="37"/>
      <c r="G119" s="37"/>
      <c r="H119" s="37"/>
      <c r="I119" s="37"/>
      <c r="J119" s="37"/>
      <c r="K119" s="37"/>
      <c r="L119" s="37"/>
      <c r="M119" s="37"/>
      <c r="N119" s="37"/>
      <c r="O119" s="54" t="str">
        <f aca="false">IF(COUNT(D119:N119)=0,"",SUM(D119:N119))</f>
        <v/>
      </c>
    </row>
    <row r="120" customFormat="false" ht="15" hidden="true" customHeight="false" outlineLevel="1" collapsed="false">
      <c r="A120" s="11" t="s">
        <v>2345</v>
      </c>
      <c r="B120" s="53" t="str">
        <f aca="false">IF(Costos!$B$93="","Concepto 19",Costos!$B$93&amp;" ("&amp;Costos!$C$93&amp;")")</f>
        <v>Concepto 19</v>
      </c>
      <c r="C120" s="11" t="s">
        <v>508</v>
      </c>
      <c r="D120" s="37"/>
      <c r="E120" s="37"/>
      <c r="F120" s="37"/>
      <c r="G120" s="37"/>
      <c r="H120" s="37"/>
      <c r="I120" s="37"/>
      <c r="J120" s="37"/>
      <c r="K120" s="37"/>
      <c r="L120" s="37"/>
      <c r="M120" s="37"/>
      <c r="N120" s="37"/>
      <c r="O120" s="54" t="str">
        <f aca="false">IF(COUNT(D120:N120)=0,"",SUM(D120:N120))</f>
        <v/>
      </c>
    </row>
    <row r="121" customFormat="false" ht="15" hidden="true" customHeight="false" outlineLevel="1" collapsed="false">
      <c r="A121" s="11" t="s">
        <v>2346</v>
      </c>
      <c r="B121" s="53" t="str">
        <f aca="false">IF(Costos!$B$94="","Concepto 20",Costos!$B$94&amp;" ("&amp;Costos!$C$94&amp;")")</f>
        <v>Concepto 20</v>
      </c>
      <c r="C121" s="11" t="s">
        <v>508</v>
      </c>
      <c r="D121" s="37"/>
      <c r="E121" s="37"/>
      <c r="F121" s="37"/>
      <c r="G121" s="37"/>
      <c r="H121" s="37"/>
      <c r="I121" s="37"/>
      <c r="J121" s="37"/>
      <c r="K121" s="37"/>
      <c r="L121" s="37"/>
      <c r="M121" s="37"/>
      <c r="N121" s="37"/>
      <c r="O121" s="54" t="str">
        <f aca="false">IF(COUNT(D121:N121)=0,"",SUM(D121:N121))</f>
        <v/>
      </c>
    </row>
    <row r="122" customFormat="false" ht="15" hidden="true" customHeight="false" outlineLevel="1" collapsed="false">
      <c r="A122" s="11" t="s">
        <v>2347</v>
      </c>
      <c r="B122" s="53" t="str">
        <f aca="false">IF(Costos!$B$95="","Concepto 21",Costos!$B$95&amp;" ("&amp;Costos!$C$95&amp;")")</f>
        <v>Concepto 21</v>
      </c>
      <c r="C122" s="11" t="s">
        <v>508</v>
      </c>
      <c r="D122" s="37"/>
      <c r="E122" s="37"/>
      <c r="F122" s="37"/>
      <c r="G122" s="37"/>
      <c r="H122" s="37"/>
      <c r="I122" s="37"/>
      <c r="J122" s="37"/>
      <c r="K122" s="37"/>
      <c r="L122" s="37"/>
      <c r="M122" s="37"/>
      <c r="N122" s="37"/>
      <c r="O122" s="54" t="str">
        <f aca="false">IF(COUNT(D122:N122)=0,"",SUM(D122:N122))</f>
        <v/>
      </c>
    </row>
    <row r="123" customFormat="false" ht="15" hidden="true" customHeight="false" outlineLevel="1" collapsed="false">
      <c r="A123" s="11" t="s">
        <v>2348</v>
      </c>
      <c r="B123" s="53" t="str">
        <f aca="false">IF(Costos!$B$96="","Concepto 22",Costos!$B$96&amp;" ("&amp;Costos!$C$96&amp;")")</f>
        <v>Concepto 22</v>
      </c>
      <c r="C123" s="11" t="s">
        <v>508</v>
      </c>
      <c r="D123" s="37"/>
      <c r="E123" s="37"/>
      <c r="F123" s="37"/>
      <c r="G123" s="37"/>
      <c r="H123" s="37"/>
      <c r="I123" s="37"/>
      <c r="J123" s="37"/>
      <c r="K123" s="37"/>
      <c r="L123" s="37"/>
      <c r="M123" s="37"/>
      <c r="N123" s="37"/>
      <c r="O123" s="54" t="str">
        <f aca="false">IF(COUNT(D123:N123)=0,"",SUM(D123:N123))</f>
        <v/>
      </c>
    </row>
    <row r="124" customFormat="false" ht="15" hidden="true" customHeight="false" outlineLevel="1" collapsed="false">
      <c r="A124" s="11" t="s">
        <v>2349</v>
      </c>
      <c r="B124" s="53" t="str">
        <f aca="false">IF(Costos!$B$97="","Concepto 23",Costos!$B$97&amp;" ("&amp;Costos!$C$97&amp;")")</f>
        <v>Concepto 23</v>
      </c>
      <c r="C124" s="11" t="s">
        <v>508</v>
      </c>
      <c r="D124" s="37"/>
      <c r="E124" s="37"/>
      <c r="F124" s="37"/>
      <c r="G124" s="37"/>
      <c r="H124" s="37"/>
      <c r="I124" s="37"/>
      <c r="J124" s="37"/>
      <c r="K124" s="37"/>
      <c r="L124" s="37"/>
      <c r="M124" s="37"/>
      <c r="N124" s="37"/>
      <c r="O124" s="54" t="str">
        <f aca="false">IF(COUNT(D124:N124)=0,"",SUM(D124:N124))</f>
        <v/>
      </c>
    </row>
    <row r="125" customFormat="false" ht="15" hidden="true" customHeight="false" outlineLevel="1" collapsed="false">
      <c r="A125" s="11" t="s">
        <v>2350</v>
      </c>
      <c r="B125" s="53" t="str">
        <f aca="false">IF(Costos!$B$98="","Concepto 24",Costos!$B$98&amp;" ("&amp;Costos!$C$98&amp;")")</f>
        <v>Concepto 24</v>
      </c>
      <c r="C125" s="11" t="s">
        <v>508</v>
      </c>
      <c r="D125" s="37"/>
      <c r="E125" s="37"/>
      <c r="F125" s="37"/>
      <c r="G125" s="37"/>
      <c r="H125" s="37"/>
      <c r="I125" s="37"/>
      <c r="J125" s="37"/>
      <c r="K125" s="37"/>
      <c r="L125" s="37"/>
      <c r="M125" s="37"/>
      <c r="N125" s="37"/>
      <c r="O125" s="54" t="str">
        <f aca="false">IF(COUNT(D125:N125)=0,"",SUM(D125:N125))</f>
        <v/>
      </c>
    </row>
    <row r="126" customFormat="false" ht="15" hidden="true" customHeight="false" outlineLevel="1" collapsed="false">
      <c r="A126" s="11" t="s">
        <v>2351</v>
      </c>
      <c r="B126" s="53" t="str">
        <f aca="false">IF(Costos!$B$99="","Concepto 25",Costos!$B$99&amp;" ("&amp;Costos!$C$99&amp;")")</f>
        <v>Concepto 25</v>
      </c>
      <c r="C126" s="11" t="s">
        <v>508</v>
      </c>
      <c r="D126" s="37"/>
      <c r="E126" s="37"/>
      <c r="F126" s="37"/>
      <c r="G126" s="37"/>
      <c r="H126" s="37"/>
      <c r="I126" s="37"/>
      <c r="J126" s="37"/>
      <c r="K126" s="37"/>
      <c r="L126" s="37"/>
      <c r="M126" s="37"/>
      <c r="N126" s="37"/>
      <c r="O126" s="54" t="str">
        <f aca="false">IF(COUNT(D126:N126)=0,"",SUM(D126:N126))</f>
        <v/>
      </c>
    </row>
    <row r="127" customFormat="false" ht="15" hidden="false" customHeight="false" outlineLevel="0" collapsed="false">
      <c r="A127" s="11" t="s">
        <v>2352</v>
      </c>
      <c r="B127" s="15" t="s">
        <v>2353</v>
      </c>
      <c r="C127" s="11" t="s">
        <v>508</v>
      </c>
      <c r="D127" s="48" t="str">
        <f aca="false">IFERROR(IF(COUNT(D79,D91,D102,D103,D104,D105,D106,D107,D108,D109,D110,D111,D112,D113,D114,D115,D116,D117,D118,D119,D120,D121,D122,D123,D124,D125,D126)=0,"",N(D79)+N(D91)-(N(D102)+N(D103)+N(D104)+N(D105)+N(D106)+N(D107)+N(D108)+N(D109)+N(D110)+N(D111)+N(D112)+N(D113)+N(D114)+N(D115)+N(D116)+N(D117)+N(D118)+N(D119)+N(D120)+N(D121)+N(D122)+N(D123)+N(D124)+N(D125)+N(D126))),"")</f>
        <v/>
      </c>
      <c r="E127" s="48" t="n">
        <f aca="false">IFERROR(IF(COUNT(E79,E91,E102,E103,E104,E105,E106,E107,E108,E109,E110,E111,E112,E113,E114,E115,E116,E117,E118,E119,E120,E121,E122,E123,E124,E125,E126)=0,"",N(E79)+N(E91)-(N(E102)+N(E103)+N(E104)+N(E105)+N(E106)+N(E107)+N(E108)+N(E109)+N(E110)+N(E111)+N(E112)+N(E113)+N(E114)+N(E115)+N(E116)+N(E117)+N(E118)+N(E119)+N(E120)+N(E121)+N(E122)+N(E123)+N(E124)+N(E125)+N(E126))),"")</f>
        <v>0</v>
      </c>
      <c r="F127" s="48" t="n">
        <f aca="false">IFERROR(IF(COUNT(F79,F91,F102,F103,F104,F105,F106,F107,F108,F109,F110,F111,F112,F113,F114,F115,F116,F117,F118,F119,F120,F121,F122,F123,F124,F125,F126)=0,"",N(F79)+N(F91)-(N(F102)+N(F103)+N(F104)+N(F105)+N(F106)+N(F107)+N(F108)+N(F109)+N(F110)+N(F111)+N(F112)+N(F113)+N(F114)+N(F115)+N(F116)+N(F117)+N(F118)+N(F119)+N(F120)+N(F121)+N(F122)+N(F123)+N(F124)+N(F125)+N(F126))),"")</f>
        <v>0</v>
      </c>
      <c r="G127" s="48" t="n">
        <f aca="false">IFERROR(IF(COUNT(G79,G91,G102,G103,G104,G105,G106,G107,G108,G109,G110,G111,G112,G113,G114,G115,G116,G117,G118,G119,G120,G121,G122,G123,G124,G125,G126)=0,"",N(G79)+N(G91)-(N(G102)+N(G103)+N(G104)+N(G105)+N(G106)+N(G107)+N(G108)+N(G109)+N(G110)+N(G111)+N(G112)+N(G113)+N(G114)+N(G115)+N(G116)+N(G117)+N(G118)+N(G119)+N(G120)+N(G121)+N(G122)+N(G123)+N(G124)+N(G125)+N(G126))),"")</f>
        <v>0</v>
      </c>
      <c r="H127" s="48" t="n">
        <f aca="false">IFERROR(IF(COUNT(H79,H91,H102,H103,H104,H105,H106,H107,H108,H109,H110,H111,H112,H113,H114,H115,H116,H117,H118,H119,H120,H121,H122,H123,H124,H125,H126)=0,"",N(H79)+N(H91)-(N(H102)+N(H103)+N(H104)+N(H105)+N(H106)+N(H107)+N(H108)+N(H109)+N(H110)+N(H111)+N(H112)+N(H113)+N(H114)+N(H115)+N(H116)+N(H117)+N(H118)+N(H119)+N(H120)+N(H121)+N(H122)+N(H123)+N(H124)+N(H125)+N(H126))),"")</f>
        <v>0</v>
      </c>
      <c r="I127" s="48" t="n">
        <f aca="false">IFERROR(IF(COUNT(I79,I91,I102,I103,I104,I105,I106,I107,I108,I109,I110,I111,I112,I113,I114,I115,I116,I117,I118,I119,I120,I121,I122,I123,I124,I125,I126)=0,"",N(I79)+N(I91)-(N(I102)+N(I103)+N(I104)+N(I105)+N(I106)+N(I107)+N(I108)+N(I109)+N(I110)+N(I111)+N(I112)+N(I113)+N(I114)+N(I115)+N(I116)+N(I117)+N(I118)+N(I119)+N(I120)+N(I121)+N(I122)+N(I123)+N(I124)+N(I125)+N(I126))),"")</f>
        <v>0</v>
      </c>
      <c r="J127" s="48" t="n">
        <f aca="false">IFERROR(IF(COUNT(J79,J91,J102,J103,J104,J105,J106,J107,J108,J109,J110,J111,J112,J113,J114,J115,J116,J117,J118,J119,J120,J121,J122,J123,J124,J125,J126)=0,"",N(J79)+N(J91)-(N(J102)+N(J103)+N(J104)+N(J105)+N(J106)+N(J107)+N(J108)+N(J109)+N(J110)+N(J111)+N(J112)+N(J113)+N(J114)+N(J115)+N(J116)+N(J117)+N(J118)+N(J119)+N(J120)+N(J121)+N(J122)+N(J123)+N(J124)+N(J125)+N(J126))),"")</f>
        <v>0</v>
      </c>
      <c r="K127" s="48" t="n">
        <f aca="false">IFERROR(IF(COUNT(K79,K91,K102,K103,K104,K105,K106,K107,K108,K109,K110,K111,K112,K113,K114,K115,K116,K117,K118,K119,K120,K121,K122,K123,K124,K125,K126)=0,"",N(K79)+N(K91)-(N(K102)+N(K103)+N(K104)+N(K105)+N(K106)+N(K107)+N(K108)+N(K109)+N(K110)+N(K111)+N(K112)+N(K113)+N(K114)+N(K115)+N(K116)+N(K117)+N(K118)+N(K119)+N(K120)+N(K121)+N(K122)+N(K123)+N(K124)+N(K125)+N(K126))),"")</f>
        <v>0</v>
      </c>
      <c r="L127" s="48" t="n">
        <f aca="false">IFERROR(IF(COUNT(L79,L91,L102,L103,L104,L105,L106,L107,L108,L109,L110,L111,L112,L113,L114,L115,L116,L117,L118,L119,L120,L121,L122,L123,L124,L125,L126)=0,"",N(L79)+N(L91)-(N(L102)+N(L103)+N(L104)+N(L105)+N(L106)+N(L107)+N(L108)+N(L109)+N(L110)+N(L111)+N(L112)+N(L113)+N(L114)+N(L115)+N(L116)+N(L117)+N(L118)+N(L119)+N(L120)+N(L121)+N(L122)+N(L123)+N(L124)+N(L125)+N(L126))),"")</f>
        <v>0</v>
      </c>
      <c r="M127" s="48" t="n">
        <f aca="false">IFERROR(IF(COUNT(M79,M91,M102,M103,M104,M105,M106,M107,M108,M109,M110,M111,M112,M113,M114,M115,M116,M117,M118,M119,M120,M121,M122,M123,M124,M125,M126)=0,"",N(M79)+N(M91)-(N(M102)+N(M103)+N(M104)+N(M105)+N(M106)+N(M107)+N(M108)+N(M109)+N(M110)+N(M111)+N(M112)+N(M113)+N(M114)+N(M115)+N(M116)+N(M117)+N(M118)+N(M119)+N(M120)+N(M121)+N(M122)+N(M123)+N(M124)+N(M125)+N(M126))),"")</f>
        <v>0</v>
      </c>
      <c r="N127" s="48" t="n">
        <f aca="false">IFERROR(IF(COUNT(N79,N91,N102,N103,N104,N105,N106,N107,N108,N109,N110,N111,N112,N113,N114,N115,N116,N117,N118,N119,N120,N121,N122,N123,N124,N125,N126)=0,"",N(N79)+N(N91)-(N(N102)+N(N103)+N(N104)+N(N105)+N(N106)+N(N107)+N(N108)+N(N109)+N(N110)+N(N111)+N(N112)+N(N113)+N(N114)+N(N115)+N(N116)+N(N117)+N(N118)+N(N119)+N(N120)+N(N121)+N(N122)+N(N123)+N(N124)+N(N125)+N(N126))),"")</f>
        <v>0</v>
      </c>
      <c r="O127" s="54" t="n">
        <f aca="false">IF(COUNT(D127:N127)=0,"",SUM(D127:N127))</f>
        <v>0</v>
      </c>
    </row>
    <row r="129" customFormat="false" ht="15" hidden="false" customHeight="false" outlineLevel="0" collapsed="false">
      <c r="A129" s="101" t="s">
        <v>1994</v>
      </c>
      <c r="B129" s="102"/>
      <c r="C129" s="102"/>
      <c r="D129" s="102"/>
      <c r="E129" s="102"/>
      <c r="F129" s="102"/>
      <c r="G129" s="102"/>
      <c r="H129" s="102"/>
      <c r="I129" s="102"/>
      <c r="J129" s="102"/>
      <c r="K129" s="102"/>
      <c r="L129" s="102"/>
      <c r="M129" s="102"/>
      <c r="N129" s="102"/>
      <c r="O129" s="102"/>
      <c r="P129" s="102"/>
    </row>
    <row r="130" customFormat="false" ht="24" hidden="false" customHeight="true" outlineLevel="0" collapsed="false">
      <c r="A130" s="14"/>
      <c r="B130" s="14" t="s">
        <v>1530</v>
      </c>
      <c r="C130" s="14" t="s">
        <v>355</v>
      </c>
      <c r="D130" s="14" t="s">
        <v>1857</v>
      </c>
      <c r="E130" s="14" t="s">
        <v>452</v>
      </c>
      <c r="F130" s="14" t="s">
        <v>453</v>
      </c>
      <c r="G130" s="14" t="s">
        <v>454</v>
      </c>
      <c r="H130" s="14" t="s">
        <v>455</v>
      </c>
      <c r="I130" s="14" t="s">
        <v>456</v>
      </c>
      <c r="J130" s="14" t="s">
        <v>457</v>
      </c>
      <c r="K130" s="14" t="s">
        <v>458</v>
      </c>
      <c r="L130" s="14" t="s">
        <v>459</v>
      </c>
      <c r="M130" s="14" t="s">
        <v>460</v>
      </c>
      <c r="N130" s="14" t="s">
        <v>461</v>
      </c>
      <c r="O130" s="14" t="s">
        <v>549</v>
      </c>
      <c r="P130" s="14" t="s">
        <v>1822</v>
      </c>
    </row>
    <row r="131" customFormat="false" ht="15" hidden="false" customHeight="false" outlineLevel="0" collapsed="false">
      <c r="B131" s="11" t="s">
        <v>1993</v>
      </c>
      <c r="D131" s="86" t="str">
        <f aca="false">IF(OR(n_Fecha1="",IF(cu_P=1,P_Inicio,V_Inicio)=1),"",YEAR(n_Fecha1))</f>
        <v/>
      </c>
      <c r="E131" s="86" t="str">
        <f aca="false">IF(n_Fecha1="","",YEAR(EOMONTH(n_Fecha1,IF(cu_P=1,P_Inicio,V_Inicio)-1+0)))</f>
        <v/>
      </c>
      <c r="F131" s="86" t="str">
        <f aca="false">IF(n_Fecha1="","",YEAR(EOMONTH(n_Fecha1,IF(cu_P=1,P_Inicio,V_Inicio)-1+12)))</f>
        <v/>
      </c>
      <c r="G131" s="86" t="str">
        <f aca="false">IF(n_Fecha1="","",YEAR(EOMONTH(n_Fecha1,IF(cu_P=1,P_Inicio,V_Inicio)-1+24)))</f>
        <v/>
      </c>
      <c r="H131" s="86" t="str">
        <f aca="false">IF(n_Fecha1="","",YEAR(EOMONTH(n_Fecha1,IF(cu_P=1,P_Inicio,V_Inicio)-1+36)))</f>
        <v/>
      </c>
      <c r="I131" s="86" t="str">
        <f aca="false">IF(n_Fecha1="","",YEAR(EOMONTH(n_Fecha1,IF(cu_P=1,P_Inicio,V_Inicio)-1+48)))</f>
        <v/>
      </c>
      <c r="J131" s="86" t="str">
        <f aca="false">IF(n_Fecha1="","",YEAR(EOMONTH(n_Fecha1,IF(cu_P=1,P_Inicio,V_Inicio)-1+60)))</f>
        <v/>
      </c>
      <c r="K131" s="86" t="str">
        <f aca="false">IF(n_Fecha1="","",YEAR(EOMONTH(n_Fecha1,IF(cu_P=1,P_Inicio,V_Inicio)-1+72)))</f>
        <v/>
      </c>
      <c r="L131" s="86" t="str">
        <f aca="false">IF(n_Fecha1="","",YEAR(EOMONTH(n_Fecha1,IF(cu_P=1,P_Inicio,V_Inicio)-1+84)))</f>
        <v/>
      </c>
      <c r="M131" s="86" t="str">
        <f aca="false">IF(n_Fecha1="","",YEAR(EOMONTH(n_Fecha1,IF(cu_P=1,P_Inicio,V_Inicio)-1+96)))</f>
        <v/>
      </c>
      <c r="N131" s="86" t="str">
        <f aca="false">IF(n_Fecha1="","",YEAR(EOMONTH(n_Fecha1,IF(cu_P=1,P_Inicio,V_Inicio)-1+108)))</f>
        <v/>
      </c>
    </row>
    <row r="132" customFormat="false" ht="15" hidden="false" customHeight="false" outlineLevel="0" collapsed="false">
      <c r="A132" s="13"/>
      <c r="B132" s="100" t="s">
        <v>2275</v>
      </c>
      <c r="C132" s="13"/>
      <c r="D132" s="13"/>
      <c r="E132" s="13"/>
      <c r="F132" s="13"/>
      <c r="G132" s="13"/>
      <c r="H132" s="13"/>
      <c r="I132" s="13"/>
      <c r="J132" s="13"/>
      <c r="K132" s="13"/>
      <c r="L132" s="13"/>
      <c r="M132" s="13"/>
      <c r="N132" s="13"/>
      <c r="O132" s="13"/>
      <c r="P132" s="13"/>
    </row>
    <row r="133" customFormat="false" ht="15" hidden="false" customHeight="false" outlineLevel="0" collapsed="false">
      <c r="A133" s="11" t="s">
        <v>2276</v>
      </c>
      <c r="B133" s="67" t="s">
        <v>2277</v>
      </c>
      <c r="C133" s="11" t="s">
        <v>508</v>
      </c>
      <c r="D133" s="54" t="str">
        <f aca="false">IF(OR(NOT(ISNUMBER(D9)),NOT(ISNUMBER(D71))),"",D9-D71)</f>
        <v/>
      </c>
      <c r="E133" s="54" t="n">
        <f aca="false">IF(OR(NOT(ISNUMBER(E9)),NOT(ISNUMBER(E71))),"",E9-E71)</f>
        <v>290004.368541407</v>
      </c>
      <c r="F133" s="54" t="n">
        <f aca="false">IF(OR(NOT(ISNUMBER(F9)),NOT(ISNUMBER(F71))),"",F9-F71)</f>
        <v>290005.098320908</v>
      </c>
      <c r="G133" s="54" t="n">
        <f aca="false">IF(OR(NOT(ISNUMBER(G9)),NOT(ISNUMBER(G71))),"",G9-G71)</f>
        <v>301690.110666988</v>
      </c>
      <c r="H133" s="54" t="n">
        <f aca="false">IF(OR(NOT(ISNUMBER(H9)),NOT(ISNUMBER(H71))),"",H9-H71)</f>
        <v>314533.725694182</v>
      </c>
      <c r="I133" s="54" t="n">
        <f aca="false">IF(OR(NOT(ISNUMBER(I9)),NOT(ISNUMBER(I71))),"",I9-I71)</f>
        <v>327189.146436121</v>
      </c>
      <c r="J133" s="54" t="n">
        <f aca="false">IF(OR(NOT(ISNUMBER(J9)),NOT(ISNUMBER(J71))),"",J9-J71)</f>
        <v>337344.989813816</v>
      </c>
      <c r="K133" s="54" t="n">
        <f aca="false">IF(OR(NOT(ISNUMBER(K9)),NOT(ISNUMBER(K71))),"",K9-K71)</f>
        <v>347615.304582248</v>
      </c>
      <c r="L133" s="54" t="n">
        <f aca="false">IF(OR(NOT(ISNUMBER(L9)),NOT(ISNUMBER(L71))),"",L9-L71)</f>
        <v>358001.440514464</v>
      </c>
      <c r="M133" s="54" t="n">
        <f aca="false">IF(OR(NOT(ISNUMBER(M9)),NOT(ISNUMBER(M71))),"",M9-M71)</f>
        <v>368504.783582424</v>
      </c>
      <c r="N133" s="54" t="n">
        <f aca="false">IF(OR(NOT(ISNUMBER(N9)),NOT(ISNUMBER(N71))),"",N9-N71)</f>
        <v>379126.756373012</v>
      </c>
      <c r="O133" s="54" t="n">
        <f aca="false">IF(OR(NOT(ISNUMBER(O9)),NOT(ISNUMBER(O71))),"",O9-O71)</f>
        <v>3314015.72452557</v>
      </c>
      <c r="P133" s="11" t="str">
        <f aca="false">IF(COUNT(D133:N133)=0,"",IF(AND(MAX(D133:N133)&lt;2,MIN(D133:N133)&gt;-2),"Sin diferencia","Clasificación del personal (indirectos en producción), C1 nómina y C2 materia prima."))</f>
        <v>Clasificación del personal (indirectos en producción), C1 nómina y C2 materia prima.</v>
      </c>
    </row>
    <row r="134" customFormat="false" ht="15" hidden="false" customHeight="false" outlineLevel="0" collapsed="false">
      <c r="A134" s="11" t="s">
        <v>2278</v>
      </c>
      <c r="B134" s="15" t="s">
        <v>1120</v>
      </c>
      <c r="C134" s="11" t="s">
        <v>508</v>
      </c>
      <c r="D134" s="48" t="str">
        <f aca="false">IF(OR(NOT(ISNUMBER(D10)),NOT(ISNUMBER(D72))),"",D10-D72)</f>
        <v/>
      </c>
      <c r="E134" s="48" t="n">
        <f aca="false">IF(OR(NOT(ISNUMBER(E10)),NOT(ISNUMBER(E72))),"",E10-E72)</f>
        <v>0</v>
      </c>
      <c r="F134" s="48" t="n">
        <f aca="false">IF(OR(NOT(ISNUMBER(F10)),NOT(ISNUMBER(F72))),"",F10-F72)</f>
        <v>-0.5</v>
      </c>
      <c r="G134" s="48" t="n">
        <f aca="false">IF(OR(NOT(ISNUMBER(G10)),NOT(ISNUMBER(G72))),"",G10-G72)</f>
        <v>8232.28000000026</v>
      </c>
      <c r="H134" s="48" t="n">
        <f aca="false">IF(OR(NOT(ISNUMBER(H10)),NOT(ISNUMBER(H72))),"",H10-H72)</f>
        <v>18051.5798499999</v>
      </c>
      <c r="I134" s="48" t="n">
        <f aca="false">IF(OR(NOT(ISNUMBER(I10)),NOT(ISNUMBER(I72))),"",I10-I72)</f>
        <v>27213.4356485</v>
      </c>
      <c r="J134" s="48" t="n">
        <f aca="false">IF(OR(NOT(ISNUMBER(J10)),NOT(ISNUMBER(J72))),"",J10-J72)</f>
        <v>36465.7300049849</v>
      </c>
      <c r="K134" s="48" t="n">
        <f aca="false">IF(OR(NOT(ISNUMBER(K10)),NOT(ISNUMBER(K72))),"",K10-K72)</f>
        <v>45812.1673050351</v>
      </c>
      <c r="L134" s="48" t="n">
        <f aca="false">IF(OR(NOT(ISNUMBER(L10)),NOT(ISNUMBER(L72))),"",L10-L72)</f>
        <v>55250.4789780849</v>
      </c>
      <c r="M134" s="48" t="n">
        <f aca="false">IF(OR(NOT(ISNUMBER(M10)),NOT(ISNUMBER(M72))),"",M10-M72)</f>
        <v>64784.4237678661</v>
      </c>
      <c r="N134" s="48" t="n">
        <f aca="false">IF(OR(NOT(ISNUMBER(N10)),NOT(ISNUMBER(N72))),"",N10-N72)</f>
        <v>74412.7880055448</v>
      </c>
      <c r="O134" s="54" t="n">
        <f aca="false">IF(OR(NOT(ISNUMBER(O10)),NOT(ISNUMBER(O72))),"",O10-O72)</f>
        <v>330222.383560017</v>
      </c>
      <c r="P134" s="11" t="str">
        <f aca="false">IF(COUNT(D134:N134)=0,"",IF(AND(MAX(D134:N134)&lt;2,MIN(D134:N134)&gt;-2),"Sin diferencia","C2 materia prima: 1% acumulativo también en las cajas (el plan no lo aplica desde el año 3)."))</f>
        <v>C2 materia prima: 1% acumulativo también en las cajas (el plan no lo aplica desde el año 3).</v>
      </c>
    </row>
    <row r="135" customFormat="false" ht="15" hidden="false" customHeight="false" outlineLevel="0" collapsed="false">
      <c r="A135" s="11" t="s">
        <v>2279</v>
      </c>
      <c r="B135" s="15" t="s">
        <v>1122</v>
      </c>
      <c r="C135" s="11" t="s">
        <v>508</v>
      </c>
      <c r="D135" s="48" t="str">
        <f aca="false">IF(OR(NOT(ISNUMBER(D11)),NOT(ISNUMBER(D73))),"",D11-D73)</f>
        <v/>
      </c>
      <c r="E135" s="48" t="n">
        <f aca="false">IF(OR(NOT(ISNUMBER(E11)),NOT(ISNUMBER(E73))),"",E11-E73)</f>
        <v>0</v>
      </c>
      <c r="F135" s="48" t="n">
        <f aca="false">IF(OR(NOT(ISNUMBER(F11)),NOT(ISNUMBER(F73))),"",F11-F73)</f>
        <v>0</v>
      </c>
      <c r="G135" s="48" t="n">
        <f aca="false">IF(OR(NOT(ISNUMBER(G11)),NOT(ISNUMBER(G73))),"",G11-G73)</f>
        <v>0</v>
      </c>
      <c r="H135" s="48" t="n">
        <f aca="false">IF(OR(NOT(ISNUMBER(H11)),NOT(ISNUMBER(H73))),"",H11-H73)</f>
        <v>0</v>
      </c>
      <c r="I135" s="48" t="n">
        <f aca="false">IF(OR(NOT(ISNUMBER(I11)),NOT(ISNUMBER(I73))),"",I11-I73)</f>
        <v>0</v>
      </c>
      <c r="J135" s="48" t="n">
        <f aca="false">IF(OR(NOT(ISNUMBER(J11)),NOT(ISNUMBER(J73))),"",J11-J73)</f>
        <v>0</v>
      </c>
      <c r="K135" s="48" t="n">
        <f aca="false">IF(OR(NOT(ISNUMBER(K11)),NOT(ISNUMBER(K73))),"",K11-K73)</f>
        <v>0</v>
      </c>
      <c r="L135" s="48" t="n">
        <f aca="false">IF(OR(NOT(ISNUMBER(L11)),NOT(ISNUMBER(L73))),"",L11-L73)</f>
        <v>0</v>
      </c>
      <c r="M135" s="48" t="n">
        <f aca="false">IF(OR(NOT(ISNUMBER(M11)),NOT(ISNUMBER(M73))),"",M11-M73)</f>
        <v>0</v>
      </c>
      <c r="N135" s="48" t="n">
        <f aca="false">IF(OR(NOT(ISNUMBER(N11)),NOT(ISNUMBER(N73))),"",N11-N73)</f>
        <v>0</v>
      </c>
      <c r="O135" s="54" t="n">
        <f aca="false">IF(OR(NOT(ISNUMBER(O11)),NOT(ISNUMBER(O73))),"",O11-O73)</f>
        <v>0</v>
      </c>
      <c r="P135" s="11" t="str">
        <f aca="false">IF(COUNT(D135:N135)=0,"",IF(AND(MAX(D135:N135)&lt;2,MIN(D135:N135)&gt;-2),"Sin diferencia","Diferencia a explicar"))</f>
        <v>Sin diferencia</v>
      </c>
    </row>
    <row r="136" customFormat="false" ht="15" hidden="false" customHeight="false" outlineLevel="0" collapsed="false">
      <c r="A136" s="11" t="s">
        <v>2280</v>
      </c>
      <c r="B136" s="15" t="s">
        <v>2281</v>
      </c>
      <c r="C136" s="11" t="s">
        <v>508</v>
      </c>
      <c r="D136" s="48" t="str">
        <f aca="false">IF(OR(NOT(ISNUMBER(D12)),NOT(ISNUMBER(D74))),"",D12-D74)</f>
        <v/>
      </c>
      <c r="E136" s="48" t="n">
        <f aca="false">IF(OR(NOT(ISNUMBER(E12)),NOT(ISNUMBER(E74))),"",E12-E74)</f>
        <v>-0.00399999995715916</v>
      </c>
      <c r="F136" s="48" t="n">
        <f aca="false">IF(OR(NOT(ISNUMBER(F12)),NOT(ISNUMBER(F74))),"",F12-F74)</f>
        <v>-0.00500000000465661</v>
      </c>
      <c r="G136" s="48" t="n">
        <f aca="false">IF(OR(NOT(ISNUMBER(G12)),NOT(ISNUMBER(G74))),"",G12-G74)</f>
        <v>0.994000000064261</v>
      </c>
      <c r="H136" s="48" t="n">
        <f aca="false">IF(OR(NOT(ISNUMBER(H12)),NOT(ISNUMBER(H74))),"",H12-H74)</f>
        <v>0.993000000016764</v>
      </c>
      <c r="I136" s="48" t="n">
        <f aca="false">IF(OR(NOT(ISNUMBER(I12)),NOT(ISNUMBER(I74))),"",I12-I74)</f>
        <v>0.993000000016764</v>
      </c>
      <c r="J136" s="48" t="n">
        <f aca="false">IF(OR(NOT(ISNUMBER(J12)),NOT(ISNUMBER(J74))),"",J12-J74)</f>
        <v>0.993000000016764</v>
      </c>
      <c r="K136" s="48" t="n">
        <f aca="false">IF(OR(NOT(ISNUMBER(K12)),NOT(ISNUMBER(K74))),"",K12-K74)</f>
        <v>0.993000000016764</v>
      </c>
      <c r="L136" s="48" t="n">
        <f aca="false">IF(OR(NOT(ISNUMBER(L12)),NOT(ISNUMBER(L74))),"",L12-L74)</f>
        <v>0.993000000016764</v>
      </c>
      <c r="M136" s="48" t="n">
        <f aca="false">IF(OR(NOT(ISNUMBER(M12)),NOT(ISNUMBER(M74))),"",M12-M74)</f>
        <v>0.993000000016764</v>
      </c>
      <c r="N136" s="48" t="n">
        <f aca="false">IF(OR(NOT(ISNUMBER(N12)),NOT(ISNUMBER(N74))),"",N12-N74)</f>
        <v>0.993000000016764</v>
      </c>
      <c r="O136" s="54" t="n">
        <f aca="false">IF(OR(NOT(ISNUMBER(O12)),NOT(ISNUMBER(O74))),"",O12-O74)</f>
        <v>7.93600000068545</v>
      </c>
      <c r="P136" s="11" t="str">
        <f aca="false">IF(COUNT(D136:N136)=0,"",IF(AND(MAX(D136:N136)&lt;2,MIN(D136:N136)&gt;-2),"Sin diferencia","Diferencia a explicar"))</f>
        <v>Sin diferencia</v>
      </c>
    </row>
    <row r="137" customFormat="false" ht="15" hidden="false" customHeight="false" outlineLevel="0" collapsed="false">
      <c r="A137" s="11" t="s">
        <v>2282</v>
      </c>
      <c r="B137" s="15" t="s">
        <v>2283</v>
      </c>
      <c r="C137" s="11" t="s">
        <v>508</v>
      </c>
      <c r="D137" s="48" t="str">
        <f aca="false">IF(OR(NOT(ISNUMBER(D13)),NOT(ISNUMBER(D75))),"",D13-D75)</f>
        <v/>
      </c>
      <c r="E137" s="48" t="n">
        <f aca="false">IF(OR(NOT(ISNUMBER(E13)),NOT(ISNUMBER(E75))),"",E13-E75)</f>
        <v>21448.9753424657</v>
      </c>
      <c r="F137" s="48" t="n">
        <f aca="false">IF(OR(NOT(ISNUMBER(F13)),NOT(ISNUMBER(F75))),"",F13-F75)</f>
        <v>21448.9753424657</v>
      </c>
      <c r="G137" s="48" t="n">
        <f aca="false">IF(OR(NOT(ISNUMBER(G13)),NOT(ISNUMBER(G75))),"",G13-G75)</f>
        <v>23216.1753424658</v>
      </c>
      <c r="H137" s="48" t="n">
        <f aca="false">IF(OR(NOT(ISNUMBER(H13)),NOT(ISNUMBER(H75))),"",H13-H75)</f>
        <v>24597.3709589042</v>
      </c>
      <c r="I137" s="48" t="n">
        <f aca="false">IF(OR(NOT(ISNUMBER(I13)),NOT(ISNUMBER(I75))),"",I13-I75)</f>
        <v>26318.4284931507</v>
      </c>
      <c r="J137" s="48" t="n">
        <f aca="false">IF(OR(NOT(ISNUMBER(J13)),NOT(ISNUMBER(J75))),"",J13-J75)</f>
        <v>26318.4284931507</v>
      </c>
      <c r="K137" s="48" t="n">
        <f aca="false">IF(OR(NOT(ISNUMBER(K13)),NOT(ISNUMBER(K75))),"",K13-K75)</f>
        <v>26318.4284931507</v>
      </c>
      <c r="L137" s="48" t="n">
        <f aca="false">IF(OR(NOT(ISNUMBER(L13)),NOT(ISNUMBER(L75))),"",L13-L75)</f>
        <v>26318.4284931507</v>
      </c>
      <c r="M137" s="48" t="n">
        <f aca="false">IF(OR(NOT(ISNUMBER(M13)),NOT(ISNUMBER(M75))),"",M13-M75)</f>
        <v>26318.4284931507</v>
      </c>
      <c r="N137" s="48" t="n">
        <f aca="false">IF(OR(NOT(ISNUMBER(N13)),NOT(ISNUMBER(N75))),"",N13-N75)</f>
        <v>26318.4284931507</v>
      </c>
      <c r="O137" s="54" t="n">
        <f aca="false">IF(OR(NOT(ISNUMBER(O13)),NOT(ISNUMBER(O75))),"",O13-O75)</f>
        <v>248622.067945205</v>
      </c>
      <c r="P137" s="11" t="str">
        <f aca="false">IF(COUNT(D137:N137)=0,"",IF(AND(MAX(D137:N137)&lt;2,MIN(D137:N137)&gt;-2),"Sin diferencia","C1 nómina: salarios en Gs convertidos al TC 7.300 (el plan usa 8.000 implícito)."))</f>
        <v>C1 nómina: salarios en Gs convertidos al TC 7.300 (el plan usa 8.000 implícito).</v>
      </c>
    </row>
    <row r="138" customFormat="false" ht="15" hidden="false" customHeight="false" outlineLevel="0" collapsed="false">
      <c r="A138" s="11" t="s">
        <v>2284</v>
      </c>
      <c r="B138" s="15" t="s">
        <v>2285</v>
      </c>
      <c r="C138" s="11" t="s">
        <v>508</v>
      </c>
      <c r="D138" s="48" t="str">
        <f aca="false">IF(OR(NOT(ISNUMBER(D14)),NOT(ISNUMBER(D76))),"",D14-D76)</f>
        <v/>
      </c>
      <c r="E138" s="48" t="str">
        <f aca="false">IF(OR(NOT(ISNUMBER(E14)),NOT(ISNUMBER(E76))),"",E14-E76)</f>
        <v/>
      </c>
      <c r="F138" s="48" t="str">
        <f aca="false">IF(OR(NOT(ISNUMBER(F14)),NOT(ISNUMBER(F76))),"",F14-F76)</f>
        <v/>
      </c>
      <c r="G138" s="48" t="str">
        <f aca="false">IF(OR(NOT(ISNUMBER(G14)),NOT(ISNUMBER(G76))),"",G14-G76)</f>
        <v/>
      </c>
      <c r="H138" s="48" t="str">
        <f aca="false">IF(OR(NOT(ISNUMBER(H14)),NOT(ISNUMBER(H76))),"",H14-H76)</f>
        <v/>
      </c>
      <c r="I138" s="48" t="str">
        <f aca="false">IF(OR(NOT(ISNUMBER(I14)),NOT(ISNUMBER(I76))),"",I14-I76)</f>
        <v/>
      </c>
      <c r="J138" s="48" t="str">
        <f aca="false">IF(OR(NOT(ISNUMBER(J14)),NOT(ISNUMBER(J76))),"",J14-J76)</f>
        <v/>
      </c>
      <c r="K138" s="48" t="str">
        <f aca="false">IF(OR(NOT(ISNUMBER(K14)),NOT(ISNUMBER(K76))),"",K14-K76)</f>
        <v/>
      </c>
      <c r="L138" s="48" t="str">
        <f aca="false">IF(OR(NOT(ISNUMBER(L14)),NOT(ISNUMBER(L76))),"",L14-L76)</f>
        <v/>
      </c>
      <c r="M138" s="48" t="str">
        <f aca="false">IF(OR(NOT(ISNUMBER(M14)),NOT(ISNUMBER(M76))),"",M14-M76)</f>
        <v/>
      </c>
      <c r="N138" s="48" t="str">
        <f aca="false">IF(OR(NOT(ISNUMBER(N14)),NOT(ISNUMBER(N76))),"",N14-N76)</f>
        <v/>
      </c>
      <c r="O138" s="54" t="str">
        <f aca="false">IF(OR(NOT(ISNUMBER(O14)),NOT(ISNUMBER(O76))),"",O14-O76)</f>
        <v/>
      </c>
      <c r="P138" s="11" t="str">
        <f aca="false">IF(COUNT(D138:N138)=0,"",IF(AND(MAX(D138:N138)&lt;2,MIN(D138:N138)&gt;-2),"Sin diferencia","Diferencia a explicar"))</f>
        <v/>
      </c>
    </row>
    <row r="139" customFormat="false" ht="15" hidden="false" customHeight="false" outlineLevel="0" collapsed="false">
      <c r="A139" s="11" t="s">
        <v>2286</v>
      </c>
      <c r="B139" s="15" t="s">
        <v>2287</v>
      </c>
      <c r="C139" s="11" t="s">
        <v>508</v>
      </c>
      <c r="D139" s="48" t="str">
        <f aca="false">IF(OR(NOT(ISNUMBER(D15)),NOT(ISNUMBER(D77))),"",D15-D77)</f>
        <v/>
      </c>
      <c r="E139" s="48" t="n">
        <f aca="false">IF(OR(NOT(ISNUMBER(E15)),NOT(ISNUMBER(E77))),"",E15-E77)</f>
        <v>78238.2341070685</v>
      </c>
      <c r="F139" s="48" t="n">
        <f aca="false">IF(OR(NOT(ISNUMBER(F15)),NOT(ISNUMBER(F77))),"",F15-F77)</f>
        <v>78238.2341070685</v>
      </c>
      <c r="G139" s="48" t="n">
        <f aca="false">IF(OR(NOT(ISNUMBER(G15)),NOT(ISNUMBER(G77))),"",G15-G77)</f>
        <v>79000.5002870685</v>
      </c>
      <c r="H139" s="48" t="n">
        <f aca="false">IF(OR(NOT(ISNUMBER(H15)),NOT(ISNUMBER(H77))),"",H15-H77)</f>
        <v>79596.1865781918</v>
      </c>
      <c r="I139" s="48" t="n">
        <f aca="false">IF(OR(NOT(ISNUMBER(I15)),NOT(ISNUMBER(I77))),"",I15-I77)</f>
        <v>80339.0306696986</v>
      </c>
      <c r="J139" s="48" t="n">
        <f aca="false">IF(OR(NOT(ISNUMBER(J15)),NOT(ISNUMBER(J77))),"",J15-J77)</f>
        <v>80339.0306696986</v>
      </c>
      <c r="K139" s="48" t="n">
        <f aca="false">IF(OR(NOT(ISNUMBER(K15)),NOT(ISNUMBER(K77))),"",K15-K77)</f>
        <v>80339.0306696986</v>
      </c>
      <c r="L139" s="48" t="n">
        <f aca="false">IF(OR(NOT(ISNUMBER(L15)),NOT(ISNUMBER(L77))),"",L15-L77)</f>
        <v>80339.0306696986</v>
      </c>
      <c r="M139" s="48" t="n">
        <f aca="false">IF(OR(NOT(ISNUMBER(M15)),NOT(ISNUMBER(M77))),"",M15-M77)</f>
        <v>80339.0306696986</v>
      </c>
      <c r="N139" s="48" t="n">
        <f aca="false">IF(OR(NOT(ISNUMBER(N15)),NOT(ISNUMBER(N77))),"",N15-N77)</f>
        <v>80339.0306696986</v>
      </c>
      <c r="O139" s="54" t="n">
        <f aca="false">IF(OR(NOT(ISNUMBER(O15)),NOT(ISNUMBER(O77))),"",O15-O77)</f>
        <v>797107.339097589</v>
      </c>
      <c r="P139" s="11" t="str">
        <f aca="false">IF(COUNT(D139:N139)=0,"",IF(AND(MAX(D139:N139)&lt;2,MIN(D139:N139)&gt;-2),"Sin diferencia","Cargas de los indirectos de producción (clasificación del personal) y C1 nómina."))</f>
        <v>Cargas de los indirectos de producción (clasificación del personal) y C1 nómina.</v>
      </c>
    </row>
    <row r="140" customFormat="false" ht="15" hidden="false" customHeight="false" outlineLevel="0" collapsed="false">
      <c r="A140" s="11" t="s">
        <v>2288</v>
      </c>
      <c r="B140" s="15" t="s">
        <v>2289</v>
      </c>
      <c r="C140" s="11" t="s">
        <v>508</v>
      </c>
      <c r="D140" s="48" t="str">
        <f aca="false">IF(OR(NOT(ISNUMBER(D16)),NOT(ISNUMBER(D78))),"",D16-D78)</f>
        <v/>
      </c>
      <c r="E140" s="48" t="n">
        <f aca="false">IF(OR(NOT(ISNUMBER(E16)),NOT(ISNUMBER(E78))),"",E16-E78)</f>
        <v>16095.9589041096</v>
      </c>
      <c r="F140" s="48" t="n">
        <f aca="false">IF(OR(NOT(ISNUMBER(F16)),NOT(ISNUMBER(F78))),"",F16-F78)</f>
        <v>16095.9589041096</v>
      </c>
      <c r="G140" s="48" t="n">
        <f aca="false">IF(OR(NOT(ISNUMBER(G16)),NOT(ISNUMBER(G78))),"",G16-G78)</f>
        <v>16096.5068493151</v>
      </c>
      <c r="H140" s="48" t="n">
        <f aca="false">IF(OR(NOT(ISNUMBER(H16)),NOT(ISNUMBER(H78))),"",H16-H78)</f>
        <v>16096.0547945205</v>
      </c>
      <c r="I140" s="48" t="n">
        <f aca="false">IF(OR(NOT(ISNUMBER(I16)),NOT(ISNUMBER(I78))),"",I16-I78)</f>
        <v>16096.602739726</v>
      </c>
      <c r="J140" s="48" t="n">
        <f aca="false">IF(OR(NOT(ISNUMBER(J16)),NOT(ISNUMBER(J78))),"",J16-J78)</f>
        <v>16096.602739726</v>
      </c>
      <c r="K140" s="48" t="n">
        <f aca="false">IF(OR(NOT(ISNUMBER(K16)),NOT(ISNUMBER(K78))),"",K16-K78)</f>
        <v>16096.602739726</v>
      </c>
      <c r="L140" s="48" t="n">
        <f aca="false">IF(OR(NOT(ISNUMBER(L16)),NOT(ISNUMBER(L78))),"",L16-L78)</f>
        <v>16096.602739726</v>
      </c>
      <c r="M140" s="48" t="n">
        <f aca="false">IF(OR(NOT(ISNUMBER(M16)),NOT(ISNUMBER(M78))),"",M16-M78)</f>
        <v>16096.602739726</v>
      </c>
      <c r="N140" s="48" t="n">
        <f aca="false">IF(OR(NOT(ISNUMBER(N16)),NOT(ISNUMBER(N78))),"",N16-N78)</f>
        <v>16096.602739726</v>
      </c>
      <c r="O140" s="54" t="n">
        <f aca="false">IF(OR(NOT(ISNUMBER(O16)),NOT(ISNUMBER(O78))),"",O16-O78)</f>
        <v>160964.095890411</v>
      </c>
      <c r="P140" s="11" t="str">
        <f aca="false">IF(COUNT(D140:N140)=0,"",IF(AND(MAX(D140:N140)&lt;2,MIN(D140:N140)&gt;-2),"Sin diferencia","Alimentación de los indirectos de producción (clasificación del personal)."))</f>
        <v>Alimentación de los indirectos de producción (clasificación del personal).</v>
      </c>
    </row>
    <row r="141" customFormat="false" ht="15" hidden="false" customHeight="false" outlineLevel="0" collapsed="false">
      <c r="A141" s="11" t="s">
        <v>2290</v>
      </c>
      <c r="B141" s="15" t="s">
        <v>2291</v>
      </c>
      <c r="C141" s="11" t="s">
        <v>508</v>
      </c>
      <c r="D141" s="48" t="str">
        <f aca="false">IF(OR(NOT(ISNUMBER(D17)),NOT(ISNUMBER(D79))),"",D17-D79)</f>
        <v/>
      </c>
      <c r="E141" s="48" t="n">
        <f aca="false">IF(OR(NOT(ISNUMBER(E17)),NOT(ISNUMBER(E79))),"",E17-E79)</f>
        <v>-0.261369863015716</v>
      </c>
      <c r="F141" s="48" t="n">
        <f aca="false">IF(OR(NOT(ISNUMBER(F17)),NOT(ISNUMBER(F79))),"",F17-F79)</f>
        <v>-0.100569863017881</v>
      </c>
      <c r="G141" s="48" t="n">
        <f aca="false">IF(OR(NOT(ISNUMBER(G17)),NOT(ISNUMBER(G79))),"",G17-G79)</f>
        <v>10.9434461369892</v>
      </c>
      <c r="H141" s="48" t="n">
        <f aca="false">IF(OR(NOT(ISNUMBER(H17)),NOT(ISNUMBER(H79))),"",H17-H79)</f>
        <v>35.1083424569952</v>
      </c>
      <c r="I141" s="48" t="n">
        <f aca="false">IF(OR(NOT(ISNUMBER(I17)),NOT(ISNUMBER(I79))),"",I17-I79)</f>
        <v>71.6365367033868</v>
      </c>
      <c r="J141" s="48" t="n">
        <f aca="false">IF(OR(NOT(ISNUMBER(J17)),NOT(ISNUMBER(J79))),"",J17-J79)</f>
        <v>120.775294834712</v>
      </c>
      <c r="K141" s="48" t="n">
        <f aca="false">IF(OR(NOT(ISNUMBER(K17)),NOT(ISNUMBER(K79))),"",K17-K79)</f>
        <v>182.77682812867</v>
      </c>
      <c r="L141" s="48" t="n">
        <f aca="false">IF(OR(NOT(ISNUMBER(L17)),NOT(ISNUMBER(L79))),"",L17-L79)</f>
        <v>257.8983920885</v>
      </c>
      <c r="M141" s="48" t="n">
        <f aca="false">IF(OR(NOT(ISNUMBER(M17)),NOT(ISNUMBER(M79))),"",M17-M79)</f>
        <v>345.402387327536</v>
      </c>
      <c r="N141" s="48" t="n">
        <f aca="false">IF(OR(NOT(ISNUMBER(N17)),NOT(ISNUMBER(N79))),"",N17-N79)</f>
        <v>447.556462471352</v>
      </c>
      <c r="O141" s="54" t="n">
        <f aca="false">IF(OR(NOT(ISNUMBER(O17)),NOT(ISNUMBER(O79))),"",O17-O79)</f>
        <v>1471.73575042211</v>
      </c>
      <c r="P141" s="11" t="str">
        <f aca="false">IF(COUNT(D141:N141)=0,"",IF(AND(MAX(D141:N141)&lt;2,MIN(D141:N141)&gt;-2),"Sin diferencia","Mantenimiento de planta: 2% compuesto en el modelo, 2% lineal en el plan."))</f>
        <v>Mantenimiento de planta: 2% compuesto en el modelo, 2% lineal en el plan.</v>
      </c>
    </row>
    <row r="142" customFormat="false" ht="15" hidden="false" customHeight="false" outlineLevel="0" collapsed="false">
      <c r="A142" s="11" t="s">
        <v>2292</v>
      </c>
      <c r="B142" s="15" t="s">
        <v>2293</v>
      </c>
      <c r="C142" s="11" t="s">
        <v>508</v>
      </c>
      <c r="D142" s="48" t="str">
        <f aca="false">IF(OR(NOT(ISNUMBER(D18)),NOT(ISNUMBER(D80))),"",D18-D80)</f>
        <v/>
      </c>
      <c r="E142" s="48" t="n">
        <f aca="false">IF(OR(NOT(ISNUMBER(E18)),NOT(ISNUMBER(E80))),"",E18-E80)</f>
        <v>0.100000000005821</v>
      </c>
      <c r="F142" s="48" t="n">
        <f aca="false">IF(OR(NOT(ISNUMBER(F18)),NOT(ISNUMBER(F80))),"",F18-F80)</f>
        <v>0.194999999992433</v>
      </c>
      <c r="G142" s="48" t="n">
        <f aca="false">IF(OR(NOT(ISNUMBER(G18)),NOT(ISNUMBER(G80))),"",G18-G80)</f>
        <v>246.888399999996</v>
      </c>
      <c r="H142" s="48" t="n">
        <f aca="false">IF(OR(NOT(ISNUMBER(H18)),NOT(ISNUMBER(H80))),"",H18-H80)</f>
        <v>541.167395500001</v>
      </c>
      <c r="I142" s="48" t="n">
        <f aca="false">IF(OR(NOT(ISNUMBER(I18)),NOT(ISNUMBER(I80))),"",I18-I80)</f>
        <v>816.483069454989</v>
      </c>
      <c r="J142" s="48" t="n">
        <f aca="false">IF(OR(NOT(ISNUMBER(J18)),NOT(ISNUMBER(J80))),"",J18-J80)</f>
        <v>1093.91190014953</v>
      </c>
      <c r="K142" s="48" t="n">
        <f aca="false">IF(OR(NOT(ISNUMBER(K18)),NOT(ISNUMBER(K80))),"",K18-K80)</f>
        <v>1374.53501915105</v>
      </c>
      <c r="L142" s="48" t="n">
        <f aca="false">IF(OR(NOT(ISNUMBER(L18)),NOT(ISNUMBER(L80))),"",L18-L80)</f>
        <v>1657.43436934256</v>
      </c>
      <c r="M142" s="48" t="n">
        <f aca="false">IF(OR(NOT(ISNUMBER(M18)),NOT(ISNUMBER(M80))),"",M18-M80)</f>
        <v>1943.69271303597</v>
      </c>
      <c r="N142" s="48" t="n">
        <f aca="false">IF(OR(NOT(ISNUMBER(N18)),NOT(ISNUMBER(N80))),"",N18-N80)</f>
        <v>2232.39364016635</v>
      </c>
      <c r="O142" s="54" t="n">
        <f aca="false">IF(OR(NOT(ISNUMBER(O18)),NOT(ISNUMBER(O80))),"",O18-O80)</f>
        <v>9906.80150680034</v>
      </c>
      <c r="P142" s="11" t="str">
        <f aca="false">IF(COUNT(D142:N142)=0,"",IF(AND(MAX(D142:N142)&lt;2,MIN(D142:N142)&gt;-2),"Sin diferencia","Derivada de C2 (3% sobre materia prima e insumos)."))</f>
        <v>Derivada de C2 (3% sobre materia prima e insumos).</v>
      </c>
    </row>
    <row r="143" customFormat="false" ht="15" hidden="false" customHeight="false" outlineLevel="0" collapsed="false">
      <c r="A143" s="11" t="s">
        <v>2294</v>
      </c>
      <c r="B143" s="15" t="s">
        <v>1142</v>
      </c>
      <c r="C143" s="11" t="s">
        <v>508</v>
      </c>
      <c r="D143" s="48" t="str">
        <f aca="false">IF(OR(NOT(ISNUMBER(D19)),NOT(ISNUMBER(D81))),"",D19-D81)</f>
        <v/>
      </c>
      <c r="E143" s="48" t="n">
        <f aca="false">IF(OR(NOT(ISNUMBER(E19)),NOT(ISNUMBER(E81))),"",E19-E81)</f>
        <v>0</v>
      </c>
      <c r="F143" s="48" t="n">
        <f aca="false">IF(OR(NOT(ISNUMBER(F19)),NOT(ISNUMBER(F81))),"",F19-F81)</f>
        <v>0.200000000000728</v>
      </c>
      <c r="G143" s="48" t="n">
        <f aca="false">IF(OR(NOT(ISNUMBER(G19)),NOT(ISNUMBER(G81))),"",G19-G81)</f>
        <v>-0.460999999999331</v>
      </c>
      <c r="H143" s="48" t="n">
        <f aca="false">IF(OR(NOT(ISNUMBER(H19)),NOT(ISNUMBER(H81))),"",H19-H81)</f>
        <v>0.43742999999813</v>
      </c>
      <c r="I143" s="48" t="n">
        <f aca="false">IF(OR(NOT(ISNUMBER(I19)),NOT(ISNUMBER(I81))),"",I19-I81)</f>
        <v>0.291804300000877</v>
      </c>
      <c r="J143" s="48" t="n">
        <f aca="false">IF(OR(NOT(ISNUMBER(J19)),NOT(ISNUMBER(J81))),"",J19-J81)</f>
        <v>0.0147223429994483</v>
      </c>
      <c r="K143" s="48" t="n">
        <f aca="false">IF(OR(NOT(ISNUMBER(K19)),NOT(ISNUMBER(K81))),"",K19-K81)</f>
        <v>-0.385130433569429</v>
      </c>
      <c r="L143" s="48" t="n">
        <f aca="false">IF(OR(NOT(ISNUMBER(L19)),NOT(ISNUMBER(L81))),"",L19-L81)</f>
        <v>0.101018262092111</v>
      </c>
      <c r="M143" s="48" t="n">
        <f aca="false">IF(OR(NOT(ISNUMBER(M19)),NOT(ISNUMBER(M81))),"",M19-M81)</f>
        <v>0.48202844471416</v>
      </c>
      <c r="N143" s="48" t="n">
        <f aca="false">IF(OR(NOT(ISNUMBER(N19)),NOT(ISNUMBER(N81))),"",N19-N81)</f>
        <v>-0.23315127083697</v>
      </c>
      <c r="O143" s="54" t="n">
        <f aca="false">IF(OR(NOT(ISNUMBER(O19)),NOT(ISNUMBER(O81))),"",O19-O81)</f>
        <v>0.447721645410638</v>
      </c>
      <c r="P143" s="11" t="str">
        <f aca="false">IF(COUNT(D143:N143)=0,"",IF(AND(MAX(D143:N143)&lt;2,MIN(D143:N143)&gt;-2),"Sin diferencia","Diferencia a explicar"))</f>
        <v>Sin diferencia</v>
      </c>
    </row>
    <row r="144" customFormat="false" ht="15" hidden="false" customHeight="false" outlineLevel="0" collapsed="false">
      <c r="A144" s="11" t="s">
        <v>2295</v>
      </c>
      <c r="B144" s="15" t="s">
        <v>1140</v>
      </c>
      <c r="C144" s="11" t="s">
        <v>508</v>
      </c>
      <c r="D144" s="48" t="str">
        <f aca="false">IF(OR(NOT(ISNUMBER(D20)),NOT(ISNUMBER(D82))),"",D20-D82)</f>
        <v/>
      </c>
      <c r="E144" s="48" t="n">
        <f aca="false">IF(OR(NOT(ISNUMBER(E20)),NOT(ISNUMBER(E82))),"",E20-E82)</f>
        <v>306.48705565479</v>
      </c>
      <c r="F144" s="48" t="n">
        <f aca="false">IF(OR(NOT(ISNUMBER(F20)),NOT(ISNUMBER(F82))),"",F20-F82)</f>
        <v>307.132045654798</v>
      </c>
      <c r="G144" s="48" t="n">
        <f aca="false">IF(OR(NOT(ISNUMBER(G20)),NOT(ISNUMBER(G82))),"",G20-G82)</f>
        <v>414.759976906855</v>
      </c>
      <c r="H144" s="48" t="n">
        <f aca="false">IF(OR(NOT(ISNUMBER(H20)),NOT(ISNUMBER(H82))),"",H20-H82)</f>
        <v>532.337263934518</v>
      </c>
      <c r="I144" s="48" t="n">
        <f aca="false">IF(OR(NOT(ISNUMBER(I20)),NOT(ISNUMBER(I82))),"",I20-I82)</f>
        <v>648.740317629112</v>
      </c>
      <c r="J144" s="48" t="n">
        <f aca="false">IF(OR(NOT(ISNUMBER(J20)),NOT(ISNUMBER(J82))),"",J20-J82)</f>
        <v>740.883261193965</v>
      </c>
      <c r="K144" s="48" t="n">
        <f aca="false">IF(OR(NOT(ISNUMBER(K20)),NOT(ISNUMBER(K82))),"",K20-K82)</f>
        <v>834.757634194466</v>
      </c>
      <c r="L144" s="48" t="n">
        <f aca="false">IF(OR(NOT(ISNUMBER(L20)),NOT(ISNUMBER(L82))),"",L20-L82)</f>
        <v>929.390750924969</v>
      </c>
      <c r="M144" s="48" t="n">
        <f aca="false">IF(OR(NOT(ISNUMBER(M20)),NOT(ISNUMBER(M82))),"",M20-M82)</f>
        <v>1024.81019882277</v>
      </c>
      <c r="N144" s="48" t="n">
        <f aca="false">IF(OR(NOT(ISNUMBER(N20)),NOT(ISNUMBER(N82))),"",N20-N82)</f>
        <v>1121.04384119956</v>
      </c>
      <c r="O144" s="54" t="n">
        <f aca="false">IF(OR(NOT(ISNUMBER(O20)),NOT(ISNUMBER(O82))),"",O20-O82)</f>
        <v>6860.34234611579</v>
      </c>
      <c r="P144" s="11" t="str">
        <f aca="false">IF(COUNT(D144:N144)=0,"",IF(AND(MAX(D144:N144)&lt;2,MIN(D144:N144)&gt;-2),"Sin diferencia","Derivada de C1 y C2 (1% sobre materiales y personal directo)."))</f>
        <v>Derivada de C1 y C2 (1% sobre materiales y personal directo).</v>
      </c>
    </row>
    <row r="145" customFormat="false" ht="15" hidden="false" customHeight="false" outlineLevel="0" collapsed="false">
      <c r="A145" s="11" t="s">
        <v>2296</v>
      </c>
      <c r="B145" s="15" t="s">
        <v>1151</v>
      </c>
      <c r="C145" s="11" t="s">
        <v>508</v>
      </c>
      <c r="D145" s="48" t="str">
        <f aca="false">IF(OR(NOT(ISNUMBER(D21)),NOT(ISNUMBER(D83))),"",D21-D83)</f>
        <v/>
      </c>
      <c r="E145" s="48" t="n">
        <f aca="false">IF(OR(NOT(ISNUMBER(E21)),NOT(ISNUMBER(E83))),"",E21-E83)</f>
        <v>13809.3985019718</v>
      </c>
      <c r="F145" s="48" t="n">
        <f aca="false">IF(OR(NOT(ISNUMBER(F21)),NOT(ISNUMBER(F83))),"",F21-F83)</f>
        <v>13809.5284914718</v>
      </c>
      <c r="G145" s="48" t="n">
        <f aca="false">IF(OR(NOT(ISNUMBER(G21)),NOT(ISNUMBER(G83))),"",G21-G83)</f>
        <v>14366.6533650947</v>
      </c>
      <c r="H145" s="48" t="n">
        <f aca="false">IF(OR(NOT(ISNUMBER(H21)),NOT(ISNUMBER(H83))),"",H21-H83)</f>
        <v>14977.6357806755</v>
      </c>
      <c r="I145" s="48" t="n">
        <f aca="false">IF(OR(NOT(ISNUMBER(I21)),NOT(ISNUMBER(I83))),"",I21-I83)</f>
        <v>15580.1061139582</v>
      </c>
      <c r="J145" s="48" t="n">
        <f aca="false">IF(OR(NOT(ISNUMBER(J21)),NOT(ISNUMBER(J83))),"",J21-J83)</f>
        <v>16063.9925043041</v>
      </c>
      <c r="K145" s="48" t="n">
        <f aca="false">IF(OR(NOT(ISNUMBER(K21)),NOT(ISNUMBER(K83))),"",K21-K83)</f>
        <v>16552.7693279326</v>
      </c>
      <c r="L145" s="48" t="n">
        <f aca="false">IF(OR(NOT(ISNUMBER(L21)),NOT(ISNUMBER(L83))),"",L21-L83)</f>
        <v>17047.591920564</v>
      </c>
      <c r="M145" s="48" t="n">
        <f aca="false">IF(OR(NOT(ISNUMBER(M21)),NOT(ISNUMBER(M83))),"",M21-M83)</f>
        <v>17547.6172999037</v>
      </c>
      <c r="N145" s="48" t="n">
        <f aca="false">IF(OR(NOT(ISNUMBER(N21)),NOT(ISNUMBER(N83))),"",N21-N83)</f>
        <v>18054.0041850344</v>
      </c>
      <c r="O145" s="54" t="n">
        <f aca="false">IF(OR(NOT(ISNUMBER(O21)),NOT(ISNUMBER(O83))),"",O21-O83)</f>
        <v>157809.297490911</v>
      </c>
      <c r="P145" s="11" t="str">
        <f aca="false">IF(COUNT(D145:N145)=0,"",IF(AND(MAX(D145:N145)&lt;2,MIN(D145:N145)&gt;-2),"Sin diferencia","5% sobre costos de producción: incluye a los indirectos de producción (clasificación) y los efectos de C1 y C2."))</f>
        <v>5% sobre costos de producción: incluye a los indirectos de producción (clasificación) y los efectos de C1 y C2.</v>
      </c>
    </row>
    <row r="146" customFormat="false" ht="15" hidden="false" customHeight="false" outlineLevel="0" collapsed="false">
      <c r="A146" s="11" t="s">
        <v>2297</v>
      </c>
      <c r="B146" s="15" t="s">
        <v>2298</v>
      </c>
      <c r="C146" s="11" t="s">
        <v>508</v>
      </c>
      <c r="D146" s="48" t="str">
        <f aca="false">IF(OR(NOT(ISNUMBER(D22)),NOT(ISNUMBER(D84))),"",D22-D84)</f>
        <v/>
      </c>
      <c r="E146" s="48" t="n">
        <f aca="false">IF(OR(NOT(ISNUMBER(E22)),NOT(ISNUMBER(E84))),"",E22-E84)</f>
        <v>0</v>
      </c>
      <c r="F146" s="48" t="n">
        <f aca="false">IF(OR(NOT(ISNUMBER(F22)),NOT(ISNUMBER(F84))),"",F22-F84)</f>
        <v>0</v>
      </c>
      <c r="G146" s="48" t="n">
        <f aca="false">IF(OR(NOT(ISNUMBER(G22)),NOT(ISNUMBER(G84))),"",G22-G84)</f>
        <v>0.39000000001397</v>
      </c>
      <c r="H146" s="48" t="n">
        <f aca="false">IF(OR(NOT(ISNUMBER(H22)),NOT(ISNUMBER(H84))),"",H22-H84)</f>
        <v>0.374299999995856</v>
      </c>
      <c r="I146" s="48" t="n">
        <f aca="false">IF(OR(NOT(ISNUMBER(I22)),NOT(ISNUMBER(I84))),"",I22-I84)</f>
        <v>-0.0819569999875967</v>
      </c>
      <c r="J146" s="48" t="n">
        <f aca="false">IF(OR(NOT(ISNUMBER(J22)),NOT(ISNUMBER(J84))),"",J22-J84)</f>
        <v>0.147223430001759</v>
      </c>
      <c r="K146" s="48" t="n">
        <f aca="false">IF(OR(NOT(ISNUMBER(K22)),NOT(ISNUMBER(K84))),"",K22-K84)</f>
        <v>0.148695664305706</v>
      </c>
      <c r="L146" s="48" t="n">
        <f aca="false">IF(OR(NOT(ISNUMBER(L22)),NOT(ISNUMBER(L84))),"",L22-L84)</f>
        <v>0.01018262092839</v>
      </c>
      <c r="M146" s="48" t="n">
        <f aca="false">IF(OR(NOT(ISNUMBER(M22)),NOT(ISNUMBER(M84))),"",M22-M84)</f>
        <v>-0.179715552862035</v>
      </c>
      <c r="N146" s="48" t="n">
        <f aca="false">IF(OR(NOT(ISNUMBER(N22)),NOT(ISNUMBER(N84))),"",N22-N84)</f>
        <v>-0.331512708376977</v>
      </c>
      <c r="O146" s="54" t="n">
        <f aca="false">IF(OR(NOT(ISNUMBER(O22)),NOT(ISNUMBER(O84))),"",O22-O84)</f>
        <v>0.477216454106383</v>
      </c>
      <c r="P146" s="11" t="str">
        <f aca="false">IF(COUNT(D146:N146)=0,"",IF(AND(MAX(D146:N146)&lt;2,MIN(D146:N146)&gt;-2),"Sin diferencia","Diferencia a explicar"))</f>
        <v>Sin diferencia</v>
      </c>
    </row>
    <row r="147" customFormat="false" ht="15" hidden="false" customHeight="false" outlineLevel="0" collapsed="false">
      <c r="A147" s="11" t="s">
        <v>2299</v>
      </c>
      <c r="B147" s="15" t="s">
        <v>2300</v>
      </c>
      <c r="C147" s="11" t="s">
        <v>508</v>
      </c>
      <c r="D147" s="48"/>
      <c r="E147" s="48"/>
      <c r="F147" s="48"/>
      <c r="G147" s="48"/>
      <c r="H147" s="48"/>
      <c r="I147" s="48"/>
      <c r="J147" s="48"/>
      <c r="K147" s="48"/>
      <c r="L147" s="48"/>
      <c r="M147" s="48"/>
      <c r="N147" s="48"/>
    </row>
    <row r="148" customFormat="false" ht="15" hidden="false" customHeight="false" outlineLevel="0" collapsed="false">
      <c r="A148" s="13"/>
      <c r="B148" s="100" t="s">
        <v>2301</v>
      </c>
      <c r="C148" s="13"/>
      <c r="D148" s="13"/>
      <c r="E148" s="13"/>
      <c r="F148" s="13"/>
      <c r="G148" s="13"/>
      <c r="H148" s="13"/>
      <c r="I148" s="13"/>
      <c r="J148" s="13"/>
      <c r="K148" s="13"/>
      <c r="L148" s="13"/>
      <c r="M148" s="13"/>
      <c r="N148" s="13"/>
      <c r="O148" s="13"/>
      <c r="P148" s="13"/>
    </row>
    <row r="149" customFormat="false" ht="15" hidden="false" customHeight="false" outlineLevel="0" collapsed="false">
      <c r="A149" s="11" t="s">
        <v>2302</v>
      </c>
      <c r="B149" s="67" t="s">
        <v>2303</v>
      </c>
      <c r="C149" s="11" t="s">
        <v>508</v>
      </c>
      <c r="D149" s="54" t="str">
        <f aca="false">IF(OR(NOT(ISNUMBER(D25)),NOT(ISNUMBER(D87))),"",D25-D87)</f>
        <v/>
      </c>
      <c r="E149" s="54" t="n">
        <f aca="false">IF(OR(NOT(ISNUMBER(E25)),NOT(ISNUMBER(E87))),"",E25-E87)</f>
        <v>-226951.374248485</v>
      </c>
      <c r="F149" s="54" t="n">
        <f aca="false">IF(OR(NOT(ISNUMBER(F25)),NOT(ISNUMBER(F87))),"",F25-F87)</f>
        <v>-226950.934248485</v>
      </c>
      <c r="G149" s="54" t="n">
        <f aca="false">IF(OR(NOT(ISNUMBER(G25)),NOT(ISNUMBER(G87))),"",G25-G87)</f>
        <v>-226951.481048485</v>
      </c>
      <c r="H149" s="54" t="n">
        <f aca="false">IF(OR(NOT(ISNUMBER(H25)),NOT(ISNUMBER(H87))),"",H25-H87)</f>
        <v>-226951.254252485</v>
      </c>
      <c r="I149" s="54" t="n">
        <f aca="false">IF(OR(NOT(ISNUMBER(I25)),NOT(ISNUMBER(I87))),"",I25-I87)</f>
        <v>-226951.320652605</v>
      </c>
      <c r="J149" s="54" t="n">
        <f aca="false">IF(OR(NOT(ISNUMBER(J25)),NOT(ISNUMBER(J87))),"",J25-J87)</f>
        <v>-226951.569044729</v>
      </c>
      <c r="K149" s="54" t="n">
        <f aca="false">IF(OR(NOT(ISNUMBER(K25)),NOT(ISNUMBER(K87))),"",K25-K87)</f>
        <v>-226950.704888616</v>
      </c>
      <c r="L149" s="54" t="n">
        <f aca="false">IF(OR(NOT(ISNUMBER(L25)),NOT(ISNUMBER(L87))),"",L25-L87)</f>
        <v>-226951.24480782</v>
      </c>
      <c r="M149" s="54" t="n">
        <f aca="false">IF(OR(NOT(ISNUMBER(M25)),NOT(ISNUMBER(M87))),"",M25-M87)</f>
        <v>-226951.5109246</v>
      </c>
      <c r="N149" s="54" t="n">
        <f aca="false">IF(OR(NOT(ISNUMBER(N25)),NOT(ISNUMBER(N87))),"",N25-N87)</f>
        <v>-226951.625024883</v>
      </c>
      <c r="O149" s="54" t="n">
        <f aca="false">IF(OR(NOT(ISNUMBER(O25)),NOT(ISNUMBER(O87))),"",O25-O87)</f>
        <v>-2269513.01914119</v>
      </c>
      <c r="P149" s="11" t="str">
        <f aca="false">IF(COUNT(D149:N149)=0,"",IF(AND(MAX(D149:N149)&lt;2,MIN(D149:N149)&gt;-2),"Sin diferencia","Clasificación del personal: el plan pone a los 22 indirectos en administración; el modelo separa 17 de producción y 5 de administración."))</f>
        <v>Clasificación del personal: el plan pone a los 22 indirectos en administración; el modelo separa 17 de producción y 5 de administración.</v>
      </c>
    </row>
    <row r="150" customFormat="false" ht="15" hidden="false" customHeight="false" outlineLevel="0" collapsed="false">
      <c r="A150" s="11" t="s">
        <v>2304</v>
      </c>
      <c r="B150" s="15" t="s">
        <v>2305</v>
      </c>
      <c r="C150" s="11" t="s">
        <v>508</v>
      </c>
      <c r="D150" s="48" t="str">
        <f aca="false">IF(OR(NOT(ISNUMBER(D26)),NOT(ISNUMBER(D88))),"",D26-D88)</f>
        <v/>
      </c>
      <c r="E150" s="48" t="n">
        <f aca="false">IF(OR(NOT(ISNUMBER(E26)),NOT(ISNUMBER(E88))),"",E26-E88)</f>
        <v>-139810.163287671</v>
      </c>
      <c r="F150" s="48" t="n">
        <f aca="false">IF(OR(NOT(ISNUMBER(F26)),NOT(ISNUMBER(F88))),"",F26-F88)</f>
        <v>-139810.163287671</v>
      </c>
      <c r="G150" s="48" t="n">
        <f aca="false">IF(OR(NOT(ISNUMBER(G26)),NOT(ISNUMBER(G88))),"",G26-G88)</f>
        <v>-139810.163287671</v>
      </c>
      <c r="H150" s="48" t="n">
        <f aca="false">IF(OR(NOT(ISNUMBER(H26)),NOT(ISNUMBER(H88))),"",H26-H88)</f>
        <v>-139810.163287671</v>
      </c>
      <c r="I150" s="48" t="n">
        <f aca="false">IF(OR(NOT(ISNUMBER(I26)),NOT(ISNUMBER(I88))),"",I26-I88)</f>
        <v>-139810.163287671</v>
      </c>
      <c r="J150" s="48" t="n">
        <f aca="false">IF(OR(NOT(ISNUMBER(J26)),NOT(ISNUMBER(J88))),"",J26-J88)</f>
        <v>-139810.163287671</v>
      </c>
      <c r="K150" s="48" t="n">
        <f aca="false">IF(OR(NOT(ISNUMBER(K26)),NOT(ISNUMBER(K88))),"",K26-K88)</f>
        <v>-139810.163287671</v>
      </c>
      <c r="L150" s="48" t="n">
        <f aca="false">IF(OR(NOT(ISNUMBER(L26)),NOT(ISNUMBER(L88))),"",L26-L88)</f>
        <v>-139810.163287671</v>
      </c>
      <c r="M150" s="48" t="n">
        <f aca="false">IF(OR(NOT(ISNUMBER(M26)),NOT(ISNUMBER(M88))),"",M26-M88)</f>
        <v>-139810.163287671</v>
      </c>
      <c r="N150" s="48" t="n">
        <f aca="false">IF(OR(NOT(ISNUMBER(N26)),NOT(ISNUMBER(N88))),"",N26-N88)</f>
        <v>-139810.163287671</v>
      </c>
      <c r="O150" s="54" t="n">
        <f aca="false">IF(OR(NOT(ISNUMBER(O26)),NOT(ISNUMBER(O88))),"",O26-O88)</f>
        <v>-1398101.63287671</v>
      </c>
      <c r="P150" s="11" t="str">
        <f aca="false">IF(COUNT(D150:N150)=0,"",IF(AND(MAX(D150:N150)&lt;2,MIN(D150:N150)&gt;-2),"Sin diferencia","Clasificación del personal: el plan pone a los 22 indirectos en administración; el modelo separa 17 de producción y 5 de administración."))</f>
        <v>Clasificación del personal: el plan pone a los 22 indirectos en administración; el modelo separa 17 de producción y 5 de administración.</v>
      </c>
    </row>
    <row r="151" customFormat="false" ht="15" hidden="false" customHeight="false" outlineLevel="0" collapsed="false">
      <c r="A151" s="11" t="s">
        <v>2306</v>
      </c>
      <c r="B151" s="15" t="s">
        <v>2307</v>
      </c>
      <c r="C151" s="11" t="s">
        <v>508</v>
      </c>
      <c r="D151" s="48" t="str">
        <f aca="false">IF(OR(NOT(ISNUMBER(D27)),NOT(ISNUMBER(D89))),"",D27-D89)</f>
        <v/>
      </c>
      <c r="E151" s="48" t="n">
        <f aca="false">IF(OR(NOT(ISNUMBER(E27)),NOT(ISNUMBER(E89))),"",E27-E89)</f>
        <v>-60237.2306606575</v>
      </c>
      <c r="F151" s="48" t="n">
        <f aca="false">IF(OR(NOT(ISNUMBER(F27)),NOT(ISNUMBER(F89))),"",F27-F89)</f>
        <v>-60237.2306606575</v>
      </c>
      <c r="G151" s="48" t="n">
        <f aca="false">IF(OR(NOT(ISNUMBER(G27)),NOT(ISNUMBER(G89))),"",G27-G89)</f>
        <v>-60237.2306606575</v>
      </c>
      <c r="H151" s="48" t="n">
        <f aca="false">IF(OR(NOT(ISNUMBER(H27)),NOT(ISNUMBER(H89))),"",H27-H89)</f>
        <v>-60237.2306606575</v>
      </c>
      <c r="I151" s="48" t="n">
        <f aca="false">IF(OR(NOT(ISNUMBER(I27)),NOT(ISNUMBER(I89))),"",I27-I89)</f>
        <v>-60237.2306606575</v>
      </c>
      <c r="J151" s="48" t="n">
        <f aca="false">IF(OR(NOT(ISNUMBER(J27)),NOT(ISNUMBER(J89))),"",J27-J89)</f>
        <v>-60237.2306606575</v>
      </c>
      <c r="K151" s="48" t="n">
        <f aca="false">IF(OR(NOT(ISNUMBER(K27)),NOT(ISNUMBER(K89))),"",K27-K89)</f>
        <v>-60237.2306606575</v>
      </c>
      <c r="L151" s="48" t="n">
        <f aca="false">IF(OR(NOT(ISNUMBER(L27)),NOT(ISNUMBER(L89))),"",L27-L89)</f>
        <v>-60237.2306606575</v>
      </c>
      <c r="M151" s="48" t="n">
        <f aca="false">IF(OR(NOT(ISNUMBER(M27)),NOT(ISNUMBER(M89))),"",M27-M89)</f>
        <v>-60237.2306606575</v>
      </c>
      <c r="N151" s="48" t="n">
        <f aca="false">IF(OR(NOT(ISNUMBER(N27)),NOT(ISNUMBER(N89))),"",N27-N89)</f>
        <v>-60237.2306606575</v>
      </c>
      <c r="O151" s="54" t="n">
        <f aca="false">IF(OR(NOT(ISNUMBER(O27)),NOT(ISNUMBER(O89))),"",O27-O89)</f>
        <v>-602372.306606575</v>
      </c>
      <c r="P151" s="11" t="str">
        <f aca="false">IF(COUNT(D151:N151)=0,"",IF(AND(MAX(D151:N151)&lt;2,MIN(D151:N151)&gt;-2),"Sin diferencia","Clasificación del personal: el plan pone a los 22 indirectos en administración; el modelo separa 17 de producción y 5 de administración."))</f>
        <v>Clasificación del personal: el plan pone a los 22 indirectos en administración; el modelo separa 17 de producción y 5 de administración.</v>
      </c>
    </row>
    <row r="152" customFormat="false" ht="15" hidden="false" customHeight="false" outlineLevel="0" collapsed="false">
      <c r="A152" s="11" t="s">
        <v>2308</v>
      </c>
      <c r="B152" s="15" t="s">
        <v>373</v>
      </c>
      <c r="C152" s="11" t="s">
        <v>508</v>
      </c>
      <c r="D152" s="48" t="str">
        <f aca="false">IF(OR(NOT(ISNUMBER(D28)),NOT(ISNUMBER(D90))),"",D28-D90)</f>
        <v/>
      </c>
      <c r="E152" s="48" t="n">
        <f aca="false">IF(OR(NOT(ISNUMBER(E28)),NOT(ISNUMBER(E90))),"",E28-E90)</f>
        <v>-16096.7534246575</v>
      </c>
      <c r="F152" s="48" t="n">
        <f aca="false">IF(OR(NOT(ISNUMBER(F28)),NOT(ISNUMBER(F90))),"",F28-F90)</f>
        <v>-16096.7534246575</v>
      </c>
      <c r="G152" s="48" t="n">
        <f aca="false">IF(OR(NOT(ISNUMBER(G28)),NOT(ISNUMBER(G90))),"",G28-G90)</f>
        <v>-16096.7534246575</v>
      </c>
      <c r="H152" s="48" t="n">
        <f aca="false">IF(OR(NOT(ISNUMBER(H28)),NOT(ISNUMBER(H90))),"",H28-H90)</f>
        <v>-16096.7534246575</v>
      </c>
      <c r="I152" s="48" t="n">
        <f aca="false">IF(OR(NOT(ISNUMBER(I28)),NOT(ISNUMBER(I90))),"",I28-I90)</f>
        <v>-16096.7534246575</v>
      </c>
      <c r="J152" s="48" t="n">
        <f aca="false">IF(OR(NOT(ISNUMBER(J28)),NOT(ISNUMBER(J90))),"",J28-J90)</f>
        <v>-16096.7534246575</v>
      </c>
      <c r="K152" s="48" t="n">
        <f aca="false">IF(OR(NOT(ISNUMBER(K28)),NOT(ISNUMBER(K90))),"",K28-K90)</f>
        <v>-16096.7534246575</v>
      </c>
      <c r="L152" s="48" t="n">
        <f aca="false">IF(OR(NOT(ISNUMBER(L28)),NOT(ISNUMBER(L90))),"",L28-L90)</f>
        <v>-16096.7534246575</v>
      </c>
      <c r="M152" s="48" t="n">
        <f aca="false">IF(OR(NOT(ISNUMBER(M28)),NOT(ISNUMBER(M90))),"",M28-M90)</f>
        <v>-16096.7534246575</v>
      </c>
      <c r="N152" s="48" t="n">
        <f aca="false">IF(OR(NOT(ISNUMBER(N28)),NOT(ISNUMBER(N90))),"",N28-N90)</f>
        <v>-16096.7534246575</v>
      </c>
      <c r="O152" s="54" t="n">
        <f aca="false">IF(OR(NOT(ISNUMBER(O28)),NOT(ISNUMBER(O90))),"",O28-O90)</f>
        <v>-160967.534246575</v>
      </c>
      <c r="P152" s="11" t="str">
        <f aca="false">IF(COUNT(D152:N152)=0,"",IF(AND(MAX(D152:N152)&lt;2,MIN(D152:N152)&gt;-2),"Sin diferencia","Clasificación del personal: el plan pone a los 22 indirectos en administración; el modelo separa 17 de producción y 5 de administración."))</f>
        <v>Clasificación del personal: el plan pone a los 22 indirectos en administración; el modelo separa 17 de producción y 5 de administración.</v>
      </c>
    </row>
    <row r="153" customFormat="false" ht="15" hidden="false" customHeight="false" outlineLevel="0" collapsed="false">
      <c r="A153" s="11" t="s">
        <v>2309</v>
      </c>
      <c r="B153" s="15" t="s">
        <v>2310</v>
      </c>
      <c r="C153" s="11" t="s">
        <v>508</v>
      </c>
      <c r="D153" s="48" t="str">
        <f aca="false">IF(OR(NOT(ISNUMBER(D29)),NOT(ISNUMBER(D91))),"",D29-D91)</f>
        <v/>
      </c>
      <c r="E153" s="48" t="n">
        <f aca="false">IF(OR(NOT(ISNUMBER(E29)),NOT(ISNUMBER(E91))),"",E29-E91)</f>
        <v>-0.970958904130384</v>
      </c>
      <c r="F153" s="48" t="n">
        <f aca="false">IF(OR(NOT(ISNUMBER(F29)),NOT(ISNUMBER(F91))),"",F29-F91)</f>
        <v>-0.530958904128056</v>
      </c>
      <c r="G153" s="48" t="n">
        <f aca="false">IF(OR(NOT(ISNUMBER(G29)),NOT(ISNUMBER(G91))),"",G29-G91)</f>
        <v>-1.07775890413905</v>
      </c>
      <c r="H153" s="48" t="n">
        <f aca="false">IF(OR(NOT(ISNUMBER(H29)),NOT(ISNUMBER(H91))),"",H29-H91)</f>
        <v>-0.850962904107291</v>
      </c>
      <c r="I153" s="48" t="n">
        <f aca="false">IF(OR(NOT(ISNUMBER(I29)),NOT(ISNUMBER(I91))),"",I29-I91)</f>
        <v>-0.917363024083898</v>
      </c>
      <c r="J153" s="48" t="n">
        <f aca="false">IF(OR(NOT(ISNUMBER(J29)),NOT(ISNUMBER(J91))),"",J29-J91)</f>
        <v>-0.165755147696473</v>
      </c>
      <c r="K153" s="48" t="n">
        <f aca="false">IF(OR(NOT(ISNUMBER(K29)),NOT(ISNUMBER(K91))),"",K29-K91)</f>
        <v>-1.30159903503954</v>
      </c>
      <c r="L153" s="48" t="n">
        <f aca="false">IF(OR(NOT(ISNUMBER(L29)),NOT(ISNUMBER(L91))),"",L29-L91)</f>
        <v>-0.841518238885328</v>
      </c>
      <c r="M153" s="48" t="n">
        <f aca="false">IF(OR(NOT(ISNUMBER(M29)),NOT(ISNUMBER(M91))),"",M29-M91)</f>
        <v>-1.10763501893962</v>
      </c>
      <c r="N153" s="48" t="n">
        <f aca="false">IF(OR(NOT(ISNUMBER(N29)),NOT(ISNUMBER(N91))),"",N29-N91)</f>
        <v>-1.22173530235887</v>
      </c>
      <c r="O153" s="54" t="n">
        <f aca="false">IF(OR(NOT(ISNUMBER(O29)),NOT(ISNUMBER(O91))),"",O29-O91)</f>
        <v>-8.9862453835085</v>
      </c>
      <c r="P153" s="11" t="str">
        <f aca="false">IF(COUNT(D153:N153)=0,"",IF(AND(MAX(D153:N153)&lt;2,MIN(D153:N153)&gt;-2),"Sin diferencia","Diferencia a explicar"))</f>
        <v>Sin diferencia</v>
      </c>
    </row>
    <row r="154" customFormat="false" ht="15" hidden="false" customHeight="false" outlineLevel="0" collapsed="false">
      <c r="A154" s="11" t="s">
        <v>2311</v>
      </c>
      <c r="B154" s="15" t="s">
        <v>1153</v>
      </c>
      <c r="C154" s="11" t="s">
        <v>508</v>
      </c>
      <c r="D154" s="48" t="str">
        <f aca="false">IF(OR(NOT(ISNUMBER(D30)),NOT(ISNUMBER(D92))),"",D30-D92)</f>
        <v/>
      </c>
      <c r="E154" s="48" t="n">
        <f aca="false">IF(OR(NOT(ISNUMBER(E30)),NOT(ISNUMBER(E92))),"",E30-E92)</f>
        <v>-10807.2559165945</v>
      </c>
      <c r="F154" s="48" t="n">
        <f aca="false">IF(OR(NOT(ISNUMBER(F30)),NOT(ISNUMBER(F92))),"",F30-F92)</f>
        <v>-10807.2559165945</v>
      </c>
      <c r="G154" s="48" t="n">
        <f aca="false">IF(OR(NOT(ISNUMBER(G30)),NOT(ISNUMBER(G92))),"",G30-G92)</f>
        <v>-10807.2559165945</v>
      </c>
      <c r="H154" s="48" t="n">
        <f aca="false">IF(OR(NOT(ISNUMBER(H30)),NOT(ISNUMBER(H92))),"",H30-H92)</f>
        <v>-10807.2559165945</v>
      </c>
      <c r="I154" s="48" t="n">
        <f aca="false">IF(OR(NOT(ISNUMBER(I30)),NOT(ISNUMBER(I92))),"",I30-I92)</f>
        <v>-10807.2559165945</v>
      </c>
      <c r="J154" s="48" t="n">
        <f aca="false">IF(OR(NOT(ISNUMBER(J30)),NOT(ISNUMBER(J92))),"",J30-J92)</f>
        <v>-10807.2559165945</v>
      </c>
      <c r="K154" s="48" t="n">
        <f aca="false">IF(OR(NOT(ISNUMBER(K30)),NOT(ISNUMBER(K92))),"",K30-K92)</f>
        <v>-10807.2559165945</v>
      </c>
      <c r="L154" s="48" t="n">
        <f aca="false">IF(OR(NOT(ISNUMBER(L30)),NOT(ISNUMBER(L92))),"",L30-L92)</f>
        <v>-10807.2559165945</v>
      </c>
      <c r="M154" s="48" t="n">
        <f aca="false">IF(OR(NOT(ISNUMBER(M30)),NOT(ISNUMBER(M92))),"",M30-M92)</f>
        <v>-10807.2559165945</v>
      </c>
      <c r="N154" s="48" t="n">
        <f aca="false">IF(OR(NOT(ISNUMBER(N30)),NOT(ISNUMBER(N92))),"",N30-N92)</f>
        <v>-10807.2559165945</v>
      </c>
      <c r="O154" s="54" t="n">
        <f aca="false">IF(OR(NOT(ISNUMBER(O30)),NOT(ISNUMBER(O92))),"",O30-O92)</f>
        <v>-108072.559165945</v>
      </c>
      <c r="P154" s="11" t="str">
        <f aca="false">IF(COUNT(D154:N154)=0,"",IF(AND(MAX(D154:N154)&lt;2,MIN(D154:N154)&gt;-2),"Sin diferencia","5% sobre administración: la base del modelo no incluye a los indirectos de producción (clasificación del personal)."))</f>
        <v>5% sobre administración: la base del modelo no incluye a los indirectos de producción (clasificación del personal).</v>
      </c>
    </row>
    <row r="155" customFormat="false" ht="15" hidden="false" customHeight="false" outlineLevel="0" collapsed="false">
      <c r="A155" s="11" t="s">
        <v>2312</v>
      </c>
      <c r="B155" s="15" t="s">
        <v>2300</v>
      </c>
      <c r="C155" s="11" t="s">
        <v>508</v>
      </c>
      <c r="D155" s="48"/>
      <c r="E155" s="48"/>
      <c r="F155" s="48"/>
      <c r="G155" s="48"/>
      <c r="H155" s="48"/>
      <c r="I155" s="48"/>
      <c r="J155" s="48"/>
      <c r="K155" s="48"/>
      <c r="L155" s="48"/>
      <c r="M155" s="48"/>
      <c r="N155" s="48"/>
    </row>
    <row r="156" customFormat="false" ht="15" hidden="false" customHeight="false" outlineLevel="0" collapsed="false">
      <c r="A156" s="13"/>
      <c r="B156" s="100" t="s">
        <v>2313</v>
      </c>
      <c r="C156" s="13"/>
      <c r="D156" s="13"/>
      <c r="E156" s="13"/>
      <c r="F156" s="13"/>
      <c r="G156" s="13"/>
      <c r="H156" s="13"/>
      <c r="I156" s="13"/>
      <c r="J156" s="13"/>
      <c r="K156" s="13"/>
      <c r="L156" s="13"/>
      <c r="M156" s="13"/>
      <c r="N156" s="13"/>
      <c r="O156" s="13"/>
      <c r="P156" s="13"/>
    </row>
    <row r="157" customFormat="false" ht="15" hidden="false" customHeight="false" outlineLevel="0" collapsed="false">
      <c r="A157" s="11" t="s">
        <v>2314</v>
      </c>
      <c r="B157" s="15" t="s">
        <v>2315</v>
      </c>
      <c r="C157" s="11" t="s">
        <v>508</v>
      </c>
      <c r="D157" s="48" t="str">
        <f aca="false">IF(OR(NOT(ISNUMBER(D33)),NOT(ISNUMBER(D95))),"",D33-D95)</f>
        <v/>
      </c>
      <c r="E157" s="48" t="n">
        <f aca="false">IF(OR(NOT(ISNUMBER(E33)),NOT(ISNUMBER(E95))),"",E33-E95)</f>
        <v>-0</v>
      </c>
      <c r="F157" s="48" t="n">
        <f aca="false">IF(OR(NOT(ISNUMBER(F33)),NOT(ISNUMBER(F95))),"",F33-F95)</f>
        <v>-0</v>
      </c>
      <c r="G157" s="48" t="n">
        <f aca="false">IF(OR(NOT(ISNUMBER(G33)),NOT(ISNUMBER(G95))),"",G33-G95)</f>
        <v>-0</v>
      </c>
      <c r="H157" s="48" t="n">
        <f aca="false">IF(OR(NOT(ISNUMBER(H33)),NOT(ISNUMBER(H95))),"",H33-H95)</f>
        <v>-0</v>
      </c>
      <c r="I157" s="48" t="n">
        <f aca="false">IF(OR(NOT(ISNUMBER(I33)),NOT(ISNUMBER(I95))),"",I33-I95)</f>
        <v>-0</v>
      </c>
      <c r="J157" s="48" t="n">
        <f aca="false">IF(OR(NOT(ISNUMBER(J33)),NOT(ISNUMBER(J95))),"",J33-J95)</f>
        <v>-0</v>
      </c>
      <c r="K157" s="48" t="n">
        <f aca="false">IF(OR(NOT(ISNUMBER(K33)),NOT(ISNUMBER(K95))),"",K33-K95)</f>
        <v>-0</v>
      </c>
      <c r="L157" s="48" t="n">
        <f aca="false">IF(OR(NOT(ISNUMBER(L33)),NOT(ISNUMBER(L95))),"",L33-L95)</f>
        <v>-0</v>
      </c>
      <c r="M157" s="48" t="n">
        <f aca="false">IF(OR(NOT(ISNUMBER(M33)),NOT(ISNUMBER(M95))),"",M33-M95)</f>
        <v>-0</v>
      </c>
      <c r="N157" s="48" t="n">
        <f aca="false">IF(OR(NOT(ISNUMBER(N33)),NOT(ISNUMBER(N95))),"",N33-N95)</f>
        <v>-0</v>
      </c>
      <c r="O157" s="54" t="n">
        <f aca="false">IF(OR(NOT(ISNUMBER(O33)),NOT(ISNUMBER(O95))),"",O33-O95)</f>
        <v>0</v>
      </c>
      <c r="P157" s="11" t="str">
        <f aca="false">IF(COUNT(D157:N157)=0,"",IF(AND(MAX(D157:N157)&lt;2,MIN(D157:N157)&gt;-2),"Sin diferencia","Diferencia a explicar"))</f>
        <v>Sin diferencia</v>
      </c>
    </row>
    <row r="158" customFormat="false" ht="15" hidden="false" customHeight="false" outlineLevel="0" collapsed="false">
      <c r="A158" s="11" t="s">
        <v>2316</v>
      </c>
      <c r="B158" s="67" t="s">
        <v>2317</v>
      </c>
      <c r="C158" s="11" t="s">
        <v>508</v>
      </c>
      <c r="D158" s="54" t="str">
        <f aca="false">IF(OR(NOT(ISNUMBER(D34)),NOT(ISNUMBER(D96))),"",D34-D96)</f>
        <v/>
      </c>
      <c r="E158" s="54" t="n">
        <f aca="false">IF(OR(NOT(ISNUMBER(E34)),NOT(ISNUMBER(E96))),"",E34-E96)</f>
        <v>71592.209</v>
      </c>
      <c r="F158" s="54" t="n">
        <f aca="false">IF(OR(NOT(ISNUMBER(F34)),NOT(ISNUMBER(F96))),"",F34-F96)</f>
        <v>10000.209</v>
      </c>
      <c r="G158" s="54" t="n">
        <f aca="false">IF(OR(NOT(ISNUMBER(G34)),NOT(ISNUMBER(G96))),"",G34-G96)</f>
        <v>10000.209</v>
      </c>
      <c r="H158" s="54" t="n">
        <f aca="false">IF(OR(NOT(ISNUMBER(H34)),NOT(ISNUMBER(H96))),"",H34-H96)</f>
        <v>10000.209</v>
      </c>
      <c r="I158" s="54" t="n">
        <f aca="false">IF(OR(NOT(ISNUMBER(I34)),NOT(ISNUMBER(I96))),"",I34-I96)</f>
        <v>10000.209</v>
      </c>
      <c r="J158" s="54" t="n">
        <f aca="false">IF(OR(NOT(ISNUMBER(J34)),NOT(ISNUMBER(J96))),"",J34-J96)</f>
        <v>-2175.391</v>
      </c>
      <c r="K158" s="54" t="n">
        <f aca="false">IF(OR(NOT(ISNUMBER(K34)),NOT(ISNUMBER(K96))),"",K34-K96)</f>
        <v>9999.609</v>
      </c>
      <c r="L158" s="54" t="n">
        <f aca="false">IF(OR(NOT(ISNUMBER(L34)),NOT(ISNUMBER(L96))),"",L34-L96)</f>
        <v>9999.609</v>
      </c>
      <c r="M158" s="54" t="n">
        <f aca="false">IF(OR(NOT(ISNUMBER(M34)),NOT(ISNUMBER(M96))),"",M34-M96)</f>
        <v>9999.609</v>
      </c>
      <c r="N158" s="54" t="n">
        <f aca="false">IF(OR(NOT(ISNUMBER(N34)),NOT(ISNUMBER(N96))),"",N34-N96)</f>
        <v>9999.609</v>
      </c>
      <c r="O158" s="54" t="n">
        <f aca="false">IF(OR(NOT(ISNUMBER(O34)),NOT(ISNUMBER(O96))),"",O34-O96)</f>
        <v>149416.09</v>
      </c>
      <c r="P158" s="11" t="str">
        <f aca="false">IF(COUNT(D158:N158)=0,"",IF(AND(MAX(D158:N158)&lt;2,MIN(D158:N158)&gt;-2),"Sin diferencia","Depreciación: el modelo deprecia desde el año 1 y también la inversión adicional del año 2 (10.000 por año); el cuadro 10a del plan empieza en el año 2."))</f>
        <v>Depreciación: el modelo deprecia desde el año 1 y también la inversión adicional del año 2 (10.000 por año); el cuadro 10a del plan empieza en el año 2.</v>
      </c>
    </row>
    <row r="159" customFormat="false" ht="15" hidden="false" customHeight="false" outlineLevel="0" collapsed="false">
      <c r="A159" s="11" t="s">
        <v>2318</v>
      </c>
      <c r="B159" s="67" t="s">
        <v>2319</v>
      </c>
      <c r="C159" s="11" t="s">
        <v>508</v>
      </c>
      <c r="D159" s="54" t="str">
        <f aca="false">IF(OR(NOT(ISNUMBER(D35)),NOT(ISNUMBER(D97))),"",D35-D97)</f>
        <v/>
      </c>
      <c r="E159" s="54" t="n">
        <f aca="false">IF(OR(NOT(ISNUMBER(E35)),NOT(ISNUMBER(E97))),"",E35-E97)</f>
        <v>-0.0675689744530246</v>
      </c>
      <c r="F159" s="54" t="n">
        <f aca="false">IF(OR(NOT(ISNUMBER(F35)),NOT(ISNUMBER(F97))),"",F35-F97)</f>
        <v>0.254121452046093</v>
      </c>
      <c r="G159" s="54" t="n">
        <f aca="false">IF(OR(NOT(ISNUMBER(G35)),NOT(ISNUMBER(G97))),"",G35-G97)</f>
        <v>-0.0270588327257428</v>
      </c>
      <c r="H159" s="54" t="n">
        <f aca="false">IF(OR(NOT(ISNUMBER(H35)),NOT(ISNUMBER(H97))),"",H35-H97)</f>
        <v>-0.00720354440272786</v>
      </c>
      <c r="I159" s="54" t="n">
        <f aca="false">IF(OR(NOT(ISNUMBER(I35)),NOT(ISNUMBER(I97))),"",I35-I97)</f>
        <v>-0.0240656469031819</v>
      </c>
      <c r="J159" s="54" t="n">
        <f aca="false">IF(OR(NOT(ISNUMBER(J35)),NOT(ISNUMBER(J97))),"",J35-J97)</f>
        <v>0</v>
      </c>
      <c r="K159" s="54" t="n">
        <f aca="false">IF(OR(NOT(ISNUMBER(K35)),NOT(ISNUMBER(K97))),"",K35-K97)</f>
        <v>0</v>
      </c>
      <c r="L159" s="54" t="n">
        <f aca="false">IF(OR(NOT(ISNUMBER(L35)),NOT(ISNUMBER(L97))),"",L35-L97)</f>
        <v>0</v>
      </c>
      <c r="M159" s="54" t="n">
        <f aca="false">IF(OR(NOT(ISNUMBER(M35)),NOT(ISNUMBER(M97))),"",M35-M97)</f>
        <v>0</v>
      </c>
      <c r="N159" s="54" t="n">
        <f aca="false">IF(OR(NOT(ISNUMBER(N35)),NOT(ISNUMBER(N97))),"",N35-N97)</f>
        <v>0</v>
      </c>
      <c r="O159" s="54" t="n">
        <f aca="false">IF(OR(NOT(ISNUMBER(O35)),NOT(ISNUMBER(O97))),"",O35-O97)</f>
        <v>0.128224453539588</v>
      </c>
      <c r="P159" s="11" t="str">
        <f aca="false">IF(COUNT(D159:N159)=0,"",IF(AND(MAX(D159:N159)&lt;2,MIN(D159:N159)&gt;-2),"Sin diferencia","Diferencia a explicar"))</f>
        <v>Sin diferencia</v>
      </c>
    </row>
    <row r="160" customFormat="false" ht="15" hidden="false" customHeight="false" outlineLevel="0" collapsed="false">
      <c r="A160" s="11" t="s">
        <v>2320</v>
      </c>
      <c r="B160" s="67" t="s">
        <v>2321</v>
      </c>
      <c r="C160" s="11" t="s">
        <v>508</v>
      </c>
      <c r="D160" s="54" t="str">
        <f aca="false">IF(OR(NOT(ISNUMBER(D36)),NOT(ISNUMBER(D98))),"",D36-D98)</f>
        <v/>
      </c>
      <c r="E160" s="54" t="n">
        <f aca="false">IF(OR(NOT(ISNUMBER(E36)),NOT(ISNUMBER(E98))),"",E36-E98)</f>
        <v>134645.135723948</v>
      </c>
      <c r="F160" s="54" t="n">
        <f aca="false">IF(OR(NOT(ISNUMBER(F36)),NOT(ISNUMBER(F98))),"",F36-F98)</f>
        <v>73054.6271938747</v>
      </c>
      <c r="G160" s="54" t="n">
        <f aca="false">IF(OR(NOT(ISNUMBER(G36)),NOT(ISNUMBER(G98))),"",G36-G98)</f>
        <v>84738.8115596697</v>
      </c>
      <c r="H160" s="54" t="n">
        <f aca="false">IF(OR(NOT(ISNUMBER(H36)),NOT(ISNUMBER(H98))),"",H36-H98)</f>
        <v>97582.6732381526</v>
      </c>
      <c r="I160" s="54" t="n">
        <f aca="false">IF(OR(NOT(ISNUMBER(I36)),NOT(ISNUMBER(I98))),"",I36-I98)</f>
        <v>110238.010717869</v>
      </c>
      <c r="J160" s="54" t="n">
        <f aca="false">IF(OR(NOT(ISNUMBER(J36)),NOT(ISNUMBER(J98))),"",J36-J98)</f>
        <v>108218.029769087</v>
      </c>
      <c r="K160" s="54" t="n">
        <f aca="false">IF(OR(NOT(ISNUMBER(K36)),NOT(ISNUMBER(K98))),"",K36-K98)</f>
        <v>130664.208693633</v>
      </c>
      <c r="L160" s="54" t="n">
        <f aca="false">IF(OR(NOT(ISNUMBER(L36)),NOT(ISNUMBER(L98))),"",L36-L98)</f>
        <v>141049.804706644</v>
      </c>
      <c r="M160" s="54" t="n">
        <f aca="false">IF(OR(NOT(ISNUMBER(M36)),NOT(ISNUMBER(M98))),"",M36-M98)</f>
        <v>151552.881657824</v>
      </c>
      <c r="N160" s="54" t="n">
        <f aca="false">IF(OR(NOT(ISNUMBER(N36)),NOT(ISNUMBER(N98))),"",N36-N98)</f>
        <v>162174.74034813</v>
      </c>
      <c r="O160" s="54" t="n">
        <f aca="false">IF(OR(NOT(ISNUMBER(O36)),NOT(ISNUMBER(O98))),"",O36-O98)</f>
        <v>1193918.92360883</v>
      </c>
      <c r="P160" s="11" t="str">
        <f aca="false">IF(COUNT(D160:N160)=0,"",IF(AND(MAX(D160:N160)&lt;2,MIN(D160:N160)&gt;-2),"Sin diferencia","C1 nómina, C2 materia prima, mantenimiento y depreciación."))</f>
        <v>C1 nómina, C2 materia prima, mantenimiento y depreciación.</v>
      </c>
    </row>
    <row r="161" customFormat="false" ht="15" hidden="false" customHeight="false" outlineLevel="0" collapsed="false">
      <c r="A161" s="11" t="s">
        <v>2322</v>
      </c>
      <c r="B161" s="15" t="s">
        <v>2323</v>
      </c>
      <c r="C161" s="11" t="s">
        <v>544</v>
      </c>
      <c r="D161" s="48" t="str">
        <f aca="false">IF(OR(NOT(ISNUMBER(D37)),NOT(ISNUMBER(D99))),"",D37-D99)</f>
        <v/>
      </c>
      <c r="E161" s="48" t="n">
        <f aca="false">IF(OR(NOT(ISNUMBER(E37)),NOT(ISNUMBER(E99))),"",E37-E99)</f>
        <v>0</v>
      </c>
      <c r="F161" s="48" t="n">
        <f aca="false">IF(OR(NOT(ISNUMBER(F37)),NOT(ISNUMBER(F99))),"",F37-F99)</f>
        <v>0</v>
      </c>
      <c r="G161" s="48" t="n">
        <f aca="false">IF(OR(NOT(ISNUMBER(G37)),NOT(ISNUMBER(G99))),"",G37-G99)</f>
        <v>0</v>
      </c>
      <c r="H161" s="48" t="n">
        <f aca="false">IF(OR(NOT(ISNUMBER(H37)),NOT(ISNUMBER(H99))),"",H37-H99)</f>
        <v>0</v>
      </c>
      <c r="I161" s="48" t="n">
        <f aca="false">IF(OR(NOT(ISNUMBER(I37)),NOT(ISNUMBER(I99))),"",I37-I99)</f>
        <v>0</v>
      </c>
      <c r="J161" s="48" t="n">
        <f aca="false">IF(OR(NOT(ISNUMBER(J37)),NOT(ISNUMBER(J99))),"",J37-J99)</f>
        <v>0</v>
      </c>
      <c r="K161" s="48" t="n">
        <f aca="false">IF(OR(NOT(ISNUMBER(K37)),NOT(ISNUMBER(K99))),"",K37-K99)</f>
        <v>0</v>
      </c>
      <c r="L161" s="48" t="n">
        <f aca="false">IF(OR(NOT(ISNUMBER(L37)),NOT(ISNUMBER(L99))),"",L37-L99)</f>
        <v>0</v>
      </c>
      <c r="M161" s="48" t="n">
        <f aca="false">IF(OR(NOT(ISNUMBER(M37)),NOT(ISNUMBER(M99))),"",M37-M99)</f>
        <v>0</v>
      </c>
      <c r="N161" s="48" t="n">
        <f aca="false">IF(OR(NOT(ISNUMBER(N37)),NOT(ISNUMBER(N99))),"",N37-N99)</f>
        <v>0</v>
      </c>
      <c r="O161" s="54" t="n">
        <f aca="false">IF(OR(NOT(ISNUMBER(O37)),NOT(ISNUMBER(O99))),"",O37-O99)</f>
        <v>0</v>
      </c>
      <c r="P161" s="11" t="str">
        <f aca="false">IF(COUNT(D161:N161)=0,"",IF(AND(MAX(D161:N161)&lt;2,MIN(D161:N161)&gt;-2),"Sin diferencia","Diferencia a explicar"))</f>
        <v>Sin diferencia</v>
      </c>
    </row>
    <row r="162" customFormat="false" ht="15" hidden="false" customHeight="false" outlineLevel="0" collapsed="false">
      <c r="A162" s="11" t="s">
        <v>2324</v>
      </c>
      <c r="B162" s="15" t="s">
        <v>2325</v>
      </c>
      <c r="C162" s="11" t="s">
        <v>748</v>
      </c>
      <c r="D162" s="50" t="str">
        <f aca="false">IF(OR(NOT(ISNUMBER(D38)),NOT(ISNUMBER(D100))),"",D38-D100)</f>
        <v/>
      </c>
      <c r="E162" s="50" t="n">
        <f aca="false">IF(OR(NOT(ISNUMBER(E38)),NOT(ISNUMBER(E100))),"",E38-E100)</f>
        <v>1.64201385029205</v>
      </c>
      <c r="F162" s="50" t="n">
        <f aca="false">IF(OR(NOT(ISNUMBER(F38)),NOT(ISNUMBER(F100))),"",F38-F100)</f>
        <v>0.695758354227372</v>
      </c>
      <c r="G162" s="50" t="n">
        <f aca="false">IF(OR(NOT(ISNUMBER(G38)),NOT(ISNUMBER(G100))),"",G38-G100)</f>
        <v>0.662021965309926</v>
      </c>
      <c r="H162" s="50" t="n">
        <f aca="false">IF(OR(NOT(ISNUMBER(H38)),NOT(ISNUMBER(H100))),"",H38-H100)</f>
        <v>0.692075696724487</v>
      </c>
      <c r="I162" s="50" t="n">
        <f aca="false">IF(OR(NOT(ISNUMBER(I38)),NOT(ISNUMBER(I100))),"",I38-I100)</f>
        <v>0.781829863247296</v>
      </c>
      <c r="J162" s="50" t="n">
        <f aca="false">IF(OR(NOT(ISNUMBER(J38)),NOT(ISNUMBER(J100))),"",J38-J100)</f>
        <v>0.767503757227566</v>
      </c>
      <c r="K162" s="50" t="n">
        <f aca="false">IF(OR(NOT(ISNUMBER(K38)),NOT(ISNUMBER(K100))),"",K38-K100)</f>
        <v>0.92669651555768</v>
      </c>
      <c r="L162" s="50" t="n">
        <f aca="false">IF(OR(NOT(ISNUMBER(L38)),NOT(ISNUMBER(L100))),"",L38-L100)</f>
        <v>1.00035322486982</v>
      </c>
      <c r="M162" s="50" t="n">
        <f aca="false">IF(OR(NOT(ISNUMBER(M38)),NOT(ISNUMBER(M100))),"",M38-M100)</f>
        <v>1.07484313232499</v>
      </c>
      <c r="N162" s="50" t="n">
        <f aca="false">IF(OR(NOT(ISNUMBER(N38)),NOT(ISNUMBER(N100))),"",N38-N100)</f>
        <v>1.15017546346191</v>
      </c>
      <c r="O162" s="68" t="n">
        <f aca="false">IF(OR(NOT(ISNUMBER(O38)),NOT(ISNUMBER(O100))),"",O38-O100)</f>
        <v>0.916988420590499</v>
      </c>
      <c r="P162" s="11" t="str">
        <f aca="false">IF(COUNT(D162:N162)=0,"",IF(AND(MAX(D162:N162)&lt;0.005,MIN(D162:N162)&gt;-0.005),"Sin diferencia","Sigue a los costos totales."))</f>
        <v>Sigue a los costos totales.</v>
      </c>
    </row>
    <row r="163" customFormat="false" ht="15" hidden="false" customHeight="false" outlineLevel="0" collapsed="false">
      <c r="A163" s="13"/>
      <c r="B163" s="100" t="s">
        <v>2326</v>
      </c>
      <c r="C163" s="13"/>
      <c r="D163" s="13"/>
      <c r="E163" s="13"/>
      <c r="F163" s="13"/>
      <c r="G163" s="13"/>
      <c r="H163" s="13"/>
      <c r="I163" s="13"/>
      <c r="J163" s="13"/>
      <c r="K163" s="13"/>
      <c r="L163" s="13"/>
      <c r="M163" s="13"/>
      <c r="N163" s="13"/>
      <c r="O163" s="13"/>
      <c r="P163" s="13"/>
    </row>
    <row r="164" customFormat="false" ht="15" hidden="false" customHeight="false" outlineLevel="0" collapsed="false">
      <c r="A164" s="11" t="s">
        <v>2327</v>
      </c>
      <c r="B164" s="53" t="str">
        <f aca="false">IF(Costos!$B$75="","Concepto 1",Costos!$B$75&amp;" ("&amp;Costos!$C$75&amp;")")</f>
        <v>Energía eléctrica planta (Producción)</v>
      </c>
      <c r="C164" s="11" t="s">
        <v>508</v>
      </c>
      <c r="D164" s="48" t="str">
        <f aca="false">IF(OR(NOT(ISNUMBER(D40)),NOT(ISNUMBER(D102))),"",D40-D102)</f>
        <v/>
      </c>
      <c r="E164" s="48" t="n">
        <f aca="false">IF(OR(NOT(ISNUMBER(E40)),NOT(ISNUMBER(E102))),"",E40-E102)</f>
        <v>-0.301369863016589</v>
      </c>
      <c r="F164" s="48" t="n">
        <f aca="false">IF(OR(NOT(ISNUMBER(F40)),NOT(ISNUMBER(F102))),"",F40-F102)</f>
        <v>-0.301369863016589</v>
      </c>
      <c r="G164" s="48" t="n">
        <f aca="false">IF(OR(NOT(ISNUMBER(G40)),NOT(ISNUMBER(G102))),"",G40-G102)</f>
        <v>-0.301369863016589</v>
      </c>
      <c r="H164" s="48" t="n">
        <f aca="false">IF(OR(NOT(ISNUMBER(H40)),NOT(ISNUMBER(H102))),"",H40-H102)</f>
        <v>-0.301369863016589</v>
      </c>
      <c r="I164" s="48" t="n">
        <f aca="false">IF(OR(NOT(ISNUMBER(I40)),NOT(ISNUMBER(I102))),"",I40-I102)</f>
        <v>-0.301369863016589</v>
      </c>
      <c r="J164" s="48" t="n">
        <f aca="false">IF(OR(NOT(ISNUMBER(J40)),NOT(ISNUMBER(J102))),"",J40-J102)</f>
        <v>-0.301369863016589</v>
      </c>
      <c r="K164" s="48" t="n">
        <f aca="false">IF(OR(NOT(ISNUMBER(K40)),NOT(ISNUMBER(K102))),"",K40-K102)</f>
        <v>-0.301369863016589</v>
      </c>
      <c r="L164" s="48" t="n">
        <f aca="false">IF(OR(NOT(ISNUMBER(L40)),NOT(ISNUMBER(L102))),"",L40-L102)</f>
        <v>-0.301369863016589</v>
      </c>
      <c r="M164" s="48" t="n">
        <f aca="false">IF(OR(NOT(ISNUMBER(M40)),NOT(ISNUMBER(M102))),"",M40-M102)</f>
        <v>-0.301369863016589</v>
      </c>
      <c r="N164" s="48" t="n">
        <f aca="false">IF(OR(NOT(ISNUMBER(N40)),NOT(ISNUMBER(N102))),"",N40-N102)</f>
        <v>-0.301369863016589</v>
      </c>
      <c r="O164" s="54" t="n">
        <f aca="false">IF(OR(NOT(ISNUMBER(O40)),NOT(ISNUMBER(O102))),"",O40-O102)</f>
        <v>-3.01369863015134</v>
      </c>
      <c r="P164" s="11" t="str">
        <f aca="false">IF(COUNT(D164:N164)=0,"",IF(AND(MAX(D164:N164)&lt;2,MIN(D164:N164)&gt;-2),"Sin diferencia","Diferencia a explicar"))</f>
        <v>Sin diferencia</v>
      </c>
    </row>
    <row r="165" customFormat="false" ht="15" hidden="false" customHeight="false" outlineLevel="0" collapsed="false">
      <c r="A165" s="11" t="s">
        <v>2328</v>
      </c>
      <c r="B165" s="53" t="str">
        <f aca="false">IF(Costos!$B$76="","Concepto 2",Costos!$B$76&amp;" ("&amp;Costos!$C$76&amp;")")</f>
        <v>Mantenimiento y reparaciones planta (Producción)</v>
      </c>
      <c r="C165" s="11" t="s">
        <v>508</v>
      </c>
      <c r="D165" s="48" t="str">
        <f aca="false">IF(OR(NOT(ISNUMBER(D41)),NOT(ISNUMBER(D103))),"",D41-D103)</f>
        <v/>
      </c>
      <c r="E165" s="48" t="n">
        <f aca="false">IF(OR(NOT(ISNUMBER(E41)),NOT(ISNUMBER(E103))),"",E41-E103)</f>
        <v>0.0400000000008731</v>
      </c>
      <c r="F165" s="48" t="n">
        <f aca="false">IF(OR(NOT(ISNUMBER(F41)),NOT(ISNUMBER(F103))),"",F41-F103)</f>
        <v>0.200799999998708</v>
      </c>
      <c r="G165" s="48" t="n">
        <f aca="false">IF(OR(NOT(ISNUMBER(G41)),NOT(ISNUMBER(G103))),"",G41-G103)</f>
        <v>11.2448160000022</v>
      </c>
      <c r="H165" s="48" t="n">
        <f aca="false">IF(OR(NOT(ISNUMBER(H41)),NOT(ISNUMBER(H103))),"",H41-H103)</f>
        <v>35.4097123200081</v>
      </c>
      <c r="I165" s="48" t="n">
        <f aca="false">IF(OR(NOT(ISNUMBER(I41)),NOT(ISNUMBER(I103))),"",I41-I103)</f>
        <v>71.9379065663998</v>
      </c>
      <c r="J165" s="48" t="n">
        <f aca="false">IF(OR(NOT(ISNUMBER(J41)),NOT(ISNUMBER(J103))),"",J41-J103)</f>
        <v>121.076664697728</v>
      </c>
      <c r="K165" s="48" t="n">
        <f aca="false">IF(OR(NOT(ISNUMBER(K41)),NOT(ISNUMBER(K103))),"",K41-K103)</f>
        <v>183.078197991686</v>
      </c>
      <c r="L165" s="48" t="n">
        <f aca="false">IF(OR(NOT(ISNUMBER(L41)),NOT(ISNUMBER(L103))),"",L41-L103)</f>
        <v>258.199761951517</v>
      </c>
      <c r="M165" s="48" t="n">
        <f aca="false">IF(OR(NOT(ISNUMBER(M41)),NOT(ISNUMBER(M103))),"",M41-M103)</f>
        <v>345.703757190553</v>
      </c>
      <c r="N165" s="48" t="n">
        <f aca="false">IF(OR(NOT(ISNUMBER(N41)),NOT(ISNUMBER(N103))),"",N41-N103)</f>
        <v>447.857832334368</v>
      </c>
      <c r="O165" s="54" t="n">
        <f aca="false">IF(OR(NOT(ISNUMBER(O41)),NOT(ISNUMBER(O103))),"",O41-O103)</f>
        <v>1474.74944905227</v>
      </c>
      <c r="P165" s="11" t="str">
        <f aca="false">IF(COUNT(D165:N165)=0,"",IF(AND(MAX(D165:N165)&lt;2,MIN(D165:N165)&gt;-2),"Sin diferencia","2% compuesto en el modelo; 2% lineal en el plan."))</f>
        <v>2% compuesto en el modelo; 2% lineal en el plan.</v>
      </c>
    </row>
    <row r="166" customFormat="false" ht="15" hidden="false" customHeight="false" outlineLevel="0" collapsed="false">
      <c r="A166" s="11" t="s">
        <v>2329</v>
      </c>
      <c r="B166" s="53" t="str">
        <f aca="false">IF(Costos!$B$77="","Concepto 3",Costos!$B$77&amp;" ("&amp;Costos!$C$77&amp;")")</f>
        <v>Alquiler de nave (3.865 m2 x USD 4 + IVA) (Administración)</v>
      </c>
      <c r="C166" s="11" t="s">
        <v>508</v>
      </c>
      <c r="D166" s="48" t="str">
        <f aca="false">IF(OR(NOT(ISNUMBER(D42)),NOT(ISNUMBER(D104))),"",D42-D104)</f>
        <v/>
      </c>
      <c r="E166" s="48" t="n">
        <f aca="false">IF(OR(NOT(ISNUMBER(E42)),NOT(ISNUMBER(E104))),"",E42-E104)</f>
        <v>0</v>
      </c>
      <c r="F166" s="48" t="n">
        <f aca="false">IF(OR(NOT(ISNUMBER(F42)),NOT(ISNUMBER(F104))),"",F42-F104)</f>
        <v>0.160000000003492</v>
      </c>
      <c r="G166" s="48" t="n">
        <f aca="false">IF(OR(NOT(ISNUMBER(G42)),NOT(ISNUMBER(G104))),"",G42-G104)</f>
        <v>-0.0152000000234693</v>
      </c>
      <c r="H166" s="48" t="n">
        <f aca="false">IF(OR(NOT(ISNUMBER(H42)),NOT(ISNUMBER(H104))),"",H42-H104)</f>
        <v>-0.0156560000032187</v>
      </c>
      <c r="I166" s="48" t="n">
        <f aca="false">IF(OR(NOT(ISNUMBER(I42)),NOT(ISNUMBER(I104))),"",I42-I104)</f>
        <v>-0.166125679970719</v>
      </c>
      <c r="J166" s="48" t="n">
        <f aca="false">IF(OR(NOT(ISNUMBER(J42)),NOT(ISNUMBER(J104))),"",J42-J104)</f>
        <v>0.378890549618518</v>
      </c>
      <c r="K166" s="48" t="n">
        <f aca="false">IF(OR(NOT(ISNUMBER(K42)),NOT(ISNUMBER(K104))),"",K42-K104)</f>
        <v>-0.35974273388274</v>
      </c>
      <c r="L166" s="48" t="n">
        <f aca="false">IF(OR(NOT(ISNUMBER(L42)),NOT(ISNUMBER(L104))),"",L42-L104)</f>
        <v>-0.180535015882924</v>
      </c>
      <c r="M166" s="48" t="n">
        <f aca="false">IF(OR(NOT(ISNUMBER(M42)),NOT(ISNUMBER(M104))),"",M42-M104)</f>
        <v>0.304048933612648</v>
      </c>
      <c r="N166" s="48" t="n">
        <f aca="false">IF(OR(NOT(ISNUMBER(N42)),NOT(ISNUMBER(N104))),"",N42-N104)</f>
        <v>-0.326829598343466</v>
      </c>
      <c r="O166" s="54" t="n">
        <f aca="false">IF(OR(NOT(ISNUMBER(O42)),NOT(ISNUMBER(O104))),"",O42-O104)</f>
        <v>-0.221149544697255</v>
      </c>
      <c r="P166" s="11" t="str">
        <f aca="false">IF(COUNT(D166:N166)=0,"",IF(AND(MAX(D166:N166)&lt;2,MIN(D166:N166)&gt;-2),"Sin diferencia","Diferencia a explicar"))</f>
        <v>Sin diferencia</v>
      </c>
    </row>
    <row r="167" customFormat="false" ht="15" hidden="false" customHeight="false" outlineLevel="0" collapsed="false">
      <c r="A167" s="11" t="s">
        <v>2330</v>
      </c>
      <c r="B167" s="53" t="str">
        <f aca="false">IF(Costos!$B$78="","Concepto 4",Costos!$B$78&amp;" ("&amp;Costos!$C$78&amp;")")</f>
        <v>Expensas (USD 0,20/m2) (Administración)</v>
      </c>
      <c r="C167" s="11" t="s">
        <v>508</v>
      </c>
      <c r="D167" s="48" t="str">
        <f aca="false">IF(OR(NOT(ISNUMBER(D43)),NOT(ISNUMBER(D105))),"",D43-D105)</f>
        <v/>
      </c>
      <c r="E167" s="48" t="n">
        <f aca="false">IF(OR(NOT(ISNUMBER(E43)),NOT(ISNUMBER(E105))),"",E43-E105)</f>
        <v>0</v>
      </c>
      <c r="F167" s="48" t="n">
        <f aca="false">IF(OR(NOT(ISNUMBER(F43)),NOT(ISNUMBER(F105))),"",F43-F105)</f>
        <v>0.280000000000655</v>
      </c>
      <c r="G167" s="48" t="n">
        <f aca="false">IF(OR(NOT(ISNUMBER(G43)),NOT(ISNUMBER(G105))),"",G43-G105)</f>
        <v>-0.0915999999997439</v>
      </c>
      <c r="H167" s="48" t="n">
        <f aca="false">IF(OR(NOT(ISNUMBER(H43)),NOT(ISNUMBER(H105))),"",H43-H105)</f>
        <v>0.135651999999027</v>
      </c>
      <c r="I167" s="48" t="n">
        <f aca="false">IF(OR(NOT(ISNUMBER(I43)),NOT(ISNUMBER(I105))),"",I43-I105)</f>
        <v>0.219721560002654</v>
      </c>
      <c r="J167" s="48" t="n">
        <f aca="false">IF(OR(NOT(ISNUMBER(J43)),NOT(ISNUMBER(J105))),"",J43-J105)</f>
        <v>0.426313206800842</v>
      </c>
      <c r="K167" s="48" t="n">
        <f aca="false">IF(OR(NOT(ISNUMBER(K43)),NOT(ISNUMBER(K105))),"",K43-K105)</f>
        <v>0.0291026030063222</v>
      </c>
      <c r="L167" s="48" t="n">
        <f aca="false">IF(OR(NOT(ISNUMBER(L43)),NOT(ISNUMBER(L105))),"",L43-L105)</f>
        <v>0.309975681095239</v>
      </c>
      <c r="M167" s="48" t="n">
        <f aca="false">IF(OR(NOT(ISNUMBER(M43)),NOT(ISNUMBER(M105))),"",M43-M105)</f>
        <v>-0.440725048470995</v>
      </c>
      <c r="N167" s="48" t="n">
        <f aca="false">IF(OR(NOT(ISNUMBER(N43)),NOT(ISNUMBER(N105))),"",N43-N105)</f>
        <v>0.0760532000749663</v>
      </c>
      <c r="O167" s="54" t="n">
        <f aca="false">IF(OR(NOT(ISNUMBER(O43)),NOT(ISNUMBER(O105))),"",O43-O105)</f>
        <v>0.944493202507147</v>
      </c>
      <c r="P167" s="11" t="str">
        <f aca="false">IF(COUNT(D167:N167)=0,"",IF(AND(MAX(D167:N167)&lt;2,MIN(D167:N167)&gt;-2),"Sin diferencia","Diferencia a explicar"))</f>
        <v>Sin diferencia</v>
      </c>
    </row>
    <row r="168" customFormat="false" ht="15" hidden="false" customHeight="false" outlineLevel="0" collapsed="false">
      <c r="A168" s="11" t="s">
        <v>2331</v>
      </c>
      <c r="B168" s="53" t="str">
        <f aca="false">IF(Costos!$B$79="","Concepto 5",Costos!$B$79&amp;" ("&amp;Costos!$C$79&amp;")")</f>
        <v>Agua, comunicaciones y electricidad (Administración)</v>
      </c>
      <c r="C168" s="11" t="s">
        <v>508</v>
      </c>
      <c r="D168" s="48" t="str">
        <f aca="false">IF(OR(NOT(ISNUMBER(D44)),NOT(ISNUMBER(D106))),"",D44-D106)</f>
        <v/>
      </c>
      <c r="E168" s="48" t="n">
        <f aca="false">IF(OR(NOT(ISNUMBER(E44)),NOT(ISNUMBER(E106))),"",E44-E106)</f>
        <v>-0.123287671232902</v>
      </c>
      <c r="F168" s="48" t="n">
        <f aca="false">IF(OR(NOT(ISNUMBER(F44)),NOT(ISNUMBER(F106))),"",F44-F106)</f>
        <v>-0.123287671232902</v>
      </c>
      <c r="G168" s="48" t="n">
        <f aca="false">IF(OR(NOT(ISNUMBER(G44)),NOT(ISNUMBER(G106))),"",G44-G106)</f>
        <v>-0.123287671232902</v>
      </c>
      <c r="H168" s="48" t="n">
        <f aca="false">IF(OR(NOT(ISNUMBER(H44)),NOT(ISNUMBER(H106))),"",H44-H106)</f>
        <v>-0.123287671232902</v>
      </c>
      <c r="I168" s="48" t="n">
        <f aca="false">IF(OR(NOT(ISNUMBER(I44)),NOT(ISNUMBER(I106))),"",I44-I106)</f>
        <v>-0.123287671232902</v>
      </c>
      <c r="J168" s="48" t="n">
        <f aca="false">IF(OR(NOT(ISNUMBER(J44)),NOT(ISNUMBER(J106))),"",J44-J106)</f>
        <v>-0.123287671232902</v>
      </c>
      <c r="K168" s="48" t="n">
        <f aca="false">IF(OR(NOT(ISNUMBER(K44)),NOT(ISNUMBER(K106))),"",K44-K106)</f>
        <v>-0.123287671232902</v>
      </c>
      <c r="L168" s="48" t="n">
        <f aca="false">IF(OR(NOT(ISNUMBER(L44)),NOT(ISNUMBER(L106))),"",L44-L106)</f>
        <v>-0.123287671232902</v>
      </c>
      <c r="M168" s="48" t="n">
        <f aca="false">IF(OR(NOT(ISNUMBER(M44)),NOT(ISNUMBER(M106))),"",M44-M106)</f>
        <v>-0.123287671232902</v>
      </c>
      <c r="N168" s="48" t="n">
        <f aca="false">IF(OR(NOT(ISNUMBER(N44)),NOT(ISNUMBER(N106))),"",N44-N106)</f>
        <v>-0.123287671232902</v>
      </c>
      <c r="O168" s="54" t="n">
        <f aca="false">IF(OR(NOT(ISNUMBER(O44)),NOT(ISNUMBER(O106))),"",O44-O106)</f>
        <v>-1.23287671232902</v>
      </c>
      <c r="P168" s="11" t="str">
        <f aca="false">IF(COUNT(D168:N168)=0,"",IF(AND(MAX(D168:N168)&lt;2,MIN(D168:N168)&gt;-2),"Sin diferencia","Diferencia a explicar"))</f>
        <v>Sin diferencia</v>
      </c>
    </row>
    <row r="169" customFormat="false" ht="15" hidden="false" customHeight="false" outlineLevel="0" collapsed="false">
      <c r="A169" s="11" t="s">
        <v>2332</v>
      </c>
      <c r="B169" s="53" t="str">
        <f aca="false">IF(Costos!$B$80="","Concepto 6",Costos!$B$80&amp;" ("&amp;Costos!$C$80&amp;")")</f>
        <v>Mantenimiento y reparaciones adm. (Administración)</v>
      </c>
      <c r="C169" s="11" t="s">
        <v>508</v>
      </c>
      <c r="D169" s="48" t="str">
        <f aca="false">IF(OR(NOT(ISNUMBER(D45)),NOT(ISNUMBER(D107))),"",D45-D107)</f>
        <v/>
      </c>
      <c r="E169" s="48" t="n">
        <f aca="false">IF(OR(NOT(ISNUMBER(E45)),NOT(ISNUMBER(E107))),"",E45-E107)</f>
        <v>-0.493150684931607</v>
      </c>
      <c r="F169" s="48" t="n">
        <f aca="false">IF(OR(NOT(ISNUMBER(F45)),NOT(ISNUMBER(F107))),"",F45-F107)</f>
        <v>-0.493150684931607</v>
      </c>
      <c r="G169" s="48" t="n">
        <f aca="false">IF(OR(NOT(ISNUMBER(G45)),NOT(ISNUMBER(G107))),"",G45-G107)</f>
        <v>-0.493150684931607</v>
      </c>
      <c r="H169" s="48" t="n">
        <f aca="false">IF(OR(NOT(ISNUMBER(H45)),NOT(ISNUMBER(H107))),"",H45-H107)</f>
        <v>-0.493150684931607</v>
      </c>
      <c r="I169" s="48" t="n">
        <f aca="false">IF(OR(NOT(ISNUMBER(I45)),NOT(ISNUMBER(I107))),"",I45-I107)</f>
        <v>-0.493150684931607</v>
      </c>
      <c r="J169" s="48" t="n">
        <f aca="false">IF(OR(NOT(ISNUMBER(J45)),NOT(ISNUMBER(J107))),"",J45-J107)</f>
        <v>-0.493150684931607</v>
      </c>
      <c r="K169" s="48" t="n">
        <f aca="false">IF(OR(NOT(ISNUMBER(K45)),NOT(ISNUMBER(K107))),"",K45-K107)</f>
        <v>-0.493150684931607</v>
      </c>
      <c r="L169" s="48" t="n">
        <f aca="false">IF(OR(NOT(ISNUMBER(L45)),NOT(ISNUMBER(L107))),"",L45-L107)</f>
        <v>-0.493150684931607</v>
      </c>
      <c r="M169" s="48" t="n">
        <f aca="false">IF(OR(NOT(ISNUMBER(M45)),NOT(ISNUMBER(M107))),"",M45-M107)</f>
        <v>-0.493150684931607</v>
      </c>
      <c r="N169" s="48" t="n">
        <f aca="false">IF(OR(NOT(ISNUMBER(N45)),NOT(ISNUMBER(N107))),"",N45-N107)</f>
        <v>-0.493150684931607</v>
      </c>
      <c r="O169" s="54" t="n">
        <f aca="false">IF(OR(NOT(ISNUMBER(O45)),NOT(ISNUMBER(O107))),"",O45-O107)</f>
        <v>-4.93150684931607</v>
      </c>
      <c r="P169" s="11" t="str">
        <f aca="false">IF(COUNT(D169:N169)=0,"",IF(AND(MAX(D169:N169)&lt;2,MIN(D169:N169)&gt;-2),"Sin diferencia","Diferencia a explicar"))</f>
        <v>Sin diferencia</v>
      </c>
    </row>
    <row r="170" customFormat="false" ht="15" hidden="false" customHeight="false" outlineLevel="0" collapsed="false">
      <c r="A170" s="11" t="s">
        <v>2333</v>
      </c>
      <c r="B170" s="53" t="str">
        <f aca="false">IF(Costos!$B$81="","Concepto 7",Costos!$B$81&amp;" ("&amp;Costos!$C$81&amp;")")</f>
        <v>Seguros sobre activos fijos (Administración)</v>
      </c>
      <c r="C170" s="11" t="s">
        <v>508</v>
      </c>
      <c r="D170" s="48" t="str">
        <f aca="false">IF(OR(NOT(ISNUMBER(D46)),NOT(ISNUMBER(D108))),"",D46-D108)</f>
        <v/>
      </c>
      <c r="E170" s="48" t="n">
        <f aca="false">IF(OR(NOT(ISNUMBER(E46)),NOT(ISNUMBER(E108))),"",E46-E108)</f>
        <v>0.178082191780049</v>
      </c>
      <c r="F170" s="48" t="n">
        <f aca="false">IF(OR(NOT(ISNUMBER(F46)),NOT(ISNUMBER(F108))),"",F46-F108)</f>
        <v>0.178082191780049</v>
      </c>
      <c r="G170" s="48" t="n">
        <f aca="false">IF(OR(NOT(ISNUMBER(G46)),NOT(ISNUMBER(G108))),"",G46-G108)</f>
        <v>0.178082191780049</v>
      </c>
      <c r="H170" s="48" t="n">
        <f aca="false">IF(OR(NOT(ISNUMBER(H46)),NOT(ISNUMBER(H108))),"",H46-H108)</f>
        <v>0.178082191780049</v>
      </c>
      <c r="I170" s="48" t="n">
        <f aca="false">IF(OR(NOT(ISNUMBER(I46)),NOT(ISNUMBER(I108))),"",I46-I108)</f>
        <v>0.178082191780049</v>
      </c>
      <c r="J170" s="48" t="n">
        <f aca="false">IF(OR(NOT(ISNUMBER(J46)),NOT(ISNUMBER(J108))),"",J46-J108)</f>
        <v>0.178082191780049</v>
      </c>
      <c r="K170" s="48" t="n">
        <f aca="false">IF(OR(NOT(ISNUMBER(K46)),NOT(ISNUMBER(K108))),"",K46-K108)</f>
        <v>0.178082191780049</v>
      </c>
      <c r="L170" s="48" t="n">
        <f aca="false">IF(OR(NOT(ISNUMBER(L46)),NOT(ISNUMBER(L108))),"",L46-L108)</f>
        <v>0.178082191780049</v>
      </c>
      <c r="M170" s="48" t="n">
        <f aca="false">IF(OR(NOT(ISNUMBER(M46)),NOT(ISNUMBER(M108))),"",M46-M108)</f>
        <v>0.178082191780049</v>
      </c>
      <c r="N170" s="48" t="n">
        <f aca="false">IF(OR(NOT(ISNUMBER(N46)),NOT(ISNUMBER(N108))),"",N46-N108)</f>
        <v>0.178082191780049</v>
      </c>
      <c r="O170" s="54" t="n">
        <f aca="false">IF(OR(NOT(ISNUMBER(O46)),NOT(ISNUMBER(O108))),"",O46-O108)</f>
        <v>1.78082191779686</v>
      </c>
      <c r="P170" s="11" t="str">
        <f aca="false">IF(COUNT(D170:N170)=0,"",IF(AND(MAX(D170:N170)&lt;2,MIN(D170:N170)&gt;-2),"Sin diferencia","Diferencia a explicar"))</f>
        <v>Sin diferencia</v>
      </c>
    </row>
    <row r="171" customFormat="false" ht="15" hidden="false" customHeight="false" outlineLevel="0" collapsed="false">
      <c r="A171" s="11" t="s">
        <v>2334</v>
      </c>
      <c r="B171" s="53" t="str">
        <f aca="false">IF(Costos!$B$82="","Concepto 8",Costos!$B$82&amp;" ("&amp;Costos!$C$82&amp;")")</f>
        <v>Gastos generales (Administración)</v>
      </c>
      <c r="C171" s="11" t="s">
        <v>508</v>
      </c>
      <c r="D171" s="48" t="str">
        <f aca="false">IF(OR(NOT(ISNUMBER(D47)),NOT(ISNUMBER(D109))),"",D47-D109)</f>
        <v/>
      </c>
      <c r="E171" s="48" t="n">
        <f aca="false">IF(OR(NOT(ISNUMBER(E47)),NOT(ISNUMBER(E109))),"",E47-E109)</f>
        <v>-0.0400000000008731</v>
      </c>
      <c r="F171" s="48" t="n">
        <f aca="false">IF(OR(NOT(ISNUMBER(F47)),NOT(ISNUMBER(F109))),"",F47-F109)</f>
        <v>-0.0400000000008731</v>
      </c>
      <c r="G171" s="48" t="n">
        <f aca="false">IF(OR(NOT(ISNUMBER(G47)),NOT(ISNUMBER(G109))),"",G47-G109)</f>
        <v>-0.0400000000008731</v>
      </c>
      <c r="H171" s="48" t="n">
        <f aca="false">IF(OR(NOT(ISNUMBER(H47)),NOT(ISNUMBER(H109))),"",H47-H109)</f>
        <v>-0.0400000000008731</v>
      </c>
      <c r="I171" s="48" t="n">
        <f aca="false">IF(OR(NOT(ISNUMBER(I47)),NOT(ISNUMBER(I109))),"",I47-I109)</f>
        <v>-0.0400000000008731</v>
      </c>
      <c r="J171" s="48" t="n">
        <f aca="false">IF(OR(NOT(ISNUMBER(J47)),NOT(ISNUMBER(J109))),"",J47-J109)</f>
        <v>-0.0400000000008731</v>
      </c>
      <c r="K171" s="48" t="n">
        <f aca="false">IF(OR(NOT(ISNUMBER(K47)),NOT(ISNUMBER(K109))),"",K47-K109)</f>
        <v>-0.0400000000008731</v>
      </c>
      <c r="L171" s="48" t="n">
        <f aca="false">IF(OR(NOT(ISNUMBER(L47)),NOT(ISNUMBER(L109))),"",L47-L109)</f>
        <v>-0.0400000000008731</v>
      </c>
      <c r="M171" s="48" t="n">
        <f aca="false">IF(OR(NOT(ISNUMBER(M47)),NOT(ISNUMBER(M109))),"",M47-M109)</f>
        <v>-0.0400000000008731</v>
      </c>
      <c r="N171" s="48" t="n">
        <f aca="false">IF(OR(NOT(ISNUMBER(N47)),NOT(ISNUMBER(N109))),"",N47-N109)</f>
        <v>-0.0400000000008731</v>
      </c>
      <c r="O171" s="54" t="n">
        <f aca="false">IF(OR(NOT(ISNUMBER(O47)),NOT(ISNUMBER(O109))),"",O47-O109)</f>
        <v>-0.400000000023283</v>
      </c>
      <c r="P171" s="11" t="str">
        <f aca="false">IF(COUNT(D171:N171)=0,"",IF(AND(MAX(D171:N171)&lt;2,MIN(D171:N171)&gt;-2),"Sin diferencia","Diferencia a explicar"))</f>
        <v>Sin diferencia</v>
      </c>
    </row>
    <row r="172" customFormat="false" ht="15" hidden="false" customHeight="false" outlineLevel="0" collapsed="false">
      <c r="A172" s="11" t="s">
        <v>2335</v>
      </c>
      <c r="B172" s="53" t="str">
        <f aca="false">IF(Costos!$B$83="","Concepto 9",Costos!$B$83&amp;" ("&amp;Costos!$C$83&amp;")")</f>
        <v>Honorarios y otros fijos (Administración)</v>
      </c>
      <c r="C172" s="11" t="s">
        <v>508</v>
      </c>
      <c r="D172" s="48" t="str">
        <f aca="false">IF(OR(NOT(ISNUMBER(D48)),NOT(ISNUMBER(D110))),"",D48-D110)</f>
        <v/>
      </c>
      <c r="E172" s="48" t="n">
        <f aca="false">IF(OR(NOT(ISNUMBER(E48)),NOT(ISNUMBER(E110))),"",E48-E110)</f>
        <v>-0.492602739726863</v>
      </c>
      <c r="F172" s="48" t="n">
        <f aca="false">IF(OR(NOT(ISNUMBER(F48)),NOT(ISNUMBER(F110))),"",F48-F110)</f>
        <v>-0.492602739726863</v>
      </c>
      <c r="G172" s="48" t="n">
        <f aca="false">IF(OR(NOT(ISNUMBER(G48)),NOT(ISNUMBER(G110))),"",G48-G110)</f>
        <v>-0.492602739726863</v>
      </c>
      <c r="H172" s="48" t="n">
        <f aca="false">IF(OR(NOT(ISNUMBER(H48)),NOT(ISNUMBER(H110))),"",H48-H110)</f>
        <v>-0.492602739726863</v>
      </c>
      <c r="I172" s="48" t="n">
        <f aca="false">IF(OR(NOT(ISNUMBER(I48)),NOT(ISNUMBER(I110))),"",I48-I110)</f>
        <v>-0.492602739726863</v>
      </c>
      <c r="J172" s="48" t="n">
        <f aca="false">IF(OR(NOT(ISNUMBER(J48)),NOT(ISNUMBER(J110))),"",J48-J110)</f>
        <v>-0.492602739726863</v>
      </c>
      <c r="K172" s="48" t="n">
        <f aca="false">IF(OR(NOT(ISNUMBER(K48)),NOT(ISNUMBER(K110))),"",K48-K110)</f>
        <v>-0.492602739726863</v>
      </c>
      <c r="L172" s="48" t="n">
        <f aca="false">IF(OR(NOT(ISNUMBER(L48)),NOT(ISNUMBER(L110))),"",L48-L110)</f>
        <v>-0.492602739726863</v>
      </c>
      <c r="M172" s="48" t="n">
        <f aca="false">IF(OR(NOT(ISNUMBER(M48)),NOT(ISNUMBER(M110))),"",M48-M110)</f>
        <v>-0.492602739726863</v>
      </c>
      <c r="N172" s="48" t="n">
        <f aca="false">IF(OR(NOT(ISNUMBER(N48)),NOT(ISNUMBER(N110))),"",N48-N110)</f>
        <v>-0.492602739726863</v>
      </c>
      <c r="O172" s="54" t="n">
        <f aca="false">IF(OR(NOT(ISNUMBER(O48)),NOT(ISNUMBER(O110))),"",O48-O110)</f>
        <v>-4.9260273972468</v>
      </c>
      <c r="P172" s="11" t="str">
        <f aca="false">IF(COUNT(D172:N172)=0,"",IF(AND(MAX(D172:N172)&lt;2,MIN(D172:N172)&gt;-2),"Sin diferencia","Diferencia a explicar"))</f>
        <v>Sin diferencia</v>
      </c>
    </row>
    <row r="173" customFormat="false" ht="15" hidden="true" customHeight="false" outlineLevel="1" collapsed="false">
      <c r="A173" s="11" t="s">
        <v>2336</v>
      </c>
      <c r="B173" s="53" t="str">
        <f aca="false">IF(Costos!$B$84="","Concepto 10",Costos!$B$84&amp;" ("&amp;Costos!$C$84&amp;")")</f>
        <v>Concepto 10</v>
      </c>
      <c r="C173" s="11" t="s">
        <v>508</v>
      </c>
      <c r="D173" s="48" t="str">
        <f aca="false">IF(OR(NOT(ISNUMBER(D49)),NOT(ISNUMBER(D111))),"",D49-D111)</f>
        <v/>
      </c>
      <c r="E173" s="48" t="str">
        <f aca="false">IF(OR(NOT(ISNUMBER(E49)),NOT(ISNUMBER(E111))),"",E49-E111)</f>
        <v/>
      </c>
      <c r="F173" s="48" t="str">
        <f aca="false">IF(OR(NOT(ISNUMBER(F49)),NOT(ISNUMBER(F111))),"",F49-F111)</f>
        <v/>
      </c>
      <c r="G173" s="48" t="str">
        <f aca="false">IF(OR(NOT(ISNUMBER(G49)),NOT(ISNUMBER(G111))),"",G49-G111)</f>
        <v/>
      </c>
      <c r="H173" s="48" t="str">
        <f aca="false">IF(OR(NOT(ISNUMBER(H49)),NOT(ISNUMBER(H111))),"",H49-H111)</f>
        <v/>
      </c>
      <c r="I173" s="48" t="str">
        <f aca="false">IF(OR(NOT(ISNUMBER(I49)),NOT(ISNUMBER(I111))),"",I49-I111)</f>
        <v/>
      </c>
      <c r="J173" s="48" t="str">
        <f aca="false">IF(OR(NOT(ISNUMBER(J49)),NOT(ISNUMBER(J111))),"",J49-J111)</f>
        <v/>
      </c>
      <c r="K173" s="48" t="str">
        <f aca="false">IF(OR(NOT(ISNUMBER(K49)),NOT(ISNUMBER(K111))),"",K49-K111)</f>
        <v/>
      </c>
      <c r="L173" s="48" t="str">
        <f aca="false">IF(OR(NOT(ISNUMBER(L49)),NOT(ISNUMBER(L111))),"",L49-L111)</f>
        <v/>
      </c>
      <c r="M173" s="48" t="str">
        <f aca="false">IF(OR(NOT(ISNUMBER(M49)),NOT(ISNUMBER(M111))),"",M49-M111)</f>
        <v/>
      </c>
      <c r="N173" s="48" t="str">
        <f aca="false">IF(OR(NOT(ISNUMBER(N49)),NOT(ISNUMBER(N111))),"",N49-N111)</f>
        <v/>
      </c>
      <c r="O173" s="54" t="str">
        <f aca="false">IF(OR(NOT(ISNUMBER(O49)),NOT(ISNUMBER(O111))),"",O49-O111)</f>
        <v/>
      </c>
      <c r="P173" s="11" t="str">
        <f aca="false">IF(COUNT(D173:N173)=0,"",IF(AND(MAX(D173:N173)&lt;2,MIN(D173:N173)&gt;-2),"Sin diferencia","Diferencia a explicar"))</f>
        <v/>
      </c>
    </row>
    <row r="174" customFormat="false" ht="15" hidden="true" customHeight="false" outlineLevel="1" collapsed="false">
      <c r="A174" s="11" t="s">
        <v>2337</v>
      </c>
      <c r="B174" s="53" t="str">
        <f aca="false">IF(Costos!$B$85="","Concepto 11",Costos!$B$85&amp;" ("&amp;Costos!$C$85&amp;")")</f>
        <v>Concepto 11</v>
      </c>
      <c r="C174" s="11" t="s">
        <v>508</v>
      </c>
      <c r="D174" s="48" t="str">
        <f aca="false">IF(OR(NOT(ISNUMBER(D50)),NOT(ISNUMBER(D112))),"",D50-D112)</f>
        <v/>
      </c>
      <c r="E174" s="48" t="str">
        <f aca="false">IF(OR(NOT(ISNUMBER(E50)),NOT(ISNUMBER(E112))),"",E50-E112)</f>
        <v/>
      </c>
      <c r="F174" s="48" t="str">
        <f aca="false">IF(OR(NOT(ISNUMBER(F50)),NOT(ISNUMBER(F112))),"",F50-F112)</f>
        <v/>
      </c>
      <c r="G174" s="48" t="str">
        <f aca="false">IF(OR(NOT(ISNUMBER(G50)),NOT(ISNUMBER(G112))),"",G50-G112)</f>
        <v/>
      </c>
      <c r="H174" s="48" t="str">
        <f aca="false">IF(OR(NOT(ISNUMBER(H50)),NOT(ISNUMBER(H112))),"",H50-H112)</f>
        <v/>
      </c>
      <c r="I174" s="48" t="str">
        <f aca="false">IF(OR(NOT(ISNUMBER(I50)),NOT(ISNUMBER(I112))),"",I50-I112)</f>
        <v/>
      </c>
      <c r="J174" s="48" t="str">
        <f aca="false">IF(OR(NOT(ISNUMBER(J50)),NOT(ISNUMBER(J112))),"",J50-J112)</f>
        <v/>
      </c>
      <c r="K174" s="48" t="str">
        <f aca="false">IF(OR(NOT(ISNUMBER(K50)),NOT(ISNUMBER(K112))),"",K50-K112)</f>
        <v/>
      </c>
      <c r="L174" s="48" t="str">
        <f aca="false">IF(OR(NOT(ISNUMBER(L50)),NOT(ISNUMBER(L112))),"",L50-L112)</f>
        <v/>
      </c>
      <c r="M174" s="48" t="str">
        <f aca="false">IF(OR(NOT(ISNUMBER(M50)),NOT(ISNUMBER(M112))),"",M50-M112)</f>
        <v/>
      </c>
      <c r="N174" s="48" t="str">
        <f aca="false">IF(OR(NOT(ISNUMBER(N50)),NOT(ISNUMBER(N112))),"",N50-N112)</f>
        <v/>
      </c>
      <c r="O174" s="54" t="str">
        <f aca="false">IF(OR(NOT(ISNUMBER(O50)),NOT(ISNUMBER(O112))),"",O50-O112)</f>
        <v/>
      </c>
      <c r="P174" s="11" t="str">
        <f aca="false">IF(COUNT(D174:N174)=0,"",IF(AND(MAX(D174:N174)&lt;2,MIN(D174:N174)&gt;-2),"Sin diferencia","Diferencia a explicar"))</f>
        <v/>
      </c>
    </row>
    <row r="175" customFormat="false" ht="15" hidden="true" customHeight="false" outlineLevel="1" collapsed="false">
      <c r="A175" s="11" t="s">
        <v>2338</v>
      </c>
      <c r="B175" s="53" t="str">
        <f aca="false">IF(Costos!$B$86="","Concepto 12",Costos!$B$86&amp;" ("&amp;Costos!$C$86&amp;")")</f>
        <v>Concepto 12</v>
      </c>
      <c r="C175" s="11" t="s">
        <v>508</v>
      </c>
      <c r="D175" s="48" t="str">
        <f aca="false">IF(OR(NOT(ISNUMBER(D51)),NOT(ISNUMBER(D113))),"",D51-D113)</f>
        <v/>
      </c>
      <c r="E175" s="48" t="str">
        <f aca="false">IF(OR(NOT(ISNUMBER(E51)),NOT(ISNUMBER(E113))),"",E51-E113)</f>
        <v/>
      </c>
      <c r="F175" s="48" t="str">
        <f aca="false">IF(OR(NOT(ISNUMBER(F51)),NOT(ISNUMBER(F113))),"",F51-F113)</f>
        <v/>
      </c>
      <c r="G175" s="48" t="str">
        <f aca="false">IF(OR(NOT(ISNUMBER(G51)),NOT(ISNUMBER(G113))),"",G51-G113)</f>
        <v/>
      </c>
      <c r="H175" s="48" t="str">
        <f aca="false">IF(OR(NOT(ISNUMBER(H51)),NOT(ISNUMBER(H113))),"",H51-H113)</f>
        <v/>
      </c>
      <c r="I175" s="48" t="str">
        <f aca="false">IF(OR(NOT(ISNUMBER(I51)),NOT(ISNUMBER(I113))),"",I51-I113)</f>
        <v/>
      </c>
      <c r="J175" s="48" t="str">
        <f aca="false">IF(OR(NOT(ISNUMBER(J51)),NOT(ISNUMBER(J113))),"",J51-J113)</f>
        <v/>
      </c>
      <c r="K175" s="48" t="str">
        <f aca="false">IF(OR(NOT(ISNUMBER(K51)),NOT(ISNUMBER(K113))),"",K51-K113)</f>
        <v/>
      </c>
      <c r="L175" s="48" t="str">
        <f aca="false">IF(OR(NOT(ISNUMBER(L51)),NOT(ISNUMBER(L113))),"",L51-L113)</f>
        <v/>
      </c>
      <c r="M175" s="48" t="str">
        <f aca="false">IF(OR(NOT(ISNUMBER(M51)),NOT(ISNUMBER(M113))),"",M51-M113)</f>
        <v/>
      </c>
      <c r="N175" s="48" t="str">
        <f aca="false">IF(OR(NOT(ISNUMBER(N51)),NOT(ISNUMBER(N113))),"",N51-N113)</f>
        <v/>
      </c>
      <c r="O175" s="54" t="str">
        <f aca="false">IF(OR(NOT(ISNUMBER(O51)),NOT(ISNUMBER(O113))),"",O51-O113)</f>
        <v/>
      </c>
      <c r="P175" s="11" t="str">
        <f aca="false">IF(COUNT(D175:N175)=0,"",IF(AND(MAX(D175:N175)&lt;2,MIN(D175:N175)&gt;-2),"Sin diferencia","Diferencia a explicar"))</f>
        <v/>
      </c>
    </row>
    <row r="176" customFormat="false" ht="15" hidden="true" customHeight="false" outlineLevel="1" collapsed="false">
      <c r="A176" s="11" t="s">
        <v>2339</v>
      </c>
      <c r="B176" s="53" t="str">
        <f aca="false">IF(Costos!$B$87="","Concepto 13",Costos!$B$87&amp;" ("&amp;Costos!$C$87&amp;")")</f>
        <v>Concepto 13</v>
      </c>
      <c r="C176" s="11" t="s">
        <v>508</v>
      </c>
      <c r="D176" s="48" t="str">
        <f aca="false">IF(OR(NOT(ISNUMBER(D52)),NOT(ISNUMBER(D114))),"",D52-D114)</f>
        <v/>
      </c>
      <c r="E176" s="48" t="str">
        <f aca="false">IF(OR(NOT(ISNUMBER(E52)),NOT(ISNUMBER(E114))),"",E52-E114)</f>
        <v/>
      </c>
      <c r="F176" s="48" t="str">
        <f aca="false">IF(OR(NOT(ISNUMBER(F52)),NOT(ISNUMBER(F114))),"",F52-F114)</f>
        <v/>
      </c>
      <c r="G176" s="48" t="str">
        <f aca="false">IF(OR(NOT(ISNUMBER(G52)),NOT(ISNUMBER(G114))),"",G52-G114)</f>
        <v/>
      </c>
      <c r="H176" s="48" t="str">
        <f aca="false">IF(OR(NOT(ISNUMBER(H52)),NOT(ISNUMBER(H114))),"",H52-H114)</f>
        <v/>
      </c>
      <c r="I176" s="48" t="str">
        <f aca="false">IF(OR(NOT(ISNUMBER(I52)),NOT(ISNUMBER(I114))),"",I52-I114)</f>
        <v/>
      </c>
      <c r="J176" s="48" t="str">
        <f aca="false">IF(OR(NOT(ISNUMBER(J52)),NOT(ISNUMBER(J114))),"",J52-J114)</f>
        <v/>
      </c>
      <c r="K176" s="48" t="str">
        <f aca="false">IF(OR(NOT(ISNUMBER(K52)),NOT(ISNUMBER(K114))),"",K52-K114)</f>
        <v/>
      </c>
      <c r="L176" s="48" t="str">
        <f aca="false">IF(OR(NOT(ISNUMBER(L52)),NOT(ISNUMBER(L114))),"",L52-L114)</f>
        <v/>
      </c>
      <c r="M176" s="48" t="str">
        <f aca="false">IF(OR(NOT(ISNUMBER(M52)),NOT(ISNUMBER(M114))),"",M52-M114)</f>
        <v/>
      </c>
      <c r="N176" s="48" t="str">
        <f aca="false">IF(OR(NOT(ISNUMBER(N52)),NOT(ISNUMBER(N114))),"",N52-N114)</f>
        <v/>
      </c>
      <c r="O176" s="54" t="str">
        <f aca="false">IF(OR(NOT(ISNUMBER(O52)),NOT(ISNUMBER(O114))),"",O52-O114)</f>
        <v/>
      </c>
      <c r="P176" s="11" t="str">
        <f aca="false">IF(COUNT(D176:N176)=0,"",IF(AND(MAX(D176:N176)&lt;2,MIN(D176:N176)&gt;-2),"Sin diferencia","Diferencia a explicar"))</f>
        <v/>
      </c>
    </row>
    <row r="177" customFormat="false" ht="15" hidden="true" customHeight="false" outlineLevel="1" collapsed="false">
      <c r="A177" s="11" t="s">
        <v>2340</v>
      </c>
      <c r="B177" s="53" t="str">
        <f aca="false">IF(Costos!$B$88="","Concepto 14",Costos!$B$88&amp;" ("&amp;Costos!$C$88&amp;")")</f>
        <v>Concepto 14</v>
      </c>
      <c r="C177" s="11" t="s">
        <v>508</v>
      </c>
      <c r="D177" s="48" t="str">
        <f aca="false">IF(OR(NOT(ISNUMBER(D53)),NOT(ISNUMBER(D115))),"",D53-D115)</f>
        <v/>
      </c>
      <c r="E177" s="48" t="str">
        <f aca="false">IF(OR(NOT(ISNUMBER(E53)),NOT(ISNUMBER(E115))),"",E53-E115)</f>
        <v/>
      </c>
      <c r="F177" s="48" t="str">
        <f aca="false">IF(OR(NOT(ISNUMBER(F53)),NOT(ISNUMBER(F115))),"",F53-F115)</f>
        <v/>
      </c>
      <c r="G177" s="48" t="str">
        <f aca="false">IF(OR(NOT(ISNUMBER(G53)),NOT(ISNUMBER(G115))),"",G53-G115)</f>
        <v/>
      </c>
      <c r="H177" s="48" t="str">
        <f aca="false">IF(OR(NOT(ISNUMBER(H53)),NOT(ISNUMBER(H115))),"",H53-H115)</f>
        <v/>
      </c>
      <c r="I177" s="48" t="str">
        <f aca="false">IF(OR(NOT(ISNUMBER(I53)),NOT(ISNUMBER(I115))),"",I53-I115)</f>
        <v/>
      </c>
      <c r="J177" s="48" t="str">
        <f aca="false">IF(OR(NOT(ISNUMBER(J53)),NOT(ISNUMBER(J115))),"",J53-J115)</f>
        <v/>
      </c>
      <c r="K177" s="48" t="str">
        <f aca="false">IF(OR(NOT(ISNUMBER(K53)),NOT(ISNUMBER(K115))),"",K53-K115)</f>
        <v/>
      </c>
      <c r="L177" s="48" t="str">
        <f aca="false">IF(OR(NOT(ISNUMBER(L53)),NOT(ISNUMBER(L115))),"",L53-L115)</f>
        <v/>
      </c>
      <c r="M177" s="48" t="str">
        <f aca="false">IF(OR(NOT(ISNUMBER(M53)),NOT(ISNUMBER(M115))),"",M53-M115)</f>
        <v/>
      </c>
      <c r="N177" s="48" t="str">
        <f aca="false">IF(OR(NOT(ISNUMBER(N53)),NOT(ISNUMBER(N115))),"",N53-N115)</f>
        <v/>
      </c>
      <c r="O177" s="54" t="str">
        <f aca="false">IF(OR(NOT(ISNUMBER(O53)),NOT(ISNUMBER(O115))),"",O53-O115)</f>
        <v/>
      </c>
      <c r="P177" s="11" t="str">
        <f aca="false">IF(COUNT(D177:N177)=0,"",IF(AND(MAX(D177:N177)&lt;2,MIN(D177:N177)&gt;-2),"Sin diferencia","Diferencia a explicar"))</f>
        <v/>
      </c>
    </row>
    <row r="178" customFormat="false" ht="15" hidden="true" customHeight="false" outlineLevel="1" collapsed="false">
      <c r="A178" s="11" t="s">
        <v>2341</v>
      </c>
      <c r="B178" s="53" t="str">
        <f aca="false">IF(Costos!$B$89="","Concepto 15",Costos!$B$89&amp;" ("&amp;Costos!$C$89&amp;")")</f>
        <v>Concepto 15</v>
      </c>
      <c r="C178" s="11" t="s">
        <v>508</v>
      </c>
      <c r="D178" s="48" t="str">
        <f aca="false">IF(OR(NOT(ISNUMBER(D54)),NOT(ISNUMBER(D116))),"",D54-D116)</f>
        <v/>
      </c>
      <c r="E178" s="48" t="str">
        <f aca="false">IF(OR(NOT(ISNUMBER(E54)),NOT(ISNUMBER(E116))),"",E54-E116)</f>
        <v/>
      </c>
      <c r="F178" s="48" t="str">
        <f aca="false">IF(OR(NOT(ISNUMBER(F54)),NOT(ISNUMBER(F116))),"",F54-F116)</f>
        <v/>
      </c>
      <c r="G178" s="48" t="str">
        <f aca="false">IF(OR(NOT(ISNUMBER(G54)),NOT(ISNUMBER(G116))),"",G54-G116)</f>
        <v/>
      </c>
      <c r="H178" s="48" t="str">
        <f aca="false">IF(OR(NOT(ISNUMBER(H54)),NOT(ISNUMBER(H116))),"",H54-H116)</f>
        <v/>
      </c>
      <c r="I178" s="48" t="str">
        <f aca="false">IF(OR(NOT(ISNUMBER(I54)),NOT(ISNUMBER(I116))),"",I54-I116)</f>
        <v/>
      </c>
      <c r="J178" s="48" t="str">
        <f aca="false">IF(OR(NOT(ISNUMBER(J54)),NOT(ISNUMBER(J116))),"",J54-J116)</f>
        <v/>
      </c>
      <c r="K178" s="48" t="str">
        <f aca="false">IF(OR(NOT(ISNUMBER(K54)),NOT(ISNUMBER(K116))),"",K54-K116)</f>
        <v/>
      </c>
      <c r="L178" s="48" t="str">
        <f aca="false">IF(OR(NOT(ISNUMBER(L54)),NOT(ISNUMBER(L116))),"",L54-L116)</f>
        <v/>
      </c>
      <c r="M178" s="48" t="str">
        <f aca="false">IF(OR(NOT(ISNUMBER(M54)),NOT(ISNUMBER(M116))),"",M54-M116)</f>
        <v/>
      </c>
      <c r="N178" s="48" t="str">
        <f aca="false">IF(OR(NOT(ISNUMBER(N54)),NOT(ISNUMBER(N116))),"",N54-N116)</f>
        <v/>
      </c>
      <c r="O178" s="54" t="str">
        <f aca="false">IF(OR(NOT(ISNUMBER(O54)),NOT(ISNUMBER(O116))),"",O54-O116)</f>
        <v/>
      </c>
      <c r="P178" s="11" t="str">
        <f aca="false">IF(COUNT(D178:N178)=0,"",IF(AND(MAX(D178:N178)&lt;2,MIN(D178:N178)&gt;-2),"Sin diferencia","Diferencia a explicar"))</f>
        <v/>
      </c>
    </row>
    <row r="179" customFormat="false" ht="15" hidden="true" customHeight="false" outlineLevel="1" collapsed="false">
      <c r="A179" s="11" t="s">
        <v>2342</v>
      </c>
      <c r="B179" s="53" t="str">
        <f aca="false">IF(Costos!$B$90="","Concepto 16",Costos!$B$90&amp;" ("&amp;Costos!$C$90&amp;")")</f>
        <v>Concepto 16</v>
      </c>
      <c r="C179" s="11" t="s">
        <v>508</v>
      </c>
      <c r="D179" s="48" t="str">
        <f aca="false">IF(OR(NOT(ISNUMBER(D55)),NOT(ISNUMBER(D117))),"",D55-D117)</f>
        <v/>
      </c>
      <c r="E179" s="48" t="str">
        <f aca="false">IF(OR(NOT(ISNUMBER(E55)),NOT(ISNUMBER(E117))),"",E55-E117)</f>
        <v/>
      </c>
      <c r="F179" s="48" t="str">
        <f aca="false">IF(OR(NOT(ISNUMBER(F55)),NOT(ISNUMBER(F117))),"",F55-F117)</f>
        <v/>
      </c>
      <c r="G179" s="48" t="str">
        <f aca="false">IF(OR(NOT(ISNUMBER(G55)),NOT(ISNUMBER(G117))),"",G55-G117)</f>
        <v/>
      </c>
      <c r="H179" s="48" t="str">
        <f aca="false">IF(OR(NOT(ISNUMBER(H55)),NOT(ISNUMBER(H117))),"",H55-H117)</f>
        <v/>
      </c>
      <c r="I179" s="48" t="str">
        <f aca="false">IF(OR(NOT(ISNUMBER(I55)),NOT(ISNUMBER(I117))),"",I55-I117)</f>
        <v/>
      </c>
      <c r="J179" s="48" t="str">
        <f aca="false">IF(OR(NOT(ISNUMBER(J55)),NOT(ISNUMBER(J117))),"",J55-J117)</f>
        <v/>
      </c>
      <c r="K179" s="48" t="str">
        <f aca="false">IF(OR(NOT(ISNUMBER(K55)),NOT(ISNUMBER(K117))),"",K55-K117)</f>
        <v/>
      </c>
      <c r="L179" s="48" t="str">
        <f aca="false">IF(OR(NOT(ISNUMBER(L55)),NOT(ISNUMBER(L117))),"",L55-L117)</f>
        <v/>
      </c>
      <c r="M179" s="48" t="str">
        <f aca="false">IF(OR(NOT(ISNUMBER(M55)),NOT(ISNUMBER(M117))),"",M55-M117)</f>
        <v/>
      </c>
      <c r="N179" s="48" t="str">
        <f aca="false">IF(OR(NOT(ISNUMBER(N55)),NOT(ISNUMBER(N117))),"",N55-N117)</f>
        <v/>
      </c>
      <c r="O179" s="54" t="str">
        <f aca="false">IF(OR(NOT(ISNUMBER(O55)),NOT(ISNUMBER(O117))),"",O55-O117)</f>
        <v/>
      </c>
      <c r="P179" s="11" t="str">
        <f aca="false">IF(COUNT(D179:N179)=0,"",IF(AND(MAX(D179:N179)&lt;2,MIN(D179:N179)&gt;-2),"Sin diferencia","Diferencia a explicar"))</f>
        <v/>
      </c>
    </row>
    <row r="180" customFormat="false" ht="15" hidden="true" customHeight="false" outlineLevel="1" collapsed="false">
      <c r="A180" s="11" t="s">
        <v>2343</v>
      </c>
      <c r="B180" s="53" t="str">
        <f aca="false">IF(Costos!$B$91="","Concepto 17",Costos!$B$91&amp;" ("&amp;Costos!$C$91&amp;")")</f>
        <v>Concepto 17</v>
      </c>
      <c r="C180" s="11" t="s">
        <v>508</v>
      </c>
      <c r="D180" s="48" t="str">
        <f aca="false">IF(OR(NOT(ISNUMBER(D56)),NOT(ISNUMBER(D118))),"",D56-D118)</f>
        <v/>
      </c>
      <c r="E180" s="48" t="str">
        <f aca="false">IF(OR(NOT(ISNUMBER(E56)),NOT(ISNUMBER(E118))),"",E56-E118)</f>
        <v/>
      </c>
      <c r="F180" s="48" t="str">
        <f aca="false">IF(OR(NOT(ISNUMBER(F56)),NOT(ISNUMBER(F118))),"",F56-F118)</f>
        <v/>
      </c>
      <c r="G180" s="48" t="str">
        <f aca="false">IF(OR(NOT(ISNUMBER(G56)),NOT(ISNUMBER(G118))),"",G56-G118)</f>
        <v/>
      </c>
      <c r="H180" s="48" t="str">
        <f aca="false">IF(OR(NOT(ISNUMBER(H56)),NOT(ISNUMBER(H118))),"",H56-H118)</f>
        <v/>
      </c>
      <c r="I180" s="48" t="str">
        <f aca="false">IF(OR(NOT(ISNUMBER(I56)),NOT(ISNUMBER(I118))),"",I56-I118)</f>
        <v/>
      </c>
      <c r="J180" s="48" t="str">
        <f aca="false">IF(OR(NOT(ISNUMBER(J56)),NOT(ISNUMBER(J118))),"",J56-J118)</f>
        <v/>
      </c>
      <c r="K180" s="48" t="str">
        <f aca="false">IF(OR(NOT(ISNUMBER(K56)),NOT(ISNUMBER(K118))),"",K56-K118)</f>
        <v/>
      </c>
      <c r="L180" s="48" t="str">
        <f aca="false">IF(OR(NOT(ISNUMBER(L56)),NOT(ISNUMBER(L118))),"",L56-L118)</f>
        <v/>
      </c>
      <c r="M180" s="48" t="str">
        <f aca="false">IF(OR(NOT(ISNUMBER(M56)),NOT(ISNUMBER(M118))),"",M56-M118)</f>
        <v/>
      </c>
      <c r="N180" s="48" t="str">
        <f aca="false">IF(OR(NOT(ISNUMBER(N56)),NOT(ISNUMBER(N118))),"",N56-N118)</f>
        <v/>
      </c>
      <c r="O180" s="54" t="str">
        <f aca="false">IF(OR(NOT(ISNUMBER(O56)),NOT(ISNUMBER(O118))),"",O56-O118)</f>
        <v/>
      </c>
      <c r="P180" s="11" t="str">
        <f aca="false">IF(COUNT(D180:N180)=0,"",IF(AND(MAX(D180:N180)&lt;2,MIN(D180:N180)&gt;-2),"Sin diferencia","Diferencia a explicar"))</f>
        <v/>
      </c>
    </row>
    <row r="181" customFormat="false" ht="15" hidden="true" customHeight="false" outlineLevel="1" collapsed="false">
      <c r="A181" s="11" t="s">
        <v>2344</v>
      </c>
      <c r="B181" s="53" t="str">
        <f aca="false">IF(Costos!$B$92="","Concepto 18",Costos!$B$92&amp;" ("&amp;Costos!$C$92&amp;")")</f>
        <v>Concepto 18</v>
      </c>
      <c r="C181" s="11" t="s">
        <v>508</v>
      </c>
      <c r="D181" s="48" t="str">
        <f aca="false">IF(OR(NOT(ISNUMBER(D57)),NOT(ISNUMBER(D119))),"",D57-D119)</f>
        <v/>
      </c>
      <c r="E181" s="48" t="str">
        <f aca="false">IF(OR(NOT(ISNUMBER(E57)),NOT(ISNUMBER(E119))),"",E57-E119)</f>
        <v/>
      </c>
      <c r="F181" s="48" t="str">
        <f aca="false">IF(OR(NOT(ISNUMBER(F57)),NOT(ISNUMBER(F119))),"",F57-F119)</f>
        <v/>
      </c>
      <c r="G181" s="48" t="str">
        <f aca="false">IF(OR(NOT(ISNUMBER(G57)),NOT(ISNUMBER(G119))),"",G57-G119)</f>
        <v/>
      </c>
      <c r="H181" s="48" t="str">
        <f aca="false">IF(OR(NOT(ISNUMBER(H57)),NOT(ISNUMBER(H119))),"",H57-H119)</f>
        <v/>
      </c>
      <c r="I181" s="48" t="str">
        <f aca="false">IF(OR(NOT(ISNUMBER(I57)),NOT(ISNUMBER(I119))),"",I57-I119)</f>
        <v/>
      </c>
      <c r="J181" s="48" t="str">
        <f aca="false">IF(OR(NOT(ISNUMBER(J57)),NOT(ISNUMBER(J119))),"",J57-J119)</f>
        <v/>
      </c>
      <c r="K181" s="48" t="str">
        <f aca="false">IF(OR(NOT(ISNUMBER(K57)),NOT(ISNUMBER(K119))),"",K57-K119)</f>
        <v/>
      </c>
      <c r="L181" s="48" t="str">
        <f aca="false">IF(OR(NOT(ISNUMBER(L57)),NOT(ISNUMBER(L119))),"",L57-L119)</f>
        <v/>
      </c>
      <c r="M181" s="48" t="str">
        <f aca="false">IF(OR(NOT(ISNUMBER(M57)),NOT(ISNUMBER(M119))),"",M57-M119)</f>
        <v/>
      </c>
      <c r="N181" s="48" t="str">
        <f aca="false">IF(OR(NOT(ISNUMBER(N57)),NOT(ISNUMBER(N119))),"",N57-N119)</f>
        <v/>
      </c>
      <c r="O181" s="54" t="str">
        <f aca="false">IF(OR(NOT(ISNUMBER(O57)),NOT(ISNUMBER(O119))),"",O57-O119)</f>
        <v/>
      </c>
      <c r="P181" s="11" t="str">
        <f aca="false">IF(COUNT(D181:N181)=0,"",IF(AND(MAX(D181:N181)&lt;2,MIN(D181:N181)&gt;-2),"Sin diferencia","Diferencia a explicar"))</f>
        <v/>
      </c>
    </row>
    <row r="182" customFormat="false" ht="15" hidden="true" customHeight="false" outlineLevel="1" collapsed="false">
      <c r="A182" s="11" t="s">
        <v>2345</v>
      </c>
      <c r="B182" s="53" t="str">
        <f aca="false">IF(Costos!$B$93="","Concepto 19",Costos!$B$93&amp;" ("&amp;Costos!$C$93&amp;")")</f>
        <v>Concepto 19</v>
      </c>
      <c r="C182" s="11" t="s">
        <v>508</v>
      </c>
      <c r="D182" s="48" t="str">
        <f aca="false">IF(OR(NOT(ISNUMBER(D58)),NOT(ISNUMBER(D120))),"",D58-D120)</f>
        <v/>
      </c>
      <c r="E182" s="48" t="str">
        <f aca="false">IF(OR(NOT(ISNUMBER(E58)),NOT(ISNUMBER(E120))),"",E58-E120)</f>
        <v/>
      </c>
      <c r="F182" s="48" t="str">
        <f aca="false">IF(OR(NOT(ISNUMBER(F58)),NOT(ISNUMBER(F120))),"",F58-F120)</f>
        <v/>
      </c>
      <c r="G182" s="48" t="str">
        <f aca="false">IF(OR(NOT(ISNUMBER(G58)),NOT(ISNUMBER(G120))),"",G58-G120)</f>
        <v/>
      </c>
      <c r="H182" s="48" t="str">
        <f aca="false">IF(OR(NOT(ISNUMBER(H58)),NOT(ISNUMBER(H120))),"",H58-H120)</f>
        <v/>
      </c>
      <c r="I182" s="48" t="str">
        <f aca="false">IF(OR(NOT(ISNUMBER(I58)),NOT(ISNUMBER(I120))),"",I58-I120)</f>
        <v/>
      </c>
      <c r="J182" s="48" t="str">
        <f aca="false">IF(OR(NOT(ISNUMBER(J58)),NOT(ISNUMBER(J120))),"",J58-J120)</f>
        <v/>
      </c>
      <c r="K182" s="48" t="str">
        <f aca="false">IF(OR(NOT(ISNUMBER(K58)),NOT(ISNUMBER(K120))),"",K58-K120)</f>
        <v/>
      </c>
      <c r="L182" s="48" t="str">
        <f aca="false">IF(OR(NOT(ISNUMBER(L58)),NOT(ISNUMBER(L120))),"",L58-L120)</f>
        <v/>
      </c>
      <c r="M182" s="48" t="str">
        <f aca="false">IF(OR(NOT(ISNUMBER(M58)),NOT(ISNUMBER(M120))),"",M58-M120)</f>
        <v/>
      </c>
      <c r="N182" s="48" t="str">
        <f aca="false">IF(OR(NOT(ISNUMBER(N58)),NOT(ISNUMBER(N120))),"",N58-N120)</f>
        <v/>
      </c>
      <c r="O182" s="54" t="str">
        <f aca="false">IF(OR(NOT(ISNUMBER(O58)),NOT(ISNUMBER(O120))),"",O58-O120)</f>
        <v/>
      </c>
      <c r="P182" s="11" t="str">
        <f aca="false">IF(COUNT(D182:N182)=0,"",IF(AND(MAX(D182:N182)&lt;2,MIN(D182:N182)&gt;-2),"Sin diferencia","Diferencia a explicar"))</f>
        <v/>
      </c>
    </row>
    <row r="183" customFormat="false" ht="15" hidden="true" customHeight="false" outlineLevel="1" collapsed="false">
      <c r="A183" s="11" t="s">
        <v>2346</v>
      </c>
      <c r="B183" s="53" t="str">
        <f aca="false">IF(Costos!$B$94="","Concepto 20",Costos!$B$94&amp;" ("&amp;Costos!$C$94&amp;")")</f>
        <v>Concepto 20</v>
      </c>
      <c r="C183" s="11" t="s">
        <v>508</v>
      </c>
      <c r="D183" s="48" t="str">
        <f aca="false">IF(OR(NOT(ISNUMBER(D59)),NOT(ISNUMBER(D121))),"",D59-D121)</f>
        <v/>
      </c>
      <c r="E183" s="48" t="str">
        <f aca="false">IF(OR(NOT(ISNUMBER(E59)),NOT(ISNUMBER(E121))),"",E59-E121)</f>
        <v/>
      </c>
      <c r="F183" s="48" t="str">
        <f aca="false">IF(OR(NOT(ISNUMBER(F59)),NOT(ISNUMBER(F121))),"",F59-F121)</f>
        <v/>
      </c>
      <c r="G183" s="48" t="str">
        <f aca="false">IF(OR(NOT(ISNUMBER(G59)),NOT(ISNUMBER(G121))),"",G59-G121)</f>
        <v/>
      </c>
      <c r="H183" s="48" t="str">
        <f aca="false">IF(OR(NOT(ISNUMBER(H59)),NOT(ISNUMBER(H121))),"",H59-H121)</f>
        <v/>
      </c>
      <c r="I183" s="48" t="str">
        <f aca="false">IF(OR(NOT(ISNUMBER(I59)),NOT(ISNUMBER(I121))),"",I59-I121)</f>
        <v/>
      </c>
      <c r="J183" s="48" t="str">
        <f aca="false">IF(OR(NOT(ISNUMBER(J59)),NOT(ISNUMBER(J121))),"",J59-J121)</f>
        <v/>
      </c>
      <c r="K183" s="48" t="str">
        <f aca="false">IF(OR(NOT(ISNUMBER(K59)),NOT(ISNUMBER(K121))),"",K59-K121)</f>
        <v/>
      </c>
      <c r="L183" s="48" t="str">
        <f aca="false">IF(OR(NOT(ISNUMBER(L59)),NOT(ISNUMBER(L121))),"",L59-L121)</f>
        <v/>
      </c>
      <c r="M183" s="48" t="str">
        <f aca="false">IF(OR(NOT(ISNUMBER(M59)),NOT(ISNUMBER(M121))),"",M59-M121)</f>
        <v/>
      </c>
      <c r="N183" s="48" t="str">
        <f aca="false">IF(OR(NOT(ISNUMBER(N59)),NOT(ISNUMBER(N121))),"",N59-N121)</f>
        <v/>
      </c>
      <c r="O183" s="54" t="str">
        <f aca="false">IF(OR(NOT(ISNUMBER(O59)),NOT(ISNUMBER(O121))),"",O59-O121)</f>
        <v/>
      </c>
      <c r="P183" s="11" t="str">
        <f aca="false">IF(COUNT(D183:N183)=0,"",IF(AND(MAX(D183:N183)&lt;2,MIN(D183:N183)&gt;-2),"Sin diferencia","Diferencia a explicar"))</f>
        <v/>
      </c>
    </row>
    <row r="184" customFormat="false" ht="15" hidden="true" customHeight="false" outlineLevel="1" collapsed="false">
      <c r="A184" s="11" t="s">
        <v>2347</v>
      </c>
      <c r="B184" s="53" t="str">
        <f aca="false">IF(Costos!$B$95="","Concepto 21",Costos!$B$95&amp;" ("&amp;Costos!$C$95&amp;")")</f>
        <v>Concepto 21</v>
      </c>
      <c r="C184" s="11" t="s">
        <v>508</v>
      </c>
      <c r="D184" s="48" t="str">
        <f aca="false">IF(OR(NOT(ISNUMBER(D60)),NOT(ISNUMBER(D122))),"",D60-D122)</f>
        <v/>
      </c>
      <c r="E184" s="48" t="str">
        <f aca="false">IF(OR(NOT(ISNUMBER(E60)),NOT(ISNUMBER(E122))),"",E60-E122)</f>
        <v/>
      </c>
      <c r="F184" s="48" t="str">
        <f aca="false">IF(OR(NOT(ISNUMBER(F60)),NOT(ISNUMBER(F122))),"",F60-F122)</f>
        <v/>
      </c>
      <c r="G184" s="48" t="str">
        <f aca="false">IF(OR(NOT(ISNUMBER(G60)),NOT(ISNUMBER(G122))),"",G60-G122)</f>
        <v/>
      </c>
      <c r="H184" s="48" t="str">
        <f aca="false">IF(OR(NOT(ISNUMBER(H60)),NOT(ISNUMBER(H122))),"",H60-H122)</f>
        <v/>
      </c>
      <c r="I184" s="48" t="str">
        <f aca="false">IF(OR(NOT(ISNUMBER(I60)),NOT(ISNUMBER(I122))),"",I60-I122)</f>
        <v/>
      </c>
      <c r="J184" s="48" t="str">
        <f aca="false">IF(OR(NOT(ISNUMBER(J60)),NOT(ISNUMBER(J122))),"",J60-J122)</f>
        <v/>
      </c>
      <c r="K184" s="48" t="str">
        <f aca="false">IF(OR(NOT(ISNUMBER(K60)),NOT(ISNUMBER(K122))),"",K60-K122)</f>
        <v/>
      </c>
      <c r="L184" s="48" t="str">
        <f aca="false">IF(OR(NOT(ISNUMBER(L60)),NOT(ISNUMBER(L122))),"",L60-L122)</f>
        <v/>
      </c>
      <c r="M184" s="48" t="str">
        <f aca="false">IF(OR(NOT(ISNUMBER(M60)),NOT(ISNUMBER(M122))),"",M60-M122)</f>
        <v/>
      </c>
      <c r="N184" s="48" t="str">
        <f aca="false">IF(OR(NOT(ISNUMBER(N60)),NOT(ISNUMBER(N122))),"",N60-N122)</f>
        <v/>
      </c>
      <c r="O184" s="54" t="str">
        <f aca="false">IF(OR(NOT(ISNUMBER(O60)),NOT(ISNUMBER(O122))),"",O60-O122)</f>
        <v/>
      </c>
      <c r="P184" s="11" t="str">
        <f aca="false">IF(COUNT(D184:N184)=0,"",IF(AND(MAX(D184:N184)&lt;2,MIN(D184:N184)&gt;-2),"Sin diferencia","Diferencia a explicar"))</f>
        <v/>
      </c>
    </row>
    <row r="185" customFormat="false" ht="15" hidden="true" customHeight="false" outlineLevel="1" collapsed="false">
      <c r="A185" s="11" t="s">
        <v>2348</v>
      </c>
      <c r="B185" s="53" t="str">
        <f aca="false">IF(Costos!$B$96="","Concepto 22",Costos!$B$96&amp;" ("&amp;Costos!$C$96&amp;")")</f>
        <v>Concepto 22</v>
      </c>
      <c r="C185" s="11" t="s">
        <v>508</v>
      </c>
      <c r="D185" s="48" t="str">
        <f aca="false">IF(OR(NOT(ISNUMBER(D61)),NOT(ISNUMBER(D123))),"",D61-D123)</f>
        <v/>
      </c>
      <c r="E185" s="48" t="str">
        <f aca="false">IF(OR(NOT(ISNUMBER(E61)),NOT(ISNUMBER(E123))),"",E61-E123)</f>
        <v/>
      </c>
      <c r="F185" s="48" t="str">
        <f aca="false">IF(OR(NOT(ISNUMBER(F61)),NOT(ISNUMBER(F123))),"",F61-F123)</f>
        <v/>
      </c>
      <c r="G185" s="48" t="str">
        <f aca="false">IF(OR(NOT(ISNUMBER(G61)),NOT(ISNUMBER(G123))),"",G61-G123)</f>
        <v/>
      </c>
      <c r="H185" s="48" t="str">
        <f aca="false">IF(OR(NOT(ISNUMBER(H61)),NOT(ISNUMBER(H123))),"",H61-H123)</f>
        <v/>
      </c>
      <c r="I185" s="48" t="str">
        <f aca="false">IF(OR(NOT(ISNUMBER(I61)),NOT(ISNUMBER(I123))),"",I61-I123)</f>
        <v/>
      </c>
      <c r="J185" s="48" t="str">
        <f aca="false">IF(OR(NOT(ISNUMBER(J61)),NOT(ISNUMBER(J123))),"",J61-J123)</f>
        <v/>
      </c>
      <c r="K185" s="48" t="str">
        <f aca="false">IF(OR(NOT(ISNUMBER(K61)),NOT(ISNUMBER(K123))),"",K61-K123)</f>
        <v/>
      </c>
      <c r="L185" s="48" t="str">
        <f aca="false">IF(OR(NOT(ISNUMBER(L61)),NOT(ISNUMBER(L123))),"",L61-L123)</f>
        <v/>
      </c>
      <c r="M185" s="48" t="str">
        <f aca="false">IF(OR(NOT(ISNUMBER(M61)),NOT(ISNUMBER(M123))),"",M61-M123)</f>
        <v/>
      </c>
      <c r="N185" s="48" t="str">
        <f aca="false">IF(OR(NOT(ISNUMBER(N61)),NOT(ISNUMBER(N123))),"",N61-N123)</f>
        <v/>
      </c>
      <c r="O185" s="54" t="str">
        <f aca="false">IF(OR(NOT(ISNUMBER(O61)),NOT(ISNUMBER(O123))),"",O61-O123)</f>
        <v/>
      </c>
      <c r="P185" s="11" t="str">
        <f aca="false">IF(COUNT(D185:N185)=0,"",IF(AND(MAX(D185:N185)&lt;2,MIN(D185:N185)&gt;-2),"Sin diferencia","Diferencia a explicar"))</f>
        <v/>
      </c>
    </row>
    <row r="186" customFormat="false" ht="15" hidden="true" customHeight="false" outlineLevel="1" collapsed="false">
      <c r="A186" s="11" t="s">
        <v>2349</v>
      </c>
      <c r="B186" s="53" t="str">
        <f aca="false">IF(Costos!$B$97="","Concepto 23",Costos!$B$97&amp;" ("&amp;Costos!$C$97&amp;")")</f>
        <v>Concepto 23</v>
      </c>
      <c r="C186" s="11" t="s">
        <v>508</v>
      </c>
      <c r="D186" s="48" t="str">
        <f aca="false">IF(OR(NOT(ISNUMBER(D62)),NOT(ISNUMBER(D124))),"",D62-D124)</f>
        <v/>
      </c>
      <c r="E186" s="48" t="str">
        <f aca="false">IF(OR(NOT(ISNUMBER(E62)),NOT(ISNUMBER(E124))),"",E62-E124)</f>
        <v/>
      </c>
      <c r="F186" s="48" t="str">
        <f aca="false">IF(OR(NOT(ISNUMBER(F62)),NOT(ISNUMBER(F124))),"",F62-F124)</f>
        <v/>
      </c>
      <c r="G186" s="48" t="str">
        <f aca="false">IF(OR(NOT(ISNUMBER(G62)),NOT(ISNUMBER(G124))),"",G62-G124)</f>
        <v/>
      </c>
      <c r="H186" s="48" t="str">
        <f aca="false">IF(OR(NOT(ISNUMBER(H62)),NOT(ISNUMBER(H124))),"",H62-H124)</f>
        <v/>
      </c>
      <c r="I186" s="48" t="str">
        <f aca="false">IF(OR(NOT(ISNUMBER(I62)),NOT(ISNUMBER(I124))),"",I62-I124)</f>
        <v/>
      </c>
      <c r="J186" s="48" t="str">
        <f aca="false">IF(OR(NOT(ISNUMBER(J62)),NOT(ISNUMBER(J124))),"",J62-J124)</f>
        <v/>
      </c>
      <c r="K186" s="48" t="str">
        <f aca="false">IF(OR(NOT(ISNUMBER(K62)),NOT(ISNUMBER(K124))),"",K62-K124)</f>
        <v/>
      </c>
      <c r="L186" s="48" t="str">
        <f aca="false">IF(OR(NOT(ISNUMBER(L62)),NOT(ISNUMBER(L124))),"",L62-L124)</f>
        <v/>
      </c>
      <c r="M186" s="48" t="str">
        <f aca="false">IF(OR(NOT(ISNUMBER(M62)),NOT(ISNUMBER(M124))),"",M62-M124)</f>
        <v/>
      </c>
      <c r="N186" s="48" t="str">
        <f aca="false">IF(OR(NOT(ISNUMBER(N62)),NOT(ISNUMBER(N124))),"",N62-N124)</f>
        <v/>
      </c>
      <c r="O186" s="54" t="str">
        <f aca="false">IF(OR(NOT(ISNUMBER(O62)),NOT(ISNUMBER(O124))),"",O62-O124)</f>
        <v/>
      </c>
      <c r="P186" s="11" t="str">
        <f aca="false">IF(COUNT(D186:N186)=0,"",IF(AND(MAX(D186:N186)&lt;2,MIN(D186:N186)&gt;-2),"Sin diferencia","Diferencia a explicar"))</f>
        <v/>
      </c>
    </row>
    <row r="187" customFormat="false" ht="15" hidden="true" customHeight="false" outlineLevel="1" collapsed="false">
      <c r="A187" s="11" t="s">
        <v>2350</v>
      </c>
      <c r="B187" s="53" t="str">
        <f aca="false">IF(Costos!$B$98="","Concepto 24",Costos!$B$98&amp;" ("&amp;Costos!$C$98&amp;")")</f>
        <v>Concepto 24</v>
      </c>
      <c r="C187" s="11" t="s">
        <v>508</v>
      </c>
      <c r="D187" s="48" t="str">
        <f aca="false">IF(OR(NOT(ISNUMBER(D63)),NOT(ISNUMBER(D125))),"",D63-D125)</f>
        <v/>
      </c>
      <c r="E187" s="48" t="str">
        <f aca="false">IF(OR(NOT(ISNUMBER(E63)),NOT(ISNUMBER(E125))),"",E63-E125)</f>
        <v/>
      </c>
      <c r="F187" s="48" t="str">
        <f aca="false">IF(OR(NOT(ISNUMBER(F63)),NOT(ISNUMBER(F125))),"",F63-F125)</f>
        <v/>
      </c>
      <c r="G187" s="48" t="str">
        <f aca="false">IF(OR(NOT(ISNUMBER(G63)),NOT(ISNUMBER(G125))),"",G63-G125)</f>
        <v/>
      </c>
      <c r="H187" s="48" t="str">
        <f aca="false">IF(OR(NOT(ISNUMBER(H63)),NOT(ISNUMBER(H125))),"",H63-H125)</f>
        <v/>
      </c>
      <c r="I187" s="48" t="str">
        <f aca="false">IF(OR(NOT(ISNUMBER(I63)),NOT(ISNUMBER(I125))),"",I63-I125)</f>
        <v/>
      </c>
      <c r="J187" s="48" t="str">
        <f aca="false">IF(OR(NOT(ISNUMBER(J63)),NOT(ISNUMBER(J125))),"",J63-J125)</f>
        <v/>
      </c>
      <c r="K187" s="48" t="str">
        <f aca="false">IF(OR(NOT(ISNUMBER(K63)),NOT(ISNUMBER(K125))),"",K63-K125)</f>
        <v/>
      </c>
      <c r="L187" s="48" t="str">
        <f aca="false">IF(OR(NOT(ISNUMBER(L63)),NOT(ISNUMBER(L125))),"",L63-L125)</f>
        <v/>
      </c>
      <c r="M187" s="48" t="str">
        <f aca="false">IF(OR(NOT(ISNUMBER(M63)),NOT(ISNUMBER(M125))),"",M63-M125)</f>
        <v/>
      </c>
      <c r="N187" s="48" t="str">
        <f aca="false">IF(OR(NOT(ISNUMBER(N63)),NOT(ISNUMBER(N125))),"",N63-N125)</f>
        <v/>
      </c>
      <c r="O187" s="54" t="str">
        <f aca="false">IF(OR(NOT(ISNUMBER(O63)),NOT(ISNUMBER(O125))),"",O63-O125)</f>
        <v/>
      </c>
      <c r="P187" s="11" t="str">
        <f aca="false">IF(COUNT(D187:N187)=0,"",IF(AND(MAX(D187:N187)&lt;2,MIN(D187:N187)&gt;-2),"Sin diferencia","Diferencia a explicar"))</f>
        <v/>
      </c>
    </row>
    <row r="188" customFormat="false" ht="15" hidden="true" customHeight="false" outlineLevel="1" collapsed="false">
      <c r="A188" s="11" t="s">
        <v>2351</v>
      </c>
      <c r="B188" s="53" t="str">
        <f aca="false">IF(Costos!$B$99="","Concepto 25",Costos!$B$99&amp;" ("&amp;Costos!$C$99&amp;")")</f>
        <v>Concepto 25</v>
      </c>
      <c r="C188" s="11" t="s">
        <v>508</v>
      </c>
      <c r="D188" s="48" t="str">
        <f aca="false">IF(OR(NOT(ISNUMBER(D64)),NOT(ISNUMBER(D126))),"",D64-D126)</f>
        <v/>
      </c>
      <c r="E188" s="48" t="str">
        <f aca="false">IF(OR(NOT(ISNUMBER(E64)),NOT(ISNUMBER(E126))),"",E64-E126)</f>
        <v/>
      </c>
      <c r="F188" s="48" t="str">
        <f aca="false">IF(OR(NOT(ISNUMBER(F64)),NOT(ISNUMBER(F126))),"",F64-F126)</f>
        <v/>
      </c>
      <c r="G188" s="48" t="str">
        <f aca="false">IF(OR(NOT(ISNUMBER(G64)),NOT(ISNUMBER(G126))),"",G64-G126)</f>
        <v/>
      </c>
      <c r="H188" s="48" t="str">
        <f aca="false">IF(OR(NOT(ISNUMBER(H64)),NOT(ISNUMBER(H126))),"",H64-H126)</f>
        <v/>
      </c>
      <c r="I188" s="48" t="str">
        <f aca="false">IF(OR(NOT(ISNUMBER(I64)),NOT(ISNUMBER(I126))),"",I64-I126)</f>
        <v/>
      </c>
      <c r="J188" s="48" t="str">
        <f aca="false">IF(OR(NOT(ISNUMBER(J64)),NOT(ISNUMBER(J126))),"",J64-J126)</f>
        <v/>
      </c>
      <c r="K188" s="48" t="str">
        <f aca="false">IF(OR(NOT(ISNUMBER(K64)),NOT(ISNUMBER(K126))),"",K64-K126)</f>
        <v/>
      </c>
      <c r="L188" s="48" t="str">
        <f aca="false">IF(OR(NOT(ISNUMBER(L64)),NOT(ISNUMBER(L126))),"",L64-L126)</f>
        <v/>
      </c>
      <c r="M188" s="48" t="str">
        <f aca="false">IF(OR(NOT(ISNUMBER(M64)),NOT(ISNUMBER(M126))),"",M64-M126)</f>
        <v/>
      </c>
      <c r="N188" s="48" t="str">
        <f aca="false">IF(OR(NOT(ISNUMBER(N64)),NOT(ISNUMBER(N126))),"",N64-N126)</f>
        <v/>
      </c>
      <c r="O188" s="54" t="str">
        <f aca="false">IF(OR(NOT(ISNUMBER(O64)),NOT(ISNUMBER(O126))),"",O64-O126)</f>
        <v/>
      </c>
      <c r="P188" s="11" t="str">
        <f aca="false">IF(COUNT(D188:N188)=0,"",IF(AND(MAX(D188:N188)&lt;2,MIN(D188:N188)&gt;-2),"Sin diferencia","Diferencia a explicar"))</f>
        <v/>
      </c>
    </row>
    <row r="189" customFormat="false" ht="15" hidden="false" customHeight="false" outlineLevel="0" collapsed="false">
      <c r="A189" s="11" t="s">
        <v>2352</v>
      </c>
      <c r="B189" s="15" t="s">
        <v>2353</v>
      </c>
      <c r="C189" s="11" t="s">
        <v>508</v>
      </c>
      <c r="D189" s="48"/>
      <c r="E189" s="48"/>
      <c r="F189" s="48"/>
      <c r="G189" s="48"/>
      <c r="H189" s="48"/>
      <c r="I189" s="48"/>
      <c r="J189" s="48"/>
      <c r="K189" s="48"/>
      <c r="L189" s="48"/>
      <c r="M189" s="48"/>
      <c r="N189" s="48"/>
    </row>
    <row r="191" customFormat="false" ht="15" hidden="false" customHeight="false" outlineLevel="0" collapsed="false">
      <c r="A191" s="12" t="s">
        <v>240</v>
      </c>
      <c r="B191" s="13"/>
      <c r="C191" s="13"/>
      <c r="D191" s="13"/>
      <c r="E191" s="13"/>
      <c r="F191" s="13"/>
      <c r="G191" s="13"/>
      <c r="H191" s="13"/>
      <c r="I191" s="13"/>
      <c r="J191" s="13"/>
      <c r="K191" s="13"/>
      <c r="L191" s="13"/>
      <c r="M191" s="13"/>
      <c r="N191" s="13"/>
      <c r="O191" s="13"/>
    </row>
    <row r="192" customFormat="false" ht="15" hidden="false" customHeight="false" outlineLevel="0" collapsed="false">
      <c r="B192" s="11" t="s">
        <v>2354</v>
      </c>
    </row>
    <row r="193" customFormat="false" ht="15" hidden="false" customHeight="false" outlineLevel="0" collapsed="false">
      <c r="B193" s="11" t="s">
        <v>2355</v>
      </c>
    </row>
    <row r="194" customFormat="false" ht="15" hidden="false" customHeight="false" outlineLevel="0" collapsed="false">
      <c r="B194" s="11" t="s">
        <v>2356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70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2357</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10b, pág. 20"</f>
        <v>Plan de referencia: Plan CIE–PERG Oct-2025 — cuadro 10b, pág. 20</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2358</v>
      </c>
      <c r="B8" s="67" t="s">
        <v>2359</v>
      </c>
      <c r="C8" s="11" t="s">
        <v>508</v>
      </c>
      <c r="D8" s="54" t="n">
        <f aca="false">IF(cu_P=1,(SUMIFS(Calculo!$F$93:$ES$93,Calculo!$F$16:$ES$16,1)+SUMIFS(Calculo!$F$94:$ES$94,Calculo!$F$16:$ES$16,1)+SUMIFS(Calculo!$F$95:$ES$95,Calculo!$F$16:$ES$16,1)+SUMIFS(Calculo!$F$96:$ES$96,Calculo!$F$16:$ES$16,1)+SUMIFS(Calculo!$F$100:$ES$100,Calculo!$F$16:$ES$16,1)+SUMIFS(Calculo!$F$98:$ES$98,Calculo!$F$16:$ES$16,1)+SUMIFS(Calculo!$F$99:$ES$99,Calculo!$F$16:$ES$16,1)-SUMIFS(Calculo!$F$101:$ES$101,Calculo!$F$16:$ES$16,1)+SUMIFS(Calculo!$F$103:$ES$103,Calculo!$F$16:$ES$16,1)+SUMIFS(Calculo!$F$105:$ES$105,Calculo!$F$16:$ES$16,1)),(SUMIFS(Calculo!$F$249:$ES$249,Calculo!$F$172:$ES$172,1)+SUMIFS(Calculo!$F$250:$ES$250,Calculo!$F$172:$ES$172,1)+SUMIFS(Calculo!$F$251:$ES$251,Calculo!$F$172:$ES$172,1)+SUMIFS(Calculo!$F$252:$ES$252,Calculo!$F$172:$ES$172,1)+SUMIFS(Calculo!$F$256:$ES$256,Calculo!$F$172:$ES$172,1)+SUMIFS(Calculo!$F$254:$ES$254,Calculo!$F$172:$ES$172,1)+SUMIFS(Calculo!$F$255:$ES$255,Calculo!$F$172:$ES$172,1)-SUMIFS(Calculo!$F$257:$ES$257,Calculo!$F$172:$ES$172,1)+SUMIFS(Calculo!$F$259:$ES$259,Calculo!$F$172:$ES$172,1)+SUMIFS(Calculo!$F$261:$ES$261,Calculo!$F$172:$ES$172,1)))</f>
        <v>0</v>
      </c>
      <c r="E8" s="54" t="n">
        <f aca="false">IF(cu_P=1,(SUMIFS(Calculo!$F$93:$ES$93,Calculo!$F$14:$ES$14,1)+SUMIFS(Calculo!$F$94:$ES$94,Calculo!$F$14:$ES$14,1)+SUMIFS(Calculo!$F$95:$ES$95,Calculo!$F$14:$ES$14,1)+SUMIFS(Calculo!$F$96:$ES$96,Calculo!$F$14:$ES$14,1)+SUMIFS(Calculo!$F$100:$ES$100,Calculo!$F$14:$ES$14,1)+SUMIFS(Calculo!$F$98:$ES$98,Calculo!$F$14:$ES$14,1)+SUMIFS(Calculo!$F$99:$ES$99,Calculo!$F$14:$ES$14,1)-SUMIFS(Calculo!$F$101:$ES$101,Calculo!$F$14:$ES$14,1)+SUMIFS(Calculo!$F$103:$ES$103,Calculo!$F$14:$ES$14,1)+SUMIFS(Calculo!$F$105:$ES$105,Calculo!$F$14:$ES$14,1)),(SUMIFS(Calculo!$F$249:$ES$249,Calculo!$F$170:$ES$170,1)+SUMIFS(Calculo!$F$250:$ES$250,Calculo!$F$170:$ES$170,1)+SUMIFS(Calculo!$F$251:$ES$251,Calculo!$F$170:$ES$170,1)+SUMIFS(Calculo!$F$252:$ES$252,Calculo!$F$170:$ES$170,1)+SUMIFS(Calculo!$F$256:$ES$256,Calculo!$F$170:$ES$170,1)+SUMIFS(Calculo!$F$254:$ES$254,Calculo!$F$170:$ES$170,1)+SUMIFS(Calculo!$F$255:$ES$255,Calculo!$F$170:$ES$170,1)-SUMIFS(Calculo!$F$257:$ES$257,Calculo!$F$170:$ES$170,1)+SUMIFS(Calculo!$F$259:$ES$259,Calculo!$F$170:$ES$170,1)+SUMIFS(Calculo!$F$261:$ES$261,Calculo!$F$170:$ES$170,1)))</f>
        <v>4682724.13572395</v>
      </c>
      <c r="F8" s="54" t="n">
        <f aca="false">IF(cu_P=1,(SUMIFS(Calculo!$F$93:$ES$93,Calculo!$F$14:$ES$14,2)+SUMIFS(Calculo!$F$94:$ES$94,Calculo!$F$14:$ES$14,2)+SUMIFS(Calculo!$F$95:$ES$95,Calculo!$F$14:$ES$14,2)+SUMIFS(Calculo!$F$96:$ES$96,Calculo!$F$14:$ES$14,2)+SUMIFS(Calculo!$F$100:$ES$100,Calculo!$F$14:$ES$14,2)+SUMIFS(Calculo!$F$98:$ES$98,Calculo!$F$14:$ES$14,2)+SUMIFS(Calculo!$F$99:$ES$99,Calculo!$F$14:$ES$14,2)-SUMIFS(Calculo!$F$101:$ES$101,Calculo!$F$14:$ES$14,2)+SUMIFS(Calculo!$F$103:$ES$103,Calculo!$F$14:$ES$14,2)+SUMIFS(Calculo!$F$105:$ES$105,Calculo!$F$14:$ES$14,2)),(SUMIFS(Calculo!$F$249:$ES$249,Calculo!$F$170:$ES$170,2)+SUMIFS(Calculo!$F$250:$ES$250,Calculo!$F$170:$ES$170,2)+SUMIFS(Calculo!$F$251:$ES$251,Calculo!$F$170:$ES$170,2)+SUMIFS(Calculo!$F$252:$ES$252,Calculo!$F$170:$ES$170,2)+SUMIFS(Calculo!$F$256:$ES$256,Calculo!$F$170:$ES$170,2)+SUMIFS(Calculo!$F$254:$ES$254,Calculo!$F$170:$ES$170,2)+SUMIFS(Calculo!$F$255:$ES$255,Calculo!$F$170:$ES$170,2)-SUMIFS(Calculo!$F$257:$ES$257,Calculo!$F$170:$ES$170,2)+SUMIFS(Calculo!$F$259:$ES$259,Calculo!$F$170:$ES$170,2)+SUMIFS(Calculo!$F$261:$ES$261,Calculo!$F$170:$ES$170,2)))</f>
        <v>5523109.62719388</v>
      </c>
      <c r="G8" s="54" t="n">
        <f aca="false">IF(cu_P=1,(SUMIFS(Calculo!$F$93:$ES$93,Calculo!$F$14:$ES$14,3)+SUMIFS(Calculo!$F$94:$ES$94,Calculo!$F$14:$ES$14,3)+SUMIFS(Calculo!$F$95:$ES$95,Calculo!$F$14:$ES$14,3)+SUMIFS(Calculo!$F$96:$ES$96,Calculo!$F$14:$ES$14,3)+SUMIFS(Calculo!$F$100:$ES$100,Calculo!$F$14:$ES$14,3)+SUMIFS(Calculo!$F$98:$ES$98,Calculo!$F$14:$ES$14,3)+SUMIFS(Calculo!$F$99:$ES$99,Calculo!$F$14:$ES$14,3)-SUMIFS(Calculo!$F$101:$ES$101,Calculo!$F$14:$ES$14,3)+SUMIFS(Calculo!$F$103:$ES$103,Calculo!$F$14:$ES$14,3)+SUMIFS(Calculo!$F$105:$ES$105,Calculo!$F$14:$ES$14,3)),(SUMIFS(Calculo!$F$249:$ES$249,Calculo!$F$170:$ES$170,3)+SUMIFS(Calculo!$F$250:$ES$250,Calculo!$F$170:$ES$170,3)+SUMIFS(Calculo!$F$251:$ES$251,Calculo!$F$170:$ES$170,3)+SUMIFS(Calculo!$F$252:$ES$252,Calculo!$F$170:$ES$170,3)+SUMIFS(Calculo!$F$256:$ES$256,Calculo!$F$170:$ES$170,3)+SUMIFS(Calculo!$F$254:$ES$254,Calculo!$F$170:$ES$170,3)+SUMIFS(Calculo!$F$255:$ES$255,Calculo!$F$170:$ES$170,3)-SUMIFS(Calculo!$F$257:$ES$257,Calculo!$F$170:$ES$170,3)+SUMIFS(Calculo!$F$259:$ES$259,Calculo!$F$170:$ES$170,3)+SUMIFS(Calculo!$F$261:$ES$261,Calculo!$F$170:$ES$170,3)))</f>
        <v>6384526.81155967</v>
      </c>
      <c r="H8" s="54" t="n">
        <f aca="false">IF(cu_P=1,(SUMIFS(Calculo!$F$93:$ES$93,Calculo!$F$14:$ES$14,4)+SUMIFS(Calculo!$F$94:$ES$94,Calculo!$F$14:$ES$14,4)+SUMIFS(Calculo!$F$95:$ES$95,Calculo!$F$14:$ES$14,4)+SUMIFS(Calculo!$F$96:$ES$96,Calculo!$F$14:$ES$14,4)+SUMIFS(Calculo!$F$100:$ES$100,Calculo!$F$14:$ES$14,4)+SUMIFS(Calculo!$F$98:$ES$98,Calculo!$F$14:$ES$14,4)+SUMIFS(Calculo!$F$99:$ES$99,Calculo!$F$14:$ES$14,4)-SUMIFS(Calculo!$F$101:$ES$101,Calculo!$F$14:$ES$14,4)+SUMIFS(Calculo!$F$103:$ES$103,Calculo!$F$14:$ES$14,4)+SUMIFS(Calculo!$F$105:$ES$105,Calculo!$F$14:$ES$14,4)),(SUMIFS(Calculo!$F$249:$ES$249,Calculo!$F$170:$ES$170,4)+SUMIFS(Calculo!$F$250:$ES$250,Calculo!$F$170:$ES$170,4)+SUMIFS(Calculo!$F$251:$ES$251,Calculo!$F$170:$ES$170,4)+SUMIFS(Calculo!$F$252:$ES$252,Calculo!$F$170:$ES$170,4)+SUMIFS(Calculo!$F$256:$ES$256,Calculo!$F$170:$ES$170,4)+SUMIFS(Calculo!$F$254:$ES$254,Calculo!$F$170:$ES$170,4)+SUMIFS(Calculo!$F$255:$ES$255,Calculo!$F$170:$ES$170,4)-SUMIFS(Calculo!$F$257:$ES$257,Calculo!$F$170:$ES$170,4)+SUMIFS(Calculo!$F$259:$ES$259,Calculo!$F$170:$ES$170,4)+SUMIFS(Calculo!$F$261:$ES$261,Calculo!$F$170:$ES$170,4)))</f>
        <v>7075530.67323815</v>
      </c>
      <c r="I8" s="54" t="n">
        <f aca="false">IF(cu_P=1,(SUMIFS(Calculo!$F$93:$ES$93,Calculo!$F$14:$ES$14,5)+SUMIFS(Calculo!$F$94:$ES$94,Calculo!$F$14:$ES$14,5)+SUMIFS(Calculo!$F$95:$ES$95,Calculo!$F$14:$ES$14,5)+SUMIFS(Calculo!$F$96:$ES$96,Calculo!$F$14:$ES$14,5)+SUMIFS(Calculo!$F$100:$ES$100,Calculo!$F$14:$ES$14,5)+SUMIFS(Calculo!$F$98:$ES$98,Calculo!$F$14:$ES$14,5)+SUMIFS(Calculo!$F$99:$ES$99,Calculo!$F$14:$ES$14,5)-SUMIFS(Calculo!$F$101:$ES$101,Calculo!$F$14:$ES$14,5)+SUMIFS(Calculo!$F$103:$ES$103,Calculo!$F$14:$ES$14,5)+SUMIFS(Calculo!$F$105:$ES$105,Calculo!$F$14:$ES$14,5)),(SUMIFS(Calculo!$F$249:$ES$249,Calculo!$F$170:$ES$170,5)+SUMIFS(Calculo!$F$250:$ES$250,Calculo!$F$170:$ES$170,5)+SUMIFS(Calculo!$F$251:$ES$251,Calculo!$F$170:$ES$170,5)+SUMIFS(Calculo!$F$252:$ES$252,Calculo!$F$170:$ES$170,5)+SUMIFS(Calculo!$F$256:$ES$256,Calculo!$F$170:$ES$170,5)+SUMIFS(Calculo!$F$254:$ES$254,Calculo!$F$170:$ES$170,5)+SUMIFS(Calculo!$F$255:$ES$255,Calculo!$F$170:$ES$170,5)-SUMIFS(Calculo!$F$257:$ES$257,Calculo!$F$170:$ES$170,5)+SUMIFS(Calculo!$F$259:$ES$259,Calculo!$F$170:$ES$170,5)+SUMIFS(Calculo!$F$261:$ES$261,Calculo!$F$170:$ES$170,5)))</f>
        <v>7078524.01071787</v>
      </c>
      <c r="J8" s="54" t="n">
        <f aca="false">IF(cu_P=1,(SUMIFS(Calculo!$F$93:$ES$93,Calculo!$F$14:$ES$14,6)+SUMIFS(Calculo!$F$94:$ES$94,Calculo!$F$14:$ES$14,6)+SUMIFS(Calculo!$F$95:$ES$95,Calculo!$F$14:$ES$14,6)+SUMIFS(Calculo!$F$96:$ES$96,Calculo!$F$14:$ES$14,6)+SUMIFS(Calculo!$F$100:$ES$100,Calculo!$F$14:$ES$14,6)+SUMIFS(Calculo!$F$98:$ES$98,Calculo!$F$14:$ES$14,6)+SUMIFS(Calculo!$F$99:$ES$99,Calculo!$F$14:$ES$14,6)-SUMIFS(Calculo!$F$101:$ES$101,Calculo!$F$14:$ES$14,6)+SUMIFS(Calculo!$F$103:$ES$103,Calculo!$F$14:$ES$14,6)+SUMIFS(Calculo!$F$105:$ES$105,Calculo!$F$14:$ES$14,6)),(SUMIFS(Calculo!$F$249:$ES$249,Calculo!$F$170:$ES$170,6)+SUMIFS(Calculo!$F$250:$ES$250,Calculo!$F$170:$ES$170,6)+SUMIFS(Calculo!$F$251:$ES$251,Calculo!$F$170:$ES$170,6)+SUMIFS(Calculo!$F$252:$ES$252,Calculo!$F$170:$ES$170,6)+SUMIFS(Calculo!$F$256:$ES$256,Calculo!$F$170:$ES$170,6)+SUMIFS(Calculo!$F$254:$ES$254,Calculo!$F$170:$ES$170,6)+SUMIFS(Calculo!$F$255:$ES$255,Calculo!$F$170:$ES$170,6)-SUMIFS(Calculo!$F$257:$ES$257,Calculo!$F$170:$ES$170,6)+SUMIFS(Calculo!$F$259:$ES$259,Calculo!$F$170:$ES$170,6)+SUMIFS(Calculo!$F$261:$ES$261,Calculo!$F$170:$ES$170,6)))</f>
        <v>7065826.02976909</v>
      </c>
      <c r="K8" s="54" t="n">
        <f aca="false">IF(cu_P=1,(SUMIFS(Calculo!$F$93:$ES$93,Calculo!$F$14:$ES$14,7)+SUMIFS(Calculo!$F$94:$ES$94,Calculo!$F$14:$ES$14,7)+SUMIFS(Calculo!$F$95:$ES$95,Calculo!$F$14:$ES$14,7)+SUMIFS(Calculo!$F$96:$ES$96,Calculo!$F$14:$ES$14,7)+SUMIFS(Calculo!$F$100:$ES$100,Calculo!$F$14:$ES$14,7)+SUMIFS(Calculo!$F$98:$ES$98,Calculo!$F$14:$ES$14,7)+SUMIFS(Calculo!$F$99:$ES$99,Calculo!$F$14:$ES$14,7)-SUMIFS(Calculo!$F$101:$ES$101,Calculo!$F$14:$ES$14,7)+SUMIFS(Calculo!$F$103:$ES$103,Calculo!$F$14:$ES$14,7)+SUMIFS(Calculo!$F$105:$ES$105,Calculo!$F$14:$ES$14,7)),(SUMIFS(Calculo!$F$249:$ES$249,Calculo!$F$170:$ES$170,7)+SUMIFS(Calculo!$F$250:$ES$250,Calculo!$F$170:$ES$170,7)+SUMIFS(Calculo!$F$251:$ES$251,Calculo!$F$170:$ES$170,7)+SUMIFS(Calculo!$F$252:$ES$252,Calculo!$F$170:$ES$170,7)+SUMIFS(Calculo!$F$256:$ES$256,Calculo!$F$170:$ES$170,7)+SUMIFS(Calculo!$F$254:$ES$254,Calculo!$F$170:$ES$170,7)+SUMIFS(Calculo!$F$255:$ES$255,Calculo!$F$170:$ES$170,7)-SUMIFS(Calculo!$F$257:$ES$257,Calculo!$F$170:$ES$170,7)+SUMIFS(Calculo!$F$259:$ES$259,Calculo!$F$170:$ES$170,7)+SUMIFS(Calculo!$F$261:$ES$261,Calculo!$F$170:$ES$170,7)))</f>
        <v>7105039.20869363</v>
      </c>
      <c r="L8" s="54" t="n">
        <f aca="false">IF(cu_P=1,(SUMIFS(Calculo!$F$93:$ES$93,Calculo!$F$14:$ES$14,8)+SUMIFS(Calculo!$F$94:$ES$94,Calculo!$F$14:$ES$14,8)+SUMIFS(Calculo!$F$95:$ES$95,Calculo!$F$14:$ES$14,8)+SUMIFS(Calculo!$F$96:$ES$96,Calculo!$F$14:$ES$14,8)+SUMIFS(Calculo!$F$100:$ES$100,Calculo!$F$14:$ES$14,8)+SUMIFS(Calculo!$F$98:$ES$98,Calculo!$F$14:$ES$14,8)+SUMIFS(Calculo!$F$99:$ES$99,Calculo!$F$14:$ES$14,8)-SUMIFS(Calculo!$F$101:$ES$101,Calculo!$F$14:$ES$14,8)+SUMIFS(Calculo!$F$103:$ES$103,Calculo!$F$14:$ES$14,8)+SUMIFS(Calculo!$F$105:$ES$105,Calculo!$F$14:$ES$14,8)),(SUMIFS(Calculo!$F$249:$ES$249,Calculo!$F$170:$ES$170,8)+SUMIFS(Calculo!$F$250:$ES$250,Calculo!$F$170:$ES$170,8)+SUMIFS(Calculo!$F$251:$ES$251,Calculo!$F$170:$ES$170,8)+SUMIFS(Calculo!$F$252:$ES$252,Calculo!$F$170:$ES$170,8)+SUMIFS(Calculo!$F$256:$ES$256,Calculo!$F$170:$ES$170,8)+SUMIFS(Calculo!$F$254:$ES$254,Calculo!$F$170:$ES$170,8)+SUMIFS(Calculo!$F$255:$ES$255,Calculo!$F$170:$ES$170,8)-SUMIFS(Calculo!$F$257:$ES$257,Calculo!$F$170:$ES$170,8)+SUMIFS(Calculo!$F$259:$ES$259,Calculo!$F$170:$ES$170,8)+SUMIFS(Calculo!$F$261:$ES$261,Calculo!$F$170:$ES$170,8)))</f>
        <v>7144799.80470664</v>
      </c>
      <c r="M8" s="54" t="n">
        <f aca="false">IF(cu_P=1,(SUMIFS(Calculo!$F$93:$ES$93,Calculo!$F$14:$ES$14,9)+SUMIFS(Calculo!$F$94:$ES$94,Calculo!$F$14:$ES$14,9)+SUMIFS(Calculo!$F$95:$ES$95,Calculo!$F$14:$ES$14,9)+SUMIFS(Calculo!$F$96:$ES$96,Calculo!$F$14:$ES$14,9)+SUMIFS(Calculo!$F$100:$ES$100,Calculo!$F$14:$ES$14,9)+SUMIFS(Calculo!$F$98:$ES$98,Calculo!$F$14:$ES$14,9)+SUMIFS(Calculo!$F$99:$ES$99,Calculo!$F$14:$ES$14,9)-SUMIFS(Calculo!$F$101:$ES$101,Calculo!$F$14:$ES$14,9)+SUMIFS(Calculo!$F$103:$ES$103,Calculo!$F$14:$ES$14,9)+SUMIFS(Calculo!$F$105:$ES$105,Calculo!$F$14:$ES$14,9)),(SUMIFS(Calculo!$F$249:$ES$249,Calculo!$F$170:$ES$170,9)+SUMIFS(Calculo!$F$250:$ES$250,Calculo!$F$170:$ES$170,9)+SUMIFS(Calculo!$F$251:$ES$251,Calculo!$F$170:$ES$170,9)+SUMIFS(Calculo!$F$252:$ES$252,Calculo!$F$170:$ES$170,9)+SUMIFS(Calculo!$F$256:$ES$256,Calculo!$F$170:$ES$170,9)+SUMIFS(Calculo!$F$254:$ES$254,Calculo!$F$170:$ES$170,9)+SUMIFS(Calculo!$F$255:$ES$255,Calculo!$F$170:$ES$170,9)-SUMIFS(Calculo!$F$257:$ES$257,Calculo!$F$170:$ES$170,9)+SUMIFS(Calculo!$F$259:$ES$259,Calculo!$F$170:$ES$170,9)+SUMIFS(Calculo!$F$261:$ES$261,Calculo!$F$170:$ES$170,9)))</f>
        <v>7185117.88165782</v>
      </c>
      <c r="N8" s="54" t="n">
        <f aca="false">IF(cu_P=1,(SUMIFS(Calculo!$F$93:$ES$93,Calculo!$F$14:$ES$14,10)+SUMIFS(Calculo!$F$94:$ES$94,Calculo!$F$14:$ES$14,10)+SUMIFS(Calculo!$F$95:$ES$95,Calculo!$F$14:$ES$14,10)+SUMIFS(Calculo!$F$96:$ES$96,Calculo!$F$14:$ES$14,10)+SUMIFS(Calculo!$F$100:$ES$100,Calculo!$F$14:$ES$14,10)+SUMIFS(Calculo!$F$98:$ES$98,Calculo!$F$14:$ES$14,10)+SUMIFS(Calculo!$F$99:$ES$99,Calculo!$F$14:$ES$14,10)-SUMIFS(Calculo!$F$101:$ES$101,Calculo!$F$14:$ES$14,10)+SUMIFS(Calculo!$F$103:$ES$103,Calculo!$F$14:$ES$14,10)+SUMIFS(Calculo!$F$105:$ES$105,Calculo!$F$14:$ES$14,10)),(SUMIFS(Calculo!$F$249:$ES$249,Calculo!$F$170:$ES$170,10)+SUMIFS(Calculo!$F$250:$ES$250,Calculo!$F$170:$ES$170,10)+SUMIFS(Calculo!$F$251:$ES$251,Calculo!$F$170:$ES$170,10)+SUMIFS(Calculo!$F$252:$ES$252,Calculo!$F$170:$ES$170,10)+SUMIFS(Calculo!$F$256:$ES$256,Calculo!$F$170:$ES$170,10)+SUMIFS(Calculo!$F$254:$ES$254,Calculo!$F$170:$ES$170,10)+SUMIFS(Calculo!$F$255:$ES$255,Calculo!$F$170:$ES$170,10)-SUMIFS(Calculo!$F$257:$ES$257,Calculo!$F$170:$ES$170,10)+SUMIFS(Calculo!$F$259:$ES$259,Calculo!$F$170:$ES$170,10)+SUMIFS(Calculo!$F$261:$ES$261,Calculo!$F$170:$ES$170,10)))</f>
        <v>7226003.74034813</v>
      </c>
      <c r="O8" s="54" t="n">
        <f aca="false">SUM(D8:N8)</f>
        <v>66471201.9236088</v>
      </c>
    </row>
    <row r="9" customFormat="false" ht="15" hidden="false" customHeight="false" outlineLevel="0" collapsed="false">
      <c r="A9" s="11" t="s">
        <v>2360</v>
      </c>
      <c r="B9" s="15" t="s">
        <v>2361</v>
      </c>
      <c r="C9" s="11" t="s">
        <v>508</v>
      </c>
      <c r="D9" s="48" t="n">
        <f aca="false">IFERROR(IF(COUNT(D11,D20,D29,D38,D47,D56,D65,D74,D83,D92,D101,D110,D119,D128,D137,D146,D155,D164,D173,D182,D191,D200,D209,D218,D227)=0,"",N(D11)+N(D20)+N(D29)+N(D38)+N(D47)+N(D56)+N(D65)+N(D74)+N(D83)+N(D92)+N(D101)+N(D110)+N(D119)+N(D128)+N(D137)+N(D146)+N(D155)+N(D164)+N(D173)+N(D182)+N(D191)+N(D200)+N(D209)+N(D218)+N(D227)),"")</f>
        <v>0</v>
      </c>
      <c r="E9" s="48" t="n">
        <f aca="false">IFERROR(IF(COUNT(E11,E20,E29,E38,E47,E56,E65,E74,E83,E92,E101,E110,E119,E128,E137,E146,E155,E164,E173,E182,E191,E200,E209,E218,E227)=0,"",N(E11)+N(E20)+N(E29)+N(E38)+N(E47)+N(E56)+N(E65)+N(E74)+N(E83)+N(E92)+N(E101)+N(E110)+N(E119)+N(E128)+N(E137)+N(E146)+N(E155)+N(E164)+N(E173)+N(E182)+N(E191)+N(E200)+N(E209)+N(E218)+N(E227)),"")</f>
        <v>2916081.996</v>
      </c>
      <c r="F9" s="48" t="n">
        <f aca="false">IFERROR(IF(COUNT(F11,F20,F29,F38,F47,F56,F65,F74,F83,F92,F101,F110,F119,F128,F137,F146,F155,F164,F173,F182,F191,F200,F209,F218,F227)=0,"",N(F11)+N(F20)+N(F29)+N(F38)+N(F47)+N(F56)+N(F65)+N(F74)+N(F83)+N(F92)+N(F101)+N(F110)+N(F119)+N(F128)+N(F137)+N(F146)+N(F155)+N(F164)+N(F173)+N(F182)+N(F191)+N(F200)+N(F209)+N(F218)+N(F227)),"")</f>
        <v>3701646.495</v>
      </c>
      <c r="G9" s="48" t="n">
        <f aca="false">IFERROR(IF(COUNT(G11,G20,G29,G38,G47,G56,G65,G74,G83,G92,G101,G110,G119,G128,G137,G146,G155,G164,G173,G182,G191,G200,G209,G218,G227)=0,"",N(G11)+N(G20)+N(G29)+N(G38)+N(G47)+N(G56)+N(G65)+N(G74)+N(G83)+N(G92)+N(G101)+N(G110)+N(G119)+N(G128)+N(G137)+N(G146)+N(G155)+N(G164)+N(G173)+N(G182)+N(G191)+N(G200)+N(G209)+N(G218)+N(G227)),"")</f>
        <v>4495364.274</v>
      </c>
      <c r="H9" s="48" t="n">
        <f aca="false">IFERROR(IF(COUNT(H11,H20,H29,H38,H47,H56,H65,H74,H83,H92,H101,H110,H119,H128,H137,H146,H155,H164,H173,H182,H191,H200,H209,H218,H227)=0,"",N(H11)+N(H20)+N(H29)+N(H38)+N(H47)+N(H56)+N(H65)+N(H74)+N(H83)+N(H92)+N(H101)+N(H110)+N(H119)+N(H128)+N(H137)+N(H146)+N(H155)+N(H164)+N(H173)+N(H182)+N(H191)+N(H200)+N(H209)+N(H218)+N(H227)),"")</f>
        <v>5145201.57285</v>
      </c>
      <c r="I9" s="48" t="n">
        <f aca="false">IFERROR(IF(COUNT(I11,I20,I29,I38,I47,I56,I65,I74,I83,I92,I101,I110,I119,I128,I137,I146,I155,I164,I173,I182,I191,I200,I209,I218,I227)=0,"",N(I11)+N(I20)+N(I29)+N(I38)+N(I47)+N(I56)+N(I65)+N(I74)+N(I83)+N(I92)+N(I101)+N(I110)+N(I119)+N(I128)+N(I137)+N(I146)+N(I155)+N(I164)+N(I173)+N(I182)+N(I191)+N(I200)+N(I209)+N(I218)+N(I227)),"")</f>
        <v>5172245.4286485</v>
      </c>
      <c r="J9" s="48" t="n">
        <f aca="false">IFERROR(IF(COUNT(J11,J20,J29,J38,J47,J56,J65,J74,J83,J92,J101,J110,J119,J128,J137,J146,J155,J164,J173,J182,J191,J200,J209,J218,J227)=0,"",N(J11)+N(J20)+N(J29)+N(J38)+N(J47)+N(J56)+N(J65)+N(J74)+N(J83)+N(J92)+N(J101)+N(J110)+N(J119)+N(J128)+N(J137)+N(J146)+N(J155)+N(J164)+N(J173)+N(J182)+N(J191)+N(J200)+N(J209)+N(J218)+N(J227)),"")</f>
        <v>5199559.72300499</v>
      </c>
      <c r="K9" s="48" t="n">
        <f aca="false">IFERROR(IF(COUNT(K11,K20,K29,K38,K47,K56,K65,K74,K83,K92,K101,K110,K119,K128,K137,K146,K155,K164,K173,K182,K191,K200,K209,K218,K227)=0,"",N(K11)+N(K20)+N(K29)+N(K38)+N(K47)+N(K56)+N(K65)+N(K74)+N(K83)+N(K92)+N(K101)+N(K110)+N(K119)+N(K128)+N(K137)+N(K146)+N(K155)+N(K164)+N(K173)+N(K182)+N(K191)+N(K200)+N(K209)+N(K218)+N(K227)),"")</f>
        <v>5227147.16030503</v>
      </c>
      <c r="L9" s="48" t="n">
        <f aca="false">IFERROR(IF(COUNT(L11,L20,L29,L38,L47,L56,L65,L74,L83,L92,L101,L110,L119,L128,L137,L146,L155,L164,L173,L182,L191,L200,L209,L218,L227)=0,"",N(L11)+N(L20)+N(L29)+N(L38)+N(L47)+N(L56)+N(L65)+N(L74)+N(L83)+N(L92)+N(L101)+N(L110)+N(L119)+N(L128)+N(L137)+N(L146)+N(L155)+N(L164)+N(L173)+N(L182)+N(L191)+N(L200)+N(L209)+N(L218)+N(L227)),"")</f>
        <v>5255010.47197809</v>
      </c>
      <c r="M9" s="48" t="n">
        <f aca="false">IFERROR(IF(COUNT(M11,M20,M29,M38,M47,M56,M65,M74,M83,M92,M101,M110,M119,M128,M137,M146,M155,M164,M173,M182,M191,M200,M209,M218,M227)=0,"",N(M11)+N(M20)+N(M29)+N(M38)+N(M47)+N(M56)+N(M65)+N(M74)+N(M83)+N(M92)+N(M101)+N(M110)+N(M119)+N(M128)+N(M137)+N(M146)+N(M155)+N(M164)+N(M173)+N(M182)+N(M191)+N(M200)+N(M209)+N(M218)+N(M227)),"")</f>
        <v>5283152.41676787</v>
      </c>
      <c r="N9" s="48" t="n">
        <f aca="false">IFERROR(IF(COUNT(N11,N20,N29,N38,N47,N56,N65,N74,N83,N92,N101,N110,N119,N128,N137,N146,N155,N164,N173,N182,N191,N200,N209,N218,N227)=0,"",N(N11)+N(N20)+N(N29)+N(N38)+N(N47)+N(N56)+N(N65)+N(N74)+N(N83)+N(N92)+N(N101)+N(N110)+N(N119)+N(N128)+N(N137)+N(N146)+N(N155)+N(N164)+N(N173)+N(N182)+N(N191)+N(N200)+N(N209)+N(N218)+N(N227)),"")</f>
        <v>5311575.78100555</v>
      </c>
      <c r="O9" s="54" t="n">
        <f aca="false">SUM(D9:N9)</f>
        <v>47706985.31956</v>
      </c>
    </row>
    <row r="10" customFormat="false" ht="15" hidden="false" customHeight="false" outlineLevel="0" collapsed="false">
      <c r="A10" s="11" t="s">
        <v>2362</v>
      </c>
      <c r="B10" s="15" t="s">
        <v>2363</v>
      </c>
      <c r="C10" s="11" t="s">
        <v>508</v>
      </c>
      <c r="D10" s="48" t="n">
        <f aca="false">IFERROR(IF(COUNT(D8,D9)=0,"",N(D8)-N(D9)),"")</f>
        <v>0</v>
      </c>
      <c r="E10" s="48" t="n">
        <f aca="false">IFERROR(IF(COUNT(E8,E9)=0,"",N(E8)-N(E9)),"")</f>
        <v>1766642.13972395</v>
      </c>
      <c r="F10" s="48" t="n">
        <f aca="false">IFERROR(IF(COUNT(F8,F9)=0,"",N(F8)-N(F9)),"")</f>
        <v>1821463.13219387</v>
      </c>
      <c r="G10" s="48" t="n">
        <f aca="false">IFERROR(IF(COUNT(G8,G9)=0,"",N(G8)-N(G9)),"")</f>
        <v>1889162.53755967</v>
      </c>
      <c r="H10" s="48" t="n">
        <f aca="false">IFERROR(IF(COUNT(H8,H9)=0,"",N(H8)-N(H9)),"")</f>
        <v>1930329.10038815</v>
      </c>
      <c r="I10" s="48" t="n">
        <f aca="false">IFERROR(IF(COUNT(I8,I9)=0,"",N(I8)-N(I9)),"")</f>
        <v>1906278.58206937</v>
      </c>
      <c r="J10" s="48" t="n">
        <f aca="false">IFERROR(IF(COUNT(J8,J9)=0,"",N(J8)-N(J9)),"")</f>
        <v>1866266.3067641</v>
      </c>
      <c r="K10" s="48" t="n">
        <f aca="false">IFERROR(IF(COUNT(K8,K9)=0,"",N(K8)-N(K9)),"")</f>
        <v>1877892.0483886</v>
      </c>
      <c r="L10" s="48" t="n">
        <f aca="false">IFERROR(IF(COUNT(L8,L9)=0,"",N(L8)-N(L9)),"")</f>
        <v>1889789.33272856</v>
      </c>
      <c r="M10" s="48" t="n">
        <f aca="false">IFERROR(IF(COUNT(M8,M9)=0,"",N(M8)-N(M9)),"")</f>
        <v>1901965.46488996</v>
      </c>
      <c r="N10" s="48" t="n">
        <f aca="false">IFERROR(IF(COUNT(N8,N9)=0,"",N(N8)-N(N9)),"")</f>
        <v>1914427.95934259</v>
      </c>
      <c r="O10" s="54" t="n">
        <f aca="false">SUM(D10:N10)</f>
        <v>18764216.6040488</v>
      </c>
    </row>
    <row r="11" customFormat="false" ht="15" hidden="false" customHeight="false" outlineLevel="0" collapsed="false">
      <c r="A11" s="11" t="s">
        <v>2364</v>
      </c>
      <c r="B11" s="53" t="str">
        <f aca="false">IF(INDEX(Prod_Nombre,1)="","Producto 1",INDEX(Prod_Nombre,1))&amp;" — costo directo"</f>
        <v>Gabinetes metálicos 153 kg — costo directo</v>
      </c>
      <c r="C11" s="11" t="s">
        <v>508</v>
      </c>
      <c r="D11" s="48" t="n">
        <f aca="false">IF(cu_P=1,(SUMIFS(Calculo!$F$21:$ES$21,Calculo!$F$16:$ES$16,1)*N(INDEX(MP_O,1))*INDEX(IdxMP_O,1,1)*(1+P_dMat)/(1-P_Merma)+SUMIFS(Calculo!$F$21:$ES$21,Calculo!$F$16:$ES$16,1)*N(INDEX(INS_O,1))*INDEX(IdxOV_O,1,1)*(1+P_dMat)/(1-P_Merma)+SUMIFS(Calculo!$F$21:$ES$21,Calculo!$F$16:$ES$16,1)*N(INDEX(OV_O,1))*INDEX(IdxOV_O,1,1)*(1+P_dMat)/(1-P_Merma)),(SUMIFS(Calculo!$F$177:$ES$177,Calculo!$F$172:$ES$172,1)*N(INDEX(MP_V,1))*INDEX(IdxMP_V,1,1)*(1+V_dMat)/(1-V_Merma)+SUMIFS(Calculo!$F$177:$ES$177,Calculo!$F$172:$ES$172,1)*N(INDEX(INS_V,1))*INDEX(IdxOV_V,1,1)*(1+V_dMat)/(1-V_Merma)+SUMIFS(Calculo!$F$177:$ES$177,Calculo!$F$172:$ES$172,1)*N(INDEX(OV_V,1))*INDEX(IdxOV_V,1,1)*(1+V_dMat)/(1-V_Merma)))</f>
        <v>0</v>
      </c>
      <c r="E11" s="48" t="n">
        <f aca="false">IF(cu_P=1,(SUMIFS(Calculo!$F$21:$ES$21,Calculo!$F$14:$ES$14,1)*N(INDEX(MP_O,1))*INDEX(IdxMP_O,1,1)*(1+P_dMat)/(1-P_Merma)+SUMIFS(Calculo!$F$21:$ES$21,Calculo!$F$14:$ES$14,1)*N(INDEX(INS_O,1))*INDEX(IdxOV_O,1,1)*(1+P_dMat)/(1-P_Merma)+SUMIFS(Calculo!$F$21:$ES$21,Calculo!$F$14:$ES$14,1)*N(INDEX(OV_O,1))*INDEX(IdxOV_O,1,1)*(1+P_dMat)/(1-P_Merma)),(SUMIFS(Calculo!$F$177:$ES$177,Calculo!$F$170:$ES$170,1)*N(INDEX(MP_V,1))*INDEX(IdxMP_V,1,1)*(1+V_dMat)/(1-V_Merma)+SUMIFS(Calculo!$F$177:$ES$177,Calculo!$F$170:$ES$170,1)*N(INDEX(INS_V,1))*INDEX(IdxOV_V,1,1)*(1+V_dMat)/(1-V_Merma)+SUMIFS(Calculo!$F$177:$ES$177,Calculo!$F$170:$ES$170,1)*N(INDEX(OV_V,1))*INDEX(IdxOV_V,1,1)*(1+V_dMat)/(1-V_Merma)))</f>
        <v>1866711.996</v>
      </c>
      <c r="F11" s="48" t="n">
        <f aca="false">IF(cu_P=1,(SUMIFS(Calculo!$F$21:$ES$21,Calculo!$F$14:$ES$14,2)*N(INDEX(MP_O,1))*INDEX(IdxMP_O,1,2)*(1+P_dMat)/(1-P_Merma)+SUMIFS(Calculo!$F$21:$ES$21,Calculo!$F$14:$ES$14,2)*N(INDEX(INS_O,1))*INDEX(IdxOV_O,1,2)*(1+P_dMat)/(1-P_Merma)+SUMIFS(Calculo!$F$21:$ES$21,Calculo!$F$14:$ES$14,2)*N(INDEX(OV_O,1))*INDEX(IdxOV_O,1,2)*(1+P_dMat)/(1-P_Merma)),(SUMIFS(Calculo!$F$177:$ES$177,Calculo!$F$170:$ES$170,2)*N(INDEX(MP_V,1))*INDEX(IdxMP_V,1,2)*(1+V_dMat)/(1-V_Merma)+SUMIFS(Calculo!$F$177:$ES$177,Calculo!$F$170:$ES$170,2)*N(INDEX(INS_V,1))*INDEX(IdxOV_V,1,2)*(1+V_dMat)/(1-V_Merma)+SUMIFS(Calculo!$F$177:$ES$177,Calculo!$F$170:$ES$170,2)*N(INDEX(OV_V,1))*INDEX(IdxOV_V,1,2)*(1+V_dMat)/(1-V_Merma)))</f>
        <v>2345787.495</v>
      </c>
      <c r="G11" s="48" t="n">
        <f aca="false">IF(cu_P=1,(SUMIFS(Calculo!$F$21:$ES$21,Calculo!$F$14:$ES$14,3)*N(INDEX(MP_O,1))*INDEX(IdxMP_O,1,3)*(1+P_dMat)/(1-P_Merma)+SUMIFS(Calculo!$F$21:$ES$21,Calculo!$F$14:$ES$14,3)*N(INDEX(INS_O,1))*INDEX(IdxOV_O,1,3)*(1+P_dMat)/(1-P_Merma)+SUMIFS(Calculo!$F$21:$ES$21,Calculo!$F$14:$ES$14,3)*N(INDEX(OV_O,1))*INDEX(IdxOV_O,1,3)*(1+P_dMat)/(1-P_Merma)),(SUMIFS(Calculo!$F$177:$ES$177,Calculo!$F$170:$ES$170,3)*N(INDEX(MP_V,1))*INDEX(IdxMP_V,1,3)*(1+V_dMat)/(1-V_Merma)+SUMIFS(Calculo!$F$177:$ES$177,Calculo!$F$170:$ES$170,3)*N(INDEX(INS_V,1))*INDEX(IdxOV_V,1,3)*(1+V_dMat)/(1-V_Merma)+SUMIFS(Calculo!$F$177:$ES$177,Calculo!$F$170:$ES$170,3)*N(INDEX(OV_V,1))*INDEX(IdxOV_V,1,3)*(1+V_dMat)/(1-V_Merma)))</f>
        <v>2829970.764</v>
      </c>
      <c r="H11" s="48" t="n">
        <f aca="false">IF(cu_P=1,(SUMIFS(Calculo!$F$21:$ES$21,Calculo!$F$14:$ES$14,4)*N(INDEX(MP_O,1))*INDEX(IdxMP_O,1,4)*(1+P_dMat)/(1-P_Merma)+SUMIFS(Calculo!$F$21:$ES$21,Calculo!$F$14:$ES$14,4)*N(INDEX(INS_O,1))*INDEX(IdxOV_O,1,4)*(1+P_dMat)/(1-P_Merma)+SUMIFS(Calculo!$F$21:$ES$21,Calculo!$F$14:$ES$14,4)*N(INDEX(OV_O,1))*INDEX(IdxOV_O,1,4)*(1+P_dMat)/(1-P_Merma)),(SUMIFS(Calculo!$F$177:$ES$177,Calculo!$F$170:$ES$170,4)*N(INDEX(MP_V,1))*INDEX(IdxMP_V,1,4)*(1+V_dMat)/(1-V_Merma)+SUMIFS(Calculo!$F$177:$ES$177,Calculo!$F$170:$ES$170,4)*N(INDEX(INS_V,1))*INDEX(IdxOV_V,1,4)*(1+V_dMat)/(1-V_Merma)+SUMIFS(Calculo!$F$177:$ES$177,Calculo!$F$170:$ES$170,4)*N(INDEX(OV_V,1))*INDEX(IdxOV_V,1,4)*(1+V_dMat)/(1-V_Merma)))</f>
        <v>3319337.92365</v>
      </c>
      <c r="I11" s="48" t="n">
        <f aca="false">IF(cu_P=1,(SUMIFS(Calculo!$F$21:$ES$21,Calculo!$F$14:$ES$14,5)*N(INDEX(MP_O,1))*INDEX(IdxMP_O,1,5)*(1+P_dMat)/(1-P_Merma)+SUMIFS(Calculo!$F$21:$ES$21,Calculo!$F$14:$ES$14,5)*N(INDEX(INS_O,1))*INDEX(IdxOV_O,1,5)*(1+P_dMat)/(1-P_Merma)+SUMIFS(Calculo!$F$21:$ES$21,Calculo!$F$14:$ES$14,5)*N(INDEX(OV_O,1))*INDEX(IdxOV_O,1,5)*(1+P_dMat)/(1-P_Merma)),(SUMIFS(Calculo!$F$177:$ES$177,Calculo!$F$170:$ES$170,5)*N(INDEX(MP_V,1))*INDEX(IdxMP_V,1,5)*(1+V_dMat)/(1-V_Merma)+SUMIFS(Calculo!$F$177:$ES$177,Calculo!$F$170:$ES$170,5)*N(INDEX(INS_V,1))*INDEX(IdxOV_V,1,5)*(1+V_dMat)/(1-V_Merma)+SUMIFS(Calculo!$F$177:$ES$177,Calculo!$F$170:$ES$170,5)*N(INDEX(OV_V,1))*INDEX(IdxOV_V,1,5)*(1+V_dMat)/(1-V_Merma)))</f>
        <v>3337220.3429565</v>
      </c>
      <c r="J11" s="48" t="n">
        <f aca="false">IF(cu_P=1,(SUMIFS(Calculo!$F$21:$ES$21,Calculo!$F$14:$ES$14,6)*N(INDEX(MP_O,1))*INDEX(IdxMP_O,1,6)*(1+P_dMat)/(1-P_Merma)+SUMIFS(Calculo!$F$21:$ES$21,Calculo!$F$14:$ES$14,6)*N(INDEX(INS_O,1))*INDEX(IdxOV_O,1,6)*(1+P_dMat)/(1-P_Merma)+SUMIFS(Calculo!$F$21:$ES$21,Calculo!$F$14:$ES$14,6)*N(INDEX(OV_O,1))*INDEX(IdxOV_O,1,6)*(1+P_dMat)/(1-P_Merma)),(SUMIFS(Calculo!$F$177:$ES$177,Calculo!$F$170:$ES$170,6)*N(INDEX(MP_V,1))*INDEX(IdxMP_V,1,6)*(1+V_dMat)/(1-V_Merma)+SUMIFS(Calculo!$F$177:$ES$177,Calculo!$F$170:$ES$170,6)*N(INDEX(INS_V,1))*INDEX(IdxOV_V,1,6)*(1+V_dMat)/(1-V_Merma)+SUMIFS(Calculo!$F$177:$ES$177,Calculo!$F$170:$ES$170,6)*N(INDEX(OV_V,1))*INDEX(IdxOV_V,1,6)*(1+V_dMat)/(1-V_Merma)))</f>
        <v>3355281.58645607</v>
      </c>
      <c r="K11" s="48" t="n">
        <f aca="false">IF(cu_P=1,(SUMIFS(Calculo!$F$21:$ES$21,Calculo!$F$14:$ES$14,7)*N(INDEX(MP_O,1))*INDEX(IdxMP_O,1,7)*(1+P_dMat)/(1-P_Merma)+SUMIFS(Calculo!$F$21:$ES$21,Calculo!$F$14:$ES$14,7)*N(INDEX(INS_O,1))*INDEX(IdxOV_O,1,7)*(1+P_dMat)/(1-P_Merma)+SUMIFS(Calculo!$F$21:$ES$21,Calculo!$F$14:$ES$14,7)*N(INDEX(OV_O,1))*INDEX(IdxOV_O,1,7)*(1+P_dMat)/(1-P_Merma)),(SUMIFS(Calculo!$F$177:$ES$177,Calculo!$F$170:$ES$170,7)*N(INDEX(MP_V,1))*INDEX(IdxMP_V,1,7)*(1+V_dMat)/(1-V_Merma)+SUMIFS(Calculo!$F$177:$ES$177,Calculo!$F$170:$ES$170,7)*N(INDEX(INS_V,1))*INDEX(IdxOV_V,1,7)*(1+V_dMat)/(1-V_Merma)+SUMIFS(Calculo!$F$177:$ES$177,Calculo!$F$170:$ES$170,7)*N(INDEX(OV_V,1))*INDEX(IdxOV_V,1,7)*(1+V_dMat)/(1-V_Merma)))</f>
        <v>3373523.44239063</v>
      </c>
      <c r="L11" s="48" t="n">
        <f aca="false">IF(cu_P=1,(SUMIFS(Calculo!$F$21:$ES$21,Calculo!$F$14:$ES$14,8)*N(INDEX(MP_O,1))*INDEX(IdxMP_O,1,8)*(1+P_dMat)/(1-P_Merma)+SUMIFS(Calculo!$F$21:$ES$21,Calculo!$F$14:$ES$14,8)*N(INDEX(INS_O,1))*INDEX(IdxOV_O,1,8)*(1+P_dMat)/(1-P_Merma)+SUMIFS(Calculo!$F$21:$ES$21,Calculo!$F$14:$ES$14,8)*N(INDEX(OV_O,1))*INDEX(IdxOV_O,1,8)*(1+P_dMat)/(1-P_Merma)),(SUMIFS(Calculo!$F$177:$ES$177,Calculo!$F$170:$ES$170,8)*N(INDEX(MP_V,1))*INDEX(IdxMP_V,1,8)*(1+V_dMat)/(1-V_Merma)+SUMIFS(Calculo!$F$177:$ES$177,Calculo!$F$170:$ES$170,8)*N(INDEX(INS_V,1))*INDEX(IdxOV_V,1,8)*(1+V_dMat)/(1-V_Merma)+SUMIFS(Calculo!$F$177:$ES$177,Calculo!$F$170:$ES$170,8)*N(INDEX(OV_V,1))*INDEX(IdxOV_V,1,8)*(1+V_dMat)/(1-V_Merma)))</f>
        <v>3391947.71688453</v>
      </c>
      <c r="M11" s="48" t="n">
        <f aca="false">IF(cu_P=1,(SUMIFS(Calculo!$F$21:$ES$21,Calculo!$F$14:$ES$14,9)*N(INDEX(MP_O,1))*INDEX(IdxMP_O,1,9)*(1+P_dMat)/(1-P_Merma)+SUMIFS(Calculo!$F$21:$ES$21,Calculo!$F$14:$ES$14,9)*N(INDEX(INS_O,1))*INDEX(IdxOV_O,1,9)*(1+P_dMat)/(1-P_Merma)+SUMIFS(Calculo!$F$21:$ES$21,Calculo!$F$14:$ES$14,9)*N(INDEX(OV_O,1))*INDEX(IdxOV_O,1,9)*(1+P_dMat)/(1-P_Merma)),(SUMIFS(Calculo!$F$177:$ES$177,Calculo!$F$170:$ES$170,9)*N(INDEX(MP_V,1))*INDEX(IdxMP_V,1,9)*(1+V_dMat)/(1-V_Merma)+SUMIFS(Calculo!$F$177:$ES$177,Calculo!$F$170:$ES$170,9)*N(INDEX(INS_V,1))*INDEX(IdxOV_V,1,9)*(1+V_dMat)/(1-V_Merma)+SUMIFS(Calculo!$F$177:$ES$177,Calculo!$F$170:$ES$170,9)*N(INDEX(OV_V,1))*INDEX(IdxOV_V,1,9)*(1+V_dMat)/(1-V_Merma)))</f>
        <v>3410556.23412338</v>
      </c>
      <c r="N11" s="48" t="n">
        <f aca="false">IF(cu_P=1,(SUMIFS(Calculo!$F$21:$ES$21,Calculo!$F$14:$ES$14,10)*N(INDEX(MP_O,1))*INDEX(IdxMP_O,1,10)*(1+P_dMat)/(1-P_Merma)+SUMIFS(Calculo!$F$21:$ES$21,Calculo!$F$14:$ES$14,10)*N(INDEX(INS_O,1))*INDEX(IdxOV_O,1,10)*(1+P_dMat)/(1-P_Merma)+SUMIFS(Calculo!$F$21:$ES$21,Calculo!$F$14:$ES$14,10)*N(INDEX(OV_O,1))*INDEX(IdxOV_O,1,10)*(1+P_dMat)/(1-P_Merma)),(SUMIFS(Calculo!$F$177:$ES$177,Calculo!$F$170:$ES$170,10)*N(INDEX(MP_V,1))*INDEX(IdxMP_V,1,10)*(1+V_dMat)/(1-V_Merma)+SUMIFS(Calculo!$F$177:$ES$177,Calculo!$F$170:$ES$170,10)*N(INDEX(INS_V,1))*INDEX(IdxOV_V,1,10)*(1+V_dMat)/(1-V_Merma)+SUMIFS(Calculo!$F$177:$ES$177,Calculo!$F$170:$ES$170,10)*N(INDEX(OV_V,1))*INDEX(IdxOV_V,1,10)*(1+V_dMat)/(1-V_Merma)))</f>
        <v>3429350.83653461</v>
      </c>
      <c r="O11" s="54" t="n">
        <f aca="false">SUM(D11:N11)</f>
        <v>30659688.3379957</v>
      </c>
    </row>
    <row r="12" customFormat="false" ht="15" hidden="false" customHeight="false" outlineLevel="0" collapsed="false">
      <c r="A12" s="11" t="s">
        <v>2365</v>
      </c>
      <c r="B12" s="15" t="s">
        <v>2366</v>
      </c>
      <c r="C12" s="11" t="s">
        <v>544</v>
      </c>
      <c r="D12" s="48" t="n">
        <f aca="false">IF(cu_P=1,SUMIFS(Calculo!$F$21:$ES$21,Calculo!$F$16:$ES$16,1),SUMIFS(Calculo!$F$177:$ES$177,Calculo!$F$172:$ES$172,1))</f>
        <v>0</v>
      </c>
      <c r="E12" s="48" t="n">
        <f aca="false">IF(cu_P=1,SUMIFS(Calculo!$F$21:$ES$21,Calculo!$F$14:$ES$14,1),SUMIFS(Calculo!$F$177:$ES$177,Calculo!$F$170:$ES$170,1))</f>
        <v>12000</v>
      </c>
      <c r="F12" s="48" t="n">
        <f aca="false">IF(cu_P=1,SUMIFS(Calculo!$F$21:$ES$21,Calculo!$F$14:$ES$14,2),SUMIFS(Calculo!$F$177:$ES$177,Calculo!$F$170:$ES$170,2))</f>
        <v>15000</v>
      </c>
      <c r="G12" s="48" t="n">
        <f aca="false">IF(cu_P=1,SUMIFS(Calculo!$F$21:$ES$21,Calculo!$F$14:$ES$14,3),SUMIFS(Calculo!$F$177:$ES$177,Calculo!$F$170:$ES$170,3))</f>
        <v>18000</v>
      </c>
      <c r="H12" s="48" t="n">
        <f aca="false">IF(cu_P=1,SUMIFS(Calculo!$F$21:$ES$21,Calculo!$F$14:$ES$14,4),SUMIFS(Calculo!$F$177:$ES$177,Calculo!$F$170:$ES$170,4))</f>
        <v>21000</v>
      </c>
      <c r="I12" s="48" t="n">
        <f aca="false">IF(cu_P=1,SUMIFS(Calculo!$F$21:$ES$21,Calculo!$F$14:$ES$14,5),SUMIFS(Calculo!$F$177:$ES$177,Calculo!$F$170:$ES$170,5))</f>
        <v>21000</v>
      </c>
      <c r="J12" s="48" t="n">
        <f aca="false">IF(cu_P=1,SUMIFS(Calculo!$F$21:$ES$21,Calculo!$F$14:$ES$14,6),SUMIFS(Calculo!$F$177:$ES$177,Calculo!$F$170:$ES$170,6))</f>
        <v>21000</v>
      </c>
      <c r="K12" s="48" t="n">
        <f aca="false">IF(cu_P=1,SUMIFS(Calculo!$F$21:$ES$21,Calculo!$F$14:$ES$14,7),SUMIFS(Calculo!$F$177:$ES$177,Calculo!$F$170:$ES$170,7))</f>
        <v>21000</v>
      </c>
      <c r="L12" s="48" t="n">
        <f aca="false">IF(cu_P=1,SUMIFS(Calculo!$F$21:$ES$21,Calculo!$F$14:$ES$14,8),SUMIFS(Calculo!$F$177:$ES$177,Calculo!$F$170:$ES$170,8))</f>
        <v>21000</v>
      </c>
      <c r="M12" s="48" t="n">
        <f aca="false">IF(cu_P=1,SUMIFS(Calculo!$F$21:$ES$21,Calculo!$F$14:$ES$14,9),SUMIFS(Calculo!$F$177:$ES$177,Calculo!$F$170:$ES$170,9))</f>
        <v>21000</v>
      </c>
      <c r="N12" s="48" t="n">
        <f aca="false">IF(cu_P=1,SUMIFS(Calculo!$F$21:$ES$21,Calculo!$F$14:$ES$14,10),SUMIFS(Calculo!$F$177:$ES$177,Calculo!$F$170:$ES$170,10))</f>
        <v>21000</v>
      </c>
      <c r="O12" s="54" t="n">
        <f aca="false">SUM(D12:N12)</f>
        <v>192000</v>
      </c>
    </row>
    <row r="13" customFormat="false" ht="15" hidden="false" customHeight="false" outlineLevel="0" collapsed="false">
      <c r="A13" s="11" t="s">
        <v>2367</v>
      </c>
      <c r="B13" s="15" t="s">
        <v>2368</v>
      </c>
      <c r="C13" s="11" t="s">
        <v>508</v>
      </c>
      <c r="D13" s="48" t="n">
        <f aca="false">IF(cu_P=1,SUMIFS(Calculo!$F$46:$ES$46,Calculo!$F$16:$ES$16,1),SUMIFS(Calculo!$F$202:$ES$202,Calculo!$F$172:$ES$172,1))</f>
        <v>0</v>
      </c>
      <c r="E13" s="48" t="n">
        <f aca="false">IF(cu_P=1,SUMIFS(Calculo!$F$46:$ES$46,Calculo!$F$14:$ES$14,1),SUMIFS(Calculo!$F$202:$ES$202,Calculo!$F$170:$ES$170,1))</f>
        <v>3240000</v>
      </c>
      <c r="F13" s="48" t="n">
        <f aca="false">IF(cu_P=1,SUMIFS(Calculo!$F$46:$ES$46,Calculo!$F$14:$ES$14,2),SUMIFS(Calculo!$F$202:$ES$202,Calculo!$F$170:$ES$170,2))</f>
        <v>4090500</v>
      </c>
      <c r="G13" s="48" t="n">
        <f aca="false">IF(cu_P=1,SUMIFS(Calculo!$F$46:$ES$46,Calculo!$F$14:$ES$14,3),SUMIFS(Calculo!$F$202:$ES$202,Calculo!$F$170:$ES$170,3))</f>
        <v>4957686</v>
      </c>
      <c r="H13" s="48" t="n">
        <f aca="false">IF(cu_P=1,SUMIFS(Calculo!$F$46:$ES$46,Calculo!$F$14:$ES$14,4),SUMIFS(Calculo!$F$202:$ES$202,Calculo!$F$170:$ES$170,4))</f>
        <v>5841806.67</v>
      </c>
      <c r="I13" s="48" t="n">
        <f aca="false">IF(cu_P=1,SUMIFS(Calculo!$F$46:$ES$46,Calculo!$F$14:$ES$14,5),SUMIFS(Calculo!$F$202:$ES$202,Calculo!$F$170:$ES$170,5))</f>
        <v>5900224.7367</v>
      </c>
      <c r="J13" s="48" t="n">
        <f aca="false">IF(cu_P=1,SUMIFS(Calculo!$F$46:$ES$46,Calculo!$F$14:$ES$14,6),SUMIFS(Calculo!$F$202:$ES$202,Calculo!$F$170:$ES$170,6))</f>
        <v>5959226.984067</v>
      </c>
      <c r="K13" s="48" t="n">
        <f aca="false">IF(cu_P=1,SUMIFS(Calculo!$F$46:$ES$46,Calculo!$F$14:$ES$14,7),SUMIFS(Calculo!$F$202:$ES$202,Calculo!$F$170:$ES$170,7))</f>
        <v>6018819.25390767</v>
      </c>
      <c r="L13" s="48" t="n">
        <f aca="false">IF(cu_P=1,SUMIFS(Calculo!$F$46:$ES$46,Calculo!$F$14:$ES$14,8),SUMIFS(Calculo!$F$202:$ES$202,Calculo!$F$170:$ES$170,8))</f>
        <v>6079007.44644675</v>
      </c>
      <c r="M13" s="48" t="n">
        <f aca="false">IF(cu_P=1,SUMIFS(Calculo!$F$46:$ES$46,Calculo!$F$14:$ES$14,9),SUMIFS(Calculo!$F$202:$ES$202,Calculo!$F$170:$ES$170,9))</f>
        <v>6139797.52091121</v>
      </c>
      <c r="N13" s="48" t="n">
        <f aca="false">IF(cu_P=1,SUMIFS(Calculo!$F$46:$ES$46,Calculo!$F$14:$ES$14,10),SUMIFS(Calculo!$F$202:$ES$202,Calculo!$F$170:$ES$170,10))</f>
        <v>6201195.49612033</v>
      </c>
      <c r="O13" s="54" t="n">
        <f aca="false">SUM(D13:N13)</f>
        <v>54428264.108153</v>
      </c>
    </row>
    <row r="14" customFormat="false" ht="15" hidden="false" customHeight="false" outlineLevel="0" collapsed="false">
      <c r="A14" s="11" t="s">
        <v>2369</v>
      </c>
      <c r="B14" s="15" t="s">
        <v>2370</v>
      </c>
      <c r="C14" s="11" t="s">
        <v>748</v>
      </c>
      <c r="D14" s="50" t="str">
        <f aca="false">IFERROR(IF(OR(NOT(ISNUMBER(D11)),N(D12)=0),"",D11/D12),"")</f>
        <v/>
      </c>
      <c r="E14" s="50" t="n">
        <f aca="false">IFERROR(IF(OR(NOT(ISNUMBER(E11)),N(E12)=0),"",E11/E12),"")</f>
        <v>155.559333</v>
      </c>
      <c r="F14" s="50" t="n">
        <f aca="false">IFERROR(IF(OR(NOT(ISNUMBER(F11)),N(F12)=0),"",F11/F12),"")</f>
        <v>156.385833</v>
      </c>
      <c r="G14" s="50" t="n">
        <f aca="false">IFERROR(IF(OR(NOT(ISNUMBER(G11)),N(G12)=0),"",G11/G12),"")</f>
        <v>157.220598</v>
      </c>
      <c r="H14" s="50" t="n">
        <f aca="false">IFERROR(IF(OR(NOT(ISNUMBER(H11)),N(H12)=0),"",H11/H12),"")</f>
        <v>158.06371065</v>
      </c>
      <c r="I14" s="50" t="n">
        <f aca="false">IFERROR(IF(OR(NOT(ISNUMBER(I11)),N(I12)=0),"",I11/I12),"")</f>
        <v>158.9152544265</v>
      </c>
      <c r="J14" s="50" t="n">
        <f aca="false">IFERROR(IF(OR(NOT(ISNUMBER(J11)),N(J12)=0),"",J11/J12),"")</f>
        <v>159.775313640765</v>
      </c>
      <c r="K14" s="50" t="n">
        <f aca="false">IFERROR(IF(OR(NOT(ISNUMBER(K11)),N(K12)=0),"",K11/K12),"")</f>
        <v>160.643973447173</v>
      </c>
      <c r="L14" s="50" t="n">
        <f aca="false">IFERROR(IF(OR(NOT(ISNUMBER(L11)),N(L12)=0),"",L11/L12),"")</f>
        <v>161.521319851644</v>
      </c>
      <c r="M14" s="50" t="n">
        <f aca="false">IFERROR(IF(OR(NOT(ISNUMBER(M11)),N(M12)=0),"",M11/M12),"")</f>
        <v>162.407439720161</v>
      </c>
      <c r="N14" s="50" t="n">
        <f aca="false">IFERROR(IF(OR(NOT(ISNUMBER(N11)),N(N12)=0),"",N11/N12),"")</f>
        <v>163.302420787362</v>
      </c>
      <c r="O14" s="68" t="n">
        <f aca="false">IFERROR(IF(OR(NOT(ISNUMBER(O11)),N(O12)=0),"",O11/O12),"")</f>
        <v>159.685876760394</v>
      </c>
    </row>
    <row r="15" customFormat="false" ht="15" hidden="false" customHeight="false" outlineLevel="0" collapsed="false">
      <c r="A15" s="11" t="s">
        <v>2371</v>
      </c>
      <c r="B15" s="15" t="s">
        <v>2372</v>
      </c>
      <c r="C15" s="11" t="s">
        <v>748</v>
      </c>
      <c r="D15" s="50" t="str">
        <f aca="false">IFERROR(IF(N(D12)=0,"",(D13-D11)/D12),"")</f>
        <v/>
      </c>
      <c r="E15" s="50" t="n">
        <f aca="false">IFERROR(IF(N(E12)=0,"",(E13-E11)/E12),"")</f>
        <v>114.440667</v>
      </c>
      <c r="F15" s="50" t="n">
        <f aca="false">IFERROR(IF(N(F12)=0,"",(F13-F11)/F12),"")</f>
        <v>116.314167</v>
      </c>
      <c r="G15" s="50" t="n">
        <f aca="false">IFERROR(IF(N(G12)=0,"",(G13-G11)/G12),"")</f>
        <v>118.206402</v>
      </c>
      <c r="H15" s="50" t="n">
        <f aca="false">IFERROR(IF(N(H12)=0,"",(H13-H11)/H12),"")</f>
        <v>120.11755935</v>
      </c>
      <c r="I15" s="50" t="n">
        <f aca="false">IFERROR(IF(N(I12)=0,"",(I13-I11)/I12),"")</f>
        <v>122.0478282735</v>
      </c>
      <c r="J15" s="50" t="n">
        <f aca="false">IFERROR(IF(N(J12)=0,"",(J13-J11)/J12),"")</f>
        <v>123.997399886235</v>
      </c>
      <c r="K15" s="50" t="n">
        <f aca="false">IFERROR(IF(N(K12)=0,"",(K13-K11)/K12),"")</f>
        <v>125.966467215097</v>
      </c>
      <c r="L15" s="50" t="n">
        <f aca="false">IFERROR(IF(N(L12)=0,"",(L13-L11)/L12),"")</f>
        <v>127.955225217248</v>
      </c>
      <c r="M15" s="50" t="n">
        <f aca="false">IFERROR(IF(N(M12)=0,"",(M13-M11)/M12),"")</f>
        <v>129.963870799421</v>
      </c>
      <c r="N15" s="50" t="n">
        <f aca="false">IFERROR(IF(N(N12)=0,"",(N13-N11)/N12),"")</f>
        <v>131.992602837415</v>
      </c>
      <c r="O15" s="68" t="n">
        <f aca="false">IFERROR(IF(N(O12)=0,"",(O13-O11)/O12),"")</f>
        <v>123.794665469569</v>
      </c>
    </row>
    <row r="16" customFormat="false" ht="15" hidden="false" customHeight="false" outlineLevel="0" collapsed="false">
      <c r="A16" s="11" t="s">
        <v>2373</v>
      </c>
      <c r="B16" s="15" t="s">
        <v>2374</v>
      </c>
      <c r="C16" s="11" t="s">
        <v>367</v>
      </c>
      <c r="D16" s="49" t="str">
        <f aca="false">IFERROR(IF(N(D13)=0,"",1-D11/D13),"")</f>
        <v/>
      </c>
      <c r="E16" s="49" t="n">
        <f aca="false">IFERROR(IF(N(E13)=0,"",1-E11/E13),"")</f>
        <v>0.423854322222222</v>
      </c>
      <c r="F16" s="49" t="n">
        <f aca="false">IFERROR(IF(N(F13)=0,"",1-F11/F13),"")</f>
        <v>0.426527931793179</v>
      </c>
      <c r="G16" s="49" t="n">
        <f aca="false">IFERROR(IF(N(G13)=0,"",1-G11/G13),"")</f>
        <v>0.429175069982246</v>
      </c>
      <c r="H16" s="49" t="n">
        <f aca="false">IFERROR(IF(N(H13)=0,"",1-H11/H13),"")</f>
        <v>0.431795998882311</v>
      </c>
      <c r="I16" s="49" t="n">
        <f aca="false">IFERROR(IF(N(I13)=0,"",1-I11/I13),"")</f>
        <v>0.434390977991288</v>
      </c>
      <c r="J16" s="49" t="n">
        <f aca="false">IFERROR(IF(N(J13)=0,"",1-J11/J13),"")</f>
        <v>0.436960264237798</v>
      </c>
      <c r="K16" s="49" t="n">
        <f aca="false">IFERROR(IF(N(K13)=0,"",1-K11/K13),"")</f>
        <v>0.439504112006621</v>
      </c>
      <c r="L16" s="49" t="n">
        <f aca="false">IFERROR(IF(N(L13)=0,"",1-L11/L13),"")</f>
        <v>0.442022773163871</v>
      </c>
      <c r="M16" s="49" t="n">
        <f aca="false">IFERROR(IF(N(M13)=0,"",1-M11/M13),"")</f>
        <v>0.444516497081941</v>
      </c>
      <c r="N16" s="49" t="n">
        <f aca="false">IFERROR(IF(N(N13)=0,"",1-N11/N13),"")</f>
        <v>0.446985530664188</v>
      </c>
      <c r="O16" s="99" t="n">
        <f aca="false">IFERROR(IF(N(O13)=0,"",1-O11/O13),"")</f>
        <v>0.436695458869078</v>
      </c>
    </row>
    <row r="17" customFormat="false" ht="15" hidden="false" customHeight="false" outlineLevel="0" collapsed="false">
      <c r="A17" s="11" t="s">
        <v>2375</v>
      </c>
      <c r="B17" s="15" t="s">
        <v>2376</v>
      </c>
      <c r="C17" s="11" t="s">
        <v>508</v>
      </c>
      <c r="D17" s="48" t="str">
        <f aca="false">IFERROR(IF(OR(NOT(ISNUMBER(D11)),N(D9)=0),"",D10*D11/D9),"")</f>
        <v/>
      </c>
      <c r="E17" s="48" t="n">
        <f aca="false">IFERROR(IF(OR(NOT(ISNUMBER(E11)),N(E9)=0),"",E10*E11/E9),"")</f>
        <v>1130905.1252281</v>
      </c>
      <c r="F17" s="48" t="n">
        <f aca="false">IFERROR(IF(OR(NOT(ISNUMBER(F11)),N(F9)=0),"",F10*F11/F9),"")</f>
        <v>1154287.81324077</v>
      </c>
      <c r="G17" s="48" t="n">
        <f aca="false">IFERROR(IF(OR(NOT(ISNUMBER(G11)),N(G9)=0),"",G10*G11/G9),"")</f>
        <v>1189286.21216736</v>
      </c>
      <c r="H17" s="48" t="n">
        <f aca="false">IFERROR(IF(OR(NOT(ISNUMBER(H11)),N(H9)=0),"",H10*H11/H9),"")</f>
        <v>1245318.47728843</v>
      </c>
      <c r="I17" s="48" t="n">
        <f aca="false">IFERROR(IF(OR(NOT(ISNUMBER(I11)),N(I9)=0),"",I10*I11/I9),"")</f>
        <v>1229963.22413232</v>
      </c>
      <c r="J17" s="48" t="n">
        <f aca="false">IFERROR(IF(OR(NOT(ISNUMBER(J11)),N(J9)=0),"",J10*J11/J9),"")</f>
        <v>1204303.69263843</v>
      </c>
      <c r="K17" s="48" t="n">
        <f aca="false">IFERROR(IF(OR(NOT(ISNUMBER(K11)),N(K9)=0),"",K10*K11/K9),"")</f>
        <v>1211963.74489449</v>
      </c>
      <c r="L17" s="48" t="n">
        <f aca="false">IFERROR(IF(OR(NOT(ISNUMBER(L11)),N(L9)=0),"",L10*L11/L9),"")</f>
        <v>1219800.92080169</v>
      </c>
      <c r="M17" s="48" t="n">
        <f aca="false">IFERROR(IF(OR(NOT(ISNUMBER(M11)),N(M9)=0),"",M10*M11/M9),"")</f>
        <v>1227819.99489167</v>
      </c>
      <c r="N17" s="48" t="n">
        <f aca="false">IFERROR(IF(OR(NOT(ISNUMBER(N11)),N(N9)=0),"",N10*N11/N9),"")</f>
        <v>1236025.87904975</v>
      </c>
      <c r="O17" s="54" t="n">
        <f aca="false">SUM(D17:N17)</f>
        <v>12049675.084333</v>
      </c>
    </row>
    <row r="18" customFormat="false" ht="15" hidden="false" customHeight="false" outlineLevel="0" collapsed="false">
      <c r="A18" s="11" t="s">
        <v>2377</v>
      </c>
      <c r="B18" s="15" t="s">
        <v>2378</v>
      </c>
      <c r="C18" s="11" t="s">
        <v>508</v>
      </c>
      <c r="D18" s="48" t="n">
        <f aca="false">IFERROR(IF(COUNT(D11,D17)=0,"",N(D11)+N(D17)),"")</f>
        <v>0</v>
      </c>
      <c r="E18" s="48" t="n">
        <f aca="false">IFERROR(IF(COUNT(E11,E17)=0,"",N(E11)+N(E17)),"")</f>
        <v>2997617.1212281</v>
      </c>
      <c r="F18" s="48" t="n">
        <f aca="false">IFERROR(IF(COUNT(F11,F17)=0,"",N(F11)+N(F17)),"")</f>
        <v>3500075.30824077</v>
      </c>
      <c r="G18" s="48" t="n">
        <f aca="false">IFERROR(IF(COUNT(G11,G17)=0,"",N(G11)+N(G17)),"")</f>
        <v>4019256.97616736</v>
      </c>
      <c r="H18" s="48" t="n">
        <f aca="false">IFERROR(IF(COUNT(H11,H17)=0,"",N(H11)+N(H17)),"")</f>
        <v>4564656.40093843</v>
      </c>
      <c r="I18" s="48" t="n">
        <f aca="false">IFERROR(IF(COUNT(I11,I17)=0,"",N(I11)+N(I17)),"")</f>
        <v>4567183.56708882</v>
      </c>
      <c r="J18" s="48" t="n">
        <f aca="false">IFERROR(IF(COUNT(J11,J17)=0,"",N(J11)+N(J17)),"")</f>
        <v>4559585.2790945</v>
      </c>
      <c r="K18" s="48" t="n">
        <f aca="false">IFERROR(IF(COUNT(K11,K17)=0,"",N(K11)+N(K17)),"")</f>
        <v>4585487.18728512</v>
      </c>
      <c r="L18" s="48" t="n">
        <f aca="false">IFERROR(IF(COUNT(L11,L17)=0,"",N(L11)+N(L17)),"")</f>
        <v>4611748.63768622</v>
      </c>
      <c r="M18" s="48" t="n">
        <f aca="false">IFERROR(IF(COUNT(M11,M17)=0,"",N(M11)+N(M17)),"")</f>
        <v>4638376.22901504</v>
      </c>
      <c r="N18" s="48" t="n">
        <f aca="false">IFERROR(IF(COUNT(N11,N17)=0,"",N(N11)+N(N17)),"")</f>
        <v>4665376.71558436</v>
      </c>
      <c r="O18" s="54" t="n">
        <f aca="false">SUM(D18:N18)</f>
        <v>42709363.4223287</v>
      </c>
    </row>
    <row r="19" customFormat="false" ht="15" hidden="false" customHeight="false" outlineLevel="0" collapsed="false">
      <c r="A19" s="11" t="s">
        <v>2379</v>
      </c>
      <c r="B19" s="15" t="s">
        <v>2380</v>
      </c>
      <c r="C19" s="11" t="s">
        <v>748</v>
      </c>
      <c r="D19" s="50" t="str">
        <f aca="false">IFERROR(IF(OR(NOT(ISNUMBER(D18)),N(D12)=0),"",D18/D12),"")</f>
        <v/>
      </c>
      <c r="E19" s="50" t="n">
        <f aca="false">IFERROR(IF(OR(NOT(ISNUMBER(E18)),N(E12)=0),"",E18/E12),"")</f>
        <v>249.801426769009</v>
      </c>
      <c r="F19" s="50" t="n">
        <f aca="false">IFERROR(IF(OR(NOT(ISNUMBER(F18)),N(F12)=0),"",F18/F12),"")</f>
        <v>233.338353882718</v>
      </c>
      <c r="G19" s="50" t="n">
        <f aca="false">IFERROR(IF(OR(NOT(ISNUMBER(G18)),N(G12)=0),"",G18/G12),"")</f>
        <v>223.29205423152</v>
      </c>
      <c r="H19" s="50" t="n">
        <f aca="false">IFERROR(IF(OR(NOT(ISNUMBER(H18)),N(H12)=0),"",H18/H12),"")</f>
        <v>217.364590520877</v>
      </c>
      <c r="I19" s="50" t="n">
        <f aca="false">IFERROR(IF(OR(NOT(ISNUMBER(I18)),N(I12)=0),"",I18/I12),"")</f>
        <v>217.484931766134</v>
      </c>
      <c r="J19" s="50" t="n">
        <f aca="false">IFERROR(IF(OR(NOT(ISNUMBER(J18)),N(J12)=0),"",J18/J12),"")</f>
        <v>217.123108528309</v>
      </c>
      <c r="K19" s="50" t="n">
        <f aca="false">IFERROR(IF(OR(NOT(ISNUMBER(K18)),N(K12)=0),"",K18/K12),"")</f>
        <v>218.356532727863</v>
      </c>
      <c r="L19" s="50" t="n">
        <f aca="false">IFERROR(IF(OR(NOT(ISNUMBER(L18)),N(L12)=0),"",L18/L12),"")</f>
        <v>219.607077985058</v>
      </c>
      <c r="M19" s="50" t="n">
        <f aca="false">IFERROR(IF(OR(NOT(ISNUMBER(M18)),N(M12)=0),"",M18/M12),"")</f>
        <v>220.875058524526</v>
      </c>
      <c r="N19" s="50" t="n">
        <f aca="false">IFERROR(IF(OR(NOT(ISNUMBER(N18)),N(N12)=0),"",N18/N12),"")</f>
        <v>222.160795980208</v>
      </c>
      <c r="O19" s="68" t="n">
        <f aca="false">IFERROR(IF(OR(NOT(ISNUMBER(O18)),N(O12)=0),"",O18/O12),"")</f>
        <v>222.444601157962</v>
      </c>
    </row>
    <row r="20" customFormat="false" ht="15" hidden="false" customHeight="false" outlineLevel="0" collapsed="false">
      <c r="A20" s="11" t="s">
        <v>2381</v>
      </c>
      <c r="B20" s="53" t="str">
        <f aca="false">IF(INDEX(Prod_Nombre,2)="","Producto 2",INDEX(Prod_Nombre,2))&amp;" — costo directo"</f>
        <v>Cajas metálicas 13 kg — costo directo</v>
      </c>
      <c r="C20" s="11" t="s">
        <v>508</v>
      </c>
      <c r="D20" s="48" t="n">
        <f aca="false">IF(cu_P=1,(SUMIFS(Calculo!$F$22:$ES$22,Calculo!$F$16:$ES$16,1)*N(INDEX(MP_O,2))*INDEX(IdxMP_O,1,1)*(1+P_dMat)/(1-P_Merma)+SUMIFS(Calculo!$F$22:$ES$22,Calculo!$F$16:$ES$16,1)*N(INDEX(INS_O,2))*INDEX(IdxOV_O,1,1)*(1+P_dMat)/(1-P_Merma)+SUMIFS(Calculo!$F$22:$ES$22,Calculo!$F$16:$ES$16,1)*N(INDEX(OV_O,2))*INDEX(IdxOV_O,1,1)*(1+P_dMat)/(1-P_Merma)),(SUMIFS(Calculo!$F$178:$ES$178,Calculo!$F$172:$ES$172,1)*N(INDEX(MP_V,2))*INDEX(IdxMP_V,1,1)*(1+V_dMat)/(1-V_Merma)+SUMIFS(Calculo!$F$178:$ES$178,Calculo!$F$172:$ES$172,1)*N(INDEX(INS_V,2))*INDEX(IdxOV_V,1,1)*(1+V_dMat)/(1-V_Merma)+SUMIFS(Calculo!$F$178:$ES$178,Calculo!$F$172:$ES$172,1)*N(INDEX(OV_V,2))*INDEX(IdxOV_V,1,1)*(1+V_dMat)/(1-V_Merma)))</f>
        <v>0</v>
      </c>
      <c r="E20" s="48" t="n">
        <f aca="false">IF(cu_P=1,(SUMIFS(Calculo!$F$22:$ES$22,Calculo!$F$14:$ES$14,1)*N(INDEX(MP_O,2))*INDEX(IdxMP_O,1,1)*(1+P_dMat)/(1-P_Merma)+SUMIFS(Calculo!$F$22:$ES$22,Calculo!$F$14:$ES$14,1)*N(INDEX(INS_O,2))*INDEX(IdxOV_O,1,1)*(1+P_dMat)/(1-P_Merma)+SUMIFS(Calculo!$F$22:$ES$22,Calculo!$F$14:$ES$14,1)*N(INDEX(OV_O,2))*INDEX(IdxOV_O,1,1)*(1+P_dMat)/(1-P_Merma)),(SUMIFS(Calculo!$F$178:$ES$178,Calculo!$F$170:$ES$170,1)*N(INDEX(MP_V,2))*INDEX(IdxMP_V,1,1)*(1+V_dMat)/(1-V_Merma)+SUMIFS(Calculo!$F$178:$ES$178,Calculo!$F$170:$ES$170,1)*N(INDEX(INS_V,2))*INDEX(IdxOV_V,1,1)*(1+V_dMat)/(1-V_Merma)+SUMIFS(Calculo!$F$178:$ES$178,Calculo!$F$170:$ES$170,1)*N(INDEX(OV_V,2))*INDEX(IdxOV_V,1,1)*(1+V_dMat)/(1-V_Merma)))</f>
        <v>1049370</v>
      </c>
      <c r="F20" s="48" t="n">
        <f aca="false">IF(cu_P=1,(SUMIFS(Calculo!$F$22:$ES$22,Calculo!$F$14:$ES$14,2)*N(INDEX(MP_O,2))*INDEX(IdxMP_O,1,2)*(1+P_dMat)/(1-P_Merma)+SUMIFS(Calculo!$F$22:$ES$22,Calculo!$F$14:$ES$14,2)*N(INDEX(INS_O,2))*INDEX(IdxOV_O,1,2)*(1+P_dMat)/(1-P_Merma)+SUMIFS(Calculo!$F$22:$ES$22,Calculo!$F$14:$ES$14,2)*N(INDEX(OV_O,2))*INDEX(IdxOV_O,1,2)*(1+P_dMat)/(1-P_Merma)),(SUMIFS(Calculo!$F$178:$ES$178,Calculo!$F$170:$ES$170,2)*N(INDEX(MP_V,2))*INDEX(IdxMP_V,1,2)*(1+V_dMat)/(1-V_Merma)+SUMIFS(Calculo!$F$178:$ES$178,Calculo!$F$170:$ES$170,2)*N(INDEX(INS_V,2))*INDEX(IdxOV_V,1,2)*(1+V_dMat)/(1-V_Merma)+SUMIFS(Calculo!$F$178:$ES$178,Calculo!$F$170:$ES$170,2)*N(INDEX(OV_V,2))*INDEX(IdxOV_V,1,2)*(1+V_dMat)/(1-V_Merma)))</f>
        <v>1355859</v>
      </c>
      <c r="G20" s="48" t="n">
        <f aca="false">IF(cu_P=1,(SUMIFS(Calculo!$F$22:$ES$22,Calculo!$F$14:$ES$14,3)*N(INDEX(MP_O,2))*INDEX(IdxMP_O,1,3)*(1+P_dMat)/(1-P_Merma)+SUMIFS(Calculo!$F$22:$ES$22,Calculo!$F$14:$ES$14,3)*N(INDEX(INS_O,2))*INDEX(IdxOV_O,1,3)*(1+P_dMat)/(1-P_Merma)+SUMIFS(Calculo!$F$22:$ES$22,Calculo!$F$14:$ES$14,3)*N(INDEX(OV_O,2))*INDEX(IdxOV_O,1,3)*(1+P_dMat)/(1-P_Merma)),(SUMIFS(Calculo!$F$178:$ES$178,Calculo!$F$170:$ES$170,3)*N(INDEX(MP_V,2))*INDEX(IdxMP_V,1,3)*(1+V_dMat)/(1-V_Merma)+SUMIFS(Calculo!$F$178:$ES$178,Calculo!$F$170:$ES$170,3)*N(INDEX(INS_V,2))*INDEX(IdxOV_V,1,3)*(1+V_dMat)/(1-V_Merma)+SUMIFS(Calculo!$F$178:$ES$178,Calculo!$F$170:$ES$170,3)*N(INDEX(OV_V,2))*INDEX(IdxOV_V,1,3)*(1+V_dMat)/(1-V_Merma)))</f>
        <v>1665393.51</v>
      </c>
      <c r="H20" s="48" t="n">
        <f aca="false">IF(cu_P=1,(SUMIFS(Calculo!$F$22:$ES$22,Calculo!$F$14:$ES$14,4)*N(INDEX(MP_O,2))*INDEX(IdxMP_O,1,4)*(1+P_dMat)/(1-P_Merma)+SUMIFS(Calculo!$F$22:$ES$22,Calculo!$F$14:$ES$14,4)*N(INDEX(INS_O,2))*INDEX(IdxOV_O,1,4)*(1+P_dMat)/(1-P_Merma)+SUMIFS(Calculo!$F$22:$ES$22,Calculo!$F$14:$ES$14,4)*N(INDEX(OV_O,2))*INDEX(IdxOV_O,1,4)*(1+P_dMat)/(1-P_Merma)),(SUMIFS(Calculo!$F$178:$ES$178,Calculo!$F$170:$ES$170,4)*N(INDEX(MP_V,2))*INDEX(IdxMP_V,1,4)*(1+V_dMat)/(1-V_Merma)+SUMIFS(Calculo!$F$178:$ES$178,Calculo!$F$170:$ES$170,4)*N(INDEX(INS_V,2))*INDEX(IdxOV_V,1,4)*(1+V_dMat)/(1-V_Merma)+SUMIFS(Calculo!$F$178:$ES$178,Calculo!$F$170:$ES$170,4)*N(INDEX(OV_V,2))*INDEX(IdxOV_V,1,4)*(1+V_dMat)/(1-V_Merma)))</f>
        <v>1825863.6492</v>
      </c>
      <c r="I20" s="48" t="n">
        <f aca="false">IF(cu_P=1,(SUMIFS(Calculo!$F$22:$ES$22,Calculo!$F$14:$ES$14,5)*N(INDEX(MP_O,2))*INDEX(IdxMP_O,1,5)*(1+P_dMat)/(1-P_Merma)+SUMIFS(Calculo!$F$22:$ES$22,Calculo!$F$14:$ES$14,5)*N(INDEX(INS_O,2))*INDEX(IdxOV_O,1,5)*(1+P_dMat)/(1-P_Merma)+SUMIFS(Calculo!$F$22:$ES$22,Calculo!$F$14:$ES$14,5)*N(INDEX(OV_O,2))*INDEX(IdxOV_O,1,5)*(1+P_dMat)/(1-P_Merma)),(SUMIFS(Calculo!$F$178:$ES$178,Calculo!$F$170:$ES$170,5)*N(INDEX(MP_V,2))*INDEX(IdxMP_V,1,5)*(1+V_dMat)/(1-V_Merma)+SUMIFS(Calculo!$F$178:$ES$178,Calculo!$F$170:$ES$170,5)*N(INDEX(INS_V,2))*INDEX(IdxOV_V,1,5)*(1+V_dMat)/(1-V_Merma)+SUMIFS(Calculo!$F$178:$ES$178,Calculo!$F$170:$ES$170,5)*N(INDEX(OV_V,2))*INDEX(IdxOV_V,1,5)*(1+V_dMat)/(1-V_Merma)))</f>
        <v>1835025.085692</v>
      </c>
      <c r="J20" s="48" t="n">
        <f aca="false">IF(cu_P=1,(SUMIFS(Calculo!$F$22:$ES$22,Calculo!$F$14:$ES$14,6)*N(INDEX(MP_O,2))*INDEX(IdxMP_O,1,6)*(1+P_dMat)/(1-P_Merma)+SUMIFS(Calculo!$F$22:$ES$22,Calculo!$F$14:$ES$14,6)*N(INDEX(INS_O,2))*INDEX(IdxOV_O,1,6)*(1+P_dMat)/(1-P_Merma)+SUMIFS(Calculo!$F$22:$ES$22,Calculo!$F$14:$ES$14,6)*N(INDEX(OV_O,2))*INDEX(IdxOV_O,1,6)*(1+P_dMat)/(1-P_Merma)),(SUMIFS(Calculo!$F$178:$ES$178,Calculo!$F$170:$ES$170,6)*N(INDEX(MP_V,2))*INDEX(IdxMP_V,1,6)*(1+V_dMat)/(1-V_Merma)+SUMIFS(Calculo!$F$178:$ES$178,Calculo!$F$170:$ES$170,6)*N(INDEX(INS_V,2))*INDEX(IdxOV_V,1,6)*(1+V_dMat)/(1-V_Merma)+SUMIFS(Calculo!$F$178:$ES$178,Calculo!$F$170:$ES$170,6)*N(INDEX(OV_V,2))*INDEX(IdxOV_V,1,6)*(1+V_dMat)/(1-V_Merma)))</f>
        <v>1844278.13654892</v>
      </c>
      <c r="K20" s="48" t="n">
        <f aca="false">IF(cu_P=1,(SUMIFS(Calculo!$F$22:$ES$22,Calculo!$F$14:$ES$14,7)*N(INDEX(MP_O,2))*INDEX(IdxMP_O,1,7)*(1+P_dMat)/(1-P_Merma)+SUMIFS(Calculo!$F$22:$ES$22,Calculo!$F$14:$ES$14,7)*N(INDEX(INS_O,2))*INDEX(IdxOV_O,1,7)*(1+P_dMat)/(1-P_Merma)+SUMIFS(Calculo!$F$22:$ES$22,Calculo!$F$14:$ES$14,7)*N(INDEX(OV_O,2))*INDEX(IdxOV_O,1,7)*(1+P_dMat)/(1-P_Merma)),(SUMIFS(Calculo!$F$178:$ES$178,Calculo!$F$170:$ES$170,7)*N(INDEX(MP_V,2))*INDEX(IdxMP_V,1,7)*(1+V_dMat)/(1-V_Merma)+SUMIFS(Calculo!$F$178:$ES$178,Calculo!$F$170:$ES$170,7)*N(INDEX(INS_V,2))*INDEX(IdxOV_V,1,7)*(1+V_dMat)/(1-V_Merma)+SUMIFS(Calculo!$F$178:$ES$178,Calculo!$F$170:$ES$170,7)*N(INDEX(OV_V,2))*INDEX(IdxOV_V,1,7)*(1+V_dMat)/(1-V_Merma)))</f>
        <v>1853623.71791441</v>
      </c>
      <c r="L20" s="48" t="n">
        <f aca="false">IF(cu_P=1,(SUMIFS(Calculo!$F$22:$ES$22,Calculo!$F$14:$ES$14,8)*N(INDEX(MP_O,2))*INDEX(IdxMP_O,1,8)*(1+P_dMat)/(1-P_Merma)+SUMIFS(Calculo!$F$22:$ES$22,Calculo!$F$14:$ES$14,8)*N(INDEX(INS_O,2))*INDEX(IdxOV_O,1,8)*(1+P_dMat)/(1-P_Merma)+SUMIFS(Calculo!$F$22:$ES$22,Calculo!$F$14:$ES$14,8)*N(INDEX(OV_O,2))*INDEX(IdxOV_O,1,8)*(1+P_dMat)/(1-P_Merma)),(SUMIFS(Calculo!$F$178:$ES$178,Calculo!$F$170:$ES$170,8)*N(INDEX(MP_V,2))*INDEX(IdxMP_V,1,8)*(1+V_dMat)/(1-V_Merma)+SUMIFS(Calculo!$F$178:$ES$178,Calculo!$F$170:$ES$170,8)*N(INDEX(INS_V,2))*INDEX(IdxOV_V,1,8)*(1+V_dMat)/(1-V_Merma)+SUMIFS(Calculo!$F$178:$ES$178,Calculo!$F$170:$ES$170,8)*N(INDEX(OV_V,2))*INDEX(IdxOV_V,1,8)*(1+V_dMat)/(1-V_Merma)))</f>
        <v>1863062.75509355</v>
      </c>
      <c r="M20" s="48" t="n">
        <f aca="false">IF(cu_P=1,(SUMIFS(Calculo!$F$22:$ES$22,Calculo!$F$14:$ES$14,9)*N(INDEX(MP_O,2))*INDEX(IdxMP_O,1,9)*(1+P_dMat)/(1-P_Merma)+SUMIFS(Calculo!$F$22:$ES$22,Calculo!$F$14:$ES$14,9)*N(INDEX(INS_O,2))*INDEX(IdxOV_O,1,9)*(1+P_dMat)/(1-P_Merma)+SUMIFS(Calculo!$F$22:$ES$22,Calculo!$F$14:$ES$14,9)*N(INDEX(OV_O,2))*INDEX(IdxOV_O,1,9)*(1+P_dMat)/(1-P_Merma)),(SUMIFS(Calculo!$F$178:$ES$178,Calculo!$F$170:$ES$170,9)*N(INDEX(MP_V,2))*INDEX(IdxMP_V,1,9)*(1+V_dMat)/(1-V_Merma)+SUMIFS(Calculo!$F$178:$ES$178,Calculo!$F$170:$ES$170,9)*N(INDEX(INS_V,2))*INDEX(IdxOV_V,1,9)*(1+V_dMat)/(1-V_Merma)+SUMIFS(Calculo!$F$178:$ES$178,Calculo!$F$170:$ES$170,9)*N(INDEX(OV_V,2))*INDEX(IdxOV_V,1,9)*(1+V_dMat)/(1-V_Merma)))</f>
        <v>1872596.18264449</v>
      </c>
      <c r="N20" s="48" t="n">
        <f aca="false">IF(cu_P=1,(SUMIFS(Calculo!$F$22:$ES$22,Calculo!$F$14:$ES$14,10)*N(INDEX(MP_O,2))*INDEX(IdxMP_O,1,10)*(1+P_dMat)/(1-P_Merma)+SUMIFS(Calculo!$F$22:$ES$22,Calculo!$F$14:$ES$14,10)*N(INDEX(INS_O,2))*INDEX(IdxOV_O,1,10)*(1+P_dMat)/(1-P_Merma)+SUMIFS(Calculo!$F$22:$ES$22,Calculo!$F$14:$ES$14,10)*N(INDEX(OV_O,2))*INDEX(IdxOV_O,1,10)*(1+P_dMat)/(1-P_Merma)),(SUMIFS(Calculo!$F$178:$ES$178,Calculo!$F$170:$ES$170,10)*N(INDEX(MP_V,2))*INDEX(IdxMP_V,1,10)*(1+V_dMat)/(1-V_Merma)+SUMIFS(Calculo!$F$178:$ES$178,Calculo!$F$170:$ES$170,10)*N(INDEX(INS_V,2))*INDEX(IdxOV_V,1,10)*(1+V_dMat)/(1-V_Merma)+SUMIFS(Calculo!$F$178:$ES$178,Calculo!$F$170:$ES$170,10)*N(INDEX(OV_V,2))*INDEX(IdxOV_V,1,10)*(1+V_dMat)/(1-V_Merma)))</f>
        <v>1882224.94447093</v>
      </c>
      <c r="O20" s="54" t="n">
        <f aca="false">SUM(D20:N20)</f>
        <v>17047296.9815643</v>
      </c>
    </row>
    <row r="21" customFormat="false" ht="15" hidden="false" customHeight="false" outlineLevel="0" collapsed="false">
      <c r="A21" s="11" t="s">
        <v>2382</v>
      </c>
      <c r="B21" s="15" t="s">
        <v>2366</v>
      </c>
      <c r="C21" s="11" t="s">
        <v>544</v>
      </c>
      <c r="D21" s="48" t="n">
        <f aca="false">IF(cu_P=1,SUMIFS(Calculo!$F$22:$ES$22,Calculo!$F$16:$ES$16,1),SUMIFS(Calculo!$F$178:$ES$178,Calculo!$F$172:$ES$172,1))</f>
        <v>0</v>
      </c>
      <c r="E21" s="48" t="n">
        <f aca="false">IF(cu_P=1,SUMIFS(Calculo!$F$22:$ES$22,Calculo!$F$14:$ES$14,1),SUMIFS(Calculo!$F$178:$ES$178,Calculo!$F$170:$ES$170,1))</f>
        <v>70000</v>
      </c>
      <c r="F21" s="48" t="n">
        <f aca="false">IF(cu_P=1,SUMIFS(Calculo!$F$22:$ES$22,Calculo!$F$14:$ES$14,2),SUMIFS(Calculo!$F$178:$ES$178,Calculo!$F$170:$ES$170,2))</f>
        <v>90000</v>
      </c>
      <c r="G21" s="48" t="n">
        <f aca="false">IF(cu_P=1,SUMIFS(Calculo!$F$22:$ES$22,Calculo!$F$14:$ES$14,3),SUMIFS(Calculo!$F$178:$ES$178,Calculo!$F$170:$ES$170,3))</f>
        <v>110000</v>
      </c>
      <c r="H21" s="48" t="n">
        <f aca="false">IF(cu_P=1,SUMIFS(Calculo!$F$22:$ES$22,Calculo!$F$14:$ES$14,4),SUMIFS(Calculo!$F$178:$ES$178,Calculo!$F$170:$ES$170,4))</f>
        <v>120000</v>
      </c>
      <c r="I21" s="48" t="n">
        <f aca="false">IF(cu_P=1,SUMIFS(Calculo!$F$22:$ES$22,Calculo!$F$14:$ES$14,5),SUMIFS(Calculo!$F$178:$ES$178,Calculo!$F$170:$ES$170,5))</f>
        <v>120000</v>
      </c>
      <c r="J21" s="48" t="n">
        <f aca="false">IF(cu_P=1,SUMIFS(Calculo!$F$22:$ES$22,Calculo!$F$14:$ES$14,6),SUMIFS(Calculo!$F$178:$ES$178,Calculo!$F$170:$ES$170,6))</f>
        <v>120000</v>
      </c>
      <c r="K21" s="48" t="n">
        <f aca="false">IF(cu_P=1,SUMIFS(Calculo!$F$22:$ES$22,Calculo!$F$14:$ES$14,7),SUMIFS(Calculo!$F$178:$ES$178,Calculo!$F$170:$ES$170,7))</f>
        <v>120000</v>
      </c>
      <c r="L21" s="48" t="n">
        <f aca="false">IF(cu_P=1,SUMIFS(Calculo!$F$22:$ES$22,Calculo!$F$14:$ES$14,8),SUMIFS(Calculo!$F$178:$ES$178,Calculo!$F$170:$ES$170,8))</f>
        <v>120000</v>
      </c>
      <c r="M21" s="48" t="n">
        <f aca="false">IF(cu_P=1,SUMIFS(Calculo!$F$22:$ES$22,Calculo!$F$14:$ES$14,9),SUMIFS(Calculo!$F$178:$ES$178,Calculo!$F$170:$ES$170,9))</f>
        <v>120000</v>
      </c>
      <c r="N21" s="48" t="n">
        <f aca="false">IF(cu_P=1,SUMIFS(Calculo!$F$22:$ES$22,Calculo!$F$14:$ES$14,10),SUMIFS(Calculo!$F$178:$ES$178,Calculo!$F$170:$ES$170,10))</f>
        <v>120000</v>
      </c>
      <c r="O21" s="54" t="n">
        <f aca="false">SUM(D21:N21)</f>
        <v>1110000</v>
      </c>
    </row>
    <row r="22" customFormat="false" ht="15" hidden="false" customHeight="false" outlineLevel="0" collapsed="false">
      <c r="A22" s="11" t="s">
        <v>2383</v>
      </c>
      <c r="B22" s="15" t="s">
        <v>2368</v>
      </c>
      <c r="C22" s="11" t="s">
        <v>508</v>
      </c>
      <c r="D22" s="48" t="n">
        <f aca="false">IF(cu_P=1,SUMIFS(Calculo!$F$47:$ES$47,Calculo!$F$16:$ES$16,1),SUMIFS(Calculo!$F$203:$ES$203,Calculo!$F$172:$ES$172,1))</f>
        <v>0</v>
      </c>
      <c r="E22" s="48" t="n">
        <f aca="false">IF(cu_P=1,SUMIFS(Calculo!$F$47:$ES$47,Calculo!$F$14:$ES$14,1),SUMIFS(Calculo!$F$203:$ES$203,Calculo!$F$170:$ES$170,1))</f>
        <v>1610000</v>
      </c>
      <c r="F22" s="48" t="n">
        <f aca="false">IF(cu_P=1,SUMIFS(Calculo!$F$47:$ES$47,Calculo!$F$14:$ES$14,2),SUMIFS(Calculo!$F$203:$ES$203,Calculo!$F$170:$ES$170,2))</f>
        <v>2090700</v>
      </c>
      <c r="G22" s="48" t="n">
        <f aca="false">IF(cu_P=1,SUMIFS(Calculo!$F$47:$ES$47,Calculo!$F$14:$ES$14,3),SUMIFS(Calculo!$F$203:$ES$203,Calculo!$F$170:$ES$170,3))</f>
        <v>2580853</v>
      </c>
      <c r="H22" s="48" t="n">
        <f aca="false">IF(cu_P=1,SUMIFS(Calculo!$F$47:$ES$47,Calculo!$F$14:$ES$14,4),SUMIFS(Calculo!$F$203:$ES$203,Calculo!$F$170:$ES$170,4))</f>
        <v>2843630.76</v>
      </c>
      <c r="I22" s="48" t="n">
        <f aca="false">IF(cu_P=1,SUMIFS(Calculo!$F$47:$ES$47,Calculo!$F$14:$ES$14,5),SUMIFS(Calculo!$F$203:$ES$203,Calculo!$F$170:$ES$170,5))</f>
        <v>2872067.0676</v>
      </c>
      <c r="J22" s="48" t="n">
        <f aca="false">IF(cu_P=1,SUMIFS(Calculo!$F$47:$ES$47,Calculo!$F$14:$ES$14,6),SUMIFS(Calculo!$F$203:$ES$203,Calculo!$F$170:$ES$170,6))</f>
        <v>2900787.738276</v>
      </c>
      <c r="K22" s="48" t="n">
        <f aca="false">IF(cu_P=1,SUMIFS(Calculo!$F$47:$ES$47,Calculo!$F$14:$ES$14,7),SUMIFS(Calculo!$F$203:$ES$203,Calculo!$F$170:$ES$170,7))</f>
        <v>2929795.61565876</v>
      </c>
      <c r="L22" s="48" t="n">
        <f aca="false">IF(cu_P=1,SUMIFS(Calculo!$F$47:$ES$47,Calculo!$F$14:$ES$14,8),SUMIFS(Calculo!$F$203:$ES$203,Calculo!$F$170:$ES$170,8))</f>
        <v>2959093.57181535</v>
      </c>
      <c r="M22" s="48" t="n">
        <f aca="false">IF(cu_P=1,SUMIFS(Calculo!$F$47:$ES$47,Calculo!$F$14:$ES$14,9),SUMIFS(Calculo!$F$203:$ES$203,Calculo!$F$170:$ES$170,9))</f>
        <v>2988684.5075335</v>
      </c>
      <c r="N22" s="48" t="n">
        <f aca="false">IF(cu_P=1,SUMIFS(Calculo!$F$47:$ES$47,Calculo!$F$14:$ES$14,10),SUMIFS(Calculo!$F$203:$ES$203,Calculo!$F$170:$ES$170,10))</f>
        <v>3018571.35260884</v>
      </c>
      <c r="O22" s="54" t="n">
        <f aca="false">SUM(D22:N22)</f>
        <v>26794183.6134924</v>
      </c>
    </row>
    <row r="23" customFormat="false" ht="15" hidden="false" customHeight="false" outlineLevel="0" collapsed="false">
      <c r="A23" s="11" t="s">
        <v>2384</v>
      </c>
      <c r="B23" s="15" t="s">
        <v>2370</v>
      </c>
      <c r="C23" s="11" t="s">
        <v>748</v>
      </c>
      <c r="D23" s="50" t="str">
        <f aca="false">IFERROR(IF(OR(NOT(ISNUMBER(D20)),N(D21)=0),"",D20/D21),"")</f>
        <v/>
      </c>
      <c r="E23" s="50" t="n">
        <f aca="false">IFERROR(IF(OR(NOT(ISNUMBER(E20)),N(E21)=0),"",E20/E21),"")</f>
        <v>14.991</v>
      </c>
      <c r="F23" s="50" t="n">
        <f aca="false">IFERROR(IF(OR(NOT(ISNUMBER(F20)),N(F21)=0),"",F20/F21),"")</f>
        <v>15.0651</v>
      </c>
      <c r="G23" s="50" t="n">
        <f aca="false">IFERROR(IF(OR(NOT(ISNUMBER(G20)),N(G21)=0),"",G20/G21),"")</f>
        <v>15.139941</v>
      </c>
      <c r="H23" s="50" t="n">
        <f aca="false">IFERROR(IF(OR(NOT(ISNUMBER(H20)),N(H21)=0),"",H20/H21),"")</f>
        <v>15.21553041</v>
      </c>
      <c r="I23" s="50" t="n">
        <f aca="false">IFERROR(IF(OR(NOT(ISNUMBER(I20)),N(I21)=0),"",I20/I21),"")</f>
        <v>15.2918757141</v>
      </c>
      <c r="J23" s="50" t="n">
        <f aca="false">IFERROR(IF(OR(NOT(ISNUMBER(J20)),N(J21)=0),"",J20/J21),"")</f>
        <v>15.368984471241</v>
      </c>
      <c r="K23" s="50" t="n">
        <f aca="false">IFERROR(IF(OR(NOT(ISNUMBER(K20)),N(K21)=0),"",K20/K21),"")</f>
        <v>15.4468643159534</v>
      </c>
      <c r="L23" s="50" t="n">
        <f aca="false">IFERROR(IF(OR(NOT(ISNUMBER(L20)),N(L21)=0),"",L20/L21),"")</f>
        <v>15.5255229591129</v>
      </c>
      <c r="M23" s="50" t="n">
        <f aca="false">IFERROR(IF(OR(NOT(ISNUMBER(M20)),N(M21)=0),"",M20/M21),"")</f>
        <v>15.6049681887041</v>
      </c>
      <c r="N23" s="50" t="n">
        <f aca="false">IFERROR(IF(OR(NOT(ISNUMBER(N20)),N(N21)=0),"",N20/N21),"")</f>
        <v>15.6852078705911</v>
      </c>
      <c r="O23" s="68" t="n">
        <f aca="false">IFERROR(IF(OR(NOT(ISNUMBER(O20)),N(O21)=0),"",O20/O21),"")</f>
        <v>15.3579252086165</v>
      </c>
    </row>
    <row r="24" customFormat="false" ht="15" hidden="false" customHeight="false" outlineLevel="0" collapsed="false">
      <c r="A24" s="11" t="s">
        <v>2385</v>
      </c>
      <c r="B24" s="15" t="s">
        <v>2372</v>
      </c>
      <c r="C24" s="11" t="s">
        <v>748</v>
      </c>
      <c r="D24" s="50" t="str">
        <f aca="false">IFERROR(IF(N(D21)=0,"",(D22-D20)/D21),"")</f>
        <v/>
      </c>
      <c r="E24" s="50" t="n">
        <f aca="false">IFERROR(IF(N(E21)=0,"",(E22-E20)/E21),"")</f>
        <v>8.009</v>
      </c>
      <c r="F24" s="50" t="n">
        <f aca="false">IFERROR(IF(N(F21)=0,"",(F22-F20)/F21),"")</f>
        <v>8.1649</v>
      </c>
      <c r="G24" s="50" t="n">
        <f aca="false">IFERROR(IF(N(G21)=0,"",(G22-G20)/G21),"")</f>
        <v>8.322359</v>
      </c>
      <c r="H24" s="50" t="n">
        <f aca="false">IFERROR(IF(N(H21)=0,"",(H22-H20)/H21),"")</f>
        <v>8.48139259</v>
      </c>
      <c r="I24" s="50" t="n">
        <f aca="false">IFERROR(IF(N(I21)=0,"",(I22-I20)/I21),"")</f>
        <v>8.6420165159</v>
      </c>
      <c r="J24" s="50" t="n">
        <f aca="false">IFERROR(IF(N(J21)=0,"",(J22-J20)/J21),"")</f>
        <v>8.804246681059</v>
      </c>
      <c r="K24" s="50" t="n">
        <f aca="false">IFERROR(IF(N(K21)=0,"",(K22-K20)/K21),"")</f>
        <v>8.96809914786959</v>
      </c>
      <c r="L24" s="50" t="n">
        <f aca="false">IFERROR(IF(N(L21)=0,"",(L22-L20)/L21),"")</f>
        <v>9.13359013934829</v>
      </c>
      <c r="M24" s="50" t="n">
        <f aca="false">IFERROR(IF(N(M21)=0,"",(M22-M20)/M21),"")</f>
        <v>9.30073604074176</v>
      </c>
      <c r="N24" s="50" t="n">
        <f aca="false">IFERROR(IF(N(N21)=0,"",(N22-N20)/N21),"")</f>
        <v>9.46955340114919</v>
      </c>
      <c r="O24" s="68" t="n">
        <f aca="false">IFERROR(IF(N(O21)=0,"",(O22-O20)/O21),"")</f>
        <v>8.78097894768301</v>
      </c>
    </row>
    <row r="25" customFormat="false" ht="15" hidden="false" customHeight="false" outlineLevel="0" collapsed="false">
      <c r="A25" s="11" t="s">
        <v>2386</v>
      </c>
      <c r="B25" s="15" t="s">
        <v>2374</v>
      </c>
      <c r="C25" s="11" t="s">
        <v>367</v>
      </c>
      <c r="D25" s="49" t="str">
        <f aca="false">IFERROR(IF(N(D22)=0,"",1-D20/D22),"")</f>
        <v/>
      </c>
      <c r="E25" s="49" t="n">
        <f aca="false">IFERROR(IF(N(E22)=0,"",1-E20/E22),"")</f>
        <v>0.348217391304348</v>
      </c>
      <c r="F25" s="49" t="n">
        <f aca="false">IFERROR(IF(N(F22)=0,"",1-F20/F22),"")</f>
        <v>0.351480843736548</v>
      </c>
      <c r="G25" s="49" t="n">
        <f aca="false">IFERROR(IF(N(G22)=0,"",1-G20/G22),"")</f>
        <v>0.354711984758528</v>
      </c>
      <c r="H25" s="49" t="n">
        <f aca="false">IFERROR(IF(N(H22)=0,"",1-H20/H22),"")</f>
        <v>0.35791113428524</v>
      </c>
      <c r="I25" s="49" t="n">
        <f aca="false">IFERROR(IF(N(I22)=0,"",1-I20/I22),"")</f>
        <v>0.361078609064164</v>
      </c>
      <c r="J25" s="49" t="n">
        <f aca="false">IFERROR(IF(N(J22)=0,"",1-J20/J22),"")</f>
        <v>0.364214722706662</v>
      </c>
      <c r="K25" s="49" t="n">
        <f aca="false">IFERROR(IF(N(K22)=0,"",1-K20/K22),"")</f>
        <v>0.367319785719037</v>
      </c>
      <c r="L25" s="49" t="n">
        <f aca="false">IFERROR(IF(N(L22)=0,"",1-L20/L22),"")</f>
        <v>0.37039410553327</v>
      </c>
      <c r="M25" s="49" t="n">
        <f aca="false">IFERROR(IF(N(M22)=0,"",1-M20/M22),"")</f>
        <v>0.37343798653746</v>
      </c>
      <c r="N25" s="49" t="n">
        <f aca="false">IFERROR(IF(N(N22)=0,"",1-N20/N22),"")</f>
        <v>0.376451730105966</v>
      </c>
      <c r="O25" s="99" t="n">
        <f aca="false">IFERROR(IF(N(O22)=0,"",1-O20/O22),"")</f>
        <v>0.363768748192798</v>
      </c>
    </row>
    <row r="26" customFormat="false" ht="15" hidden="false" customHeight="false" outlineLevel="0" collapsed="false">
      <c r="A26" s="11" t="s">
        <v>2387</v>
      </c>
      <c r="B26" s="15" t="s">
        <v>2376</v>
      </c>
      <c r="C26" s="11" t="s">
        <v>508</v>
      </c>
      <c r="D26" s="48" t="str">
        <f aca="false">IFERROR(IF(OR(NOT(ISNUMBER(D20)),N(D9)=0),"",D10*D20/D9),"")</f>
        <v/>
      </c>
      <c r="E26" s="48" t="n">
        <f aca="false">IFERROR(IF(OR(NOT(ISNUMBER(E20)),N(E9)=0),"",E10*E20/E9),"")</f>
        <v>635737.014495843</v>
      </c>
      <c r="F26" s="48" t="n">
        <f aca="false">IFERROR(IF(OR(NOT(ISNUMBER(F20)),N(F9)=0),"",F10*F20/F9),"")</f>
        <v>667175.318953101</v>
      </c>
      <c r="G26" s="48" t="n">
        <f aca="false">IFERROR(IF(OR(NOT(ISNUMBER(G20)),N(G9)=0),"",G10*G20/G9),"")</f>
        <v>699876.325392313</v>
      </c>
      <c r="H26" s="48" t="n">
        <f aca="false">IFERROR(IF(OR(NOT(ISNUMBER(H20)),N(H9)=0),"",H10*H20/H9),"")</f>
        <v>685010.623099725</v>
      </c>
      <c r="I26" s="48" t="n">
        <f aca="false">IFERROR(IF(OR(NOT(ISNUMBER(I20)),N(I9)=0),"",I10*I20/I9),"")</f>
        <v>676315.357937048</v>
      </c>
      <c r="J26" s="48" t="n">
        <f aca="false">IFERROR(IF(OR(NOT(ISNUMBER(J20)),N(J9)=0),"",J10*J20/J9),"")</f>
        <v>661962.614125671</v>
      </c>
      <c r="K26" s="48" t="n">
        <f aca="false">IFERROR(IF(OR(NOT(ISNUMBER(K20)),N(K9)=0),"",K10*K20/K9),"")</f>
        <v>665928.303494109</v>
      </c>
      <c r="L26" s="48" t="n">
        <f aca="false">IFERROR(IF(OR(NOT(ISNUMBER(L20)),N(L9)=0),"",L10*L20/L9),"")</f>
        <v>669988.411926872</v>
      </c>
      <c r="M26" s="48" t="n">
        <f aca="false">IFERROR(IF(OR(NOT(ISNUMBER(M20)),N(M9)=0),"",M10*M20/M9),"")</f>
        <v>674145.469998292</v>
      </c>
      <c r="N26" s="48" t="n">
        <f aca="false">IFERROR(IF(OR(NOT(ISNUMBER(N20)),N(N9)=0),"",N10*N20/N9),"")</f>
        <v>678402.080292835</v>
      </c>
      <c r="O26" s="54" t="n">
        <f aca="false">SUM(D26:N26)</f>
        <v>6714541.51971581</v>
      </c>
    </row>
    <row r="27" customFormat="false" ht="15" hidden="false" customHeight="false" outlineLevel="0" collapsed="false">
      <c r="A27" s="11" t="s">
        <v>2388</v>
      </c>
      <c r="B27" s="15" t="s">
        <v>2378</v>
      </c>
      <c r="C27" s="11" t="s">
        <v>508</v>
      </c>
      <c r="D27" s="48" t="n">
        <f aca="false">IFERROR(IF(COUNT(D20,D26)=0,"",N(D20)+N(D26)),"")</f>
        <v>0</v>
      </c>
      <c r="E27" s="48" t="n">
        <f aca="false">IFERROR(IF(COUNT(E20,E26)=0,"",N(E20)+N(E26)),"")</f>
        <v>1685107.01449584</v>
      </c>
      <c r="F27" s="48" t="n">
        <f aca="false">IFERROR(IF(COUNT(F20,F26)=0,"",N(F20)+N(F26)),"")</f>
        <v>2023034.3189531</v>
      </c>
      <c r="G27" s="48" t="n">
        <f aca="false">IFERROR(IF(COUNT(G20,G26)=0,"",N(G20)+N(G26)),"")</f>
        <v>2365269.83539231</v>
      </c>
      <c r="H27" s="48" t="n">
        <f aca="false">IFERROR(IF(COUNT(H20,H26)=0,"",N(H20)+N(H26)),"")</f>
        <v>2510874.27229973</v>
      </c>
      <c r="I27" s="48" t="n">
        <f aca="false">IFERROR(IF(COUNT(I20,I26)=0,"",N(I20)+N(I26)),"")</f>
        <v>2511340.44362905</v>
      </c>
      <c r="J27" s="48" t="n">
        <f aca="false">IFERROR(IF(COUNT(J20,J26)=0,"",N(J20)+N(J26)),"")</f>
        <v>2506240.75067459</v>
      </c>
      <c r="K27" s="48" t="n">
        <f aca="false">IFERROR(IF(COUNT(K20,K26)=0,"",N(K20)+N(K26)),"")</f>
        <v>2519552.02140852</v>
      </c>
      <c r="L27" s="48" t="n">
        <f aca="false">IFERROR(IF(COUNT(L20,L26)=0,"",N(L20)+N(L26)),"")</f>
        <v>2533051.16702042</v>
      </c>
      <c r="M27" s="48" t="n">
        <f aca="false">IFERROR(IF(COUNT(M20,M26)=0,"",N(M20)+N(M26)),"")</f>
        <v>2546741.65264278</v>
      </c>
      <c r="N27" s="48" t="n">
        <f aca="false">IFERROR(IF(COUNT(N20,N26)=0,"",N(N20)+N(N26)),"")</f>
        <v>2560627.02476377</v>
      </c>
      <c r="O27" s="54" t="n">
        <f aca="false">SUM(D27:N27)</f>
        <v>23761838.5012801</v>
      </c>
    </row>
    <row r="28" customFormat="false" ht="15" hidden="false" customHeight="false" outlineLevel="0" collapsed="false">
      <c r="A28" s="11" t="s">
        <v>2389</v>
      </c>
      <c r="B28" s="15" t="s">
        <v>2380</v>
      </c>
      <c r="C28" s="11" t="s">
        <v>748</v>
      </c>
      <c r="D28" s="50" t="str">
        <f aca="false">IFERROR(IF(OR(NOT(ISNUMBER(D27)),N(D21)=0),"",D27/D21),"")</f>
        <v/>
      </c>
      <c r="E28" s="50" t="n">
        <f aca="false">IFERROR(IF(OR(NOT(ISNUMBER(E27)),N(E21)=0),"",E27/E21),"")</f>
        <v>24.0729573499406</v>
      </c>
      <c r="F28" s="50" t="n">
        <f aca="false">IFERROR(IF(OR(NOT(ISNUMBER(F27)),N(F21)=0),"",F27/F21),"")</f>
        <v>22.4781590994789</v>
      </c>
      <c r="G28" s="50" t="n">
        <f aca="false">IFERROR(IF(OR(NOT(ISNUMBER(G27)),N(G21)=0),"",G27/G21),"")</f>
        <v>21.502453049021</v>
      </c>
      <c r="H28" s="50" t="n">
        <f aca="false">IFERROR(IF(OR(NOT(ISNUMBER(H27)),N(H21)=0),"",H27/H21),"")</f>
        <v>20.9239522691644</v>
      </c>
      <c r="I28" s="50" t="n">
        <f aca="false">IFERROR(IF(OR(NOT(ISNUMBER(I27)),N(I21)=0),"",I27/I21),"")</f>
        <v>20.9278370302421</v>
      </c>
      <c r="J28" s="50" t="n">
        <f aca="false">IFERROR(IF(OR(NOT(ISNUMBER(J27)),N(J21)=0),"",J27/J21),"")</f>
        <v>20.8853395889549</v>
      </c>
      <c r="K28" s="50" t="n">
        <f aca="false">IFERROR(IF(OR(NOT(ISNUMBER(K27)),N(K21)=0),"",K27/K21),"")</f>
        <v>20.996266845071</v>
      </c>
      <c r="L28" s="50" t="n">
        <f aca="false">IFERROR(IF(OR(NOT(ISNUMBER(L27)),N(L21)=0),"",L27/L21),"")</f>
        <v>21.1087597251702</v>
      </c>
      <c r="M28" s="50" t="n">
        <f aca="false">IFERROR(IF(OR(NOT(ISNUMBER(M27)),N(M21)=0),"",M27/M21),"")</f>
        <v>21.2228471053565</v>
      </c>
      <c r="N28" s="50" t="n">
        <f aca="false">IFERROR(IF(OR(NOT(ISNUMBER(N27)),N(N21)=0),"",N27/N21),"")</f>
        <v>21.3385585396981</v>
      </c>
      <c r="O28" s="68" t="n">
        <f aca="false">IFERROR(IF(OR(NOT(ISNUMBER(O27)),N(O21)=0),"",O27/O21),"")</f>
        <v>21.407061712865</v>
      </c>
    </row>
    <row r="29" customFormat="false" ht="15" hidden="true" customHeight="false" outlineLevel="1" collapsed="false">
      <c r="A29" s="11" t="s">
        <v>2390</v>
      </c>
      <c r="B29" s="53" t="str">
        <f aca="false">IF(INDEX(Prod_Nombre,3)="","Producto 3",INDEX(Prod_Nombre,3))&amp;" — costo directo"</f>
        <v>Producto 3 — costo directo</v>
      </c>
      <c r="C29" s="11" t="s">
        <v>508</v>
      </c>
      <c r="D29" s="48" t="n">
        <f aca="false">IF(cu_P=1,(SUMIFS(Calculo!$F$23:$ES$23,Calculo!$F$16:$ES$16,1)*N(INDEX(MP_O,3))*INDEX(IdxMP_O,1,1)*(1+P_dMat)/(1-P_Merma)+SUMIFS(Calculo!$F$23:$ES$23,Calculo!$F$16:$ES$16,1)*N(INDEX(INS_O,3))*INDEX(IdxOV_O,1,1)*(1+P_dMat)/(1-P_Merma)+SUMIFS(Calculo!$F$23:$ES$23,Calculo!$F$16:$ES$16,1)*N(INDEX(OV_O,3))*INDEX(IdxOV_O,1,1)*(1+P_dMat)/(1-P_Merma)),(SUMIFS(Calculo!$F$179:$ES$179,Calculo!$F$172:$ES$172,1)*N(INDEX(MP_V,3))*INDEX(IdxMP_V,1,1)*(1+V_dMat)/(1-V_Merma)+SUMIFS(Calculo!$F$179:$ES$179,Calculo!$F$172:$ES$172,1)*N(INDEX(INS_V,3))*INDEX(IdxOV_V,1,1)*(1+V_dMat)/(1-V_Merma)+SUMIFS(Calculo!$F$179:$ES$179,Calculo!$F$172:$ES$172,1)*N(INDEX(OV_V,3))*INDEX(IdxOV_V,1,1)*(1+V_dMat)/(1-V_Merma)))</f>
        <v>0</v>
      </c>
      <c r="E29" s="48" t="n">
        <f aca="false">IF(cu_P=1,(SUMIFS(Calculo!$F$23:$ES$23,Calculo!$F$14:$ES$14,1)*N(INDEX(MP_O,3))*INDEX(IdxMP_O,1,1)*(1+P_dMat)/(1-P_Merma)+SUMIFS(Calculo!$F$23:$ES$23,Calculo!$F$14:$ES$14,1)*N(INDEX(INS_O,3))*INDEX(IdxOV_O,1,1)*(1+P_dMat)/(1-P_Merma)+SUMIFS(Calculo!$F$23:$ES$23,Calculo!$F$14:$ES$14,1)*N(INDEX(OV_O,3))*INDEX(IdxOV_O,1,1)*(1+P_dMat)/(1-P_Merma)),(SUMIFS(Calculo!$F$179:$ES$179,Calculo!$F$170:$ES$170,1)*N(INDEX(MP_V,3))*INDEX(IdxMP_V,1,1)*(1+V_dMat)/(1-V_Merma)+SUMIFS(Calculo!$F$179:$ES$179,Calculo!$F$170:$ES$170,1)*N(INDEX(INS_V,3))*INDEX(IdxOV_V,1,1)*(1+V_dMat)/(1-V_Merma)+SUMIFS(Calculo!$F$179:$ES$179,Calculo!$F$170:$ES$170,1)*N(INDEX(OV_V,3))*INDEX(IdxOV_V,1,1)*(1+V_dMat)/(1-V_Merma)))</f>
        <v>0</v>
      </c>
      <c r="F29" s="48" t="n">
        <f aca="false">IF(cu_P=1,(SUMIFS(Calculo!$F$23:$ES$23,Calculo!$F$14:$ES$14,2)*N(INDEX(MP_O,3))*INDEX(IdxMP_O,1,2)*(1+P_dMat)/(1-P_Merma)+SUMIFS(Calculo!$F$23:$ES$23,Calculo!$F$14:$ES$14,2)*N(INDEX(INS_O,3))*INDEX(IdxOV_O,1,2)*(1+P_dMat)/(1-P_Merma)+SUMIFS(Calculo!$F$23:$ES$23,Calculo!$F$14:$ES$14,2)*N(INDEX(OV_O,3))*INDEX(IdxOV_O,1,2)*(1+P_dMat)/(1-P_Merma)),(SUMIFS(Calculo!$F$179:$ES$179,Calculo!$F$170:$ES$170,2)*N(INDEX(MP_V,3))*INDEX(IdxMP_V,1,2)*(1+V_dMat)/(1-V_Merma)+SUMIFS(Calculo!$F$179:$ES$179,Calculo!$F$170:$ES$170,2)*N(INDEX(INS_V,3))*INDEX(IdxOV_V,1,2)*(1+V_dMat)/(1-V_Merma)+SUMIFS(Calculo!$F$179:$ES$179,Calculo!$F$170:$ES$170,2)*N(INDEX(OV_V,3))*INDEX(IdxOV_V,1,2)*(1+V_dMat)/(1-V_Merma)))</f>
        <v>0</v>
      </c>
      <c r="G29" s="48" t="n">
        <f aca="false">IF(cu_P=1,(SUMIFS(Calculo!$F$23:$ES$23,Calculo!$F$14:$ES$14,3)*N(INDEX(MP_O,3))*INDEX(IdxMP_O,1,3)*(1+P_dMat)/(1-P_Merma)+SUMIFS(Calculo!$F$23:$ES$23,Calculo!$F$14:$ES$14,3)*N(INDEX(INS_O,3))*INDEX(IdxOV_O,1,3)*(1+P_dMat)/(1-P_Merma)+SUMIFS(Calculo!$F$23:$ES$23,Calculo!$F$14:$ES$14,3)*N(INDEX(OV_O,3))*INDEX(IdxOV_O,1,3)*(1+P_dMat)/(1-P_Merma)),(SUMIFS(Calculo!$F$179:$ES$179,Calculo!$F$170:$ES$170,3)*N(INDEX(MP_V,3))*INDEX(IdxMP_V,1,3)*(1+V_dMat)/(1-V_Merma)+SUMIFS(Calculo!$F$179:$ES$179,Calculo!$F$170:$ES$170,3)*N(INDEX(INS_V,3))*INDEX(IdxOV_V,1,3)*(1+V_dMat)/(1-V_Merma)+SUMIFS(Calculo!$F$179:$ES$179,Calculo!$F$170:$ES$170,3)*N(INDEX(OV_V,3))*INDEX(IdxOV_V,1,3)*(1+V_dMat)/(1-V_Merma)))</f>
        <v>0</v>
      </c>
      <c r="H29" s="48" t="n">
        <f aca="false">IF(cu_P=1,(SUMIFS(Calculo!$F$23:$ES$23,Calculo!$F$14:$ES$14,4)*N(INDEX(MP_O,3))*INDEX(IdxMP_O,1,4)*(1+P_dMat)/(1-P_Merma)+SUMIFS(Calculo!$F$23:$ES$23,Calculo!$F$14:$ES$14,4)*N(INDEX(INS_O,3))*INDEX(IdxOV_O,1,4)*(1+P_dMat)/(1-P_Merma)+SUMIFS(Calculo!$F$23:$ES$23,Calculo!$F$14:$ES$14,4)*N(INDEX(OV_O,3))*INDEX(IdxOV_O,1,4)*(1+P_dMat)/(1-P_Merma)),(SUMIFS(Calculo!$F$179:$ES$179,Calculo!$F$170:$ES$170,4)*N(INDEX(MP_V,3))*INDEX(IdxMP_V,1,4)*(1+V_dMat)/(1-V_Merma)+SUMIFS(Calculo!$F$179:$ES$179,Calculo!$F$170:$ES$170,4)*N(INDEX(INS_V,3))*INDEX(IdxOV_V,1,4)*(1+V_dMat)/(1-V_Merma)+SUMIFS(Calculo!$F$179:$ES$179,Calculo!$F$170:$ES$170,4)*N(INDEX(OV_V,3))*INDEX(IdxOV_V,1,4)*(1+V_dMat)/(1-V_Merma)))</f>
        <v>0</v>
      </c>
      <c r="I29" s="48" t="n">
        <f aca="false">IF(cu_P=1,(SUMIFS(Calculo!$F$23:$ES$23,Calculo!$F$14:$ES$14,5)*N(INDEX(MP_O,3))*INDEX(IdxMP_O,1,5)*(1+P_dMat)/(1-P_Merma)+SUMIFS(Calculo!$F$23:$ES$23,Calculo!$F$14:$ES$14,5)*N(INDEX(INS_O,3))*INDEX(IdxOV_O,1,5)*(1+P_dMat)/(1-P_Merma)+SUMIFS(Calculo!$F$23:$ES$23,Calculo!$F$14:$ES$14,5)*N(INDEX(OV_O,3))*INDEX(IdxOV_O,1,5)*(1+P_dMat)/(1-P_Merma)),(SUMIFS(Calculo!$F$179:$ES$179,Calculo!$F$170:$ES$170,5)*N(INDEX(MP_V,3))*INDEX(IdxMP_V,1,5)*(1+V_dMat)/(1-V_Merma)+SUMIFS(Calculo!$F$179:$ES$179,Calculo!$F$170:$ES$170,5)*N(INDEX(INS_V,3))*INDEX(IdxOV_V,1,5)*(1+V_dMat)/(1-V_Merma)+SUMIFS(Calculo!$F$179:$ES$179,Calculo!$F$170:$ES$170,5)*N(INDEX(OV_V,3))*INDEX(IdxOV_V,1,5)*(1+V_dMat)/(1-V_Merma)))</f>
        <v>0</v>
      </c>
      <c r="J29" s="48" t="n">
        <f aca="false">IF(cu_P=1,(SUMIFS(Calculo!$F$23:$ES$23,Calculo!$F$14:$ES$14,6)*N(INDEX(MP_O,3))*INDEX(IdxMP_O,1,6)*(1+P_dMat)/(1-P_Merma)+SUMIFS(Calculo!$F$23:$ES$23,Calculo!$F$14:$ES$14,6)*N(INDEX(INS_O,3))*INDEX(IdxOV_O,1,6)*(1+P_dMat)/(1-P_Merma)+SUMIFS(Calculo!$F$23:$ES$23,Calculo!$F$14:$ES$14,6)*N(INDEX(OV_O,3))*INDEX(IdxOV_O,1,6)*(1+P_dMat)/(1-P_Merma)),(SUMIFS(Calculo!$F$179:$ES$179,Calculo!$F$170:$ES$170,6)*N(INDEX(MP_V,3))*INDEX(IdxMP_V,1,6)*(1+V_dMat)/(1-V_Merma)+SUMIFS(Calculo!$F$179:$ES$179,Calculo!$F$170:$ES$170,6)*N(INDEX(INS_V,3))*INDEX(IdxOV_V,1,6)*(1+V_dMat)/(1-V_Merma)+SUMIFS(Calculo!$F$179:$ES$179,Calculo!$F$170:$ES$170,6)*N(INDEX(OV_V,3))*INDEX(IdxOV_V,1,6)*(1+V_dMat)/(1-V_Merma)))</f>
        <v>0</v>
      </c>
      <c r="K29" s="48" t="n">
        <f aca="false">IF(cu_P=1,(SUMIFS(Calculo!$F$23:$ES$23,Calculo!$F$14:$ES$14,7)*N(INDEX(MP_O,3))*INDEX(IdxMP_O,1,7)*(1+P_dMat)/(1-P_Merma)+SUMIFS(Calculo!$F$23:$ES$23,Calculo!$F$14:$ES$14,7)*N(INDEX(INS_O,3))*INDEX(IdxOV_O,1,7)*(1+P_dMat)/(1-P_Merma)+SUMIFS(Calculo!$F$23:$ES$23,Calculo!$F$14:$ES$14,7)*N(INDEX(OV_O,3))*INDEX(IdxOV_O,1,7)*(1+P_dMat)/(1-P_Merma)),(SUMIFS(Calculo!$F$179:$ES$179,Calculo!$F$170:$ES$170,7)*N(INDEX(MP_V,3))*INDEX(IdxMP_V,1,7)*(1+V_dMat)/(1-V_Merma)+SUMIFS(Calculo!$F$179:$ES$179,Calculo!$F$170:$ES$170,7)*N(INDEX(INS_V,3))*INDEX(IdxOV_V,1,7)*(1+V_dMat)/(1-V_Merma)+SUMIFS(Calculo!$F$179:$ES$179,Calculo!$F$170:$ES$170,7)*N(INDEX(OV_V,3))*INDEX(IdxOV_V,1,7)*(1+V_dMat)/(1-V_Merma)))</f>
        <v>0</v>
      </c>
      <c r="L29" s="48" t="n">
        <f aca="false">IF(cu_P=1,(SUMIFS(Calculo!$F$23:$ES$23,Calculo!$F$14:$ES$14,8)*N(INDEX(MP_O,3))*INDEX(IdxMP_O,1,8)*(1+P_dMat)/(1-P_Merma)+SUMIFS(Calculo!$F$23:$ES$23,Calculo!$F$14:$ES$14,8)*N(INDEX(INS_O,3))*INDEX(IdxOV_O,1,8)*(1+P_dMat)/(1-P_Merma)+SUMIFS(Calculo!$F$23:$ES$23,Calculo!$F$14:$ES$14,8)*N(INDEX(OV_O,3))*INDEX(IdxOV_O,1,8)*(1+P_dMat)/(1-P_Merma)),(SUMIFS(Calculo!$F$179:$ES$179,Calculo!$F$170:$ES$170,8)*N(INDEX(MP_V,3))*INDEX(IdxMP_V,1,8)*(1+V_dMat)/(1-V_Merma)+SUMIFS(Calculo!$F$179:$ES$179,Calculo!$F$170:$ES$170,8)*N(INDEX(INS_V,3))*INDEX(IdxOV_V,1,8)*(1+V_dMat)/(1-V_Merma)+SUMIFS(Calculo!$F$179:$ES$179,Calculo!$F$170:$ES$170,8)*N(INDEX(OV_V,3))*INDEX(IdxOV_V,1,8)*(1+V_dMat)/(1-V_Merma)))</f>
        <v>0</v>
      </c>
      <c r="M29" s="48" t="n">
        <f aca="false">IF(cu_P=1,(SUMIFS(Calculo!$F$23:$ES$23,Calculo!$F$14:$ES$14,9)*N(INDEX(MP_O,3))*INDEX(IdxMP_O,1,9)*(1+P_dMat)/(1-P_Merma)+SUMIFS(Calculo!$F$23:$ES$23,Calculo!$F$14:$ES$14,9)*N(INDEX(INS_O,3))*INDEX(IdxOV_O,1,9)*(1+P_dMat)/(1-P_Merma)+SUMIFS(Calculo!$F$23:$ES$23,Calculo!$F$14:$ES$14,9)*N(INDEX(OV_O,3))*INDEX(IdxOV_O,1,9)*(1+P_dMat)/(1-P_Merma)),(SUMIFS(Calculo!$F$179:$ES$179,Calculo!$F$170:$ES$170,9)*N(INDEX(MP_V,3))*INDEX(IdxMP_V,1,9)*(1+V_dMat)/(1-V_Merma)+SUMIFS(Calculo!$F$179:$ES$179,Calculo!$F$170:$ES$170,9)*N(INDEX(INS_V,3))*INDEX(IdxOV_V,1,9)*(1+V_dMat)/(1-V_Merma)+SUMIFS(Calculo!$F$179:$ES$179,Calculo!$F$170:$ES$170,9)*N(INDEX(OV_V,3))*INDEX(IdxOV_V,1,9)*(1+V_dMat)/(1-V_Merma)))</f>
        <v>0</v>
      </c>
      <c r="N29" s="48" t="n">
        <f aca="false">IF(cu_P=1,(SUMIFS(Calculo!$F$23:$ES$23,Calculo!$F$14:$ES$14,10)*N(INDEX(MP_O,3))*INDEX(IdxMP_O,1,10)*(1+P_dMat)/(1-P_Merma)+SUMIFS(Calculo!$F$23:$ES$23,Calculo!$F$14:$ES$14,10)*N(INDEX(INS_O,3))*INDEX(IdxOV_O,1,10)*(1+P_dMat)/(1-P_Merma)+SUMIFS(Calculo!$F$23:$ES$23,Calculo!$F$14:$ES$14,10)*N(INDEX(OV_O,3))*INDEX(IdxOV_O,1,10)*(1+P_dMat)/(1-P_Merma)),(SUMIFS(Calculo!$F$179:$ES$179,Calculo!$F$170:$ES$170,10)*N(INDEX(MP_V,3))*INDEX(IdxMP_V,1,10)*(1+V_dMat)/(1-V_Merma)+SUMIFS(Calculo!$F$179:$ES$179,Calculo!$F$170:$ES$170,10)*N(INDEX(INS_V,3))*INDEX(IdxOV_V,1,10)*(1+V_dMat)/(1-V_Merma)+SUMIFS(Calculo!$F$179:$ES$179,Calculo!$F$170:$ES$170,10)*N(INDEX(OV_V,3))*INDEX(IdxOV_V,1,10)*(1+V_dMat)/(1-V_Merma)))</f>
        <v>0</v>
      </c>
      <c r="O29" s="54" t="n">
        <f aca="false">SUM(D29:N29)</f>
        <v>0</v>
      </c>
    </row>
    <row r="30" customFormat="false" ht="15" hidden="true" customHeight="false" outlineLevel="1" collapsed="false">
      <c r="A30" s="11" t="s">
        <v>2391</v>
      </c>
      <c r="B30" s="15" t="s">
        <v>2366</v>
      </c>
      <c r="C30" s="11" t="s">
        <v>544</v>
      </c>
      <c r="D30" s="48" t="n">
        <f aca="false">IF(cu_P=1,SUMIFS(Calculo!$F$23:$ES$23,Calculo!$F$16:$ES$16,1),SUMIFS(Calculo!$F$179:$ES$179,Calculo!$F$172:$ES$172,1))</f>
        <v>0</v>
      </c>
      <c r="E30" s="48" t="n">
        <f aca="false">IF(cu_P=1,SUMIFS(Calculo!$F$23:$ES$23,Calculo!$F$14:$ES$14,1),SUMIFS(Calculo!$F$179:$ES$179,Calculo!$F$170:$ES$170,1))</f>
        <v>0</v>
      </c>
      <c r="F30" s="48" t="n">
        <f aca="false">IF(cu_P=1,SUMIFS(Calculo!$F$23:$ES$23,Calculo!$F$14:$ES$14,2),SUMIFS(Calculo!$F$179:$ES$179,Calculo!$F$170:$ES$170,2))</f>
        <v>0</v>
      </c>
      <c r="G30" s="48" t="n">
        <f aca="false">IF(cu_P=1,SUMIFS(Calculo!$F$23:$ES$23,Calculo!$F$14:$ES$14,3),SUMIFS(Calculo!$F$179:$ES$179,Calculo!$F$170:$ES$170,3))</f>
        <v>0</v>
      </c>
      <c r="H30" s="48" t="n">
        <f aca="false">IF(cu_P=1,SUMIFS(Calculo!$F$23:$ES$23,Calculo!$F$14:$ES$14,4),SUMIFS(Calculo!$F$179:$ES$179,Calculo!$F$170:$ES$170,4))</f>
        <v>0</v>
      </c>
      <c r="I30" s="48" t="n">
        <f aca="false">IF(cu_P=1,SUMIFS(Calculo!$F$23:$ES$23,Calculo!$F$14:$ES$14,5),SUMIFS(Calculo!$F$179:$ES$179,Calculo!$F$170:$ES$170,5))</f>
        <v>0</v>
      </c>
      <c r="J30" s="48" t="n">
        <f aca="false">IF(cu_P=1,SUMIFS(Calculo!$F$23:$ES$23,Calculo!$F$14:$ES$14,6),SUMIFS(Calculo!$F$179:$ES$179,Calculo!$F$170:$ES$170,6))</f>
        <v>0</v>
      </c>
      <c r="K30" s="48" t="n">
        <f aca="false">IF(cu_P=1,SUMIFS(Calculo!$F$23:$ES$23,Calculo!$F$14:$ES$14,7),SUMIFS(Calculo!$F$179:$ES$179,Calculo!$F$170:$ES$170,7))</f>
        <v>0</v>
      </c>
      <c r="L30" s="48" t="n">
        <f aca="false">IF(cu_P=1,SUMIFS(Calculo!$F$23:$ES$23,Calculo!$F$14:$ES$14,8),SUMIFS(Calculo!$F$179:$ES$179,Calculo!$F$170:$ES$170,8))</f>
        <v>0</v>
      </c>
      <c r="M30" s="48" t="n">
        <f aca="false">IF(cu_P=1,SUMIFS(Calculo!$F$23:$ES$23,Calculo!$F$14:$ES$14,9),SUMIFS(Calculo!$F$179:$ES$179,Calculo!$F$170:$ES$170,9))</f>
        <v>0</v>
      </c>
      <c r="N30" s="48" t="n">
        <f aca="false">IF(cu_P=1,SUMIFS(Calculo!$F$23:$ES$23,Calculo!$F$14:$ES$14,10),SUMIFS(Calculo!$F$179:$ES$179,Calculo!$F$170:$ES$170,10))</f>
        <v>0</v>
      </c>
      <c r="O30" s="54" t="n">
        <f aca="false">SUM(D30:N30)</f>
        <v>0</v>
      </c>
    </row>
    <row r="31" customFormat="false" ht="15" hidden="true" customHeight="false" outlineLevel="1" collapsed="false">
      <c r="A31" s="11" t="s">
        <v>2392</v>
      </c>
      <c r="B31" s="15" t="s">
        <v>2368</v>
      </c>
      <c r="C31" s="11" t="s">
        <v>508</v>
      </c>
      <c r="D31" s="48" t="n">
        <f aca="false">IF(cu_P=1,SUMIFS(Calculo!$F$48:$ES$48,Calculo!$F$16:$ES$16,1),SUMIFS(Calculo!$F$204:$ES$204,Calculo!$F$172:$ES$172,1))</f>
        <v>0</v>
      </c>
      <c r="E31" s="48" t="n">
        <f aca="false">IF(cu_P=1,SUMIFS(Calculo!$F$48:$ES$48,Calculo!$F$14:$ES$14,1),SUMIFS(Calculo!$F$204:$ES$204,Calculo!$F$170:$ES$170,1))</f>
        <v>0</v>
      </c>
      <c r="F31" s="48" t="n">
        <f aca="false">IF(cu_P=1,SUMIFS(Calculo!$F$48:$ES$48,Calculo!$F$14:$ES$14,2),SUMIFS(Calculo!$F$204:$ES$204,Calculo!$F$170:$ES$170,2))</f>
        <v>0</v>
      </c>
      <c r="G31" s="48" t="n">
        <f aca="false">IF(cu_P=1,SUMIFS(Calculo!$F$48:$ES$48,Calculo!$F$14:$ES$14,3),SUMIFS(Calculo!$F$204:$ES$204,Calculo!$F$170:$ES$170,3))</f>
        <v>0</v>
      </c>
      <c r="H31" s="48" t="n">
        <f aca="false">IF(cu_P=1,SUMIFS(Calculo!$F$48:$ES$48,Calculo!$F$14:$ES$14,4),SUMIFS(Calculo!$F$204:$ES$204,Calculo!$F$170:$ES$170,4))</f>
        <v>0</v>
      </c>
      <c r="I31" s="48" t="n">
        <f aca="false">IF(cu_P=1,SUMIFS(Calculo!$F$48:$ES$48,Calculo!$F$14:$ES$14,5),SUMIFS(Calculo!$F$204:$ES$204,Calculo!$F$170:$ES$170,5))</f>
        <v>0</v>
      </c>
      <c r="J31" s="48" t="n">
        <f aca="false">IF(cu_P=1,SUMIFS(Calculo!$F$48:$ES$48,Calculo!$F$14:$ES$14,6),SUMIFS(Calculo!$F$204:$ES$204,Calculo!$F$170:$ES$170,6))</f>
        <v>0</v>
      </c>
      <c r="K31" s="48" t="n">
        <f aca="false">IF(cu_P=1,SUMIFS(Calculo!$F$48:$ES$48,Calculo!$F$14:$ES$14,7),SUMIFS(Calculo!$F$204:$ES$204,Calculo!$F$170:$ES$170,7))</f>
        <v>0</v>
      </c>
      <c r="L31" s="48" t="n">
        <f aca="false">IF(cu_P=1,SUMIFS(Calculo!$F$48:$ES$48,Calculo!$F$14:$ES$14,8),SUMIFS(Calculo!$F$204:$ES$204,Calculo!$F$170:$ES$170,8))</f>
        <v>0</v>
      </c>
      <c r="M31" s="48" t="n">
        <f aca="false">IF(cu_P=1,SUMIFS(Calculo!$F$48:$ES$48,Calculo!$F$14:$ES$14,9),SUMIFS(Calculo!$F$204:$ES$204,Calculo!$F$170:$ES$170,9))</f>
        <v>0</v>
      </c>
      <c r="N31" s="48" t="n">
        <f aca="false">IF(cu_P=1,SUMIFS(Calculo!$F$48:$ES$48,Calculo!$F$14:$ES$14,10),SUMIFS(Calculo!$F$204:$ES$204,Calculo!$F$170:$ES$170,10))</f>
        <v>0</v>
      </c>
      <c r="O31" s="54" t="n">
        <f aca="false">SUM(D31:N31)</f>
        <v>0</v>
      </c>
    </row>
    <row r="32" customFormat="false" ht="15" hidden="true" customHeight="false" outlineLevel="1" collapsed="false">
      <c r="A32" s="11" t="s">
        <v>2393</v>
      </c>
      <c r="B32" s="15" t="s">
        <v>2370</v>
      </c>
      <c r="C32" s="11" t="s">
        <v>748</v>
      </c>
      <c r="D32" s="50" t="str">
        <f aca="false">IFERROR(IF(OR(NOT(ISNUMBER(D29)),N(D30)=0),"",D29/D30),"")</f>
        <v/>
      </c>
      <c r="E32" s="50" t="str">
        <f aca="false">IFERROR(IF(OR(NOT(ISNUMBER(E29)),N(E30)=0),"",E29/E30),"")</f>
        <v/>
      </c>
      <c r="F32" s="50" t="str">
        <f aca="false">IFERROR(IF(OR(NOT(ISNUMBER(F29)),N(F30)=0),"",F29/F30),"")</f>
        <v/>
      </c>
      <c r="G32" s="50" t="str">
        <f aca="false">IFERROR(IF(OR(NOT(ISNUMBER(G29)),N(G30)=0),"",G29/G30),"")</f>
        <v/>
      </c>
      <c r="H32" s="50" t="str">
        <f aca="false">IFERROR(IF(OR(NOT(ISNUMBER(H29)),N(H30)=0),"",H29/H30),"")</f>
        <v/>
      </c>
      <c r="I32" s="50" t="str">
        <f aca="false">IFERROR(IF(OR(NOT(ISNUMBER(I29)),N(I30)=0),"",I29/I30),"")</f>
        <v/>
      </c>
      <c r="J32" s="50" t="str">
        <f aca="false">IFERROR(IF(OR(NOT(ISNUMBER(J29)),N(J30)=0),"",J29/J30),"")</f>
        <v/>
      </c>
      <c r="K32" s="50" t="str">
        <f aca="false">IFERROR(IF(OR(NOT(ISNUMBER(K29)),N(K30)=0),"",K29/K30),"")</f>
        <v/>
      </c>
      <c r="L32" s="50" t="str">
        <f aca="false">IFERROR(IF(OR(NOT(ISNUMBER(L29)),N(L30)=0),"",L29/L30),"")</f>
        <v/>
      </c>
      <c r="M32" s="50" t="str">
        <f aca="false">IFERROR(IF(OR(NOT(ISNUMBER(M29)),N(M30)=0),"",M29/M30),"")</f>
        <v/>
      </c>
      <c r="N32" s="50" t="str">
        <f aca="false">IFERROR(IF(OR(NOT(ISNUMBER(N29)),N(N30)=0),"",N29/N30),"")</f>
        <v/>
      </c>
      <c r="O32" s="68" t="str">
        <f aca="false">IFERROR(IF(OR(NOT(ISNUMBER(O29)),N(O30)=0),"",O29/O30),"")</f>
        <v/>
      </c>
    </row>
    <row r="33" customFormat="false" ht="15" hidden="true" customHeight="false" outlineLevel="1" collapsed="false">
      <c r="A33" s="11" t="s">
        <v>2394</v>
      </c>
      <c r="B33" s="15" t="s">
        <v>2372</v>
      </c>
      <c r="C33" s="11" t="s">
        <v>748</v>
      </c>
      <c r="D33" s="50" t="str">
        <f aca="false">IFERROR(IF(N(D30)=0,"",(D31-D29)/D30),"")</f>
        <v/>
      </c>
      <c r="E33" s="50" t="str">
        <f aca="false">IFERROR(IF(N(E30)=0,"",(E31-E29)/E30),"")</f>
        <v/>
      </c>
      <c r="F33" s="50" t="str">
        <f aca="false">IFERROR(IF(N(F30)=0,"",(F31-F29)/F30),"")</f>
        <v/>
      </c>
      <c r="G33" s="50" t="str">
        <f aca="false">IFERROR(IF(N(G30)=0,"",(G31-G29)/G30),"")</f>
        <v/>
      </c>
      <c r="H33" s="50" t="str">
        <f aca="false">IFERROR(IF(N(H30)=0,"",(H31-H29)/H30),"")</f>
        <v/>
      </c>
      <c r="I33" s="50" t="str">
        <f aca="false">IFERROR(IF(N(I30)=0,"",(I31-I29)/I30),"")</f>
        <v/>
      </c>
      <c r="J33" s="50" t="str">
        <f aca="false">IFERROR(IF(N(J30)=0,"",(J31-J29)/J30),"")</f>
        <v/>
      </c>
      <c r="K33" s="50" t="str">
        <f aca="false">IFERROR(IF(N(K30)=0,"",(K31-K29)/K30),"")</f>
        <v/>
      </c>
      <c r="L33" s="50" t="str">
        <f aca="false">IFERROR(IF(N(L30)=0,"",(L31-L29)/L30),"")</f>
        <v/>
      </c>
      <c r="M33" s="50" t="str">
        <f aca="false">IFERROR(IF(N(M30)=0,"",(M31-M29)/M30),"")</f>
        <v/>
      </c>
      <c r="N33" s="50" t="str">
        <f aca="false">IFERROR(IF(N(N30)=0,"",(N31-N29)/N30),"")</f>
        <v/>
      </c>
      <c r="O33" s="68" t="str">
        <f aca="false">IFERROR(IF(N(O30)=0,"",(O31-O29)/O30),"")</f>
        <v/>
      </c>
    </row>
    <row r="34" customFormat="false" ht="15" hidden="true" customHeight="false" outlineLevel="1" collapsed="false">
      <c r="A34" s="11" t="s">
        <v>2395</v>
      </c>
      <c r="B34" s="15" t="s">
        <v>2374</v>
      </c>
      <c r="C34" s="11" t="s">
        <v>367</v>
      </c>
      <c r="D34" s="49" t="str">
        <f aca="false">IFERROR(IF(N(D31)=0,"",1-D29/D31),"")</f>
        <v/>
      </c>
      <c r="E34" s="49" t="str">
        <f aca="false">IFERROR(IF(N(E31)=0,"",1-E29/E31),"")</f>
        <v/>
      </c>
      <c r="F34" s="49" t="str">
        <f aca="false">IFERROR(IF(N(F31)=0,"",1-F29/F31),"")</f>
        <v/>
      </c>
      <c r="G34" s="49" t="str">
        <f aca="false">IFERROR(IF(N(G31)=0,"",1-G29/G31),"")</f>
        <v/>
      </c>
      <c r="H34" s="49" t="str">
        <f aca="false">IFERROR(IF(N(H31)=0,"",1-H29/H31),"")</f>
        <v/>
      </c>
      <c r="I34" s="49" t="str">
        <f aca="false">IFERROR(IF(N(I31)=0,"",1-I29/I31),"")</f>
        <v/>
      </c>
      <c r="J34" s="49" t="str">
        <f aca="false">IFERROR(IF(N(J31)=0,"",1-J29/J31),"")</f>
        <v/>
      </c>
      <c r="K34" s="49" t="str">
        <f aca="false">IFERROR(IF(N(K31)=0,"",1-K29/K31),"")</f>
        <v/>
      </c>
      <c r="L34" s="49" t="str">
        <f aca="false">IFERROR(IF(N(L31)=0,"",1-L29/L31),"")</f>
        <v/>
      </c>
      <c r="M34" s="49" t="str">
        <f aca="false">IFERROR(IF(N(M31)=0,"",1-M29/M31),"")</f>
        <v/>
      </c>
      <c r="N34" s="49" t="str">
        <f aca="false">IFERROR(IF(N(N31)=0,"",1-N29/N31),"")</f>
        <v/>
      </c>
      <c r="O34" s="99" t="str">
        <f aca="false">IFERROR(IF(N(O31)=0,"",1-O29/O31),"")</f>
        <v/>
      </c>
    </row>
    <row r="35" customFormat="false" ht="15" hidden="true" customHeight="false" outlineLevel="1" collapsed="false">
      <c r="A35" s="11" t="s">
        <v>2396</v>
      </c>
      <c r="B35" s="15" t="s">
        <v>2376</v>
      </c>
      <c r="C35" s="11" t="s">
        <v>508</v>
      </c>
      <c r="D35" s="48" t="str">
        <f aca="false">IFERROR(IF(OR(NOT(ISNUMBER(D29)),N(D9)=0),"",D10*D29/D9),"")</f>
        <v/>
      </c>
      <c r="E35" s="48" t="n">
        <f aca="false">IFERROR(IF(OR(NOT(ISNUMBER(E29)),N(E9)=0),"",E10*E29/E9),"")</f>
        <v>0</v>
      </c>
      <c r="F35" s="48" t="n">
        <f aca="false">IFERROR(IF(OR(NOT(ISNUMBER(F29)),N(F9)=0),"",F10*F29/F9),"")</f>
        <v>0</v>
      </c>
      <c r="G35" s="48" t="n">
        <f aca="false">IFERROR(IF(OR(NOT(ISNUMBER(G29)),N(G9)=0),"",G10*G29/G9),"")</f>
        <v>0</v>
      </c>
      <c r="H35" s="48" t="n">
        <f aca="false">IFERROR(IF(OR(NOT(ISNUMBER(H29)),N(H9)=0),"",H10*H29/H9),"")</f>
        <v>0</v>
      </c>
      <c r="I35" s="48" t="n">
        <f aca="false">IFERROR(IF(OR(NOT(ISNUMBER(I29)),N(I9)=0),"",I10*I29/I9),"")</f>
        <v>0</v>
      </c>
      <c r="J35" s="48" t="n">
        <f aca="false">IFERROR(IF(OR(NOT(ISNUMBER(J29)),N(J9)=0),"",J10*J29/J9),"")</f>
        <v>0</v>
      </c>
      <c r="K35" s="48" t="n">
        <f aca="false">IFERROR(IF(OR(NOT(ISNUMBER(K29)),N(K9)=0),"",K10*K29/K9),"")</f>
        <v>0</v>
      </c>
      <c r="L35" s="48" t="n">
        <f aca="false">IFERROR(IF(OR(NOT(ISNUMBER(L29)),N(L9)=0),"",L10*L29/L9),"")</f>
        <v>0</v>
      </c>
      <c r="M35" s="48" t="n">
        <f aca="false">IFERROR(IF(OR(NOT(ISNUMBER(M29)),N(M9)=0),"",M10*M29/M9),"")</f>
        <v>0</v>
      </c>
      <c r="N35" s="48" t="n">
        <f aca="false">IFERROR(IF(OR(NOT(ISNUMBER(N29)),N(N9)=0),"",N10*N29/N9),"")</f>
        <v>0</v>
      </c>
      <c r="O35" s="54" t="n">
        <f aca="false">SUM(D35:N35)</f>
        <v>0</v>
      </c>
    </row>
    <row r="36" customFormat="false" ht="15" hidden="true" customHeight="false" outlineLevel="1" collapsed="false">
      <c r="A36" s="11" t="s">
        <v>2397</v>
      </c>
      <c r="B36" s="15" t="s">
        <v>2378</v>
      </c>
      <c r="C36" s="11" t="s">
        <v>508</v>
      </c>
      <c r="D36" s="48" t="n">
        <f aca="false">IFERROR(IF(COUNT(D29,D35)=0,"",N(D29)+N(D35)),"")</f>
        <v>0</v>
      </c>
      <c r="E36" s="48" t="n">
        <f aca="false">IFERROR(IF(COUNT(E29,E35)=0,"",N(E29)+N(E35)),"")</f>
        <v>0</v>
      </c>
      <c r="F36" s="48" t="n">
        <f aca="false">IFERROR(IF(COUNT(F29,F35)=0,"",N(F29)+N(F35)),"")</f>
        <v>0</v>
      </c>
      <c r="G36" s="48" t="n">
        <f aca="false">IFERROR(IF(COUNT(G29,G35)=0,"",N(G29)+N(G35)),"")</f>
        <v>0</v>
      </c>
      <c r="H36" s="48" t="n">
        <f aca="false">IFERROR(IF(COUNT(H29,H35)=0,"",N(H29)+N(H35)),"")</f>
        <v>0</v>
      </c>
      <c r="I36" s="48" t="n">
        <f aca="false">IFERROR(IF(COUNT(I29,I35)=0,"",N(I29)+N(I35)),"")</f>
        <v>0</v>
      </c>
      <c r="J36" s="48" t="n">
        <f aca="false">IFERROR(IF(COUNT(J29,J35)=0,"",N(J29)+N(J35)),"")</f>
        <v>0</v>
      </c>
      <c r="K36" s="48" t="n">
        <f aca="false">IFERROR(IF(COUNT(K29,K35)=0,"",N(K29)+N(K35)),"")</f>
        <v>0</v>
      </c>
      <c r="L36" s="48" t="n">
        <f aca="false">IFERROR(IF(COUNT(L29,L35)=0,"",N(L29)+N(L35)),"")</f>
        <v>0</v>
      </c>
      <c r="M36" s="48" t="n">
        <f aca="false">IFERROR(IF(COUNT(M29,M35)=0,"",N(M29)+N(M35)),"")</f>
        <v>0</v>
      </c>
      <c r="N36" s="48" t="n">
        <f aca="false">IFERROR(IF(COUNT(N29,N35)=0,"",N(N29)+N(N35)),"")</f>
        <v>0</v>
      </c>
      <c r="O36" s="54" t="n">
        <f aca="false">SUM(D36:N36)</f>
        <v>0</v>
      </c>
    </row>
    <row r="37" customFormat="false" ht="15" hidden="true" customHeight="false" outlineLevel="1" collapsed="false">
      <c r="A37" s="11" t="s">
        <v>2398</v>
      </c>
      <c r="B37" s="15" t="s">
        <v>2380</v>
      </c>
      <c r="C37" s="11" t="s">
        <v>748</v>
      </c>
      <c r="D37" s="50" t="str">
        <f aca="false">IFERROR(IF(OR(NOT(ISNUMBER(D36)),N(D30)=0),"",D36/D30),"")</f>
        <v/>
      </c>
      <c r="E37" s="50" t="str">
        <f aca="false">IFERROR(IF(OR(NOT(ISNUMBER(E36)),N(E30)=0),"",E36/E30),"")</f>
        <v/>
      </c>
      <c r="F37" s="50" t="str">
        <f aca="false">IFERROR(IF(OR(NOT(ISNUMBER(F36)),N(F30)=0),"",F36/F30),"")</f>
        <v/>
      </c>
      <c r="G37" s="50" t="str">
        <f aca="false">IFERROR(IF(OR(NOT(ISNUMBER(G36)),N(G30)=0),"",G36/G30),"")</f>
        <v/>
      </c>
      <c r="H37" s="50" t="str">
        <f aca="false">IFERROR(IF(OR(NOT(ISNUMBER(H36)),N(H30)=0),"",H36/H30),"")</f>
        <v/>
      </c>
      <c r="I37" s="50" t="str">
        <f aca="false">IFERROR(IF(OR(NOT(ISNUMBER(I36)),N(I30)=0),"",I36/I30),"")</f>
        <v/>
      </c>
      <c r="J37" s="50" t="str">
        <f aca="false">IFERROR(IF(OR(NOT(ISNUMBER(J36)),N(J30)=0),"",J36/J30),"")</f>
        <v/>
      </c>
      <c r="K37" s="50" t="str">
        <f aca="false">IFERROR(IF(OR(NOT(ISNUMBER(K36)),N(K30)=0),"",K36/K30),"")</f>
        <v/>
      </c>
      <c r="L37" s="50" t="str">
        <f aca="false">IFERROR(IF(OR(NOT(ISNUMBER(L36)),N(L30)=0),"",L36/L30),"")</f>
        <v/>
      </c>
      <c r="M37" s="50" t="str">
        <f aca="false">IFERROR(IF(OR(NOT(ISNUMBER(M36)),N(M30)=0),"",M36/M30),"")</f>
        <v/>
      </c>
      <c r="N37" s="50" t="str">
        <f aca="false">IFERROR(IF(OR(NOT(ISNUMBER(N36)),N(N30)=0),"",N36/N30),"")</f>
        <v/>
      </c>
      <c r="O37" s="68" t="str">
        <f aca="false">IFERROR(IF(OR(NOT(ISNUMBER(O36)),N(O30)=0),"",O36/O30),"")</f>
        <v/>
      </c>
    </row>
    <row r="38" customFormat="false" ht="15" hidden="true" customHeight="false" outlineLevel="1" collapsed="false">
      <c r="A38" s="11" t="s">
        <v>2399</v>
      </c>
      <c r="B38" s="53" t="str">
        <f aca="false">IF(INDEX(Prod_Nombre,4)="","Producto 4",INDEX(Prod_Nombre,4))&amp;" — costo directo"</f>
        <v>Producto 4 — costo directo</v>
      </c>
      <c r="C38" s="11" t="s">
        <v>508</v>
      </c>
      <c r="D38" s="48" t="n">
        <f aca="false">IF(cu_P=1,(SUMIFS(Calculo!$F$24:$ES$24,Calculo!$F$16:$ES$16,1)*N(INDEX(MP_O,4))*INDEX(IdxMP_O,1,1)*(1+P_dMat)/(1-P_Merma)+SUMIFS(Calculo!$F$24:$ES$24,Calculo!$F$16:$ES$16,1)*N(INDEX(INS_O,4))*INDEX(IdxOV_O,1,1)*(1+P_dMat)/(1-P_Merma)+SUMIFS(Calculo!$F$24:$ES$24,Calculo!$F$16:$ES$16,1)*N(INDEX(OV_O,4))*INDEX(IdxOV_O,1,1)*(1+P_dMat)/(1-P_Merma)),(SUMIFS(Calculo!$F$180:$ES$180,Calculo!$F$172:$ES$172,1)*N(INDEX(MP_V,4))*INDEX(IdxMP_V,1,1)*(1+V_dMat)/(1-V_Merma)+SUMIFS(Calculo!$F$180:$ES$180,Calculo!$F$172:$ES$172,1)*N(INDEX(INS_V,4))*INDEX(IdxOV_V,1,1)*(1+V_dMat)/(1-V_Merma)+SUMIFS(Calculo!$F$180:$ES$180,Calculo!$F$172:$ES$172,1)*N(INDEX(OV_V,4))*INDEX(IdxOV_V,1,1)*(1+V_dMat)/(1-V_Merma)))</f>
        <v>0</v>
      </c>
      <c r="E38" s="48" t="n">
        <f aca="false">IF(cu_P=1,(SUMIFS(Calculo!$F$24:$ES$24,Calculo!$F$14:$ES$14,1)*N(INDEX(MP_O,4))*INDEX(IdxMP_O,1,1)*(1+P_dMat)/(1-P_Merma)+SUMIFS(Calculo!$F$24:$ES$24,Calculo!$F$14:$ES$14,1)*N(INDEX(INS_O,4))*INDEX(IdxOV_O,1,1)*(1+P_dMat)/(1-P_Merma)+SUMIFS(Calculo!$F$24:$ES$24,Calculo!$F$14:$ES$14,1)*N(INDEX(OV_O,4))*INDEX(IdxOV_O,1,1)*(1+P_dMat)/(1-P_Merma)),(SUMIFS(Calculo!$F$180:$ES$180,Calculo!$F$170:$ES$170,1)*N(INDEX(MP_V,4))*INDEX(IdxMP_V,1,1)*(1+V_dMat)/(1-V_Merma)+SUMIFS(Calculo!$F$180:$ES$180,Calculo!$F$170:$ES$170,1)*N(INDEX(INS_V,4))*INDEX(IdxOV_V,1,1)*(1+V_dMat)/(1-V_Merma)+SUMIFS(Calculo!$F$180:$ES$180,Calculo!$F$170:$ES$170,1)*N(INDEX(OV_V,4))*INDEX(IdxOV_V,1,1)*(1+V_dMat)/(1-V_Merma)))</f>
        <v>0</v>
      </c>
      <c r="F38" s="48" t="n">
        <f aca="false">IF(cu_P=1,(SUMIFS(Calculo!$F$24:$ES$24,Calculo!$F$14:$ES$14,2)*N(INDEX(MP_O,4))*INDEX(IdxMP_O,1,2)*(1+P_dMat)/(1-P_Merma)+SUMIFS(Calculo!$F$24:$ES$24,Calculo!$F$14:$ES$14,2)*N(INDEX(INS_O,4))*INDEX(IdxOV_O,1,2)*(1+P_dMat)/(1-P_Merma)+SUMIFS(Calculo!$F$24:$ES$24,Calculo!$F$14:$ES$14,2)*N(INDEX(OV_O,4))*INDEX(IdxOV_O,1,2)*(1+P_dMat)/(1-P_Merma)),(SUMIFS(Calculo!$F$180:$ES$180,Calculo!$F$170:$ES$170,2)*N(INDEX(MP_V,4))*INDEX(IdxMP_V,1,2)*(1+V_dMat)/(1-V_Merma)+SUMIFS(Calculo!$F$180:$ES$180,Calculo!$F$170:$ES$170,2)*N(INDEX(INS_V,4))*INDEX(IdxOV_V,1,2)*(1+V_dMat)/(1-V_Merma)+SUMIFS(Calculo!$F$180:$ES$180,Calculo!$F$170:$ES$170,2)*N(INDEX(OV_V,4))*INDEX(IdxOV_V,1,2)*(1+V_dMat)/(1-V_Merma)))</f>
        <v>0</v>
      </c>
      <c r="G38" s="48" t="n">
        <f aca="false">IF(cu_P=1,(SUMIFS(Calculo!$F$24:$ES$24,Calculo!$F$14:$ES$14,3)*N(INDEX(MP_O,4))*INDEX(IdxMP_O,1,3)*(1+P_dMat)/(1-P_Merma)+SUMIFS(Calculo!$F$24:$ES$24,Calculo!$F$14:$ES$14,3)*N(INDEX(INS_O,4))*INDEX(IdxOV_O,1,3)*(1+P_dMat)/(1-P_Merma)+SUMIFS(Calculo!$F$24:$ES$24,Calculo!$F$14:$ES$14,3)*N(INDEX(OV_O,4))*INDEX(IdxOV_O,1,3)*(1+P_dMat)/(1-P_Merma)),(SUMIFS(Calculo!$F$180:$ES$180,Calculo!$F$170:$ES$170,3)*N(INDEX(MP_V,4))*INDEX(IdxMP_V,1,3)*(1+V_dMat)/(1-V_Merma)+SUMIFS(Calculo!$F$180:$ES$180,Calculo!$F$170:$ES$170,3)*N(INDEX(INS_V,4))*INDEX(IdxOV_V,1,3)*(1+V_dMat)/(1-V_Merma)+SUMIFS(Calculo!$F$180:$ES$180,Calculo!$F$170:$ES$170,3)*N(INDEX(OV_V,4))*INDEX(IdxOV_V,1,3)*(1+V_dMat)/(1-V_Merma)))</f>
        <v>0</v>
      </c>
      <c r="H38" s="48" t="n">
        <f aca="false">IF(cu_P=1,(SUMIFS(Calculo!$F$24:$ES$24,Calculo!$F$14:$ES$14,4)*N(INDEX(MP_O,4))*INDEX(IdxMP_O,1,4)*(1+P_dMat)/(1-P_Merma)+SUMIFS(Calculo!$F$24:$ES$24,Calculo!$F$14:$ES$14,4)*N(INDEX(INS_O,4))*INDEX(IdxOV_O,1,4)*(1+P_dMat)/(1-P_Merma)+SUMIFS(Calculo!$F$24:$ES$24,Calculo!$F$14:$ES$14,4)*N(INDEX(OV_O,4))*INDEX(IdxOV_O,1,4)*(1+P_dMat)/(1-P_Merma)),(SUMIFS(Calculo!$F$180:$ES$180,Calculo!$F$170:$ES$170,4)*N(INDEX(MP_V,4))*INDEX(IdxMP_V,1,4)*(1+V_dMat)/(1-V_Merma)+SUMIFS(Calculo!$F$180:$ES$180,Calculo!$F$170:$ES$170,4)*N(INDEX(INS_V,4))*INDEX(IdxOV_V,1,4)*(1+V_dMat)/(1-V_Merma)+SUMIFS(Calculo!$F$180:$ES$180,Calculo!$F$170:$ES$170,4)*N(INDEX(OV_V,4))*INDEX(IdxOV_V,1,4)*(1+V_dMat)/(1-V_Merma)))</f>
        <v>0</v>
      </c>
      <c r="I38" s="48" t="n">
        <f aca="false">IF(cu_P=1,(SUMIFS(Calculo!$F$24:$ES$24,Calculo!$F$14:$ES$14,5)*N(INDEX(MP_O,4))*INDEX(IdxMP_O,1,5)*(1+P_dMat)/(1-P_Merma)+SUMIFS(Calculo!$F$24:$ES$24,Calculo!$F$14:$ES$14,5)*N(INDEX(INS_O,4))*INDEX(IdxOV_O,1,5)*(1+P_dMat)/(1-P_Merma)+SUMIFS(Calculo!$F$24:$ES$24,Calculo!$F$14:$ES$14,5)*N(INDEX(OV_O,4))*INDEX(IdxOV_O,1,5)*(1+P_dMat)/(1-P_Merma)),(SUMIFS(Calculo!$F$180:$ES$180,Calculo!$F$170:$ES$170,5)*N(INDEX(MP_V,4))*INDEX(IdxMP_V,1,5)*(1+V_dMat)/(1-V_Merma)+SUMIFS(Calculo!$F$180:$ES$180,Calculo!$F$170:$ES$170,5)*N(INDEX(INS_V,4))*INDEX(IdxOV_V,1,5)*(1+V_dMat)/(1-V_Merma)+SUMIFS(Calculo!$F$180:$ES$180,Calculo!$F$170:$ES$170,5)*N(INDEX(OV_V,4))*INDEX(IdxOV_V,1,5)*(1+V_dMat)/(1-V_Merma)))</f>
        <v>0</v>
      </c>
      <c r="J38" s="48" t="n">
        <f aca="false">IF(cu_P=1,(SUMIFS(Calculo!$F$24:$ES$24,Calculo!$F$14:$ES$14,6)*N(INDEX(MP_O,4))*INDEX(IdxMP_O,1,6)*(1+P_dMat)/(1-P_Merma)+SUMIFS(Calculo!$F$24:$ES$24,Calculo!$F$14:$ES$14,6)*N(INDEX(INS_O,4))*INDEX(IdxOV_O,1,6)*(1+P_dMat)/(1-P_Merma)+SUMIFS(Calculo!$F$24:$ES$24,Calculo!$F$14:$ES$14,6)*N(INDEX(OV_O,4))*INDEX(IdxOV_O,1,6)*(1+P_dMat)/(1-P_Merma)),(SUMIFS(Calculo!$F$180:$ES$180,Calculo!$F$170:$ES$170,6)*N(INDEX(MP_V,4))*INDEX(IdxMP_V,1,6)*(1+V_dMat)/(1-V_Merma)+SUMIFS(Calculo!$F$180:$ES$180,Calculo!$F$170:$ES$170,6)*N(INDEX(INS_V,4))*INDEX(IdxOV_V,1,6)*(1+V_dMat)/(1-V_Merma)+SUMIFS(Calculo!$F$180:$ES$180,Calculo!$F$170:$ES$170,6)*N(INDEX(OV_V,4))*INDEX(IdxOV_V,1,6)*(1+V_dMat)/(1-V_Merma)))</f>
        <v>0</v>
      </c>
      <c r="K38" s="48" t="n">
        <f aca="false">IF(cu_P=1,(SUMIFS(Calculo!$F$24:$ES$24,Calculo!$F$14:$ES$14,7)*N(INDEX(MP_O,4))*INDEX(IdxMP_O,1,7)*(1+P_dMat)/(1-P_Merma)+SUMIFS(Calculo!$F$24:$ES$24,Calculo!$F$14:$ES$14,7)*N(INDEX(INS_O,4))*INDEX(IdxOV_O,1,7)*(1+P_dMat)/(1-P_Merma)+SUMIFS(Calculo!$F$24:$ES$24,Calculo!$F$14:$ES$14,7)*N(INDEX(OV_O,4))*INDEX(IdxOV_O,1,7)*(1+P_dMat)/(1-P_Merma)),(SUMIFS(Calculo!$F$180:$ES$180,Calculo!$F$170:$ES$170,7)*N(INDEX(MP_V,4))*INDEX(IdxMP_V,1,7)*(1+V_dMat)/(1-V_Merma)+SUMIFS(Calculo!$F$180:$ES$180,Calculo!$F$170:$ES$170,7)*N(INDEX(INS_V,4))*INDEX(IdxOV_V,1,7)*(1+V_dMat)/(1-V_Merma)+SUMIFS(Calculo!$F$180:$ES$180,Calculo!$F$170:$ES$170,7)*N(INDEX(OV_V,4))*INDEX(IdxOV_V,1,7)*(1+V_dMat)/(1-V_Merma)))</f>
        <v>0</v>
      </c>
      <c r="L38" s="48" t="n">
        <f aca="false">IF(cu_P=1,(SUMIFS(Calculo!$F$24:$ES$24,Calculo!$F$14:$ES$14,8)*N(INDEX(MP_O,4))*INDEX(IdxMP_O,1,8)*(1+P_dMat)/(1-P_Merma)+SUMIFS(Calculo!$F$24:$ES$24,Calculo!$F$14:$ES$14,8)*N(INDEX(INS_O,4))*INDEX(IdxOV_O,1,8)*(1+P_dMat)/(1-P_Merma)+SUMIFS(Calculo!$F$24:$ES$24,Calculo!$F$14:$ES$14,8)*N(INDEX(OV_O,4))*INDEX(IdxOV_O,1,8)*(1+P_dMat)/(1-P_Merma)),(SUMIFS(Calculo!$F$180:$ES$180,Calculo!$F$170:$ES$170,8)*N(INDEX(MP_V,4))*INDEX(IdxMP_V,1,8)*(1+V_dMat)/(1-V_Merma)+SUMIFS(Calculo!$F$180:$ES$180,Calculo!$F$170:$ES$170,8)*N(INDEX(INS_V,4))*INDEX(IdxOV_V,1,8)*(1+V_dMat)/(1-V_Merma)+SUMIFS(Calculo!$F$180:$ES$180,Calculo!$F$170:$ES$170,8)*N(INDEX(OV_V,4))*INDEX(IdxOV_V,1,8)*(1+V_dMat)/(1-V_Merma)))</f>
        <v>0</v>
      </c>
      <c r="M38" s="48" t="n">
        <f aca="false">IF(cu_P=1,(SUMIFS(Calculo!$F$24:$ES$24,Calculo!$F$14:$ES$14,9)*N(INDEX(MP_O,4))*INDEX(IdxMP_O,1,9)*(1+P_dMat)/(1-P_Merma)+SUMIFS(Calculo!$F$24:$ES$24,Calculo!$F$14:$ES$14,9)*N(INDEX(INS_O,4))*INDEX(IdxOV_O,1,9)*(1+P_dMat)/(1-P_Merma)+SUMIFS(Calculo!$F$24:$ES$24,Calculo!$F$14:$ES$14,9)*N(INDEX(OV_O,4))*INDEX(IdxOV_O,1,9)*(1+P_dMat)/(1-P_Merma)),(SUMIFS(Calculo!$F$180:$ES$180,Calculo!$F$170:$ES$170,9)*N(INDEX(MP_V,4))*INDEX(IdxMP_V,1,9)*(1+V_dMat)/(1-V_Merma)+SUMIFS(Calculo!$F$180:$ES$180,Calculo!$F$170:$ES$170,9)*N(INDEX(INS_V,4))*INDEX(IdxOV_V,1,9)*(1+V_dMat)/(1-V_Merma)+SUMIFS(Calculo!$F$180:$ES$180,Calculo!$F$170:$ES$170,9)*N(INDEX(OV_V,4))*INDEX(IdxOV_V,1,9)*(1+V_dMat)/(1-V_Merma)))</f>
        <v>0</v>
      </c>
      <c r="N38" s="48" t="n">
        <f aca="false">IF(cu_P=1,(SUMIFS(Calculo!$F$24:$ES$24,Calculo!$F$14:$ES$14,10)*N(INDEX(MP_O,4))*INDEX(IdxMP_O,1,10)*(1+P_dMat)/(1-P_Merma)+SUMIFS(Calculo!$F$24:$ES$24,Calculo!$F$14:$ES$14,10)*N(INDEX(INS_O,4))*INDEX(IdxOV_O,1,10)*(1+P_dMat)/(1-P_Merma)+SUMIFS(Calculo!$F$24:$ES$24,Calculo!$F$14:$ES$14,10)*N(INDEX(OV_O,4))*INDEX(IdxOV_O,1,10)*(1+P_dMat)/(1-P_Merma)),(SUMIFS(Calculo!$F$180:$ES$180,Calculo!$F$170:$ES$170,10)*N(INDEX(MP_V,4))*INDEX(IdxMP_V,1,10)*(1+V_dMat)/(1-V_Merma)+SUMIFS(Calculo!$F$180:$ES$180,Calculo!$F$170:$ES$170,10)*N(INDEX(INS_V,4))*INDEX(IdxOV_V,1,10)*(1+V_dMat)/(1-V_Merma)+SUMIFS(Calculo!$F$180:$ES$180,Calculo!$F$170:$ES$170,10)*N(INDEX(OV_V,4))*INDEX(IdxOV_V,1,10)*(1+V_dMat)/(1-V_Merma)))</f>
        <v>0</v>
      </c>
      <c r="O38" s="54" t="n">
        <f aca="false">SUM(D38:N38)</f>
        <v>0</v>
      </c>
    </row>
    <row r="39" customFormat="false" ht="15" hidden="true" customHeight="false" outlineLevel="1" collapsed="false">
      <c r="A39" s="11" t="s">
        <v>2400</v>
      </c>
      <c r="B39" s="15" t="s">
        <v>2366</v>
      </c>
      <c r="C39" s="11" t="s">
        <v>544</v>
      </c>
      <c r="D39" s="48" t="n">
        <f aca="false">IF(cu_P=1,SUMIFS(Calculo!$F$24:$ES$24,Calculo!$F$16:$ES$16,1),SUMIFS(Calculo!$F$180:$ES$180,Calculo!$F$172:$ES$172,1))</f>
        <v>0</v>
      </c>
      <c r="E39" s="48" t="n">
        <f aca="false">IF(cu_P=1,SUMIFS(Calculo!$F$24:$ES$24,Calculo!$F$14:$ES$14,1),SUMIFS(Calculo!$F$180:$ES$180,Calculo!$F$170:$ES$170,1))</f>
        <v>0</v>
      </c>
      <c r="F39" s="48" t="n">
        <f aca="false">IF(cu_P=1,SUMIFS(Calculo!$F$24:$ES$24,Calculo!$F$14:$ES$14,2),SUMIFS(Calculo!$F$180:$ES$180,Calculo!$F$170:$ES$170,2))</f>
        <v>0</v>
      </c>
      <c r="G39" s="48" t="n">
        <f aca="false">IF(cu_P=1,SUMIFS(Calculo!$F$24:$ES$24,Calculo!$F$14:$ES$14,3),SUMIFS(Calculo!$F$180:$ES$180,Calculo!$F$170:$ES$170,3))</f>
        <v>0</v>
      </c>
      <c r="H39" s="48" t="n">
        <f aca="false">IF(cu_P=1,SUMIFS(Calculo!$F$24:$ES$24,Calculo!$F$14:$ES$14,4),SUMIFS(Calculo!$F$180:$ES$180,Calculo!$F$170:$ES$170,4))</f>
        <v>0</v>
      </c>
      <c r="I39" s="48" t="n">
        <f aca="false">IF(cu_P=1,SUMIFS(Calculo!$F$24:$ES$24,Calculo!$F$14:$ES$14,5),SUMIFS(Calculo!$F$180:$ES$180,Calculo!$F$170:$ES$170,5))</f>
        <v>0</v>
      </c>
      <c r="J39" s="48" t="n">
        <f aca="false">IF(cu_P=1,SUMIFS(Calculo!$F$24:$ES$24,Calculo!$F$14:$ES$14,6),SUMIFS(Calculo!$F$180:$ES$180,Calculo!$F$170:$ES$170,6))</f>
        <v>0</v>
      </c>
      <c r="K39" s="48" t="n">
        <f aca="false">IF(cu_P=1,SUMIFS(Calculo!$F$24:$ES$24,Calculo!$F$14:$ES$14,7),SUMIFS(Calculo!$F$180:$ES$180,Calculo!$F$170:$ES$170,7))</f>
        <v>0</v>
      </c>
      <c r="L39" s="48" t="n">
        <f aca="false">IF(cu_P=1,SUMIFS(Calculo!$F$24:$ES$24,Calculo!$F$14:$ES$14,8),SUMIFS(Calculo!$F$180:$ES$180,Calculo!$F$170:$ES$170,8))</f>
        <v>0</v>
      </c>
      <c r="M39" s="48" t="n">
        <f aca="false">IF(cu_P=1,SUMIFS(Calculo!$F$24:$ES$24,Calculo!$F$14:$ES$14,9),SUMIFS(Calculo!$F$180:$ES$180,Calculo!$F$170:$ES$170,9))</f>
        <v>0</v>
      </c>
      <c r="N39" s="48" t="n">
        <f aca="false">IF(cu_P=1,SUMIFS(Calculo!$F$24:$ES$24,Calculo!$F$14:$ES$14,10),SUMIFS(Calculo!$F$180:$ES$180,Calculo!$F$170:$ES$170,10))</f>
        <v>0</v>
      </c>
      <c r="O39" s="54" t="n">
        <f aca="false">SUM(D39:N39)</f>
        <v>0</v>
      </c>
    </row>
    <row r="40" customFormat="false" ht="15" hidden="true" customHeight="false" outlineLevel="1" collapsed="false">
      <c r="A40" s="11" t="s">
        <v>2401</v>
      </c>
      <c r="B40" s="15" t="s">
        <v>2368</v>
      </c>
      <c r="C40" s="11" t="s">
        <v>508</v>
      </c>
      <c r="D40" s="48" t="n">
        <f aca="false">IF(cu_P=1,SUMIFS(Calculo!$F$49:$ES$49,Calculo!$F$16:$ES$16,1),SUMIFS(Calculo!$F$205:$ES$205,Calculo!$F$172:$ES$172,1))</f>
        <v>0</v>
      </c>
      <c r="E40" s="48" t="n">
        <f aca="false">IF(cu_P=1,SUMIFS(Calculo!$F$49:$ES$49,Calculo!$F$14:$ES$14,1),SUMIFS(Calculo!$F$205:$ES$205,Calculo!$F$170:$ES$170,1))</f>
        <v>0</v>
      </c>
      <c r="F40" s="48" t="n">
        <f aca="false">IF(cu_P=1,SUMIFS(Calculo!$F$49:$ES$49,Calculo!$F$14:$ES$14,2),SUMIFS(Calculo!$F$205:$ES$205,Calculo!$F$170:$ES$170,2))</f>
        <v>0</v>
      </c>
      <c r="G40" s="48" t="n">
        <f aca="false">IF(cu_P=1,SUMIFS(Calculo!$F$49:$ES$49,Calculo!$F$14:$ES$14,3),SUMIFS(Calculo!$F$205:$ES$205,Calculo!$F$170:$ES$170,3))</f>
        <v>0</v>
      </c>
      <c r="H40" s="48" t="n">
        <f aca="false">IF(cu_P=1,SUMIFS(Calculo!$F$49:$ES$49,Calculo!$F$14:$ES$14,4),SUMIFS(Calculo!$F$205:$ES$205,Calculo!$F$170:$ES$170,4))</f>
        <v>0</v>
      </c>
      <c r="I40" s="48" t="n">
        <f aca="false">IF(cu_P=1,SUMIFS(Calculo!$F$49:$ES$49,Calculo!$F$14:$ES$14,5),SUMIFS(Calculo!$F$205:$ES$205,Calculo!$F$170:$ES$170,5))</f>
        <v>0</v>
      </c>
      <c r="J40" s="48" t="n">
        <f aca="false">IF(cu_P=1,SUMIFS(Calculo!$F$49:$ES$49,Calculo!$F$14:$ES$14,6),SUMIFS(Calculo!$F$205:$ES$205,Calculo!$F$170:$ES$170,6))</f>
        <v>0</v>
      </c>
      <c r="K40" s="48" t="n">
        <f aca="false">IF(cu_P=1,SUMIFS(Calculo!$F$49:$ES$49,Calculo!$F$14:$ES$14,7),SUMIFS(Calculo!$F$205:$ES$205,Calculo!$F$170:$ES$170,7))</f>
        <v>0</v>
      </c>
      <c r="L40" s="48" t="n">
        <f aca="false">IF(cu_P=1,SUMIFS(Calculo!$F$49:$ES$49,Calculo!$F$14:$ES$14,8),SUMIFS(Calculo!$F$205:$ES$205,Calculo!$F$170:$ES$170,8))</f>
        <v>0</v>
      </c>
      <c r="M40" s="48" t="n">
        <f aca="false">IF(cu_P=1,SUMIFS(Calculo!$F$49:$ES$49,Calculo!$F$14:$ES$14,9),SUMIFS(Calculo!$F$205:$ES$205,Calculo!$F$170:$ES$170,9))</f>
        <v>0</v>
      </c>
      <c r="N40" s="48" t="n">
        <f aca="false">IF(cu_P=1,SUMIFS(Calculo!$F$49:$ES$49,Calculo!$F$14:$ES$14,10),SUMIFS(Calculo!$F$205:$ES$205,Calculo!$F$170:$ES$170,10))</f>
        <v>0</v>
      </c>
      <c r="O40" s="54" t="n">
        <f aca="false">SUM(D40:N40)</f>
        <v>0</v>
      </c>
    </row>
    <row r="41" customFormat="false" ht="15" hidden="true" customHeight="false" outlineLevel="1" collapsed="false">
      <c r="A41" s="11" t="s">
        <v>2402</v>
      </c>
      <c r="B41" s="15" t="s">
        <v>2370</v>
      </c>
      <c r="C41" s="11" t="s">
        <v>748</v>
      </c>
      <c r="D41" s="50" t="str">
        <f aca="false">IFERROR(IF(OR(NOT(ISNUMBER(D38)),N(D39)=0),"",D38/D39),"")</f>
        <v/>
      </c>
      <c r="E41" s="50" t="str">
        <f aca="false">IFERROR(IF(OR(NOT(ISNUMBER(E38)),N(E39)=0),"",E38/E39),"")</f>
        <v/>
      </c>
      <c r="F41" s="50" t="str">
        <f aca="false">IFERROR(IF(OR(NOT(ISNUMBER(F38)),N(F39)=0),"",F38/F39),"")</f>
        <v/>
      </c>
      <c r="G41" s="50" t="str">
        <f aca="false">IFERROR(IF(OR(NOT(ISNUMBER(G38)),N(G39)=0),"",G38/G39),"")</f>
        <v/>
      </c>
      <c r="H41" s="50" t="str">
        <f aca="false">IFERROR(IF(OR(NOT(ISNUMBER(H38)),N(H39)=0),"",H38/H39),"")</f>
        <v/>
      </c>
      <c r="I41" s="50" t="str">
        <f aca="false">IFERROR(IF(OR(NOT(ISNUMBER(I38)),N(I39)=0),"",I38/I39),"")</f>
        <v/>
      </c>
      <c r="J41" s="50" t="str">
        <f aca="false">IFERROR(IF(OR(NOT(ISNUMBER(J38)),N(J39)=0),"",J38/J39),"")</f>
        <v/>
      </c>
      <c r="K41" s="50" t="str">
        <f aca="false">IFERROR(IF(OR(NOT(ISNUMBER(K38)),N(K39)=0),"",K38/K39),"")</f>
        <v/>
      </c>
      <c r="L41" s="50" t="str">
        <f aca="false">IFERROR(IF(OR(NOT(ISNUMBER(L38)),N(L39)=0),"",L38/L39),"")</f>
        <v/>
      </c>
      <c r="M41" s="50" t="str">
        <f aca="false">IFERROR(IF(OR(NOT(ISNUMBER(M38)),N(M39)=0),"",M38/M39),"")</f>
        <v/>
      </c>
      <c r="N41" s="50" t="str">
        <f aca="false">IFERROR(IF(OR(NOT(ISNUMBER(N38)),N(N39)=0),"",N38/N39),"")</f>
        <v/>
      </c>
      <c r="O41" s="68" t="str">
        <f aca="false">IFERROR(IF(OR(NOT(ISNUMBER(O38)),N(O39)=0),"",O38/O39),"")</f>
        <v/>
      </c>
    </row>
    <row r="42" customFormat="false" ht="15" hidden="true" customHeight="false" outlineLevel="1" collapsed="false">
      <c r="A42" s="11" t="s">
        <v>2403</v>
      </c>
      <c r="B42" s="15" t="s">
        <v>2372</v>
      </c>
      <c r="C42" s="11" t="s">
        <v>748</v>
      </c>
      <c r="D42" s="50" t="str">
        <f aca="false">IFERROR(IF(N(D39)=0,"",(D40-D38)/D39),"")</f>
        <v/>
      </c>
      <c r="E42" s="50" t="str">
        <f aca="false">IFERROR(IF(N(E39)=0,"",(E40-E38)/E39),"")</f>
        <v/>
      </c>
      <c r="F42" s="50" t="str">
        <f aca="false">IFERROR(IF(N(F39)=0,"",(F40-F38)/F39),"")</f>
        <v/>
      </c>
      <c r="G42" s="50" t="str">
        <f aca="false">IFERROR(IF(N(G39)=0,"",(G40-G38)/G39),"")</f>
        <v/>
      </c>
      <c r="H42" s="50" t="str">
        <f aca="false">IFERROR(IF(N(H39)=0,"",(H40-H38)/H39),"")</f>
        <v/>
      </c>
      <c r="I42" s="50" t="str">
        <f aca="false">IFERROR(IF(N(I39)=0,"",(I40-I38)/I39),"")</f>
        <v/>
      </c>
      <c r="J42" s="50" t="str">
        <f aca="false">IFERROR(IF(N(J39)=0,"",(J40-J38)/J39),"")</f>
        <v/>
      </c>
      <c r="K42" s="50" t="str">
        <f aca="false">IFERROR(IF(N(K39)=0,"",(K40-K38)/K39),"")</f>
        <v/>
      </c>
      <c r="L42" s="50" t="str">
        <f aca="false">IFERROR(IF(N(L39)=0,"",(L40-L38)/L39),"")</f>
        <v/>
      </c>
      <c r="M42" s="50" t="str">
        <f aca="false">IFERROR(IF(N(M39)=0,"",(M40-M38)/M39),"")</f>
        <v/>
      </c>
      <c r="N42" s="50" t="str">
        <f aca="false">IFERROR(IF(N(N39)=0,"",(N40-N38)/N39),"")</f>
        <v/>
      </c>
      <c r="O42" s="68" t="str">
        <f aca="false">IFERROR(IF(N(O39)=0,"",(O40-O38)/O39),"")</f>
        <v/>
      </c>
    </row>
    <row r="43" customFormat="false" ht="15" hidden="true" customHeight="false" outlineLevel="1" collapsed="false">
      <c r="A43" s="11" t="s">
        <v>2404</v>
      </c>
      <c r="B43" s="15" t="s">
        <v>2374</v>
      </c>
      <c r="C43" s="11" t="s">
        <v>367</v>
      </c>
      <c r="D43" s="49" t="str">
        <f aca="false">IFERROR(IF(N(D40)=0,"",1-D38/D40),"")</f>
        <v/>
      </c>
      <c r="E43" s="49" t="str">
        <f aca="false">IFERROR(IF(N(E40)=0,"",1-E38/E40),"")</f>
        <v/>
      </c>
      <c r="F43" s="49" t="str">
        <f aca="false">IFERROR(IF(N(F40)=0,"",1-F38/F40),"")</f>
        <v/>
      </c>
      <c r="G43" s="49" t="str">
        <f aca="false">IFERROR(IF(N(G40)=0,"",1-G38/G40),"")</f>
        <v/>
      </c>
      <c r="H43" s="49" t="str">
        <f aca="false">IFERROR(IF(N(H40)=0,"",1-H38/H40),"")</f>
        <v/>
      </c>
      <c r="I43" s="49" t="str">
        <f aca="false">IFERROR(IF(N(I40)=0,"",1-I38/I40),"")</f>
        <v/>
      </c>
      <c r="J43" s="49" t="str">
        <f aca="false">IFERROR(IF(N(J40)=0,"",1-J38/J40),"")</f>
        <v/>
      </c>
      <c r="K43" s="49" t="str">
        <f aca="false">IFERROR(IF(N(K40)=0,"",1-K38/K40),"")</f>
        <v/>
      </c>
      <c r="L43" s="49" t="str">
        <f aca="false">IFERROR(IF(N(L40)=0,"",1-L38/L40),"")</f>
        <v/>
      </c>
      <c r="M43" s="49" t="str">
        <f aca="false">IFERROR(IF(N(M40)=0,"",1-M38/M40),"")</f>
        <v/>
      </c>
      <c r="N43" s="49" t="str">
        <f aca="false">IFERROR(IF(N(N40)=0,"",1-N38/N40),"")</f>
        <v/>
      </c>
      <c r="O43" s="99" t="str">
        <f aca="false">IFERROR(IF(N(O40)=0,"",1-O38/O40),"")</f>
        <v/>
      </c>
    </row>
    <row r="44" customFormat="false" ht="15" hidden="true" customHeight="false" outlineLevel="1" collapsed="false">
      <c r="A44" s="11" t="s">
        <v>2405</v>
      </c>
      <c r="B44" s="15" t="s">
        <v>2376</v>
      </c>
      <c r="C44" s="11" t="s">
        <v>508</v>
      </c>
      <c r="D44" s="48" t="str">
        <f aca="false">IFERROR(IF(OR(NOT(ISNUMBER(D38)),N(D9)=0),"",D10*D38/D9),"")</f>
        <v/>
      </c>
      <c r="E44" s="48" t="n">
        <f aca="false">IFERROR(IF(OR(NOT(ISNUMBER(E38)),N(E9)=0),"",E10*E38/E9),"")</f>
        <v>0</v>
      </c>
      <c r="F44" s="48" t="n">
        <f aca="false">IFERROR(IF(OR(NOT(ISNUMBER(F38)),N(F9)=0),"",F10*F38/F9),"")</f>
        <v>0</v>
      </c>
      <c r="G44" s="48" t="n">
        <f aca="false">IFERROR(IF(OR(NOT(ISNUMBER(G38)),N(G9)=0),"",G10*G38/G9),"")</f>
        <v>0</v>
      </c>
      <c r="H44" s="48" t="n">
        <f aca="false">IFERROR(IF(OR(NOT(ISNUMBER(H38)),N(H9)=0),"",H10*H38/H9),"")</f>
        <v>0</v>
      </c>
      <c r="I44" s="48" t="n">
        <f aca="false">IFERROR(IF(OR(NOT(ISNUMBER(I38)),N(I9)=0),"",I10*I38/I9),"")</f>
        <v>0</v>
      </c>
      <c r="J44" s="48" t="n">
        <f aca="false">IFERROR(IF(OR(NOT(ISNUMBER(J38)),N(J9)=0),"",J10*J38/J9),"")</f>
        <v>0</v>
      </c>
      <c r="K44" s="48" t="n">
        <f aca="false">IFERROR(IF(OR(NOT(ISNUMBER(K38)),N(K9)=0),"",K10*K38/K9),"")</f>
        <v>0</v>
      </c>
      <c r="L44" s="48" t="n">
        <f aca="false">IFERROR(IF(OR(NOT(ISNUMBER(L38)),N(L9)=0),"",L10*L38/L9),"")</f>
        <v>0</v>
      </c>
      <c r="M44" s="48" t="n">
        <f aca="false">IFERROR(IF(OR(NOT(ISNUMBER(M38)),N(M9)=0),"",M10*M38/M9),"")</f>
        <v>0</v>
      </c>
      <c r="N44" s="48" t="n">
        <f aca="false">IFERROR(IF(OR(NOT(ISNUMBER(N38)),N(N9)=0),"",N10*N38/N9),"")</f>
        <v>0</v>
      </c>
      <c r="O44" s="54" t="n">
        <f aca="false">SUM(D44:N44)</f>
        <v>0</v>
      </c>
    </row>
    <row r="45" customFormat="false" ht="15" hidden="true" customHeight="false" outlineLevel="1" collapsed="false">
      <c r="A45" s="11" t="s">
        <v>2406</v>
      </c>
      <c r="B45" s="15" t="s">
        <v>2378</v>
      </c>
      <c r="C45" s="11" t="s">
        <v>508</v>
      </c>
      <c r="D45" s="48" t="n">
        <f aca="false">IFERROR(IF(COUNT(D38,D44)=0,"",N(D38)+N(D44)),"")</f>
        <v>0</v>
      </c>
      <c r="E45" s="48" t="n">
        <f aca="false">IFERROR(IF(COUNT(E38,E44)=0,"",N(E38)+N(E44)),"")</f>
        <v>0</v>
      </c>
      <c r="F45" s="48" t="n">
        <f aca="false">IFERROR(IF(COUNT(F38,F44)=0,"",N(F38)+N(F44)),"")</f>
        <v>0</v>
      </c>
      <c r="G45" s="48" t="n">
        <f aca="false">IFERROR(IF(COUNT(G38,G44)=0,"",N(G38)+N(G44)),"")</f>
        <v>0</v>
      </c>
      <c r="H45" s="48" t="n">
        <f aca="false">IFERROR(IF(COUNT(H38,H44)=0,"",N(H38)+N(H44)),"")</f>
        <v>0</v>
      </c>
      <c r="I45" s="48" t="n">
        <f aca="false">IFERROR(IF(COUNT(I38,I44)=0,"",N(I38)+N(I44)),"")</f>
        <v>0</v>
      </c>
      <c r="J45" s="48" t="n">
        <f aca="false">IFERROR(IF(COUNT(J38,J44)=0,"",N(J38)+N(J44)),"")</f>
        <v>0</v>
      </c>
      <c r="K45" s="48" t="n">
        <f aca="false">IFERROR(IF(COUNT(K38,K44)=0,"",N(K38)+N(K44)),"")</f>
        <v>0</v>
      </c>
      <c r="L45" s="48" t="n">
        <f aca="false">IFERROR(IF(COUNT(L38,L44)=0,"",N(L38)+N(L44)),"")</f>
        <v>0</v>
      </c>
      <c r="M45" s="48" t="n">
        <f aca="false">IFERROR(IF(COUNT(M38,M44)=0,"",N(M38)+N(M44)),"")</f>
        <v>0</v>
      </c>
      <c r="N45" s="48" t="n">
        <f aca="false">IFERROR(IF(COUNT(N38,N44)=0,"",N(N38)+N(N44)),"")</f>
        <v>0</v>
      </c>
      <c r="O45" s="54" t="n">
        <f aca="false">SUM(D45:N45)</f>
        <v>0</v>
      </c>
    </row>
    <row r="46" customFormat="false" ht="15" hidden="true" customHeight="false" outlineLevel="1" collapsed="false">
      <c r="A46" s="11" t="s">
        <v>2407</v>
      </c>
      <c r="B46" s="15" t="s">
        <v>2380</v>
      </c>
      <c r="C46" s="11" t="s">
        <v>748</v>
      </c>
      <c r="D46" s="50" t="str">
        <f aca="false">IFERROR(IF(OR(NOT(ISNUMBER(D45)),N(D39)=0),"",D45/D39),"")</f>
        <v/>
      </c>
      <c r="E46" s="50" t="str">
        <f aca="false">IFERROR(IF(OR(NOT(ISNUMBER(E45)),N(E39)=0),"",E45/E39),"")</f>
        <v/>
      </c>
      <c r="F46" s="50" t="str">
        <f aca="false">IFERROR(IF(OR(NOT(ISNUMBER(F45)),N(F39)=0),"",F45/F39),"")</f>
        <v/>
      </c>
      <c r="G46" s="50" t="str">
        <f aca="false">IFERROR(IF(OR(NOT(ISNUMBER(G45)),N(G39)=0),"",G45/G39),"")</f>
        <v/>
      </c>
      <c r="H46" s="50" t="str">
        <f aca="false">IFERROR(IF(OR(NOT(ISNUMBER(H45)),N(H39)=0),"",H45/H39),"")</f>
        <v/>
      </c>
      <c r="I46" s="50" t="str">
        <f aca="false">IFERROR(IF(OR(NOT(ISNUMBER(I45)),N(I39)=0),"",I45/I39),"")</f>
        <v/>
      </c>
      <c r="J46" s="50" t="str">
        <f aca="false">IFERROR(IF(OR(NOT(ISNUMBER(J45)),N(J39)=0),"",J45/J39),"")</f>
        <v/>
      </c>
      <c r="K46" s="50" t="str">
        <f aca="false">IFERROR(IF(OR(NOT(ISNUMBER(K45)),N(K39)=0),"",K45/K39),"")</f>
        <v/>
      </c>
      <c r="L46" s="50" t="str">
        <f aca="false">IFERROR(IF(OR(NOT(ISNUMBER(L45)),N(L39)=0),"",L45/L39),"")</f>
        <v/>
      </c>
      <c r="M46" s="50" t="str">
        <f aca="false">IFERROR(IF(OR(NOT(ISNUMBER(M45)),N(M39)=0),"",M45/M39),"")</f>
        <v/>
      </c>
      <c r="N46" s="50" t="str">
        <f aca="false">IFERROR(IF(OR(NOT(ISNUMBER(N45)),N(N39)=0),"",N45/N39),"")</f>
        <v/>
      </c>
      <c r="O46" s="68" t="str">
        <f aca="false">IFERROR(IF(OR(NOT(ISNUMBER(O45)),N(O39)=0),"",O45/O39),"")</f>
        <v/>
      </c>
    </row>
    <row r="47" customFormat="false" ht="15" hidden="true" customHeight="false" outlineLevel="1" collapsed="false">
      <c r="A47" s="11" t="s">
        <v>2408</v>
      </c>
      <c r="B47" s="53" t="str">
        <f aca="false">IF(INDEX(Prod_Nombre,5)="","Producto 5",INDEX(Prod_Nombre,5))&amp;" — costo directo"</f>
        <v>Producto 5 — costo directo</v>
      </c>
      <c r="C47" s="11" t="s">
        <v>508</v>
      </c>
      <c r="D47" s="48" t="n">
        <f aca="false">IF(cu_P=1,(SUMIFS(Calculo!$F$25:$ES$25,Calculo!$F$16:$ES$16,1)*N(INDEX(MP_O,5))*INDEX(IdxMP_O,1,1)*(1+P_dMat)/(1-P_Merma)+SUMIFS(Calculo!$F$25:$ES$25,Calculo!$F$16:$ES$16,1)*N(INDEX(INS_O,5))*INDEX(IdxOV_O,1,1)*(1+P_dMat)/(1-P_Merma)+SUMIFS(Calculo!$F$25:$ES$25,Calculo!$F$16:$ES$16,1)*N(INDEX(OV_O,5))*INDEX(IdxOV_O,1,1)*(1+P_dMat)/(1-P_Merma)),(SUMIFS(Calculo!$F$181:$ES$181,Calculo!$F$172:$ES$172,1)*N(INDEX(MP_V,5))*INDEX(IdxMP_V,1,1)*(1+V_dMat)/(1-V_Merma)+SUMIFS(Calculo!$F$181:$ES$181,Calculo!$F$172:$ES$172,1)*N(INDEX(INS_V,5))*INDEX(IdxOV_V,1,1)*(1+V_dMat)/(1-V_Merma)+SUMIFS(Calculo!$F$181:$ES$181,Calculo!$F$172:$ES$172,1)*N(INDEX(OV_V,5))*INDEX(IdxOV_V,1,1)*(1+V_dMat)/(1-V_Merma)))</f>
        <v>0</v>
      </c>
      <c r="E47" s="48" t="n">
        <f aca="false">IF(cu_P=1,(SUMIFS(Calculo!$F$25:$ES$25,Calculo!$F$14:$ES$14,1)*N(INDEX(MP_O,5))*INDEX(IdxMP_O,1,1)*(1+P_dMat)/(1-P_Merma)+SUMIFS(Calculo!$F$25:$ES$25,Calculo!$F$14:$ES$14,1)*N(INDEX(INS_O,5))*INDEX(IdxOV_O,1,1)*(1+P_dMat)/(1-P_Merma)+SUMIFS(Calculo!$F$25:$ES$25,Calculo!$F$14:$ES$14,1)*N(INDEX(OV_O,5))*INDEX(IdxOV_O,1,1)*(1+P_dMat)/(1-P_Merma)),(SUMIFS(Calculo!$F$181:$ES$181,Calculo!$F$170:$ES$170,1)*N(INDEX(MP_V,5))*INDEX(IdxMP_V,1,1)*(1+V_dMat)/(1-V_Merma)+SUMIFS(Calculo!$F$181:$ES$181,Calculo!$F$170:$ES$170,1)*N(INDEX(INS_V,5))*INDEX(IdxOV_V,1,1)*(1+V_dMat)/(1-V_Merma)+SUMIFS(Calculo!$F$181:$ES$181,Calculo!$F$170:$ES$170,1)*N(INDEX(OV_V,5))*INDEX(IdxOV_V,1,1)*(1+V_dMat)/(1-V_Merma)))</f>
        <v>0</v>
      </c>
      <c r="F47" s="48" t="n">
        <f aca="false">IF(cu_P=1,(SUMIFS(Calculo!$F$25:$ES$25,Calculo!$F$14:$ES$14,2)*N(INDEX(MP_O,5))*INDEX(IdxMP_O,1,2)*(1+P_dMat)/(1-P_Merma)+SUMIFS(Calculo!$F$25:$ES$25,Calculo!$F$14:$ES$14,2)*N(INDEX(INS_O,5))*INDEX(IdxOV_O,1,2)*(1+P_dMat)/(1-P_Merma)+SUMIFS(Calculo!$F$25:$ES$25,Calculo!$F$14:$ES$14,2)*N(INDEX(OV_O,5))*INDEX(IdxOV_O,1,2)*(1+P_dMat)/(1-P_Merma)),(SUMIFS(Calculo!$F$181:$ES$181,Calculo!$F$170:$ES$170,2)*N(INDEX(MP_V,5))*INDEX(IdxMP_V,1,2)*(1+V_dMat)/(1-V_Merma)+SUMIFS(Calculo!$F$181:$ES$181,Calculo!$F$170:$ES$170,2)*N(INDEX(INS_V,5))*INDEX(IdxOV_V,1,2)*(1+V_dMat)/(1-V_Merma)+SUMIFS(Calculo!$F$181:$ES$181,Calculo!$F$170:$ES$170,2)*N(INDEX(OV_V,5))*INDEX(IdxOV_V,1,2)*(1+V_dMat)/(1-V_Merma)))</f>
        <v>0</v>
      </c>
      <c r="G47" s="48" t="n">
        <f aca="false">IF(cu_P=1,(SUMIFS(Calculo!$F$25:$ES$25,Calculo!$F$14:$ES$14,3)*N(INDEX(MP_O,5))*INDEX(IdxMP_O,1,3)*(1+P_dMat)/(1-P_Merma)+SUMIFS(Calculo!$F$25:$ES$25,Calculo!$F$14:$ES$14,3)*N(INDEX(INS_O,5))*INDEX(IdxOV_O,1,3)*(1+P_dMat)/(1-P_Merma)+SUMIFS(Calculo!$F$25:$ES$25,Calculo!$F$14:$ES$14,3)*N(INDEX(OV_O,5))*INDEX(IdxOV_O,1,3)*(1+P_dMat)/(1-P_Merma)),(SUMIFS(Calculo!$F$181:$ES$181,Calculo!$F$170:$ES$170,3)*N(INDEX(MP_V,5))*INDEX(IdxMP_V,1,3)*(1+V_dMat)/(1-V_Merma)+SUMIFS(Calculo!$F$181:$ES$181,Calculo!$F$170:$ES$170,3)*N(INDEX(INS_V,5))*INDEX(IdxOV_V,1,3)*(1+V_dMat)/(1-V_Merma)+SUMIFS(Calculo!$F$181:$ES$181,Calculo!$F$170:$ES$170,3)*N(INDEX(OV_V,5))*INDEX(IdxOV_V,1,3)*(1+V_dMat)/(1-V_Merma)))</f>
        <v>0</v>
      </c>
      <c r="H47" s="48" t="n">
        <f aca="false">IF(cu_P=1,(SUMIFS(Calculo!$F$25:$ES$25,Calculo!$F$14:$ES$14,4)*N(INDEX(MP_O,5))*INDEX(IdxMP_O,1,4)*(1+P_dMat)/(1-P_Merma)+SUMIFS(Calculo!$F$25:$ES$25,Calculo!$F$14:$ES$14,4)*N(INDEX(INS_O,5))*INDEX(IdxOV_O,1,4)*(1+P_dMat)/(1-P_Merma)+SUMIFS(Calculo!$F$25:$ES$25,Calculo!$F$14:$ES$14,4)*N(INDEX(OV_O,5))*INDEX(IdxOV_O,1,4)*(1+P_dMat)/(1-P_Merma)),(SUMIFS(Calculo!$F$181:$ES$181,Calculo!$F$170:$ES$170,4)*N(INDEX(MP_V,5))*INDEX(IdxMP_V,1,4)*(1+V_dMat)/(1-V_Merma)+SUMIFS(Calculo!$F$181:$ES$181,Calculo!$F$170:$ES$170,4)*N(INDEX(INS_V,5))*INDEX(IdxOV_V,1,4)*(1+V_dMat)/(1-V_Merma)+SUMIFS(Calculo!$F$181:$ES$181,Calculo!$F$170:$ES$170,4)*N(INDEX(OV_V,5))*INDEX(IdxOV_V,1,4)*(1+V_dMat)/(1-V_Merma)))</f>
        <v>0</v>
      </c>
      <c r="I47" s="48" t="n">
        <f aca="false">IF(cu_P=1,(SUMIFS(Calculo!$F$25:$ES$25,Calculo!$F$14:$ES$14,5)*N(INDEX(MP_O,5))*INDEX(IdxMP_O,1,5)*(1+P_dMat)/(1-P_Merma)+SUMIFS(Calculo!$F$25:$ES$25,Calculo!$F$14:$ES$14,5)*N(INDEX(INS_O,5))*INDEX(IdxOV_O,1,5)*(1+P_dMat)/(1-P_Merma)+SUMIFS(Calculo!$F$25:$ES$25,Calculo!$F$14:$ES$14,5)*N(INDEX(OV_O,5))*INDEX(IdxOV_O,1,5)*(1+P_dMat)/(1-P_Merma)),(SUMIFS(Calculo!$F$181:$ES$181,Calculo!$F$170:$ES$170,5)*N(INDEX(MP_V,5))*INDEX(IdxMP_V,1,5)*(1+V_dMat)/(1-V_Merma)+SUMIFS(Calculo!$F$181:$ES$181,Calculo!$F$170:$ES$170,5)*N(INDEX(INS_V,5))*INDEX(IdxOV_V,1,5)*(1+V_dMat)/(1-V_Merma)+SUMIFS(Calculo!$F$181:$ES$181,Calculo!$F$170:$ES$170,5)*N(INDEX(OV_V,5))*INDEX(IdxOV_V,1,5)*(1+V_dMat)/(1-V_Merma)))</f>
        <v>0</v>
      </c>
      <c r="J47" s="48" t="n">
        <f aca="false">IF(cu_P=1,(SUMIFS(Calculo!$F$25:$ES$25,Calculo!$F$14:$ES$14,6)*N(INDEX(MP_O,5))*INDEX(IdxMP_O,1,6)*(1+P_dMat)/(1-P_Merma)+SUMIFS(Calculo!$F$25:$ES$25,Calculo!$F$14:$ES$14,6)*N(INDEX(INS_O,5))*INDEX(IdxOV_O,1,6)*(1+P_dMat)/(1-P_Merma)+SUMIFS(Calculo!$F$25:$ES$25,Calculo!$F$14:$ES$14,6)*N(INDEX(OV_O,5))*INDEX(IdxOV_O,1,6)*(1+P_dMat)/(1-P_Merma)),(SUMIFS(Calculo!$F$181:$ES$181,Calculo!$F$170:$ES$170,6)*N(INDEX(MP_V,5))*INDEX(IdxMP_V,1,6)*(1+V_dMat)/(1-V_Merma)+SUMIFS(Calculo!$F$181:$ES$181,Calculo!$F$170:$ES$170,6)*N(INDEX(INS_V,5))*INDEX(IdxOV_V,1,6)*(1+V_dMat)/(1-V_Merma)+SUMIFS(Calculo!$F$181:$ES$181,Calculo!$F$170:$ES$170,6)*N(INDEX(OV_V,5))*INDEX(IdxOV_V,1,6)*(1+V_dMat)/(1-V_Merma)))</f>
        <v>0</v>
      </c>
      <c r="K47" s="48" t="n">
        <f aca="false">IF(cu_P=1,(SUMIFS(Calculo!$F$25:$ES$25,Calculo!$F$14:$ES$14,7)*N(INDEX(MP_O,5))*INDEX(IdxMP_O,1,7)*(1+P_dMat)/(1-P_Merma)+SUMIFS(Calculo!$F$25:$ES$25,Calculo!$F$14:$ES$14,7)*N(INDEX(INS_O,5))*INDEX(IdxOV_O,1,7)*(1+P_dMat)/(1-P_Merma)+SUMIFS(Calculo!$F$25:$ES$25,Calculo!$F$14:$ES$14,7)*N(INDEX(OV_O,5))*INDEX(IdxOV_O,1,7)*(1+P_dMat)/(1-P_Merma)),(SUMIFS(Calculo!$F$181:$ES$181,Calculo!$F$170:$ES$170,7)*N(INDEX(MP_V,5))*INDEX(IdxMP_V,1,7)*(1+V_dMat)/(1-V_Merma)+SUMIFS(Calculo!$F$181:$ES$181,Calculo!$F$170:$ES$170,7)*N(INDEX(INS_V,5))*INDEX(IdxOV_V,1,7)*(1+V_dMat)/(1-V_Merma)+SUMIFS(Calculo!$F$181:$ES$181,Calculo!$F$170:$ES$170,7)*N(INDEX(OV_V,5))*INDEX(IdxOV_V,1,7)*(1+V_dMat)/(1-V_Merma)))</f>
        <v>0</v>
      </c>
      <c r="L47" s="48" t="n">
        <f aca="false">IF(cu_P=1,(SUMIFS(Calculo!$F$25:$ES$25,Calculo!$F$14:$ES$14,8)*N(INDEX(MP_O,5))*INDEX(IdxMP_O,1,8)*(1+P_dMat)/(1-P_Merma)+SUMIFS(Calculo!$F$25:$ES$25,Calculo!$F$14:$ES$14,8)*N(INDEX(INS_O,5))*INDEX(IdxOV_O,1,8)*(1+P_dMat)/(1-P_Merma)+SUMIFS(Calculo!$F$25:$ES$25,Calculo!$F$14:$ES$14,8)*N(INDEX(OV_O,5))*INDEX(IdxOV_O,1,8)*(1+P_dMat)/(1-P_Merma)),(SUMIFS(Calculo!$F$181:$ES$181,Calculo!$F$170:$ES$170,8)*N(INDEX(MP_V,5))*INDEX(IdxMP_V,1,8)*(1+V_dMat)/(1-V_Merma)+SUMIFS(Calculo!$F$181:$ES$181,Calculo!$F$170:$ES$170,8)*N(INDEX(INS_V,5))*INDEX(IdxOV_V,1,8)*(1+V_dMat)/(1-V_Merma)+SUMIFS(Calculo!$F$181:$ES$181,Calculo!$F$170:$ES$170,8)*N(INDEX(OV_V,5))*INDEX(IdxOV_V,1,8)*(1+V_dMat)/(1-V_Merma)))</f>
        <v>0</v>
      </c>
      <c r="M47" s="48" t="n">
        <f aca="false">IF(cu_P=1,(SUMIFS(Calculo!$F$25:$ES$25,Calculo!$F$14:$ES$14,9)*N(INDEX(MP_O,5))*INDEX(IdxMP_O,1,9)*(1+P_dMat)/(1-P_Merma)+SUMIFS(Calculo!$F$25:$ES$25,Calculo!$F$14:$ES$14,9)*N(INDEX(INS_O,5))*INDEX(IdxOV_O,1,9)*(1+P_dMat)/(1-P_Merma)+SUMIFS(Calculo!$F$25:$ES$25,Calculo!$F$14:$ES$14,9)*N(INDEX(OV_O,5))*INDEX(IdxOV_O,1,9)*(1+P_dMat)/(1-P_Merma)),(SUMIFS(Calculo!$F$181:$ES$181,Calculo!$F$170:$ES$170,9)*N(INDEX(MP_V,5))*INDEX(IdxMP_V,1,9)*(1+V_dMat)/(1-V_Merma)+SUMIFS(Calculo!$F$181:$ES$181,Calculo!$F$170:$ES$170,9)*N(INDEX(INS_V,5))*INDEX(IdxOV_V,1,9)*(1+V_dMat)/(1-V_Merma)+SUMIFS(Calculo!$F$181:$ES$181,Calculo!$F$170:$ES$170,9)*N(INDEX(OV_V,5))*INDEX(IdxOV_V,1,9)*(1+V_dMat)/(1-V_Merma)))</f>
        <v>0</v>
      </c>
      <c r="N47" s="48" t="n">
        <f aca="false">IF(cu_P=1,(SUMIFS(Calculo!$F$25:$ES$25,Calculo!$F$14:$ES$14,10)*N(INDEX(MP_O,5))*INDEX(IdxMP_O,1,10)*(1+P_dMat)/(1-P_Merma)+SUMIFS(Calculo!$F$25:$ES$25,Calculo!$F$14:$ES$14,10)*N(INDEX(INS_O,5))*INDEX(IdxOV_O,1,10)*(1+P_dMat)/(1-P_Merma)+SUMIFS(Calculo!$F$25:$ES$25,Calculo!$F$14:$ES$14,10)*N(INDEX(OV_O,5))*INDEX(IdxOV_O,1,10)*(1+P_dMat)/(1-P_Merma)),(SUMIFS(Calculo!$F$181:$ES$181,Calculo!$F$170:$ES$170,10)*N(INDEX(MP_V,5))*INDEX(IdxMP_V,1,10)*(1+V_dMat)/(1-V_Merma)+SUMIFS(Calculo!$F$181:$ES$181,Calculo!$F$170:$ES$170,10)*N(INDEX(INS_V,5))*INDEX(IdxOV_V,1,10)*(1+V_dMat)/(1-V_Merma)+SUMIFS(Calculo!$F$181:$ES$181,Calculo!$F$170:$ES$170,10)*N(INDEX(OV_V,5))*INDEX(IdxOV_V,1,10)*(1+V_dMat)/(1-V_Merma)))</f>
        <v>0</v>
      </c>
      <c r="O47" s="54" t="n">
        <f aca="false">SUM(D47:N47)</f>
        <v>0</v>
      </c>
    </row>
    <row r="48" customFormat="false" ht="15" hidden="true" customHeight="false" outlineLevel="1" collapsed="false">
      <c r="A48" s="11" t="s">
        <v>2409</v>
      </c>
      <c r="B48" s="15" t="s">
        <v>2366</v>
      </c>
      <c r="C48" s="11" t="s">
        <v>544</v>
      </c>
      <c r="D48" s="48" t="n">
        <f aca="false">IF(cu_P=1,SUMIFS(Calculo!$F$25:$ES$25,Calculo!$F$16:$ES$16,1),SUMIFS(Calculo!$F$181:$ES$181,Calculo!$F$172:$ES$172,1))</f>
        <v>0</v>
      </c>
      <c r="E48" s="48" t="n">
        <f aca="false">IF(cu_P=1,SUMIFS(Calculo!$F$25:$ES$25,Calculo!$F$14:$ES$14,1),SUMIFS(Calculo!$F$181:$ES$181,Calculo!$F$170:$ES$170,1))</f>
        <v>0</v>
      </c>
      <c r="F48" s="48" t="n">
        <f aca="false">IF(cu_P=1,SUMIFS(Calculo!$F$25:$ES$25,Calculo!$F$14:$ES$14,2),SUMIFS(Calculo!$F$181:$ES$181,Calculo!$F$170:$ES$170,2))</f>
        <v>0</v>
      </c>
      <c r="G48" s="48" t="n">
        <f aca="false">IF(cu_P=1,SUMIFS(Calculo!$F$25:$ES$25,Calculo!$F$14:$ES$14,3),SUMIFS(Calculo!$F$181:$ES$181,Calculo!$F$170:$ES$170,3))</f>
        <v>0</v>
      </c>
      <c r="H48" s="48" t="n">
        <f aca="false">IF(cu_P=1,SUMIFS(Calculo!$F$25:$ES$25,Calculo!$F$14:$ES$14,4),SUMIFS(Calculo!$F$181:$ES$181,Calculo!$F$170:$ES$170,4))</f>
        <v>0</v>
      </c>
      <c r="I48" s="48" t="n">
        <f aca="false">IF(cu_P=1,SUMIFS(Calculo!$F$25:$ES$25,Calculo!$F$14:$ES$14,5),SUMIFS(Calculo!$F$181:$ES$181,Calculo!$F$170:$ES$170,5))</f>
        <v>0</v>
      </c>
      <c r="J48" s="48" t="n">
        <f aca="false">IF(cu_P=1,SUMIFS(Calculo!$F$25:$ES$25,Calculo!$F$14:$ES$14,6),SUMIFS(Calculo!$F$181:$ES$181,Calculo!$F$170:$ES$170,6))</f>
        <v>0</v>
      </c>
      <c r="K48" s="48" t="n">
        <f aca="false">IF(cu_P=1,SUMIFS(Calculo!$F$25:$ES$25,Calculo!$F$14:$ES$14,7),SUMIFS(Calculo!$F$181:$ES$181,Calculo!$F$170:$ES$170,7))</f>
        <v>0</v>
      </c>
      <c r="L48" s="48" t="n">
        <f aca="false">IF(cu_P=1,SUMIFS(Calculo!$F$25:$ES$25,Calculo!$F$14:$ES$14,8),SUMIFS(Calculo!$F$181:$ES$181,Calculo!$F$170:$ES$170,8))</f>
        <v>0</v>
      </c>
      <c r="M48" s="48" t="n">
        <f aca="false">IF(cu_P=1,SUMIFS(Calculo!$F$25:$ES$25,Calculo!$F$14:$ES$14,9),SUMIFS(Calculo!$F$181:$ES$181,Calculo!$F$170:$ES$170,9))</f>
        <v>0</v>
      </c>
      <c r="N48" s="48" t="n">
        <f aca="false">IF(cu_P=1,SUMIFS(Calculo!$F$25:$ES$25,Calculo!$F$14:$ES$14,10),SUMIFS(Calculo!$F$181:$ES$181,Calculo!$F$170:$ES$170,10))</f>
        <v>0</v>
      </c>
      <c r="O48" s="54" t="n">
        <f aca="false">SUM(D48:N48)</f>
        <v>0</v>
      </c>
    </row>
    <row r="49" customFormat="false" ht="15" hidden="true" customHeight="false" outlineLevel="1" collapsed="false">
      <c r="A49" s="11" t="s">
        <v>2410</v>
      </c>
      <c r="B49" s="15" t="s">
        <v>2368</v>
      </c>
      <c r="C49" s="11" t="s">
        <v>508</v>
      </c>
      <c r="D49" s="48" t="n">
        <f aca="false">IF(cu_P=1,SUMIFS(Calculo!$F$50:$ES$50,Calculo!$F$16:$ES$16,1),SUMIFS(Calculo!$F$206:$ES$206,Calculo!$F$172:$ES$172,1))</f>
        <v>0</v>
      </c>
      <c r="E49" s="48" t="n">
        <f aca="false">IF(cu_P=1,SUMIFS(Calculo!$F$50:$ES$50,Calculo!$F$14:$ES$14,1),SUMIFS(Calculo!$F$206:$ES$206,Calculo!$F$170:$ES$170,1))</f>
        <v>0</v>
      </c>
      <c r="F49" s="48" t="n">
        <f aca="false">IF(cu_P=1,SUMIFS(Calculo!$F$50:$ES$50,Calculo!$F$14:$ES$14,2),SUMIFS(Calculo!$F$206:$ES$206,Calculo!$F$170:$ES$170,2))</f>
        <v>0</v>
      </c>
      <c r="G49" s="48" t="n">
        <f aca="false">IF(cu_P=1,SUMIFS(Calculo!$F$50:$ES$50,Calculo!$F$14:$ES$14,3),SUMIFS(Calculo!$F$206:$ES$206,Calculo!$F$170:$ES$170,3))</f>
        <v>0</v>
      </c>
      <c r="H49" s="48" t="n">
        <f aca="false">IF(cu_P=1,SUMIFS(Calculo!$F$50:$ES$50,Calculo!$F$14:$ES$14,4),SUMIFS(Calculo!$F$206:$ES$206,Calculo!$F$170:$ES$170,4))</f>
        <v>0</v>
      </c>
      <c r="I49" s="48" t="n">
        <f aca="false">IF(cu_P=1,SUMIFS(Calculo!$F$50:$ES$50,Calculo!$F$14:$ES$14,5),SUMIFS(Calculo!$F$206:$ES$206,Calculo!$F$170:$ES$170,5))</f>
        <v>0</v>
      </c>
      <c r="J49" s="48" t="n">
        <f aca="false">IF(cu_P=1,SUMIFS(Calculo!$F$50:$ES$50,Calculo!$F$14:$ES$14,6),SUMIFS(Calculo!$F$206:$ES$206,Calculo!$F$170:$ES$170,6))</f>
        <v>0</v>
      </c>
      <c r="K49" s="48" t="n">
        <f aca="false">IF(cu_P=1,SUMIFS(Calculo!$F$50:$ES$50,Calculo!$F$14:$ES$14,7),SUMIFS(Calculo!$F$206:$ES$206,Calculo!$F$170:$ES$170,7))</f>
        <v>0</v>
      </c>
      <c r="L49" s="48" t="n">
        <f aca="false">IF(cu_P=1,SUMIFS(Calculo!$F$50:$ES$50,Calculo!$F$14:$ES$14,8),SUMIFS(Calculo!$F$206:$ES$206,Calculo!$F$170:$ES$170,8))</f>
        <v>0</v>
      </c>
      <c r="M49" s="48" t="n">
        <f aca="false">IF(cu_P=1,SUMIFS(Calculo!$F$50:$ES$50,Calculo!$F$14:$ES$14,9),SUMIFS(Calculo!$F$206:$ES$206,Calculo!$F$170:$ES$170,9))</f>
        <v>0</v>
      </c>
      <c r="N49" s="48" t="n">
        <f aca="false">IF(cu_P=1,SUMIFS(Calculo!$F$50:$ES$50,Calculo!$F$14:$ES$14,10),SUMIFS(Calculo!$F$206:$ES$206,Calculo!$F$170:$ES$170,10))</f>
        <v>0</v>
      </c>
      <c r="O49" s="54" t="n">
        <f aca="false">SUM(D49:N49)</f>
        <v>0</v>
      </c>
    </row>
    <row r="50" customFormat="false" ht="15" hidden="true" customHeight="false" outlineLevel="1" collapsed="false">
      <c r="A50" s="11" t="s">
        <v>2411</v>
      </c>
      <c r="B50" s="15" t="s">
        <v>2370</v>
      </c>
      <c r="C50" s="11" t="s">
        <v>748</v>
      </c>
      <c r="D50" s="50" t="str">
        <f aca="false">IFERROR(IF(OR(NOT(ISNUMBER(D47)),N(D48)=0),"",D47/D48),"")</f>
        <v/>
      </c>
      <c r="E50" s="50" t="str">
        <f aca="false">IFERROR(IF(OR(NOT(ISNUMBER(E47)),N(E48)=0),"",E47/E48),"")</f>
        <v/>
      </c>
      <c r="F50" s="50" t="str">
        <f aca="false">IFERROR(IF(OR(NOT(ISNUMBER(F47)),N(F48)=0),"",F47/F48),"")</f>
        <v/>
      </c>
      <c r="G50" s="50" t="str">
        <f aca="false">IFERROR(IF(OR(NOT(ISNUMBER(G47)),N(G48)=0),"",G47/G48),"")</f>
        <v/>
      </c>
      <c r="H50" s="50" t="str">
        <f aca="false">IFERROR(IF(OR(NOT(ISNUMBER(H47)),N(H48)=0),"",H47/H48),"")</f>
        <v/>
      </c>
      <c r="I50" s="50" t="str">
        <f aca="false">IFERROR(IF(OR(NOT(ISNUMBER(I47)),N(I48)=0),"",I47/I48),"")</f>
        <v/>
      </c>
      <c r="J50" s="50" t="str">
        <f aca="false">IFERROR(IF(OR(NOT(ISNUMBER(J47)),N(J48)=0),"",J47/J48),"")</f>
        <v/>
      </c>
      <c r="K50" s="50" t="str">
        <f aca="false">IFERROR(IF(OR(NOT(ISNUMBER(K47)),N(K48)=0),"",K47/K48),"")</f>
        <v/>
      </c>
      <c r="L50" s="50" t="str">
        <f aca="false">IFERROR(IF(OR(NOT(ISNUMBER(L47)),N(L48)=0),"",L47/L48),"")</f>
        <v/>
      </c>
      <c r="M50" s="50" t="str">
        <f aca="false">IFERROR(IF(OR(NOT(ISNUMBER(M47)),N(M48)=0),"",M47/M48),"")</f>
        <v/>
      </c>
      <c r="N50" s="50" t="str">
        <f aca="false">IFERROR(IF(OR(NOT(ISNUMBER(N47)),N(N48)=0),"",N47/N48),"")</f>
        <v/>
      </c>
      <c r="O50" s="68" t="str">
        <f aca="false">IFERROR(IF(OR(NOT(ISNUMBER(O47)),N(O48)=0),"",O47/O48),"")</f>
        <v/>
      </c>
    </row>
    <row r="51" customFormat="false" ht="15" hidden="true" customHeight="false" outlineLevel="1" collapsed="false">
      <c r="A51" s="11" t="s">
        <v>2412</v>
      </c>
      <c r="B51" s="15" t="s">
        <v>2372</v>
      </c>
      <c r="C51" s="11" t="s">
        <v>748</v>
      </c>
      <c r="D51" s="50" t="str">
        <f aca="false">IFERROR(IF(N(D48)=0,"",(D49-D47)/D48),"")</f>
        <v/>
      </c>
      <c r="E51" s="50" t="str">
        <f aca="false">IFERROR(IF(N(E48)=0,"",(E49-E47)/E48),"")</f>
        <v/>
      </c>
      <c r="F51" s="50" t="str">
        <f aca="false">IFERROR(IF(N(F48)=0,"",(F49-F47)/F48),"")</f>
        <v/>
      </c>
      <c r="G51" s="50" t="str">
        <f aca="false">IFERROR(IF(N(G48)=0,"",(G49-G47)/G48),"")</f>
        <v/>
      </c>
      <c r="H51" s="50" t="str">
        <f aca="false">IFERROR(IF(N(H48)=0,"",(H49-H47)/H48),"")</f>
        <v/>
      </c>
      <c r="I51" s="50" t="str">
        <f aca="false">IFERROR(IF(N(I48)=0,"",(I49-I47)/I48),"")</f>
        <v/>
      </c>
      <c r="J51" s="50" t="str">
        <f aca="false">IFERROR(IF(N(J48)=0,"",(J49-J47)/J48),"")</f>
        <v/>
      </c>
      <c r="K51" s="50" t="str">
        <f aca="false">IFERROR(IF(N(K48)=0,"",(K49-K47)/K48),"")</f>
        <v/>
      </c>
      <c r="L51" s="50" t="str">
        <f aca="false">IFERROR(IF(N(L48)=0,"",(L49-L47)/L48),"")</f>
        <v/>
      </c>
      <c r="M51" s="50" t="str">
        <f aca="false">IFERROR(IF(N(M48)=0,"",(M49-M47)/M48),"")</f>
        <v/>
      </c>
      <c r="N51" s="50" t="str">
        <f aca="false">IFERROR(IF(N(N48)=0,"",(N49-N47)/N48),"")</f>
        <v/>
      </c>
      <c r="O51" s="68" t="str">
        <f aca="false">IFERROR(IF(N(O48)=0,"",(O49-O47)/O48),"")</f>
        <v/>
      </c>
    </row>
    <row r="52" customFormat="false" ht="15" hidden="true" customHeight="false" outlineLevel="1" collapsed="false">
      <c r="A52" s="11" t="s">
        <v>2413</v>
      </c>
      <c r="B52" s="15" t="s">
        <v>2374</v>
      </c>
      <c r="C52" s="11" t="s">
        <v>367</v>
      </c>
      <c r="D52" s="49" t="str">
        <f aca="false">IFERROR(IF(N(D49)=0,"",1-D47/D49),"")</f>
        <v/>
      </c>
      <c r="E52" s="49" t="str">
        <f aca="false">IFERROR(IF(N(E49)=0,"",1-E47/E49),"")</f>
        <v/>
      </c>
      <c r="F52" s="49" t="str">
        <f aca="false">IFERROR(IF(N(F49)=0,"",1-F47/F49),"")</f>
        <v/>
      </c>
      <c r="G52" s="49" t="str">
        <f aca="false">IFERROR(IF(N(G49)=0,"",1-G47/G49),"")</f>
        <v/>
      </c>
      <c r="H52" s="49" t="str">
        <f aca="false">IFERROR(IF(N(H49)=0,"",1-H47/H49),"")</f>
        <v/>
      </c>
      <c r="I52" s="49" t="str">
        <f aca="false">IFERROR(IF(N(I49)=0,"",1-I47/I49),"")</f>
        <v/>
      </c>
      <c r="J52" s="49" t="str">
        <f aca="false">IFERROR(IF(N(J49)=0,"",1-J47/J49),"")</f>
        <v/>
      </c>
      <c r="K52" s="49" t="str">
        <f aca="false">IFERROR(IF(N(K49)=0,"",1-K47/K49),"")</f>
        <v/>
      </c>
      <c r="L52" s="49" t="str">
        <f aca="false">IFERROR(IF(N(L49)=0,"",1-L47/L49),"")</f>
        <v/>
      </c>
      <c r="M52" s="49" t="str">
        <f aca="false">IFERROR(IF(N(M49)=0,"",1-M47/M49),"")</f>
        <v/>
      </c>
      <c r="N52" s="49" t="str">
        <f aca="false">IFERROR(IF(N(N49)=0,"",1-N47/N49),"")</f>
        <v/>
      </c>
      <c r="O52" s="99" t="str">
        <f aca="false">IFERROR(IF(N(O49)=0,"",1-O47/O49),"")</f>
        <v/>
      </c>
    </row>
    <row r="53" customFormat="false" ht="15" hidden="true" customHeight="false" outlineLevel="1" collapsed="false">
      <c r="A53" s="11" t="s">
        <v>2414</v>
      </c>
      <c r="B53" s="15" t="s">
        <v>2376</v>
      </c>
      <c r="C53" s="11" t="s">
        <v>508</v>
      </c>
      <c r="D53" s="48" t="str">
        <f aca="false">IFERROR(IF(OR(NOT(ISNUMBER(D47)),N(D9)=0),"",D10*D47/D9),"")</f>
        <v/>
      </c>
      <c r="E53" s="48" t="n">
        <f aca="false">IFERROR(IF(OR(NOT(ISNUMBER(E47)),N(E9)=0),"",E10*E47/E9),"")</f>
        <v>0</v>
      </c>
      <c r="F53" s="48" t="n">
        <f aca="false">IFERROR(IF(OR(NOT(ISNUMBER(F47)),N(F9)=0),"",F10*F47/F9),"")</f>
        <v>0</v>
      </c>
      <c r="G53" s="48" t="n">
        <f aca="false">IFERROR(IF(OR(NOT(ISNUMBER(G47)),N(G9)=0),"",G10*G47/G9),"")</f>
        <v>0</v>
      </c>
      <c r="H53" s="48" t="n">
        <f aca="false">IFERROR(IF(OR(NOT(ISNUMBER(H47)),N(H9)=0),"",H10*H47/H9),"")</f>
        <v>0</v>
      </c>
      <c r="I53" s="48" t="n">
        <f aca="false">IFERROR(IF(OR(NOT(ISNUMBER(I47)),N(I9)=0),"",I10*I47/I9),"")</f>
        <v>0</v>
      </c>
      <c r="J53" s="48" t="n">
        <f aca="false">IFERROR(IF(OR(NOT(ISNUMBER(J47)),N(J9)=0),"",J10*J47/J9),"")</f>
        <v>0</v>
      </c>
      <c r="K53" s="48" t="n">
        <f aca="false">IFERROR(IF(OR(NOT(ISNUMBER(K47)),N(K9)=0),"",K10*K47/K9),"")</f>
        <v>0</v>
      </c>
      <c r="L53" s="48" t="n">
        <f aca="false">IFERROR(IF(OR(NOT(ISNUMBER(L47)),N(L9)=0),"",L10*L47/L9),"")</f>
        <v>0</v>
      </c>
      <c r="M53" s="48" t="n">
        <f aca="false">IFERROR(IF(OR(NOT(ISNUMBER(M47)),N(M9)=0),"",M10*M47/M9),"")</f>
        <v>0</v>
      </c>
      <c r="N53" s="48" t="n">
        <f aca="false">IFERROR(IF(OR(NOT(ISNUMBER(N47)),N(N9)=0),"",N10*N47/N9),"")</f>
        <v>0</v>
      </c>
      <c r="O53" s="54" t="n">
        <f aca="false">SUM(D53:N53)</f>
        <v>0</v>
      </c>
    </row>
    <row r="54" customFormat="false" ht="15" hidden="true" customHeight="false" outlineLevel="1" collapsed="false">
      <c r="A54" s="11" t="s">
        <v>2415</v>
      </c>
      <c r="B54" s="15" t="s">
        <v>2378</v>
      </c>
      <c r="C54" s="11" t="s">
        <v>508</v>
      </c>
      <c r="D54" s="48" t="n">
        <f aca="false">IFERROR(IF(COUNT(D47,D53)=0,"",N(D47)+N(D53)),"")</f>
        <v>0</v>
      </c>
      <c r="E54" s="48" t="n">
        <f aca="false">IFERROR(IF(COUNT(E47,E53)=0,"",N(E47)+N(E53)),"")</f>
        <v>0</v>
      </c>
      <c r="F54" s="48" t="n">
        <f aca="false">IFERROR(IF(COUNT(F47,F53)=0,"",N(F47)+N(F53)),"")</f>
        <v>0</v>
      </c>
      <c r="G54" s="48" t="n">
        <f aca="false">IFERROR(IF(COUNT(G47,G53)=0,"",N(G47)+N(G53)),"")</f>
        <v>0</v>
      </c>
      <c r="H54" s="48" t="n">
        <f aca="false">IFERROR(IF(COUNT(H47,H53)=0,"",N(H47)+N(H53)),"")</f>
        <v>0</v>
      </c>
      <c r="I54" s="48" t="n">
        <f aca="false">IFERROR(IF(COUNT(I47,I53)=0,"",N(I47)+N(I53)),"")</f>
        <v>0</v>
      </c>
      <c r="J54" s="48" t="n">
        <f aca="false">IFERROR(IF(COUNT(J47,J53)=0,"",N(J47)+N(J53)),"")</f>
        <v>0</v>
      </c>
      <c r="K54" s="48" t="n">
        <f aca="false">IFERROR(IF(COUNT(K47,K53)=0,"",N(K47)+N(K53)),"")</f>
        <v>0</v>
      </c>
      <c r="L54" s="48" t="n">
        <f aca="false">IFERROR(IF(COUNT(L47,L53)=0,"",N(L47)+N(L53)),"")</f>
        <v>0</v>
      </c>
      <c r="M54" s="48" t="n">
        <f aca="false">IFERROR(IF(COUNT(M47,M53)=0,"",N(M47)+N(M53)),"")</f>
        <v>0</v>
      </c>
      <c r="N54" s="48" t="n">
        <f aca="false">IFERROR(IF(COUNT(N47,N53)=0,"",N(N47)+N(N53)),"")</f>
        <v>0</v>
      </c>
      <c r="O54" s="54" t="n">
        <f aca="false">SUM(D54:N54)</f>
        <v>0</v>
      </c>
    </row>
    <row r="55" customFormat="false" ht="15" hidden="true" customHeight="false" outlineLevel="1" collapsed="false">
      <c r="A55" s="11" t="s">
        <v>2416</v>
      </c>
      <c r="B55" s="15" t="s">
        <v>2380</v>
      </c>
      <c r="C55" s="11" t="s">
        <v>748</v>
      </c>
      <c r="D55" s="50" t="str">
        <f aca="false">IFERROR(IF(OR(NOT(ISNUMBER(D54)),N(D48)=0),"",D54/D48),"")</f>
        <v/>
      </c>
      <c r="E55" s="50" t="str">
        <f aca="false">IFERROR(IF(OR(NOT(ISNUMBER(E54)),N(E48)=0),"",E54/E48),"")</f>
        <v/>
      </c>
      <c r="F55" s="50" t="str">
        <f aca="false">IFERROR(IF(OR(NOT(ISNUMBER(F54)),N(F48)=0),"",F54/F48),"")</f>
        <v/>
      </c>
      <c r="G55" s="50" t="str">
        <f aca="false">IFERROR(IF(OR(NOT(ISNUMBER(G54)),N(G48)=0),"",G54/G48),"")</f>
        <v/>
      </c>
      <c r="H55" s="50" t="str">
        <f aca="false">IFERROR(IF(OR(NOT(ISNUMBER(H54)),N(H48)=0),"",H54/H48),"")</f>
        <v/>
      </c>
      <c r="I55" s="50" t="str">
        <f aca="false">IFERROR(IF(OR(NOT(ISNUMBER(I54)),N(I48)=0),"",I54/I48),"")</f>
        <v/>
      </c>
      <c r="J55" s="50" t="str">
        <f aca="false">IFERROR(IF(OR(NOT(ISNUMBER(J54)),N(J48)=0),"",J54/J48),"")</f>
        <v/>
      </c>
      <c r="K55" s="50" t="str">
        <f aca="false">IFERROR(IF(OR(NOT(ISNUMBER(K54)),N(K48)=0),"",K54/K48),"")</f>
        <v/>
      </c>
      <c r="L55" s="50" t="str">
        <f aca="false">IFERROR(IF(OR(NOT(ISNUMBER(L54)),N(L48)=0),"",L54/L48),"")</f>
        <v/>
      </c>
      <c r="M55" s="50" t="str">
        <f aca="false">IFERROR(IF(OR(NOT(ISNUMBER(M54)),N(M48)=0),"",M54/M48),"")</f>
        <v/>
      </c>
      <c r="N55" s="50" t="str">
        <f aca="false">IFERROR(IF(OR(NOT(ISNUMBER(N54)),N(N48)=0),"",N54/N48),"")</f>
        <v/>
      </c>
      <c r="O55" s="68" t="str">
        <f aca="false">IFERROR(IF(OR(NOT(ISNUMBER(O54)),N(O48)=0),"",O54/O48),"")</f>
        <v/>
      </c>
    </row>
    <row r="56" customFormat="false" ht="15" hidden="true" customHeight="false" outlineLevel="1" collapsed="false">
      <c r="A56" s="11" t="s">
        <v>2417</v>
      </c>
      <c r="B56" s="53" t="str">
        <f aca="false">IF(INDEX(Prod_Nombre,6)="","Producto 6",INDEX(Prod_Nombre,6))&amp;" — costo directo"</f>
        <v>Producto 6 — costo directo</v>
      </c>
      <c r="C56" s="11" t="s">
        <v>508</v>
      </c>
      <c r="D56" s="48" t="n">
        <f aca="false">IF(cu_P=1,(SUMIFS(Calculo!$F$26:$ES$26,Calculo!$F$16:$ES$16,1)*N(INDEX(MP_O,6))*INDEX(IdxMP_O,1,1)*(1+P_dMat)/(1-P_Merma)+SUMIFS(Calculo!$F$26:$ES$26,Calculo!$F$16:$ES$16,1)*N(INDEX(INS_O,6))*INDEX(IdxOV_O,1,1)*(1+P_dMat)/(1-P_Merma)+SUMIFS(Calculo!$F$26:$ES$26,Calculo!$F$16:$ES$16,1)*N(INDEX(OV_O,6))*INDEX(IdxOV_O,1,1)*(1+P_dMat)/(1-P_Merma)),(SUMIFS(Calculo!$F$182:$ES$182,Calculo!$F$172:$ES$172,1)*N(INDEX(MP_V,6))*INDEX(IdxMP_V,1,1)*(1+V_dMat)/(1-V_Merma)+SUMIFS(Calculo!$F$182:$ES$182,Calculo!$F$172:$ES$172,1)*N(INDEX(INS_V,6))*INDEX(IdxOV_V,1,1)*(1+V_dMat)/(1-V_Merma)+SUMIFS(Calculo!$F$182:$ES$182,Calculo!$F$172:$ES$172,1)*N(INDEX(OV_V,6))*INDEX(IdxOV_V,1,1)*(1+V_dMat)/(1-V_Merma)))</f>
        <v>0</v>
      </c>
      <c r="E56" s="48" t="n">
        <f aca="false">IF(cu_P=1,(SUMIFS(Calculo!$F$26:$ES$26,Calculo!$F$14:$ES$14,1)*N(INDEX(MP_O,6))*INDEX(IdxMP_O,1,1)*(1+P_dMat)/(1-P_Merma)+SUMIFS(Calculo!$F$26:$ES$26,Calculo!$F$14:$ES$14,1)*N(INDEX(INS_O,6))*INDEX(IdxOV_O,1,1)*(1+P_dMat)/(1-P_Merma)+SUMIFS(Calculo!$F$26:$ES$26,Calculo!$F$14:$ES$14,1)*N(INDEX(OV_O,6))*INDEX(IdxOV_O,1,1)*(1+P_dMat)/(1-P_Merma)),(SUMIFS(Calculo!$F$182:$ES$182,Calculo!$F$170:$ES$170,1)*N(INDEX(MP_V,6))*INDEX(IdxMP_V,1,1)*(1+V_dMat)/(1-V_Merma)+SUMIFS(Calculo!$F$182:$ES$182,Calculo!$F$170:$ES$170,1)*N(INDEX(INS_V,6))*INDEX(IdxOV_V,1,1)*(1+V_dMat)/(1-V_Merma)+SUMIFS(Calculo!$F$182:$ES$182,Calculo!$F$170:$ES$170,1)*N(INDEX(OV_V,6))*INDEX(IdxOV_V,1,1)*(1+V_dMat)/(1-V_Merma)))</f>
        <v>0</v>
      </c>
      <c r="F56" s="48" t="n">
        <f aca="false">IF(cu_P=1,(SUMIFS(Calculo!$F$26:$ES$26,Calculo!$F$14:$ES$14,2)*N(INDEX(MP_O,6))*INDEX(IdxMP_O,1,2)*(1+P_dMat)/(1-P_Merma)+SUMIFS(Calculo!$F$26:$ES$26,Calculo!$F$14:$ES$14,2)*N(INDEX(INS_O,6))*INDEX(IdxOV_O,1,2)*(1+P_dMat)/(1-P_Merma)+SUMIFS(Calculo!$F$26:$ES$26,Calculo!$F$14:$ES$14,2)*N(INDEX(OV_O,6))*INDEX(IdxOV_O,1,2)*(1+P_dMat)/(1-P_Merma)),(SUMIFS(Calculo!$F$182:$ES$182,Calculo!$F$170:$ES$170,2)*N(INDEX(MP_V,6))*INDEX(IdxMP_V,1,2)*(1+V_dMat)/(1-V_Merma)+SUMIFS(Calculo!$F$182:$ES$182,Calculo!$F$170:$ES$170,2)*N(INDEX(INS_V,6))*INDEX(IdxOV_V,1,2)*(1+V_dMat)/(1-V_Merma)+SUMIFS(Calculo!$F$182:$ES$182,Calculo!$F$170:$ES$170,2)*N(INDEX(OV_V,6))*INDEX(IdxOV_V,1,2)*(1+V_dMat)/(1-V_Merma)))</f>
        <v>0</v>
      </c>
      <c r="G56" s="48" t="n">
        <f aca="false">IF(cu_P=1,(SUMIFS(Calculo!$F$26:$ES$26,Calculo!$F$14:$ES$14,3)*N(INDEX(MP_O,6))*INDEX(IdxMP_O,1,3)*(1+P_dMat)/(1-P_Merma)+SUMIFS(Calculo!$F$26:$ES$26,Calculo!$F$14:$ES$14,3)*N(INDEX(INS_O,6))*INDEX(IdxOV_O,1,3)*(1+P_dMat)/(1-P_Merma)+SUMIFS(Calculo!$F$26:$ES$26,Calculo!$F$14:$ES$14,3)*N(INDEX(OV_O,6))*INDEX(IdxOV_O,1,3)*(1+P_dMat)/(1-P_Merma)),(SUMIFS(Calculo!$F$182:$ES$182,Calculo!$F$170:$ES$170,3)*N(INDEX(MP_V,6))*INDEX(IdxMP_V,1,3)*(1+V_dMat)/(1-V_Merma)+SUMIFS(Calculo!$F$182:$ES$182,Calculo!$F$170:$ES$170,3)*N(INDEX(INS_V,6))*INDEX(IdxOV_V,1,3)*(1+V_dMat)/(1-V_Merma)+SUMIFS(Calculo!$F$182:$ES$182,Calculo!$F$170:$ES$170,3)*N(INDEX(OV_V,6))*INDEX(IdxOV_V,1,3)*(1+V_dMat)/(1-V_Merma)))</f>
        <v>0</v>
      </c>
      <c r="H56" s="48" t="n">
        <f aca="false">IF(cu_P=1,(SUMIFS(Calculo!$F$26:$ES$26,Calculo!$F$14:$ES$14,4)*N(INDEX(MP_O,6))*INDEX(IdxMP_O,1,4)*(1+P_dMat)/(1-P_Merma)+SUMIFS(Calculo!$F$26:$ES$26,Calculo!$F$14:$ES$14,4)*N(INDEX(INS_O,6))*INDEX(IdxOV_O,1,4)*(1+P_dMat)/(1-P_Merma)+SUMIFS(Calculo!$F$26:$ES$26,Calculo!$F$14:$ES$14,4)*N(INDEX(OV_O,6))*INDEX(IdxOV_O,1,4)*(1+P_dMat)/(1-P_Merma)),(SUMIFS(Calculo!$F$182:$ES$182,Calculo!$F$170:$ES$170,4)*N(INDEX(MP_V,6))*INDEX(IdxMP_V,1,4)*(1+V_dMat)/(1-V_Merma)+SUMIFS(Calculo!$F$182:$ES$182,Calculo!$F$170:$ES$170,4)*N(INDEX(INS_V,6))*INDEX(IdxOV_V,1,4)*(1+V_dMat)/(1-V_Merma)+SUMIFS(Calculo!$F$182:$ES$182,Calculo!$F$170:$ES$170,4)*N(INDEX(OV_V,6))*INDEX(IdxOV_V,1,4)*(1+V_dMat)/(1-V_Merma)))</f>
        <v>0</v>
      </c>
      <c r="I56" s="48" t="n">
        <f aca="false">IF(cu_P=1,(SUMIFS(Calculo!$F$26:$ES$26,Calculo!$F$14:$ES$14,5)*N(INDEX(MP_O,6))*INDEX(IdxMP_O,1,5)*(1+P_dMat)/(1-P_Merma)+SUMIFS(Calculo!$F$26:$ES$26,Calculo!$F$14:$ES$14,5)*N(INDEX(INS_O,6))*INDEX(IdxOV_O,1,5)*(1+P_dMat)/(1-P_Merma)+SUMIFS(Calculo!$F$26:$ES$26,Calculo!$F$14:$ES$14,5)*N(INDEX(OV_O,6))*INDEX(IdxOV_O,1,5)*(1+P_dMat)/(1-P_Merma)),(SUMIFS(Calculo!$F$182:$ES$182,Calculo!$F$170:$ES$170,5)*N(INDEX(MP_V,6))*INDEX(IdxMP_V,1,5)*(1+V_dMat)/(1-V_Merma)+SUMIFS(Calculo!$F$182:$ES$182,Calculo!$F$170:$ES$170,5)*N(INDEX(INS_V,6))*INDEX(IdxOV_V,1,5)*(1+V_dMat)/(1-V_Merma)+SUMIFS(Calculo!$F$182:$ES$182,Calculo!$F$170:$ES$170,5)*N(INDEX(OV_V,6))*INDEX(IdxOV_V,1,5)*(1+V_dMat)/(1-V_Merma)))</f>
        <v>0</v>
      </c>
      <c r="J56" s="48" t="n">
        <f aca="false">IF(cu_P=1,(SUMIFS(Calculo!$F$26:$ES$26,Calculo!$F$14:$ES$14,6)*N(INDEX(MP_O,6))*INDEX(IdxMP_O,1,6)*(1+P_dMat)/(1-P_Merma)+SUMIFS(Calculo!$F$26:$ES$26,Calculo!$F$14:$ES$14,6)*N(INDEX(INS_O,6))*INDEX(IdxOV_O,1,6)*(1+P_dMat)/(1-P_Merma)+SUMIFS(Calculo!$F$26:$ES$26,Calculo!$F$14:$ES$14,6)*N(INDEX(OV_O,6))*INDEX(IdxOV_O,1,6)*(1+P_dMat)/(1-P_Merma)),(SUMIFS(Calculo!$F$182:$ES$182,Calculo!$F$170:$ES$170,6)*N(INDEX(MP_V,6))*INDEX(IdxMP_V,1,6)*(1+V_dMat)/(1-V_Merma)+SUMIFS(Calculo!$F$182:$ES$182,Calculo!$F$170:$ES$170,6)*N(INDEX(INS_V,6))*INDEX(IdxOV_V,1,6)*(1+V_dMat)/(1-V_Merma)+SUMIFS(Calculo!$F$182:$ES$182,Calculo!$F$170:$ES$170,6)*N(INDEX(OV_V,6))*INDEX(IdxOV_V,1,6)*(1+V_dMat)/(1-V_Merma)))</f>
        <v>0</v>
      </c>
      <c r="K56" s="48" t="n">
        <f aca="false">IF(cu_P=1,(SUMIFS(Calculo!$F$26:$ES$26,Calculo!$F$14:$ES$14,7)*N(INDEX(MP_O,6))*INDEX(IdxMP_O,1,7)*(1+P_dMat)/(1-P_Merma)+SUMIFS(Calculo!$F$26:$ES$26,Calculo!$F$14:$ES$14,7)*N(INDEX(INS_O,6))*INDEX(IdxOV_O,1,7)*(1+P_dMat)/(1-P_Merma)+SUMIFS(Calculo!$F$26:$ES$26,Calculo!$F$14:$ES$14,7)*N(INDEX(OV_O,6))*INDEX(IdxOV_O,1,7)*(1+P_dMat)/(1-P_Merma)),(SUMIFS(Calculo!$F$182:$ES$182,Calculo!$F$170:$ES$170,7)*N(INDEX(MP_V,6))*INDEX(IdxMP_V,1,7)*(1+V_dMat)/(1-V_Merma)+SUMIFS(Calculo!$F$182:$ES$182,Calculo!$F$170:$ES$170,7)*N(INDEX(INS_V,6))*INDEX(IdxOV_V,1,7)*(1+V_dMat)/(1-V_Merma)+SUMIFS(Calculo!$F$182:$ES$182,Calculo!$F$170:$ES$170,7)*N(INDEX(OV_V,6))*INDEX(IdxOV_V,1,7)*(1+V_dMat)/(1-V_Merma)))</f>
        <v>0</v>
      </c>
      <c r="L56" s="48" t="n">
        <f aca="false">IF(cu_P=1,(SUMIFS(Calculo!$F$26:$ES$26,Calculo!$F$14:$ES$14,8)*N(INDEX(MP_O,6))*INDEX(IdxMP_O,1,8)*(1+P_dMat)/(1-P_Merma)+SUMIFS(Calculo!$F$26:$ES$26,Calculo!$F$14:$ES$14,8)*N(INDEX(INS_O,6))*INDEX(IdxOV_O,1,8)*(1+P_dMat)/(1-P_Merma)+SUMIFS(Calculo!$F$26:$ES$26,Calculo!$F$14:$ES$14,8)*N(INDEX(OV_O,6))*INDEX(IdxOV_O,1,8)*(1+P_dMat)/(1-P_Merma)),(SUMIFS(Calculo!$F$182:$ES$182,Calculo!$F$170:$ES$170,8)*N(INDEX(MP_V,6))*INDEX(IdxMP_V,1,8)*(1+V_dMat)/(1-V_Merma)+SUMIFS(Calculo!$F$182:$ES$182,Calculo!$F$170:$ES$170,8)*N(INDEX(INS_V,6))*INDEX(IdxOV_V,1,8)*(1+V_dMat)/(1-V_Merma)+SUMIFS(Calculo!$F$182:$ES$182,Calculo!$F$170:$ES$170,8)*N(INDEX(OV_V,6))*INDEX(IdxOV_V,1,8)*(1+V_dMat)/(1-V_Merma)))</f>
        <v>0</v>
      </c>
      <c r="M56" s="48" t="n">
        <f aca="false">IF(cu_P=1,(SUMIFS(Calculo!$F$26:$ES$26,Calculo!$F$14:$ES$14,9)*N(INDEX(MP_O,6))*INDEX(IdxMP_O,1,9)*(1+P_dMat)/(1-P_Merma)+SUMIFS(Calculo!$F$26:$ES$26,Calculo!$F$14:$ES$14,9)*N(INDEX(INS_O,6))*INDEX(IdxOV_O,1,9)*(1+P_dMat)/(1-P_Merma)+SUMIFS(Calculo!$F$26:$ES$26,Calculo!$F$14:$ES$14,9)*N(INDEX(OV_O,6))*INDEX(IdxOV_O,1,9)*(1+P_dMat)/(1-P_Merma)),(SUMIFS(Calculo!$F$182:$ES$182,Calculo!$F$170:$ES$170,9)*N(INDEX(MP_V,6))*INDEX(IdxMP_V,1,9)*(1+V_dMat)/(1-V_Merma)+SUMIFS(Calculo!$F$182:$ES$182,Calculo!$F$170:$ES$170,9)*N(INDEX(INS_V,6))*INDEX(IdxOV_V,1,9)*(1+V_dMat)/(1-V_Merma)+SUMIFS(Calculo!$F$182:$ES$182,Calculo!$F$170:$ES$170,9)*N(INDEX(OV_V,6))*INDEX(IdxOV_V,1,9)*(1+V_dMat)/(1-V_Merma)))</f>
        <v>0</v>
      </c>
      <c r="N56" s="48" t="n">
        <f aca="false">IF(cu_P=1,(SUMIFS(Calculo!$F$26:$ES$26,Calculo!$F$14:$ES$14,10)*N(INDEX(MP_O,6))*INDEX(IdxMP_O,1,10)*(1+P_dMat)/(1-P_Merma)+SUMIFS(Calculo!$F$26:$ES$26,Calculo!$F$14:$ES$14,10)*N(INDEX(INS_O,6))*INDEX(IdxOV_O,1,10)*(1+P_dMat)/(1-P_Merma)+SUMIFS(Calculo!$F$26:$ES$26,Calculo!$F$14:$ES$14,10)*N(INDEX(OV_O,6))*INDEX(IdxOV_O,1,10)*(1+P_dMat)/(1-P_Merma)),(SUMIFS(Calculo!$F$182:$ES$182,Calculo!$F$170:$ES$170,10)*N(INDEX(MP_V,6))*INDEX(IdxMP_V,1,10)*(1+V_dMat)/(1-V_Merma)+SUMIFS(Calculo!$F$182:$ES$182,Calculo!$F$170:$ES$170,10)*N(INDEX(INS_V,6))*INDEX(IdxOV_V,1,10)*(1+V_dMat)/(1-V_Merma)+SUMIFS(Calculo!$F$182:$ES$182,Calculo!$F$170:$ES$170,10)*N(INDEX(OV_V,6))*INDEX(IdxOV_V,1,10)*(1+V_dMat)/(1-V_Merma)))</f>
        <v>0</v>
      </c>
      <c r="O56" s="54" t="n">
        <f aca="false">SUM(D56:N56)</f>
        <v>0</v>
      </c>
    </row>
    <row r="57" customFormat="false" ht="15" hidden="true" customHeight="false" outlineLevel="1" collapsed="false">
      <c r="A57" s="11" t="s">
        <v>2418</v>
      </c>
      <c r="B57" s="15" t="s">
        <v>2366</v>
      </c>
      <c r="C57" s="11" t="s">
        <v>544</v>
      </c>
      <c r="D57" s="48" t="n">
        <f aca="false">IF(cu_P=1,SUMIFS(Calculo!$F$26:$ES$26,Calculo!$F$16:$ES$16,1),SUMIFS(Calculo!$F$182:$ES$182,Calculo!$F$172:$ES$172,1))</f>
        <v>0</v>
      </c>
      <c r="E57" s="48" t="n">
        <f aca="false">IF(cu_P=1,SUMIFS(Calculo!$F$26:$ES$26,Calculo!$F$14:$ES$14,1),SUMIFS(Calculo!$F$182:$ES$182,Calculo!$F$170:$ES$170,1))</f>
        <v>0</v>
      </c>
      <c r="F57" s="48" t="n">
        <f aca="false">IF(cu_P=1,SUMIFS(Calculo!$F$26:$ES$26,Calculo!$F$14:$ES$14,2),SUMIFS(Calculo!$F$182:$ES$182,Calculo!$F$170:$ES$170,2))</f>
        <v>0</v>
      </c>
      <c r="G57" s="48" t="n">
        <f aca="false">IF(cu_P=1,SUMIFS(Calculo!$F$26:$ES$26,Calculo!$F$14:$ES$14,3),SUMIFS(Calculo!$F$182:$ES$182,Calculo!$F$170:$ES$170,3))</f>
        <v>0</v>
      </c>
      <c r="H57" s="48" t="n">
        <f aca="false">IF(cu_P=1,SUMIFS(Calculo!$F$26:$ES$26,Calculo!$F$14:$ES$14,4),SUMIFS(Calculo!$F$182:$ES$182,Calculo!$F$170:$ES$170,4))</f>
        <v>0</v>
      </c>
      <c r="I57" s="48" t="n">
        <f aca="false">IF(cu_P=1,SUMIFS(Calculo!$F$26:$ES$26,Calculo!$F$14:$ES$14,5),SUMIFS(Calculo!$F$182:$ES$182,Calculo!$F$170:$ES$170,5))</f>
        <v>0</v>
      </c>
      <c r="J57" s="48" t="n">
        <f aca="false">IF(cu_P=1,SUMIFS(Calculo!$F$26:$ES$26,Calculo!$F$14:$ES$14,6),SUMIFS(Calculo!$F$182:$ES$182,Calculo!$F$170:$ES$170,6))</f>
        <v>0</v>
      </c>
      <c r="K57" s="48" t="n">
        <f aca="false">IF(cu_P=1,SUMIFS(Calculo!$F$26:$ES$26,Calculo!$F$14:$ES$14,7),SUMIFS(Calculo!$F$182:$ES$182,Calculo!$F$170:$ES$170,7))</f>
        <v>0</v>
      </c>
      <c r="L57" s="48" t="n">
        <f aca="false">IF(cu_P=1,SUMIFS(Calculo!$F$26:$ES$26,Calculo!$F$14:$ES$14,8),SUMIFS(Calculo!$F$182:$ES$182,Calculo!$F$170:$ES$170,8))</f>
        <v>0</v>
      </c>
      <c r="M57" s="48" t="n">
        <f aca="false">IF(cu_P=1,SUMIFS(Calculo!$F$26:$ES$26,Calculo!$F$14:$ES$14,9),SUMIFS(Calculo!$F$182:$ES$182,Calculo!$F$170:$ES$170,9))</f>
        <v>0</v>
      </c>
      <c r="N57" s="48" t="n">
        <f aca="false">IF(cu_P=1,SUMIFS(Calculo!$F$26:$ES$26,Calculo!$F$14:$ES$14,10),SUMIFS(Calculo!$F$182:$ES$182,Calculo!$F$170:$ES$170,10))</f>
        <v>0</v>
      </c>
      <c r="O57" s="54" t="n">
        <f aca="false">SUM(D57:N57)</f>
        <v>0</v>
      </c>
    </row>
    <row r="58" customFormat="false" ht="15" hidden="true" customHeight="false" outlineLevel="1" collapsed="false">
      <c r="A58" s="11" t="s">
        <v>2419</v>
      </c>
      <c r="B58" s="15" t="s">
        <v>2368</v>
      </c>
      <c r="C58" s="11" t="s">
        <v>508</v>
      </c>
      <c r="D58" s="48" t="n">
        <f aca="false">IF(cu_P=1,SUMIFS(Calculo!$F$51:$ES$51,Calculo!$F$16:$ES$16,1),SUMIFS(Calculo!$F$207:$ES$207,Calculo!$F$172:$ES$172,1))</f>
        <v>0</v>
      </c>
      <c r="E58" s="48" t="n">
        <f aca="false">IF(cu_P=1,SUMIFS(Calculo!$F$51:$ES$51,Calculo!$F$14:$ES$14,1),SUMIFS(Calculo!$F$207:$ES$207,Calculo!$F$170:$ES$170,1))</f>
        <v>0</v>
      </c>
      <c r="F58" s="48" t="n">
        <f aca="false">IF(cu_P=1,SUMIFS(Calculo!$F$51:$ES$51,Calculo!$F$14:$ES$14,2),SUMIFS(Calculo!$F$207:$ES$207,Calculo!$F$170:$ES$170,2))</f>
        <v>0</v>
      </c>
      <c r="G58" s="48" t="n">
        <f aca="false">IF(cu_P=1,SUMIFS(Calculo!$F$51:$ES$51,Calculo!$F$14:$ES$14,3),SUMIFS(Calculo!$F$207:$ES$207,Calculo!$F$170:$ES$170,3))</f>
        <v>0</v>
      </c>
      <c r="H58" s="48" t="n">
        <f aca="false">IF(cu_P=1,SUMIFS(Calculo!$F$51:$ES$51,Calculo!$F$14:$ES$14,4),SUMIFS(Calculo!$F$207:$ES$207,Calculo!$F$170:$ES$170,4))</f>
        <v>0</v>
      </c>
      <c r="I58" s="48" t="n">
        <f aca="false">IF(cu_P=1,SUMIFS(Calculo!$F$51:$ES$51,Calculo!$F$14:$ES$14,5),SUMIFS(Calculo!$F$207:$ES$207,Calculo!$F$170:$ES$170,5))</f>
        <v>0</v>
      </c>
      <c r="J58" s="48" t="n">
        <f aca="false">IF(cu_P=1,SUMIFS(Calculo!$F$51:$ES$51,Calculo!$F$14:$ES$14,6),SUMIFS(Calculo!$F$207:$ES$207,Calculo!$F$170:$ES$170,6))</f>
        <v>0</v>
      </c>
      <c r="K58" s="48" t="n">
        <f aca="false">IF(cu_P=1,SUMIFS(Calculo!$F$51:$ES$51,Calculo!$F$14:$ES$14,7),SUMIFS(Calculo!$F$207:$ES$207,Calculo!$F$170:$ES$170,7))</f>
        <v>0</v>
      </c>
      <c r="L58" s="48" t="n">
        <f aca="false">IF(cu_P=1,SUMIFS(Calculo!$F$51:$ES$51,Calculo!$F$14:$ES$14,8),SUMIFS(Calculo!$F$207:$ES$207,Calculo!$F$170:$ES$170,8))</f>
        <v>0</v>
      </c>
      <c r="M58" s="48" t="n">
        <f aca="false">IF(cu_P=1,SUMIFS(Calculo!$F$51:$ES$51,Calculo!$F$14:$ES$14,9),SUMIFS(Calculo!$F$207:$ES$207,Calculo!$F$170:$ES$170,9))</f>
        <v>0</v>
      </c>
      <c r="N58" s="48" t="n">
        <f aca="false">IF(cu_P=1,SUMIFS(Calculo!$F$51:$ES$51,Calculo!$F$14:$ES$14,10),SUMIFS(Calculo!$F$207:$ES$207,Calculo!$F$170:$ES$170,10))</f>
        <v>0</v>
      </c>
      <c r="O58" s="54" t="n">
        <f aca="false">SUM(D58:N58)</f>
        <v>0</v>
      </c>
    </row>
    <row r="59" customFormat="false" ht="15" hidden="true" customHeight="false" outlineLevel="1" collapsed="false">
      <c r="A59" s="11" t="s">
        <v>2420</v>
      </c>
      <c r="B59" s="15" t="s">
        <v>2370</v>
      </c>
      <c r="C59" s="11" t="s">
        <v>748</v>
      </c>
      <c r="D59" s="50" t="str">
        <f aca="false">IFERROR(IF(OR(NOT(ISNUMBER(D56)),N(D57)=0),"",D56/D57),"")</f>
        <v/>
      </c>
      <c r="E59" s="50" t="str">
        <f aca="false">IFERROR(IF(OR(NOT(ISNUMBER(E56)),N(E57)=0),"",E56/E57),"")</f>
        <v/>
      </c>
      <c r="F59" s="50" t="str">
        <f aca="false">IFERROR(IF(OR(NOT(ISNUMBER(F56)),N(F57)=0),"",F56/F57),"")</f>
        <v/>
      </c>
      <c r="G59" s="50" t="str">
        <f aca="false">IFERROR(IF(OR(NOT(ISNUMBER(G56)),N(G57)=0),"",G56/G57),"")</f>
        <v/>
      </c>
      <c r="H59" s="50" t="str">
        <f aca="false">IFERROR(IF(OR(NOT(ISNUMBER(H56)),N(H57)=0),"",H56/H57),"")</f>
        <v/>
      </c>
      <c r="I59" s="50" t="str">
        <f aca="false">IFERROR(IF(OR(NOT(ISNUMBER(I56)),N(I57)=0),"",I56/I57),"")</f>
        <v/>
      </c>
      <c r="J59" s="50" t="str">
        <f aca="false">IFERROR(IF(OR(NOT(ISNUMBER(J56)),N(J57)=0),"",J56/J57),"")</f>
        <v/>
      </c>
      <c r="K59" s="50" t="str">
        <f aca="false">IFERROR(IF(OR(NOT(ISNUMBER(K56)),N(K57)=0),"",K56/K57),"")</f>
        <v/>
      </c>
      <c r="L59" s="50" t="str">
        <f aca="false">IFERROR(IF(OR(NOT(ISNUMBER(L56)),N(L57)=0),"",L56/L57),"")</f>
        <v/>
      </c>
      <c r="M59" s="50" t="str">
        <f aca="false">IFERROR(IF(OR(NOT(ISNUMBER(M56)),N(M57)=0),"",M56/M57),"")</f>
        <v/>
      </c>
      <c r="N59" s="50" t="str">
        <f aca="false">IFERROR(IF(OR(NOT(ISNUMBER(N56)),N(N57)=0),"",N56/N57),"")</f>
        <v/>
      </c>
      <c r="O59" s="68" t="str">
        <f aca="false">IFERROR(IF(OR(NOT(ISNUMBER(O56)),N(O57)=0),"",O56/O57),"")</f>
        <v/>
      </c>
    </row>
    <row r="60" customFormat="false" ht="15" hidden="true" customHeight="false" outlineLevel="1" collapsed="false">
      <c r="A60" s="11" t="s">
        <v>2421</v>
      </c>
      <c r="B60" s="15" t="s">
        <v>2372</v>
      </c>
      <c r="C60" s="11" t="s">
        <v>748</v>
      </c>
      <c r="D60" s="50" t="str">
        <f aca="false">IFERROR(IF(N(D57)=0,"",(D58-D56)/D57),"")</f>
        <v/>
      </c>
      <c r="E60" s="50" t="str">
        <f aca="false">IFERROR(IF(N(E57)=0,"",(E58-E56)/E57),"")</f>
        <v/>
      </c>
      <c r="F60" s="50" t="str">
        <f aca="false">IFERROR(IF(N(F57)=0,"",(F58-F56)/F57),"")</f>
        <v/>
      </c>
      <c r="G60" s="50" t="str">
        <f aca="false">IFERROR(IF(N(G57)=0,"",(G58-G56)/G57),"")</f>
        <v/>
      </c>
      <c r="H60" s="50" t="str">
        <f aca="false">IFERROR(IF(N(H57)=0,"",(H58-H56)/H57),"")</f>
        <v/>
      </c>
      <c r="I60" s="50" t="str">
        <f aca="false">IFERROR(IF(N(I57)=0,"",(I58-I56)/I57),"")</f>
        <v/>
      </c>
      <c r="J60" s="50" t="str">
        <f aca="false">IFERROR(IF(N(J57)=0,"",(J58-J56)/J57),"")</f>
        <v/>
      </c>
      <c r="K60" s="50" t="str">
        <f aca="false">IFERROR(IF(N(K57)=0,"",(K58-K56)/K57),"")</f>
        <v/>
      </c>
      <c r="L60" s="50" t="str">
        <f aca="false">IFERROR(IF(N(L57)=0,"",(L58-L56)/L57),"")</f>
        <v/>
      </c>
      <c r="M60" s="50" t="str">
        <f aca="false">IFERROR(IF(N(M57)=0,"",(M58-M56)/M57),"")</f>
        <v/>
      </c>
      <c r="N60" s="50" t="str">
        <f aca="false">IFERROR(IF(N(N57)=0,"",(N58-N56)/N57),"")</f>
        <v/>
      </c>
      <c r="O60" s="68" t="str">
        <f aca="false">IFERROR(IF(N(O57)=0,"",(O58-O56)/O57),"")</f>
        <v/>
      </c>
    </row>
    <row r="61" customFormat="false" ht="15" hidden="true" customHeight="false" outlineLevel="1" collapsed="false">
      <c r="A61" s="11" t="s">
        <v>2422</v>
      </c>
      <c r="B61" s="15" t="s">
        <v>2374</v>
      </c>
      <c r="C61" s="11" t="s">
        <v>367</v>
      </c>
      <c r="D61" s="49" t="str">
        <f aca="false">IFERROR(IF(N(D58)=0,"",1-D56/D58),"")</f>
        <v/>
      </c>
      <c r="E61" s="49" t="str">
        <f aca="false">IFERROR(IF(N(E58)=0,"",1-E56/E58),"")</f>
        <v/>
      </c>
      <c r="F61" s="49" t="str">
        <f aca="false">IFERROR(IF(N(F58)=0,"",1-F56/F58),"")</f>
        <v/>
      </c>
      <c r="G61" s="49" t="str">
        <f aca="false">IFERROR(IF(N(G58)=0,"",1-G56/G58),"")</f>
        <v/>
      </c>
      <c r="H61" s="49" t="str">
        <f aca="false">IFERROR(IF(N(H58)=0,"",1-H56/H58),"")</f>
        <v/>
      </c>
      <c r="I61" s="49" t="str">
        <f aca="false">IFERROR(IF(N(I58)=0,"",1-I56/I58),"")</f>
        <v/>
      </c>
      <c r="J61" s="49" t="str">
        <f aca="false">IFERROR(IF(N(J58)=0,"",1-J56/J58),"")</f>
        <v/>
      </c>
      <c r="K61" s="49" t="str">
        <f aca="false">IFERROR(IF(N(K58)=0,"",1-K56/K58),"")</f>
        <v/>
      </c>
      <c r="L61" s="49" t="str">
        <f aca="false">IFERROR(IF(N(L58)=0,"",1-L56/L58),"")</f>
        <v/>
      </c>
      <c r="M61" s="49" t="str">
        <f aca="false">IFERROR(IF(N(M58)=0,"",1-M56/M58),"")</f>
        <v/>
      </c>
      <c r="N61" s="49" t="str">
        <f aca="false">IFERROR(IF(N(N58)=0,"",1-N56/N58),"")</f>
        <v/>
      </c>
      <c r="O61" s="99" t="str">
        <f aca="false">IFERROR(IF(N(O58)=0,"",1-O56/O58),"")</f>
        <v/>
      </c>
    </row>
    <row r="62" customFormat="false" ht="15" hidden="true" customHeight="false" outlineLevel="1" collapsed="false">
      <c r="A62" s="11" t="s">
        <v>2423</v>
      </c>
      <c r="B62" s="15" t="s">
        <v>2376</v>
      </c>
      <c r="C62" s="11" t="s">
        <v>508</v>
      </c>
      <c r="D62" s="48" t="str">
        <f aca="false">IFERROR(IF(OR(NOT(ISNUMBER(D56)),N(D9)=0),"",D10*D56/D9),"")</f>
        <v/>
      </c>
      <c r="E62" s="48" t="n">
        <f aca="false">IFERROR(IF(OR(NOT(ISNUMBER(E56)),N(E9)=0),"",E10*E56/E9),"")</f>
        <v>0</v>
      </c>
      <c r="F62" s="48" t="n">
        <f aca="false">IFERROR(IF(OR(NOT(ISNUMBER(F56)),N(F9)=0),"",F10*F56/F9),"")</f>
        <v>0</v>
      </c>
      <c r="G62" s="48" t="n">
        <f aca="false">IFERROR(IF(OR(NOT(ISNUMBER(G56)),N(G9)=0),"",G10*G56/G9),"")</f>
        <v>0</v>
      </c>
      <c r="H62" s="48" t="n">
        <f aca="false">IFERROR(IF(OR(NOT(ISNUMBER(H56)),N(H9)=0),"",H10*H56/H9),"")</f>
        <v>0</v>
      </c>
      <c r="I62" s="48" t="n">
        <f aca="false">IFERROR(IF(OR(NOT(ISNUMBER(I56)),N(I9)=0),"",I10*I56/I9),"")</f>
        <v>0</v>
      </c>
      <c r="J62" s="48" t="n">
        <f aca="false">IFERROR(IF(OR(NOT(ISNUMBER(J56)),N(J9)=0),"",J10*J56/J9),"")</f>
        <v>0</v>
      </c>
      <c r="K62" s="48" t="n">
        <f aca="false">IFERROR(IF(OR(NOT(ISNUMBER(K56)),N(K9)=0),"",K10*K56/K9),"")</f>
        <v>0</v>
      </c>
      <c r="L62" s="48" t="n">
        <f aca="false">IFERROR(IF(OR(NOT(ISNUMBER(L56)),N(L9)=0),"",L10*L56/L9),"")</f>
        <v>0</v>
      </c>
      <c r="M62" s="48" t="n">
        <f aca="false">IFERROR(IF(OR(NOT(ISNUMBER(M56)),N(M9)=0),"",M10*M56/M9),"")</f>
        <v>0</v>
      </c>
      <c r="N62" s="48" t="n">
        <f aca="false">IFERROR(IF(OR(NOT(ISNUMBER(N56)),N(N9)=0),"",N10*N56/N9),"")</f>
        <v>0</v>
      </c>
      <c r="O62" s="54" t="n">
        <f aca="false">SUM(D62:N62)</f>
        <v>0</v>
      </c>
    </row>
    <row r="63" customFormat="false" ht="15" hidden="true" customHeight="false" outlineLevel="1" collapsed="false">
      <c r="A63" s="11" t="s">
        <v>2424</v>
      </c>
      <c r="B63" s="15" t="s">
        <v>2378</v>
      </c>
      <c r="C63" s="11" t="s">
        <v>508</v>
      </c>
      <c r="D63" s="48" t="n">
        <f aca="false">IFERROR(IF(COUNT(D56,D62)=0,"",N(D56)+N(D62)),"")</f>
        <v>0</v>
      </c>
      <c r="E63" s="48" t="n">
        <f aca="false">IFERROR(IF(COUNT(E56,E62)=0,"",N(E56)+N(E62)),"")</f>
        <v>0</v>
      </c>
      <c r="F63" s="48" t="n">
        <f aca="false">IFERROR(IF(COUNT(F56,F62)=0,"",N(F56)+N(F62)),"")</f>
        <v>0</v>
      </c>
      <c r="G63" s="48" t="n">
        <f aca="false">IFERROR(IF(COUNT(G56,G62)=0,"",N(G56)+N(G62)),"")</f>
        <v>0</v>
      </c>
      <c r="H63" s="48" t="n">
        <f aca="false">IFERROR(IF(COUNT(H56,H62)=0,"",N(H56)+N(H62)),"")</f>
        <v>0</v>
      </c>
      <c r="I63" s="48" t="n">
        <f aca="false">IFERROR(IF(COUNT(I56,I62)=0,"",N(I56)+N(I62)),"")</f>
        <v>0</v>
      </c>
      <c r="J63" s="48" t="n">
        <f aca="false">IFERROR(IF(COUNT(J56,J62)=0,"",N(J56)+N(J62)),"")</f>
        <v>0</v>
      </c>
      <c r="K63" s="48" t="n">
        <f aca="false">IFERROR(IF(COUNT(K56,K62)=0,"",N(K56)+N(K62)),"")</f>
        <v>0</v>
      </c>
      <c r="L63" s="48" t="n">
        <f aca="false">IFERROR(IF(COUNT(L56,L62)=0,"",N(L56)+N(L62)),"")</f>
        <v>0</v>
      </c>
      <c r="M63" s="48" t="n">
        <f aca="false">IFERROR(IF(COUNT(M56,M62)=0,"",N(M56)+N(M62)),"")</f>
        <v>0</v>
      </c>
      <c r="N63" s="48" t="n">
        <f aca="false">IFERROR(IF(COUNT(N56,N62)=0,"",N(N56)+N(N62)),"")</f>
        <v>0</v>
      </c>
      <c r="O63" s="54" t="n">
        <f aca="false">SUM(D63:N63)</f>
        <v>0</v>
      </c>
    </row>
    <row r="64" customFormat="false" ht="15" hidden="true" customHeight="false" outlineLevel="1" collapsed="false">
      <c r="A64" s="11" t="s">
        <v>2425</v>
      </c>
      <c r="B64" s="15" t="s">
        <v>2380</v>
      </c>
      <c r="C64" s="11" t="s">
        <v>748</v>
      </c>
      <c r="D64" s="50" t="str">
        <f aca="false">IFERROR(IF(OR(NOT(ISNUMBER(D63)),N(D57)=0),"",D63/D57),"")</f>
        <v/>
      </c>
      <c r="E64" s="50" t="str">
        <f aca="false">IFERROR(IF(OR(NOT(ISNUMBER(E63)),N(E57)=0),"",E63/E57),"")</f>
        <v/>
      </c>
      <c r="F64" s="50" t="str">
        <f aca="false">IFERROR(IF(OR(NOT(ISNUMBER(F63)),N(F57)=0),"",F63/F57),"")</f>
        <v/>
      </c>
      <c r="G64" s="50" t="str">
        <f aca="false">IFERROR(IF(OR(NOT(ISNUMBER(G63)),N(G57)=0),"",G63/G57),"")</f>
        <v/>
      </c>
      <c r="H64" s="50" t="str">
        <f aca="false">IFERROR(IF(OR(NOT(ISNUMBER(H63)),N(H57)=0),"",H63/H57),"")</f>
        <v/>
      </c>
      <c r="I64" s="50" t="str">
        <f aca="false">IFERROR(IF(OR(NOT(ISNUMBER(I63)),N(I57)=0),"",I63/I57),"")</f>
        <v/>
      </c>
      <c r="J64" s="50" t="str">
        <f aca="false">IFERROR(IF(OR(NOT(ISNUMBER(J63)),N(J57)=0),"",J63/J57),"")</f>
        <v/>
      </c>
      <c r="K64" s="50" t="str">
        <f aca="false">IFERROR(IF(OR(NOT(ISNUMBER(K63)),N(K57)=0),"",K63/K57),"")</f>
        <v/>
      </c>
      <c r="L64" s="50" t="str">
        <f aca="false">IFERROR(IF(OR(NOT(ISNUMBER(L63)),N(L57)=0),"",L63/L57),"")</f>
        <v/>
      </c>
      <c r="M64" s="50" t="str">
        <f aca="false">IFERROR(IF(OR(NOT(ISNUMBER(M63)),N(M57)=0),"",M63/M57),"")</f>
        <v/>
      </c>
      <c r="N64" s="50" t="str">
        <f aca="false">IFERROR(IF(OR(NOT(ISNUMBER(N63)),N(N57)=0),"",N63/N57),"")</f>
        <v/>
      </c>
      <c r="O64" s="68" t="str">
        <f aca="false">IFERROR(IF(OR(NOT(ISNUMBER(O63)),N(O57)=0),"",O63/O57),"")</f>
        <v/>
      </c>
    </row>
    <row r="65" customFormat="false" ht="15" hidden="true" customHeight="false" outlineLevel="1" collapsed="false">
      <c r="A65" s="11" t="s">
        <v>2426</v>
      </c>
      <c r="B65" s="53" t="str">
        <f aca="false">IF(INDEX(Prod_Nombre,7)="","Producto 7",INDEX(Prod_Nombre,7))&amp;" — costo directo"</f>
        <v>Producto 7 — costo directo</v>
      </c>
      <c r="C65" s="11" t="s">
        <v>508</v>
      </c>
      <c r="D65" s="48" t="n">
        <f aca="false">IF(cu_P=1,(SUMIFS(Calculo!$F$27:$ES$27,Calculo!$F$16:$ES$16,1)*N(INDEX(MP_O,7))*INDEX(IdxMP_O,1,1)*(1+P_dMat)/(1-P_Merma)+SUMIFS(Calculo!$F$27:$ES$27,Calculo!$F$16:$ES$16,1)*N(INDEX(INS_O,7))*INDEX(IdxOV_O,1,1)*(1+P_dMat)/(1-P_Merma)+SUMIFS(Calculo!$F$27:$ES$27,Calculo!$F$16:$ES$16,1)*N(INDEX(OV_O,7))*INDEX(IdxOV_O,1,1)*(1+P_dMat)/(1-P_Merma)),(SUMIFS(Calculo!$F$183:$ES$183,Calculo!$F$172:$ES$172,1)*N(INDEX(MP_V,7))*INDEX(IdxMP_V,1,1)*(1+V_dMat)/(1-V_Merma)+SUMIFS(Calculo!$F$183:$ES$183,Calculo!$F$172:$ES$172,1)*N(INDEX(INS_V,7))*INDEX(IdxOV_V,1,1)*(1+V_dMat)/(1-V_Merma)+SUMIFS(Calculo!$F$183:$ES$183,Calculo!$F$172:$ES$172,1)*N(INDEX(OV_V,7))*INDEX(IdxOV_V,1,1)*(1+V_dMat)/(1-V_Merma)))</f>
        <v>0</v>
      </c>
      <c r="E65" s="48" t="n">
        <f aca="false">IF(cu_P=1,(SUMIFS(Calculo!$F$27:$ES$27,Calculo!$F$14:$ES$14,1)*N(INDEX(MP_O,7))*INDEX(IdxMP_O,1,1)*(1+P_dMat)/(1-P_Merma)+SUMIFS(Calculo!$F$27:$ES$27,Calculo!$F$14:$ES$14,1)*N(INDEX(INS_O,7))*INDEX(IdxOV_O,1,1)*(1+P_dMat)/(1-P_Merma)+SUMIFS(Calculo!$F$27:$ES$27,Calculo!$F$14:$ES$14,1)*N(INDEX(OV_O,7))*INDEX(IdxOV_O,1,1)*(1+P_dMat)/(1-P_Merma)),(SUMIFS(Calculo!$F$183:$ES$183,Calculo!$F$170:$ES$170,1)*N(INDEX(MP_V,7))*INDEX(IdxMP_V,1,1)*(1+V_dMat)/(1-V_Merma)+SUMIFS(Calculo!$F$183:$ES$183,Calculo!$F$170:$ES$170,1)*N(INDEX(INS_V,7))*INDEX(IdxOV_V,1,1)*(1+V_dMat)/(1-V_Merma)+SUMIFS(Calculo!$F$183:$ES$183,Calculo!$F$170:$ES$170,1)*N(INDEX(OV_V,7))*INDEX(IdxOV_V,1,1)*(1+V_dMat)/(1-V_Merma)))</f>
        <v>0</v>
      </c>
      <c r="F65" s="48" t="n">
        <f aca="false">IF(cu_P=1,(SUMIFS(Calculo!$F$27:$ES$27,Calculo!$F$14:$ES$14,2)*N(INDEX(MP_O,7))*INDEX(IdxMP_O,1,2)*(1+P_dMat)/(1-P_Merma)+SUMIFS(Calculo!$F$27:$ES$27,Calculo!$F$14:$ES$14,2)*N(INDEX(INS_O,7))*INDEX(IdxOV_O,1,2)*(1+P_dMat)/(1-P_Merma)+SUMIFS(Calculo!$F$27:$ES$27,Calculo!$F$14:$ES$14,2)*N(INDEX(OV_O,7))*INDEX(IdxOV_O,1,2)*(1+P_dMat)/(1-P_Merma)),(SUMIFS(Calculo!$F$183:$ES$183,Calculo!$F$170:$ES$170,2)*N(INDEX(MP_V,7))*INDEX(IdxMP_V,1,2)*(1+V_dMat)/(1-V_Merma)+SUMIFS(Calculo!$F$183:$ES$183,Calculo!$F$170:$ES$170,2)*N(INDEX(INS_V,7))*INDEX(IdxOV_V,1,2)*(1+V_dMat)/(1-V_Merma)+SUMIFS(Calculo!$F$183:$ES$183,Calculo!$F$170:$ES$170,2)*N(INDEX(OV_V,7))*INDEX(IdxOV_V,1,2)*(1+V_dMat)/(1-V_Merma)))</f>
        <v>0</v>
      </c>
      <c r="G65" s="48" t="n">
        <f aca="false">IF(cu_P=1,(SUMIFS(Calculo!$F$27:$ES$27,Calculo!$F$14:$ES$14,3)*N(INDEX(MP_O,7))*INDEX(IdxMP_O,1,3)*(1+P_dMat)/(1-P_Merma)+SUMIFS(Calculo!$F$27:$ES$27,Calculo!$F$14:$ES$14,3)*N(INDEX(INS_O,7))*INDEX(IdxOV_O,1,3)*(1+P_dMat)/(1-P_Merma)+SUMIFS(Calculo!$F$27:$ES$27,Calculo!$F$14:$ES$14,3)*N(INDEX(OV_O,7))*INDEX(IdxOV_O,1,3)*(1+P_dMat)/(1-P_Merma)),(SUMIFS(Calculo!$F$183:$ES$183,Calculo!$F$170:$ES$170,3)*N(INDEX(MP_V,7))*INDEX(IdxMP_V,1,3)*(1+V_dMat)/(1-V_Merma)+SUMIFS(Calculo!$F$183:$ES$183,Calculo!$F$170:$ES$170,3)*N(INDEX(INS_V,7))*INDEX(IdxOV_V,1,3)*(1+V_dMat)/(1-V_Merma)+SUMIFS(Calculo!$F$183:$ES$183,Calculo!$F$170:$ES$170,3)*N(INDEX(OV_V,7))*INDEX(IdxOV_V,1,3)*(1+V_dMat)/(1-V_Merma)))</f>
        <v>0</v>
      </c>
      <c r="H65" s="48" t="n">
        <f aca="false">IF(cu_P=1,(SUMIFS(Calculo!$F$27:$ES$27,Calculo!$F$14:$ES$14,4)*N(INDEX(MP_O,7))*INDEX(IdxMP_O,1,4)*(1+P_dMat)/(1-P_Merma)+SUMIFS(Calculo!$F$27:$ES$27,Calculo!$F$14:$ES$14,4)*N(INDEX(INS_O,7))*INDEX(IdxOV_O,1,4)*(1+P_dMat)/(1-P_Merma)+SUMIFS(Calculo!$F$27:$ES$27,Calculo!$F$14:$ES$14,4)*N(INDEX(OV_O,7))*INDEX(IdxOV_O,1,4)*(1+P_dMat)/(1-P_Merma)),(SUMIFS(Calculo!$F$183:$ES$183,Calculo!$F$170:$ES$170,4)*N(INDEX(MP_V,7))*INDEX(IdxMP_V,1,4)*(1+V_dMat)/(1-V_Merma)+SUMIFS(Calculo!$F$183:$ES$183,Calculo!$F$170:$ES$170,4)*N(INDEX(INS_V,7))*INDEX(IdxOV_V,1,4)*(1+V_dMat)/(1-V_Merma)+SUMIFS(Calculo!$F$183:$ES$183,Calculo!$F$170:$ES$170,4)*N(INDEX(OV_V,7))*INDEX(IdxOV_V,1,4)*(1+V_dMat)/(1-V_Merma)))</f>
        <v>0</v>
      </c>
      <c r="I65" s="48" t="n">
        <f aca="false">IF(cu_P=1,(SUMIFS(Calculo!$F$27:$ES$27,Calculo!$F$14:$ES$14,5)*N(INDEX(MP_O,7))*INDEX(IdxMP_O,1,5)*(1+P_dMat)/(1-P_Merma)+SUMIFS(Calculo!$F$27:$ES$27,Calculo!$F$14:$ES$14,5)*N(INDEX(INS_O,7))*INDEX(IdxOV_O,1,5)*(1+P_dMat)/(1-P_Merma)+SUMIFS(Calculo!$F$27:$ES$27,Calculo!$F$14:$ES$14,5)*N(INDEX(OV_O,7))*INDEX(IdxOV_O,1,5)*(1+P_dMat)/(1-P_Merma)),(SUMIFS(Calculo!$F$183:$ES$183,Calculo!$F$170:$ES$170,5)*N(INDEX(MP_V,7))*INDEX(IdxMP_V,1,5)*(1+V_dMat)/(1-V_Merma)+SUMIFS(Calculo!$F$183:$ES$183,Calculo!$F$170:$ES$170,5)*N(INDEX(INS_V,7))*INDEX(IdxOV_V,1,5)*(1+V_dMat)/(1-V_Merma)+SUMIFS(Calculo!$F$183:$ES$183,Calculo!$F$170:$ES$170,5)*N(INDEX(OV_V,7))*INDEX(IdxOV_V,1,5)*(1+V_dMat)/(1-V_Merma)))</f>
        <v>0</v>
      </c>
      <c r="J65" s="48" t="n">
        <f aca="false">IF(cu_P=1,(SUMIFS(Calculo!$F$27:$ES$27,Calculo!$F$14:$ES$14,6)*N(INDEX(MP_O,7))*INDEX(IdxMP_O,1,6)*(1+P_dMat)/(1-P_Merma)+SUMIFS(Calculo!$F$27:$ES$27,Calculo!$F$14:$ES$14,6)*N(INDEX(INS_O,7))*INDEX(IdxOV_O,1,6)*(1+P_dMat)/(1-P_Merma)+SUMIFS(Calculo!$F$27:$ES$27,Calculo!$F$14:$ES$14,6)*N(INDEX(OV_O,7))*INDEX(IdxOV_O,1,6)*(1+P_dMat)/(1-P_Merma)),(SUMIFS(Calculo!$F$183:$ES$183,Calculo!$F$170:$ES$170,6)*N(INDEX(MP_V,7))*INDEX(IdxMP_V,1,6)*(1+V_dMat)/(1-V_Merma)+SUMIFS(Calculo!$F$183:$ES$183,Calculo!$F$170:$ES$170,6)*N(INDEX(INS_V,7))*INDEX(IdxOV_V,1,6)*(1+V_dMat)/(1-V_Merma)+SUMIFS(Calculo!$F$183:$ES$183,Calculo!$F$170:$ES$170,6)*N(INDEX(OV_V,7))*INDEX(IdxOV_V,1,6)*(1+V_dMat)/(1-V_Merma)))</f>
        <v>0</v>
      </c>
      <c r="K65" s="48" t="n">
        <f aca="false">IF(cu_P=1,(SUMIFS(Calculo!$F$27:$ES$27,Calculo!$F$14:$ES$14,7)*N(INDEX(MP_O,7))*INDEX(IdxMP_O,1,7)*(1+P_dMat)/(1-P_Merma)+SUMIFS(Calculo!$F$27:$ES$27,Calculo!$F$14:$ES$14,7)*N(INDEX(INS_O,7))*INDEX(IdxOV_O,1,7)*(1+P_dMat)/(1-P_Merma)+SUMIFS(Calculo!$F$27:$ES$27,Calculo!$F$14:$ES$14,7)*N(INDEX(OV_O,7))*INDEX(IdxOV_O,1,7)*(1+P_dMat)/(1-P_Merma)),(SUMIFS(Calculo!$F$183:$ES$183,Calculo!$F$170:$ES$170,7)*N(INDEX(MP_V,7))*INDEX(IdxMP_V,1,7)*(1+V_dMat)/(1-V_Merma)+SUMIFS(Calculo!$F$183:$ES$183,Calculo!$F$170:$ES$170,7)*N(INDEX(INS_V,7))*INDEX(IdxOV_V,1,7)*(1+V_dMat)/(1-V_Merma)+SUMIFS(Calculo!$F$183:$ES$183,Calculo!$F$170:$ES$170,7)*N(INDEX(OV_V,7))*INDEX(IdxOV_V,1,7)*(1+V_dMat)/(1-V_Merma)))</f>
        <v>0</v>
      </c>
      <c r="L65" s="48" t="n">
        <f aca="false">IF(cu_P=1,(SUMIFS(Calculo!$F$27:$ES$27,Calculo!$F$14:$ES$14,8)*N(INDEX(MP_O,7))*INDEX(IdxMP_O,1,8)*(1+P_dMat)/(1-P_Merma)+SUMIFS(Calculo!$F$27:$ES$27,Calculo!$F$14:$ES$14,8)*N(INDEX(INS_O,7))*INDEX(IdxOV_O,1,8)*(1+P_dMat)/(1-P_Merma)+SUMIFS(Calculo!$F$27:$ES$27,Calculo!$F$14:$ES$14,8)*N(INDEX(OV_O,7))*INDEX(IdxOV_O,1,8)*(1+P_dMat)/(1-P_Merma)),(SUMIFS(Calculo!$F$183:$ES$183,Calculo!$F$170:$ES$170,8)*N(INDEX(MP_V,7))*INDEX(IdxMP_V,1,8)*(1+V_dMat)/(1-V_Merma)+SUMIFS(Calculo!$F$183:$ES$183,Calculo!$F$170:$ES$170,8)*N(INDEX(INS_V,7))*INDEX(IdxOV_V,1,8)*(1+V_dMat)/(1-V_Merma)+SUMIFS(Calculo!$F$183:$ES$183,Calculo!$F$170:$ES$170,8)*N(INDEX(OV_V,7))*INDEX(IdxOV_V,1,8)*(1+V_dMat)/(1-V_Merma)))</f>
        <v>0</v>
      </c>
      <c r="M65" s="48" t="n">
        <f aca="false">IF(cu_P=1,(SUMIFS(Calculo!$F$27:$ES$27,Calculo!$F$14:$ES$14,9)*N(INDEX(MP_O,7))*INDEX(IdxMP_O,1,9)*(1+P_dMat)/(1-P_Merma)+SUMIFS(Calculo!$F$27:$ES$27,Calculo!$F$14:$ES$14,9)*N(INDEX(INS_O,7))*INDEX(IdxOV_O,1,9)*(1+P_dMat)/(1-P_Merma)+SUMIFS(Calculo!$F$27:$ES$27,Calculo!$F$14:$ES$14,9)*N(INDEX(OV_O,7))*INDEX(IdxOV_O,1,9)*(1+P_dMat)/(1-P_Merma)),(SUMIFS(Calculo!$F$183:$ES$183,Calculo!$F$170:$ES$170,9)*N(INDEX(MP_V,7))*INDEX(IdxMP_V,1,9)*(1+V_dMat)/(1-V_Merma)+SUMIFS(Calculo!$F$183:$ES$183,Calculo!$F$170:$ES$170,9)*N(INDEX(INS_V,7))*INDEX(IdxOV_V,1,9)*(1+V_dMat)/(1-V_Merma)+SUMIFS(Calculo!$F$183:$ES$183,Calculo!$F$170:$ES$170,9)*N(INDEX(OV_V,7))*INDEX(IdxOV_V,1,9)*(1+V_dMat)/(1-V_Merma)))</f>
        <v>0</v>
      </c>
      <c r="N65" s="48" t="n">
        <f aca="false">IF(cu_P=1,(SUMIFS(Calculo!$F$27:$ES$27,Calculo!$F$14:$ES$14,10)*N(INDEX(MP_O,7))*INDEX(IdxMP_O,1,10)*(1+P_dMat)/(1-P_Merma)+SUMIFS(Calculo!$F$27:$ES$27,Calculo!$F$14:$ES$14,10)*N(INDEX(INS_O,7))*INDEX(IdxOV_O,1,10)*(1+P_dMat)/(1-P_Merma)+SUMIFS(Calculo!$F$27:$ES$27,Calculo!$F$14:$ES$14,10)*N(INDEX(OV_O,7))*INDEX(IdxOV_O,1,10)*(1+P_dMat)/(1-P_Merma)),(SUMIFS(Calculo!$F$183:$ES$183,Calculo!$F$170:$ES$170,10)*N(INDEX(MP_V,7))*INDEX(IdxMP_V,1,10)*(1+V_dMat)/(1-V_Merma)+SUMIFS(Calculo!$F$183:$ES$183,Calculo!$F$170:$ES$170,10)*N(INDEX(INS_V,7))*INDEX(IdxOV_V,1,10)*(1+V_dMat)/(1-V_Merma)+SUMIFS(Calculo!$F$183:$ES$183,Calculo!$F$170:$ES$170,10)*N(INDEX(OV_V,7))*INDEX(IdxOV_V,1,10)*(1+V_dMat)/(1-V_Merma)))</f>
        <v>0</v>
      </c>
      <c r="O65" s="54" t="n">
        <f aca="false">SUM(D65:N65)</f>
        <v>0</v>
      </c>
    </row>
    <row r="66" customFormat="false" ht="15" hidden="true" customHeight="false" outlineLevel="1" collapsed="false">
      <c r="A66" s="11" t="s">
        <v>2427</v>
      </c>
      <c r="B66" s="15" t="s">
        <v>2366</v>
      </c>
      <c r="C66" s="11" t="s">
        <v>544</v>
      </c>
      <c r="D66" s="48" t="n">
        <f aca="false">IF(cu_P=1,SUMIFS(Calculo!$F$27:$ES$27,Calculo!$F$16:$ES$16,1),SUMIFS(Calculo!$F$183:$ES$183,Calculo!$F$172:$ES$172,1))</f>
        <v>0</v>
      </c>
      <c r="E66" s="48" t="n">
        <f aca="false">IF(cu_P=1,SUMIFS(Calculo!$F$27:$ES$27,Calculo!$F$14:$ES$14,1),SUMIFS(Calculo!$F$183:$ES$183,Calculo!$F$170:$ES$170,1))</f>
        <v>0</v>
      </c>
      <c r="F66" s="48" t="n">
        <f aca="false">IF(cu_P=1,SUMIFS(Calculo!$F$27:$ES$27,Calculo!$F$14:$ES$14,2),SUMIFS(Calculo!$F$183:$ES$183,Calculo!$F$170:$ES$170,2))</f>
        <v>0</v>
      </c>
      <c r="G66" s="48" t="n">
        <f aca="false">IF(cu_P=1,SUMIFS(Calculo!$F$27:$ES$27,Calculo!$F$14:$ES$14,3),SUMIFS(Calculo!$F$183:$ES$183,Calculo!$F$170:$ES$170,3))</f>
        <v>0</v>
      </c>
      <c r="H66" s="48" t="n">
        <f aca="false">IF(cu_P=1,SUMIFS(Calculo!$F$27:$ES$27,Calculo!$F$14:$ES$14,4),SUMIFS(Calculo!$F$183:$ES$183,Calculo!$F$170:$ES$170,4))</f>
        <v>0</v>
      </c>
      <c r="I66" s="48" t="n">
        <f aca="false">IF(cu_P=1,SUMIFS(Calculo!$F$27:$ES$27,Calculo!$F$14:$ES$14,5),SUMIFS(Calculo!$F$183:$ES$183,Calculo!$F$170:$ES$170,5))</f>
        <v>0</v>
      </c>
      <c r="J66" s="48" t="n">
        <f aca="false">IF(cu_P=1,SUMIFS(Calculo!$F$27:$ES$27,Calculo!$F$14:$ES$14,6),SUMIFS(Calculo!$F$183:$ES$183,Calculo!$F$170:$ES$170,6))</f>
        <v>0</v>
      </c>
      <c r="K66" s="48" t="n">
        <f aca="false">IF(cu_P=1,SUMIFS(Calculo!$F$27:$ES$27,Calculo!$F$14:$ES$14,7),SUMIFS(Calculo!$F$183:$ES$183,Calculo!$F$170:$ES$170,7))</f>
        <v>0</v>
      </c>
      <c r="L66" s="48" t="n">
        <f aca="false">IF(cu_P=1,SUMIFS(Calculo!$F$27:$ES$27,Calculo!$F$14:$ES$14,8),SUMIFS(Calculo!$F$183:$ES$183,Calculo!$F$170:$ES$170,8))</f>
        <v>0</v>
      </c>
      <c r="M66" s="48" t="n">
        <f aca="false">IF(cu_P=1,SUMIFS(Calculo!$F$27:$ES$27,Calculo!$F$14:$ES$14,9),SUMIFS(Calculo!$F$183:$ES$183,Calculo!$F$170:$ES$170,9))</f>
        <v>0</v>
      </c>
      <c r="N66" s="48" t="n">
        <f aca="false">IF(cu_P=1,SUMIFS(Calculo!$F$27:$ES$27,Calculo!$F$14:$ES$14,10),SUMIFS(Calculo!$F$183:$ES$183,Calculo!$F$170:$ES$170,10))</f>
        <v>0</v>
      </c>
      <c r="O66" s="54" t="n">
        <f aca="false">SUM(D66:N66)</f>
        <v>0</v>
      </c>
    </row>
    <row r="67" customFormat="false" ht="15" hidden="true" customHeight="false" outlineLevel="1" collapsed="false">
      <c r="A67" s="11" t="s">
        <v>2428</v>
      </c>
      <c r="B67" s="15" t="s">
        <v>2368</v>
      </c>
      <c r="C67" s="11" t="s">
        <v>508</v>
      </c>
      <c r="D67" s="48" t="n">
        <f aca="false">IF(cu_P=1,SUMIFS(Calculo!$F$52:$ES$52,Calculo!$F$16:$ES$16,1),SUMIFS(Calculo!$F$208:$ES$208,Calculo!$F$172:$ES$172,1))</f>
        <v>0</v>
      </c>
      <c r="E67" s="48" t="n">
        <f aca="false">IF(cu_P=1,SUMIFS(Calculo!$F$52:$ES$52,Calculo!$F$14:$ES$14,1),SUMIFS(Calculo!$F$208:$ES$208,Calculo!$F$170:$ES$170,1))</f>
        <v>0</v>
      </c>
      <c r="F67" s="48" t="n">
        <f aca="false">IF(cu_P=1,SUMIFS(Calculo!$F$52:$ES$52,Calculo!$F$14:$ES$14,2),SUMIFS(Calculo!$F$208:$ES$208,Calculo!$F$170:$ES$170,2))</f>
        <v>0</v>
      </c>
      <c r="G67" s="48" t="n">
        <f aca="false">IF(cu_P=1,SUMIFS(Calculo!$F$52:$ES$52,Calculo!$F$14:$ES$14,3),SUMIFS(Calculo!$F$208:$ES$208,Calculo!$F$170:$ES$170,3))</f>
        <v>0</v>
      </c>
      <c r="H67" s="48" t="n">
        <f aca="false">IF(cu_P=1,SUMIFS(Calculo!$F$52:$ES$52,Calculo!$F$14:$ES$14,4),SUMIFS(Calculo!$F$208:$ES$208,Calculo!$F$170:$ES$170,4))</f>
        <v>0</v>
      </c>
      <c r="I67" s="48" t="n">
        <f aca="false">IF(cu_P=1,SUMIFS(Calculo!$F$52:$ES$52,Calculo!$F$14:$ES$14,5),SUMIFS(Calculo!$F$208:$ES$208,Calculo!$F$170:$ES$170,5))</f>
        <v>0</v>
      </c>
      <c r="J67" s="48" t="n">
        <f aca="false">IF(cu_P=1,SUMIFS(Calculo!$F$52:$ES$52,Calculo!$F$14:$ES$14,6),SUMIFS(Calculo!$F$208:$ES$208,Calculo!$F$170:$ES$170,6))</f>
        <v>0</v>
      </c>
      <c r="K67" s="48" t="n">
        <f aca="false">IF(cu_P=1,SUMIFS(Calculo!$F$52:$ES$52,Calculo!$F$14:$ES$14,7),SUMIFS(Calculo!$F$208:$ES$208,Calculo!$F$170:$ES$170,7))</f>
        <v>0</v>
      </c>
      <c r="L67" s="48" t="n">
        <f aca="false">IF(cu_P=1,SUMIFS(Calculo!$F$52:$ES$52,Calculo!$F$14:$ES$14,8),SUMIFS(Calculo!$F$208:$ES$208,Calculo!$F$170:$ES$170,8))</f>
        <v>0</v>
      </c>
      <c r="M67" s="48" t="n">
        <f aca="false">IF(cu_P=1,SUMIFS(Calculo!$F$52:$ES$52,Calculo!$F$14:$ES$14,9),SUMIFS(Calculo!$F$208:$ES$208,Calculo!$F$170:$ES$170,9))</f>
        <v>0</v>
      </c>
      <c r="N67" s="48" t="n">
        <f aca="false">IF(cu_P=1,SUMIFS(Calculo!$F$52:$ES$52,Calculo!$F$14:$ES$14,10),SUMIFS(Calculo!$F$208:$ES$208,Calculo!$F$170:$ES$170,10))</f>
        <v>0</v>
      </c>
      <c r="O67" s="54" t="n">
        <f aca="false">SUM(D67:N67)</f>
        <v>0</v>
      </c>
    </row>
    <row r="68" customFormat="false" ht="15" hidden="true" customHeight="false" outlineLevel="1" collapsed="false">
      <c r="A68" s="11" t="s">
        <v>2429</v>
      </c>
      <c r="B68" s="15" t="s">
        <v>2370</v>
      </c>
      <c r="C68" s="11" t="s">
        <v>748</v>
      </c>
      <c r="D68" s="50" t="str">
        <f aca="false">IFERROR(IF(OR(NOT(ISNUMBER(D65)),N(D66)=0),"",D65/D66),"")</f>
        <v/>
      </c>
      <c r="E68" s="50" t="str">
        <f aca="false">IFERROR(IF(OR(NOT(ISNUMBER(E65)),N(E66)=0),"",E65/E66),"")</f>
        <v/>
      </c>
      <c r="F68" s="50" t="str">
        <f aca="false">IFERROR(IF(OR(NOT(ISNUMBER(F65)),N(F66)=0),"",F65/F66),"")</f>
        <v/>
      </c>
      <c r="G68" s="50" t="str">
        <f aca="false">IFERROR(IF(OR(NOT(ISNUMBER(G65)),N(G66)=0),"",G65/G66),"")</f>
        <v/>
      </c>
      <c r="H68" s="50" t="str">
        <f aca="false">IFERROR(IF(OR(NOT(ISNUMBER(H65)),N(H66)=0),"",H65/H66),"")</f>
        <v/>
      </c>
      <c r="I68" s="50" t="str">
        <f aca="false">IFERROR(IF(OR(NOT(ISNUMBER(I65)),N(I66)=0),"",I65/I66),"")</f>
        <v/>
      </c>
      <c r="J68" s="50" t="str">
        <f aca="false">IFERROR(IF(OR(NOT(ISNUMBER(J65)),N(J66)=0),"",J65/J66),"")</f>
        <v/>
      </c>
      <c r="K68" s="50" t="str">
        <f aca="false">IFERROR(IF(OR(NOT(ISNUMBER(K65)),N(K66)=0),"",K65/K66),"")</f>
        <v/>
      </c>
      <c r="L68" s="50" t="str">
        <f aca="false">IFERROR(IF(OR(NOT(ISNUMBER(L65)),N(L66)=0),"",L65/L66),"")</f>
        <v/>
      </c>
      <c r="M68" s="50" t="str">
        <f aca="false">IFERROR(IF(OR(NOT(ISNUMBER(M65)),N(M66)=0),"",M65/M66),"")</f>
        <v/>
      </c>
      <c r="N68" s="50" t="str">
        <f aca="false">IFERROR(IF(OR(NOT(ISNUMBER(N65)),N(N66)=0),"",N65/N66),"")</f>
        <v/>
      </c>
      <c r="O68" s="68" t="str">
        <f aca="false">IFERROR(IF(OR(NOT(ISNUMBER(O65)),N(O66)=0),"",O65/O66),"")</f>
        <v/>
      </c>
    </row>
    <row r="69" customFormat="false" ht="15" hidden="true" customHeight="false" outlineLevel="1" collapsed="false">
      <c r="A69" s="11" t="s">
        <v>2430</v>
      </c>
      <c r="B69" s="15" t="s">
        <v>2372</v>
      </c>
      <c r="C69" s="11" t="s">
        <v>748</v>
      </c>
      <c r="D69" s="50" t="str">
        <f aca="false">IFERROR(IF(N(D66)=0,"",(D67-D65)/D66),"")</f>
        <v/>
      </c>
      <c r="E69" s="50" t="str">
        <f aca="false">IFERROR(IF(N(E66)=0,"",(E67-E65)/E66),"")</f>
        <v/>
      </c>
      <c r="F69" s="50" t="str">
        <f aca="false">IFERROR(IF(N(F66)=0,"",(F67-F65)/F66),"")</f>
        <v/>
      </c>
      <c r="G69" s="50" t="str">
        <f aca="false">IFERROR(IF(N(G66)=0,"",(G67-G65)/G66),"")</f>
        <v/>
      </c>
      <c r="H69" s="50" t="str">
        <f aca="false">IFERROR(IF(N(H66)=0,"",(H67-H65)/H66),"")</f>
        <v/>
      </c>
      <c r="I69" s="50" t="str">
        <f aca="false">IFERROR(IF(N(I66)=0,"",(I67-I65)/I66),"")</f>
        <v/>
      </c>
      <c r="J69" s="50" t="str">
        <f aca="false">IFERROR(IF(N(J66)=0,"",(J67-J65)/J66),"")</f>
        <v/>
      </c>
      <c r="K69" s="50" t="str">
        <f aca="false">IFERROR(IF(N(K66)=0,"",(K67-K65)/K66),"")</f>
        <v/>
      </c>
      <c r="L69" s="50" t="str">
        <f aca="false">IFERROR(IF(N(L66)=0,"",(L67-L65)/L66),"")</f>
        <v/>
      </c>
      <c r="M69" s="50" t="str">
        <f aca="false">IFERROR(IF(N(M66)=0,"",(M67-M65)/M66),"")</f>
        <v/>
      </c>
      <c r="N69" s="50" t="str">
        <f aca="false">IFERROR(IF(N(N66)=0,"",(N67-N65)/N66),"")</f>
        <v/>
      </c>
      <c r="O69" s="68" t="str">
        <f aca="false">IFERROR(IF(N(O66)=0,"",(O67-O65)/O66),"")</f>
        <v/>
      </c>
    </row>
    <row r="70" customFormat="false" ht="15" hidden="true" customHeight="false" outlineLevel="1" collapsed="false">
      <c r="A70" s="11" t="s">
        <v>2431</v>
      </c>
      <c r="B70" s="15" t="s">
        <v>2374</v>
      </c>
      <c r="C70" s="11" t="s">
        <v>367</v>
      </c>
      <c r="D70" s="49" t="str">
        <f aca="false">IFERROR(IF(N(D67)=0,"",1-D65/D67),"")</f>
        <v/>
      </c>
      <c r="E70" s="49" t="str">
        <f aca="false">IFERROR(IF(N(E67)=0,"",1-E65/E67),"")</f>
        <v/>
      </c>
      <c r="F70" s="49" t="str">
        <f aca="false">IFERROR(IF(N(F67)=0,"",1-F65/F67),"")</f>
        <v/>
      </c>
      <c r="G70" s="49" t="str">
        <f aca="false">IFERROR(IF(N(G67)=0,"",1-G65/G67),"")</f>
        <v/>
      </c>
      <c r="H70" s="49" t="str">
        <f aca="false">IFERROR(IF(N(H67)=0,"",1-H65/H67),"")</f>
        <v/>
      </c>
      <c r="I70" s="49" t="str">
        <f aca="false">IFERROR(IF(N(I67)=0,"",1-I65/I67),"")</f>
        <v/>
      </c>
      <c r="J70" s="49" t="str">
        <f aca="false">IFERROR(IF(N(J67)=0,"",1-J65/J67),"")</f>
        <v/>
      </c>
      <c r="K70" s="49" t="str">
        <f aca="false">IFERROR(IF(N(K67)=0,"",1-K65/K67),"")</f>
        <v/>
      </c>
      <c r="L70" s="49" t="str">
        <f aca="false">IFERROR(IF(N(L67)=0,"",1-L65/L67),"")</f>
        <v/>
      </c>
      <c r="M70" s="49" t="str">
        <f aca="false">IFERROR(IF(N(M67)=0,"",1-M65/M67),"")</f>
        <v/>
      </c>
      <c r="N70" s="49" t="str">
        <f aca="false">IFERROR(IF(N(N67)=0,"",1-N65/N67),"")</f>
        <v/>
      </c>
      <c r="O70" s="99" t="str">
        <f aca="false">IFERROR(IF(N(O67)=0,"",1-O65/O67),"")</f>
        <v/>
      </c>
    </row>
    <row r="71" customFormat="false" ht="15" hidden="true" customHeight="false" outlineLevel="1" collapsed="false">
      <c r="A71" s="11" t="s">
        <v>2432</v>
      </c>
      <c r="B71" s="15" t="s">
        <v>2376</v>
      </c>
      <c r="C71" s="11" t="s">
        <v>508</v>
      </c>
      <c r="D71" s="48" t="str">
        <f aca="false">IFERROR(IF(OR(NOT(ISNUMBER(D65)),N(D9)=0),"",D10*D65/D9),"")</f>
        <v/>
      </c>
      <c r="E71" s="48" t="n">
        <f aca="false">IFERROR(IF(OR(NOT(ISNUMBER(E65)),N(E9)=0),"",E10*E65/E9),"")</f>
        <v>0</v>
      </c>
      <c r="F71" s="48" t="n">
        <f aca="false">IFERROR(IF(OR(NOT(ISNUMBER(F65)),N(F9)=0),"",F10*F65/F9),"")</f>
        <v>0</v>
      </c>
      <c r="G71" s="48" t="n">
        <f aca="false">IFERROR(IF(OR(NOT(ISNUMBER(G65)),N(G9)=0),"",G10*G65/G9),"")</f>
        <v>0</v>
      </c>
      <c r="H71" s="48" t="n">
        <f aca="false">IFERROR(IF(OR(NOT(ISNUMBER(H65)),N(H9)=0),"",H10*H65/H9),"")</f>
        <v>0</v>
      </c>
      <c r="I71" s="48" t="n">
        <f aca="false">IFERROR(IF(OR(NOT(ISNUMBER(I65)),N(I9)=0),"",I10*I65/I9),"")</f>
        <v>0</v>
      </c>
      <c r="J71" s="48" t="n">
        <f aca="false">IFERROR(IF(OR(NOT(ISNUMBER(J65)),N(J9)=0),"",J10*J65/J9),"")</f>
        <v>0</v>
      </c>
      <c r="K71" s="48" t="n">
        <f aca="false">IFERROR(IF(OR(NOT(ISNUMBER(K65)),N(K9)=0),"",K10*K65/K9),"")</f>
        <v>0</v>
      </c>
      <c r="L71" s="48" t="n">
        <f aca="false">IFERROR(IF(OR(NOT(ISNUMBER(L65)),N(L9)=0),"",L10*L65/L9),"")</f>
        <v>0</v>
      </c>
      <c r="M71" s="48" t="n">
        <f aca="false">IFERROR(IF(OR(NOT(ISNUMBER(M65)),N(M9)=0),"",M10*M65/M9),"")</f>
        <v>0</v>
      </c>
      <c r="N71" s="48" t="n">
        <f aca="false">IFERROR(IF(OR(NOT(ISNUMBER(N65)),N(N9)=0),"",N10*N65/N9),"")</f>
        <v>0</v>
      </c>
      <c r="O71" s="54" t="n">
        <f aca="false">SUM(D71:N71)</f>
        <v>0</v>
      </c>
    </row>
    <row r="72" customFormat="false" ht="15" hidden="true" customHeight="false" outlineLevel="1" collapsed="false">
      <c r="A72" s="11" t="s">
        <v>2433</v>
      </c>
      <c r="B72" s="15" t="s">
        <v>2378</v>
      </c>
      <c r="C72" s="11" t="s">
        <v>508</v>
      </c>
      <c r="D72" s="48" t="n">
        <f aca="false">IFERROR(IF(COUNT(D65,D71)=0,"",N(D65)+N(D71)),"")</f>
        <v>0</v>
      </c>
      <c r="E72" s="48" t="n">
        <f aca="false">IFERROR(IF(COUNT(E65,E71)=0,"",N(E65)+N(E71)),"")</f>
        <v>0</v>
      </c>
      <c r="F72" s="48" t="n">
        <f aca="false">IFERROR(IF(COUNT(F65,F71)=0,"",N(F65)+N(F71)),"")</f>
        <v>0</v>
      </c>
      <c r="G72" s="48" t="n">
        <f aca="false">IFERROR(IF(COUNT(G65,G71)=0,"",N(G65)+N(G71)),"")</f>
        <v>0</v>
      </c>
      <c r="H72" s="48" t="n">
        <f aca="false">IFERROR(IF(COUNT(H65,H71)=0,"",N(H65)+N(H71)),"")</f>
        <v>0</v>
      </c>
      <c r="I72" s="48" t="n">
        <f aca="false">IFERROR(IF(COUNT(I65,I71)=0,"",N(I65)+N(I71)),"")</f>
        <v>0</v>
      </c>
      <c r="J72" s="48" t="n">
        <f aca="false">IFERROR(IF(COUNT(J65,J71)=0,"",N(J65)+N(J71)),"")</f>
        <v>0</v>
      </c>
      <c r="K72" s="48" t="n">
        <f aca="false">IFERROR(IF(COUNT(K65,K71)=0,"",N(K65)+N(K71)),"")</f>
        <v>0</v>
      </c>
      <c r="L72" s="48" t="n">
        <f aca="false">IFERROR(IF(COUNT(L65,L71)=0,"",N(L65)+N(L71)),"")</f>
        <v>0</v>
      </c>
      <c r="M72" s="48" t="n">
        <f aca="false">IFERROR(IF(COUNT(M65,M71)=0,"",N(M65)+N(M71)),"")</f>
        <v>0</v>
      </c>
      <c r="N72" s="48" t="n">
        <f aca="false">IFERROR(IF(COUNT(N65,N71)=0,"",N(N65)+N(N71)),"")</f>
        <v>0</v>
      </c>
      <c r="O72" s="54" t="n">
        <f aca="false">SUM(D72:N72)</f>
        <v>0</v>
      </c>
    </row>
    <row r="73" customFormat="false" ht="15" hidden="true" customHeight="false" outlineLevel="1" collapsed="false">
      <c r="A73" s="11" t="s">
        <v>2434</v>
      </c>
      <c r="B73" s="15" t="s">
        <v>2380</v>
      </c>
      <c r="C73" s="11" t="s">
        <v>748</v>
      </c>
      <c r="D73" s="50" t="str">
        <f aca="false">IFERROR(IF(OR(NOT(ISNUMBER(D72)),N(D66)=0),"",D72/D66),"")</f>
        <v/>
      </c>
      <c r="E73" s="50" t="str">
        <f aca="false">IFERROR(IF(OR(NOT(ISNUMBER(E72)),N(E66)=0),"",E72/E66),"")</f>
        <v/>
      </c>
      <c r="F73" s="50" t="str">
        <f aca="false">IFERROR(IF(OR(NOT(ISNUMBER(F72)),N(F66)=0),"",F72/F66),"")</f>
        <v/>
      </c>
      <c r="G73" s="50" t="str">
        <f aca="false">IFERROR(IF(OR(NOT(ISNUMBER(G72)),N(G66)=0),"",G72/G66),"")</f>
        <v/>
      </c>
      <c r="H73" s="50" t="str">
        <f aca="false">IFERROR(IF(OR(NOT(ISNUMBER(H72)),N(H66)=0),"",H72/H66),"")</f>
        <v/>
      </c>
      <c r="I73" s="50" t="str">
        <f aca="false">IFERROR(IF(OR(NOT(ISNUMBER(I72)),N(I66)=0),"",I72/I66),"")</f>
        <v/>
      </c>
      <c r="J73" s="50" t="str">
        <f aca="false">IFERROR(IF(OR(NOT(ISNUMBER(J72)),N(J66)=0),"",J72/J66),"")</f>
        <v/>
      </c>
      <c r="K73" s="50" t="str">
        <f aca="false">IFERROR(IF(OR(NOT(ISNUMBER(K72)),N(K66)=0),"",K72/K66),"")</f>
        <v/>
      </c>
      <c r="L73" s="50" t="str">
        <f aca="false">IFERROR(IF(OR(NOT(ISNUMBER(L72)),N(L66)=0),"",L72/L66),"")</f>
        <v/>
      </c>
      <c r="M73" s="50" t="str">
        <f aca="false">IFERROR(IF(OR(NOT(ISNUMBER(M72)),N(M66)=0),"",M72/M66),"")</f>
        <v/>
      </c>
      <c r="N73" s="50" t="str">
        <f aca="false">IFERROR(IF(OR(NOT(ISNUMBER(N72)),N(N66)=0),"",N72/N66),"")</f>
        <v/>
      </c>
      <c r="O73" s="68" t="str">
        <f aca="false">IFERROR(IF(OR(NOT(ISNUMBER(O72)),N(O66)=0),"",O72/O66),"")</f>
        <v/>
      </c>
    </row>
    <row r="74" customFormat="false" ht="15" hidden="true" customHeight="false" outlineLevel="1" collapsed="false">
      <c r="A74" s="11" t="s">
        <v>2435</v>
      </c>
      <c r="B74" s="53" t="str">
        <f aca="false">IF(INDEX(Prod_Nombre,8)="","Producto 8",INDEX(Prod_Nombre,8))&amp;" — costo directo"</f>
        <v>Producto 8 — costo directo</v>
      </c>
      <c r="C74" s="11" t="s">
        <v>508</v>
      </c>
      <c r="D74" s="48" t="n">
        <f aca="false">IF(cu_P=1,(SUMIFS(Calculo!$F$28:$ES$28,Calculo!$F$16:$ES$16,1)*N(INDEX(MP_O,8))*INDEX(IdxMP_O,1,1)*(1+P_dMat)/(1-P_Merma)+SUMIFS(Calculo!$F$28:$ES$28,Calculo!$F$16:$ES$16,1)*N(INDEX(INS_O,8))*INDEX(IdxOV_O,1,1)*(1+P_dMat)/(1-P_Merma)+SUMIFS(Calculo!$F$28:$ES$28,Calculo!$F$16:$ES$16,1)*N(INDEX(OV_O,8))*INDEX(IdxOV_O,1,1)*(1+P_dMat)/(1-P_Merma)),(SUMIFS(Calculo!$F$184:$ES$184,Calculo!$F$172:$ES$172,1)*N(INDEX(MP_V,8))*INDEX(IdxMP_V,1,1)*(1+V_dMat)/(1-V_Merma)+SUMIFS(Calculo!$F$184:$ES$184,Calculo!$F$172:$ES$172,1)*N(INDEX(INS_V,8))*INDEX(IdxOV_V,1,1)*(1+V_dMat)/(1-V_Merma)+SUMIFS(Calculo!$F$184:$ES$184,Calculo!$F$172:$ES$172,1)*N(INDEX(OV_V,8))*INDEX(IdxOV_V,1,1)*(1+V_dMat)/(1-V_Merma)))</f>
        <v>0</v>
      </c>
      <c r="E74" s="48" t="n">
        <f aca="false">IF(cu_P=1,(SUMIFS(Calculo!$F$28:$ES$28,Calculo!$F$14:$ES$14,1)*N(INDEX(MP_O,8))*INDEX(IdxMP_O,1,1)*(1+P_dMat)/(1-P_Merma)+SUMIFS(Calculo!$F$28:$ES$28,Calculo!$F$14:$ES$14,1)*N(INDEX(INS_O,8))*INDEX(IdxOV_O,1,1)*(1+P_dMat)/(1-P_Merma)+SUMIFS(Calculo!$F$28:$ES$28,Calculo!$F$14:$ES$14,1)*N(INDEX(OV_O,8))*INDEX(IdxOV_O,1,1)*(1+P_dMat)/(1-P_Merma)),(SUMIFS(Calculo!$F$184:$ES$184,Calculo!$F$170:$ES$170,1)*N(INDEX(MP_V,8))*INDEX(IdxMP_V,1,1)*(1+V_dMat)/(1-V_Merma)+SUMIFS(Calculo!$F$184:$ES$184,Calculo!$F$170:$ES$170,1)*N(INDEX(INS_V,8))*INDEX(IdxOV_V,1,1)*(1+V_dMat)/(1-V_Merma)+SUMIFS(Calculo!$F$184:$ES$184,Calculo!$F$170:$ES$170,1)*N(INDEX(OV_V,8))*INDEX(IdxOV_V,1,1)*(1+V_dMat)/(1-V_Merma)))</f>
        <v>0</v>
      </c>
      <c r="F74" s="48" t="n">
        <f aca="false">IF(cu_P=1,(SUMIFS(Calculo!$F$28:$ES$28,Calculo!$F$14:$ES$14,2)*N(INDEX(MP_O,8))*INDEX(IdxMP_O,1,2)*(1+P_dMat)/(1-P_Merma)+SUMIFS(Calculo!$F$28:$ES$28,Calculo!$F$14:$ES$14,2)*N(INDEX(INS_O,8))*INDEX(IdxOV_O,1,2)*(1+P_dMat)/(1-P_Merma)+SUMIFS(Calculo!$F$28:$ES$28,Calculo!$F$14:$ES$14,2)*N(INDEX(OV_O,8))*INDEX(IdxOV_O,1,2)*(1+P_dMat)/(1-P_Merma)),(SUMIFS(Calculo!$F$184:$ES$184,Calculo!$F$170:$ES$170,2)*N(INDEX(MP_V,8))*INDEX(IdxMP_V,1,2)*(1+V_dMat)/(1-V_Merma)+SUMIFS(Calculo!$F$184:$ES$184,Calculo!$F$170:$ES$170,2)*N(INDEX(INS_V,8))*INDEX(IdxOV_V,1,2)*(1+V_dMat)/(1-V_Merma)+SUMIFS(Calculo!$F$184:$ES$184,Calculo!$F$170:$ES$170,2)*N(INDEX(OV_V,8))*INDEX(IdxOV_V,1,2)*(1+V_dMat)/(1-V_Merma)))</f>
        <v>0</v>
      </c>
      <c r="G74" s="48" t="n">
        <f aca="false">IF(cu_P=1,(SUMIFS(Calculo!$F$28:$ES$28,Calculo!$F$14:$ES$14,3)*N(INDEX(MP_O,8))*INDEX(IdxMP_O,1,3)*(1+P_dMat)/(1-P_Merma)+SUMIFS(Calculo!$F$28:$ES$28,Calculo!$F$14:$ES$14,3)*N(INDEX(INS_O,8))*INDEX(IdxOV_O,1,3)*(1+P_dMat)/(1-P_Merma)+SUMIFS(Calculo!$F$28:$ES$28,Calculo!$F$14:$ES$14,3)*N(INDEX(OV_O,8))*INDEX(IdxOV_O,1,3)*(1+P_dMat)/(1-P_Merma)),(SUMIFS(Calculo!$F$184:$ES$184,Calculo!$F$170:$ES$170,3)*N(INDEX(MP_V,8))*INDEX(IdxMP_V,1,3)*(1+V_dMat)/(1-V_Merma)+SUMIFS(Calculo!$F$184:$ES$184,Calculo!$F$170:$ES$170,3)*N(INDEX(INS_V,8))*INDEX(IdxOV_V,1,3)*(1+V_dMat)/(1-V_Merma)+SUMIFS(Calculo!$F$184:$ES$184,Calculo!$F$170:$ES$170,3)*N(INDEX(OV_V,8))*INDEX(IdxOV_V,1,3)*(1+V_dMat)/(1-V_Merma)))</f>
        <v>0</v>
      </c>
      <c r="H74" s="48" t="n">
        <f aca="false">IF(cu_P=1,(SUMIFS(Calculo!$F$28:$ES$28,Calculo!$F$14:$ES$14,4)*N(INDEX(MP_O,8))*INDEX(IdxMP_O,1,4)*(1+P_dMat)/(1-P_Merma)+SUMIFS(Calculo!$F$28:$ES$28,Calculo!$F$14:$ES$14,4)*N(INDEX(INS_O,8))*INDEX(IdxOV_O,1,4)*(1+P_dMat)/(1-P_Merma)+SUMIFS(Calculo!$F$28:$ES$28,Calculo!$F$14:$ES$14,4)*N(INDEX(OV_O,8))*INDEX(IdxOV_O,1,4)*(1+P_dMat)/(1-P_Merma)),(SUMIFS(Calculo!$F$184:$ES$184,Calculo!$F$170:$ES$170,4)*N(INDEX(MP_V,8))*INDEX(IdxMP_V,1,4)*(1+V_dMat)/(1-V_Merma)+SUMIFS(Calculo!$F$184:$ES$184,Calculo!$F$170:$ES$170,4)*N(INDEX(INS_V,8))*INDEX(IdxOV_V,1,4)*(1+V_dMat)/(1-V_Merma)+SUMIFS(Calculo!$F$184:$ES$184,Calculo!$F$170:$ES$170,4)*N(INDEX(OV_V,8))*INDEX(IdxOV_V,1,4)*(1+V_dMat)/(1-V_Merma)))</f>
        <v>0</v>
      </c>
      <c r="I74" s="48" t="n">
        <f aca="false">IF(cu_P=1,(SUMIFS(Calculo!$F$28:$ES$28,Calculo!$F$14:$ES$14,5)*N(INDEX(MP_O,8))*INDEX(IdxMP_O,1,5)*(1+P_dMat)/(1-P_Merma)+SUMIFS(Calculo!$F$28:$ES$28,Calculo!$F$14:$ES$14,5)*N(INDEX(INS_O,8))*INDEX(IdxOV_O,1,5)*(1+P_dMat)/(1-P_Merma)+SUMIFS(Calculo!$F$28:$ES$28,Calculo!$F$14:$ES$14,5)*N(INDEX(OV_O,8))*INDEX(IdxOV_O,1,5)*(1+P_dMat)/(1-P_Merma)),(SUMIFS(Calculo!$F$184:$ES$184,Calculo!$F$170:$ES$170,5)*N(INDEX(MP_V,8))*INDEX(IdxMP_V,1,5)*(1+V_dMat)/(1-V_Merma)+SUMIFS(Calculo!$F$184:$ES$184,Calculo!$F$170:$ES$170,5)*N(INDEX(INS_V,8))*INDEX(IdxOV_V,1,5)*(1+V_dMat)/(1-V_Merma)+SUMIFS(Calculo!$F$184:$ES$184,Calculo!$F$170:$ES$170,5)*N(INDEX(OV_V,8))*INDEX(IdxOV_V,1,5)*(1+V_dMat)/(1-V_Merma)))</f>
        <v>0</v>
      </c>
      <c r="J74" s="48" t="n">
        <f aca="false">IF(cu_P=1,(SUMIFS(Calculo!$F$28:$ES$28,Calculo!$F$14:$ES$14,6)*N(INDEX(MP_O,8))*INDEX(IdxMP_O,1,6)*(1+P_dMat)/(1-P_Merma)+SUMIFS(Calculo!$F$28:$ES$28,Calculo!$F$14:$ES$14,6)*N(INDEX(INS_O,8))*INDEX(IdxOV_O,1,6)*(1+P_dMat)/(1-P_Merma)+SUMIFS(Calculo!$F$28:$ES$28,Calculo!$F$14:$ES$14,6)*N(INDEX(OV_O,8))*INDEX(IdxOV_O,1,6)*(1+P_dMat)/(1-P_Merma)),(SUMIFS(Calculo!$F$184:$ES$184,Calculo!$F$170:$ES$170,6)*N(INDEX(MP_V,8))*INDEX(IdxMP_V,1,6)*(1+V_dMat)/(1-V_Merma)+SUMIFS(Calculo!$F$184:$ES$184,Calculo!$F$170:$ES$170,6)*N(INDEX(INS_V,8))*INDEX(IdxOV_V,1,6)*(1+V_dMat)/(1-V_Merma)+SUMIFS(Calculo!$F$184:$ES$184,Calculo!$F$170:$ES$170,6)*N(INDEX(OV_V,8))*INDEX(IdxOV_V,1,6)*(1+V_dMat)/(1-V_Merma)))</f>
        <v>0</v>
      </c>
      <c r="K74" s="48" t="n">
        <f aca="false">IF(cu_P=1,(SUMIFS(Calculo!$F$28:$ES$28,Calculo!$F$14:$ES$14,7)*N(INDEX(MP_O,8))*INDEX(IdxMP_O,1,7)*(1+P_dMat)/(1-P_Merma)+SUMIFS(Calculo!$F$28:$ES$28,Calculo!$F$14:$ES$14,7)*N(INDEX(INS_O,8))*INDEX(IdxOV_O,1,7)*(1+P_dMat)/(1-P_Merma)+SUMIFS(Calculo!$F$28:$ES$28,Calculo!$F$14:$ES$14,7)*N(INDEX(OV_O,8))*INDEX(IdxOV_O,1,7)*(1+P_dMat)/(1-P_Merma)),(SUMIFS(Calculo!$F$184:$ES$184,Calculo!$F$170:$ES$170,7)*N(INDEX(MP_V,8))*INDEX(IdxMP_V,1,7)*(1+V_dMat)/(1-V_Merma)+SUMIFS(Calculo!$F$184:$ES$184,Calculo!$F$170:$ES$170,7)*N(INDEX(INS_V,8))*INDEX(IdxOV_V,1,7)*(1+V_dMat)/(1-V_Merma)+SUMIFS(Calculo!$F$184:$ES$184,Calculo!$F$170:$ES$170,7)*N(INDEX(OV_V,8))*INDEX(IdxOV_V,1,7)*(1+V_dMat)/(1-V_Merma)))</f>
        <v>0</v>
      </c>
      <c r="L74" s="48" t="n">
        <f aca="false">IF(cu_P=1,(SUMIFS(Calculo!$F$28:$ES$28,Calculo!$F$14:$ES$14,8)*N(INDEX(MP_O,8))*INDEX(IdxMP_O,1,8)*(1+P_dMat)/(1-P_Merma)+SUMIFS(Calculo!$F$28:$ES$28,Calculo!$F$14:$ES$14,8)*N(INDEX(INS_O,8))*INDEX(IdxOV_O,1,8)*(1+P_dMat)/(1-P_Merma)+SUMIFS(Calculo!$F$28:$ES$28,Calculo!$F$14:$ES$14,8)*N(INDEX(OV_O,8))*INDEX(IdxOV_O,1,8)*(1+P_dMat)/(1-P_Merma)),(SUMIFS(Calculo!$F$184:$ES$184,Calculo!$F$170:$ES$170,8)*N(INDEX(MP_V,8))*INDEX(IdxMP_V,1,8)*(1+V_dMat)/(1-V_Merma)+SUMIFS(Calculo!$F$184:$ES$184,Calculo!$F$170:$ES$170,8)*N(INDEX(INS_V,8))*INDEX(IdxOV_V,1,8)*(1+V_dMat)/(1-V_Merma)+SUMIFS(Calculo!$F$184:$ES$184,Calculo!$F$170:$ES$170,8)*N(INDEX(OV_V,8))*INDEX(IdxOV_V,1,8)*(1+V_dMat)/(1-V_Merma)))</f>
        <v>0</v>
      </c>
      <c r="M74" s="48" t="n">
        <f aca="false">IF(cu_P=1,(SUMIFS(Calculo!$F$28:$ES$28,Calculo!$F$14:$ES$14,9)*N(INDEX(MP_O,8))*INDEX(IdxMP_O,1,9)*(1+P_dMat)/(1-P_Merma)+SUMIFS(Calculo!$F$28:$ES$28,Calculo!$F$14:$ES$14,9)*N(INDEX(INS_O,8))*INDEX(IdxOV_O,1,9)*(1+P_dMat)/(1-P_Merma)+SUMIFS(Calculo!$F$28:$ES$28,Calculo!$F$14:$ES$14,9)*N(INDEX(OV_O,8))*INDEX(IdxOV_O,1,9)*(1+P_dMat)/(1-P_Merma)),(SUMIFS(Calculo!$F$184:$ES$184,Calculo!$F$170:$ES$170,9)*N(INDEX(MP_V,8))*INDEX(IdxMP_V,1,9)*(1+V_dMat)/(1-V_Merma)+SUMIFS(Calculo!$F$184:$ES$184,Calculo!$F$170:$ES$170,9)*N(INDEX(INS_V,8))*INDEX(IdxOV_V,1,9)*(1+V_dMat)/(1-V_Merma)+SUMIFS(Calculo!$F$184:$ES$184,Calculo!$F$170:$ES$170,9)*N(INDEX(OV_V,8))*INDEX(IdxOV_V,1,9)*(1+V_dMat)/(1-V_Merma)))</f>
        <v>0</v>
      </c>
      <c r="N74" s="48" t="n">
        <f aca="false">IF(cu_P=1,(SUMIFS(Calculo!$F$28:$ES$28,Calculo!$F$14:$ES$14,10)*N(INDEX(MP_O,8))*INDEX(IdxMP_O,1,10)*(1+P_dMat)/(1-P_Merma)+SUMIFS(Calculo!$F$28:$ES$28,Calculo!$F$14:$ES$14,10)*N(INDEX(INS_O,8))*INDEX(IdxOV_O,1,10)*(1+P_dMat)/(1-P_Merma)+SUMIFS(Calculo!$F$28:$ES$28,Calculo!$F$14:$ES$14,10)*N(INDEX(OV_O,8))*INDEX(IdxOV_O,1,10)*(1+P_dMat)/(1-P_Merma)),(SUMIFS(Calculo!$F$184:$ES$184,Calculo!$F$170:$ES$170,10)*N(INDEX(MP_V,8))*INDEX(IdxMP_V,1,10)*(1+V_dMat)/(1-V_Merma)+SUMIFS(Calculo!$F$184:$ES$184,Calculo!$F$170:$ES$170,10)*N(INDEX(INS_V,8))*INDEX(IdxOV_V,1,10)*(1+V_dMat)/(1-V_Merma)+SUMIFS(Calculo!$F$184:$ES$184,Calculo!$F$170:$ES$170,10)*N(INDEX(OV_V,8))*INDEX(IdxOV_V,1,10)*(1+V_dMat)/(1-V_Merma)))</f>
        <v>0</v>
      </c>
      <c r="O74" s="54" t="n">
        <f aca="false">SUM(D74:N74)</f>
        <v>0</v>
      </c>
    </row>
    <row r="75" customFormat="false" ht="15" hidden="true" customHeight="false" outlineLevel="1" collapsed="false">
      <c r="A75" s="11" t="s">
        <v>2436</v>
      </c>
      <c r="B75" s="15" t="s">
        <v>2366</v>
      </c>
      <c r="C75" s="11" t="s">
        <v>544</v>
      </c>
      <c r="D75" s="48" t="n">
        <f aca="false">IF(cu_P=1,SUMIFS(Calculo!$F$28:$ES$28,Calculo!$F$16:$ES$16,1),SUMIFS(Calculo!$F$184:$ES$184,Calculo!$F$172:$ES$172,1))</f>
        <v>0</v>
      </c>
      <c r="E75" s="48" t="n">
        <f aca="false">IF(cu_P=1,SUMIFS(Calculo!$F$28:$ES$28,Calculo!$F$14:$ES$14,1),SUMIFS(Calculo!$F$184:$ES$184,Calculo!$F$170:$ES$170,1))</f>
        <v>0</v>
      </c>
      <c r="F75" s="48" t="n">
        <f aca="false">IF(cu_P=1,SUMIFS(Calculo!$F$28:$ES$28,Calculo!$F$14:$ES$14,2),SUMIFS(Calculo!$F$184:$ES$184,Calculo!$F$170:$ES$170,2))</f>
        <v>0</v>
      </c>
      <c r="G75" s="48" t="n">
        <f aca="false">IF(cu_P=1,SUMIFS(Calculo!$F$28:$ES$28,Calculo!$F$14:$ES$14,3),SUMIFS(Calculo!$F$184:$ES$184,Calculo!$F$170:$ES$170,3))</f>
        <v>0</v>
      </c>
      <c r="H75" s="48" t="n">
        <f aca="false">IF(cu_P=1,SUMIFS(Calculo!$F$28:$ES$28,Calculo!$F$14:$ES$14,4),SUMIFS(Calculo!$F$184:$ES$184,Calculo!$F$170:$ES$170,4))</f>
        <v>0</v>
      </c>
      <c r="I75" s="48" t="n">
        <f aca="false">IF(cu_P=1,SUMIFS(Calculo!$F$28:$ES$28,Calculo!$F$14:$ES$14,5),SUMIFS(Calculo!$F$184:$ES$184,Calculo!$F$170:$ES$170,5))</f>
        <v>0</v>
      </c>
      <c r="J75" s="48" t="n">
        <f aca="false">IF(cu_P=1,SUMIFS(Calculo!$F$28:$ES$28,Calculo!$F$14:$ES$14,6),SUMIFS(Calculo!$F$184:$ES$184,Calculo!$F$170:$ES$170,6))</f>
        <v>0</v>
      </c>
      <c r="K75" s="48" t="n">
        <f aca="false">IF(cu_P=1,SUMIFS(Calculo!$F$28:$ES$28,Calculo!$F$14:$ES$14,7),SUMIFS(Calculo!$F$184:$ES$184,Calculo!$F$170:$ES$170,7))</f>
        <v>0</v>
      </c>
      <c r="L75" s="48" t="n">
        <f aca="false">IF(cu_P=1,SUMIFS(Calculo!$F$28:$ES$28,Calculo!$F$14:$ES$14,8),SUMIFS(Calculo!$F$184:$ES$184,Calculo!$F$170:$ES$170,8))</f>
        <v>0</v>
      </c>
      <c r="M75" s="48" t="n">
        <f aca="false">IF(cu_P=1,SUMIFS(Calculo!$F$28:$ES$28,Calculo!$F$14:$ES$14,9),SUMIFS(Calculo!$F$184:$ES$184,Calculo!$F$170:$ES$170,9))</f>
        <v>0</v>
      </c>
      <c r="N75" s="48" t="n">
        <f aca="false">IF(cu_P=1,SUMIFS(Calculo!$F$28:$ES$28,Calculo!$F$14:$ES$14,10),SUMIFS(Calculo!$F$184:$ES$184,Calculo!$F$170:$ES$170,10))</f>
        <v>0</v>
      </c>
      <c r="O75" s="54" t="n">
        <f aca="false">SUM(D75:N75)</f>
        <v>0</v>
      </c>
    </row>
    <row r="76" customFormat="false" ht="15" hidden="true" customHeight="false" outlineLevel="1" collapsed="false">
      <c r="A76" s="11" t="s">
        <v>2437</v>
      </c>
      <c r="B76" s="15" t="s">
        <v>2368</v>
      </c>
      <c r="C76" s="11" t="s">
        <v>508</v>
      </c>
      <c r="D76" s="48" t="n">
        <f aca="false">IF(cu_P=1,SUMIFS(Calculo!$F$53:$ES$53,Calculo!$F$16:$ES$16,1),SUMIFS(Calculo!$F$209:$ES$209,Calculo!$F$172:$ES$172,1))</f>
        <v>0</v>
      </c>
      <c r="E76" s="48" t="n">
        <f aca="false">IF(cu_P=1,SUMIFS(Calculo!$F$53:$ES$53,Calculo!$F$14:$ES$14,1),SUMIFS(Calculo!$F$209:$ES$209,Calculo!$F$170:$ES$170,1))</f>
        <v>0</v>
      </c>
      <c r="F76" s="48" t="n">
        <f aca="false">IF(cu_P=1,SUMIFS(Calculo!$F$53:$ES$53,Calculo!$F$14:$ES$14,2),SUMIFS(Calculo!$F$209:$ES$209,Calculo!$F$170:$ES$170,2))</f>
        <v>0</v>
      </c>
      <c r="G76" s="48" t="n">
        <f aca="false">IF(cu_P=1,SUMIFS(Calculo!$F$53:$ES$53,Calculo!$F$14:$ES$14,3),SUMIFS(Calculo!$F$209:$ES$209,Calculo!$F$170:$ES$170,3))</f>
        <v>0</v>
      </c>
      <c r="H76" s="48" t="n">
        <f aca="false">IF(cu_P=1,SUMIFS(Calculo!$F$53:$ES$53,Calculo!$F$14:$ES$14,4),SUMIFS(Calculo!$F$209:$ES$209,Calculo!$F$170:$ES$170,4))</f>
        <v>0</v>
      </c>
      <c r="I76" s="48" t="n">
        <f aca="false">IF(cu_P=1,SUMIFS(Calculo!$F$53:$ES$53,Calculo!$F$14:$ES$14,5),SUMIFS(Calculo!$F$209:$ES$209,Calculo!$F$170:$ES$170,5))</f>
        <v>0</v>
      </c>
      <c r="J76" s="48" t="n">
        <f aca="false">IF(cu_P=1,SUMIFS(Calculo!$F$53:$ES$53,Calculo!$F$14:$ES$14,6),SUMIFS(Calculo!$F$209:$ES$209,Calculo!$F$170:$ES$170,6))</f>
        <v>0</v>
      </c>
      <c r="K76" s="48" t="n">
        <f aca="false">IF(cu_P=1,SUMIFS(Calculo!$F$53:$ES$53,Calculo!$F$14:$ES$14,7),SUMIFS(Calculo!$F$209:$ES$209,Calculo!$F$170:$ES$170,7))</f>
        <v>0</v>
      </c>
      <c r="L76" s="48" t="n">
        <f aca="false">IF(cu_P=1,SUMIFS(Calculo!$F$53:$ES$53,Calculo!$F$14:$ES$14,8),SUMIFS(Calculo!$F$209:$ES$209,Calculo!$F$170:$ES$170,8))</f>
        <v>0</v>
      </c>
      <c r="M76" s="48" t="n">
        <f aca="false">IF(cu_P=1,SUMIFS(Calculo!$F$53:$ES$53,Calculo!$F$14:$ES$14,9),SUMIFS(Calculo!$F$209:$ES$209,Calculo!$F$170:$ES$170,9))</f>
        <v>0</v>
      </c>
      <c r="N76" s="48" t="n">
        <f aca="false">IF(cu_P=1,SUMIFS(Calculo!$F$53:$ES$53,Calculo!$F$14:$ES$14,10),SUMIFS(Calculo!$F$209:$ES$209,Calculo!$F$170:$ES$170,10))</f>
        <v>0</v>
      </c>
      <c r="O76" s="54" t="n">
        <f aca="false">SUM(D76:N76)</f>
        <v>0</v>
      </c>
    </row>
    <row r="77" customFormat="false" ht="15" hidden="true" customHeight="false" outlineLevel="1" collapsed="false">
      <c r="A77" s="11" t="s">
        <v>2438</v>
      </c>
      <c r="B77" s="15" t="s">
        <v>2370</v>
      </c>
      <c r="C77" s="11" t="s">
        <v>748</v>
      </c>
      <c r="D77" s="50" t="str">
        <f aca="false">IFERROR(IF(OR(NOT(ISNUMBER(D74)),N(D75)=0),"",D74/D75),"")</f>
        <v/>
      </c>
      <c r="E77" s="50" t="str">
        <f aca="false">IFERROR(IF(OR(NOT(ISNUMBER(E74)),N(E75)=0),"",E74/E75),"")</f>
        <v/>
      </c>
      <c r="F77" s="50" t="str">
        <f aca="false">IFERROR(IF(OR(NOT(ISNUMBER(F74)),N(F75)=0),"",F74/F75),"")</f>
        <v/>
      </c>
      <c r="G77" s="50" t="str">
        <f aca="false">IFERROR(IF(OR(NOT(ISNUMBER(G74)),N(G75)=0),"",G74/G75),"")</f>
        <v/>
      </c>
      <c r="H77" s="50" t="str">
        <f aca="false">IFERROR(IF(OR(NOT(ISNUMBER(H74)),N(H75)=0),"",H74/H75),"")</f>
        <v/>
      </c>
      <c r="I77" s="50" t="str">
        <f aca="false">IFERROR(IF(OR(NOT(ISNUMBER(I74)),N(I75)=0),"",I74/I75),"")</f>
        <v/>
      </c>
      <c r="J77" s="50" t="str">
        <f aca="false">IFERROR(IF(OR(NOT(ISNUMBER(J74)),N(J75)=0),"",J74/J75),"")</f>
        <v/>
      </c>
      <c r="K77" s="50" t="str">
        <f aca="false">IFERROR(IF(OR(NOT(ISNUMBER(K74)),N(K75)=0),"",K74/K75),"")</f>
        <v/>
      </c>
      <c r="L77" s="50" t="str">
        <f aca="false">IFERROR(IF(OR(NOT(ISNUMBER(L74)),N(L75)=0),"",L74/L75),"")</f>
        <v/>
      </c>
      <c r="M77" s="50" t="str">
        <f aca="false">IFERROR(IF(OR(NOT(ISNUMBER(M74)),N(M75)=0),"",M74/M75),"")</f>
        <v/>
      </c>
      <c r="N77" s="50" t="str">
        <f aca="false">IFERROR(IF(OR(NOT(ISNUMBER(N74)),N(N75)=0),"",N74/N75),"")</f>
        <v/>
      </c>
      <c r="O77" s="68" t="str">
        <f aca="false">IFERROR(IF(OR(NOT(ISNUMBER(O74)),N(O75)=0),"",O74/O75),"")</f>
        <v/>
      </c>
    </row>
    <row r="78" customFormat="false" ht="15" hidden="true" customHeight="false" outlineLevel="1" collapsed="false">
      <c r="A78" s="11" t="s">
        <v>2439</v>
      </c>
      <c r="B78" s="15" t="s">
        <v>2372</v>
      </c>
      <c r="C78" s="11" t="s">
        <v>748</v>
      </c>
      <c r="D78" s="50" t="str">
        <f aca="false">IFERROR(IF(N(D75)=0,"",(D76-D74)/D75),"")</f>
        <v/>
      </c>
      <c r="E78" s="50" t="str">
        <f aca="false">IFERROR(IF(N(E75)=0,"",(E76-E74)/E75),"")</f>
        <v/>
      </c>
      <c r="F78" s="50" t="str">
        <f aca="false">IFERROR(IF(N(F75)=0,"",(F76-F74)/F75),"")</f>
        <v/>
      </c>
      <c r="G78" s="50" t="str">
        <f aca="false">IFERROR(IF(N(G75)=0,"",(G76-G74)/G75),"")</f>
        <v/>
      </c>
      <c r="H78" s="50" t="str">
        <f aca="false">IFERROR(IF(N(H75)=0,"",(H76-H74)/H75),"")</f>
        <v/>
      </c>
      <c r="I78" s="50" t="str">
        <f aca="false">IFERROR(IF(N(I75)=0,"",(I76-I74)/I75),"")</f>
        <v/>
      </c>
      <c r="J78" s="50" t="str">
        <f aca="false">IFERROR(IF(N(J75)=0,"",(J76-J74)/J75),"")</f>
        <v/>
      </c>
      <c r="K78" s="50" t="str">
        <f aca="false">IFERROR(IF(N(K75)=0,"",(K76-K74)/K75),"")</f>
        <v/>
      </c>
      <c r="L78" s="50" t="str">
        <f aca="false">IFERROR(IF(N(L75)=0,"",(L76-L74)/L75),"")</f>
        <v/>
      </c>
      <c r="M78" s="50" t="str">
        <f aca="false">IFERROR(IF(N(M75)=0,"",(M76-M74)/M75),"")</f>
        <v/>
      </c>
      <c r="N78" s="50" t="str">
        <f aca="false">IFERROR(IF(N(N75)=0,"",(N76-N74)/N75),"")</f>
        <v/>
      </c>
      <c r="O78" s="68" t="str">
        <f aca="false">IFERROR(IF(N(O75)=0,"",(O76-O74)/O75),"")</f>
        <v/>
      </c>
    </row>
    <row r="79" customFormat="false" ht="15" hidden="true" customHeight="false" outlineLevel="1" collapsed="false">
      <c r="A79" s="11" t="s">
        <v>2440</v>
      </c>
      <c r="B79" s="15" t="s">
        <v>2374</v>
      </c>
      <c r="C79" s="11" t="s">
        <v>367</v>
      </c>
      <c r="D79" s="49" t="str">
        <f aca="false">IFERROR(IF(N(D76)=0,"",1-D74/D76),"")</f>
        <v/>
      </c>
      <c r="E79" s="49" t="str">
        <f aca="false">IFERROR(IF(N(E76)=0,"",1-E74/E76),"")</f>
        <v/>
      </c>
      <c r="F79" s="49" t="str">
        <f aca="false">IFERROR(IF(N(F76)=0,"",1-F74/F76),"")</f>
        <v/>
      </c>
      <c r="G79" s="49" t="str">
        <f aca="false">IFERROR(IF(N(G76)=0,"",1-G74/G76),"")</f>
        <v/>
      </c>
      <c r="H79" s="49" t="str">
        <f aca="false">IFERROR(IF(N(H76)=0,"",1-H74/H76),"")</f>
        <v/>
      </c>
      <c r="I79" s="49" t="str">
        <f aca="false">IFERROR(IF(N(I76)=0,"",1-I74/I76),"")</f>
        <v/>
      </c>
      <c r="J79" s="49" t="str">
        <f aca="false">IFERROR(IF(N(J76)=0,"",1-J74/J76),"")</f>
        <v/>
      </c>
      <c r="K79" s="49" t="str">
        <f aca="false">IFERROR(IF(N(K76)=0,"",1-K74/K76),"")</f>
        <v/>
      </c>
      <c r="L79" s="49" t="str">
        <f aca="false">IFERROR(IF(N(L76)=0,"",1-L74/L76),"")</f>
        <v/>
      </c>
      <c r="M79" s="49" t="str">
        <f aca="false">IFERROR(IF(N(M76)=0,"",1-M74/M76),"")</f>
        <v/>
      </c>
      <c r="N79" s="49" t="str">
        <f aca="false">IFERROR(IF(N(N76)=0,"",1-N74/N76),"")</f>
        <v/>
      </c>
      <c r="O79" s="99" t="str">
        <f aca="false">IFERROR(IF(N(O76)=0,"",1-O74/O76),"")</f>
        <v/>
      </c>
    </row>
    <row r="80" customFormat="false" ht="15" hidden="true" customHeight="false" outlineLevel="1" collapsed="false">
      <c r="A80" s="11" t="s">
        <v>2441</v>
      </c>
      <c r="B80" s="15" t="s">
        <v>2376</v>
      </c>
      <c r="C80" s="11" t="s">
        <v>508</v>
      </c>
      <c r="D80" s="48" t="str">
        <f aca="false">IFERROR(IF(OR(NOT(ISNUMBER(D74)),N(D9)=0),"",D10*D74/D9),"")</f>
        <v/>
      </c>
      <c r="E80" s="48" t="n">
        <f aca="false">IFERROR(IF(OR(NOT(ISNUMBER(E74)),N(E9)=0),"",E10*E74/E9),"")</f>
        <v>0</v>
      </c>
      <c r="F80" s="48" t="n">
        <f aca="false">IFERROR(IF(OR(NOT(ISNUMBER(F74)),N(F9)=0),"",F10*F74/F9),"")</f>
        <v>0</v>
      </c>
      <c r="G80" s="48" t="n">
        <f aca="false">IFERROR(IF(OR(NOT(ISNUMBER(G74)),N(G9)=0),"",G10*G74/G9),"")</f>
        <v>0</v>
      </c>
      <c r="H80" s="48" t="n">
        <f aca="false">IFERROR(IF(OR(NOT(ISNUMBER(H74)),N(H9)=0),"",H10*H74/H9),"")</f>
        <v>0</v>
      </c>
      <c r="I80" s="48" t="n">
        <f aca="false">IFERROR(IF(OR(NOT(ISNUMBER(I74)),N(I9)=0),"",I10*I74/I9),"")</f>
        <v>0</v>
      </c>
      <c r="J80" s="48" t="n">
        <f aca="false">IFERROR(IF(OR(NOT(ISNUMBER(J74)),N(J9)=0),"",J10*J74/J9),"")</f>
        <v>0</v>
      </c>
      <c r="K80" s="48" t="n">
        <f aca="false">IFERROR(IF(OR(NOT(ISNUMBER(K74)),N(K9)=0),"",K10*K74/K9),"")</f>
        <v>0</v>
      </c>
      <c r="L80" s="48" t="n">
        <f aca="false">IFERROR(IF(OR(NOT(ISNUMBER(L74)),N(L9)=0),"",L10*L74/L9),"")</f>
        <v>0</v>
      </c>
      <c r="M80" s="48" t="n">
        <f aca="false">IFERROR(IF(OR(NOT(ISNUMBER(M74)),N(M9)=0),"",M10*M74/M9),"")</f>
        <v>0</v>
      </c>
      <c r="N80" s="48" t="n">
        <f aca="false">IFERROR(IF(OR(NOT(ISNUMBER(N74)),N(N9)=0),"",N10*N74/N9),"")</f>
        <v>0</v>
      </c>
      <c r="O80" s="54" t="n">
        <f aca="false">SUM(D80:N80)</f>
        <v>0</v>
      </c>
    </row>
    <row r="81" customFormat="false" ht="15" hidden="true" customHeight="false" outlineLevel="1" collapsed="false">
      <c r="A81" s="11" t="s">
        <v>2442</v>
      </c>
      <c r="B81" s="15" t="s">
        <v>2378</v>
      </c>
      <c r="C81" s="11" t="s">
        <v>508</v>
      </c>
      <c r="D81" s="48" t="n">
        <f aca="false">IFERROR(IF(COUNT(D74,D80)=0,"",N(D74)+N(D80)),"")</f>
        <v>0</v>
      </c>
      <c r="E81" s="48" t="n">
        <f aca="false">IFERROR(IF(COUNT(E74,E80)=0,"",N(E74)+N(E80)),"")</f>
        <v>0</v>
      </c>
      <c r="F81" s="48" t="n">
        <f aca="false">IFERROR(IF(COUNT(F74,F80)=0,"",N(F74)+N(F80)),"")</f>
        <v>0</v>
      </c>
      <c r="G81" s="48" t="n">
        <f aca="false">IFERROR(IF(COUNT(G74,G80)=0,"",N(G74)+N(G80)),"")</f>
        <v>0</v>
      </c>
      <c r="H81" s="48" t="n">
        <f aca="false">IFERROR(IF(COUNT(H74,H80)=0,"",N(H74)+N(H80)),"")</f>
        <v>0</v>
      </c>
      <c r="I81" s="48" t="n">
        <f aca="false">IFERROR(IF(COUNT(I74,I80)=0,"",N(I74)+N(I80)),"")</f>
        <v>0</v>
      </c>
      <c r="J81" s="48" t="n">
        <f aca="false">IFERROR(IF(COUNT(J74,J80)=0,"",N(J74)+N(J80)),"")</f>
        <v>0</v>
      </c>
      <c r="K81" s="48" t="n">
        <f aca="false">IFERROR(IF(COUNT(K74,K80)=0,"",N(K74)+N(K80)),"")</f>
        <v>0</v>
      </c>
      <c r="L81" s="48" t="n">
        <f aca="false">IFERROR(IF(COUNT(L74,L80)=0,"",N(L74)+N(L80)),"")</f>
        <v>0</v>
      </c>
      <c r="M81" s="48" t="n">
        <f aca="false">IFERROR(IF(COUNT(M74,M80)=0,"",N(M74)+N(M80)),"")</f>
        <v>0</v>
      </c>
      <c r="N81" s="48" t="n">
        <f aca="false">IFERROR(IF(COUNT(N74,N80)=0,"",N(N74)+N(N80)),"")</f>
        <v>0</v>
      </c>
      <c r="O81" s="54" t="n">
        <f aca="false">SUM(D81:N81)</f>
        <v>0</v>
      </c>
    </row>
    <row r="82" customFormat="false" ht="15" hidden="true" customHeight="false" outlineLevel="1" collapsed="false">
      <c r="A82" s="11" t="s">
        <v>2443</v>
      </c>
      <c r="B82" s="15" t="s">
        <v>2380</v>
      </c>
      <c r="C82" s="11" t="s">
        <v>748</v>
      </c>
      <c r="D82" s="50" t="str">
        <f aca="false">IFERROR(IF(OR(NOT(ISNUMBER(D81)),N(D75)=0),"",D81/D75),"")</f>
        <v/>
      </c>
      <c r="E82" s="50" t="str">
        <f aca="false">IFERROR(IF(OR(NOT(ISNUMBER(E81)),N(E75)=0),"",E81/E75),"")</f>
        <v/>
      </c>
      <c r="F82" s="50" t="str">
        <f aca="false">IFERROR(IF(OR(NOT(ISNUMBER(F81)),N(F75)=0),"",F81/F75),"")</f>
        <v/>
      </c>
      <c r="G82" s="50" t="str">
        <f aca="false">IFERROR(IF(OR(NOT(ISNUMBER(G81)),N(G75)=0),"",G81/G75),"")</f>
        <v/>
      </c>
      <c r="H82" s="50" t="str">
        <f aca="false">IFERROR(IF(OR(NOT(ISNUMBER(H81)),N(H75)=0),"",H81/H75),"")</f>
        <v/>
      </c>
      <c r="I82" s="50" t="str">
        <f aca="false">IFERROR(IF(OR(NOT(ISNUMBER(I81)),N(I75)=0),"",I81/I75),"")</f>
        <v/>
      </c>
      <c r="J82" s="50" t="str">
        <f aca="false">IFERROR(IF(OR(NOT(ISNUMBER(J81)),N(J75)=0),"",J81/J75),"")</f>
        <v/>
      </c>
      <c r="K82" s="50" t="str">
        <f aca="false">IFERROR(IF(OR(NOT(ISNUMBER(K81)),N(K75)=0),"",K81/K75),"")</f>
        <v/>
      </c>
      <c r="L82" s="50" t="str">
        <f aca="false">IFERROR(IF(OR(NOT(ISNUMBER(L81)),N(L75)=0),"",L81/L75),"")</f>
        <v/>
      </c>
      <c r="M82" s="50" t="str">
        <f aca="false">IFERROR(IF(OR(NOT(ISNUMBER(M81)),N(M75)=0),"",M81/M75),"")</f>
        <v/>
      </c>
      <c r="N82" s="50" t="str">
        <f aca="false">IFERROR(IF(OR(NOT(ISNUMBER(N81)),N(N75)=0),"",N81/N75),"")</f>
        <v/>
      </c>
      <c r="O82" s="68" t="str">
        <f aca="false">IFERROR(IF(OR(NOT(ISNUMBER(O81)),N(O75)=0),"",O81/O75),"")</f>
        <v/>
      </c>
    </row>
    <row r="83" customFormat="false" ht="15" hidden="true" customHeight="false" outlineLevel="1" collapsed="false">
      <c r="A83" s="11" t="s">
        <v>2444</v>
      </c>
      <c r="B83" s="53" t="str">
        <f aca="false">IF(INDEX(Prod_Nombre,9)="","Producto 9",INDEX(Prod_Nombre,9))&amp;" — costo directo"</f>
        <v>Producto 9 — costo directo</v>
      </c>
      <c r="C83" s="11" t="s">
        <v>508</v>
      </c>
      <c r="D83" s="48" t="n">
        <f aca="false">IF(cu_P=1,(SUMIFS(Calculo!$F$29:$ES$29,Calculo!$F$16:$ES$16,1)*N(INDEX(MP_O,9))*INDEX(IdxMP_O,1,1)*(1+P_dMat)/(1-P_Merma)+SUMIFS(Calculo!$F$29:$ES$29,Calculo!$F$16:$ES$16,1)*N(INDEX(INS_O,9))*INDEX(IdxOV_O,1,1)*(1+P_dMat)/(1-P_Merma)+SUMIFS(Calculo!$F$29:$ES$29,Calculo!$F$16:$ES$16,1)*N(INDEX(OV_O,9))*INDEX(IdxOV_O,1,1)*(1+P_dMat)/(1-P_Merma)),(SUMIFS(Calculo!$F$185:$ES$185,Calculo!$F$172:$ES$172,1)*N(INDEX(MP_V,9))*INDEX(IdxMP_V,1,1)*(1+V_dMat)/(1-V_Merma)+SUMIFS(Calculo!$F$185:$ES$185,Calculo!$F$172:$ES$172,1)*N(INDEX(INS_V,9))*INDEX(IdxOV_V,1,1)*(1+V_dMat)/(1-V_Merma)+SUMIFS(Calculo!$F$185:$ES$185,Calculo!$F$172:$ES$172,1)*N(INDEX(OV_V,9))*INDEX(IdxOV_V,1,1)*(1+V_dMat)/(1-V_Merma)))</f>
        <v>0</v>
      </c>
      <c r="E83" s="48" t="n">
        <f aca="false">IF(cu_P=1,(SUMIFS(Calculo!$F$29:$ES$29,Calculo!$F$14:$ES$14,1)*N(INDEX(MP_O,9))*INDEX(IdxMP_O,1,1)*(1+P_dMat)/(1-P_Merma)+SUMIFS(Calculo!$F$29:$ES$29,Calculo!$F$14:$ES$14,1)*N(INDEX(INS_O,9))*INDEX(IdxOV_O,1,1)*(1+P_dMat)/(1-P_Merma)+SUMIFS(Calculo!$F$29:$ES$29,Calculo!$F$14:$ES$14,1)*N(INDEX(OV_O,9))*INDEX(IdxOV_O,1,1)*(1+P_dMat)/(1-P_Merma)),(SUMIFS(Calculo!$F$185:$ES$185,Calculo!$F$170:$ES$170,1)*N(INDEX(MP_V,9))*INDEX(IdxMP_V,1,1)*(1+V_dMat)/(1-V_Merma)+SUMIFS(Calculo!$F$185:$ES$185,Calculo!$F$170:$ES$170,1)*N(INDEX(INS_V,9))*INDEX(IdxOV_V,1,1)*(1+V_dMat)/(1-V_Merma)+SUMIFS(Calculo!$F$185:$ES$185,Calculo!$F$170:$ES$170,1)*N(INDEX(OV_V,9))*INDEX(IdxOV_V,1,1)*(1+V_dMat)/(1-V_Merma)))</f>
        <v>0</v>
      </c>
      <c r="F83" s="48" t="n">
        <f aca="false">IF(cu_P=1,(SUMIFS(Calculo!$F$29:$ES$29,Calculo!$F$14:$ES$14,2)*N(INDEX(MP_O,9))*INDEX(IdxMP_O,1,2)*(1+P_dMat)/(1-P_Merma)+SUMIFS(Calculo!$F$29:$ES$29,Calculo!$F$14:$ES$14,2)*N(INDEX(INS_O,9))*INDEX(IdxOV_O,1,2)*(1+P_dMat)/(1-P_Merma)+SUMIFS(Calculo!$F$29:$ES$29,Calculo!$F$14:$ES$14,2)*N(INDEX(OV_O,9))*INDEX(IdxOV_O,1,2)*(1+P_dMat)/(1-P_Merma)),(SUMIFS(Calculo!$F$185:$ES$185,Calculo!$F$170:$ES$170,2)*N(INDEX(MP_V,9))*INDEX(IdxMP_V,1,2)*(1+V_dMat)/(1-V_Merma)+SUMIFS(Calculo!$F$185:$ES$185,Calculo!$F$170:$ES$170,2)*N(INDEX(INS_V,9))*INDEX(IdxOV_V,1,2)*(1+V_dMat)/(1-V_Merma)+SUMIFS(Calculo!$F$185:$ES$185,Calculo!$F$170:$ES$170,2)*N(INDEX(OV_V,9))*INDEX(IdxOV_V,1,2)*(1+V_dMat)/(1-V_Merma)))</f>
        <v>0</v>
      </c>
      <c r="G83" s="48" t="n">
        <f aca="false">IF(cu_P=1,(SUMIFS(Calculo!$F$29:$ES$29,Calculo!$F$14:$ES$14,3)*N(INDEX(MP_O,9))*INDEX(IdxMP_O,1,3)*(1+P_dMat)/(1-P_Merma)+SUMIFS(Calculo!$F$29:$ES$29,Calculo!$F$14:$ES$14,3)*N(INDEX(INS_O,9))*INDEX(IdxOV_O,1,3)*(1+P_dMat)/(1-P_Merma)+SUMIFS(Calculo!$F$29:$ES$29,Calculo!$F$14:$ES$14,3)*N(INDEX(OV_O,9))*INDEX(IdxOV_O,1,3)*(1+P_dMat)/(1-P_Merma)),(SUMIFS(Calculo!$F$185:$ES$185,Calculo!$F$170:$ES$170,3)*N(INDEX(MP_V,9))*INDEX(IdxMP_V,1,3)*(1+V_dMat)/(1-V_Merma)+SUMIFS(Calculo!$F$185:$ES$185,Calculo!$F$170:$ES$170,3)*N(INDEX(INS_V,9))*INDEX(IdxOV_V,1,3)*(1+V_dMat)/(1-V_Merma)+SUMIFS(Calculo!$F$185:$ES$185,Calculo!$F$170:$ES$170,3)*N(INDEX(OV_V,9))*INDEX(IdxOV_V,1,3)*(1+V_dMat)/(1-V_Merma)))</f>
        <v>0</v>
      </c>
      <c r="H83" s="48" t="n">
        <f aca="false">IF(cu_P=1,(SUMIFS(Calculo!$F$29:$ES$29,Calculo!$F$14:$ES$14,4)*N(INDEX(MP_O,9))*INDEX(IdxMP_O,1,4)*(1+P_dMat)/(1-P_Merma)+SUMIFS(Calculo!$F$29:$ES$29,Calculo!$F$14:$ES$14,4)*N(INDEX(INS_O,9))*INDEX(IdxOV_O,1,4)*(1+P_dMat)/(1-P_Merma)+SUMIFS(Calculo!$F$29:$ES$29,Calculo!$F$14:$ES$14,4)*N(INDEX(OV_O,9))*INDEX(IdxOV_O,1,4)*(1+P_dMat)/(1-P_Merma)),(SUMIFS(Calculo!$F$185:$ES$185,Calculo!$F$170:$ES$170,4)*N(INDEX(MP_V,9))*INDEX(IdxMP_V,1,4)*(1+V_dMat)/(1-V_Merma)+SUMIFS(Calculo!$F$185:$ES$185,Calculo!$F$170:$ES$170,4)*N(INDEX(INS_V,9))*INDEX(IdxOV_V,1,4)*(1+V_dMat)/(1-V_Merma)+SUMIFS(Calculo!$F$185:$ES$185,Calculo!$F$170:$ES$170,4)*N(INDEX(OV_V,9))*INDEX(IdxOV_V,1,4)*(1+V_dMat)/(1-V_Merma)))</f>
        <v>0</v>
      </c>
      <c r="I83" s="48" t="n">
        <f aca="false">IF(cu_P=1,(SUMIFS(Calculo!$F$29:$ES$29,Calculo!$F$14:$ES$14,5)*N(INDEX(MP_O,9))*INDEX(IdxMP_O,1,5)*(1+P_dMat)/(1-P_Merma)+SUMIFS(Calculo!$F$29:$ES$29,Calculo!$F$14:$ES$14,5)*N(INDEX(INS_O,9))*INDEX(IdxOV_O,1,5)*(1+P_dMat)/(1-P_Merma)+SUMIFS(Calculo!$F$29:$ES$29,Calculo!$F$14:$ES$14,5)*N(INDEX(OV_O,9))*INDEX(IdxOV_O,1,5)*(1+P_dMat)/(1-P_Merma)),(SUMIFS(Calculo!$F$185:$ES$185,Calculo!$F$170:$ES$170,5)*N(INDEX(MP_V,9))*INDEX(IdxMP_V,1,5)*(1+V_dMat)/(1-V_Merma)+SUMIFS(Calculo!$F$185:$ES$185,Calculo!$F$170:$ES$170,5)*N(INDEX(INS_V,9))*INDEX(IdxOV_V,1,5)*(1+V_dMat)/(1-V_Merma)+SUMIFS(Calculo!$F$185:$ES$185,Calculo!$F$170:$ES$170,5)*N(INDEX(OV_V,9))*INDEX(IdxOV_V,1,5)*(1+V_dMat)/(1-V_Merma)))</f>
        <v>0</v>
      </c>
      <c r="J83" s="48" t="n">
        <f aca="false">IF(cu_P=1,(SUMIFS(Calculo!$F$29:$ES$29,Calculo!$F$14:$ES$14,6)*N(INDEX(MP_O,9))*INDEX(IdxMP_O,1,6)*(1+P_dMat)/(1-P_Merma)+SUMIFS(Calculo!$F$29:$ES$29,Calculo!$F$14:$ES$14,6)*N(INDEX(INS_O,9))*INDEX(IdxOV_O,1,6)*(1+P_dMat)/(1-P_Merma)+SUMIFS(Calculo!$F$29:$ES$29,Calculo!$F$14:$ES$14,6)*N(INDEX(OV_O,9))*INDEX(IdxOV_O,1,6)*(1+P_dMat)/(1-P_Merma)),(SUMIFS(Calculo!$F$185:$ES$185,Calculo!$F$170:$ES$170,6)*N(INDEX(MP_V,9))*INDEX(IdxMP_V,1,6)*(1+V_dMat)/(1-V_Merma)+SUMIFS(Calculo!$F$185:$ES$185,Calculo!$F$170:$ES$170,6)*N(INDEX(INS_V,9))*INDEX(IdxOV_V,1,6)*(1+V_dMat)/(1-V_Merma)+SUMIFS(Calculo!$F$185:$ES$185,Calculo!$F$170:$ES$170,6)*N(INDEX(OV_V,9))*INDEX(IdxOV_V,1,6)*(1+V_dMat)/(1-V_Merma)))</f>
        <v>0</v>
      </c>
      <c r="K83" s="48" t="n">
        <f aca="false">IF(cu_P=1,(SUMIFS(Calculo!$F$29:$ES$29,Calculo!$F$14:$ES$14,7)*N(INDEX(MP_O,9))*INDEX(IdxMP_O,1,7)*(1+P_dMat)/(1-P_Merma)+SUMIFS(Calculo!$F$29:$ES$29,Calculo!$F$14:$ES$14,7)*N(INDEX(INS_O,9))*INDEX(IdxOV_O,1,7)*(1+P_dMat)/(1-P_Merma)+SUMIFS(Calculo!$F$29:$ES$29,Calculo!$F$14:$ES$14,7)*N(INDEX(OV_O,9))*INDEX(IdxOV_O,1,7)*(1+P_dMat)/(1-P_Merma)),(SUMIFS(Calculo!$F$185:$ES$185,Calculo!$F$170:$ES$170,7)*N(INDEX(MP_V,9))*INDEX(IdxMP_V,1,7)*(1+V_dMat)/(1-V_Merma)+SUMIFS(Calculo!$F$185:$ES$185,Calculo!$F$170:$ES$170,7)*N(INDEX(INS_V,9))*INDEX(IdxOV_V,1,7)*(1+V_dMat)/(1-V_Merma)+SUMIFS(Calculo!$F$185:$ES$185,Calculo!$F$170:$ES$170,7)*N(INDEX(OV_V,9))*INDEX(IdxOV_V,1,7)*(1+V_dMat)/(1-V_Merma)))</f>
        <v>0</v>
      </c>
      <c r="L83" s="48" t="n">
        <f aca="false">IF(cu_P=1,(SUMIFS(Calculo!$F$29:$ES$29,Calculo!$F$14:$ES$14,8)*N(INDEX(MP_O,9))*INDEX(IdxMP_O,1,8)*(1+P_dMat)/(1-P_Merma)+SUMIFS(Calculo!$F$29:$ES$29,Calculo!$F$14:$ES$14,8)*N(INDEX(INS_O,9))*INDEX(IdxOV_O,1,8)*(1+P_dMat)/(1-P_Merma)+SUMIFS(Calculo!$F$29:$ES$29,Calculo!$F$14:$ES$14,8)*N(INDEX(OV_O,9))*INDEX(IdxOV_O,1,8)*(1+P_dMat)/(1-P_Merma)),(SUMIFS(Calculo!$F$185:$ES$185,Calculo!$F$170:$ES$170,8)*N(INDEX(MP_V,9))*INDEX(IdxMP_V,1,8)*(1+V_dMat)/(1-V_Merma)+SUMIFS(Calculo!$F$185:$ES$185,Calculo!$F$170:$ES$170,8)*N(INDEX(INS_V,9))*INDEX(IdxOV_V,1,8)*(1+V_dMat)/(1-V_Merma)+SUMIFS(Calculo!$F$185:$ES$185,Calculo!$F$170:$ES$170,8)*N(INDEX(OV_V,9))*INDEX(IdxOV_V,1,8)*(1+V_dMat)/(1-V_Merma)))</f>
        <v>0</v>
      </c>
      <c r="M83" s="48" t="n">
        <f aca="false">IF(cu_P=1,(SUMIFS(Calculo!$F$29:$ES$29,Calculo!$F$14:$ES$14,9)*N(INDEX(MP_O,9))*INDEX(IdxMP_O,1,9)*(1+P_dMat)/(1-P_Merma)+SUMIFS(Calculo!$F$29:$ES$29,Calculo!$F$14:$ES$14,9)*N(INDEX(INS_O,9))*INDEX(IdxOV_O,1,9)*(1+P_dMat)/(1-P_Merma)+SUMIFS(Calculo!$F$29:$ES$29,Calculo!$F$14:$ES$14,9)*N(INDEX(OV_O,9))*INDEX(IdxOV_O,1,9)*(1+P_dMat)/(1-P_Merma)),(SUMIFS(Calculo!$F$185:$ES$185,Calculo!$F$170:$ES$170,9)*N(INDEX(MP_V,9))*INDEX(IdxMP_V,1,9)*(1+V_dMat)/(1-V_Merma)+SUMIFS(Calculo!$F$185:$ES$185,Calculo!$F$170:$ES$170,9)*N(INDEX(INS_V,9))*INDEX(IdxOV_V,1,9)*(1+V_dMat)/(1-V_Merma)+SUMIFS(Calculo!$F$185:$ES$185,Calculo!$F$170:$ES$170,9)*N(INDEX(OV_V,9))*INDEX(IdxOV_V,1,9)*(1+V_dMat)/(1-V_Merma)))</f>
        <v>0</v>
      </c>
      <c r="N83" s="48" t="n">
        <f aca="false">IF(cu_P=1,(SUMIFS(Calculo!$F$29:$ES$29,Calculo!$F$14:$ES$14,10)*N(INDEX(MP_O,9))*INDEX(IdxMP_O,1,10)*(1+P_dMat)/(1-P_Merma)+SUMIFS(Calculo!$F$29:$ES$29,Calculo!$F$14:$ES$14,10)*N(INDEX(INS_O,9))*INDEX(IdxOV_O,1,10)*(1+P_dMat)/(1-P_Merma)+SUMIFS(Calculo!$F$29:$ES$29,Calculo!$F$14:$ES$14,10)*N(INDEX(OV_O,9))*INDEX(IdxOV_O,1,10)*(1+P_dMat)/(1-P_Merma)),(SUMIFS(Calculo!$F$185:$ES$185,Calculo!$F$170:$ES$170,10)*N(INDEX(MP_V,9))*INDEX(IdxMP_V,1,10)*(1+V_dMat)/(1-V_Merma)+SUMIFS(Calculo!$F$185:$ES$185,Calculo!$F$170:$ES$170,10)*N(INDEX(INS_V,9))*INDEX(IdxOV_V,1,10)*(1+V_dMat)/(1-V_Merma)+SUMIFS(Calculo!$F$185:$ES$185,Calculo!$F$170:$ES$170,10)*N(INDEX(OV_V,9))*INDEX(IdxOV_V,1,10)*(1+V_dMat)/(1-V_Merma)))</f>
        <v>0</v>
      </c>
      <c r="O83" s="54" t="n">
        <f aca="false">SUM(D83:N83)</f>
        <v>0</v>
      </c>
    </row>
    <row r="84" customFormat="false" ht="15" hidden="true" customHeight="false" outlineLevel="1" collapsed="false">
      <c r="A84" s="11" t="s">
        <v>2445</v>
      </c>
      <c r="B84" s="15" t="s">
        <v>2366</v>
      </c>
      <c r="C84" s="11" t="s">
        <v>544</v>
      </c>
      <c r="D84" s="48" t="n">
        <f aca="false">IF(cu_P=1,SUMIFS(Calculo!$F$29:$ES$29,Calculo!$F$16:$ES$16,1),SUMIFS(Calculo!$F$185:$ES$185,Calculo!$F$172:$ES$172,1))</f>
        <v>0</v>
      </c>
      <c r="E84" s="48" t="n">
        <f aca="false">IF(cu_P=1,SUMIFS(Calculo!$F$29:$ES$29,Calculo!$F$14:$ES$14,1),SUMIFS(Calculo!$F$185:$ES$185,Calculo!$F$170:$ES$170,1))</f>
        <v>0</v>
      </c>
      <c r="F84" s="48" t="n">
        <f aca="false">IF(cu_P=1,SUMIFS(Calculo!$F$29:$ES$29,Calculo!$F$14:$ES$14,2),SUMIFS(Calculo!$F$185:$ES$185,Calculo!$F$170:$ES$170,2))</f>
        <v>0</v>
      </c>
      <c r="G84" s="48" t="n">
        <f aca="false">IF(cu_P=1,SUMIFS(Calculo!$F$29:$ES$29,Calculo!$F$14:$ES$14,3),SUMIFS(Calculo!$F$185:$ES$185,Calculo!$F$170:$ES$170,3))</f>
        <v>0</v>
      </c>
      <c r="H84" s="48" t="n">
        <f aca="false">IF(cu_P=1,SUMIFS(Calculo!$F$29:$ES$29,Calculo!$F$14:$ES$14,4),SUMIFS(Calculo!$F$185:$ES$185,Calculo!$F$170:$ES$170,4))</f>
        <v>0</v>
      </c>
      <c r="I84" s="48" t="n">
        <f aca="false">IF(cu_P=1,SUMIFS(Calculo!$F$29:$ES$29,Calculo!$F$14:$ES$14,5),SUMIFS(Calculo!$F$185:$ES$185,Calculo!$F$170:$ES$170,5))</f>
        <v>0</v>
      </c>
      <c r="J84" s="48" t="n">
        <f aca="false">IF(cu_P=1,SUMIFS(Calculo!$F$29:$ES$29,Calculo!$F$14:$ES$14,6),SUMIFS(Calculo!$F$185:$ES$185,Calculo!$F$170:$ES$170,6))</f>
        <v>0</v>
      </c>
      <c r="K84" s="48" t="n">
        <f aca="false">IF(cu_P=1,SUMIFS(Calculo!$F$29:$ES$29,Calculo!$F$14:$ES$14,7),SUMIFS(Calculo!$F$185:$ES$185,Calculo!$F$170:$ES$170,7))</f>
        <v>0</v>
      </c>
      <c r="L84" s="48" t="n">
        <f aca="false">IF(cu_P=1,SUMIFS(Calculo!$F$29:$ES$29,Calculo!$F$14:$ES$14,8),SUMIFS(Calculo!$F$185:$ES$185,Calculo!$F$170:$ES$170,8))</f>
        <v>0</v>
      </c>
      <c r="M84" s="48" t="n">
        <f aca="false">IF(cu_P=1,SUMIFS(Calculo!$F$29:$ES$29,Calculo!$F$14:$ES$14,9),SUMIFS(Calculo!$F$185:$ES$185,Calculo!$F$170:$ES$170,9))</f>
        <v>0</v>
      </c>
      <c r="N84" s="48" t="n">
        <f aca="false">IF(cu_P=1,SUMIFS(Calculo!$F$29:$ES$29,Calculo!$F$14:$ES$14,10),SUMIFS(Calculo!$F$185:$ES$185,Calculo!$F$170:$ES$170,10))</f>
        <v>0</v>
      </c>
      <c r="O84" s="54" t="n">
        <f aca="false">SUM(D84:N84)</f>
        <v>0</v>
      </c>
    </row>
    <row r="85" customFormat="false" ht="15" hidden="true" customHeight="false" outlineLevel="1" collapsed="false">
      <c r="A85" s="11" t="s">
        <v>2446</v>
      </c>
      <c r="B85" s="15" t="s">
        <v>2368</v>
      </c>
      <c r="C85" s="11" t="s">
        <v>508</v>
      </c>
      <c r="D85" s="48" t="n">
        <f aca="false">IF(cu_P=1,SUMIFS(Calculo!$F$54:$ES$54,Calculo!$F$16:$ES$16,1),SUMIFS(Calculo!$F$210:$ES$210,Calculo!$F$172:$ES$172,1))</f>
        <v>0</v>
      </c>
      <c r="E85" s="48" t="n">
        <f aca="false">IF(cu_P=1,SUMIFS(Calculo!$F$54:$ES$54,Calculo!$F$14:$ES$14,1),SUMIFS(Calculo!$F$210:$ES$210,Calculo!$F$170:$ES$170,1))</f>
        <v>0</v>
      </c>
      <c r="F85" s="48" t="n">
        <f aca="false">IF(cu_P=1,SUMIFS(Calculo!$F$54:$ES$54,Calculo!$F$14:$ES$14,2),SUMIFS(Calculo!$F$210:$ES$210,Calculo!$F$170:$ES$170,2))</f>
        <v>0</v>
      </c>
      <c r="G85" s="48" t="n">
        <f aca="false">IF(cu_P=1,SUMIFS(Calculo!$F$54:$ES$54,Calculo!$F$14:$ES$14,3),SUMIFS(Calculo!$F$210:$ES$210,Calculo!$F$170:$ES$170,3))</f>
        <v>0</v>
      </c>
      <c r="H85" s="48" t="n">
        <f aca="false">IF(cu_P=1,SUMIFS(Calculo!$F$54:$ES$54,Calculo!$F$14:$ES$14,4),SUMIFS(Calculo!$F$210:$ES$210,Calculo!$F$170:$ES$170,4))</f>
        <v>0</v>
      </c>
      <c r="I85" s="48" t="n">
        <f aca="false">IF(cu_P=1,SUMIFS(Calculo!$F$54:$ES$54,Calculo!$F$14:$ES$14,5),SUMIFS(Calculo!$F$210:$ES$210,Calculo!$F$170:$ES$170,5))</f>
        <v>0</v>
      </c>
      <c r="J85" s="48" t="n">
        <f aca="false">IF(cu_P=1,SUMIFS(Calculo!$F$54:$ES$54,Calculo!$F$14:$ES$14,6),SUMIFS(Calculo!$F$210:$ES$210,Calculo!$F$170:$ES$170,6))</f>
        <v>0</v>
      </c>
      <c r="K85" s="48" t="n">
        <f aca="false">IF(cu_P=1,SUMIFS(Calculo!$F$54:$ES$54,Calculo!$F$14:$ES$14,7),SUMIFS(Calculo!$F$210:$ES$210,Calculo!$F$170:$ES$170,7))</f>
        <v>0</v>
      </c>
      <c r="L85" s="48" t="n">
        <f aca="false">IF(cu_P=1,SUMIFS(Calculo!$F$54:$ES$54,Calculo!$F$14:$ES$14,8),SUMIFS(Calculo!$F$210:$ES$210,Calculo!$F$170:$ES$170,8))</f>
        <v>0</v>
      </c>
      <c r="M85" s="48" t="n">
        <f aca="false">IF(cu_P=1,SUMIFS(Calculo!$F$54:$ES$54,Calculo!$F$14:$ES$14,9),SUMIFS(Calculo!$F$210:$ES$210,Calculo!$F$170:$ES$170,9))</f>
        <v>0</v>
      </c>
      <c r="N85" s="48" t="n">
        <f aca="false">IF(cu_P=1,SUMIFS(Calculo!$F$54:$ES$54,Calculo!$F$14:$ES$14,10),SUMIFS(Calculo!$F$210:$ES$210,Calculo!$F$170:$ES$170,10))</f>
        <v>0</v>
      </c>
      <c r="O85" s="54" t="n">
        <f aca="false">SUM(D85:N85)</f>
        <v>0</v>
      </c>
    </row>
    <row r="86" customFormat="false" ht="15" hidden="true" customHeight="false" outlineLevel="1" collapsed="false">
      <c r="A86" s="11" t="s">
        <v>2447</v>
      </c>
      <c r="B86" s="15" t="s">
        <v>2370</v>
      </c>
      <c r="C86" s="11" t="s">
        <v>748</v>
      </c>
      <c r="D86" s="50" t="str">
        <f aca="false">IFERROR(IF(OR(NOT(ISNUMBER(D83)),N(D84)=0),"",D83/D84),"")</f>
        <v/>
      </c>
      <c r="E86" s="50" t="str">
        <f aca="false">IFERROR(IF(OR(NOT(ISNUMBER(E83)),N(E84)=0),"",E83/E84),"")</f>
        <v/>
      </c>
      <c r="F86" s="50" t="str">
        <f aca="false">IFERROR(IF(OR(NOT(ISNUMBER(F83)),N(F84)=0),"",F83/F84),"")</f>
        <v/>
      </c>
      <c r="G86" s="50" t="str">
        <f aca="false">IFERROR(IF(OR(NOT(ISNUMBER(G83)),N(G84)=0),"",G83/G84),"")</f>
        <v/>
      </c>
      <c r="H86" s="50" t="str">
        <f aca="false">IFERROR(IF(OR(NOT(ISNUMBER(H83)),N(H84)=0),"",H83/H84),"")</f>
        <v/>
      </c>
      <c r="I86" s="50" t="str">
        <f aca="false">IFERROR(IF(OR(NOT(ISNUMBER(I83)),N(I84)=0),"",I83/I84),"")</f>
        <v/>
      </c>
      <c r="J86" s="50" t="str">
        <f aca="false">IFERROR(IF(OR(NOT(ISNUMBER(J83)),N(J84)=0),"",J83/J84),"")</f>
        <v/>
      </c>
      <c r="K86" s="50" t="str">
        <f aca="false">IFERROR(IF(OR(NOT(ISNUMBER(K83)),N(K84)=0),"",K83/K84),"")</f>
        <v/>
      </c>
      <c r="L86" s="50" t="str">
        <f aca="false">IFERROR(IF(OR(NOT(ISNUMBER(L83)),N(L84)=0),"",L83/L84),"")</f>
        <v/>
      </c>
      <c r="M86" s="50" t="str">
        <f aca="false">IFERROR(IF(OR(NOT(ISNUMBER(M83)),N(M84)=0),"",M83/M84),"")</f>
        <v/>
      </c>
      <c r="N86" s="50" t="str">
        <f aca="false">IFERROR(IF(OR(NOT(ISNUMBER(N83)),N(N84)=0),"",N83/N84),"")</f>
        <v/>
      </c>
      <c r="O86" s="68" t="str">
        <f aca="false">IFERROR(IF(OR(NOT(ISNUMBER(O83)),N(O84)=0),"",O83/O84),"")</f>
        <v/>
      </c>
    </row>
    <row r="87" customFormat="false" ht="15" hidden="true" customHeight="false" outlineLevel="1" collapsed="false">
      <c r="A87" s="11" t="s">
        <v>2448</v>
      </c>
      <c r="B87" s="15" t="s">
        <v>2372</v>
      </c>
      <c r="C87" s="11" t="s">
        <v>748</v>
      </c>
      <c r="D87" s="50" t="str">
        <f aca="false">IFERROR(IF(N(D84)=0,"",(D85-D83)/D84),"")</f>
        <v/>
      </c>
      <c r="E87" s="50" t="str">
        <f aca="false">IFERROR(IF(N(E84)=0,"",(E85-E83)/E84),"")</f>
        <v/>
      </c>
      <c r="F87" s="50" t="str">
        <f aca="false">IFERROR(IF(N(F84)=0,"",(F85-F83)/F84),"")</f>
        <v/>
      </c>
      <c r="G87" s="50" t="str">
        <f aca="false">IFERROR(IF(N(G84)=0,"",(G85-G83)/G84),"")</f>
        <v/>
      </c>
      <c r="H87" s="50" t="str">
        <f aca="false">IFERROR(IF(N(H84)=0,"",(H85-H83)/H84),"")</f>
        <v/>
      </c>
      <c r="I87" s="50" t="str">
        <f aca="false">IFERROR(IF(N(I84)=0,"",(I85-I83)/I84),"")</f>
        <v/>
      </c>
      <c r="J87" s="50" t="str">
        <f aca="false">IFERROR(IF(N(J84)=0,"",(J85-J83)/J84),"")</f>
        <v/>
      </c>
      <c r="K87" s="50" t="str">
        <f aca="false">IFERROR(IF(N(K84)=0,"",(K85-K83)/K84),"")</f>
        <v/>
      </c>
      <c r="L87" s="50" t="str">
        <f aca="false">IFERROR(IF(N(L84)=0,"",(L85-L83)/L84),"")</f>
        <v/>
      </c>
      <c r="M87" s="50" t="str">
        <f aca="false">IFERROR(IF(N(M84)=0,"",(M85-M83)/M84),"")</f>
        <v/>
      </c>
      <c r="N87" s="50" t="str">
        <f aca="false">IFERROR(IF(N(N84)=0,"",(N85-N83)/N84),"")</f>
        <v/>
      </c>
      <c r="O87" s="68" t="str">
        <f aca="false">IFERROR(IF(N(O84)=0,"",(O85-O83)/O84),"")</f>
        <v/>
      </c>
    </row>
    <row r="88" customFormat="false" ht="15" hidden="true" customHeight="false" outlineLevel="1" collapsed="false">
      <c r="A88" s="11" t="s">
        <v>2449</v>
      </c>
      <c r="B88" s="15" t="s">
        <v>2374</v>
      </c>
      <c r="C88" s="11" t="s">
        <v>367</v>
      </c>
      <c r="D88" s="49" t="str">
        <f aca="false">IFERROR(IF(N(D85)=0,"",1-D83/D85),"")</f>
        <v/>
      </c>
      <c r="E88" s="49" t="str">
        <f aca="false">IFERROR(IF(N(E85)=0,"",1-E83/E85),"")</f>
        <v/>
      </c>
      <c r="F88" s="49" t="str">
        <f aca="false">IFERROR(IF(N(F85)=0,"",1-F83/F85),"")</f>
        <v/>
      </c>
      <c r="G88" s="49" t="str">
        <f aca="false">IFERROR(IF(N(G85)=0,"",1-G83/G85),"")</f>
        <v/>
      </c>
      <c r="H88" s="49" t="str">
        <f aca="false">IFERROR(IF(N(H85)=0,"",1-H83/H85),"")</f>
        <v/>
      </c>
      <c r="I88" s="49" t="str">
        <f aca="false">IFERROR(IF(N(I85)=0,"",1-I83/I85),"")</f>
        <v/>
      </c>
      <c r="J88" s="49" t="str">
        <f aca="false">IFERROR(IF(N(J85)=0,"",1-J83/J85),"")</f>
        <v/>
      </c>
      <c r="K88" s="49" t="str">
        <f aca="false">IFERROR(IF(N(K85)=0,"",1-K83/K85),"")</f>
        <v/>
      </c>
      <c r="L88" s="49" t="str">
        <f aca="false">IFERROR(IF(N(L85)=0,"",1-L83/L85),"")</f>
        <v/>
      </c>
      <c r="M88" s="49" t="str">
        <f aca="false">IFERROR(IF(N(M85)=0,"",1-M83/M85),"")</f>
        <v/>
      </c>
      <c r="N88" s="49" t="str">
        <f aca="false">IFERROR(IF(N(N85)=0,"",1-N83/N85),"")</f>
        <v/>
      </c>
      <c r="O88" s="99" t="str">
        <f aca="false">IFERROR(IF(N(O85)=0,"",1-O83/O85),"")</f>
        <v/>
      </c>
    </row>
    <row r="89" customFormat="false" ht="15" hidden="true" customHeight="false" outlineLevel="1" collapsed="false">
      <c r="A89" s="11" t="s">
        <v>2450</v>
      </c>
      <c r="B89" s="15" t="s">
        <v>2376</v>
      </c>
      <c r="C89" s="11" t="s">
        <v>508</v>
      </c>
      <c r="D89" s="48" t="str">
        <f aca="false">IFERROR(IF(OR(NOT(ISNUMBER(D83)),N(D9)=0),"",D10*D83/D9),"")</f>
        <v/>
      </c>
      <c r="E89" s="48" t="n">
        <f aca="false">IFERROR(IF(OR(NOT(ISNUMBER(E83)),N(E9)=0),"",E10*E83/E9),"")</f>
        <v>0</v>
      </c>
      <c r="F89" s="48" t="n">
        <f aca="false">IFERROR(IF(OR(NOT(ISNUMBER(F83)),N(F9)=0),"",F10*F83/F9),"")</f>
        <v>0</v>
      </c>
      <c r="G89" s="48" t="n">
        <f aca="false">IFERROR(IF(OR(NOT(ISNUMBER(G83)),N(G9)=0),"",G10*G83/G9),"")</f>
        <v>0</v>
      </c>
      <c r="H89" s="48" t="n">
        <f aca="false">IFERROR(IF(OR(NOT(ISNUMBER(H83)),N(H9)=0),"",H10*H83/H9),"")</f>
        <v>0</v>
      </c>
      <c r="I89" s="48" t="n">
        <f aca="false">IFERROR(IF(OR(NOT(ISNUMBER(I83)),N(I9)=0),"",I10*I83/I9),"")</f>
        <v>0</v>
      </c>
      <c r="J89" s="48" t="n">
        <f aca="false">IFERROR(IF(OR(NOT(ISNUMBER(J83)),N(J9)=0),"",J10*J83/J9),"")</f>
        <v>0</v>
      </c>
      <c r="K89" s="48" t="n">
        <f aca="false">IFERROR(IF(OR(NOT(ISNUMBER(K83)),N(K9)=0),"",K10*K83/K9),"")</f>
        <v>0</v>
      </c>
      <c r="L89" s="48" t="n">
        <f aca="false">IFERROR(IF(OR(NOT(ISNUMBER(L83)),N(L9)=0),"",L10*L83/L9),"")</f>
        <v>0</v>
      </c>
      <c r="M89" s="48" t="n">
        <f aca="false">IFERROR(IF(OR(NOT(ISNUMBER(M83)),N(M9)=0),"",M10*M83/M9),"")</f>
        <v>0</v>
      </c>
      <c r="N89" s="48" t="n">
        <f aca="false">IFERROR(IF(OR(NOT(ISNUMBER(N83)),N(N9)=0),"",N10*N83/N9),"")</f>
        <v>0</v>
      </c>
      <c r="O89" s="54" t="n">
        <f aca="false">SUM(D89:N89)</f>
        <v>0</v>
      </c>
    </row>
    <row r="90" customFormat="false" ht="15" hidden="true" customHeight="false" outlineLevel="1" collapsed="false">
      <c r="A90" s="11" t="s">
        <v>2451</v>
      </c>
      <c r="B90" s="15" t="s">
        <v>2378</v>
      </c>
      <c r="C90" s="11" t="s">
        <v>508</v>
      </c>
      <c r="D90" s="48" t="n">
        <f aca="false">IFERROR(IF(COUNT(D83,D89)=0,"",N(D83)+N(D89)),"")</f>
        <v>0</v>
      </c>
      <c r="E90" s="48" t="n">
        <f aca="false">IFERROR(IF(COUNT(E83,E89)=0,"",N(E83)+N(E89)),"")</f>
        <v>0</v>
      </c>
      <c r="F90" s="48" t="n">
        <f aca="false">IFERROR(IF(COUNT(F83,F89)=0,"",N(F83)+N(F89)),"")</f>
        <v>0</v>
      </c>
      <c r="G90" s="48" t="n">
        <f aca="false">IFERROR(IF(COUNT(G83,G89)=0,"",N(G83)+N(G89)),"")</f>
        <v>0</v>
      </c>
      <c r="H90" s="48" t="n">
        <f aca="false">IFERROR(IF(COUNT(H83,H89)=0,"",N(H83)+N(H89)),"")</f>
        <v>0</v>
      </c>
      <c r="I90" s="48" t="n">
        <f aca="false">IFERROR(IF(COUNT(I83,I89)=0,"",N(I83)+N(I89)),"")</f>
        <v>0</v>
      </c>
      <c r="J90" s="48" t="n">
        <f aca="false">IFERROR(IF(COUNT(J83,J89)=0,"",N(J83)+N(J89)),"")</f>
        <v>0</v>
      </c>
      <c r="K90" s="48" t="n">
        <f aca="false">IFERROR(IF(COUNT(K83,K89)=0,"",N(K83)+N(K89)),"")</f>
        <v>0</v>
      </c>
      <c r="L90" s="48" t="n">
        <f aca="false">IFERROR(IF(COUNT(L83,L89)=0,"",N(L83)+N(L89)),"")</f>
        <v>0</v>
      </c>
      <c r="M90" s="48" t="n">
        <f aca="false">IFERROR(IF(COUNT(M83,M89)=0,"",N(M83)+N(M89)),"")</f>
        <v>0</v>
      </c>
      <c r="N90" s="48" t="n">
        <f aca="false">IFERROR(IF(COUNT(N83,N89)=0,"",N(N83)+N(N89)),"")</f>
        <v>0</v>
      </c>
      <c r="O90" s="54" t="n">
        <f aca="false">SUM(D90:N90)</f>
        <v>0</v>
      </c>
    </row>
    <row r="91" customFormat="false" ht="15" hidden="true" customHeight="false" outlineLevel="1" collapsed="false">
      <c r="A91" s="11" t="s">
        <v>2452</v>
      </c>
      <c r="B91" s="15" t="s">
        <v>2380</v>
      </c>
      <c r="C91" s="11" t="s">
        <v>748</v>
      </c>
      <c r="D91" s="50" t="str">
        <f aca="false">IFERROR(IF(OR(NOT(ISNUMBER(D90)),N(D84)=0),"",D90/D84),"")</f>
        <v/>
      </c>
      <c r="E91" s="50" t="str">
        <f aca="false">IFERROR(IF(OR(NOT(ISNUMBER(E90)),N(E84)=0),"",E90/E84),"")</f>
        <v/>
      </c>
      <c r="F91" s="50" t="str">
        <f aca="false">IFERROR(IF(OR(NOT(ISNUMBER(F90)),N(F84)=0),"",F90/F84),"")</f>
        <v/>
      </c>
      <c r="G91" s="50" t="str">
        <f aca="false">IFERROR(IF(OR(NOT(ISNUMBER(G90)),N(G84)=0),"",G90/G84),"")</f>
        <v/>
      </c>
      <c r="H91" s="50" t="str">
        <f aca="false">IFERROR(IF(OR(NOT(ISNUMBER(H90)),N(H84)=0),"",H90/H84),"")</f>
        <v/>
      </c>
      <c r="I91" s="50" t="str">
        <f aca="false">IFERROR(IF(OR(NOT(ISNUMBER(I90)),N(I84)=0),"",I90/I84),"")</f>
        <v/>
      </c>
      <c r="J91" s="50" t="str">
        <f aca="false">IFERROR(IF(OR(NOT(ISNUMBER(J90)),N(J84)=0),"",J90/J84),"")</f>
        <v/>
      </c>
      <c r="K91" s="50" t="str">
        <f aca="false">IFERROR(IF(OR(NOT(ISNUMBER(K90)),N(K84)=0),"",K90/K84),"")</f>
        <v/>
      </c>
      <c r="L91" s="50" t="str">
        <f aca="false">IFERROR(IF(OR(NOT(ISNUMBER(L90)),N(L84)=0),"",L90/L84),"")</f>
        <v/>
      </c>
      <c r="M91" s="50" t="str">
        <f aca="false">IFERROR(IF(OR(NOT(ISNUMBER(M90)),N(M84)=0),"",M90/M84),"")</f>
        <v/>
      </c>
      <c r="N91" s="50" t="str">
        <f aca="false">IFERROR(IF(OR(NOT(ISNUMBER(N90)),N(N84)=0),"",N90/N84),"")</f>
        <v/>
      </c>
      <c r="O91" s="68" t="str">
        <f aca="false">IFERROR(IF(OR(NOT(ISNUMBER(O90)),N(O84)=0),"",O90/O84),"")</f>
        <v/>
      </c>
    </row>
    <row r="92" customFormat="false" ht="15" hidden="true" customHeight="false" outlineLevel="1" collapsed="false">
      <c r="A92" s="11" t="s">
        <v>2453</v>
      </c>
      <c r="B92" s="53" t="str">
        <f aca="false">IF(INDEX(Prod_Nombre,10)="","Producto 10",INDEX(Prod_Nombre,10))&amp;" — costo directo"</f>
        <v>Producto 10 — costo directo</v>
      </c>
      <c r="C92" s="11" t="s">
        <v>508</v>
      </c>
      <c r="D92" s="48" t="n">
        <f aca="false">IF(cu_P=1,(SUMIFS(Calculo!$F$30:$ES$30,Calculo!$F$16:$ES$16,1)*N(INDEX(MP_O,10))*INDEX(IdxMP_O,1,1)*(1+P_dMat)/(1-P_Merma)+SUMIFS(Calculo!$F$30:$ES$30,Calculo!$F$16:$ES$16,1)*N(INDEX(INS_O,10))*INDEX(IdxOV_O,1,1)*(1+P_dMat)/(1-P_Merma)+SUMIFS(Calculo!$F$30:$ES$30,Calculo!$F$16:$ES$16,1)*N(INDEX(OV_O,10))*INDEX(IdxOV_O,1,1)*(1+P_dMat)/(1-P_Merma)),(SUMIFS(Calculo!$F$186:$ES$186,Calculo!$F$172:$ES$172,1)*N(INDEX(MP_V,10))*INDEX(IdxMP_V,1,1)*(1+V_dMat)/(1-V_Merma)+SUMIFS(Calculo!$F$186:$ES$186,Calculo!$F$172:$ES$172,1)*N(INDEX(INS_V,10))*INDEX(IdxOV_V,1,1)*(1+V_dMat)/(1-V_Merma)+SUMIFS(Calculo!$F$186:$ES$186,Calculo!$F$172:$ES$172,1)*N(INDEX(OV_V,10))*INDEX(IdxOV_V,1,1)*(1+V_dMat)/(1-V_Merma)))</f>
        <v>0</v>
      </c>
      <c r="E92" s="48" t="n">
        <f aca="false">IF(cu_P=1,(SUMIFS(Calculo!$F$30:$ES$30,Calculo!$F$14:$ES$14,1)*N(INDEX(MP_O,10))*INDEX(IdxMP_O,1,1)*(1+P_dMat)/(1-P_Merma)+SUMIFS(Calculo!$F$30:$ES$30,Calculo!$F$14:$ES$14,1)*N(INDEX(INS_O,10))*INDEX(IdxOV_O,1,1)*(1+P_dMat)/(1-P_Merma)+SUMIFS(Calculo!$F$30:$ES$30,Calculo!$F$14:$ES$14,1)*N(INDEX(OV_O,10))*INDEX(IdxOV_O,1,1)*(1+P_dMat)/(1-P_Merma)),(SUMIFS(Calculo!$F$186:$ES$186,Calculo!$F$170:$ES$170,1)*N(INDEX(MP_V,10))*INDEX(IdxMP_V,1,1)*(1+V_dMat)/(1-V_Merma)+SUMIFS(Calculo!$F$186:$ES$186,Calculo!$F$170:$ES$170,1)*N(INDEX(INS_V,10))*INDEX(IdxOV_V,1,1)*(1+V_dMat)/(1-V_Merma)+SUMIFS(Calculo!$F$186:$ES$186,Calculo!$F$170:$ES$170,1)*N(INDEX(OV_V,10))*INDEX(IdxOV_V,1,1)*(1+V_dMat)/(1-V_Merma)))</f>
        <v>0</v>
      </c>
      <c r="F92" s="48" t="n">
        <f aca="false">IF(cu_P=1,(SUMIFS(Calculo!$F$30:$ES$30,Calculo!$F$14:$ES$14,2)*N(INDEX(MP_O,10))*INDEX(IdxMP_O,1,2)*(1+P_dMat)/(1-P_Merma)+SUMIFS(Calculo!$F$30:$ES$30,Calculo!$F$14:$ES$14,2)*N(INDEX(INS_O,10))*INDEX(IdxOV_O,1,2)*(1+P_dMat)/(1-P_Merma)+SUMIFS(Calculo!$F$30:$ES$30,Calculo!$F$14:$ES$14,2)*N(INDEX(OV_O,10))*INDEX(IdxOV_O,1,2)*(1+P_dMat)/(1-P_Merma)),(SUMIFS(Calculo!$F$186:$ES$186,Calculo!$F$170:$ES$170,2)*N(INDEX(MP_V,10))*INDEX(IdxMP_V,1,2)*(1+V_dMat)/(1-V_Merma)+SUMIFS(Calculo!$F$186:$ES$186,Calculo!$F$170:$ES$170,2)*N(INDEX(INS_V,10))*INDEX(IdxOV_V,1,2)*(1+V_dMat)/(1-V_Merma)+SUMIFS(Calculo!$F$186:$ES$186,Calculo!$F$170:$ES$170,2)*N(INDEX(OV_V,10))*INDEX(IdxOV_V,1,2)*(1+V_dMat)/(1-V_Merma)))</f>
        <v>0</v>
      </c>
      <c r="G92" s="48" t="n">
        <f aca="false">IF(cu_P=1,(SUMIFS(Calculo!$F$30:$ES$30,Calculo!$F$14:$ES$14,3)*N(INDEX(MP_O,10))*INDEX(IdxMP_O,1,3)*(1+P_dMat)/(1-P_Merma)+SUMIFS(Calculo!$F$30:$ES$30,Calculo!$F$14:$ES$14,3)*N(INDEX(INS_O,10))*INDEX(IdxOV_O,1,3)*(1+P_dMat)/(1-P_Merma)+SUMIFS(Calculo!$F$30:$ES$30,Calculo!$F$14:$ES$14,3)*N(INDEX(OV_O,10))*INDEX(IdxOV_O,1,3)*(1+P_dMat)/(1-P_Merma)),(SUMIFS(Calculo!$F$186:$ES$186,Calculo!$F$170:$ES$170,3)*N(INDEX(MP_V,10))*INDEX(IdxMP_V,1,3)*(1+V_dMat)/(1-V_Merma)+SUMIFS(Calculo!$F$186:$ES$186,Calculo!$F$170:$ES$170,3)*N(INDEX(INS_V,10))*INDEX(IdxOV_V,1,3)*(1+V_dMat)/(1-V_Merma)+SUMIFS(Calculo!$F$186:$ES$186,Calculo!$F$170:$ES$170,3)*N(INDEX(OV_V,10))*INDEX(IdxOV_V,1,3)*(1+V_dMat)/(1-V_Merma)))</f>
        <v>0</v>
      </c>
      <c r="H92" s="48" t="n">
        <f aca="false">IF(cu_P=1,(SUMIFS(Calculo!$F$30:$ES$30,Calculo!$F$14:$ES$14,4)*N(INDEX(MP_O,10))*INDEX(IdxMP_O,1,4)*(1+P_dMat)/(1-P_Merma)+SUMIFS(Calculo!$F$30:$ES$30,Calculo!$F$14:$ES$14,4)*N(INDEX(INS_O,10))*INDEX(IdxOV_O,1,4)*(1+P_dMat)/(1-P_Merma)+SUMIFS(Calculo!$F$30:$ES$30,Calculo!$F$14:$ES$14,4)*N(INDEX(OV_O,10))*INDEX(IdxOV_O,1,4)*(1+P_dMat)/(1-P_Merma)),(SUMIFS(Calculo!$F$186:$ES$186,Calculo!$F$170:$ES$170,4)*N(INDEX(MP_V,10))*INDEX(IdxMP_V,1,4)*(1+V_dMat)/(1-V_Merma)+SUMIFS(Calculo!$F$186:$ES$186,Calculo!$F$170:$ES$170,4)*N(INDEX(INS_V,10))*INDEX(IdxOV_V,1,4)*(1+V_dMat)/(1-V_Merma)+SUMIFS(Calculo!$F$186:$ES$186,Calculo!$F$170:$ES$170,4)*N(INDEX(OV_V,10))*INDEX(IdxOV_V,1,4)*(1+V_dMat)/(1-V_Merma)))</f>
        <v>0</v>
      </c>
      <c r="I92" s="48" t="n">
        <f aca="false">IF(cu_P=1,(SUMIFS(Calculo!$F$30:$ES$30,Calculo!$F$14:$ES$14,5)*N(INDEX(MP_O,10))*INDEX(IdxMP_O,1,5)*(1+P_dMat)/(1-P_Merma)+SUMIFS(Calculo!$F$30:$ES$30,Calculo!$F$14:$ES$14,5)*N(INDEX(INS_O,10))*INDEX(IdxOV_O,1,5)*(1+P_dMat)/(1-P_Merma)+SUMIFS(Calculo!$F$30:$ES$30,Calculo!$F$14:$ES$14,5)*N(INDEX(OV_O,10))*INDEX(IdxOV_O,1,5)*(1+P_dMat)/(1-P_Merma)),(SUMIFS(Calculo!$F$186:$ES$186,Calculo!$F$170:$ES$170,5)*N(INDEX(MP_V,10))*INDEX(IdxMP_V,1,5)*(1+V_dMat)/(1-V_Merma)+SUMIFS(Calculo!$F$186:$ES$186,Calculo!$F$170:$ES$170,5)*N(INDEX(INS_V,10))*INDEX(IdxOV_V,1,5)*(1+V_dMat)/(1-V_Merma)+SUMIFS(Calculo!$F$186:$ES$186,Calculo!$F$170:$ES$170,5)*N(INDEX(OV_V,10))*INDEX(IdxOV_V,1,5)*(1+V_dMat)/(1-V_Merma)))</f>
        <v>0</v>
      </c>
      <c r="J92" s="48" t="n">
        <f aca="false">IF(cu_P=1,(SUMIFS(Calculo!$F$30:$ES$30,Calculo!$F$14:$ES$14,6)*N(INDEX(MP_O,10))*INDEX(IdxMP_O,1,6)*(1+P_dMat)/(1-P_Merma)+SUMIFS(Calculo!$F$30:$ES$30,Calculo!$F$14:$ES$14,6)*N(INDEX(INS_O,10))*INDEX(IdxOV_O,1,6)*(1+P_dMat)/(1-P_Merma)+SUMIFS(Calculo!$F$30:$ES$30,Calculo!$F$14:$ES$14,6)*N(INDEX(OV_O,10))*INDEX(IdxOV_O,1,6)*(1+P_dMat)/(1-P_Merma)),(SUMIFS(Calculo!$F$186:$ES$186,Calculo!$F$170:$ES$170,6)*N(INDEX(MP_V,10))*INDEX(IdxMP_V,1,6)*(1+V_dMat)/(1-V_Merma)+SUMIFS(Calculo!$F$186:$ES$186,Calculo!$F$170:$ES$170,6)*N(INDEX(INS_V,10))*INDEX(IdxOV_V,1,6)*(1+V_dMat)/(1-V_Merma)+SUMIFS(Calculo!$F$186:$ES$186,Calculo!$F$170:$ES$170,6)*N(INDEX(OV_V,10))*INDEX(IdxOV_V,1,6)*(1+V_dMat)/(1-V_Merma)))</f>
        <v>0</v>
      </c>
      <c r="K92" s="48" t="n">
        <f aca="false">IF(cu_P=1,(SUMIFS(Calculo!$F$30:$ES$30,Calculo!$F$14:$ES$14,7)*N(INDEX(MP_O,10))*INDEX(IdxMP_O,1,7)*(1+P_dMat)/(1-P_Merma)+SUMIFS(Calculo!$F$30:$ES$30,Calculo!$F$14:$ES$14,7)*N(INDEX(INS_O,10))*INDEX(IdxOV_O,1,7)*(1+P_dMat)/(1-P_Merma)+SUMIFS(Calculo!$F$30:$ES$30,Calculo!$F$14:$ES$14,7)*N(INDEX(OV_O,10))*INDEX(IdxOV_O,1,7)*(1+P_dMat)/(1-P_Merma)),(SUMIFS(Calculo!$F$186:$ES$186,Calculo!$F$170:$ES$170,7)*N(INDEX(MP_V,10))*INDEX(IdxMP_V,1,7)*(1+V_dMat)/(1-V_Merma)+SUMIFS(Calculo!$F$186:$ES$186,Calculo!$F$170:$ES$170,7)*N(INDEX(INS_V,10))*INDEX(IdxOV_V,1,7)*(1+V_dMat)/(1-V_Merma)+SUMIFS(Calculo!$F$186:$ES$186,Calculo!$F$170:$ES$170,7)*N(INDEX(OV_V,10))*INDEX(IdxOV_V,1,7)*(1+V_dMat)/(1-V_Merma)))</f>
        <v>0</v>
      </c>
      <c r="L92" s="48" t="n">
        <f aca="false">IF(cu_P=1,(SUMIFS(Calculo!$F$30:$ES$30,Calculo!$F$14:$ES$14,8)*N(INDEX(MP_O,10))*INDEX(IdxMP_O,1,8)*(1+P_dMat)/(1-P_Merma)+SUMIFS(Calculo!$F$30:$ES$30,Calculo!$F$14:$ES$14,8)*N(INDEX(INS_O,10))*INDEX(IdxOV_O,1,8)*(1+P_dMat)/(1-P_Merma)+SUMIFS(Calculo!$F$30:$ES$30,Calculo!$F$14:$ES$14,8)*N(INDEX(OV_O,10))*INDEX(IdxOV_O,1,8)*(1+P_dMat)/(1-P_Merma)),(SUMIFS(Calculo!$F$186:$ES$186,Calculo!$F$170:$ES$170,8)*N(INDEX(MP_V,10))*INDEX(IdxMP_V,1,8)*(1+V_dMat)/(1-V_Merma)+SUMIFS(Calculo!$F$186:$ES$186,Calculo!$F$170:$ES$170,8)*N(INDEX(INS_V,10))*INDEX(IdxOV_V,1,8)*(1+V_dMat)/(1-V_Merma)+SUMIFS(Calculo!$F$186:$ES$186,Calculo!$F$170:$ES$170,8)*N(INDEX(OV_V,10))*INDEX(IdxOV_V,1,8)*(1+V_dMat)/(1-V_Merma)))</f>
        <v>0</v>
      </c>
      <c r="M92" s="48" t="n">
        <f aca="false">IF(cu_P=1,(SUMIFS(Calculo!$F$30:$ES$30,Calculo!$F$14:$ES$14,9)*N(INDEX(MP_O,10))*INDEX(IdxMP_O,1,9)*(1+P_dMat)/(1-P_Merma)+SUMIFS(Calculo!$F$30:$ES$30,Calculo!$F$14:$ES$14,9)*N(INDEX(INS_O,10))*INDEX(IdxOV_O,1,9)*(1+P_dMat)/(1-P_Merma)+SUMIFS(Calculo!$F$30:$ES$30,Calculo!$F$14:$ES$14,9)*N(INDEX(OV_O,10))*INDEX(IdxOV_O,1,9)*(1+P_dMat)/(1-P_Merma)),(SUMIFS(Calculo!$F$186:$ES$186,Calculo!$F$170:$ES$170,9)*N(INDEX(MP_V,10))*INDEX(IdxMP_V,1,9)*(1+V_dMat)/(1-V_Merma)+SUMIFS(Calculo!$F$186:$ES$186,Calculo!$F$170:$ES$170,9)*N(INDEX(INS_V,10))*INDEX(IdxOV_V,1,9)*(1+V_dMat)/(1-V_Merma)+SUMIFS(Calculo!$F$186:$ES$186,Calculo!$F$170:$ES$170,9)*N(INDEX(OV_V,10))*INDEX(IdxOV_V,1,9)*(1+V_dMat)/(1-V_Merma)))</f>
        <v>0</v>
      </c>
      <c r="N92" s="48" t="n">
        <f aca="false">IF(cu_P=1,(SUMIFS(Calculo!$F$30:$ES$30,Calculo!$F$14:$ES$14,10)*N(INDEX(MP_O,10))*INDEX(IdxMP_O,1,10)*(1+P_dMat)/(1-P_Merma)+SUMIFS(Calculo!$F$30:$ES$30,Calculo!$F$14:$ES$14,10)*N(INDEX(INS_O,10))*INDEX(IdxOV_O,1,10)*(1+P_dMat)/(1-P_Merma)+SUMIFS(Calculo!$F$30:$ES$30,Calculo!$F$14:$ES$14,10)*N(INDEX(OV_O,10))*INDEX(IdxOV_O,1,10)*(1+P_dMat)/(1-P_Merma)),(SUMIFS(Calculo!$F$186:$ES$186,Calculo!$F$170:$ES$170,10)*N(INDEX(MP_V,10))*INDEX(IdxMP_V,1,10)*(1+V_dMat)/(1-V_Merma)+SUMIFS(Calculo!$F$186:$ES$186,Calculo!$F$170:$ES$170,10)*N(INDEX(INS_V,10))*INDEX(IdxOV_V,1,10)*(1+V_dMat)/(1-V_Merma)+SUMIFS(Calculo!$F$186:$ES$186,Calculo!$F$170:$ES$170,10)*N(INDEX(OV_V,10))*INDEX(IdxOV_V,1,10)*(1+V_dMat)/(1-V_Merma)))</f>
        <v>0</v>
      </c>
      <c r="O92" s="54" t="n">
        <f aca="false">SUM(D92:N92)</f>
        <v>0</v>
      </c>
    </row>
    <row r="93" customFormat="false" ht="15" hidden="true" customHeight="false" outlineLevel="1" collapsed="false">
      <c r="A93" s="11" t="s">
        <v>2454</v>
      </c>
      <c r="B93" s="15" t="s">
        <v>2366</v>
      </c>
      <c r="C93" s="11" t="s">
        <v>544</v>
      </c>
      <c r="D93" s="48" t="n">
        <f aca="false">IF(cu_P=1,SUMIFS(Calculo!$F$30:$ES$30,Calculo!$F$16:$ES$16,1),SUMIFS(Calculo!$F$186:$ES$186,Calculo!$F$172:$ES$172,1))</f>
        <v>0</v>
      </c>
      <c r="E93" s="48" t="n">
        <f aca="false">IF(cu_P=1,SUMIFS(Calculo!$F$30:$ES$30,Calculo!$F$14:$ES$14,1),SUMIFS(Calculo!$F$186:$ES$186,Calculo!$F$170:$ES$170,1))</f>
        <v>0</v>
      </c>
      <c r="F93" s="48" t="n">
        <f aca="false">IF(cu_P=1,SUMIFS(Calculo!$F$30:$ES$30,Calculo!$F$14:$ES$14,2),SUMIFS(Calculo!$F$186:$ES$186,Calculo!$F$170:$ES$170,2))</f>
        <v>0</v>
      </c>
      <c r="G93" s="48" t="n">
        <f aca="false">IF(cu_P=1,SUMIFS(Calculo!$F$30:$ES$30,Calculo!$F$14:$ES$14,3),SUMIFS(Calculo!$F$186:$ES$186,Calculo!$F$170:$ES$170,3))</f>
        <v>0</v>
      </c>
      <c r="H93" s="48" t="n">
        <f aca="false">IF(cu_P=1,SUMIFS(Calculo!$F$30:$ES$30,Calculo!$F$14:$ES$14,4),SUMIFS(Calculo!$F$186:$ES$186,Calculo!$F$170:$ES$170,4))</f>
        <v>0</v>
      </c>
      <c r="I93" s="48" t="n">
        <f aca="false">IF(cu_P=1,SUMIFS(Calculo!$F$30:$ES$30,Calculo!$F$14:$ES$14,5),SUMIFS(Calculo!$F$186:$ES$186,Calculo!$F$170:$ES$170,5))</f>
        <v>0</v>
      </c>
      <c r="J93" s="48" t="n">
        <f aca="false">IF(cu_P=1,SUMIFS(Calculo!$F$30:$ES$30,Calculo!$F$14:$ES$14,6),SUMIFS(Calculo!$F$186:$ES$186,Calculo!$F$170:$ES$170,6))</f>
        <v>0</v>
      </c>
      <c r="K93" s="48" t="n">
        <f aca="false">IF(cu_P=1,SUMIFS(Calculo!$F$30:$ES$30,Calculo!$F$14:$ES$14,7),SUMIFS(Calculo!$F$186:$ES$186,Calculo!$F$170:$ES$170,7))</f>
        <v>0</v>
      </c>
      <c r="L93" s="48" t="n">
        <f aca="false">IF(cu_P=1,SUMIFS(Calculo!$F$30:$ES$30,Calculo!$F$14:$ES$14,8),SUMIFS(Calculo!$F$186:$ES$186,Calculo!$F$170:$ES$170,8))</f>
        <v>0</v>
      </c>
      <c r="M93" s="48" t="n">
        <f aca="false">IF(cu_P=1,SUMIFS(Calculo!$F$30:$ES$30,Calculo!$F$14:$ES$14,9),SUMIFS(Calculo!$F$186:$ES$186,Calculo!$F$170:$ES$170,9))</f>
        <v>0</v>
      </c>
      <c r="N93" s="48" t="n">
        <f aca="false">IF(cu_P=1,SUMIFS(Calculo!$F$30:$ES$30,Calculo!$F$14:$ES$14,10),SUMIFS(Calculo!$F$186:$ES$186,Calculo!$F$170:$ES$170,10))</f>
        <v>0</v>
      </c>
      <c r="O93" s="54" t="n">
        <f aca="false">SUM(D93:N93)</f>
        <v>0</v>
      </c>
    </row>
    <row r="94" customFormat="false" ht="15" hidden="true" customHeight="false" outlineLevel="1" collapsed="false">
      <c r="A94" s="11" t="s">
        <v>2455</v>
      </c>
      <c r="B94" s="15" t="s">
        <v>2368</v>
      </c>
      <c r="C94" s="11" t="s">
        <v>508</v>
      </c>
      <c r="D94" s="48" t="n">
        <f aca="false">IF(cu_P=1,SUMIFS(Calculo!$F$55:$ES$55,Calculo!$F$16:$ES$16,1),SUMIFS(Calculo!$F$211:$ES$211,Calculo!$F$172:$ES$172,1))</f>
        <v>0</v>
      </c>
      <c r="E94" s="48" t="n">
        <f aca="false">IF(cu_P=1,SUMIFS(Calculo!$F$55:$ES$55,Calculo!$F$14:$ES$14,1),SUMIFS(Calculo!$F$211:$ES$211,Calculo!$F$170:$ES$170,1))</f>
        <v>0</v>
      </c>
      <c r="F94" s="48" t="n">
        <f aca="false">IF(cu_P=1,SUMIFS(Calculo!$F$55:$ES$55,Calculo!$F$14:$ES$14,2),SUMIFS(Calculo!$F$211:$ES$211,Calculo!$F$170:$ES$170,2))</f>
        <v>0</v>
      </c>
      <c r="G94" s="48" t="n">
        <f aca="false">IF(cu_P=1,SUMIFS(Calculo!$F$55:$ES$55,Calculo!$F$14:$ES$14,3),SUMIFS(Calculo!$F$211:$ES$211,Calculo!$F$170:$ES$170,3))</f>
        <v>0</v>
      </c>
      <c r="H94" s="48" t="n">
        <f aca="false">IF(cu_P=1,SUMIFS(Calculo!$F$55:$ES$55,Calculo!$F$14:$ES$14,4),SUMIFS(Calculo!$F$211:$ES$211,Calculo!$F$170:$ES$170,4))</f>
        <v>0</v>
      </c>
      <c r="I94" s="48" t="n">
        <f aca="false">IF(cu_P=1,SUMIFS(Calculo!$F$55:$ES$55,Calculo!$F$14:$ES$14,5),SUMIFS(Calculo!$F$211:$ES$211,Calculo!$F$170:$ES$170,5))</f>
        <v>0</v>
      </c>
      <c r="J94" s="48" t="n">
        <f aca="false">IF(cu_P=1,SUMIFS(Calculo!$F$55:$ES$55,Calculo!$F$14:$ES$14,6),SUMIFS(Calculo!$F$211:$ES$211,Calculo!$F$170:$ES$170,6))</f>
        <v>0</v>
      </c>
      <c r="K94" s="48" t="n">
        <f aca="false">IF(cu_P=1,SUMIFS(Calculo!$F$55:$ES$55,Calculo!$F$14:$ES$14,7),SUMIFS(Calculo!$F$211:$ES$211,Calculo!$F$170:$ES$170,7))</f>
        <v>0</v>
      </c>
      <c r="L94" s="48" t="n">
        <f aca="false">IF(cu_P=1,SUMIFS(Calculo!$F$55:$ES$55,Calculo!$F$14:$ES$14,8),SUMIFS(Calculo!$F$211:$ES$211,Calculo!$F$170:$ES$170,8))</f>
        <v>0</v>
      </c>
      <c r="M94" s="48" t="n">
        <f aca="false">IF(cu_P=1,SUMIFS(Calculo!$F$55:$ES$55,Calculo!$F$14:$ES$14,9),SUMIFS(Calculo!$F$211:$ES$211,Calculo!$F$170:$ES$170,9))</f>
        <v>0</v>
      </c>
      <c r="N94" s="48" t="n">
        <f aca="false">IF(cu_P=1,SUMIFS(Calculo!$F$55:$ES$55,Calculo!$F$14:$ES$14,10),SUMIFS(Calculo!$F$211:$ES$211,Calculo!$F$170:$ES$170,10))</f>
        <v>0</v>
      </c>
      <c r="O94" s="54" t="n">
        <f aca="false">SUM(D94:N94)</f>
        <v>0</v>
      </c>
    </row>
    <row r="95" customFormat="false" ht="15" hidden="true" customHeight="false" outlineLevel="1" collapsed="false">
      <c r="A95" s="11" t="s">
        <v>2456</v>
      </c>
      <c r="B95" s="15" t="s">
        <v>2370</v>
      </c>
      <c r="C95" s="11" t="s">
        <v>748</v>
      </c>
      <c r="D95" s="50" t="str">
        <f aca="false">IFERROR(IF(OR(NOT(ISNUMBER(D92)),N(D93)=0),"",D92/D93),"")</f>
        <v/>
      </c>
      <c r="E95" s="50" t="str">
        <f aca="false">IFERROR(IF(OR(NOT(ISNUMBER(E92)),N(E93)=0),"",E92/E93),"")</f>
        <v/>
      </c>
      <c r="F95" s="50" t="str">
        <f aca="false">IFERROR(IF(OR(NOT(ISNUMBER(F92)),N(F93)=0),"",F92/F93),"")</f>
        <v/>
      </c>
      <c r="G95" s="50" t="str">
        <f aca="false">IFERROR(IF(OR(NOT(ISNUMBER(G92)),N(G93)=0),"",G92/G93),"")</f>
        <v/>
      </c>
      <c r="H95" s="50" t="str">
        <f aca="false">IFERROR(IF(OR(NOT(ISNUMBER(H92)),N(H93)=0),"",H92/H93),"")</f>
        <v/>
      </c>
      <c r="I95" s="50" t="str">
        <f aca="false">IFERROR(IF(OR(NOT(ISNUMBER(I92)),N(I93)=0),"",I92/I93),"")</f>
        <v/>
      </c>
      <c r="J95" s="50" t="str">
        <f aca="false">IFERROR(IF(OR(NOT(ISNUMBER(J92)),N(J93)=0),"",J92/J93),"")</f>
        <v/>
      </c>
      <c r="K95" s="50" t="str">
        <f aca="false">IFERROR(IF(OR(NOT(ISNUMBER(K92)),N(K93)=0),"",K92/K93),"")</f>
        <v/>
      </c>
      <c r="L95" s="50" t="str">
        <f aca="false">IFERROR(IF(OR(NOT(ISNUMBER(L92)),N(L93)=0),"",L92/L93),"")</f>
        <v/>
      </c>
      <c r="M95" s="50" t="str">
        <f aca="false">IFERROR(IF(OR(NOT(ISNUMBER(M92)),N(M93)=0),"",M92/M93),"")</f>
        <v/>
      </c>
      <c r="N95" s="50" t="str">
        <f aca="false">IFERROR(IF(OR(NOT(ISNUMBER(N92)),N(N93)=0),"",N92/N93),"")</f>
        <v/>
      </c>
      <c r="O95" s="68" t="str">
        <f aca="false">IFERROR(IF(OR(NOT(ISNUMBER(O92)),N(O93)=0),"",O92/O93),"")</f>
        <v/>
      </c>
    </row>
    <row r="96" customFormat="false" ht="15" hidden="true" customHeight="false" outlineLevel="1" collapsed="false">
      <c r="A96" s="11" t="s">
        <v>2457</v>
      </c>
      <c r="B96" s="15" t="s">
        <v>2372</v>
      </c>
      <c r="C96" s="11" t="s">
        <v>748</v>
      </c>
      <c r="D96" s="50" t="str">
        <f aca="false">IFERROR(IF(N(D93)=0,"",(D94-D92)/D93),"")</f>
        <v/>
      </c>
      <c r="E96" s="50" t="str">
        <f aca="false">IFERROR(IF(N(E93)=0,"",(E94-E92)/E93),"")</f>
        <v/>
      </c>
      <c r="F96" s="50" t="str">
        <f aca="false">IFERROR(IF(N(F93)=0,"",(F94-F92)/F93),"")</f>
        <v/>
      </c>
      <c r="G96" s="50" t="str">
        <f aca="false">IFERROR(IF(N(G93)=0,"",(G94-G92)/G93),"")</f>
        <v/>
      </c>
      <c r="H96" s="50" t="str">
        <f aca="false">IFERROR(IF(N(H93)=0,"",(H94-H92)/H93),"")</f>
        <v/>
      </c>
      <c r="I96" s="50" t="str">
        <f aca="false">IFERROR(IF(N(I93)=0,"",(I94-I92)/I93),"")</f>
        <v/>
      </c>
      <c r="J96" s="50" t="str">
        <f aca="false">IFERROR(IF(N(J93)=0,"",(J94-J92)/J93),"")</f>
        <v/>
      </c>
      <c r="K96" s="50" t="str">
        <f aca="false">IFERROR(IF(N(K93)=0,"",(K94-K92)/K93),"")</f>
        <v/>
      </c>
      <c r="L96" s="50" t="str">
        <f aca="false">IFERROR(IF(N(L93)=0,"",(L94-L92)/L93),"")</f>
        <v/>
      </c>
      <c r="M96" s="50" t="str">
        <f aca="false">IFERROR(IF(N(M93)=0,"",(M94-M92)/M93),"")</f>
        <v/>
      </c>
      <c r="N96" s="50" t="str">
        <f aca="false">IFERROR(IF(N(N93)=0,"",(N94-N92)/N93),"")</f>
        <v/>
      </c>
      <c r="O96" s="68" t="str">
        <f aca="false">IFERROR(IF(N(O93)=0,"",(O94-O92)/O93),"")</f>
        <v/>
      </c>
    </row>
    <row r="97" customFormat="false" ht="15" hidden="true" customHeight="false" outlineLevel="1" collapsed="false">
      <c r="A97" s="11" t="s">
        <v>2458</v>
      </c>
      <c r="B97" s="15" t="s">
        <v>2374</v>
      </c>
      <c r="C97" s="11" t="s">
        <v>367</v>
      </c>
      <c r="D97" s="49" t="str">
        <f aca="false">IFERROR(IF(N(D94)=0,"",1-D92/D94),"")</f>
        <v/>
      </c>
      <c r="E97" s="49" t="str">
        <f aca="false">IFERROR(IF(N(E94)=0,"",1-E92/E94),"")</f>
        <v/>
      </c>
      <c r="F97" s="49" t="str">
        <f aca="false">IFERROR(IF(N(F94)=0,"",1-F92/F94),"")</f>
        <v/>
      </c>
      <c r="G97" s="49" t="str">
        <f aca="false">IFERROR(IF(N(G94)=0,"",1-G92/G94),"")</f>
        <v/>
      </c>
      <c r="H97" s="49" t="str">
        <f aca="false">IFERROR(IF(N(H94)=0,"",1-H92/H94),"")</f>
        <v/>
      </c>
      <c r="I97" s="49" t="str">
        <f aca="false">IFERROR(IF(N(I94)=0,"",1-I92/I94),"")</f>
        <v/>
      </c>
      <c r="J97" s="49" t="str">
        <f aca="false">IFERROR(IF(N(J94)=0,"",1-J92/J94),"")</f>
        <v/>
      </c>
      <c r="K97" s="49" t="str">
        <f aca="false">IFERROR(IF(N(K94)=0,"",1-K92/K94),"")</f>
        <v/>
      </c>
      <c r="L97" s="49" t="str">
        <f aca="false">IFERROR(IF(N(L94)=0,"",1-L92/L94),"")</f>
        <v/>
      </c>
      <c r="M97" s="49" t="str">
        <f aca="false">IFERROR(IF(N(M94)=0,"",1-M92/M94),"")</f>
        <v/>
      </c>
      <c r="N97" s="49" t="str">
        <f aca="false">IFERROR(IF(N(N94)=0,"",1-N92/N94),"")</f>
        <v/>
      </c>
      <c r="O97" s="99" t="str">
        <f aca="false">IFERROR(IF(N(O94)=0,"",1-O92/O94),"")</f>
        <v/>
      </c>
    </row>
    <row r="98" customFormat="false" ht="15" hidden="true" customHeight="false" outlineLevel="1" collapsed="false">
      <c r="A98" s="11" t="s">
        <v>2459</v>
      </c>
      <c r="B98" s="15" t="s">
        <v>2376</v>
      </c>
      <c r="C98" s="11" t="s">
        <v>508</v>
      </c>
      <c r="D98" s="48" t="str">
        <f aca="false">IFERROR(IF(OR(NOT(ISNUMBER(D92)),N(D9)=0),"",D10*D92/D9),"")</f>
        <v/>
      </c>
      <c r="E98" s="48" t="n">
        <f aca="false">IFERROR(IF(OR(NOT(ISNUMBER(E92)),N(E9)=0),"",E10*E92/E9),"")</f>
        <v>0</v>
      </c>
      <c r="F98" s="48" t="n">
        <f aca="false">IFERROR(IF(OR(NOT(ISNUMBER(F92)),N(F9)=0),"",F10*F92/F9),"")</f>
        <v>0</v>
      </c>
      <c r="G98" s="48" t="n">
        <f aca="false">IFERROR(IF(OR(NOT(ISNUMBER(G92)),N(G9)=0),"",G10*G92/G9),"")</f>
        <v>0</v>
      </c>
      <c r="H98" s="48" t="n">
        <f aca="false">IFERROR(IF(OR(NOT(ISNUMBER(H92)),N(H9)=0),"",H10*H92/H9),"")</f>
        <v>0</v>
      </c>
      <c r="I98" s="48" t="n">
        <f aca="false">IFERROR(IF(OR(NOT(ISNUMBER(I92)),N(I9)=0),"",I10*I92/I9),"")</f>
        <v>0</v>
      </c>
      <c r="J98" s="48" t="n">
        <f aca="false">IFERROR(IF(OR(NOT(ISNUMBER(J92)),N(J9)=0),"",J10*J92/J9),"")</f>
        <v>0</v>
      </c>
      <c r="K98" s="48" t="n">
        <f aca="false">IFERROR(IF(OR(NOT(ISNUMBER(K92)),N(K9)=0),"",K10*K92/K9),"")</f>
        <v>0</v>
      </c>
      <c r="L98" s="48" t="n">
        <f aca="false">IFERROR(IF(OR(NOT(ISNUMBER(L92)),N(L9)=0),"",L10*L92/L9),"")</f>
        <v>0</v>
      </c>
      <c r="M98" s="48" t="n">
        <f aca="false">IFERROR(IF(OR(NOT(ISNUMBER(M92)),N(M9)=0),"",M10*M92/M9),"")</f>
        <v>0</v>
      </c>
      <c r="N98" s="48" t="n">
        <f aca="false">IFERROR(IF(OR(NOT(ISNUMBER(N92)),N(N9)=0),"",N10*N92/N9),"")</f>
        <v>0</v>
      </c>
      <c r="O98" s="54" t="n">
        <f aca="false">SUM(D98:N98)</f>
        <v>0</v>
      </c>
    </row>
    <row r="99" customFormat="false" ht="15" hidden="true" customHeight="false" outlineLevel="1" collapsed="false">
      <c r="A99" s="11" t="s">
        <v>2460</v>
      </c>
      <c r="B99" s="15" t="s">
        <v>2378</v>
      </c>
      <c r="C99" s="11" t="s">
        <v>508</v>
      </c>
      <c r="D99" s="48" t="n">
        <f aca="false">IFERROR(IF(COUNT(D92,D98)=0,"",N(D92)+N(D98)),"")</f>
        <v>0</v>
      </c>
      <c r="E99" s="48" t="n">
        <f aca="false">IFERROR(IF(COUNT(E92,E98)=0,"",N(E92)+N(E98)),"")</f>
        <v>0</v>
      </c>
      <c r="F99" s="48" t="n">
        <f aca="false">IFERROR(IF(COUNT(F92,F98)=0,"",N(F92)+N(F98)),"")</f>
        <v>0</v>
      </c>
      <c r="G99" s="48" t="n">
        <f aca="false">IFERROR(IF(COUNT(G92,G98)=0,"",N(G92)+N(G98)),"")</f>
        <v>0</v>
      </c>
      <c r="H99" s="48" t="n">
        <f aca="false">IFERROR(IF(COUNT(H92,H98)=0,"",N(H92)+N(H98)),"")</f>
        <v>0</v>
      </c>
      <c r="I99" s="48" t="n">
        <f aca="false">IFERROR(IF(COUNT(I92,I98)=0,"",N(I92)+N(I98)),"")</f>
        <v>0</v>
      </c>
      <c r="J99" s="48" t="n">
        <f aca="false">IFERROR(IF(COUNT(J92,J98)=0,"",N(J92)+N(J98)),"")</f>
        <v>0</v>
      </c>
      <c r="K99" s="48" t="n">
        <f aca="false">IFERROR(IF(COUNT(K92,K98)=0,"",N(K92)+N(K98)),"")</f>
        <v>0</v>
      </c>
      <c r="L99" s="48" t="n">
        <f aca="false">IFERROR(IF(COUNT(L92,L98)=0,"",N(L92)+N(L98)),"")</f>
        <v>0</v>
      </c>
      <c r="M99" s="48" t="n">
        <f aca="false">IFERROR(IF(COUNT(M92,M98)=0,"",N(M92)+N(M98)),"")</f>
        <v>0</v>
      </c>
      <c r="N99" s="48" t="n">
        <f aca="false">IFERROR(IF(COUNT(N92,N98)=0,"",N(N92)+N(N98)),"")</f>
        <v>0</v>
      </c>
      <c r="O99" s="54" t="n">
        <f aca="false">SUM(D99:N99)</f>
        <v>0</v>
      </c>
    </row>
    <row r="100" customFormat="false" ht="15" hidden="true" customHeight="false" outlineLevel="1" collapsed="false">
      <c r="A100" s="11" t="s">
        <v>2461</v>
      </c>
      <c r="B100" s="15" t="s">
        <v>2380</v>
      </c>
      <c r="C100" s="11" t="s">
        <v>748</v>
      </c>
      <c r="D100" s="50" t="str">
        <f aca="false">IFERROR(IF(OR(NOT(ISNUMBER(D99)),N(D93)=0),"",D99/D93),"")</f>
        <v/>
      </c>
      <c r="E100" s="50" t="str">
        <f aca="false">IFERROR(IF(OR(NOT(ISNUMBER(E99)),N(E93)=0),"",E99/E93),"")</f>
        <v/>
      </c>
      <c r="F100" s="50" t="str">
        <f aca="false">IFERROR(IF(OR(NOT(ISNUMBER(F99)),N(F93)=0),"",F99/F93),"")</f>
        <v/>
      </c>
      <c r="G100" s="50" t="str">
        <f aca="false">IFERROR(IF(OR(NOT(ISNUMBER(G99)),N(G93)=0),"",G99/G93),"")</f>
        <v/>
      </c>
      <c r="H100" s="50" t="str">
        <f aca="false">IFERROR(IF(OR(NOT(ISNUMBER(H99)),N(H93)=0),"",H99/H93),"")</f>
        <v/>
      </c>
      <c r="I100" s="50" t="str">
        <f aca="false">IFERROR(IF(OR(NOT(ISNUMBER(I99)),N(I93)=0),"",I99/I93),"")</f>
        <v/>
      </c>
      <c r="J100" s="50" t="str">
        <f aca="false">IFERROR(IF(OR(NOT(ISNUMBER(J99)),N(J93)=0),"",J99/J93),"")</f>
        <v/>
      </c>
      <c r="K100" s="50" t="str">
        <f aca="false">IFERROR(IF(OR(NOT(ISNUMBER(K99)),N(K93)=0),"",K99/K93),"")</f>
        <v/>
      </c>
      <c r="L100" s="50" t="str">
        <f aca="false">IFERROR(IF(OR(NOT(ISNUMBER(L99)),N(L93)=0),"",L99/L93),"")</f>
        <v/>
      </c>
      <c r="M100" s="50" t="str">
        <f aca="false">IFERROR(IF(OR(NOT(ISNUMBER(M99)),N(M93)=0),"",M99/M93),"")</f>
        <v/>
      </c>
      <c r="N100" s="50" t="str">
        <f aca="false">IFERROR(IF(OR(NOT(ISNUMBER(N99)),N(N93)=0),"",N99/N93),"")</f>
        <v/>
      </c>
      <c r="O100" s="68" t="str">
        <f aca="false">IFERROR(IF(OR(NOT(ISNUMBER(O99)),N(O93)=0),"",O99/O93),"")</f>
        <v/>
      </c>
    </row>
    <row r="101" customFormat="false" ht="15" hidden="true" customHeight="false" outlineLevel="1" collapsed="false">
      <c r="A101" s="11" t="s">
        <v>2462</v>
      </c>
      <c r="B101" s="53" t="str">
        <f aca="false">IF(INDEX(Prod_Nombre,11)="","Producto 11",INDEX(Prod_Nombre,11))&amp;" — costo directo"</f>
        <v>Producto 11 — costo directo</v>
      </c>
      <c r="C101" s="11" t="s">
        <v>508</v>
      </c>
      <c r="D101" s="48" t="n">
        <f aca="false">IF(cu_P=1,(SUMIFS(Calculo!$F$31:$ES$31,Calculo!$F$16:$ES$16,1)*N(INDEX(MP_O,11))*INDEX(IdxMP_O,1,1)*(1+P_dMat)/(1-P_Merma)+SUMIFS(Calculo!$F$31:$ES$31,Calculo!$F$16:$ES$16,1)*N(INDEX(INS_O,11))*INDEX(IdxOV_O,1,1)*(1+P_dMat)/(1-P_Merma)+SUMIFS(Calculo!$F$31:$ES$31,Calculo!$F$16:$ES$16,1)*N(INDEX(OV_O,11))*INDEX(IdxOV_O,1,1)*(1+P_dMat)/(1-P_Merma)),(SUMIFS(Calculo!$F$187:$ES$187,Calculo!$F$172:$ES$172,1)*N(INDEX(MP_V,11))*INDEX(IdxMP_V,1,1)*(1+V_dMat)/(1-V_Merma)+SUMIFS(Calculo!$F$187:$ES$187,Calculo!$F$172:$ES$172,1)*N(INDEX(INS_V,11))*INDEX(IdxOV_V,1,1)*(1+V_dMat)/(1-V_Merma)+SUMIFS(Calculo!$F$187:$ES$187,Calculo!$F$172:$ES$172,1)*N(INDEX(OV_V,11))*INDEX(IdxOV_V,1,1)*(1+V_dMat)/(1-V_Merma)))</f>
        <v>0</v>
      </c>
      <c r="E101" s="48" t="n">
        <f aca="false">IF(cu_P=1,(SUMIFS(Calculo!$F$31:$ES$31,Calculo!$F$14:$ES$14,1)*N(INDEX(MP_O,11))*INDEX(IdxMP_O,1,1)*(1+P_dMat)/(1-P_Merma)+SUMIFS(Calculo!$F$31:$ES$31,Calculo!$F$14:$ES$14,1)*N(INDEX(INS_O,11))*INDEX(IdxOV_O,1,1)*(1+P_dMat)/(1-P_Merma)+SUMIFS(Calculo!$F$31:$ES$31,Calculo!$F$14:$ES$14,1)*N(INDEX(OV_O,11))*INDEX(IdxOV_O,1,1)*(1+P_dMat)/(1-P_Merma)),(SUMIFS(Calculo!$F$187:$ES$187,Calculo!$F$170:$ES$170,1)*N(INDEX(MP_V,11))*INDEX(IdxMP_V,1,1)*(1+V_dMat)/(1-V_Merma)+SUMIFS(Calculo!$F$187:$ES$187,Calculo!$F$170:$ES$170,1)*N(INDEX(INS_V,11))*INDEX(IdxOV_V,1,1)*(1+V_dMat)/(1-V_Merma)+SUMIFS(Calculo!$F$187:$ES$187,Calculo!$F$170:$ES$170,1)*N(INDEX(OV_V,11))*INDEX(IdxOV_V,1,1)*(1+V_dMat)/(1-V_Merma)))</f>
        <v>0</v>
      </c>
      <c r="F101" s="48" t="n">
        <f aca="false">IF(cu_P=1,(SUMIFS(Calculo!$F$31:$ES$31,Calculo!$F$14:$ES$14,2)*N(INDEX(MP_O,11))*INDEX(IdxMP_O,1,2)*(1+P_dMat)/(1-P_Merma)+SUMIFS(Calculo!$F$31:$ES$31,Calculo!$F$14:$ES$14,2)*N(INDEX(INS_O,11))*INDEX(IdxOV_O,1,2)*(1+P_dMat)/(1-P_Merma)+SUMIFS(Calculo!$F$31:$ES$31,Calculo!$F$14:$ES$14,2)*N(INDEX(OV_O,11))*INDEX(IdxOV_O,1,2)*(1+P_dMat)/(1-P_Merma)),(SUMIFS(Calculo!$F$187:$ES$187,Calculo!$F$170:$ES$170,2)*N(INDEX(MP_V,11))*INDEX(IdxMP_V,1,2)*(1+V_dMat)/(1-V_Merma)+SUMIFS(Calculo!$F$187:$ES$187,Calculo!$F$170:$ES$170,2)*N(INDEX(INS_V,11))*INDEX(IdxOV_V,1,2)*(1+V_dMat)/(1-V_Merma)+SUMIFS(Calculo!$F$187:$ES$187,Calculo!$F$170:$ES$170,2)*N(INDEX(OV_V,11))*INDEX(IdxOV_V,1,2)*(1+V_dMat)/(1-V_Merma)))</f>
        <v>0</v>
      </c>
      <c r="G101" s="48" t="n">
        <f aca="false">IF(cu_P=1,(SUMIFS(Calculo!$F$31:$ES$31,Calculo!$F$14:$ES$14,3)*N(INDEX(MP_O,11))*INDEX(IdxMP_O,1,3)*(1+P_dMat)/(1-P_Merma)+SUMIFS(Calculo!$F$31:$ES$31,Calculo!$F$14:$ES$14,3)*N(INDEX(INS_O,11))*INDEX(IdxOV_O,1,3)*(1+P_dMat)/(1-P_Merma)+SUMIFS(Calculo!$F$31:$ES$31,Calculo!$F$14:$ES$14,3)*N(INDEX(OV_O,11))*INDEX(IdxOV_O,1,3)*(1+P_dMat)/(1-P_Merma)),(SUMIFS(Calculo!$F$187:$ES$187,Calculo!$F$170:$ES$170,3)*N(INDEX(MP_V,11))*INDEX(IdxMP_V,1,3)*(1+V_dMat)/(1-V_Merma)+SUMIFS(Calculo!$F$187:$ES$187,Calculo!$F$170:$ES$170,3)*N(INDEX(INS_V,11))*INDEX(IdxOV_V,1,3)*(1+V_dMat)/(1-V_Merma)+SUMIFS(Calculo!$F$187:$ES$187,Calculo!$F$170:$ES$170,3)*N(INDEX(OV_V,11))*INDEX(IdxOV_V,1,3)*(1+V_dMat)/(1-V_Merma)))</f>
        <v>0</v>
      </c>
      <c r="H101" s="48" t="n">
        <f aca="false">IF(cu_P=1,(SUMIFS(Calculo!$F$31:$ES$31,Calculo!$F$14:$ES$14,4)*N(INDEX(MP_O,11))*INDEX(IdxMP_O,1,4)*(1+P_dMat)/(1-P_Merma)+SUMIFS(Calculo!$F$31:$ES$31,Calculo!$F$14:$ES$14,4)*N(INDEX(INS_O,11))*INDEX(IdxOV_O,1,4)*(1+P_dMat)/(1-P_Merma)+SUMIFS(Calculo!$F$31:$ES$31,Calculo!$F$14:$ES$14,4)*N(INDEX(OV_O,11))*INDEX(IdxOV_O,1,4)*(1+P_dMat)/(1-P_Merma)),(SUMIFS(Calculo!$F$187:$ES$187,Calculo!$F$170:$ES$170,4)*N(INDEX(MP_V,11))*INDEX(IdxMP_V,1,4)*(1+V_dMat)/(1-V_Merma)+SUMIFS(Calculo!$F$187:$ES$187,Calculo!$F$170:$ES$170,4)*N(INDEX(INS_V,11))*INDEX(IdxOV_V,1,4)*(1+V_dMat)/(1-V_Merma)+SUMIFS(Calculo!$F$187:$ES$187,Calculo!$F$170:$ES$170,4)*N(INDEX(OV_V,11))*INDEX(IdxOV_V,1,4)*(1+V_dMat)/(1-V_Merma)))</f>
        <v>0</v>
      </c>
      <c r="I101" s="48" t="n">
        <f aca="false">IF(cu_P=1,(SUMIFS(Calculo!$F$31:$ES$31,Calculo!$F$14:$ES$14,5)*N(INDEX(MP_O,11))*INDEX(IdxMP_O,1,5)*(1+P_dMat)/(1-P_Merma)+SUMIFS(Calculo!$F$31:$ES$31,Calculo!$F$14:$ES$14,5)*N(INDEX(INS_O,11))*INDEX(IdxOV_O,1,5)*(1+P_dMat)/(1-P_Merma)+SUMIFS(Calculo!$F$31:$ES$31,Calculo!$F$14:$ES$14,5)*N(INDEX(OV_O,11))*INDEX(IdxOV_O,1,5)*(1+P_dMat)/(1-P_Merma)),(SUMIFS(Calculo!$F$187:$ES$187,Calculo!$F$170:$ES$170,5)*N(INDEX(MP_V,11))*INDEX(IdxMP_V,1,5)*(1+V_dMat)/(1-V_Merma)+SUMIFS(Calculo!$F$187:$ES$187,Calculo!$F$170:$ES$170,5)*N(INDEX(INS_V,11))*INDEX(IdxOV_V,1,5)*(1+V_dMat)/(1-V_Merma)+SUMIFS(Calculo!$F$187:$ES$187,Calculo!$F$170:$ES$170,5)*N(INDEX(OV_V,11))*INDEX(IdxOV_V,1,5)*(1+V_dMat)/(1-V_Merma)))</f>
        <v>0</v>
      </c>
      <c r="J101" s="48" t="n">
        <f aca="false">IF(cu_P=1,(SUMIFS(Calculo!$F$31:$ES$31,Calculo!$F$14:$ES$14,6)*N(INDEX(MP_O,11))*INDEX(IdxMP_O,1,6)*(1+P_dMat)/(1-P_Merma)+SUMIFS(Calculo!$F$31:$ES$31,Calculo!$F$14:$ES$14,6)*N(INDEX(INS_O,11))*INDEX(IdxOV_O,1,6)*(1+P_dMat)/(1-P_Merma)+SUMIFS(Calculo!$F$31:$ES$31,Calculo!$F$14:$ES$14,6)*N(INDEX(OV_O,11))*INDEX(IdxOV_O,1,6)*(1+P_dMat)/(1-P_Merma)),(SUMIFS(Calculo!$F$187:$ES$187,Calculo!$F$170:$ES$170,6)*N(INDEX(MP_V,11))*INDEX(IdxMP_V,1,6)*(1+V_dMat)/(1-V_Merma)+SUMIFS(Calculo!$F$187:$ES$187,Calculo!$F$170:$ES$170,6)*N(INDEX(INS_V,11))*INDEX(IdxOV_V,1,6)*(1+V_dMat)/(1-V_Merma)+SUMIFS(Calculo!$F$187:$ES$187,Calculo!$F$170:$ES$170,6)*N(INDEX(OV_V,11))*INDEX(IdxOV_V,1,6)*(1+V_dMat)/(1-V_Merma)))</f>
        <v>0</v>
      </c>
      <c r="K101" s="48" t="n">
        <f aca="false">IF(cu_P=1,(SUMIFS(Calculo!$F$31:$ES$31,Calculo!$F$14:$ES$14,7)*N(INDEX(MP_O,11))*INDEX(IdxMP_O,1,7)*(1+P_dMat)/(1-P_Merma)+SUMIFS(Calculo!$F$31:$ES$31,Calculo!$F$14:$ES$14,7)*N(INDEX(INS_O,11))*INDEX(IdxOV_O,1,7)*(1+P_dMat)/(1-P_Merma)+SUMIFS(Calculo!$F$31:$ES$31,Calculo!$F$14:$ES$14,7)*N(INDEX(OV_O,11))*INDEX(IdxOV_O,1,7)*(1+P_dMat)/(1-P_Merma)),(SUMIFS(Calculo!$F$187:$ES$187,Calculo!$F$170:$ES$170,7)*N(INDEX(MP_V,11))*INDEX(IdxMP_V,1,7)*(1+V_dMat)/(1-V_Merma)+SUMIFS(Calculo!$F$187:$ES$187,Calculo!$F$170:$ES$170,7)*N(INDEX(INS_V,11))*INDEX(IdxOV_V,1,7)*(1+V_dMat)/(1-V_Merma)+SUMIFS(Calculo!$F$187:$ES$187,Calculo!$F$170:$ES$170,7)*N(INDEX(OV_V,11))*INDEX(IdxOV_V,1,7)*(1+V_dMat)/(1-V_Merma)))</f>
        <v>0</v>
      </c>
      <c r="L101" s="48" t="n">
        <f aca="false">IF(cu_P=1,(SUMIFS(Calculo!$F$31:$ES$31,Calculo!$F$14:$ES$14,8)*N(INDEX(MP_O,11))*INDEX(IdxMP_O,1,8)*(1+P_dMat)/(1-P_Merma)+SUMIFS(Calculo!$F$31:$ES$31,Calculo!$F$14:$ES$14,8)*N(INDEX(INS_O,11))*INDEX(IdxOV_O,1,8)*(1+P_dMat)/(1-P_Merma)+SUMIFS(Calculo!$F$31:$ES$31,Calculo!$F$14:$ES$14,8)*N(INDEX(OV_O,11))*INDEX(IdxOV_O,1,8)*(1+P_dMat)/(1-P_Merma)),(SUMIFS(Calculo!$F$187:$ES$187,Calculo!$F$170:$ES$170,8)*N(INDEX(MP_V,11))*INDEX(IdxMP_V,1,8)*(1+V_dMat)/(1-V_Merma)+SUMIFS(Calculo!$F$187:$ES$187,Calculo!$F$170:$ES$170,8)*N(INDEX(INS_V,11))*INDEX(IdxOV_V,1,8)*(1+V_dMat)/(1-V_Merma)+SUMIFS(Calculo!$F$187:$ES$187,Calculo!$F$170:$ES$170,8)*N(INDEX(OV_V,11))*INDEX(IdxOV_V,1,8)*(1+V_dMat)/(1-V_Merma)))</f>
        <v>0</v>
      </c>
      <c r="M101" s="48" t="n">
        <f aca="false">IF(cu_P=1,(SUMIFS(Calculo!$F$31:$ES$31,Calculo!$F$14:$ES$14,9)*N(INDEX(MP_O,11))*INDEX(IdxMP_O,1,9)*(1+P_dMat)/(1-P_Merma)+SUMIFS(Calculo!$F$31:$ES$31,Calculo!$F$14:$ES$14,9)*N(INDEX(INS_O,11))*INDEX(IdxOV_O,1,9)*(1+P_dMat)/(1-P_Merma)+SUMIFS(Calculo!$F$31:$ES$31,Calculo!$F$14:$ES$14,9)*N(INDEX(OV_O,11))*INDEX(IdxOV_O,1,9)*(1+P_dMat)/(1-P_Merma)),(SUMIFS(Calculo!$F$187:$ES$187,Calculo!$F$170:$ES$170,9)*N(INDEX(MP_V,11))*INDEX(IdxMP_V,1,9)*(1+V_dMat)/(1-V_Merma)+SUMIFS(Calculo!$F$187:$ES$187,Calculo!$F$170:$ES$170,9)*N(INDEX(INS_V,11))*INDEX(IdxOV_V,1,9)*(1+V_dMat)/(1-V_Merma)+SUMIFS(Calculo!$F$187:$ES$187,Calculo!$F$170:$ES$170,9)*N(INDEX(OV_V,11))*INDEX(IdxOV_V,1,9)*(1+V_dMat)/(1-V_Merma)))</f>
        <v>0</v>
      </c>
      <c r="N101" s="48" t="n">
        <f aca="false">IF(cu_P=1,(SUMIFS(Calculo!$F$31:$ES$31,Calculo!$F$14:$ES$14,10)*N(INDEX(MP_O,11))*INDEX(IdxMP_O,1,10)*(1+P_dMat)/(1-P_Merma)+SUMIFS(Calculo!$F$31:$ES$31,Calculo!$F$14:$ES$14,10)*N(INDEX(INS_O,11))*INDEX(IdxOV_O,1,10)*(1+P_dMat)/(1-P_Merma)+SUMIFS(Calculo!$F$31:$ES$31,Calculo!$F$14:$ES$14,10)*N(INDEX(OV_O,11))*INDEX(IdxOV_O,1,10)*(1+P_dMat)/(1-P_Merma)),(SUMIFS(Calculo!$F$187:$ES$187,Calculo!$F$170:$ES$170,10)*N(INDEX(MP_V,11))*INDEX(IdxMP_V,1,10)*(1+V_dMat)/(1-V_Merma)+SUMIFS(Calculo!$F$187:$ES$187,Calculo!$F$170:$ES$170,10)*N(INDEX(INS_V,11))*INDEX(IdxOV_V,1,10)*(1+V_dMat)/(1-V_Merma)+SUMIFS(Calculo!$F$187:$ES$187,Calculo!$F$170:$ES$170,10)*N(INDEX(OV_V,11))*INDEX(IdxOV_V,1,10)*(1+V_dMat)/(1-V_Merma)))</f>
        <v>0</v>
      </c>
      <c r="O101" s="54" t="n">
        <f aca="false">SUM(D101:N101)</f>
        <v>0</v>
      </c>
    </row>
    <row r="102" customFormat="false" ht="15" hidden="true" customHeight="false" outlineLevel="1" collapsed="false">
      <c r="A102" s="11" t="s">
        <v>2463</v>
      </c>
      <c r="B102" s="15" t="s">
        <v>2366</v>
      </c>
      <c r="C102" s="11" t="s">
        <v>544</v>
      </c>
      <c r="D102" s="48" t="n">
        <f aca="false">IF(cu_P=1,SUMIFS(Calculo!$F$31:$ES$31,Calculo!$F$16:$ES$16,1),SUMIFS(Calculo!$F$187:$ES$187,Calculo!$F$172:$ES$172,1))</f>
        <v>0</v>
      </c>
      <c r="E102" s="48" t="n">
        <f aca="false">IF(cu_P=1,SUMIFS(Calculo!$F$31:$ES$31,Calculo!$F$14:$ES$14,1),SUMIFS(Calculo!$F$187:$ES$187,Calculo!$F$170:$ES$170,1))</f>
        <v>0</v>
      </c>
      <c r="F102" s="48" t="n">
        <f aca="false">IF(cu_P=1,SUMIFS(Calculo!$F$31:$ES$31,Calculo!$F$14:$ES$14,2),SUMIFS(Calculo!$F$187:$ES$187,Calculo!$F$170:$ES$170,2))</f>
        <v>0</v>
      </c>
      <c r="G102" s="48" t="n">
        <f aca="false">IF(cu_P=1,SUMIFS(Calculo!$F$31:$ES$31,Calculo!$F$14:$ES$14,3),SUMIFS(Calculo!$F$187:$ES$187,Calculo!$F$170:$ES$170,3))</f>
        <v>0</v>
      </c>
      <c r="H102" s="48" t="n">
        <f aca="false">IF(cu_P=1,SUMIFS(Calculo!$F$31:$ES$31,Calculo!$F$14:$ES$14,4),SUMIFS(Calculo!$F$187:$ES$187,Calculo!$F$170:$ES$170,4))</f>
        <v>0</v>
      </c>
      <c r="I102" s="48" t="n">
        <f aca="false">IF(cu_P=1,SUMIFS(Calculo!$F$31:$ES$31,Calculo!$F$14:$ES$14,5),SUMIFS(Calculo!$F$187:$ES$187,Calculo!$F$170:$ES$170,5))</f>
        <v>0</v>
      </c>
      <c r="J102" s="48" t="n">
        <f aca="false">IF(cu_P=1,SUMIFS(Calculo!$F$31:$ES$31,Calculo!$F$14:$ES$14,6),SUMIFS(Calculo!$F$187:$ES$187,Calculo!$F$170:$ES$170,6))</f>
        <v>0</v>
      </c>
      <c r="K102" s="48" t="n">
        <f aca="false">IF(cu_P=1,SUMIFS(Calculo!$F$31:$ES$31,Calculo!$F$14:$ES$14,7),SUMIFS(Calculo!$F$187:$ES$187,Calculo!$F$170:$ES$170,7))</f>
        <v>0</v>
      </c>
      <c r="L102" s="48" t="n">
        <f aca="false">IF(cu_P=1,SUMIFS(Calculo!$F$31:$ES$31,Calculo!$F$14:$ES$14,8),SUMIFS(Calculo!$F$187:$ES$187,Calculo!$F$170:$ES$170,8))</f>
        <v>0</v>
      </c>
      <c r="M102" s="48" t="n">
        <f aca="false">IF(cu_P=1,SUMIFS(Calculo!$F$31:$ES$31,Calculo!$F$14:$ES$14,9),SUMIFS(Calculo!$F$187:$ES$187,Calculo!$F$170:$ES$170,9))</f>
        <v>0</v>
      </c>
      <c r="N102" s="48" t="n">
        <f aca="false">IF(cu_P=1,SUMIFS(Calculo!$F$31:$ES$31,Calculo!$F$14:$ES$14,10),SUMIFS(Calculo!$F$187:$ES$187,Calculo!$F$170:$ES$170,10))</f>
        <v>0</v>
      </c>
      <c r="O102" s="54" t="n">
        <f aca="false">SUM(D102:N102)</f>
        <v>0</v>
      </c>
    </row>
    <row r="103" customFormat="false" ht="15" hidden="true" customHeight="false" outlineLevel="1" collapsed="false">
      <c r="A103" s="11" t="s">
        <v>2464</v>
      </c>
      <c r="B103" s="15" t="s">
        <v>2368</v>
      </c>
      <c r="C103" s="11" t="s">
        <v>508</v>
      </c>
      <c r="D103" s="48" t="n">
        <f aca="false">IF(cu_P=1,SUMIFS(Calculo!$F$56:$ES$56,Calculo!$F$16:$ES$16,1),SUMIFS(Calculo!$F$212:$ES$212,Calculo!$F$172:$ES$172,1))</f>
        <v>0</v>
      </c>
      <c r="E103" s="48" t="n">
        <f aca="false">IF(cu_P=1,SUMIFS(Calculo!$F$56:$ES$56,Calculo!$F$14:$ES$14,1),SUMIFS(Calculo!$F$212:$ES$212,Calculo!$F$170:$ES$170,1))</f>
        <v>0</v>
      </c>
      <c r="F103" s="48" t="n">
        <f aca="false">IF(cu_P=1,SUMIFS(Calculo!$F$56:$ES$56,Calculo!$F$14:$ES$14,2),SUMIFS(Calculo!$F$212:$ES$212,Calculo!$F$170:$ES$170,2))</f>
        <v>0</v>
      </c>
      <c r="G103" s="48" t="n">
        <f aca="false">IF(cu_P=1,SUMIFS(Calculo!$F$56:$ES$56,Calculo!$F$14:$ES$14,3),SUMIFS(Calculo!$F$212:$ES$212,Calculo!$F$170:$ES$170,3))</f>
        <v>0</v>
      </c>
      <c r="H103" s="48" t="n">
        <f aca="false">IF(cu_P=1,SUMIFS(Calculo!$F$56:$ES$56,Calculo!$F$14:$ES$14,4),SUMIFS(Calculo!$F$212:$ES$212,Calculo!$F$170:$ES$170,4))</f>
        <v>0</v>
      </c>
      <c r="I103" s="48" t="n">
        <f aca="false">IF(cu_P=1,SUMIFS(Calculo!$F$56:$ES$56,Calculo!$F$14:$ES$14,5),SUMIFS(Calculo!$F$212:$ES$212,Calculo!$F$170:$ES$170,5))</f>
        <v>0</v>
      </c>
      <c r="J103" s="48" t="n">
        <f aca="false">IF(cu_P=1,SUMIFS(Calculo!$F$56:$ES$56,Calculo!$F$14:$ES$14,6),SUMIFS(Calculo!$F$212:$ES$212,Calculo!$F$170:$ES$170,6))</f>
        <v>0</v>
      </c>
      <c r="K103" s="48" t="n">
        <f aca="false">IF(cu_P=1,SUMIFS(Calculo!$F$56:$ES$56,Calculo!$F$14:$ES$14,7),SUMIFS(Calculo!$F$212:$ES$212,Calculo!$F$170:$ES$170,7))</f>
        <v>0</v>
      </c>
      <c r="L103" s="48" t="n">
        <f aca="false">IF(cu_P=1,SUMIFS(Calculo!$F$56:$ES$56,Calculo!$F$14:$ES$14,8),SUMIFS(Calculo!$F$212:$ES$212,Calculo!$F$170:$ES$170,8))</f>
        <v>0</v>
      </c>
      <c r="M103" s="48" t="n">
        <f aca="false">IF(cu_P=1,SUMIFS(Calculo!$F$56:$ES$56,Calculo!$F$14:$ES$14,9),SUMIFS(Calculo!$F$212:$ES$212,Calculo!$F$170:$ES$170,9))</f>
        <v>0</v>
      </c>
      <c r="N103" s="48" t="n">
        <f aca="false">IF(cu_P=1,SUMIFS(Calculo!$F$56:$ES$56,Calculo!$F$14:$ES$14,10),SUMIFS(Calculo!$F$212:$ES$212,Calculo!$F$170:$ES$170,10))</f>
        <v>0</v>
      </c>
      <c r="O103" s="54" t="n">
        <f aca="false">SUM(D103:N103)</f>
        <v>0</v>
      </c>
    </row>
    <row r="104" customFormat="false" ht="15" hidden="true" customHeight="false" outlineLevel="1" collapsed="false">
      <c r="A104" s="11" t="s">
        <v>2465</v>
      </c>
      <c r="B104" s="15" t="s">
        <v>2370</v>
      </c>
      <c r="C104" s="11" t="s">
        <v>748</v>
      </c>
      <c r="D104" s="50" t="str">
        <f aca="false">IFERROR(IF(OR(NOT(ISNUMBER(D101)),N(D102)=0),"",D101/D102),"")</f>
        <v/>
      </c>
      <c r="E104" s="50" t="str">
        <f aca="false">IFERROR(IF(OR(NOT(ISNUMBER(E101)),N(E102)=0),"",E101/E102),"")</f>
        <v/>
      </c>
      <c r="F104" s="50" t="str">
        <f aca="false">IFERROR(IF(OR(NOT(ISNUMBER(F101)),N(F102)=0),"",F101/F102),"")</f>
        <v/>
      </c>
      <c r="G104" s="50" t="str">
        <f aca="false">IFERROR(IF(OR(NOT(ISNUMBER(G101)),N(G102)=0),"",G101/G102),"")</f>
        <v/>
      </c>
      <c r="H104" s="50" t="str">
        <f aca="false">IFERROR(IF(OR(NOT(ISNUMBER(H101)),N(H102)=0),"",H101/H102),"")</f>
        <v/>
      </c>
      <c r="I104" s="50" t="str">
        <f aca="false">IFERROR(IF(OR(NOT(ISNUMBER(I101)),N(I102)=0),"",I101/I102),"")</f>
        <v/>
      </c>
      <c r="J104" s="50" t="str">
        <f aca="false">IFERROR(IF(OR(NOT(ISNUMBER(J101)),N(J102)=0),"",J101/J102),"")</f>
        <v/>
      </c>
      <c r="K104" s="50" t="str">
        <f aca="false">IFERROR(IF(OR(NOT(ISNUMBER(K101)),N(K102)=0),"",K101/K102),"")</f>
        <v/>
      </c>
      <c r="L104" s="50" t="str">
        <f aca="false">IFERROR(IF(OR(NOT(ISNUMBER(L101)),N(L102)=0),"",L101/L102),"")</f>
        <v/>
      </c>
      <c r="M104" s="50" t="str">
        <f aca="false">IFERROR(IF(OR(NOT(ISNUMBER(M101)),N(M102)=0),"",M101/M102),"")</f>
        <v/>
      </c>
      <c r="N104" s="50" t="str">
        <f aca="false">IFERROR(IF(OR(NOT(ISNUMBER(N101)),N(N102)=0),"",N101/N102),"")</f>
        <v/>
      </c>
      <c r="O104" s="68" t="str">
        <f aca="false">IFERROR(IF(OR(NOT(ISNUMBER(O101)),N(O102)=0),"",O101/O102),"")</f>
        <v/>
      </c>
    </row>
    <row r="105" customFormat="false" ht="15" hidden="true" customHeight="false" outlineLevel="1" collapsed="false">
      <c r="A105" s="11" t="s">
        <v>2466</v>
      </c>
      <c r="B105" s="15" t="s">
        <v>2372</v>
      </c>
      <c r="C105" s="11" t="s">
        <v>748</v>
      </c>
      <c r="D105" s="50" t="str">
        <f aca="false">IFERROR(IF(N(D102)=0,"",(D103-D101)/D102),"")</f>
        <v/>
      </c>
      <c r="E105" s="50" t="str">
        <f aca="false">IFERROR(IF(N(E102)=0,"",(E103-E101)/E102),"")</f>
        <v/>
      </c>
      <c r="F105" s="50" t="str">
        <f aca="false">IFERROR(IF(N(F102)=0,"",(F103-F101)/F102),"")</f>
        <v/>
      </c>
      <c r="G105" s="50" t="str">
        <f aca="false">IFERROR(IF(N(G102)=0,"",(G103-G101)/G102),"")</f>
        <v/>
      </c>
      <c r="H105" s="50" t="str">
        <f aca="false">IFERROR(IF(N(H102)=0,"",(H103-H101)/H102),"")</f>
        <v/>
      </c>
      <c r="I105" s="50" t="str">
        <f aca="false">IFERROR(IF(N(I102)=0,"",(I103-I101)/I102),"")</f>
        <v/>
      </c>
      <c r="J105" s="50" t="str">
        <f aca="false">IFERROR(IF(N(J102)=0,"",(J103-J101)/J102),"")</f>
        <v/>
      </c>
      <c r="K105" s="50" t="str">
        <f aca="false">IFERROR(IF(N(K102)=0,"",(K103-K101)/K102),"")</f>
        <v/>
      </c>
      <c r="L105" s="50" t="str">
        <f aca="false">IFERROR(IF(N(L102)=0,"",(L103-L101)/L102),"")</f>
        <v/>
      </c>
      <c r="M105" s="50" t="str">
        <f aca="false">IFERROR(IF(N(M102)=0,"",(M103-M101)/M102),"")</f>
        <v/>
      </c>
      <c r="N105" s="50" t="str">
        <f aca="false">IFERROR(IF(N(N102)=0,"",(N103-N101)/N102),"")</f>
        <v/>
      </c>
      <c r="O105" s="68" t="str">
        <f aca="false">IFERROR(IF(N(O102)=0,"",(O103-O101)/O102),"")</f>
        <v/>
      </c>
    </row>
    <row r="106" customFormat="false" ht="15" hidden="true" customHeight="false" outlineLevel="1" collapsed="false">
      <c r="A106" s="11" t="s">
        <v>2467</v>
      </c>
      <c r="B106" s="15" t="s">
        <v>2374</v>
      </c>
      <c r="C106" s="11" t="s">
        <v>367</v>
      </c>
      <c r="D106" s="49" t="str">
        <f aca="false">IFERROR(IF(N(D103)=0,"",1-D101/D103),"")</f>
        <v/>
      </c>
      <c r="E106" s="49" t="str">
        <f aca="false">IFERROR(IF(N(E103)=0,"",1-E101/E103),"")</f>
        <v/>
      </c>
      <c r="F106" s="49" t="str">
        <f aca="false">IFERROR(IF(N(F103)=0,"",1-F101/F103),"")</f>
        <v/>
      </c>
      <c r="G106" s="49" t="str">
        <f aca="false">IFERROR(IF(N(G103)=0,"",1-G101/G103),"")</f>
        <v/>
      </c>
      <c r="H106" s="49" t="str">
        <f aca="false">IFERROR(IF(N(H103)=0,"",1-H101/H103),"")</f>
        <v/>
      </c>
      <c r="I106" s="49" t="str">
        <f aca="false">IFERROR(IF(N(I103)=0,"",1-I101/I103),"")</f>
        <v/>
      </c>
      <c r="J106" s="49" t="str">
        <f aca="false">IFERROR(IF(N(J103)=0,"",1-J101/J103),"")</f>
        <v/>
      </c>
      <c r="K106" s="49" t="str">
        <f aca="false">IFERROR(IF(N(K103)=0,"",1-K101/K103),"")</f>
        <v/>
      </c>
      <c r="L106" s="49" t="str">
        <f aca="false">IFERROR(IF(N(L103)=0,"",1-L101/L103),"")</f>
        <v/>
      </c>
      <c r="M106" s="49" t="str">
        <f aca="false">IFERROR(IF(N(M103)=0,"",1-M101/M103),"")</f>
        <v/>
      </c>
      <c r="N106" s="49" t="str">
        <f aca="false">IFERROR(IF(N(N103)=0,"",1-N101/N103),"")</f>
        <v/>
      </c>
      <c r="O106" s="99" t="str">
        <f aca="false">IFERROR(IF(N(O103)=0,"",1-O101/O103),"")</f>
        <v/>
      </c>
    </row>
    <row r="107" customFormat="false" ht="15" hidden="true" customHeight="false" outlineLevel="1" collapsed="false">
      <c r="A107" s="11" t="s">
        <v>2468</v>
      </c>
      <c r="B107" s="15" t="s">
        <v>2376</v>
      </c>
      <c r="C107" s="11" t="s">
        <v>508</v>
      </c>
      <c r="D107" s="48" t="str">
        <f aca="false">IFERROR(IF(OR(NOT(ISNUMBER(D101)),N(D9)=0),"",D10*D101/D9),"")</f>
        <v/>
      </c>
      <c r="E107" s="48" t="n">
        <f aca="false">IFERROR(IF(OR(NOT(ISNUMBER(E101)),N(E9)=0),"",E10*E101/E9),"")</f>
        <v>0</v>
      </c>
      <c r="F107" s="48" t="n">
        <f aca="false">IFERROR(IF(OR(NOT(ISNUMBER(F101)),N(F9)=0),"",F10*F101/F9),"")</f>
        <v>0</v>
      </c>
      <c r="G107" s="48" t="n">
        <f aca="false">IFERROR(IF(OR(NOT(ISNUMBER(G101)),N(G9)=0),"",G10*G101/G9),"")</f>
        <v>0</v>
      </c>
      <c r="H107" s="48" t="n">
        <f aca="false">IFERROR(IF(OR(NOT(ISNUMBER(H101)),N(H9)=0),"",H10*H101/H9),"")</f>
        <v>0</v>
      </c>
      <c r="I107" s="48" t="n">
        <f aca="false">IFERROR(IF(OR(NOT(ISNUMBER(I101)),N(I9)=0),"",I10*I101/I9),"")</f>
        <v>0</v>
      </c>
      <c r="J107" s="48" t="n">
        <f aca="false">IFERROR(IF(OR(NOT(ISNUMBER(J101)),N(J9)=0),"",J10*J101/J9),"")</f>
        <v>0</v>
      </c>
      <c r="K107" s="48" t="n">
        <f aca="false">IFERROR(IF(OR(NOT(ISNUMBER(K101)),N(K9)=0),"",K10*K101/K9),"")</f>
        <v>0</v>
      </c>
      <c r="L107" s="48" t="n">
        <f aca="false">IFERROR(IF(OR(NOT(ISNUMBER(L101)),N(L9)=0),"",L10*L101/L9),"")</f>
        <v>0</v>
      </c>
      <c r="M107" s="48" t="n">
        <f aca="false">IFERROR(IF(OR(NOT(ISNUMBER(M101)),N(M9)=0),"",M10*M101/M9),"")</f>
        <v>0</v>
      </c>
      <c r="N107" s="48" t="n">
        <f aca="false">IFERROR(IF(OR(NOT(ISNUMBER(N101)),N(N9)=0),"",N10*N101/N9),"")</f>
        <v>0</v>
      </c>
      <c r="O107" s="54" t="n">
        <f aca="false">SUM(D107:N107)</f>
        <v>0</v>
      </c>
    </row>
    <row r="108" customFormat="false" ht="15" hidden="true" customHeight="false" outlineLevel="1" collapsed="false">
      <c r="A108" s="11" t="s">
        <v>2469</v>
      </c>
      <c r="B108" s="15" t="s">
        <v>2378</v>
      </c>
      <c r="C108" s="11" t="s">
        <v>508</v>
      </c>
      <c r="D108" s="48" t="n">
        <f aca="false">IFERROR(IF(COUNT(D101,D107)=0,"",N(D101)+N(D107)),"")</f>
        <v>0</v>
      </c>
      <c r="E108" s="48" t="n">
        <f aca="false">IFERROR(IF(COUNT(E101,E107)=0,"",N(E101)+N(E107)),"")</f>
        <v>0</v>
      </c>
      <c r="F108" s="48" t="n">
        <f aca="false">IFERROR(IF(COUNT(F101,F107)=0,"",N(F101)+N(F107)),"")</f>
        <v>0</v>
      </c>
      <c r="G108" s="48" t="n">
        <f aca="false">IFERROR(IF(COUNT(G101,G107)=0,"",N(G101)+N(G107)),"")</f>
        <v>0</v>
      </c>
      <c r="H108" s="48" t="n">
        <f aca="false">IFERROR(IF(COUNT(H101,H107)=0,"",N(H101)+N(H107)),"")</f>
        <v>0</v>
      </c>
      <c r="I108" s="48" t="n">
        <f aca="false">IFERROR(IF(COUNT(I101,I107)=0,"",N(I101)+N(I107)),"")</f>
        <v>0</v>
      </c>
      <c r="J108" s="48" t="n">
        <f aca="false">IFERROR(IF(COUNT(J101,J107)=0,"",N(J101)+N(J107)),"")</f>
        <v>0</v>
      </c>
      <c r="K108" s="48" t="n">
        <f aca="false">IFERROR(IF(COUNT(K101,K107)=0,"",N(K101)+N(K107)),"")</f>
        <v>0</v>
      </c>
      <c r="L108" s="48" t="n">
        <f aca="false">IFERROR(IF(COUNT(L101,L107)=0,"",N(L101)+N(L107)),"")</f>
        <v>0</v>
      </c>
      <c r="M108" s="48" t="n">
        <f aca="false">IFERROR(IF(COUNT(M101,M107)=0,"",N(M101)+N(M107)),"")</f>
        <v>0</v>
      </c>
      <c r="N108" s="48" t="n">
        <f aca="false">IFERROR(IF(COUNT(N101,N107)=0,"",N(N101)+N(N107)),"")</f>
        <v>0</v>
      </c>
      <c r="O108" s="54" t="n">
        <f aca="false">SUM(D108:N108)</f>
        <v>0</v>
      </c>
    </row>
    <row r="109" customFormat="false" ht="15" hidden="true" customHeight="false" outlineLevel="1" collapsed="false">
      <c r="A109" s="11" t="s">
        <v>2470</v>
      </c>
      <c r="B109" s="15" t="s">
        <v>2380</v>
      </c>
      <c r="C109" s="11" t="s">
        <v>748</v>
      </c>
      <c r="D109" s="50" t="str">
        <f aca="false">IFERROR(IF(OR(NOT(ISNUMBER(D108)),N(D102)=0),"",D108/D102),"")</f>
        <v/>
      </c>
      <c r="E109" s="50" t="str">
        <f aca="false">IFERROR(IF(OR(NOT(ISNUMBER(E108)),N(E102)=0),"",E108/E102),"")</f>
        <v/>
      </c>
      <c r="F109" s="50" t="str">
        <f aca="false">IFERROR(IF(OR(NOT(ISNUMBER(F108)),N(F102)=0),"",F108/F102),"")</f>
        <v/>
      </c>
      <c r="G109" s="50" t="str">
        <f aca="false">IFERROR(IF(OR(NOT(ISNUMBER(G108)),N(G102)=0),"",G108/G102),"")</f>
        <v/>
      </c>
      <c r="H109" s="50" t="str">
        <f aca="false">IFERROR(IF(OR(NOT(ISNUMBER(H108)),N(H102)=0),"",H108/H102),"")</f>
        <v/>
      </c>
      <c r="I109" s="50" t="str">
        <f aca="false">IFERROR(IF(OR(NOT(ISNUMBER(I108)),N(I102)=0),"",I108/I102),"")</f>
        <v/>
      </c>
      <c r="J109" s="50" t="str">
        <f aca="false">IFERROR(IF(OR(NOT(ISNUMBER(J108)),N(J102)=0),"",J108/J102),"")</f>
        <v/>
      </c>
      <c r="K109" s="50" t="str">
        <f aca="false">IFERROR(IF(OR(NOT(ISNUMBER(K108)),N(K102)=0),"",K108/K102),"")</f>
        <v/>
      </c>
      <c r="L109" s="50" t="str">
        <f aca="false">IFERROR(IF(OR(NOT(ISNUMBER(L108)),N(L102)=0),"",L108/L102),"")</f>
        <v/>
      </c>
      <c r="M109" s="50" t="str">
        <f aca="false">IFERROR(IF(OR(NOT(ISNUMBER(M108)),N(M102)=0),"",M108/M102),"")</f>
        <v/>
      </c>
      <c r="N109" s="50" t="str">
        <f aca="false">IFERROR(IF(OR(NOT(ISNUMBER(N108)),N(N102)=0),"",N108/N102),"")</f>
        <v/>
      </c>
      <c r="O109" s="68" t="str">
        <f aca="false">IFERROR(IF(OR(NOT(ISNUMBER(O108)),N(O102)=0),"",O108/O102),"")</f>
        <v/>
      </c>
    </row>
    <row r="110" customFormat="false" ht="15" hidden="true" customHeight="false" outlineLevel="1" collapsed="false">
      <c r="A110" s="11" t="s">
        <v>2471</v>
      </c>
      <c r="B110" s="53" t="str">
        <f aca="false">IF(INDEX(Prod_Nombre,12)="","Producto 12",INDEX(Prod_Nombre,12))&amp;" — costo directo"</f>
        <v>Producto 12 — costo directo</v>
      </c>
      <c r="C110" s="11" t="s">
        <v>508</v>
      </c>
      <c r="D110" s="48" t="n">
        <f aca="false">IF(cu_P=1,(SUMIFS(Calculo!$F$32:$ES$32,Calculo!$F$16:$ES$16,1)*N(INDEX(MP_O,12))*INDEX(IdxMP_O,1,1)*(1+P_dMat)/(1-P_Merma)+SUMIFS(Calculo!$F$32:$ES$32,Calculo!$F$16:$ES$16,1)*N(INDEX(INS_O,12))*INDEX(IdxOV_O,1,1)*(1+P_dMat)/(1-P_Merma)+SUMIFS(Calculo!$F$32:$ES$32,Calculo!$F$16:$ES$16,1)*N(INDEX(OV_O,12))*INDEX(IdxOV_O,1,1)*(1+P_dMat)/(1-P_Merma)),(SUMIFS(Calculo!$F$188:$ES$188,Calculo!$F$172:$ES$172,1)*N(INDEX(MP_V,12))*INDEX(IdxMP_V,1,1)*(1+V_dMat)/(1-V_Merma)+SUMIFS(Calculo!$F$188:$ES$188,Calculo!$F$172:$ES$172,1)*N(INDEX(INS_V,12))*INDEX(IdxOV_V,1,1)*(1+V_dMat)/(1-V_Merma)+SUMIFS(Calculo!$F$188:$ES$188,Calculo!$F$172:$ES$172,1)*N(INDEX(OV_V,12))*INDEX(IdxOV_V,1,1)*(1+V_dMat)/(1-V_Merma)))</f>
        <v>0</v>
      </c>
      <c r="E110" s="48" t="n">
        <f aca="false">IF(cu_P=1,(SUMIFS(Calculo!$F$32:$ES$32,Calculo!$F$14:$ES$14,1)*N(INDEX(MP_O,12))*INDEX(IdxMP_O,1,1)*(1+P_dMat)/(1-P_Merma)+SUMIFS(Calculo!$F$32:$ES$32,Calculo!$F$14:$ES$14,1)*N(INDEX(INS_O,12))*INDEX(IdxOV_O,1,1)*(1+P_dMat)/(1-P_Merma)+SUMIFS(Calculo!$F$32:$ES$32,Calculo!$F$14:$ES$14,1)*N(INDEX(OV_O,12))*INDEX(IdxOV_O,1,1)*(1+P_dMat)/(1-P_Merma)),(SUMIFS(Calculo!$F$188:$ES$188,Calculo!$F$170:$ES$170,1)*N(INDEX(MP_V,12))*INDEX(IdxMP_V,1,1)*(1+V_dMat)/(1-V_Merma)+SUMIFS(Calculo!$F$188:$ES$188,Calculo!$F$170:$ES$170,1)*N(INDEX(INS_V,12))*INDEX(IdxOV_V,1,1)*(1+V_dMat)/(1-V_Merma)+SUMIFS(Calculo!$F$188:$ES$188,Calculo!$F$170:$ES$170,1)*N(INDEX(OV_V,12))*INDEX(IdxOV_V,1,1)*(1+V_dMat)/(1-V_Merma)))</f>
        <v>0</v>
      </c>
      <c r="F110" s="48" t="n">
        <f aca="false">IF(cu_P=1,(SUMIFS(Calculo!$F$32:$ES$32,Calculo!$F$14:$ES$14,2)*N(INDEX(MP_O,12))*INDEX(IdxMP_O,1,2)*(1+P_dMat)/(1-P_Merma)+SUMIFS(Calculo!$F$32:$ES$32,Calculo!$F$14:$ES$14,2)*N(INDEX(INS_O,12))*INDEX(IdxOV_O,1,2)*(1+P_dMat)/(1-P_Merma)+SUMIFS(Calculo!$F$32:$ES$32,Calculo!$F$14:$ES$14,2)*N(INDEX(OV_O,12))*INDEX(IdxOV_O,1,2)*(1+P_dMat)/(1-P_Merma)),(SUMIFS(Calculo!$F$188:$ES$188,Calculo!$F$170:$ES$170,2)*N(INDEX(MP_V,12))*INDEX(IdxMP_V,1,2)*(1+V_dMat)/(1-V_Merma)+SUMIFS(Calculo!$F$188:$ES$188,Calculo!$F$170:$ES$170,2)*N(INDEX(INS_V,12))*INDEX(IdxOV_V,1,2)*(1+V_dMat)/(1-V_Merma)+SUMIFS(Calculo!$F$188:$ES$188,Calculo!$F$170:$ES$170,2)*N(INDEX(OV_V,12))*INDEX(IdxOV_V,1,2)*(1+V_dMat)/(1-V_Merma)))</f>
        <v>0</v>
      </c>
      <c r="G110" s="48" t="n">
        <f aca="false">IF(cu_P=1,(SUMIFS(Calculo!$F$32:$ES$32,Calculo!$F$14:$ES$14,3)*N(INDEX(MP_O,12))*INDEX(IdxMP_O,1,3)*(1+P_dMat)/(1-P_Merma)+SUMIFS(Calculo!$F$32:$ES$32,Calculo!$F$14:$ES$14,3)*N(INDEX(INS_O,12))*INDEX(IdxOV_O,1,3)*(1+P_dMat)/(1-P_Merma)+SUMIFS(Calculo!$F$32:$ES$32,Calculo!$F$14:$ES$14,3)*N(INDEX(OV_O,12))*INDEX(IdxOV_O,1,3)*(1+P_dMat)/(1-P_Merma)),(SUMIFS(Calculo!$F$188:$ES$188,Calculo!$F$170:$ES$170,3)*N(INDEX(MP_V,12))*INDEX(IdxMP_V,1,3)*(1+V_dMat)/(1-V_Merma)+SUMIFS(Calculo!$F$188:$ES$188,Calculo!$F$170:$ES$170,3)*N(INDEX(INS_V,12))*INDEX(IdxOV_V,1,3)*(1+V_dMat)/(1-V_Merma)+SUMIFS(Calculo!$F$188:$ES$188,Calculo!$F$170:$ES$170,3)*N(INDEX(OV_V,12))*INDEX(IdxOV_V,1,3)*(1+V_dMat)/(1-V_Merma)))</f>
        <v>0</v>
      </c>
      <c r="H110" s="48" t="n">
        <f aca="false">IF(cu_P=1,(SUMIFS(Calculo!$F$32:$ES$32,Calculo!$F$14:$ES$14,4)*N(INDEX(MP_O,12))*INDEX(IdxMP_O,1,4)*(1+P_dMat)/(1-P_Merma)+SUMIFS(Calculo!$F$32:$ES$32,Calculo!$F$14:$ES$14,4)*N(INDEX(INS_O,12))*INDEX(IdxOV_O,1,4)*(1+P_dMat)/(1-P_Merma)+SUMIFS(Calculo!$F$32:$ES$32,Calculo!$F$14:$ES$14,4)*N(INDEX(OV_O,12))*INDEX(IdxOV_O,1,4)*(1+P_dMat)/(1-P_Merma)),(SUMIFS(Calculo!$F$188:$ES$188,Calculo!$F$170:$ES$170,4)*N(INDEX(MP_V,12))*INDEX(IdxMP_V,1,4)*(1+V_dMat)/(1-V_Merma)+SUMIFS(Calculo!$F$188:$ES$188,Calculo!$F$170:$ES$170,4)*N(INDEX(INS_V,12))*INDEX(IdxOV_V,1,4)*(1+V_dMat)/(1-V_Merma)+SUMIFS(Calculo!$F$188:$ES$188,Calculo!$F$170:$ES$170,4)*N(INDEX(OV_V,12))*INDEX(IdxOV_V,1,4)*(1+V_dMat)/(1-V_Merma)))</f>
        <v>0</v>
      </c>
      <c r="I110" s="48" t="n">
        <f aca="false">IF(cu_P=1,(SUMIFS(Calculo!$F$32:$ES$32,Calculo!$F$14:$ES$14,5)*N(INDEX(MP_O,12))*INDEX(IdxMP_O,1,5)*(1+P_dMat)/(1-P_Merma)+SUMIFS(Calculo!$F$32:$ES$32,Calculo!$F$14:$ES$14,5)*N(INDEX(INS_O,12))*INDEX(IdxOV_O,1,5)*(1+P_dMat)/(1-P_Merma)+SUMIFS(Calculo!$F$32:$ES$32,Calculo!$F$14:$ES$14,5)*N(INDEX(OV_O,12))*INDEX(IdxOV_O,1,5)*(1+P_dMat)/(1-P_Merma)),(SUMIFS(Calculo!$F$188:$ES$188,Calculo!$F$170:$ES$170,5)*N(INDEX(MP_V,12))*INDEX(IdxMP_V,1,5)*(1+V_dMat)/(1-V_Merma)+SUMIFS(Calculo!$F$188:$ES$188,Calculo!$F$170:$ES$170,5)*N(INDEX(INS_V,12))*INDEX(IdxOV_V,1,5)*(1+V_dMat)/(1-V_Merma)+SUMIFS(Calculo!$F$188:$ES$188,Calculo!$F$170:$ES$170,5)*N(INDEX(OV_V,12))*INDEX(IdxOV_V,1,5)*(1+V_dMat)/(1-V_Merma)))</f>
        <v>0</v>
      </c>
      <c r="J110" s="48" t="n">
        <f aca="false">IF(cu_P=1,(SUMIFS(Calculo!$F$32:$ES$32,Calculo!$F$14:$ES$14,6)*N(INDEX(MP_O,12))*INDEX(IdxMP_O,1,6)*(1+P_dMat)/(1-P_Merma)+SUMIFS(Calculo!$F$32:$ES$32,Calculo!$F$14:$ES$14,6)*N(INDEX(INS_O,12))*INDEX(IdxOV_O,1,6)*(1+P_dMat)/(1-P_Merma)+SUMIFS(Calculo!$F$32:$ES$32,Calculo!$F$14:$ES$14,6)*N(INDEX(OV_O,12))*INDEX(IdxOV_O,1,6)*(1+P_dMat)/(1-P_Merma)),(SUMIFS(Calculo!$F$188:$ES$188,Calculo!$F$170:$ES$170,6)*N(INDEX(MP_V,12))*INDEX(IdxMP_V,1,6)*(1+V_dMat)/(1-V_Merma)+SUMIFS(Calculo!$F$188:$ES$188,Calculo!$F$170:$ES$170,6)*N(INDEX(INS_V,12))*INDEX(IdxOV_V,1,6)*(1+V_dMat)/(1-V_Merma)+SUMIFS(Calculo!$F$188:$ES$188,Calculo!$F$170:$ES$170,6)*N(INDEX(OV_V,12))*INDEX(IdxOV_V,1,6)*(1+V_dMat)/(1-V_Merma)))</f>
        <v>0</v>
      </c>
      <c r="K110" s="48" t="n">
        <f aca="false">IF(cu_P=1,(SUMIFS(Calculo!$F$32:$ES$32,Calculo!$F$14:$ES$14,7)*N(INDEX(MP_O,12))*INDEX(IdxMP_O,1,7)*(1+P_dMat)/(1-P_Merma)+SUMIFS(Calculo!$F$32:$ES$32,Calculo!$F$14:$ES$14,7)*N(INDEX(INS_O,12))*INDEX(IdxOV_O,1,7)*(1+P_dMat)/(1-P_Merma)+SUMIFS(Calculo!$F$32:$ES$32,Calculo!$F$14:$ES$14,7)*N(INDEX(OV_O,12))*INDEX(IdxOV_O,1,7)*(1+P_dMat)/(1-P_Merma)),(SUMIFS(Calculo!$F$188:$ES$188,Calculo!$F$170:$ES$170,7)*N(INDEX(MP_V,12))*INDEX(IdxMP_V,1,7)*(1+V_dMat)/(1-V_Merma)+SUMIFS(Calculo!$F$188:$ES$188,Calculo!$F$170:$ES$170,7)*N(INDEX(INS_V,12))*INDEX(IdxOV_V,1,7)*(1+V_dMat)/(1-V_Merma)+SUMIFS(Calculo!$F$188:$ES$188,Calculo!$F$170:$ES$170,7)*N(INDEX(OV_V,12))*INDEX(IdxOV_V,1,7)*(1+V_dMat)/(1-V_Merma)))</f>
        <v>0</v>
      </c>
      <c r="L110" s="48" t="n">
        <f aca="false">IF(cu_P=1,(SUMIFS(Calculo!$F$32:$ES$32,Calculo!$F$14:$ES$14,8)*N(INDEX(MP_O,12))*INDEX(IdxMP_O,1,8)*(1+P_dMat)/(1-P_Merma)+SUMIFS(Calculo!$F$32:$ES$32,Calculo!$F$14:$ES$14,8)*N(INDEX(INS_O,12))*INDEX(IdxOV_O,1,8)*(1+P_dMat)/(1-P_Merma)+SUMIFS(Calculo!$F$32:$ES$32,Calculo!$F$14:$ES$14,8)*N(INDEX(OV_O,12))*INDEX(IdxOV_O,1,8)*(1+P_dMat)/(1-P_Merma)),(SUMIFS(Calculo!$F$188:$ES$188,Calculo!$F$170:$ES$170,8)*N(INDEX(MP_V,12))*INDEX(IdxMP_V,1,8)*(1+V_dMat)/(1-V_Merma)+SUMIFS(Calculo!$F$188:$ES$188,Calculo!$F$170:$ES$170,8)*N(INDEX(INS_V,12))*INDEX(IdxOV_V,1,8)*(1+V_dMat)/(1-V_Merma)+SUMIFS(Calculo!$F$188:$ES$188,Calculo!$F$170:$ES$170,8)*N(INDEX(OV_V,12))*INDEX(IdxOV_V,1,8)*(1+V_dMat)/(1-V_Merma)))</f>
        <v>0</v>
      </c>
      <c r="M110" s="48" t="n">
        <f aca="false">IF(cu_P=1,(SUMIFS(Calculo!$F$32:$ES$32,Calculo!$F$14:$ES$14,9)*N(INDEX(MP_O,12))*INDEX(IdxMP_O,1,9)*(1+P_dMat)/(1-P_Merma)+SUMIFS(Calculo!$F$32:$ES$32,Calculo!$F$14:$ES$14,9)*N(INDEX(INS_O,12))*INDEX(IdxOV_O,1,9)*(1+P_dMat)/(1-P_Merma)+SUMIFS(Calculo!$F$32:$ES$32,Calculo!$F$14:$ES$14,9)*N(INDEX(OV_O,12))*INDEX(IdxOV_O,1,9)*(1+P_dMat)/(1-P_Merma)),(SUMIFS(Calculo!$F$188:$ES$188,Calculo!$F$170:$ES$170,9)*N(INDEX(MP_V,12))*INDEX(IdxMP_V,1,9)*(1+V_dMat)/(1-V_Merma)+SUMIFS(Calculo!$F$188:$ES$188,Calculo!$F$170:$ES$170,9)*N(INDEX(INS_V,12))*INDEX(IdxOV_V,1,9)*(1+V_dMat)/(1-V_Merma)+SUMIFS(Calculo!$F$188:$ES$188,Calculo!$F$170:$ES$170,9)*N(INDEX(OV_V,12))*INDEX(IdxOV_V,1,9)*(1+V_dMat)/(1-V_Merma)))</f>
        <v>0</v>
      </c>
      <c r="N110" s="48" t="n">
        <f aca="false">IF(cu_P=1,(SUMIFS(Calculo!$F$32:$ES$32,Calculo!$F$14:$ES$14,10)*N(INDEX(MP_O,12))*INDEX(IdxMP_O,1,10)*(1+P_dMat)/(1-P_Merma)+SUMIFS(Calculo!$F$32:$ES$32,Calculo!$F$14:$ES$14,10)*N(INDEX(INS_O,12))*INDEX(IdxOV_O,1,10)*(1+P_dMat)/(1-P_Merma)+SUMIFS(Calculo!$F$32:$ES$32,Calculo!$F$14:$ES$14,10)*N(INDEX(OV_O,12))*INDEX(IdxOV_O,1,10)*(1+P_dMat)/(1-P_Merma)),(SUMIFS(Calculo!$F$188:$ES$188,Calculo!$F$170:$ES$170,10)*N(INDEX(MP_V,12))*INDEX(IdxMP_V,1,10)*(1+V_dMat)/(1-V_Merma)+SUMIFS(Calculo!$F$188:$ES$188,Calculo!$F$170:$ES$170,10)*N(INDEX(INS_V,12))*INDEX(IdxOV_V,1,10)*(1+V_dMat)/(1-V_Merma)+SUMIFS(Calculo!$F$188:$ES$188,Calculo!$F$170:$ES$170,10)*N(INDEX(OV_V,12))*INDEX(IdxOV_V,1,10)*(1+V_dMat)/(1-V_Merma)))</f>
        <v>0</v>
      </c>
      <c r="O110" s="54" t="n">
        <f aca="false">SUM(D110:N110)</f>
        <v>0</v>
      </c>
    </row>
    <row r="111" customFormat="false" ht="15" hidden="true" customHeight="false" outlineLevel="1" collapsed="false">
      <c r="A111" s="11" t="s">
        <v>2472</v>
      </c>
      <c r="B111" s="15" t="s">
        <v>2366</v>
      </c>
      <c r="C111" s="11" t="s">
        <v>544</v>
      </c>
      <c r="D111" s="48" t="n">
        <f aca="false">IF(cu_P=1,SUMIFS(Calculo!$F$32:$ES$32,Calculo!$F$16:$ES$16,1),SUMIFS(Calculo!$F$188:$ES$188,Calculo!$F$172:$ES$172,1))</f>
        <v>0</v>
      </c>
      <c r="E111" s="48" t="n">
        <f aca="false">IF(cu_P=1,SUMIFS(Calculo!$F$32:$ES$32,Calculo!$F$14:$ES$14,1),SUMIFS(Calculo!$F$188:$ES$188,Calculo!$F$170:$ES$170,1))</f>
        <v>0</v>
      </c>
      <c r="F111" s="48" t="n">
        <f aca="false">IF(cu_P=1,SUMIFS(Calculo!$F$32:$ES$32,Calculo!$F$14:$ES$14,2),SUMIFS(Calculo!$F$188:$ES$188,Calculo!$F$170:$ES$170,2))</f>
        <v>0</v>
      </c>
      <c r="G111" s="48" t="n">
        <f aca="false">IF(cu_P=1,SUMIFS(Calculo!$F$32:$ES$32,Calculo!$F$14:$ES$14,3),SUMIFS(Calculo!$F$188:$ES$188,Calculo!$F$170:$ES$170,3))</f>
        <v>0</v>
      </c>
      <c r="H111" s="48" t="n">
        <f aca="false">IF(cu_P=1,SUMIFS(Calculo!$F$32:$ES$32,Calculo!$F$14:$ES$14,4),SUMIFS(Calculo!$F$188:$ES$188,Calculo!$F$170:$ES$170,4))</f>
        <v>0</v>
      </c>
      <c r="I111" s="48" t="n">
        <f aca="false">IF(cu_P=1,SUMIFS(Calculo!$F$32:$ES$32,Calculo!$F$14:$ES$14,5),SUMIFS(Calculo!$F$188:$ES$188,Calculo!$F$170:$ES$170,5))</f>
        <v>0</v>
      </c>
      <c r="J111" s="48" t="n">
        <f aca="false">IF(cu_P=1,SUMIFS(Calculo!$F$32:$ES$32,Calculo!$F$14:$ES$14,6),SUMIFS(Calculo!$F$188:$ES$188,Calculo!$F$170:$ES$170,6))</f>
        <v>0</v>
      </c>
      <c r="K111" s="48" t="n">
        <f aca="false">IF(cu_P=1,SUMIFS(Calculo!$F$32:$ES$32,Calculo!$F$14:$ES$14,7),SUMIFS(Calculo!$F$188:$ES$188,Calculo!$F$170:$ES$170,7))</f>
        <v>0</v>
      </c>
      <c r="L111" s="48" t="n">
        <f aca="false">IF(cu_P=1,SUMIFS(Calculo!$F$32:$ES$32,Calculo!$F$14:$ES$14,8),SUMIFS(Calculo!$F$188:$ES$188,Calculo!$F$170:$ES$170,8))</f>
        <v>0</v>
      </c>
      <c r="M111" s="48" t="n">
        <f aca="false">IF(cu_P=1,SUMIFS(Calculo!$F$32:$ES$32,Calculo!$F$14:$ES$14,9),SUMIFS(Calculo!$F$188:$ES$188,Calculo!$F$170:$ES$170,9))</f>
        <v>0</v>
      </c>
      <c r="N111" s="48" t="n">
        <f aca="false">IF(cu_P=1,SUMIFS(Calculo!$F$32:$ES$32,Calculo!$F$14:$ES$14,10),SUMIFS(Calculo!$F$188:$ES$188,Calculo!$F$170:$ES$170,10))</f>
        <v>0</v>
      </c>
      <c r="O111" s="54" t="n">
        <f aca="false">SUM(D111:N111)</f>
        <v>0</v>
      </c>
    </row>
    <row r="112" customFormat="false" ht="15" hidden="true" customHeight="false" outlineLevel="1" collapsed="false">
      <c r="A112" s="11" t="s">
        <v>2473</v>
      </c>
      <c r="B112" s="15" t="s">
        <v>2368</v>
      </c>
      <c r="C112" s="11" t="s">
        <v>508</v>
      </c>
      <c r="D112" s="48" t="n">
        <f aca="false">IF(cu_P=1,SUMIFS(Calculo!$F$57:$ES$57,Calculo!$F$16:$ES$16,1),SUMIFS(Calculo!$F$213:$ES$213,Calculo!$F$172:$ES$172,1))</f>
        <v>0</v>
      </c>
      <c r="E112" s="48" t="n">
        <f aca="false">IF(cu_P=1,SUMIFS(Calculo!$F$57:$ES$57,Calculo!$F$14:$ES$14,1),SUMIFS(Calculo!$F$213:$ES$213,Calculo!$F$170:$ES$170,1))</f>
        <v>0</v>
      </c>
      <c r="F112" s="48" t="n">
        <f aca="false">IF(cu_P=1,SUMIFS(Calculo!$F$57:$ES$57,Calculo!$F$14:$ES$14,2),SUMIFS(Calculo!$F$213:$ES$213,Calculo!$F$170:$ES$170,2))</f>
        <v>0</v>
      </c>
      <c r="G112" s="48" t="n">
        <f aca="false">IF(cu_P=1,SUMIFS(Calculo!$F$57:$ES$57,Calculo!$F$14:$ES$14,3),SUMIFS(Calculo!$F$213:$ES$213,Calculo!$F$170:$ES$170,3))</f>
        <v>0</v>
      </c>
      <c r="H112" s="48" t="n">
        <f aca="false">IF(cu_P=1,SUMIFS(Calculo!$F$57:$ES$57,Calculo!$F$14:$ES$14,4),SUMIFS(Calculo!$F$213:$ES$213,Calculo!$F$170:$ES$170,4))</f>
        <v>0</v>
      </c>
      <c r="I112" s="48" t="n">
        <f aca="false">IF(cu_P=1,SUMIFS(Calculo!$F$57:$ES$57,Calculo!$F$14:$ES$14,5),SUMIFS(Calculo!$F$213:$ES$213,Calculo!$F$170:$ES$170,5))</f>
        <v>0</v>
      </c>
      <c r="J112" s="48" t="n">
        <f aca="false">IF(cu_P=1,SUMIFS(Calculo!$F$57:$ES$57,Calculo!$F$14:$ES$14,6),SUMIFS(Calculo!$F$213:$ES$213,Calculo!$F$170:$ES$170,6))</f>
        <v>0</v>
      </c>
      <c r="K112" s="48" t="n">
        <f aca="false">IF(cu_P=1,SUMIFS(Calculo!$F$57:$ES$57,Calculo!$F$14:$ES$14,7),SUMIFS(Calculo!$F$213:$ES$213,Calculo!$F$170:$ES$170,7))</f>
        <v>0</v>
      </c>
      <c r="L112" s="48" t="n">
        <f aca="false">IF(cu_P=1,SUMIFS(Calculo!$F$57:$ES$57,Calculo!$F$14:$ES$14,8),SUMIFS(Calculo!$F$213:$ES$213,Calculo!$F$170:$ES$170,8))</f>
        <v>0</v>
      </c>
      <c r="M112" s="48" t="n">
        <f aca="false">IF(cu_P=1,SUMIFS(Calculo!$F$57:$ES$57,Calculo!$F$14:$ES$14,9),SUMIFS(Calculo!$F$213:$ES$213,Calculo!$F$170:$ES$170,9))</f>
        <v>0</v>
      </c>
      <c r="N112" s="48" t="n">
        <f aca="false">IF(cu_P=1,SUMIFS(Calculo!$F$57:$ES$57,Calculo!$F$14:$ES$14,10),SUMIFS(Calculo!$F$213:$ES$213,Calculo!$F$170:$ES$170,10))</f>
        <v>0</v>
      </c>
      <c r="O112" s="54" t="n">
        <f aca="false">SUM(D112:N112)</f>
        <v>0</v>
      </c>
    </row>
    <row r="113" customFormat="false" ht="15" hidden="true" customHeight="false" outlineLevel="1" collapsed="false">
      <c r="A113" s="11" t="s">
        <v>2474</v>
      </c>
      <c r="B113" s="15" t="s">
        <v>2370</v>
      </c>
      <c r="C113" s="11" t="s">
        <v>748</v>
      </c>
      <c r="D113" s="50" t="str">
        <f aca="false">IFERROR(IF(OR(NOT(ISNUMBER(D110)),N(D111)=0),"",D110/D111),"")</f>
        <v/>
      </c>
      <c r="E113" s="50" t="str">
        <f aca="false">IFERROR(IF(OR(NOT(ISNUMBER(E110)),N(E111)=0),"",E110/E111),"")</f>
        <v/>
      </c>
      <c r="F113" s="50" t="str">
        <f aca="false">IFERROR(IF(OR(NOT(ISNUMBER(F110)),N(F111)=0),"",F110/F111),"")</f>
        <v/>
      </c>
      <c r="G113" s="50" t="str">
        <f aca="false">IFERROR(IF(OR(NOT(ISNUMBER(G110)),N(G111)=0),"",G110/G111),"")</f>
        <v/>
      </c>
      <c r="H113" s="50" t="str">
        <f aca="false">IFERROR(IF(OR(NOT(ISNUMBER(H110)),N(H111)=0),"",H110/H111),"")</f>
        <v/>
      </c>
      <c r="I113" s="50" t="str">
        <f aca="false">IFERROR(IF(OR(NOT(ISNUMBER(I110)),N(I111)=0),"",I110/I111),"")</f>
        <v/>
      </c>
      <c r="J113" s="50" t="str">
        <f aca="false">IFERROR(IF(OR(NOT(ISNUMBER(J110)),N(J111)=0),"",J110/J111),"")</f>
        <v/>
      </c>
      <c r="K113" s="50" t="str">
        <f aca="false">IFERROR(IF(OR(NOT(ISNUMBER(K110)),N(K111)=0),"",K110/K111),"")</f>
        <v/>
      </c>
      <c r="L113" s="50" t="str">
        <f aca="false">IFERROR(IF(OR(NOT(ISNUMBER(L110)),N(L111)=0),"",L110/L111),"")</f>
        <v/>
      </c>
      <c r="M113" s="50" t="str">
        <f aca="false">IFERROR(IF(OR(NOT(ISNUMBER(M110)),N(M111)=0),"",M110/M111),"")</f>
        <v/>
      </c>
      <c r="N113" s="50" t="str">
        <f aca="false">IFERROR(IF(OR(NOT(ISNUMBER(N110)),N(N111)=0),"",N110/N111),"")</f>
        <v/>
      </c>
      <c r="O113" s="68" t="str">
        <f aca="false">IFERROR(IF(OR(NOT(ISNUMBER(O110)),N(O111)=0),"",O110/O111),"")</f>
        <v/>
      </c>
    </row>
    <row r="114" customFormat="false" ht="15" hidden="true" customHeight="false" outlineLevel="1" collapsed="false">
      <c r="A114" s="11" t="s">
        <v>2475</v>
      </c>
      <c r="B114" s="15" t="s">
        <v>2372</v>
      </c>
      <c r="C114" s="11" t="s">
        <v>748</v>
      </c>
      <c r="D114" s="50" t="str">
        <f aca="false">IFERROR(IF(N(D111)=0,"",(D112-D110)/D111),"")</f>
        <v/>
      </c>
      <c r="E114" s="50" t="str">
        <f aca="false">IFERROR(IF(N(E111)=0,"",(E112-E110)/E111),"")</f>
        <v/>
      </c>
      <c r="F114" s="50" t="str">
        <f aca="false">IFERROR(IF(N(F111)=0,"",(F112-F110)/F111),"")</f>
        <v/>
      </c>
      <c r="G114" s="50" t="str">
        <f aca="false">IFERROR(IF(N(G111)=0,"",(G112-G110)/G111),"")</f>
        <v/>
      </c>
      <c r="H114" s="50" t="str">
        <f aca="false">IFERROR(IF(N(H111)=0,"",(H112-H110)/H111),"")</f>
        <v/>
      </c>
      <c r="I114" s="50" t="str">
        <f aca="false">IFERROR(IF(N(I111)=0,"",(I112-I110)/I111),"")</f>
        <v/>
      </c>
      <c r="J114" s="50" t="str">
        <f aca="false">IFERROR(IF(N(J111)=0,"",(J112-J110)/J111),"")</f>
        <v/>
      </c>
      <c r="K114" s="50" t="str">
        <f aca="false">IFERROR(IF(N(K111)=0,"",(K112-K110)/K111),"")</f>
        <v/>
      </c>
      <c r="L114" s="50" t="str">
        <f aca="false">IFERROR(IF(N(L111)=0,"",(L112-L110)/L111),"")</f>
        <v/>
      </c>
      <c r="M114" s="50" t="str">
        <f aca="false">IFERROR(IF(N(M111)=0,"",(M112-M110)/M111),"")</f>
        <v/>
      </c>
      <c r="N114" s="50" t="str">
        <f aca="false">IFERROR(IF(N(N111)=0,"",(N112-N110)/N111),"")</f>
        <v/>
      </c>
      <c r="O114" s="68" t="str">
        <f aca="false">IFERROR(IF(N(O111)=0,"",(O112-O110)/O111),"")</f>
        <v/>
      </c>
    </row>
    <row r="115" customFormat="false" ht="15" hidden="true" customHeight="false" outlineLevel="1" collapsed="false">
      <c r="A115" s="11" t="s">
        <v>2476</v>
      </c>
      <c r="B115" s="15" t="s">
        <v>2374</v>
      </c>
      <c r="C115" s="11" t="s">
        <v>367</v>
      </c>
      <c r="D115" s="49" t="str">
        <f aca="false">IFERROR(IF(N(D112)=0,"",1-D110/D112),"")</f>
        <v/>
      </c>
      <c r="E115" s="49" t="str">
        <f aca="false">IFERROR(IF(N(E112)=0,"",1-E110/E112),"")</f>
        <v/>
      </c>
      <c r="F115" s="49" t="str">
        <f aca="false">IFERROR(IF(N(F112)=0,"",1-F110/F112),"")</f>
        <v/>
      </c>
      <c r="G115" s="49" t="str">
        <f aca="false">IFERROR(IF(N(G112)=0,"",1-G110/G112),"")</f>
        <v/>
      </c>
      <c r="H115" s="49" t="str">
        <f aca="false">IFERROR(IF(N(H112)=0,"",1-H110/H112),"")</f>
        <v/>
      </c>
      <c r="I115" s="49" t="str">
        <f aca="false">IFERROR(IF(N(I112)=0,"",1-I110/I112),"")</f>
        <v/>
      </c>
      <c r="J115" s="49" t="str">
        <f aca="false">IFERROR(IF(N(J112)=0,"",1-J110/J112),"")</f>
        <v/>
      </c>
      <c r="K115" s="49" t="str">
        <f aca="false">IFERROR(IF(N(K112)=0,"",1-K110/K112),"")</f>
        <v/>
      </c>
      <c r="L115" s="49" t="str">
        <f aca="false">IFERROR(IF(N(L112)=0,"",1-L110/L112),"")</f>
        <v/>
      </c>
      <c r="M115" s="49" t="str">
        <f aca="false">IFERROR(IF(N(M112)=0,"",1-M110/M112),"")</f>
        <v/>
      </c>
      <c r="N115" s="49" t="str">
        <f aca="false">IFERROR(IF(N(N112)=0,"",1-N110/N112),"")</f>
        <v/>
      </c>
      <c r="O115" s="99" t="str">
        <f aca="false">IFERROR(IF(N(O112)=0,"",1-O110/O112),"")</f>
        <v/>
      </c>
    </row>
    <row r="116" customFormat="false" ht="15" hidden="true" customHeight="false" outlineLevel="1" collapsed="false">
      <c r="A116" s="11" t="s">
        <v>2477</v>
      </c>
      <c r="B116" s="15" t="s">
        <v>2376</v>
      </c>
      <c r="C116" s="11" t="s">
        <v>508</v>
      </c>
      <c r="D116" s="48" t="str">
        <f aca="false">IFERROR(IF(OR(NOT(ISNUMBER(D110)),N(D9)=0),"",D10*D110/D9),"")</f>
        <v/>
      </c>
      <c r="E116" s="48" t="n">
        <f aca="false">IFERROR(IF(OR(NOT(ISNUMBER(E110)),N(E9)=0),"",E10*E110/E9),"")</f>
        <v>0</v>
      </c>
      <c r="F116" s="48" t="n">
        <f aca="false">IFERROR(IF(OR(NOT(ISNUMBER(F110)),N(F9)=0),"",F10*F110/F9),"")</f>
        <v>0</v>
      </c>
      <c r="G116" s="48" t="n">
        <f aca="false">IFERROR(IF(OR(NOT(ISNUMBER(G110)),N(G9)=0),"",G10*G110/G9),"")</f>
        <v>0</v>
      </c>
      <c r="H116" s="48" t="n">
        <f aca="false">IFERROR(IF(OR(NOT(ISNUMBER(H110)),N(H9)=0),"",H10*H110/H9),"")</f>
        <v>0</v>
      </c>
      <c r="I116" s="48" t="n">
        <f aca="false">IFERROR(IF(OR(NOT(ISNUMBER(I110)),N(I9)=0),"",I10*I110/I9),"")</f>
        <v>0</v>
      </c>
      <c r="J116" s="48" t="n">
        <f aca="false">IFERROR(IF(OR(NOT(ISNUMBER(J110)),N(J9)=0),"",J10*J110/J9),"")</f>
        <v>0</v>
      </c>
      <c r="K116" s="48" t="n">
        <f aca="false">IFERROR(IF(OR(NOT(ISNUMBER(K110)),N(K9)=0),"",K10*K110/K9),"")</f>
        <v>0</v>
      </c>
      <c r="L116" s="48" t="n">
        <f aca="false">IFERROR(IF(OR(NOT(ISNUMBER(L110)),N(L9)=0),"",L10*L110/L9),"")</f>
        <v>0</v>
      </c>
      <c r="M116" s="48" t="n">
        <f aca="false">IFERROR(IF(OR(NOT(ISNUMBER(M110)),N(M9)=0),"",M10*M110/M9),"")</f>
        <v>0</v>
      </c>
      <c r="N116" s="48" t="n">
        <f aca="false">IFERROR(IF(OR(NOT(ISNUMBER(N110)),N(N9)=0),"",N10*N110/N9),"")</f>
        <v>0</v>
      </c>
      <c r="O116" s="54" t="n">
        <f aca="false">SUM(D116:N116)</f>
        <v>0</v>
      </c>
    </row>
    <row r="117" customFormat="false" ht="15" hidden="true" customHeight="false" outlineLevel="1" collapsed="false">
      <c r="A117" s="11" t="s">
        <v>2478</v>
      </c>
      <c r="B117" s="15" t="s">
        <v>2378</v>
      </c>
      <c r="C117" s="11" t="s">
        <v>508</v>
      </c>
      <c r="D117" s="48" t="n">
        <f aca="false">IFERROR(IF(COUNT(D110,D116)=0,"",N(D110)+N(D116)),"")</f>
        <v>0</v>
      </c>
      <c r="E117" s="48" t="n">
        <f aca="false">IFERROR(IF(COUNT(E110,E116)=0,"",N(E110)+N(E116)),"")</f>
        <v>0</v>
      </c>
      <c r="F117" s="48" t="n">
        <f aca="false">IFERROR(IF(COUNT(F110,F116)=0,"",N(F110)+N(F116)),"")</f>
        <v>0</v>
      </c>
      <c r="G117" s="48" t="n">
        <f aca="false">IFERROR(IF(COUNT(G110,G116)=0,"",N(G110)+N(G116)),"")</f>
        <v>0</v>
      </c>
      <c r="H117" s="48" t="n">
        <f aca="false">IFERROR(IF(COUNT(H110,H116)=0,"",N(H110)+N(H116)),"")</f>
        <v>0</v>
      </c>
      <c r="I117" s="48" t="n">
        <f aca="false">IFERROR(IF(COUNT(I110,I116)=0,"",N(I110)+N(I116)),"")</f>
        <v>0</v>
      </c>
      <c r="J117" s="48" t="n">
        <f aca="false">IFERROR(IF(COUNT(J110,J116)=0,"",N(J110)+N(J116)),"")</f>
        <v>0</v>
      </c>
      <c r="K117" s="48" t="n">
        <f aca="false">IFERROR(IF(COUNT(K110,K116)=0,"",N(K110)+N(K116)),"")</f>
        <v>0</v>
      </c>
      <c r="L117" s="48" t="n">
        <f aca="false">IFERROR(IF(COUNT(L110,L116)=0,"",N(L110)+N(L116)),"")</f>
        <v>0</v>
      </c>
      <c r="M117" s="48" t="n">
        <f aca="false">IFERROR(IF(COUNT(M110,M116)=0,"",N(M110)+N(M116)),"")</f>
        <v>0</v>
      </c>
      <c r="N117" s="48" t="n">
        <f aca="false">IFERROR(IF(COUNT(N110,N116)=0,"",N(N110)+N(N116)),"")</f>
        <v>0</v>
      </c>
      <c r="O117" s="54" t="n">
        <f aca="false">SUM(D117:N117)</f>
        <v>0</v>
      </c>
    </row>
    <row r="118" customFormat="false" ht="15" hidden="true" customHeight="false" outlineLevel="1" collapsed="false">
      <c r="A118" s="11" t="s">
        <v>2479</v>
      </c>
      <c r="B118" s="15" t="s">
        <v>2380</v>
      </c>
      <c r="C118" s="11" t="s">
        <v>748</v>
      </c>
      <c r="D118" s="50" t="str">
        <f aca="false">IFERROR(IF(OR(NOT(ISNUMBER(D117)),N(D111)=0),"",D117/D111),"")</f>
        <v/>
      </c>
      <c r="E118" s="50" t="str">
        <f aca="false">IFERROR(IF(OR(NOT(ISNUMBER(E117)),N(E111)=0),"",E117/E111),"")</f>
        <v/>
      </c>
      <c r="F118" s="50" t="str">
        <f aca="false">IFERROR(IF(OR(NOT(ISNUMBER(F117)),N(F111)=0),"",F117/F111),"")</f>
        <v/>
      </c>
      <c r="G118" s="50" t="str">
        <f aca="false">IFERROR(IF(OR(NOT(ISNUMBER(G117)),N(G111)=0),"",G117/G111),"")</f>
        <v/>
      </c>
      <c r="H118" s="50" t="str">
        <f aca="false">IFERROR(IF(OR(NOT(ISNUMBER(H117)),N(H111)=0),"",H117/H111),"")</f>
        <v/>
      </c>
      <c r="I118" s="50" t="str">
        <f aca="false">IFERROR(IF(OR(NOT(ISNUMBER(I117)),N(I111)=0),"",I117/I111),"")</f>
        <v/>
      </c>
      <c r="J118" s="50" t="str">
        <f aca="false">IFERROR(IF(OR(NOT(ISNUMBER(J117)),N(J111)=0),"",J117/J111),"")</f>
        <v/>
      </c>
      <c r="K118" s="50" t="str">
        <f aca="false">IFERROR(IF(OR(NOT(ISNUMBER(K117)),N(K111)=0),"",K117/K111),"")</f>
        <v/>
      </c>
      <c r="L118" s="50" t="str">
        <f aca="false">IFERROR(IF(OR(NOT(ISNUMBER(L117)),N(L111)=0),"",L117/L111),"")</f>
        <v/>
      </c>
      <c r="M118" s="50" t="str">
        <f aca="false">IFERROR(IF(OR(NOT(ISNUMBER(M117)),N(M111)=0),"",M117/M111),"")</f>
        <v/>
      </c>
      <c r="N118" s="50" t="str">
        <f aca="false">IFERROR(IF(OR(NOT(ISNUMBER(N117)),N(N111)=0),"",N117/N111),"")</f>
        <v/>
      </c>
      <c r="O118" s="68" t="str">
        <f aca="false">IFERROR(IF(OR(NOT(ISNUMBER(O117)),N(O111)=0),"",O117/O111),"")</f>
        <v/>
      </c>
    </row>
    <row r="119" customFormat="false" ht="15" hidden="true" customHeight="false" outlineLevel="1" collapsed="false">
      <c r="A119" s="11" t="s">
        <v>2480</v>
      </c>
      <c r="B119" s="53" t="str">
        <f aca="false">IF(INDEX(Prod_Nombre,13)="","Producto 13",INDEX(Prod_Nombre,13))&amp;" — costo directo"</f>
        <v>Producto 13 — costo directo</v>
      </c>
      <c r="C119" s="11" t="s">
        <v>508</v>
      </c>
      <c r="D119" s="48" t="n">
        <f aca="false">IF(cu_P=1,(SUMIFS(Calculo!$F$33:$ES$33,Calculo!$F$16:$ES$16,1)*N(INDEX(MP_O,13))*INDEX(IdxMP_O,1,1)*(1+P_dMat)/(1-P_Merma)+SUMIFS(Calculo!$F$33:$ES$33,Calculo!$F$16:$ES$16,1)*N(INDEX(INS_O,13))*INDEX(IdxOV_O,1,1)*(1+P_dMat)/(1-P_Merma)+SUMIFS(Calculo!$F$33:$ES$33,Calculo!$F$16:$ES$16,1)*N(INDEX(OV_O,13))*INDEX(IdxOV_O,1,1)*(1+P_dMat)/(1-P_Merma)),(SUMIFS(Calculo!$F$189:$ES$189,Calculo!$F$172:$ES$172,1)*N(INDEX(MP_V,13))*INDEX(IdxMP_V,1,1)*(1+V_dMat)/(1-V_Merma)+SUMIFS(Calculo!$F$189:$ES$189,Calculo!$F$172:$ES$172,1)*N(INDEX(INS_V,13))*INDEX(IdxOV_V,1,1)*(1+V_dMat)/(1-V_Merma)+SUMIFS(Calculo!$F$189:$ES$189,Calculo!$F$172:$ES$172,1)*N(INDEX(OV_V,13))*INDEX(IdxOV_V,1,1)*(1+V_dMat)/(1-V_Merma)))</f>
        <v>0</v>
      </c>
      <c r="E119" s="48" t="n">
        <f aca="false">IF(cu_P=1,(SUMIFS(Calculo!$F$33:$ES$33,Calculo!$F$14:$ES$14,1)*N(INDEX(MP_O,13))*INDEX(IdxMP_O,1,1)*(1+P_dMat)/(1-P_Merma)+SUMIFS(Calculo!$F$33:$ES$33,Calculo!$F$14:$ES$14,1)*N(INDEX(INS_O,13))*INDEX(IdxOV_O,1,1)*(1+P_dMat)/(1-P_Merma)+SUMIFS(Calculo!$F$33:$ES$33,Calculo!$F$14:$ES$14,1)*N(INDEX(OV_O,13))*INDEX(IdxOV_O,1,1)*(1+P_dMat)/(1-P_Merma)),(SUMIFS(Calculo!$F$189:$ES$189,Calculo!$F$170:$ES$170,1)*N(INDEX(MP_V,13))*INDEX(IdxMP_V,1,1)*(1+V_dMat)/(1-V_Merma)+SUMIFS(Calculo!$F$189:$ES$189,Calculo!$F$170:$ES$170,1)*N(INDEX(INS_V,13))*INDEX(IdxOV_V,1,1)*(1+V_dMat)/(1-V_Merma)+SUMIFS(Calculo!$F$189:$ES$189,Calculo!$F$170:$ES$170,1)*N(INDEX(OV_V,13))*INDEX(IdxOV_V,1,1)*(1+V_dMat)/(1-V_Merma)))</f>
        <v>0</v>
      </c>
      <c r="F119" s="48" t="n">
        <f aca="false">IF(cu_P=1,(SUMIFS(Calculo!$F$33:$ES$33,Calculo!$F$14:$ES$14,2)*N(INDEX(MP_O,13))*INDEX(IdxMP_O,1,2)*(1+P_dMat)/(1-P_Merma)+SUMIFS(Calculo!$F$33:$ES$33,Calculo!$F$14:$ES$14,2)*N(INDEX(INS_O,13))*INDEX(IdxOV_O,1,2)*(1+P_dMat)/(1-P_Merma)+SUMIFS(Calculo!$F$33:$ES$33,Calculo!$F$14:$ES$14,2)*N(INDEX(OV_O,13))*INDEX(IdxOV_O,1,2)*(1+P_dMat)/(1-P_Merma)),(SUMIFS(Calculo!$F$189:$ES$189,Calculo!$F$170:$ES$170,2)*N(INDEX(MP_V,13))*INDEX(IdxMP_V,1,2)*(1+V_dMat)/(1-V_Merma)+SUMIFS(Calculo!$F$189:$ES$189,Calculo!$F$170:$ES$170,2)*N(INDEX(INS_V,13))*INDEX(IdxOV_V,1,2)*(1+V_dMat)/(1-V_Merma)+SUMIFS(Calculo!$F$189:$ES$189,Calculo!$F$170:$ES$170,2)*N(INDEX(OV_V,13))*INDEX(IdxOV_V,1,2)*(1+V_dMat)/(1-V_Merma)))</f>
        <v>0</v>
      </c>
      <c r="G119" s="48" t="n">
        <f aca="false">IF(cu_P=1,(SUMIFS(Calculo!$F$33:$ES$33,Calculo!$F$14:$ES$14,3)*N(INDEX(MP_O,13))*INDEX(IdxMP_O,1,3)*(1+P_dMat)/(1-P_Merma)+SUMIFS(Calculo!$F$33:$ES$33,Calculo!$F$14:$ES$14,3)*N(INDEX(INS_O,13))*INDEX(IdxOV_O,1,3)*(1+P_dMat)/(1-P_Merma)+SUMIFS(Calculo!$F$33:$ES$33,Calculo!$F$14:$ES$14,3)*N(INDEX(OV_O,13))*INDEX(IdxOV_O,1,3)*(1+P_dMat)/(1-P_Merma)),(SUMIFS(Calculo!$F$189:$ES$189,Calculo!$F$170:$ES$170,3)*N(INDEX(MP_V,13))*INDEX(IdxMP_V,1,3)*(1+V_dMat)/(1-V_Merma)+SUMIFS(Calculo!$F$189:$ES$189,Calculo!$F$170:$ES$170,3)*N(INDEX(INS_V,13))*INDEX(IdxOV_V,1,3)*(1+V_dMat)/(1-V_Merma)+SUMIFS(Calculo!$F$189:$ES$189,Calculo!$F$170:$ES$170,3)*N(INDEX(OV_V,13))*INDEX(IdxOV_V,1,3)*(1+V_dMat)/(1-V_Merma)))</f>
        <v>0</v>
      </c>
      <c r="H119" s="48" t="n">
        <f aca="false">IF(cu_P=1,(SUMIFS(Calculo!$F$33:$ES$33,Calculo!$F$14:$ES$14,4)*N(INDEX(MP_O,13))*INDEX(IdxMP_O,1,4)*(1+P_dMat)/(1-P_Merma)+SUMIFS(Calculo!$F$33:$ES$33,Calculo!$F$14:$ES$14,4)*N(INDEX(INS_O,13))*INDEX(IdxOV_O,1,4)*(1+P_dMat)/(1-P_Merma)+SUMIFS(Calculo!$F$33:$ES$33,Calculo!$F$14:$ES$14,4)*N(INDEX(OV_O,13))*INDEX(IdxOV_O,1,4)*(1+P_dMat)/(1-P_Merma)),(SUMIFS(Calculo!$F$189:$ES$189,Calculo!$F$170:$ES$170,4)*N(INDEX(MP_V,13))*INDEX(IdxMP_V,1,4)*(1+V_dMat)/(1-V_Merma)+SUMIFS(Calculo!$F$189:$ES$189,Calculo!$F$170:$ES$170,4)*N(INDEX(INS_V,13))*INDEX(IdxOV_V,1,4)*(1+V_dMat)/(1-V_Merma)+SUMIFS(Calculo!$F$189:$ES$189,Calculo!$F$170:$ES$170,4)*N(INDEX(OV_V,13))*INDEX(IdxOV_V,1,4)*(1+V_dMat)/(1-V_Merma)))</f>
        <v>0</v>
      </c>
      <c r="I119" s="48" t="n">
        <f aca="false">IF(cu_P=1,(SUMIFS(Calculo!$F$33:$ES$33,Calculo!$F$14:$ES$14,5)*N(INDEX(MP_O,13))*INDEX(IdxMP_O,1,5)*(1+P_dMat)/(1-P_Merma)+SUMIFS(Calculo!$F$33:$ES$33,Calculo!$F$14:$ES$14,5)*N(INDEX(INS_O,13))*INDEX(IdxOV_O,1,5)*(1+P_dMat)/(1-P_Merma)+SUMIFS(Calculo!$F$33:$ES$33,Calculo!$F$14:$ES$14,5)*N(INDEX(OV_O,13))*INDEX(IdxOV_O,1,5)*(1+P_dMat)/(1-P_Merma)),(SUMIFS(Calculo!$F$189:$ES$189,Calculo!$F$170:$ES$170,5)*N(INDEX(MP_V,13))*INDEX(IdxMP_V,1,5)*(1+V_dMat)/(1-V_Merma)+SUMIFS(Calculo!$F$189:$ES$189,Calculo!$F$170:$ES$170,5)*N(INDEX(INS_V,13))*INDEX(IdxOV_V,1,5)*(1+V_dMat)/(1-V_Merma)+SUMIFS(Calculo!$F$189:$ES$189,Calculo!$F$170:$ES$170,5)*N(INDEX(OV_V,13))*INDEX(IdxOV_V,1,5)*(1+V_dMat)/(1-V_Merma)))</f>
        <v>0</v>
      </c>
      <c r="J119" s="48" t="n">
        <f aca="false">IF(cu_P=1,(SUMIFS(Calculo!$F$33:$ES$33,Calculo!$F$14:$ES$14,6)*N(INDEX(MP_O,13))*INDEX(IdxMP_O,1,6)*(1+P_dMat)/(1-P_Merma)+SUMIFS(Calculo!$F$33:$ES$33,Calculo!$F$14:$ES$14,6)*N(INDEX(INS_O,13))*INDEX(IdxOV_O,1,6)*(1+P_dMat)/(1-P_Merma)+SUMIFS(Calculo!$F$33:$ES$33,Calculo!$F$14:$ES$14,6)*N(INDEX(OV_O,13))*INDEX(IdxOV_O,1,6)*(1+P_dMat)/(1-P_Merma)),(SUMIFS(Calculo!$F$189:$ES$189,Calculo!$F$170:$ES$170,6)*N(INDEX(MP_V,13))*INDEX(IdxMP_V,1,6)*(1+V_dMat)/(1-V_Merma)+SUMIFS(Calculo!$F$189:$ES$189,Calculo!$F$170:$ES$170,6)*N(INDEX(INS_V,13))*INDEX(IdxOV_V,1,6)*(1+V_dMat)/(1-V_Merma)+SUMIFS(Calculo!$F$189:$ES$189,Calculo!$F$170:$ES$170,6)*N(INDEX(OV_V,13))*INDEX(IdxOV_V,1,6)*(1+V_dMat)/(1-V_Merma)))</f>
        <v>0</v>
      </c>
      <c r="K119" s="48" t="n">
        <f aca="false">IF(cu_P=1,(SUMIFS(Calculo!$F$33:$ES$33,Calculo!$F$14:$ES$14,7)*N(INDEX(MP_O,13))*INDEX(IdxMP_O,1,7)*(1+P_dMat)/(1-P_Merma)+SUMIFS(Calculo!$F$33:$ES$33,Calculo!$F$14:$ES$14,7)*N(INDEX(INS_O,13))*INDEX(IdxOV_O,1,7)*(1+P_dMat)/(1-P_Merma)+SUMIFS(Calculo!$F$33:$ES$33,Calculo!$F$14:$ES$14,7)*N(INDEX(OV_O,13))*INDEX(IdxOV_O,1,7)*(1+P_dMat)/(1-P_Merma)),(SUMIFS(Calculo!$F$189:$ES$189,Calculo!$F$170:$ES$170,7)*N(INDEX(MP_V,13))*INDEX(IdxMP_V,1,7)*(1+V_dMat)/(1-V_Merma)+SUMIFS(Calculo!$F$189:$ES$189,Calculo!$F$170:$ES$170,7)*N(INDEX(INS_V,13))*INDEX(IdxOV_V,1,7)*(1+V_dMat)/(1-V_Merma)+SUMIFS(Calculo!$F$189:$ES$189,Calculo!$F$170:$ES$170,7)*N(INDEX(OV_V,13))*INDEX(IdxOV_V,1,7)*(1+V_dMat)/(1-V_Merma)))</f>
        <v>0</v>
      </c>
      <c r="L119" s="48" t="n">
        <f aca="false">IF(cu_P=1,(SUMIFS(Calculo!$F$33:$ES$33,Calculo!$F$14:$ES$14,8)*N(INDEX(MP_O,13))*INDEX(IdxMP_O,1,8)*(1+P_dMat)/(1-P_Merma)+SUMIFS(Calculo!$F$33:$ES$33,Calculo!$F$14:$ES$14,8)*N(INDEX(INS_O,13))*INDEX(IdxOV_O,1,8)*(1+P_dMat)/(1-P_Merma)+SUMIFS(Calculo!$F$33:$ES$33,Calculo!$F$14:$ES$14,8)*N(INDEX(OV_O,13))*INDEX(IdxOV_O,1,8)*(1+P_dMat)/(1-P_Merma)),(SUMIFS(Calculo!$F$189:$ES$189,Calculo!$F$170:$ES$170,8)*N(INDEX(MP_V,13))*INDEX(IdxMP_V,1,8)*(1+V_dMat)/(1-V_Merma)+SUMIFS(Calculo!$F$189:$ES$189,Calculo!$F$170:$ES$170,8)*N(INDEX(INS_V,13))*INDEX(IdxOV_V,1,8)*(1+V_dMat)/(1-V_Merma)+SUMIFS(Calculo!$F$189:$ES$189,Calculo!$F$170:$ES$170,8)*N(INDEX(OV_V,13))*INDEX(IdxOV_V,1,8)*(1+V_dMat)/(1-V_Merma)))</f>
        <v>0</v>
      </c>
      <c r="M119" s="48" t="n">
        <f aca="false">IF(cu_P=1,(SUMIFS(Calculo!$F$33:$ES$33,Calculo!$F$14:$ES$14,9)*N(INDEX(MP_O,13))*INDEX(IdxMP_O,1,9)*(1+P_dMat)/(1-P_Merma)+SUMIFS(Calculo!$F$33:$ES$33,Calculo!$F$14:$ES$14,9)*N(INDEX(INS_O,13))*INDEX(IdxOV_O,1,9)*(1+P_dMat)/(1-P_Merma)+SUMIFS(Calculo!$F$33:$ES$33,Calculo!$F$14:$ES$14,9)*N(INDEX(OV_O,13))*INDEX(IdxOV_O,1,9)*(1+P_dMat)/(1-P_Merma)),(SUMIFS(Calculo!$F$189:$ES$189,Calculo!$F$170:$ES$170,9)*N(INDEX(MP_V,13))*INDEX(IdxMP_V,1,9)*(1+V_dMat)/(1-V_Merma)+SUMIFS(Calculo!$F$189:$ES$189,Calculo!$F$170:$ES$170,9)*N(INDEX(INS_V,13))*INDEX(IdxOV_V,1,9)*(1+V_dMat)/(1-V_Merma)+SUMIFS(Calculo!$F$189:$ES$189,Calculo!$F$170:$ES$170,9)*N(INDEX(OV_V,13))*INDEX(IdxOV_V,1,9)*(1+V_dMat)/(1-V_Merma)))</f>
        <v>0</v>
      </c>
      <c r="N119" s="48" t="n">
        <f aca="false">IF(cu_P=1,(SUMIFS(Calculo!$F$33:$ES$33,Calculo!$F$14:$ES$14,10)*N(INDEX(MP_O,13))*INDEX(IdxMP_O,1,10)*(1+P_dMat)/(1-P_Merma)+SUMIFS(Calculo!$F$33:$ES$33,Calculo!$F$14:$ES$14,10)*N(INDEX(INS_O,13))*INDEX(IdxOV_O,1,10)*(1+P_dMat)/(1-P_Merma)+SUMIFS(Calculo!$F$33:$ES$33,Calculo!$F$14:$ES$14,10)*N(INDEX(OV_O,13))*INDEX(IdxOV_O,1,10)*(1+P_dMat)/(1-P_Merma)),(SUMIFS(Calculo!$F$189:$ES$189,Calculo!$F$170:$ES$170,10)*N(INDEX(MP_V,13))*INDEX(IdxMP_V,1,10)*(1+V_dMat)/(1-V_Merma)+SUMIFS(Calculo!$F$189:$ES$189,Calculo!$F$170:$ES$170,10)*N(INDEX(INS_V,13))*INDEX(IdxOV_V,1,10)*(1+V_dMat)/(1-V_Merma)+SUMIFS(Calculo!$F$189:$ES$189,Calculo!$F$170:$ES$170,10)*N(INDEX(OV_V,13))*INDEX(IdxOV_V,1,10)*(1+V_dMat)/(1-V_Merma)))</f>
        <v>0</v>
      </c>
      <c r="O119" s="54" t="n">
        <f aca="false">SUM(D119:N119)</f>
        <v>0</v>
      </c>
    </row>
    <row r="120" customFormat="false" ht="15" hidden="true" customHeight="false" outlineLevel="1" collapsed="false">
      <c r="A120" s="11" t="s">
        <v>2481</v>
      </c>
      <c r="B120" s="15" t="s">
        <v>2366</v>
      </c>
      <c r="C120" s="11" t="s">
        <v>544</v>
      </c>
      <c r="D120" s="48" t="n">
        <f aca="false">IF(cu_P=1,SUMIFS(Calculo!$F$33:$ES$33,Calculo!$F$16:$ES$16,1),SUMIFS(Calculo!$F$189:$ES$189,Calculo!$F$172:$ES$172,1))</f>
        <v>0</v>
      </c>
      <c r="E120" s="48" t="n">
        <f aca="false">IF(cu_P=1,SUMIFS(Calculo!$F$33:$ES$33,Calculo!$F$14:$ES$14,1),SUMIFS(Calculo!$F$189:$ES$189,Calculo!$F$170:$ES$170,1))</f>
        <v>0</v>
      </c>
      <c r="F120" s="48" t="n">
        <f aca="false">IF(cu_P=1,SUMIFS(Calculo!$F$33:$ES$33,Calculo!$F$14:$ES$14,2),SUMIFS(Calculo!$F$189:$ES$189,Calculo!$F$170:$ES$170,2))</f>
        <v>0</v>
      </c>
      <c r="G120" s="48" t="n">
        <f aca="false">IF(cu_P=1,SUMIFS(Calculo!$F$33:$ES$33,Calculo!$F$14:$ES$14,3),SUMIFS(Calculo!$F$189:$ES$189,Calculo!$F$170:$ES$170,3))</f>
        <v>0</v>
      </c>
      <c r="H120" s="48" t="n">
        <f aca="false">IF(cu_P=1,SUMIFS(Calculo!$F$33:$ES$33,Calculo!$F$14:$ES$14,4),SUMIFS(Calculo!$F$189:$ES$189,Calculo!$F$170:$ES$170,4))</f>
        <v>0</v>
      </c>
      <c r="I120" s="48" t="n">
        <f aca="false">IF(cu_P=1,SUMIFS(Calculo!$F$33:$ES$33,Calculo!$F$14:$ES$14,5),SUMIFS(Calculo!$F$189:$ES$189,Calculo!$F$170:$ES$170,5))</f>
        <v>0</v>
      </c>
      <c r="J120" s="48" t="n">
        <f aca="false">IF(cu_P=1,SUMIFS(Calculo!$F$33:$ES$33,Calculo!$F$14:$ES$14,6),SUMIFS(Calculo!$F$189:$ES$189,Calculo!$F$170:$ES$170,6))</f>
        <v>0</v>
      </c>
      <c r="K120" s="48" t="n">
        <f aca="false">IF(cu_P=1,SUMIFS(Calculo!$F$33:$ES$33,Calculo!$F$14:$ES$14,7),SUMIFS(Calculo!$F$189:$ES$189,Calculo!$F$170:$ES$170,7))</f>
        <v>0</v>
      </c>
      <c r="L120" s="48" t="n">
        <f aca="false">IF(cu_P=1,SUMIFS(Calculo!$F$33:$ES$33,Calculo!$F$14:$ES$14,8),SUMIFS(Calculo!$F$189:$ES$189,Calculo!$F$170:$ES$170,8))</f>
        <v>0</v>
      </c>
      <c r="M120" s="48" t="n">
        <f aca="false">IF(cu_P=1,SUMIFS(Calculo!$F$33:$ES$33,Calculo!$F$14:$ES$14,9),SUMIFS(Calculo!$F$189:$ES$189,Calculo!$F$170:$ES$170,9))</f>
        <v>0</v>
      </c>
      <c r="N120" s="48" t="n">
        <f aca="false">IF(cu_P=1,SUMIFS(Calculo!$F$33:$ES$33,Calculo!$F$14:$ES$14,10),SUMIFS(Calculo!$F$189:$ES$189,Calculo!$F$170:$ES$170,10))</f>
        <v>0</v>
      </c>
      <c r="O120" s="54" t="n">
        <f aca="false">SUM(D120:N120)</f>
        <v>0</v>
      </c>
    </row>
    <row r="121" customFormat="false" ht="15" hidden="true" customHeight="false" outlineLevel="1" collapsed="false">
      <c r="A121" s="11" t="s">
        <v>2482</v>
      </c>
      <c r="B121" s="15" t="s">
        <v>2368</v>
      </c>
      <c r="C121" s="11" t="s">
        <v>508</v>
      </c>
      <c r="D121" s="48" t="n">
        <f aca="false">IF(cu_P=1,SUMIFS(Calculo!$F$58:$ES$58,Calculo!$F$16:$ES$16,1),SUMIFS(Calculo!$F$214:$ES$214,Calculo!$F$172:$ES$172,1))</f>
        <v>0</v>
      </c>
      <c r="E121" s="48" t="n">
        <f aca="false">IF(cu_P=1,SUMIFS(Calculo!$F$58:$ES$58,Calculo!$F$14:$ES$14,1),SUMIFS(Calculo!$F$214:$ES$214,Calculo!$F$170:$ES$170,1))</f>
        <v>0</v>
      </c>
      <c r="F121" s="48" t="n">
        <f aca="false">IF(cu_P=1,SUMIFS(Calculo!$F$58:$ES$58,Calculo!$F$14:$ES$14,2),SUMIFS(Calculo!$F$214:$ES$214,Calculo!$F$170:$ES$170,2))</f>
        <v>0</v>
      </c>
      <c r="G121" s="48" t="n">
        <f aca="false">IF(cu_P=1,SUMIFS(Calculo!$F$58:$ES$58,Calculo!$F$14:$ES$14,3),SUMIFS(Calculo!$F$214:$ES$214,Calculo!$F$170:$ES$170,3))</f>
        <v>0</v>
      </c>
      <c r="H121" s="48" t="n">
        <f aca="false">IF(cu_P=1,SUMIFS(Calculo!$F$58:$ES$58,Calculo!$F$14:$ES$14,4),SUMIFS(Calculo!$F$214:$ES$214,Calculo!$F$170:$ES$170,4))</f>
        <v>0</v>
      </c>
      <c r="I121" s="48" t="n">
        <f aca="false">IF(cu_P=1,SUMIFS(Calculo!$F$58:$ES$58,Calculo!$F$14:$ES$14,5),SUMIFS(Calculo!$F$214:$ES$214,Calculo!$F$170:$ES$170,5))</f>
        <v>0</v>
      </c>
      <c r="J121" s="48" t="n">
        <f aca="false">IF(cu_P=1,SUMIFS(Calculo!$F$58:$ES$58,Calculo!$F$14:$ES$14,6),SUMIFS(Calculo!$F$214:$ES$214,Calculo!$F$170:$ES$170,6))</f>
        <v>0</v>
      </c>
      <c r="K121" s="48" t="n">
        <f aca="false">IF(cu_P=1,SUMIFS(Calculo!$F$58:$ES$58,Calculo!$F$14:$ES$14,7),SUMIFS(Calculo!$F$214:$ES$214,Calculo!$F$170:$ES$170,7))</f>
        <v>0</v>
      </c>
      <c r="L121" s="48" t="n">
        <f aca="false">IF(cu_P=1,SUMIFS(Calculo!$F$58:$ES$58,Calculo!$F$14:$ES$14,8),SUMIFS(Calculo!$F$214:$ES$214,Calculo!$F$170:$ES$170,8))</f>
        <v>0</v>
      </c>
      <c r="M121" s="48" t="n">
        <f aca="false">IF(cu_P=1,SUMIFS(Calculo!$F$58:$ES$58,Calculo!$F$14:$ES$14,9),SUMIFS(Calculo!$F$214:$ES$214,Calculo!$F$170:$ES$170,9))</f>
        <v>0</v>
      </c>
      <c r="N121" s="48" t="n">
        <f aca="false">IF(cu_P=1,SUMIFS(Calculo!$F$58:$ES$58,Calculo!$F$14:$ES$14,10),SUMIFS(Calculo!$F$214:$ES$214,Calculo!$F$170:$ES$170,10))</f>
        <v>0</v>
      </c>
      <c r="O121" s="54" t="n">
        <f aca="false">SUM(D121:N121)</f>
        <v>0</v>
      </c>
    </row>
    <row r="122" customFormat="false" ht="15" hidden="true" customHeight="false" outlineLevel="1" collapsed="false">
      <c r="A122" s="11" t="s">
        <v>2483</v>
      </c>
      <c r="B122" s="15" t="s">
        <v>2370</v>
      </c>
      <c r="C122" s="11" t="s">
        <v>748</v>
      </c>
      <c r="D122" s="50" t="str">
        <f aca="false">IFERROR(IF(OR(NOT(ISNUMBER(D119)),N(D120)=0),"",D119/D120),"")</f>
        <v/>
      </c>
      <c r="E122" s="50" t="str">
        <f aca="false">IFERROR(IF(OR(NOT(ISNUMBER(E119)),N(E120)=0),"",E119/E120),"")</f>
        <v/>
      </c>
      <c r="F122" s="50" t="str">
        <f aca="false">IFERROR(IF(OR(NOT(ISNUMBER(F119)),N(F120)=0),"",F119/F120),"")</f>
        <v/>
      </c>
      <c r="G122" s="50" t="str">
        <f aca="false">IFERROR(IF(OR(NOT(ISNUMBER(G119)),N(G120)=0),"",G119/G120),"")</f>
        <v/>
      </c>
      <c r="H122" s="50" t="str">
        <f aca="false">IFERROR(IF(OR(NOT(ISNUMBER(H119)),N(H120)=0),"",H119/H120),"")</f>
        <v/>
      </c>
      <c r="I122" s="50" t="str">
        <f aca="false">IFERROR(IF(OR(NOT(ISNUMBER(I119)),N(I120)=0),"",I119/I120),"")</f>
        <v/>
      </c>
      <c r="J122" s="50" t="str">
        <f aca="false">IFERROR(IF(OR(NOT(ISNUMBER(J119)),N(J120)=0),"",J119/J120),"")</f>
        <v/>
      </c>
      <c r="K122" s="50" t="str">
        <f aca="false">IFERROR(IF(OR(NOT(ISNUMBER(K119)),N(K120)=0),"",K119/K120),"")</f>
        <v/>
      </c>
      <c r="L122" s="50" t="str">
        <f aca="false">IFERROR(IF(OR(NOT(ISNUMBER(L119)),N(L120)=0),"",L119/L120),"")</f>
        <v/>
      </c>
      <c r="M122" s="50" t="str">
        <f aca="false">IFERROR(IF(OR(NOT(ISNUMBER(M119)),N(M120)=0),"",M119/M120),"")</f>
        <v/>
      </c>
      <c r="N122" s="50" t="str">
        <f aca="false">IFERROR(IF(OR(NOT(ISNUMBER(N119)),N(N120)=0),"",N119/N120),"")</f>
        <v/>
      </c>
      <c r="O122" s="68" t="str">
        <f aca="false">IFERROR(IF(OR(NOT(ISNUMBER(O119)),N(O120)=0),"",O119/O120),"")</f>
        <v/>
      </c>
    </row>
    <row r="123" customFormat="false" ht="15" hidden="true" customHeight="false" outlineLevel="1" collapsed="false">
      <c r="A123" s="11" t="s">
        <v>2484</v>
      </c>
      <c r="B123" s="15" t="s">
        <v>2372</v>
      </c>
      <c r="C123" s="11" t="s">
        <v>748</v>
      </c>
      <c r="D123" s="50" t="str">
        <f aca="false">IFERROR(IF(N(D120)=0,"",(D121-D119)/D120),"")</f>
        <v/>
      </c>
      <c r="E123" s="50" t="str">
        <f aca="false">IFERROR(IF(N(E120)=0,"",(E121-E119)/E120),"")</f>
        <v/>
      </c>
      <c r="F123" s="50" t="str">
        <f aca="false">IFERROR(IF(N(F120)=0,"",(F121-F119)/F120),"")</f>
        <v/>
      </c>
      <c r="G123" s="50" t="str">
        <f aca="false">IFERROR(IF(N(G120)=0,"",(G121-G119)/G120),"")</f>
        <v/>
      </c>
      <c r="H123" s="50" t="str">
        <f aca="false">IFERROR(IF(N(H120)=0,"",(H121-H119)/H120),"")</f>
        <v/>
      </c>
      <c r="I123" s="50" t="str">
        <f aca="false">IFERROR(IF(N(I120)=0,"",(I121-I119)/I120),"")</f>
        <v/>
      </c>
      <c r="J123" s="50" t="str">
        <f aca="false">IFERROR(IF(N(J120)=0,"",(J121-J119)/J120),"")</f>
        <v/>
      </c>
      <c r="K123" s="50" t="str">
        <f aca="false">IFERROR(IF(N(K120)=0,"",(K121-K119)/K120),"")</f>
        <v/>
      </c>
      <c r="L123" s="50" t="str">
        <f aca="false">IFERROR(IF(N(L120)=0,"",(L121-L119)/L120),"")</f>
        <v/>
      </c>
      <c r="M123" s="50" t="str">
        <f aca="false">IFERROR(IF(N(M120)=0,"",(M121-M119)/M120),"")</f>
        <v/>
      </c>
      <c r="N123" s="50" t="str">
        <f aca="false">IFERROR(IF(N(N120)=0,"",(N121-N119)/N120),"")</f>
        <v/>
      </c>
      <c r="O123" s="68" t="str">
        <f aca="false">IFERROR(IF(N(O120)=0,"",(O121-O119)/O120),"")</f>
        <v/>
      </c>
    </row>
    <row r="124" customFormat="false" ht="15" hidden="true" customHeight="false" outlineLevel="1" collapsed="false">
      <c r="A124" s="11" t="s">
        <v>2485</v>
      </c>
      <c r="B124" s="15" t="s">
        <v>2374</v>
      </c>
      <c r="C124" s="11" t="s">
        <v>367</v>
      </c>
      <c r="D124" s="49" t="str">
        <f aca="false">IFERROR(IF(N(D121)=0,"",1-D119/D121),"")</f>
        <v/>
      </c>
      <c r="E124" s="49" t="str">
        <f aca="false">IFERROR(IF(N(E121)=0,"",1-E119/E121),"")</f>
        <v/>
      </c>
      <c r="F124" s="49" t="str">
        <f aca="false">IFERROR(IF(N(F121)=0,"",1-F119/F121),"")</f>
        <v/>
      </c>
      <c r="G124" s="49" t="str">
        <f aca="false">IFERROR(IF(N(G121)=0,"",1-G119/G121),"")</f>
        <v/>
      </c>
      <c r="H124" s="49" t="str">
        <f aca="false">IFERROR(IF(N(H121)=0,"",1-H119/H121),"")</f>
        <v/>
      </c>
      <c r="I124" s="49" t="str">
        <f aca="false">IFERROR(IF(N(I121)=0,"",1-I119/I121),"")</f>
        <v/>
      </c>
      <c r="J124" s="49" t="str">
        <f aca="false">IFERROR(IF(N(J121)=0,"",1-J119/J121),"")</f>
        <v/>
      </c>
      <c r="K124" s="49" t="str">
        <f aca="false">IFERROR(IF(N(K121)=0,"",1-K119/K121),"")</f>
        <v/>
      </c>
      <c r="L124" s="49" t="str">
        <f aca="false">IFERROR(IF(N(L121)=0,"",1-L119/L121),"")</f>
        <v/>
      </c>
      <c r="M124" s="49" t="str">
        <f aca="false">IFERROR(IF(N(M121)=0,"",1-M119/M121),"")</f>
        <v/>
      </c>
      <c r="N124" s="49" t="str">
        <f aca="false">IFERROR(IF(N(N121)=0,"",1-N119/N121),"")</f>
        <v/>
      </c>
      <c r="O124" s="99" t="str">
        <f aca="false">IFERROR(IF(N(O121)=0,"",1-O119/O121),"")</f>
        <v/>
      </c>
    </row>
    <row r="125" customFormat="false" ht="15" hidden="true" customHeight="false" outlineLevel="1" collapsed="false">
      <c r="A125" s="11" t="s">
        <v>2486</v>
      </c>
      <c r="B125" s="15" t="s">
        <v>2376</v>
      </c>
      <c r="C125" s="11" t="s">
        <v>508</v>
      </c>
      <c r="D125" s="48" t="str">
        <f aca="false">IFERROR(IF(OR(NOT(ISNUMBER(D119)),N(D9)=0),"",D10*D119/D9),"")</f>
        <v/>
      </c>
      <c r="E125" s="48" t="n">
        <f aca="false">IFERROR(IF(OR(NOT(ISNUMBER(E119)),N(E9)=0),"",E10*E119/E9),"")</f>
        <v>0</v>
      </c>
      <c r="F125" s="48" t="n">
        <f aca="false">IFERROR(IF(OR(NOT(ISNUMBER(F119)),N(F9)=0),"",F10*F119/F9),"")</f>
        <v>0</v>
      </c>
      <c r="G125" s="48" t="n">
        <f aca="false">IFERROR(IF(OR(NOT(ISNUMBER(G119)),N(G9)=0),"",G10*G119/G9),"")</f>
        <v>0</v>
      </c>
      <c r="H125" s="48" t="n">
        <f aca="false">IFERROR(IF(OR(NOT(ISNUMBER(H119)),N(H9)=0),"",H10*H119/H9),"")</f>
        <v>0</v>
      </c>
      <c r="I125" s="48" t="n">
        <f aca="false">IFERROR(IF(OR(NOT(ISNUMBER(I119)),N(I9)=0),"",I10*I119/I9),"")</f>
        <v>0</v>
      </c>
      <c r="J125" s="48" t="n">
        <f aca="false">IFERROR(IF(OR(NOT(ISNUMBER(J119)),N(J9)=0),"",J10*J119/J9),"")</f>
        <v>0</v>
      </c>
      <c r="K125" s="48" t="n">
        <f aca="false">IFERROR(IF(OR(NOT(ISNUMBER(K119)),N(K9)=0),"",K10*K119/K9),"")</f>
        <v>0</v>
      </c>
      <c r="L125" s="48" t="n">
        <f aca="false">IFERROR(IF(OR(NOT(ISNUMBER(L119)),N(L9)=0),"",L10*L119/L9),"")</f>
        <v>0</v>
      </c>
      <c r="M125" s="48" t="n">
        <f aca="false">IFERROR(IF(OR(NOT(ISNUMBER(M119)),N(M9)=0),"",M10*M119/M9),"")</f>
        <v>0</v>
      </c>
      <c r="N125" s="48" t="n">
        <f aca="false">IFERROR(IF(OR(NOT(ISNUMBER(N119)),N(N9)=0),"",N10*N119/N9),"")</f>
        <v>0</v>
      </c>
      <c r="O125" s="54" t="n">
        <f aca="false">SUM(D125:N125)</f>
        <v>0</v>
      </c>
    </row>
    <row r="126" customFormat="false" ht="15" hidden="true" customHeight="false" outlineLevel="1" collapsed="false">
      <c r="A126" s="11" t="s">
        <v>2487</v>
      </c>
      <c r="B126" s="15" t="s">
        <v>2378</v>
      </c>
      <c r="C126" s="11" t="s">
        <v>508</v>
      </c>
      <c r="D126" s="48" t="n">
        <f aca="false">IFERROR(IF(COUNT(D119,D125)=0,"",N(D119)+N(D125)),"")</f>
        <v>0</v>
      </c>
      <c r="E126" s="48" t="n">
        <f aca="false">IFERROR(IF(COUNT(E119,E125)=0,"",N(E119)+N(E125)),"")</f>
        <v>0</v>
      </c>
      <c r="F126" s="48" t="n">
        <f aca="false">IFERROR(IF(COUNT(F119,F125)=0,"",N(F119)+N(F125)),"")</f>
        <v>0</v>
      </c>
      <c r="G126" s="48" t="n">
        <f aca="false">IFERROR(IF(COUNT(G119,G125)=0,"",N(G119)+N(G125)),"")</f>
        <v>0</v>
      </c>
      <c r="H126" s="48" t="n">
        <f aca="false">IFERROR(IF(COUNT(H119,H125)=0,"",N(H119)+N(H125)),"")</f>
        <v>0</v>
      </c>
      <c r="I126" s="48" t="n">
        <f aca="false">IFERROR(IF(COUNT(I119,I125)=0,"",N(I119)+N(I125)),"")</f>
        <v>0</v>
      </c>
      <c r="J126" s="48" t="n">
        <f aca="false">IFERROR(IF(COUNT(J119,J125)=0,"",N(J119)+N(J125)),"")</f>
        <v>0</v>
      </c>
      <c r="K126" s="48" t="n">
        <f aca="false">IFERROR(IF(COUNT(K119,K125)=0,"",N(K119)+N(K125)),"")</f>
        <v>0</v>
      </c>
      <c r="L126" s="48" t="n">
        <f aca="false">IFERROR(IF(COUNT(L119,L125)=0,"",N(L119)+N(L125)),"")</f>
        <v>0</v>
      </c>
      <c r="M126" s="48" t="n">
        <f aca="false">IFERROR(IF(COUNT(M119,M125)=0,"",N(M119)+N(M125)),"")</f>
        <v>0</v>
      </c>
      <c r="N126" s="48" t="n">
        <f aca="false">IFERROR(IF(COUNT(N119,N125)=0,"",N(N119)+N(N125)),"")</f>
        <v>0</v>
      </c>
      <c r="O126" s="54" t="n">
        <f aca="false">SUM(D126:N126)</f>
        <v>0</v>
      </c>
    </row>
    <row r="127" customFormat="false" ht="15" hidden="true" customHeight="false" outlineLevel="1" collapsed="false">
      <c r="A127" s="11" t="s">
        <v>2488</v>
      </c>
      <c r="B127" s="15" t="s">
        <v>2380</v>
      </c>
      <c r="C127" s="11" t="s">
        <v>748</v>
      </c>
      <c r="D127" s="50" t="str">
        <f aca="false">IFERROR(IF(OR(NOT(ISNUMBER(D126)),N(D120)=0),"",D126/D120),"")</f>
        <v/>
      </c>
      <c r="E127" s="50" t="str">
        <f aca="false">IFERROR(IF(OR(NOT(ISNUMBER(E126)),N(E120)=0),"",E126/E120),"")</f>
        <v/>
      </c>
      <c r="F127" s="50" t="str">
        <f aca="false">IFERROR(IF(OR(NOT(ISNUMBER(F126)),N(F120)=0),"",F126/F120),"")</f>
        <v/>
      </c>
      <c r="G127" s="50" t="str">
        <f aca="false">IFERROR(IF(OR(NOT(ISNUMBER(G126)),N(G120)=0),"",G126/G120),"")</f>
        <v/>
      </c>
      <c r="H127" s="50" t="str">
        <f aca="false">IFERROR(IF(OR(NOT(ISNUMBER(H126)),N(H120)=0),"",H126/H120),"")</f>
        <v/>
      </c>
      <c r="I127" s="50" t="str">
        <f aca="false">IFERROR(IF(OR(NOT(ISNUMBER(I126)),N(I120)=0),"",I126/I120),"")</f>
        <v/>
      </c>
      <c r="J127" s="50" t="str">
        <f aca="false">IFERROR(IF(OR(NOT(ISNUMBER(J126)),N(J120)=0),"",J126/J120),"")</f>
        <v/>
      </c>
      <c r="K127" s="50" t="str">
        <f aca="false">IFERROR(IF(OR(NOT(ISNUMBER(K126)),N(K120)=0),"",K126/K120),"")</f>
        <v/>
      </c>
      <c r="L127" s="50" t="str">
        <f aca="false">IFERROR(IF(OR(NOT(ISNUMBER(L126)),N(L120)=0),"",L126/L120),"")</f>
        <v/>
      </c>
      <c r="M127" s="50" t="str">
        <f aca="false">IFERROR(IF(OR(NOT(ISNUMBER(M126)),N(M120)=0),"",M126/M120),"")</f>
        <v/>
      </c>
      <c r="N127" s="50" t="str">
        <f aca="false">IFERROR(IF(OR(NOT(ISNUMBER(N126)),N(N120)=0),"",N126/N120),"")</f>
        <v/>
      </c>
      <c r="O127" s="68" t="str">
        <f aca="false">IFERROR(IF(OR(NOT(ISNUMBER(O126)),N(O120)=0),"",O126/O120),"")</f>
        <v/>
      </c>
    </row>
    <row r="128" customFormat="false" ht="15" hidden="true" customHeight="false" outlineLevel="1" collapsed="false">
      <c r="A128" s="11" t="s">
        <v>2489</v>
      </c>
      <c r="B128" s="53" t="str">
        <f aca="false">IF(INDEX(Prod_Nombre,14)="","Producto 14",INDEX(Prod_Nombre,14))&amp;" — costo directo"</f>
        <v>Producto 14 — costo directo</v>
      </c>
      <c r="C128" s="11" t="s">
        <v>508</v>
      </c>
      <c r="D128" s="48" t="n">
        <f aca="false">IF(cu_P=1,(SUMIFS(Calculo!$F$34:$ES$34,Calculo!$F$16:$ES$16,1)*N(INDEX(MP_O,14))*INDEX(IdxMP_O,1,1)*(1+P_dMat)/(1-P_Merma)+SUMIFS(Calculo!$F$34:$ES$34,Calculo!$F$16:$ES$16,1)*N(INDEX(INS_O,14))*INDEX(IdxOV_O,1,1)*(1+P_dMat)/(1-P_Merma)+SUMIFS(Calculo!$F$34:$ES$34,Calculo!$F$16:$ES$16,1)*N(INDEX(OV_O,14))*INDEX(IdxOV_O,1,1)*(1+P_dMat)/(1-P_Merma)),(SUMIFS(Calculo!$F$190:$ES$190,Calculo!$F$172:$ES$172,1)*N(INDEX(MP_V,14))*INDEX(IdxMP_V,1,1)*(1+V_dMat)/(1-V_Merma)+SUMIFS(Calculo!$F$190:$ES$190,Calculo!$F$172:$ES$172,1)*N(INDEX(INS_V,14))*INDEX(IdxOV_V,1,1)*(1+V_dMat)/(1-V_Merma)+SUMIFS(Calculo!$F$190:$ES$190,Calculo!$F$172:$ES$172,1)*N(INDEX(OV_V,14))*INDEX(IdxOV_V,1,1)*(1+V_dMat)/(1-V_Merma)))</f>
        <v>0</v>
      </c>
      <c r="E128" s="48" t="n">
        <f aca="false">IF(cu_P=1,(SUMIFS(Calculo!$F$34:$ES$34,Calculo!$F$14:$ES$14,1)*N(INDEX(MP_O,14))*INDEX(IdxMP_O,1,1)*(1+P_dMat)/(1-P_Merma)+SUMIFS(Calculo!$F$34:$ES$34,Calculo!$F$14:$ES$14,1)*N(INDEX(INS_O,14))*INDEX(IdxOV_O,1,1)*(1+P_dMat)/(1-P_Merma)+SUMIFS(Calculo!$F$34:$ES$34,Calculo!$F$14:$ES$14,1)*N(INDEX(OV_O,14))*INDEX(IdxOV_O,1,1)*(1+P_dMat)/(1-P_Merma)),(SUMIFS(Calculo!$F$190:$ES$190,Calculo!$F$170:$ES$170,1)*N(INDEX(MP_V,14))*INDEX(IdxMP_V,1,1)*(1+V_dMat)/(1-V_Merma)+SUMIFS(Calculo!$F$190:$ES$190,Calculo!$F$170:$ES$170,1)*N(INDEX(INS_V,14))*INDEX(IdxOV_V,1,1)*(1+V_dMat)/(1-V_Merma)+SUMIFS(Calculo!$F$190:$ES$190,Calculo!$F$170:$ES$170,1)*N(INDEX(OV_V,14))*INDEX(IdxOV_V,1,1)*(1+V_dMat)/(1-V_Merma)))</f>
        <v>0</v>
      </c>
      <c r="F128" s="48" t="n">
        <f aca="false">IF(cu_P=1,(SUMIFS(Calculo!$F$34:$ES$34,Calculo!$F$14:$ES$14,2)*N(INDEX(MP_O,14))*INDEX(IdxMP_O,1,2)*(1+P_dMat)/(1-P_Merma)+SUMIFS(Calculo!$F$34:$ES$34,Calculo!$F$14:$ES$14,2)*N(INDEX(INS_O,14))*INDEX(IdxOV_O,1,2)*(1+P_dMat)/(1-P_Merma)+SUMIFS(Calculo!$F$34:$ES$34,Calculo!$F$14:$ES$14,2)*N(INDEX(OV_O,14))*INDEX(IdxOV_O,1,2)*(1+P_dMat)/(1-P_Merma)),(SUMIFS(Calculo!$F$190:$ES$190,Calculo!$F$170:$ES$170,2)*N(INDEX(MP_V,14))*INDEX(IdxMP_V,1,2)*(1+V_dMat)/(1-V_Merma)+SUMIFS(Calculo!$F$190:$ES$190,Calculo!$F$170:$ES$170,2)*N(INDEX(INS_V,14))*INDEX(IdxOV_V,1,2)*(1+V_dMat)/(1-V_Merma)+SUMIFS(Calculo!$F$190:$ES$190,Calculo!$F$170:$ES$170,2)*N(INDEX(OV_V,14))*INDEX(IdxOV_V,1,2)*(1+V_dMat)/(1-V_Merma)))</f>
        <v>0</v>
      </c>
      <c r="G128" s="48" t="n">
        <f aca="false">IF(cu_P=1,(SUMIFS(Calculo!$F$34:$ES$34,Calculo!$F$14:$ES$14,3)*N(INDEX(MP_O,14))*INDEX(IdxMP_O,1,3)*(1+P_dMat)/(1-P_Merma)+SUMIFS(Calculo!$F$34:$ES$34,Calculo!$F$14:$ES$14,3)*N(INDEX(INS_O,14))*INDEX(IdxOV_O,1,3)*(1+P_dMat)/(1-P_Merma)+SUMIFS(Calculo!$F$34:$ES$34,Calculo!$F$14:$ES$14,3)*N(INDEX(OV_O,14))*INDEX(IdxOV_O,1,3)*(1+P_dMat)/(1-P_Merma)),(SUMIFS(Calculo!$F$190:$ES$190,Calculo!$F$170:$ES$170,3)*N(INDEX(MP_V,14))*INDEX(IdxMP_V,1,3)*(1+V_dMat)/(1-V_Merma)+SUMIFS(Calculo!$F$190:$ES$190,Calculo!$F$170:$ES$170,3)*N(INDEX(INS_V,14))*INDEX(IdxOV_V,1,3)*(1+V_dMat)/(1-V_Merma)+SUMIFS(Calculo!$F$190:$ES$190,Calculo!$F$170:$ES$170,3)*N(INDEX(OV_V,14))*INDEX(IdxOV_V,1,3)*(1+V_dMat)/(1-V_Merma)))</f>
        <v>0</v>
      </c>
      <c r="H128" s="48" t="n">
        <f aca="false">IF(cu_P=1,(SUMIFS(Calculo!$F$34:$ES$34,Calculo!$F$14:$ES$14,4)*N(INDEX(MP_O,14))*INDEX(IdxMP_O,1,4)*(1+P_dMat)/(1-P_Merma)+SUMIFS(Calculo!$F$34:$ES$34,Calculo!$F$14:$ES$14,4)*N(INDEX(INS_O,14))*INDEX(IdxOV_O,1,4)*(1+P_dMat)/(1-P_Merma)+SUMIFS(Calculo!$F$34:$ES$34,Calculo!$F$14:$ES$14,4)*N(INDEX(OV_O,14))*INDEX(IdxOV_O,1,4)*(1+P_dMat)/(1-P_Merma)),(SUMIFS(Calculo!$F$190:$ES$190,Calculo!$F$170:$ES$170,4)*N(INDEX(MP_V,14))*INDEX(IdxMP_V,1,4)*(1+V_dMat)/(1-V_Merma)+SUMIFS(Calculo!$F$190:$ES$190,Calculo!$F$170:$ES$170,4)*N(INDEX(INS_V,14))*INDEX(IdxOV_V,1,4)*(1+V_dMat)/(1-V_Merma)+SUMIFS(Calculo!$F$190:$ES$190,Calculo!$F$170:$ES$170,4)*N(INDEX(OV_V,14))*INDEX(IdxOV_V,1,4)*(1+V_dMat)/(1-V_Merma)))</f>
        <v>0</v>
      </c>
      <c r="I128" s="48" t="n">
        <f aca="false">IF(cu_P=1,(SUMIFS(Calculo!$F$34:$ES$34,Calculo!$F$14:$ES$14,5)*N(INDEX(MP_O,14))*INDEX(IdxMP_O,1,5)*(1+P_dMat)/(1-P_Merma)+SUMIFS(Calculo!$F$34:$ES$34,Calculo!$F$14:$ES$14,5)*N(INDEX(INS_O,14))*INDEX(IdxOV_O,1,5)*(1+P_dMat)/(1-P_Merma)+SUMIFS(Calculo!$F$34:$ES$34,Calculo!$F$14:$ES$14,5)*N(INDEX(OV_O,14))*INDEX(IdxOV_O,1,5)*(1+P_dMat)/(1-P_Merma)),(SUMIFS(Calculo!$F$190:$ES$190,Calculo!$F$170:$ES$170,5)*N(INDEX(MP_V,14))*INDEX(IdxMP_V,1,5)*(1+V_dMat)/(1-V_Merma)+SUMIFS(Calculo!$F$190:$ES$190,Calculo!$F$170:$ES$170,5)*N(INDEX(INS_V,14))*INDEX(IdxOV_V,1,5)*(1+V_dMat)/(1-V_Merma)+SUMIFS(Calculo!$F$190:$ES$190,Calculo!$F$170:$ES$170,5)*N(INDEX(OV_V,14))*INDEX(IdxOV_V,1,5)*(1+V_dMat)/(1-V_Merma)))</f>
        <v>0</v>
      </c>
      <c r="J128" s="48" t="n">
        <f aca="false">IF(cu_P=1,(SUMIFS(Calculo!$F$34:$ES$34,Calculo!$F$14:$ES$14,6)*N(INDEX(MP_O,14))*INDEX(IdxMP_O,1,6)*(1+P_dMat)/(1-P_Merma)+SUMIFS(Calculo!$F$34:$ES$34,Calculo!$F$14:$ES$14,6)*N(INDEX(INS_O,14))*INDEX(IdxOV_O,1,6)*(1+P_dMat)/(1-P_Merma)+SUMIFS(Calculo!$F$34:$ES$34,Calculo!$F$14:$ES$14,6)*N(INDEX(OV_O,14))*INDEX(IdxOV_O,1,6)*(1+P_dMat)/(1-P_Merma)),(SUMIFS(Calculo!$F$190:$ES$190,Calculo!$F$170:$ES$170,6)*N(INDEX(MP_V,14))*INDEX(IdxMP_V,1,6)*(1+V_dMat)/(1-V_Merma)+SUMIFS(Calculo!$F$190:$ES$190,Calculo!$F$170:$ES$170,6)*N(INDEX(INS_V,14))*INDEX(IdxOV_V,1,6)*(1+V_dMat)/(1-V_Merma)+SUMIFS(Calculo!$F$190:$ES$190,Calculo!$F$170:$ES$170,6)*N(INDEX(OV_V,14))*INDEX(IdxOV_V,1,6)*(1+V_dMat)/(1-V_Merma)))</f>
        <v>0</v>
      </c>
      <c r="K128" s="48" t="n">
        <f aca="false">IF(cu_P=1,(SUMIFS(Calculo!$F$34:$ES$34,Calculo!$F$14:$ES$14,7)*N(INDEX(MP_O,14))*INDEX(IdxMP_O,1,7)*(1+P_dMat)/(1-P_Merma)+SUMIFS(Calculo!$F$34:$ES$34,Calculo!$F$14:$ES$14,7)*N(INDEX(INS_O,14))*INDEX(IdxOV_O,1,7)*(1+P_dMat)/(1-P_Merma)+SUMIFS(Calculo!$F$34:$ES$34,Calculo!$F$14:$ES$14,7)*N(INDEX(OV_O,14))*INDEX(IdxOV_O,1,7)*(1+P_dMat)/(1-P_Merma)),(SUMIFS(Calculo!$F$190:$ES$190,Calculo!$F$170:$ES$170,7)*N(INDEX(MP_V,14))*INDEX(IdxMP_V,1,7)*(1+V_dMat)/(1-V_Merma)+SUMIFS(Calculo!$F$190:$ES$190,Calculo!$F$170:$ES$170,7)*N(INDEX(INS_V,14))*INDEX(IdxOV_V,1,7)*(1+V_dMat)/(1-V_Merma)+SUMIFS(Calculo!$F$190:$ES$190,Calculo!$F$170:$ES$170,7)*N(INDEX(OV_V,14))*INDEX(IdxOV_V,1,7)*(1+V_dMat)/(1-V_Merma)))</f>
        <v>0</v>
      </c>
      <c r="L128" s="48" t="n">
        <f aca="false">IF(cu_P=1,(SUMIFS(Calculo!$F$34:$ES$34,Calculo!$F$14:$ES$14,8)*N(INDEX(MP_O,14))*INDEX(IdxMP_O,1,8)*(1+P_dMat)/(1-P_Merma)+SUMIFS(Calculo!$F$34:$ES$34,Calculo!$F$14:$ES$14,8)*N(INDEX(INS_O,14))*INDEX(IdxOV_O,1,8)*(1+P_dMat)/(1-P_Merma)+SUMIFS(Calculo!$F$34:$ES$34,Calculo!$F$14:$ES$14,8)*N(INDEX(OV_O,14))*INDEX(IdxOV_O,1,8)*(1+P_dMat)/(1-P_Merma)),(SUMIFS(Calculo!$F$190:$ES$190,Calculo!$F$170:$ES$170,8)*N(INDEX(MP_V,14))*INDEX(IdxMP_V,1,8)*(1+V_dMat)/(1-V_Merma)+SUMIFS(Calculo!$F$190:$ES$190,Calculo!$F$170:$ES$170,8)*N(INDEX(INS_V,14))*INDEX(IdxOV_V,1,8)*(1+V_dMat)/(1-V_Merma)+SUMIFS(Calculo!$F$190:$ES$190,Calculo!$F$170:$ES$170,8)*N(INDEX(OV_V,14))*INDEX(IdxOV_V,1,8)*(1+V_dMat)/(1-V_Merma)))</f>
        <v>0</v>
      </c>
      <c r="M128" s="48" t="n">
        <f aca="false">IF(cu_P=1,(SUMIFS(Calculo!$F$34:$ES$34,Calculo!$F$14:$ES$14,9)*N(INDEX(MP_O,14))*INDEX(IdxMP_O,1,9)*(1+P_dMat)/(1-P_Merma)+SUMIFS(Calculo!$F$34:$ES$34,Calculo!$F$14:$ES$14,9)*N(INDEX(INS_O,14))*INDEX(IdxOV_O,1,9)*(1+P_dMat)/(1-P_Merma)+SUMIFS(Calculo!$F$34:$ES$34,Calculo!$F$14:$ES$14,9)*N(INDEX(OV_O,14))*INDEX(IdxOV_O,1,9)*(1+P_dMat)/(1-P_Merma)),(SUMIFS(Calculo!$F$190:$ES$190,Calculo!$F$170:$ES$170,9)*N(INDEX(MP_V,14))*INDEX(IdxMP_V,1,9)*(1+V_dMat)/(1-V_Merma)+SUMIFS(Calculo!$F$190:$ES$190,Calculo!$F$170:$ES$170,9)*N(INDEX(INS_V,14))*INDEX(IdxOV_V,1,9)*(1+V_dMat)/(1-V_Merma)+SUMIFS(Calculo!$F$190:$ES$190,Calculo!$F$170:$ES$170,9)*N(INDEX(OV_V,14))*INDEX(IdxOV_V,1,9)*(1+V_dMat)/(1-V_Merma)))</f>
        <v>0</v>
      </c>
      <c r="N128" s="48" t="n">
        <f aca="false">IF(cu_P=1,(SUMIFS(Calculo!$F$34:$ES$34,Calculo!$F$14:$ES$14,10)*N(INDEX(MP_O,14))*INDEX(IdxMP_O,1,10)*(1+P_dMat)/(1-P_Merma)+SUMIFS(Calculo!$F$34:$ES$34,Calculo!$F$14:$ES$14,10)*N(INDEX(INS_O,14))*INDEX(IdxOV_O,1,10)*(1+P_dMat)/(1-P_Merma)+SUMIFS(Calculo!$F$34:$ES$34,Calculo!$F$14:$ES$14,10)*N(INDEX(OV_O,14))*INDEX(IdxOV_O,1,10)*(1+P_dMat)/(1-P_Merma)),(SUMIFS(Calculo!$F$190:$ES$190,Calculo!$F$170:$ES$170,10)*N(INDEX(MP_V,14))*INDEX(IdxMP_V,1,10)*(1+V_dMat)/(1-V_Merma)+SUMIFS(Calculo!$F$190:$ES$190,Calculo!$F$170:$ES$170,10)*N(INDEX(INS_V,14))*INDEX(IdxOV_V,1,10)*(1+V_dMat)/(1-V_Merma)+SUMIFS(Calculo!$F$190:$ES$190,Calculo!$F$170:$ES$170,10)*N(INDEX(OV_V,14))*INDEX(IdxOV_V,1,10)*(1+V_dMat)/(1-V_Merma)))</f>
        <v>0</v>
      </c>
      <c r="O128" s="54" t="n">
        <f aca="false">SUM(D128:N128)</f>
        <v>0</v>
      </c>
    </row>
    <row r="129" customFormat="false" ht="15" hidden="true" customHeight="false" outlineLevel="1" collapsed="false">
      <c r="A129" s="11" t="s">
        <v>2490</v>
      </c>
      <c r="B129" s="15" t="s">
        <v>2366</v>
      </c>
      <c r="C129" s="11" t="s">
        <v>544</v>
      </c>
      <c r="D129" s="48" t="n">
        <f aca="false">IF(cu_P=1,SUMIFS(Calculo!$F$34:$ES$34,Calculo!$F$16:$ES$16,1),SUMIFS(Calculo!$F$190:$ES$190,Calculo!$F$172:$ES$172,1))</f>
        <v>0</v>
      </c>
      <c r="E129" s="48" t="n">
        <f aca="false">IF(cu_P=1,SUMIFS(Calculo!$F$34:$ES$34,Calculo!$F$14:$ES$14,1),SUMIFS(Calculo!$F$190:$ES$190,Calculo!$F$170:$ES$170,1))</f>
        <v>0</v>
      </c>
      <c r="F129" s="48" t="n">
        <f aca="false">IF(cu_P=1,SUMIFS(Calculo!$F$34:$ES$34,Calculo!$F$14:$ES$14,2),SUMIFS(Calculo!$F$190:$ES$190,Calculo!$F$170:$ES$170,2))</f>
        <v>0</v>
      </c>
      <c r="G129" s="48" t="n">
        <f aca="false">IF(cu_P=1,SUMIFS(Calculo!$F$34:$ES$34,Calculo!$F$14:$ES$14,3),SUMIFS(Calculo!$F$190:$ES$190,Calculo!$F$170:$ES$170,3))</f>
        <v>0</v>
      </c>
      <c r="H129" s="48" t="n">
        <f aca="false">IF(cu_P=1,SUMIFS(Calculo!$F$34:$ES$34,Calculo!$F$14:$ES$14,4),SUMIFS(Calculo!$F$190:$ES$190,Calculo!$F$170:$ES$170,4))</f>
        <v>0</v>
      </c>
      <c r="I129" s="48" t="n">
        <f aca="false">IF(cu_P=1,SUMIFS(Calculo!$F$34:$ES$34,Calculo!$F$14:$ES$14,5),SUMIFS(Calculo!$F$190:$ES$190,Calculo!$F$170:$ES$170,5))</f>
        <v>0</v>
      </c>
      <c r="J129" s="48" t="n">
        <f aca="false">IF(cu_P=1,SUMIFS(Calculo!$F$34:$ES$34,Calculo!$F$14:$ES$14,6),SUMIFS(Calculo!$F$190:$ES$190,Calculo!$F$170:$ES$170,6))</f>
        <v>0</v>
      </c>
      <c r="K129" s="48" t="n">
        <f aca="false">IF(cu_P=1,SUMIFS(Calculo!$F$34:$ES$34,Calculo!$F$14:$ES$14,7),SUMIFS(Calculo!$F$190:$ES$190,Calculo!$F$170:$ES$170,7))</f>
        <v>0</v>
      </c>
      <c r="L129" s="48" t="n">
        <f aca="false">IF(cu_P=1,SUMIFS(Calculo!$F$34:$ES$34,Calculo!$F$14:$ES$14,8),SUMIFS(Calculo!$F$190:$ES$190,Calculo!$F$170:$ES$170,8))</f>
        <v>0</v>
      </c>
      <c r="M129" s="48" t="n">
        <f aca="false">IF(cu_P=1,SUMIFS(Calculo!$F$34:$ES$34,Calculo!$F$14:$ES$14,9),SUMIFS(Calculo!$F$190:$ES$190,Calculo!$F$170:$ES$170,9))</f>
        <v>0</v>
      </c>
      <c r="N129" s="48" t="n">
        <f aca="false">IF(cu_P=1,SUMIFS(Calculo!$F$34:$ES$34,Calculo!$F$14:$ES$14,10),SUMIFS(Calculo!$F$190:$ES$190,Calculo!$F$170:$ES$170,10))</f>
        <v>0</v>
      </c>
      <c r="O129" s="54" t="n">
        <f aca="false">SUM(D129:N129)</f>
        <v>0</v>
      </c>
    </row>
    <row r="130" customFormat="false" ht="15" hidden="true" customHeight="false" outlineLevel="1" collapsed="false">
      <c r="A130" s="11" t="s">
        <v>2491</v>
      </c>
      <c r="B130" s="15" t="s">
        <v>2368</v>
      </c>
      <c r="C130" s="11" t="s">
        <v>508</v>
      </c>
      <c r="D130" s="48" t="n">
        <f aca="false">IF(cu_P=1,SUMIFS(Calculo!$F$59:$ES$59,Calculo!$F$16:$ES$16,1),SUMIFS(Calculo!$F$215:$ES$215,Calculo!$F$172:$ES$172,1))</f>
        <v>0</v>
      </c>
      <c r="E130" s="48" t="n">
        <f aca="false">IF(cu_P=1,SUMIFS(Calculo!$F$59:$ES$59,Calculo!$F$14:$ES$14,1),SUMIFS(Calculo!$F$215:$ES$215,Calculo!$F$170:$ES$170,1))</f>
        <v>0</v>
      </c>
      <c r="F130" s="48" t="n">
        <f aca="false">IF(cu_P=1,SUMIFS(Calculo!$F$59:$ES$59,Calculo!$F$14:$ES$14,2),SUMIFS(Calculo!$F$215:$ES$215,Calculo!$F$170:$ES$170,2))</f>
        <v>0</v>
      </c>
      <c r="G130" s="48" t="n">
        <f aca="false">IF(cu_P=1,SUMIFS(Calculo!$F$59:$ES$59,Calculo!$F$14:$ES$14,3),SUMIFS(Calculo!$F$215:$ES$215,Calculo!$F$170:$ES$170,3))</f>
        <v>0</v>
      </c>
      <c r="H130" s="48" t="n">
        <f aca="false">IF(cu_P=1,SUMIFS(Calculo!$F$59:$ES$59,Calculo!$F$14:$ES$14,4),SUMIFS(Calculo!$F$215:$ES$215,Calculo!$F$170:$ES$170,4))</f>
        <v>0</v>
      </c>
      <c r="I130" s="48" t="n">
        <f aca="false">IF(cu_P=1,SUMIFS(Calculo!$F$59:$ES$59,Calculo!$F$14:$ES$14,5),SUMIFS(Calculo!$F$215:$ES$215,Calculo!$F$170:$ES$170,5))</f>
        <v>0</v>
      </c>
      <c r="J130" s="48" t="n">
        <f aca="false">IF(cu_P=1,SUMIFS(Calculo!$F$59:$ES$59,Calculo!$F$14:$ES$14,6),SUMIFS(Calculo!$F$215:$ES$215,Calculo!$F$170:$ES$170,6))</f>
        <v>0</v>
      </c>
      <c r="K130" s="48" t="n">
        <f aca="false">IF(cu_P=1,SUMIFS(Calculo!$F$59:$ES$59,Calculo!$F$14:$ES$14,7),SUMIFS(Calculo!$F$215:$ES$215,Calculo!$F$170:$ES$170,7))</f>
        <v>0</v>
      </c>
      <c r="L130" s="48" t="n">
        <f aca="false">IF(cu_P=1,SUMIFS(Calculo!$F$59:$ES$59,Calculo!$F$14:$ES$14,8),SUMIFS(Calculo!$F$215:$ES$215,Calculo!$F$170:$ES$170,8))</f>
        <v>0</v>
      </c>
      <c r="M130" s="48" t="n">
        <f aca="false">IF(cu_P=1,SUMIFS(Calculo!$F$59:$ES$59,Calculo!$F$14:$ES$14,9),SUMIFS(Calculo!$F$215:$ES$215,Calculo!$F$170:$ES$170,9))</f>
        <v>0</v>
      </c>
      <c r="N130" s="48" t="n">
        <f aca="false">IF(cu_P=1,SUMIFS(Calculo!$F$59:$ES$59,Calculo!$F$14:$ES$14,10),SUMIFS(Calculo!$F$215:$ES$215,Calculo!$F$170:$ES$170,10))</f>
        <v>0</v>
      </c>
      <c r="O130" s="54" t="n">
        <f aca="false">SUM(D130:N130)</f>
        <v>0</v>
      </c>
    </row>
    <row r="131" customFormat="false" ht="15" hidden="true" customHeight="false" outlineLevel="1" collapsed="false">
      <c r="A131" s="11" t="s">
        <v>2492</v>
      </c>
      <c r="B131" s="15" t="s">
        <v>2370</v>
      </c>
      <c r="C131" s="11" t="s">
        <v>748</v>
      </c>
      <c r="D131" s="50" t="str">
        <f aca="false">IFERROR(IF(OR(NOT(ISNUMBER(D128)),N(D129)=0),"",D128/D129),"")</f>
        <v/>
      </c>
      <c r="E131" s="50" t="str">
        <f aca="false">IFERROR(IF(OR(NOT(ISNUMBER(E128)),N(E129)=0),"",E128/E129),"")</f>
        <v/>
      </c>
      <c r="F131" s="50" t="str">
        <f aca="false">IFERROR(IF(OR(NOT(ISNUMBER(F128)),N(F129)=0),"",F128/F129),"")</f>
        <v/>
      </c>
      <c r="G131" s="50" t="str">
        <f aca="false">IFERROR(IF(OR(NOT(ISNUMBER(G128)),N(G129)=0),"",G128/G129),"")</f>
        <v/>
      </c>
      <c r="H131" s="50" t="str">
        <f aca="false">IFERROR(IF(OR(NOT(ISNUMBER(H128)),N(H129)=0),"",H128/H129),"")</f>
        <v/>
      </c>
      <c r="I131" s="50" t="str">
        <f aca="false">IFERROR(IF(OR(NOT(ISNUMBER(I128)),N(I129)=0),"",I128/I129),"")</f>
        <v/>
      </c>
      <c r="J131" s="50" t="str">
        <f aca="false">IFERROR(IF(OR(NOT(ISNUMBER(J128)),N(J129)=0),"",J128/J129),"")</f>
        <v/>
      </c>
      <c r="K131" s="50" t="str">
        <f aca="false">IFERROR(IF(OR(NOT(ISNUMBER(K128)),N(K129)=0),"",K128/K129),"")</f>
        <v/>
      </c>
      <c r="L131" s="50" t="str">
        <f aca="false">IFERROR(IF(OR(NOT(ISNUMBER(L128)),N(L129)=0),"",L128/L129),"")</f>
        <v/>
      </c>
      <c r="M131" s="50" t="str">
        <f aca="false">IFERROR(IF(OR(NOT(ISNUMBER(M128)),N(M129)=0),"",M128/M129),"")</f>
        <v/>
      </c>
      <c r="N131" s="50" t="str">
        <f aca="false">IFERROR(IF(OR(NOT(ISNUMBER(N128)),N(N129)=0),"",N128/N129),"")</f>
        <v/>
      </c>
      <c r="O131" s="68" t="str">
        <f aca="false">IFERROR(IF(OR(NOT(ISNUMBER(O128)),N(O129)=0),"",O128/O129),"")</f>
        <v/>
      </c>
    </row>
    <row r="132" customFormat="false" ht="15" hidden="true" customHeight="false" outlineLevel="1" collapsed="false">
      <c r="A132" s="11" t="s">
        <v>2493</v>
      </c>
      <c r="B132" s="15" t="s">
        <v>2372</v>
      </c>
      <c r="C132" s="11" t="s">
        <v>748</v>
      </c>
      <c r="D132" s="50" t="str">
        <f aca="false">IFERROR(IF(N(D129)=0,"",(D130-D128)/D129),"")</f>
        <v/>
      </c>
      <c r="E132" s="50" t="str">
        <f aca="false">IFERROR(IF(N(E129)=0,"",(E130-E128)/E129),"")</f>
        <v/>
      </c>
      <c r="F132" s="50" t="str">
        <f aca="false">IFERROR(IF(N(F129)=0,"",(F130-F128)/F129),"")</f>
        <v/>
      </c>
      <c r="G132" s="50" t="str">
        <f aca="false">IFERROR(IF(N(G129)=0,"",(G130-G128)/G129),"")</f>
        <v/>
      </c>
      <c r="H132" s="50" t="str">
        <f aca="false">IFERROR(IF(N(H129)=0,"",(H130-H128)/H129),"")</f>
        <v/>
      </c>
      <c r="I132" s="50" t="str">
        <f aca="false">IFERROR(IF(N(I129)=0,"",(I130-I128)/I129),"")</f>
        <v/>
      </c>
      <c r="J132" s="50" t="str">
        <f aca="false">IFERROR(IF(N(J129)=0,"",(J130-J128)/J129),"")</f>
        <v/>
      </c>
      <c r="K132" s="50" t="str">
        <f aca="false">IFERROR(IF(N(K129)=0,"",(K130-K128)/K129),"")</f>
        <v/>
      </c>
      <c r="L132" s="50" t="str">
        <f aca="false">IFERROR(IF(N(L129)=0,"",(L130-L128)/L129),"")</f>
        <v/>
      </c>
      <c r="M132" s="50" t="str">
        <f aca="false">IFERROR(IF(N(M129)=0,"",(M130-M128)/M129),"")</f>
        <v/>
      </c>
      <c r="N132" s="50" t="str">
        <f aca="false">IFERROR(IF(N(N129)=0,"",(N130-N128)/N129),"")</f>
        <v/>
      </c>
      <c r="O132" s="68" t="str">
        <f aca="false">IFERROR(IF(N(O129)=0,"",(O130-O128)/O129),"")</f>
        <v/>
      </c>
    </row>
    <row r="133" customFormat="false" ht="15" hidden="true" customHeight="false" outlineLevel="1" collapsed="false">
      <c r="A133" s="11" t="s">
        <v>2494</v>
      </c>
      <c r="B133" s="15" t="s">
        <v>2374</v>
      </c>
      <c r="C133" s="11" t="s">
        <v>367</v>
      </c>
      <c r="D133" s="49" t="str">
        <f aca="false">IFERROR(IF(N(D130)=0,"",1-D128/D130),"")</f>
        <v/>
      </c>
      <c r="E133" s="49" t="str">
        <f aca="false">IFERROR(IF(N(E130)=0,"",1-E128/E130),"")</f>
        <v/>
      </c>
      <c r="F133" s="49" t="str">
        <f aca="false">IFERROR(IF(N(F130)=0,"",1-F128/F130),"")</f>
        <v/>
      </c>
      <c r="G133" s="49" t="str">
        <f aca="false">IFERROR(IF(N(G130)=0,"",1-G128/G130),"")</f>
        <v/>
      </c>
      <c r="H133" s="49" t="str">
        <f aca="false">IFERROR(IF(N(H130)=0,"",1-H128/H130),"")</f>
        <v/>
      </c>
      <c r="I133" s="49" t="str">
        <f aca="false">IFERROR(IF(N(I130)=0,"",1-I128/I130),"")</f>
        <v/>
      </c>
      <c r="J133" s="49" t="str">
        <f aca="false">IFERROR(IF(N(J130)=0,"",1-J128/J130),"")</f>
        <v/>
      </c>
      <c r="K133" s="49" t="str">
        <f aca="false">IFERROR(IF(N(K130)=0,"",1-K128/K130),"")</f>
        <v/>
      </c>
      <c r="L133" s="49" t="str">
        <f aca="false">IFERROR(IF(N(L130)=0,"",1-L128/L130),"")</f>
        <v/>
      </c>
      <c r="M133" s="49" t="str">
        <f aca="false">IFERROR(IF(N(M130)=0,"",1-M128/M130),"")</f>
        <v/>
      </c>
      <c r="N133" s="49" t="str">
        <f aca="false">IFERROR(IF(N(N130)=0,"",1-N128/N130),"")</f>
        <v/>
      </c>
      <c r="O133" s="99" t="str">
        <f aca="false">IFERROR(IF(N(O130)=0,"",1-O128/O130),"")</f>
        <v/>
      </c>
    </row>
    <row r="134" customFormat="false" ht="15" hidden="true" customHeight="false" outlineLevel="1" collapsed="false">
      <c r="A134" s="11" t="s">
        <v>2495</v>
      </c>
      <c r="B134" s="15" t="s">
        <v>2376</v>
      </c>
      <c r="C134" s="11" t="s">
        <v>508</v>
      </c>
      <c r="D134" s="48" t="str">
        <f aca="false">IFERROR(IF(OR(NOT(ISNUMBER(D128)),N(D9)=0),"",D10*D128/D9),"")</f>
        <v/>
      </c>
      <c r="E134" s="48" t="n">
        <f aca="false">IFERROR(IF(OR(NOT(ISNUMBER(E128)),N(E9)=0),"",E10*E128/E9),"")</f>
        <v>0</v>
      </c>
      <c r="F134" s="48" t="n">
        <f aca="false">IFERROR(IF(OR(NOT(ISNUMBER(F128)),N(F9)=0),"",F10*F128/F9),"")</f>
        <v>0</v>
      </c>
      <c r="G134" s="48" t="n">
        <f aca="false">IFERROR(IF(OR(NOT(ISNUMBER(G128)),N(G9)=0),"",G10*G128/G9),"")</f>
        <v>0</v>
      </c>
      <c r="H134" s="48" t="n">
        <f aca="false">IFERROR(IF(OR(NOT(ISNUMBER(H128)),N(H9)=0),"",H10*H128/H9),"")</f>
        <v>0</v>
      </c>
      <c r="I134" s="48" t="n">
        <f aca="false">IFERROR(IF(OR(NOT(ISNUMBER(I128)),N(I9)=0),"",I10*I128/I9),"")</f>
        <v>0</v>
      </c>
      <c r="J134" s="48" t="n">
        <f aca="false">IFERROR(IF(OR(NOT(ISNUMBER(J128)),N(J9)=0),"",J10*J128/J9),"")</f>
        <v>0</v>
      </c>
      <c r="K134" s="48" t="n">
        <f aca="false">IFERROR(IF(OR(NOT(ISNUMBER(K128)),N(K9)=0),"",K10*K128/K9),"")</f>
        <v>0</v>
      </c>
      <c r="L134" s="48" t="n">
        <f aca="false">IFERROR(IF(OR(NOT(ISNUMBER(L128)),N(L9)=0),"",L10*L128/L9),"")</f>
        <v>0</v>
      </c>
      <c r="M134" s="48" t="n">
        <f aca="false">IFERROR(IF(OR(NOT(ISNUMBER(M128)),N(M9)=0),"",M10*M128/M9),"")</f>
        <v>0</v>
      </c>
      <c r="N134" s="48" t="n">
        <f aca="false">IFERROR(IF(OR(NOT(ISNUMBER(N128)),N(N9)=0),"",N10*N128/N9),"")</f>
        <v>0</v>
      </c>
      <c r="O134" s="54" t="n">
        <f aca="false">SUM(D134:N134)</f>
        <v>0</v>
      </c>
    </row>
    <row r="135" customFormat="false" ht="15" hidden="true" customHeight="false" outlineLevel="1" collapsed="false">
      <c r="A135" s="11" t="s">
        <v>2496</v>
      </c>
      <c r="B135" s="15" t="s">
        <v>2378</v>
      </c>
      <c r="C135" s="11" t="s">
        <v>508</v>
      </c>
      <c r="D135" s="48" t="n">
        <f aca="false">IFERROR(IF(COUNT(D128,D134)=0,"",N(D128)+N(D134)),"")</f>
        <v>0</v>
      </c>
      <c r="E135" s="48" t="n">
        <f aca="false">IFERROR(IF(COUNT(E128,E134)=0,"",N(E128)+N(E134)),"")</f>
        <v>0</v>
      </c>
      <c r="F135" s="48" t="n">
        <f aca="false">IFERROR(IF(COUNT(F128,F134)=0,"",N(F128)+N(F134)),"")</f>
        <v>0</v>
      </c>
      <c r="G135" s="48" t="n">
        <f aca="false">IFERROR(IF(COUNT(G128,G134)=0,"",N(G128)+N(G134)),"")</f>
        <v>0</v>
      </c>
      <c r="H135" s="48" t="n">
        <f aca="false">IFERROR(IF(COUNT(H128,H134)=0,"",N(H128)+N(H134)),"")</f>
        <v>0</v>
      </c>
      <c r="I135" s="48" t="n">
        <f aca="false">IFERROR(IF(COUNT(I128,I134)=0,"",N(I128)+N(I134)),"")</f>
        <v>0</v>
      </c>
      <c r="J135" s="48" t="n">
        <f aca="false">IFERROR(IF(COUNT(J128,J134)=0,"",N(J128)+N(J134)),"")</f>
        <v>0</v>
      </c>
      <c r="K135" s="48" t="n">
        <f aca="false">IFERROR(IF(COUNT(K128,K134)=0,"",N(K128)+N(K134)),"")</f>
        <v>0</v>
      </c>
      <c r="L135" s="48" t="n">
        <f aca="false">IFERROR(IF(COUNT(L128,L134)=0,"",N(L128)+N(L134)),"")</f>
        <v>0</v>
      </c>
      <c r="M135" s="48" t="n">
        <f aca="false">IFERROR(IF(COUNT(M128,M134)=0,"",N(M128)+N(M134)),"")</f>
        <v>0</v>
      </c>
      <c r="N135" s="48" t="n">
        <f aca="false">IFERROR(IF(COUNT(N128,N134)=0,"",N(N128)+N(N134)),"")</f>
        <v>0</v>
      </c>
      <c r="O135" s="54" t="n">
        <f aca="false">SUM(D135:N135)</f>
        <v>0</v>
      </c>
    </row>
    <row r="136" customFormat="false" ht="15" hidden="true" customHeight="false" outlineLevel="1" collapsed="false">
      <c r="A136" s="11" t="s">
        <v>2497</v>
      </c>
      <c r="B136" s="15" t="s">
        <v>2380</v>
      </c>
      <c r="C136" s="11" t="s">
        <v>748</v>
      </c>
      <c r="D136" s="50" t="str">
        <f aca="false">IFERROR(IF(OR(NOT(ISNUMBER(D135)),N(D129)=0),"",D135/D129),"")</f>
        <v/>
      </c>
      <c r="E136" s="50" t="str">
        <f aca="false">IFERROR(IF(OR(NOT(ISNUMBER(E135)),N(E129)=0),"",E135/E129),"")</f>
        <v/>
      </c>
      <c r="F136" s="50" t="str">
        <f aca="false">IFERROR(IF(OR(NOT(ISNUMBER(F135)),N(F129)=0),"",F135/F129),"")</f>
        <v/>
      </c>
      <c r="G136" s="50" t="str">
        <f aca="false">IFERROR(IF(OR(NOT(ISNUMBER(G135)),N(G129)=0),"",G135/G129),"")</f>
        <v/>
      </c>
      <c r="H136" s="50" t="str">
        <f aca="false">IFERROR(IF(OR(NOT(ISNUMBER(H135)),N(H129)=0),"",H135/H129),"")</f>
        <v/>
      </c>
      <c r="I136" s="50" t="str">
        <f aca="false">IFERROR(IF(OR(NOT(ISNUMBER(I135)),N(I129)=0),"",I135/I129),"")</f>
        <v/>
      </c>
      <c r="J136" s="50" t="str">
        <f aca="false">IFERROR(IF(OR(NOT(ISNUMBER(J135)),N(J129)=0),"",J135/J129),"")</f>
        <v/>
      </c>
      <c r="K136" s="50" t="str">
        <f aca="false">IFERROR(IF(OR(NOT(ISNUMBER(K135)),N(K129)=0),"",K135/K129),"")</f>
        <v/>
      </c>
      <c r="L136" s="50" t="str">
        <f aca="false">IFERROR(IF(OR(NOT(ISNUMBER(L135)),N(L129)=0),"",L135/L129),"")</f>
        <v/>
      </c>
      <c r="M136" s="50" t="str">
        <f aca="false">IFERROR(IF(OR(NOT(ISNUMBER(M135)),N(M129)=0),"",M135/M129),"")</f>
        <v/>
      </c>
      <c r="N136" s="50" t="str">
        <f aca="false">IFERROR(IF(OR(NOT(ISNUMBER(N135)),N(N129)=0),"",N135/N129),"")</f>
        <v/>
      </c>
      <c r="O136" s="68" t="str">
        <f aca="false">IFERROR(IF(OR(NOT(ISNUMBER(O135)),N(O129)=0),"",O135/O129),"")</f>
        <v/>
      </c>
    </row>
    <row r="137" customFormat="false" ht="15" hidden="true" customHeight="false" outlineLevel="1" collapsed="false">
      <c r="A137" s="11" t="s">
        <v>2498</v>
      </c>
      <c r="B137" s="53" t="str">
        <f aca="false">IF(INDEX(Prod_Nombre,15)="","Producto 15",INDEX(Prod_Nombre,15))&amp;" — costo directo"</f>
        <v>Producto 15 — costo directo</v>
      </c>
      <c r="C137" s="11" t="s">
        <v>508</v>
      </c>
      <c r="D137" s="48" t="n">
        <f aca="false">IF(cu_P=1,(SUMIFS(Calculo!$F$35:$ES$35,Calculo!$F$16:$ES$16,1)*N(INDEX(MP_O,15))*INDEX(IdxMP_O,1,1)*(1+P_dMat)/(1-P_Merma)+SUMIFS(Calculo!$F$35:$ES$35,Calculo!$F$16:$ES$16,1)*N(INDEX(INS_O,15))*INDEX(IdxOV_O,1,1)*(1+P_dMat)/(1-P_Merma)+SUMIFS(Calculo!$F$35:$ES$35,Calculo!$F$16:$ES$16,1)*N(INDEX(OV_O,15))*INDEX(IdxOV_O,1,1)*(1+P_dMat)/(1-P_Merma)),(SUMIFS(Calculo!$F$191:$ES$191,Calculo!$F$172:$ES$172,1)*N(INDEX(MP_V,15))*INDEX(IdxMP_V,1,1)*(1+V_dMat)/(1-V_Merma)+SUMIFS(Calculo!$F$191:$ES$191,Calculo!$F$172:$ES$172,1)*N(INDEX(INS_V,15))*INDEX(IdxOV_V,1,1)*(1+V_dMat)/(1-V_Merma)+SUMIFS(Calculo!$F$191:$ES$191,Calculo!$F$172:$ES$172,1)*N(INDEX(OV_V,15))*INDEX(IdxOV_V,1,1)*(1+V_dMat)/(1-V_Merma)))</f>
        <v>0</v>
      </c>
      <c r="E137" s="48" t="n">
        <f aca="false">IF(cu_P=1,(SUMIFS(Calculo!$F$35:$ES$35,Calculo!$F$14:$ES$14,1)*N(INDEX(MP_O,15))*INDEX(IdxMP_O,1,1)*(1+P_dMat)/(1-P_Merma)+SUMIFS(Calculo!$F$35:$ES$35,Calculo!$F$14:$ES$14,1)*N(INDEX(INS_O,15))*INDEX(IdxOV_O,1,1)*(1+P_dMat)/(1-P_Merma)+SUMIFS(Calculo!$F$35:$ES$35,Calculo!$F$14:$ES$14,1)*N(INDEX(OV_O,15))*INDEX(IdxOV_O,1,1)*(1+P_dMat)/(1-P_Merma)),(SUMIFS(Calculo!$F$191:$ES$191,Calculo!$F$170:$ES$170,1)*N(INDEX(MP_V,15))*INDEX(IdxMP_V,1,1)*(1+V_dMat)/(1-V_Merma)+SUMIFS(Calculo!$F$191:$ES$191,Calculo!$F$170:$ES$170,1)*N(INDEX(INS_V,15))*INDEX(IdxOV_V,1,1)*(1+V_dMat)/(1-V_Merma)+SUMIFS(Calculo!$F$191:$ES$191,Calculo!$F$170:$ES$170,1)*N(INDEX(OV_V,15))*INDEX(IdxOV_V,1,1)*(1+V_dMat)/(1-V_Merma)))</f>
        <v>0</v>
      </c>
      <c r="F137" s="48" t="n">
        <f aca="false">IF(cu_P=1,(SUMIFS(Calculo!$F$35:$ES$35,Calculo!$F$14:$ES$14,2)*N(INDEX(MP_O,15))*INDEX(IdxMP_O,1,2)*(1+P_dMat)/(1-P_Merma)+SUMIFS(Calculo!$F$35:$ES$35,Calculo!$F$14:$ES$14,2)*N(INDEX(INS_O,15))*INDEX(IdxOV_O,1,2)*(1+P_dMat)/(1-P_Merma)+SUMIFS(Calculo!$F$35:$ES$35,Calculo!$F$14:$ES$14,2)*N(INDEX(OV_O,15))*INDEX(IdxOV_O,1,2)*(1+P_dMat)/(1-P_Merma)),(SUMIFS(Calculo!$F$191:$ES$191,Calculo!$F$170:$ES$170,2)*N(INDEX(MP_V,15))*INDEX(IdxMP_V,1,2)*(1+V_dMat)/(1-V_Merma)+SUMIFS(Calculo!$F$191:$ES$191,Calculo!$F$170:$ES$170,2)*N(INDEX(INS_V,15))*INDEX(IdxOV_V,1,2)*(1+V_dMat)/(1-V_Merma)+SUMIFS(Calculo!$F$191:$ES$191,Calculo!$F$170:$ES$170,2)*N(INDEX(OV_V,15))*INDEX(IdxOV_V,1,2)*(1+V_dMat)/(1-V_Merma)))</f>
        <v>0</v>
      </c>
      <c r="G137" s="48" t="n">
        <f aca="false">IF(cu_P=1,(SUMIFS(Calculo!$F$35:$ES$35,Calculo!$F$14:$ES$14,3)*N(INDEX(MP_O,15))*INDEX(IdxMP_O,1,3)*(1+P_dMat)/(1-P_Merma)+SUMIFS(Calculo!$F$35:$ES$35,Calculo!$F$14:$ES$14,3)*N(INDEX(INS_O,15))*INDEX(IdxOV_O,1,3)*(1+P_dMat)/(1-P_Merma)+SUMIFS(Calculo!$F$35:$ES$35,Calculo!$F$14:$ES$14,3)*N(INDEX(OV_O,15))*INDEX(IdxOV_O,1,3)*(1+P_dMat)/(1-P_Merma)),(SUMIFS(Calculo!$F$191:$ES$191,Calculo!$F$170:$ES$170,3)*N(INDEX(MP_V,15))*INDEX(IdxMP_V,1,3)*(1+V_dMat)/(1-V_Merma)+SUMIFS(Calculo!$F$191:$ES$191,Calculo!$F$170:$ES$170,3)*N(INDEX(INS_V,15))*INDEX(IdxOV_V,1,3)*(1+V_dMat)/(1-V_Merma)+SUMIFS(Calculo!$F$191:$ES$191,Calculo!$F$170:$ES$170,3)*N(INDEX(OV_V,15))*INDEX(IdxOV_V,1,3)*(1+V_dMat)/(1-V_Merma)))</f>
        <v>0</v>
      </c>
      <c r="H137" s="48" t="n">
        <f aca="false">IF(cu_P=1,(SUMIFS(Calculo!$F$35:$ES$35,Calculo!$F$14:$ES$14,4)*N(INDEX(MP_O,15))*INDEX(IdxMP_O,1,4)*(1+P_dMat)/(1-P_Merma)+SUMIFS(Calculo!$F$35:$ES$35,Calculo!$F$14:$ES$14,4)*N(INDEX(INS_O,15))*INDEX(IdxOV_O,1,4)*(1+P_dMat)/(1-P_Merma)+SUMIFS(Calculo!$F$35:$ES$35,Calculo!$F$14:$ES$14,4)*N(INDEX(OV_O,15))*INDEX(IdxOV_O,1,4)*(1+P_dMat)/(1-P_Merma)),(SUMIFS(Calculo!$F$191:$ES$191,Calculo!$F$170:$ES$170,4)*N(INDEX(MP_V,15))*INDEX(IdxMP_V,1,4)*(1+V_dMat)/(1-V_Merma)+SUMIFS(Calculo!$F$191:$ES$191,Calculo!$F$170:$ES$170,4)*N(INDEX(INS_V,15))*INDEX(IdxOV_V,1,4)*(1+V_dMat)/(1-V_Merma)+SUMIFS(Calculo!$F$191:$ES$191,Calculo!$F$170:$ES$170,4)*N(INDEX(OV_V,15))*INDEX(IdxOV_V,1,4)*(1+V_dMat)/(1-V_Merma)))</f>
        <v>0</v>
      </c>
      <c r="I137" s="48" t="n">
        <f aca="false">IF(cu_P=1,(SUMIFS(Calculo!$F$35:$ES$35,Calculo!$F$14:$ES$14,5)*N(INDEX(MP_O,15))*INDEX(IdxMP_O,1,5)*(1+P_dMat)/(1-P_Merma)+SUMIFS(Calculo!$F$35:$ES$35,Calculo!$F$14:$ES$14,5)*N(INDEX(INS_O,15))*INDEX(IdxOV_O,1,5)*(1+P_dMat)/(1-P_Merma)+SUMIFS(Calculo!$F$35:$ES$35,Calculo!$F$14:$ES$14,5)*N(INDEX(OV_O,15))*INDEX(IdxOV_O,1,5)*(1+P_dMat)/(1-P_Merma)),(SUMIFS(Calculo!$F$191:$ES$191,Calculo!$F$170:$ES$170,5)*N(INDEX(MP_V,15))*INDEX(IdxMP_V,1,5)*(1+V_dMat)/(1-V_Merma)+SUMIFS(Calculo!$F$191:$ES$191,Calculo!$F$170:$ES$170,5)*N(INDEX(INS_V,15))*INDEX(IdxOV_V,1,5)*(1+V_dMat)/(1-V_Merma)+SUMIFS(Calculo!$F$191:$ES$191,Calculo!$F$170:$ES$170,5)*N(INDEX(OV_V,15))*INDEX(IdxOV_V,1,5)*(1+V_dMat)/(1-V_Merma)))</f>
        <v>0</v>
      </c>
      <c r="J137" s="48" t="n">
        <f aca="false">IF(cu_P=1,(SUMIFS(Calculo!$F$35:$ES$35,Calculo!$F$14:$ES$14,6)*N(INDEX(MP_O,15))*INDEX(IdxMP_O,1,6)*(1+P_dMat)/(1-P_Merma)+SUMIFS(Calculo!$F$35:$ES$35,Calculo!$F$14:$ES$14,6)*N(INDEX(INS_O,15))*INDEX(IdxOV_O,1,6)*(1+P_dMat)/(1-P_Merma)+SUMIFS(Calculo!$F$35:$ES$35,Calculo!$F$14:$ES$14,6)*N(INDEX(OV_O,15))*INDEX(IdxOV_O,1,6)*(1+P_dMat)/(1-P_Merma)),(SUMIFS(Calculo!$F$191:$ES$191,Calculo!$F$170:$ES$170,6)*N(INDEX(MP_V,15))*INDEX(IdxMP_V,1,6)*(1+V_dMat)/(1-V_Merma)+SUMIFS(Calculo!$F$191:$ES$191,Calculo!$F$170:$ES$170,6)*N(INDEX(INS_V,15))*INDEX(IdxOV_V,1,6)*(1+V_dMat)/(1-V_Merma)+SUMIFS(Calculo!$F$191:$ES$191,Calculo!$F$170:$ES$170,6)*N(INDEX(OV_V,15))*INDEX(IdxOV_V,1,6)*(1+V_dMat)/(1-V_Merma)))</f>
        <v>0</v>
      </c>
      <c r="K137" s="48" t="n">
        <f aca="false">IF(cu_P=1,(SUMIFS(Calculo!$F$35:$ES$35,Calculo!$F$14:$ES$14,7)*N(INDEX(MP_O,15))*INDEX(IdxMP_O,1,7)*(1+P_dMat)/(1-P_Merma)+SUMIFS(Calculo!$F$35:$ES$35,Calculo!$F$14:$ES$14,7)*N(INDEX(INS_O,15))*INDEX(IdxOV_O,1,7)*(1+P_dMat)/(1-P_Merma)+SUMIFS(Calculo!$F$35:$ES$35,Calculo!$F$14:$ES$14,7)*N(INDEX(OV_O,15))*INDEX(IdxOV_O,1,7)*(1+P_dMat)/(1-P_Merma)),(SUMIFS(Calculo!$F$191:$ES$191,Calculo!$F$170:$ES$170,7)*N(INDEX(MP_V,15))*INDEX(IdxMP_V,1,7)*(1+V_dMat)/(1-V_Merma)+SUMIFS(Calculo!$F$191:$ES$191,Calculo!$F$170:$ES$170,7)*N(INDEX(INS_V,15))*INDEX(IdxOV_V,1,7)*(1+V_dMat)/(1-V_Merma)+SUMIFS(Calculo!$F$191:$ES$191,Calculo!$F$170:$ES$170,7)*N(INDEX(OV_V,15))*INDEX(IdxOV_V,1,7)*(1+V_dMat)/(1-V_Merma)))</f>
        <v>0</v>
      </c>
      <c r="L137" s="48" t="n">
        <f aca="false">IF(cu_P=1,(SUMIFS(Calculo!$F$35:$ES$35,Calculo!$F$14:$ES$14,8)*N(INDEX(MP_O,15))*INDEX(IdxMP_O,1,8)*(1+P_dMat)/(1-P_Merma)+SUMIFS(Calculo!$F$35:$ES$35,Calculo!$F$14:$ES$14,8)*N(INDEX(INS_O,15))*INDEX(IdxOV_O,1,8)*(1+P_dMat)/(1-P_Merma)+SUMIFS(Calculo!$F$35:$ES$35,Calculo!$F$14:$ES$14,8)*N(INDEX(OV_O,15))*INDEX(IdxOV_O,1,8)*(1+P_dMat)/(1-P_Merma)),(SUMIFS(Calculo!$F$191:$ES$191,Calculo!$F$170:$ES$170,8)*N(INDEX(MP_V,15))*INDEX(IdxMP_V,1,8)*(1+V_dMat)/(1-V_Merma)+SUMIFS(Calculo!$F$191:$ES$191,Calculo!$F$170:$ES$170,8)*N(INDEX(INS_V,15))*INDEX(IdxOV_V,1,8)*(1+V_dMat)/(1-V_Merma)+SUMIFS(Calculo!$F$191:$ES$191,Calculo!$F$170:$ES$170,8)*N(INDEX(OV_V,15))*INDEX(IdxOV_V,1,8)*(1+V_dMat)/(1-V_Merma)))</f>
        <v>0</v>
      </c>
      <c r="M137" s="48" t="n">
        <f aca="false">IF(cu_P=1,(SUMIFS(Calculo!$F$35:$ES$35,Calculo!$F$14:$ES$14,9)*N(INDEX(MP_O,15))*INDEX(IdxMP_O,1,9)*(1+P_dMat)/(1-P_Merma)+SUMIFS(Calculo!$F$35:$ES$35,Calculo!$F$14:$ES$14,9)*N(INDEX(INS_O,15))*INDEX(IdxOV_O,1,9)*(1+P_dMat)/(1-P_Merma)+SUMIFS(Calculo!$F$35:$ES$35,Calculo!$F$14:$ES$14,9)*N(INDEX(OV_O,15))*INDEX(IdxOV_O,1,9)*(1+P_dMat)/(1-P_Merma)),(SUMIFS(Calculo!$F$191:$ES$191,Calculo!$F$170:$ES$170,9)*N(INDEX(MP_V,15))*INDEX(IdxMP_V,1,9)*(1+V_dMat)/(1-V_Merma)+SUMIFS(Calculo!$F$191:$ES$191,Calculo!$F$170:$ES$170,9)*N(INDEX(INS_V,15))*INDEX(IdxOV_V,1,9)*(1+V_dMat)/(1-V_Merma)+SUMIFS(Calculo!$F$191:$ES$191,Calculo!$F$170:$ES$170,9)*N(INDEX(OV_V,15))*INDEX(IdxOV_V,1,9)*(1+V_dMat)/(1-V_Merma)))</f>
        <v>0</v>
      </c>
      <c r="N137" s="48" t="n">
        <f aca="false">IF(cu_P=1,(SUMIFS(Calculo!$F$35:$ES$35,Calculo!$F$14:$ES$14,10)*N(INDEX(MP_O,15))*INDEX(IdxMP_O,1,10)*(1+P_dMat)/(1-P_Merma)+SUMIFS(Calculo!$F$35:$ES$35,Calculo!$F$14:$ES$14,10)*N(INDEX(INS_O,15))*INDEX(IdxOV_O,1,10)*(1+P_dMat)/(1-P_Merma)+SUMIFS(Calculo!$F$35:$ES$35,Calculo!$F$14:$ES$14,10)*N(INDEX(OV_O,15))*INDEX(IdxOV_O,1,10)*(1+P_dMat)/(1-P_Merma)),(SUMIFS(Calculo!$F$191:$ES$191,Calculo!$F$170:$ES$170,10)*N(INDEX(MP_V,15))*INDEX(IdxMP_V,1,10)*(1+V_dMat)/(1-V_Merma)+SUMIFS(Calculo!$F$191:$ES$191,Calculo!$F$170:$ES$170,10)*N(INDEX(INS_V,15))*INDEX(IdxOV_V,1,10)*(1+V_dMat)/(1-V_Merma)+SUMIFS(Calculo!$F$191:$ES$191,Calculo!$F$170:$ES$170,10)*N(INDEX(OV_V,15))*INDEX(IdxOV_V,1,10)*(1+V_dMat)/(1-V_Merma)))</f>
        <v>0</v>
      </c>
      <c r="O137" s="54" t="n">
        <f aca="false">SUM(D137:N137)</f>
        <v>0</v>
      </c>
    </row>
    <row r="138" customFormat="false" ht="15" hidden="true" customHeight="false" outlineLevel="1" collapsed="false">
      <c r="A138" s="11" t="s">
        <v>2499</v>
      </c>
      <c r="B138" s="15" t="s">
        <v>2366</v>
      </c>
      <c r="C138" s="11" t="s">
        <v>544</v>
      </c>
      <c r="D138" s="48" t="n">
        <f aca="false">IF(cu_P=1,SUMIFS(Calculo!$F$35:$ES$35,Calculo!$F$16:$ES$16,1),SUMIFS(Calculo!$F$191:$ES$191,Calculo!$F$172:$ES$172,1))</f>
        <v>0</v>
      </c>
      <c r="E138" s="48" t="n">
        <f aca="false">IF(cu_P=1,SUMIFS(Calculo!$F$35:$ES$35,Calculo!$F$14:$ES$14,1),SUMIFS(Calculo!$F$191:$ES$191,Calculo!$F$170:$ES$170,1))</f>
        <v>0</v>
      </c>
      <c r="F138" s="48" t="n">
        <f aca="false">IF(cu_P=1,SUMIFS(Calculo!$F$35:$ES$35,Calculo!$F$14:$ES$14,2),SUMIFS(Calculo!$F$191:$ES$191,Calculo!$F$170:$ES$170,2))</f>
        <v>0</v>
      </c>
      <c r="G138" s="48" t="n">
        <f aca="false">IF(cu_P=1,SUMIFS(Calculo!$F$35:$ES$35,Calculo!$F$14:$ES$14,3),SUMIFS(Calculo!$F$191:$ES$191,Calculo!$F$170:$ES$170,3))</f>
        <v>0</v>
      </c>
      <c r="H138" s="48" t="n">
        <f aca="false">IF(cu_P=1,SUMIFS(Calculo!$F$35:$ES$35,Calculo!$F$14:$ES$14,4),SUMIFS(Calculo!$F$191:$ES$191,Calculo!$F$170:$ES$170,4))</f>
        <v>0</v>
      </c>
      <c r="I138" s="48" t="n">
        <f aca="false">IF(cu_P=1,SUMIFS(Calculo!$F$35:$ES$35,Calculo!$F$14:$ES$14,5),SUMIFS(Calculo!$F$191:$ES$191,Calculo!$F$170:$ES$170,5))</f>
        <v>0</v>
      </c>
      <c r="J138" s="48" t="n">
        <f aca="false">IF(cu_P=1,SUMIFS(Calculo!$F$35:$ES$35,Calculo!$F$14:$ES$14,6),SUMIFS(Calculo!$F$191:$ES$191,Calculo!$F$170:$ES$170,6))</f>
        <v>0</v>
      </c>
      <c r="K138" s="48" t="n">
        <f aca="false">IF(cu_P=1,SUMIFS(Calculo!$F$35:$ES$35,Calculo!$F$14:$ES$14,7),SUMIFS(Calculo!$F$191:$ES$191,Calculo!$F$170:$ES$170,7))</f>
        <v>0</v>
      </c>
      <c r="L138" s="48" t="n">
        <f aca="false">IF(cu_P=1,SUMIFS(Calculo!$F$35:$ES$35,Calculo!$F$14:$ES$14,8),SUMIFS(Calculo!$F$191:$ES$191,Calculo!$F$170:$ES$170,8))</f>
        <v>0</v>
      </c>
      <c r="M138" s="48" t="n">
        <f aca="false">IF(cu_P=1,SUMIFS(Calculo!$F$35:$ES$35,Calculo!$F$14:$ES$14,9),SUMIFS(Calculo!$F$191:$ES$191,Calculo!$F$170:$ES$170,9))</f>
        <v>0</v>
      </c>
      <c r="N138" s="48" t="n">
        <f aca="false">IF(cu_P=1,SUMIFS(Calculo!$F$35:$ES$35,Calculo!$F$14:$ES$14,10),SUMIFS(Calculo!$F$191:$ES$191,Calculo!$F$170:$ES$170,10))</f>
        <v>0</v>
      </c>
      <c r="O138" s="54" t="n">
        <f aca="false">SUM(D138:N138)</f>
        <v>0</v>
      </c>
    </row>
    <row r="139" customFormat="false" ht="15" hidden="true" customHeight="false" outlineLevel="1" collapsed="false">
      <c r="A139" s="11" t="s">
        <v>2500</v>
      </c>
      <c r="B139" s="15" t="s">
        <v>2368</v>
      </c>
      <c r="C139" s="11" t="s">
        <v>508</v>
      </c>
      <c r="D139" s="48" t="n">
        <f aca="false">IF(cu_P=1,SUMIFS(Calculo!$F$60:$ES$60,Calculo!$F$16:$ES$16,1),SUMIFS(Calculo!$F$216:$ES$216,Calculo!$F$172:$ES$172,1))</f>
        <v>0</v>
      </c>
      <c r="E139" s="48" t="n">
        <f aca="false">IF(cu_P=1,SUMIFS(Calculo!$F$60:$ES$60,Calculo!$F$14:$ES$14,1),SUMIFS(Calculo!$F$216:$ES$216,Calculo!$F$170:$ES$170,1))</f>
        <v>0</v>
      </c>
      <c r="F139" s="48" t="n">
        <f aca="false">IF(cu_P=1,SUMIFS(Calculo!$F$60:$ES$60,Calculo!$F$14:$ES$14,2),SUMIFS(Calculo!$F$216:$ES$216,Calculo!$F$170:$ES$170,2))</f>
        <v>0</v>
      </c>
      <c r="G139" s="48" t="n">
        <f aca="false">IF(cu_P=1,SUMIFS(Calculo!$F$60:$ES$60,Calculo!$F$14:$ES$14,3),SUMIFS(Calculo!$F$216:$ES$216,Calculo!$F$170:$ES$170,3))</f>
        <v>0</v>
      </c>
      <c r="H139" s="48" t="n">
        <f aca="false">IF(cu_P=1,SUMIFS(Calculo!$F$60:$ES$60,Calculo!$F$14:$ES$14,4),SUMIFS(Calculo!$F$216:$ES$216,Calculo!$F$170:$ES$170,4))</f>
        <v>0</v>
      </c>
      <c r="I139" s="48" t="n">
        <f aca="false">IF(cu_P=1,SUMIFS(Calculo!$F$60:$ES$60,Calculo!$F$14:$ES$14,5),SUMIFS(Calculo!$F$216:$ES$216,Calculo!$F$170:$ES$170,5))</f>
        <v>0</v>
      </c>
      <c r="J139" s="48" t="n">
        <f aca="false">IF(cu_P=1,SUMIFS(Calculo!$F$60:$ES$60,Calculo!$F$14:$ES$14,6),SUMIFS(Calculo!$F$216:$ES$216,Calculo!$F$170:$ES$170,6))</f>
        <v>0</v>
      </c>
      <c r="K139" s="48" t="n">
        <f aca="false">IF(cu_P=1,SUMIFS(Calculo!$F$60:$ES$60,Calculo!$F$14:$ES$14,7),SUMIFS(Calculo!$F$216:$ES$216,Calculo!$F$170:$ES$170,7))</f>
        <v>0</v>
      </c>
      <c r="L139" s="48" t="n">
        <f aca="false">IF(cu_P=1,SUMIFS(Calculo!$F$60:$ES$60,Calculo!$F$14:$ES$14,8),SUMIFS(Calculo!$F$216:$ES$216,Calculo!$F$170:$ES$170,8))</f>
        <v>0</v>
      </c>
      <c r="M139" s="48" t="n">
        <f aca="false">IF(cu_P=1,SUMIFS(Calculo!$F$60:$ES$60,Calculo!$F$14:$ES$14,9),SUMIFS(Calculo!$F$216:$ES$216,Calculo!$F$170:$ES$170,9))</f>
        <v>0</v>
      </c>
      <c r="N139" s="48" t="n">
        <f aca="false">IF(cu_P=1,SUMIFS(Calculo!$F$60:$ES$60,Calculo!$F$14:$ES$14,10),SUMIFS(Calculo!$F$216:$ES$216,Calculo!$F$170:$ES$170,10))</f>
        <v>0</v>
      </c>
      <c r="O139" s="54" t="n">
        <f aca="false">SUM(D139:N139)</f>
        <v>0</v>
      </c>
    </row>
    <row r="140" customFormat="false" ht="15" hidden="true" customHeight="false" outlineLevel="1" collapsed="false">
      <c r="A140" s="11" t="s">
        <v>2501</v>
      </c>
      <c r="B140" s="15" t="s">
        <v>2370</v>
      </c>
      <c r="C140" s="11" t="s">
        <v>748</v>
      </c>
      <c r="D140" s="50" t="str">
        <f aca="false">IFERROR(IF(OR(NOT(ISNUMBER(D137)),N(D138)=0),"",D137/D138),"")</f>
        <v/>
      </c>
      <c r="E140" s="50" t="str">
        <f aca="false">IFERROR(IF(OR(NOT(ISNUMBER(E137)),N(E138)=0),"",E137/E138),"")</f>
        <v/>
      </c>
      <c r="F140" s="50" t="str">
        <f aca="false">IFERROR(IF(OR(NOT(ISNUMBER(F137)),N(F138)=0),"",F137/F138),"")</f>
        <v/>
      </c>
      <c r="G140" s="50" t="str">
        <f aca="false">IFERROR(IF(OR(NOT(ISNUMBER(G137)),N(G138)=0),"",G137/G138),"")</f>
        <v/>
      </c>
      <c r="H140" s="50" t="str">
        <f aca="false">IFERROR(IF(OR(NOT(ISNUMBER(H137)),N(H138)=0),"",H137/H138),"")</f>
        <v/>
      </c>
      <c r="I140" s="50" t="str">
        <f aca="false">IFERROR(IF(OR(NOT(ISNUMBER(I137)),N(I138)=0),"",I137/I138),"")</f>
        <v/>
      </c>
      <c r="J140" s="50" t="str">
        <f aca="false">IFERROR(IF(OR(NOT(ISNUMBER(J137)),N(J138)=0),"",J137/J138),"")</f>
        <v/>
      </c>
      <c r="K140" s="50" t="str">
        <f aca="false">IFERROR(IF(OR(NOT(ISNUMBER(K137)),N(K138)=0),"",K137/K138),"")</f>
        <v/>
      </c>
      <c r="L140" s="50" t="str">
        <f aca="false">IFERROR(IF(OR(NOT(ISNUMBER(L137)),N(L138)=0),"",L137/L138),"")</f>
        <v/>
      </c>
      <c r="M140" s="50" t="str">
        <f aca="false">IFERROR(IF(OR(NOT(ISNUMBER(M137)),N(M138)=0),"",M137/M138),"")</f>
        <v/>
      </c>
      <c r="N140" s="50" t="str">
        <f aca="false">IFERROR(IF(OR(NOT(ISNUMBER(N137)),N(N138)=0),"",N137/N138),"")</f>
        <v/>
      </c>
      <c r="O140" s="68" t="str">
        <f aca="false">IFERROR(IF(OR(NOT(ISNUMBER(O137)),N(O138)=0),"",O137/O138),"")</f>
        <v/>
      </c>
    </row>
    <row r="141" customFormat="false" ht="15" hidden="true" customHeight="false" outlineLevel="1" collapsed="false">
      <c r="A141" s="11" t="s">
        <v>2502</v>
      </c>
      <c r="B141" s="15" t="s">
        <v>2372</v>
      </c>
      <c r="C141" s="11" t="s">
        <v>748</v>
      </c>
      <c r="D141" s="50" t="str">
        <f aca="false">IFERROR(IF(N(D138)=0,"",(D139-D137)/D138),"")</f>
        <v/>
      </c>
      <c r="E141" s="50" t="str">
        <f aca="false">IFERROR(IF(N(E138)=0,"",(E139-E137)/E138),"")</f>
        <v/>
      </c>
      <c r="F141" s="50" t="str">
        <f aca="false">IFERROR(IF(N(F138)=0,"",(F139-F137)/F138),"")</f>
        <v/>
      </c>
      <c r="G141" s="50" t="str">
        <f aca="false">IFERROR(IF(N(G138)=0,"",(G139-G137)/G138),"")</f>
        <v/>
      </c>
      <c r="H141" s="50" t="str">
        <f aca="false">IFERROR(IF(N(H138)=0,"",(H139-H137)/H138),"")</f>
        <v/>
      </c>
      <c r="I141" s="50" t="str">
        <f aca="false">IFERROR(IF(N(I138)=0,"",(I139-I137)/I138),"")</f>
        <v/>
      </c>
      <c r="J141" s="50" t="str">
        <f aca="false">IFERROR(IF(N(J138)=0,"",(J139-J137)/J138),"")</f>
        <v/>
      </c>
      <c r="K141" s="50" t="str">
        <f aca="false">IFERROR(IF(N(K138)=0,"",(K139-K137)/K138),"")</f>
        <v/>
      </c>
      <c r="L141" s="50" t="str">
        <f aca="false">IFERROR(IF(N(L138)=0,"",(L139-L137)/L138),"")</f>
        <v/>
      </c>
      <c r="M141" s="50" t="str">
        <f aca="false">IFERROR(IF(N(M138)=0,"",(M139-M137)/M138),"")</f>
        <v/>
      </c>
      <c r="N141" s="50" t="str">
        <f aca="false">IFERROR(IF(N(N138)=0,"",(N139-N137)/N138),"")</f>
        <v/>
      </c>
      <c r="O141" s="68" t="str">
        <f aca="false">IFERROR(IF(N(O138)=0,"",(O139-O137)/O138),"")</f>
        <v/>
      </c>
    </row>
    <row r="142" customFormat="false" ht="15" hidden="true" customHeight="false" outlineLevel="1" collapsed="false">
      <c r="A142" s="11" t="s">
        <v>2503</v>
      </c>
      <c r="B142" s="15" t="s">
        <v>2374</v>
      </c>
      <c r="C142" s="11" t="s">
        <v>367</v>
      </c>
      <c r="D142" s="49" t="str">
        <f aca="false">IFERROR(IF(N(D139)=0,"",1-D137/D139),"")</f>
        <v/>
      </c>
      <c r="E142" s="49" t="str">
        <f aca="false">IFERROR(IF(N(E139)=0,"",1-E137/E139),"")</f>
        <v/>
      </c>
      <c r="F142" s="49" t="str">
        <f aca="false">IFERROR(IF(N(F139)=0,"",1-F137/F139),"")</f>
        <v/>
      </c>
      <c r="G142" s="49" t="str">
        <f aca="false">IFERROR(IF(N(G139)=0,"",1-G137/G139),"")</f>
        <v/>
      </c>
      <c r="H142" s="49" t="str">
        <f aca="false">IFERROR(IF(N(H139)=0,"",1-H137/H139),"")</f>
        <v/>
      </c>
      <c r="I142" s="49" t="str">
        <f aca="false">IFERROR(IF(N(I139)=0,"",1-I137/I139),"")</f>
        <v/>
      </c>
      <c r="J142" s="49" t="str">
        <f aca="false">IFERROR(IF(N(J139)=0,"",1-J137/J139),"")</f>
        <v/>
      </c>
      <c r="K142" s="49" t="str">
        <f aca="false">IFERROR(IF(N(K139)=0,"",1-K137/K139),"")</f>
        <v/>
      </c>
      <c r="L142" s="49" t="str">
        <f aca="false">IFERROR(IF(N(L139)=0,"",1-L137/L139),"")</f>
        <v/>
      </c>
      <c r="M142" s="49" t="str">
        <f aca="false">IFERROR(IF(N(M139)=0,"",1-M137/M139),"")</f>
        <v/>
      </c>
      <c r="N142" s="49" t="str">
        <f aca="false">IFERROR(IF(N(N139)=0,"",1-N137/N139),"")</f>
        <v/>
      </c>
      <c r="O142" s="99" t="str">
        <f aca="false">IFERROR(IF(N(O139)=0,"",1-O137/O139),"")</f>
        <v/>
      </c>
    </row>
    <row r="143" customFormat="false" ht="15" hidden="true" customHeight="false" outlineLevel="1" collapsed="false">
      <c r="A143" s="11" t="s">
        <v>2504</v>
      </c>
      <c r="B143" s="15" t="s">
        <v>2376</v>
      </c>
      <c r="C143" s="11" t="s">
        <v>508</v>
      </c>
      <c r="D143" s="48" t="str">
        <f aca="false">IFERROR(IF(OR(NOT(ISNUMBER(D137)),N(D9)=0),"",D10*D137/D9),"")</f>
        <v/>
      </c>
      <c r="E143" s="48" t="n">
        <f aca="false">IFERROR(IF(OR(NOT(ISNUMBER(E137)),N(E9)=0),"",E10*E137/E9),"")</f>
        <v>0</v>
      </c>
      <c r="F143" s="48" t="n">
        <f aca="false">IFERROR(IF(OR(NOT(ISNUMBER(F137)),N(F9)=0),"",F10*F137/F9),"")</f>
        <v>0</v>
      </c>
      <c r="G143" s="48" t="n">
        <f aca="false">IFERROR(IF(OR(NOT(ISNUMBER(G137)),N(G9)=0),"",G10*G137/G9),"")</f>
        <v>0</v>
      </c>
      <c r="H143" s="48" t="n">
        <f aca="false">IFERROR(IF(OR(NOT(ISNUMBER(H137)),N(H9)=0),"",H10*H137/H9),"")</f>
        <v>0</v>
      </c>
      <c r="I143" s="48" t="n">
        <f aca="false">IFERROR(IF(OR(NOT(ISNUMBER(I137)),N(I9)=0),"",I10*I137/I9),"")</f>
        <v>0</v>
      </c>
      <c r="J143" s="48" t="n">
        <f aca="false">IFERROR(IF(OR(NOT(ISNUMBER(J137)),N(J9)=0),"",J10*J137/J9),"")</f>
        <v>0</v>
      </c>
      <c r="K143" s="48" t="n">
        <f aca="false">IFERROR(IF(OR(NOT(ISNUMBER(K137)),N(K9)=0),"",K10*K137/K9),"")</f>
        <v>0</v>
      </c>
      <c r="L143" s="48" t="n">
        <f aca="false">IFERROR(IF(OR(NOT(ISNUMBER(L137)),N(L9)=0),"",L10*L137/L9),"")</f>
        <v>0</v>
      </c>
      <c r="M143" s="48" t="n">
        <f aca="false">IFERROR(IF(OR(NOT(ISNUMBER(M137)),N(M9)=0),"",M10*M137/M9),"")</f>
        <v>0</v>
      </c>
      <c r="N143" s="48" t="n">
        <f aca="false">IFERROR(IF(OR(NOT(ISNUMBER(N137)),N(N9)=0),"",N10*N137/N9),"")</f>
        <v>0</v>
      </c>
      <c r="O143" s="54" t="n">
        <f aca="false">SUM(D143:N143)</f>
        <v>0</v>
      </c>
    </row>
    <row r="144" customFormat="false" ht="15" hidden="true" customHeight="false" outlineLevel="1" collapsed="false">
      <c r="A144" s="11" t="s">
        <v>2505</v>
      </c>
      <c r="B144" s="15" t="s">
        <v>2378</v>
      </c>
      <c r="C144" s="11" t="s">
        <v>508</v>
      </c>
      <c r="D144" s="48" t="n">
        <f aca="false">IFERROR(IF(COUNT(D137,D143)=0,"",N(D137)+N(D143)),"")</f>
        <v>0</v>
      </c>
      <c r="E144" s="48" t="n">
        <f aca="false">IFERROR(IF(COUNT(E137,E143)=0,"",N(E137)+N(E143)),"")</f>
        <v>0</v>
      </c>
      <c r="F144" s="48" t="n">
        <f aca="false">IFERROR(IF(COUNT(F137,F143)=0,"",N(F137)+N(F143)),"")</f>
        <v>0</v>
      </c>
      <c r="G144" s="48" t="n">
        <f aca="false">IFERROR(IF(COUNT(G137,G143)=0,"",N(G137)+N(G143)),"")</f>
        <v>0</v>
      </c>
      <c r="H144" s="48" t="n">
        <f aca="false">IFERROR(IF(COUNT(H137,H143)=0,"",N(H137)+N(H143)),"")</f>
        <v>0</v>
      </c>
      <c r="I144" s="48" t="n">
        <f aca="false">IFERROR(IF(COUNT(I137,I143)=0,"",N(I137)+N(I143)),"")</f>
        <v>0</v>
      </c>
      <c r="J144" s="48" t="n">
        <f aca="false">IFERROR(IF(COUNT(J137,J143)=0,"",N(J137)+N(J143)),"")</f>
        <v>0</v>
      </c>
      <c r="K144" s="48" t="n">
        <f aca="false">IFERROR(IF(COUNT(K137,K143)=0,"",N(K137)+N(K143)),"")</f>
        <v>0</v>
      </c>
      <c r="L144" s="48" t="n">
        <f aca="false">IFERROR(IF(COUNT(L137,L143)=0,"",N(L137)+N(L143)),"")</f>
        <v>0</v>
      </c>
      <c r="M144" s="48" t="n">
        <f aca="false">IFERROR(IF(COUNT(M137,M143)=0,"",N(M137)+N(M143)),"")</f>
        <v>0</v>
      </c>
      <c r="N144" s="48" t="n">
        <f aca="false">IFERROR(IF(COUNT(N137,N143)=0,"",N(N137)+N(N143)),"")</f>
        <v>0</v>
      </c>
      <c r="O144" s="54" t="n">
        <f aca="false">SUM(D144:N144)</f>
        <v>0</v>
      </c>
    </row>
    <row r="145" customFormat="false" ht="15" hidden="true" customHeight="false" outlineLevel="1" collapsed="false">
      <c r="A145" s="11" t="s">
        <v>2506</v>
      </c>
      <c r="B145" s="15" t="s">
        <v>2380</v>
      </c>
      <c r="C145" s="11" t="s">
        <v>748</v>
      </c>
      <c r="D145" s="50" t="str">
        <f aca="false">IFERROR(IF(OR(NOT(ISNUMBER(D144)),N(D138)=0),"",D144/D138),"")</f>
        <v/>
      </c>
      <c r="E145" s="50" t="str">
        <f aca="false">IFERROR(IF(OR(NOT(ISNUMBER(E144)),N(E138)=0),"",E144/E138),"")</f>
        <v/>
      </c>
      <c r="F145" s="50" t="str">
        <f aca="false">IFERROR(IF(OR(NOT(ISNUMBER(F144)),N(F138)=0),"",F144/F138),"")</f>
        <v/>
      </c>
      <c r="G145" s="50" t="str">
        <f aca="false">IFERROR(IF(OR(NOT(ISNUMBER(G144)),N(G138)=0),"",G144/G138),"")</f>
        <v/>
      </c>
      <c r="H145" s="50" t="str">
        <f aca="false">IFERROR(IF(OR(NOT(ISNUMBER(H144)),N(H138)=0),"",H144/H138),"")</f>
        <v/>
      </c>
      <c r="I145" s="50" t="str">
        <f aca="false">IFERROR(IF(OR(NOT(ISNUMBER(I144)),N(I138)=0),"",I144/I138),"")</f>
        <v/>
      </c>
      <c r="J145" s="50" t="str">
        <f aca="false">IFERROR(IF(OR(NOT(ISNUMBER(J144)),N(J138)=0),"",J144/J138),"")</f>
        <v/>
      </c>
      <c r="K145" s="50" t="str">
        <f aca="false">IFERROR(IF(OR(NOT(ISNUMBER(K144)),N(K138)=0),"",K144/K138),"")</f>
        <v/>
      </c>
      <c r="L145" s="50" t="str">
        <f aca="false">IFERROR(IF(OR(NOT(ISNUMBER(L144)),N(L138)=0),"",L144/L138),"")</f>
        <v/>
      </c>
      <c r="M145" s="50" t="str">
        <f aca="false">IFERROR(IF(OR(NOT(ISNUMBER(M144)),N(M138)=0),"",M144/M138),"")</f>
        <v/>
      </c>
      <c r="N145" s="50" t="str">
        <f aca="false">IFERROR(IF(OR(NOT(ISNUMBER(N144)),N(N138)=0),"",N144/N138),"")</f>
        <v/>
      </c>
      <c r="O145" s="68" t="str">
        <f aca="false">IFERROR(IF(OR(NOT(ISNUMBER(O144)),N(O138)=0),"",O144/O138),"")</f>
        <v/>
      </c>
    </row>
    <row r="146" customFormat="false" ht="15" hidden="true" customHeight="false" outlineLevel="1" collapsed="false">
      <c r="A146" s="11" t="s">
        <v>2507</v>
      </c>
      <c r="B146" s="53" t="str">
        <f aca="false">IF(INDEX(Prod_Nombre,16)="","Producto 16",INDEX(Prod_Nombre,16))&amp;" — costo directo"</f>
        <v>Producto 16 — costo directo</v>
      </c>
      <c r="C146" s="11" t="s">
        <v>508</v>
      </c>
      <c r="D146" s="48" t="n">
        <f aca="false">IF(cu_P=1,(SUMIFS(Calculo!$F$36:$ES$36,Calculo!$F$16:$ES$16,1)*N(INDEX(MP_O,16))*INDEX(IdxMP_O,1,1)*(1+P_dMat)/(1-P_Merma)+SUMIFS(Calculo!$F$36:$ES$36,Calculo!$F$16:$ES$16,1)*N(INDEX(INS_O,16))*INDEX(IdxOV_O,1,1)*(1+P_dMat)/(1-P_Merma)+SUMIFS(Calculo!$F$36:$ES$36,Calculo!$F$16:$ES$16,1)*N(INDEX(OV_O,16))*INDEX(IdxOV_O,1,1)*(1+P_dMat)/(1-P_Merma)),(SUMIFS(Calculo!$F$192:$ES$192,Calculo!$F$172:$ES$172,1)*N(INDEX(MP_V,16))*INDEX(IdxMP_V,1,1)*(1+V_dMat)/(1-V_Merma)+SUMIFS(Calculo!$F$192:$ES$192,Calculo!$F$172:$ES$172,1)*N(INDEX(INS_V,16))*INDEX(IdxOV_V,1,1)*(1+V_dMat)/(1-V_Merma)+SUMIFS(Calculo!$F$192:$ES$192,Calculo!$F$172:$ES$172,1)*N(INDEX(OV_V,16))*INDEX(IdxOV_V,1,1)*(1+V_dMat)/(1-V_Merma)))</f>
        <v>0</v>
      </c>
      <c r="E146" s="48" t="n">
        <f aca="false">IF(cu_P=1,(SUMIFS(Calculo!$F$36:$ES$36,Calculo!$F$14:$ES$14,1)*N(INDEX(MP_O,16))*INDEX(IdxMP_O,1,1)*(1+P_dMat)/(1-P_Merma)+SUMIFS(Calculo!$F$36:$ES$36,Calculo!$F$14:$ES$14,1)*N(INDEX(INS_O,16))*INDEX(IdxOV_O,1,1)*(1+P_dMat)/(1-P_Merma)+SUMIFS(Calculo!$F$36:$ES$36,Calculo!$F$14:$ES$14,1)*N(INDEX(OV_O,16))*INDEX(IdxOV_O,1,1)*(1+P_dMat)/(1-P_Merma)),(SUMIFS(Calculo!$F$192:$ES$192,Calculo!$F$170:$ES$170,1)*N(INDEX(MP_V,16))*INDEX(IdxMP_V,1,1)*(1+V_dMat)/(1-V_Merma)+SUMIFS(Calculo!$F$192:$ES$192,Calculo!$F$170:$ES$170,1)*N(INDEX(INS_V,16))*INDEX(IdxOV_V,1,1)*(1+V_dMat)/(1-V_Merma)+SUMIFS(Calculo!$F$192:$ES$192,Calculo!$F$170:$ES$170,1)*N(INDEX(OV_V,16))*INDEX(IdxOV_V,1,1)*(1+V_dMat)/(1-V_Merma)))</f>
        <v>0</v>
      </c>
      <c r="F146" s="48" t="n">
        <f aca="false">IF(cu_P=1,(SUMIFS(Calculo!$F$36:$ES$36,Calculo!$F$14:$ES$14,2)*N(INDEX(MP_O,16))*INDEX(IdxMP_O,1,2)*(1+P_dMat)/(1-P_Merma)+SUMIFS(Calculo!$F$36:$ES$36,Calculo!$F$14:$ES$14,2)*N(INDEX(INS_O,16))*INDEX(IdxOV_O,1,2)*(1+P_dMat)/(1-P_Merma)+SUMIFS(Calculo!$F$36:$ES$36,Calculo!$F$14:$ES$14,2)*N(INDEX(OV_O,16))*INDEX(IdxOV_O,1,2)*(1+P_dMat)/(1-P_Merma)),(SUMIFS(Calculo!$F$192:$ES$192,Calculo!$F$170:$ES$170,2)*N(INDEX(MP_V,16))*INDEX(IdxMP_V,1,2)*(1+V_dMat)/(1-V_Merma)+SUMIFS(Calculo!$F$192:$ES$192,Calculo!$F$170:$ES$170,2)*N(INDEX(INS_V,16))*INDEX(IdxOV_V,1,2)*(1+V_dMat)/(1-V_Merma)+SUMIFS(Calculo!$F$192:$ES$192,Calculo!$F$170:$ES$170,2)*N(INDEX(OV_V,16))*INDEX(IdxOV_V,1,2)*(1+V_dMat)/(1-V_Merma)))</f>
        <v>0</v>
      </c>
      <c r="G146" s="48" t="n">
        <f aca="false">IF(cu_P=1,(SUMIFS(Calculo!$F$36:$ES$36,Calculo!$F$14:$ES$14,3)*N(INDEX(MP_O,16))*INDEX(IdxMP_O,1,3)*(1+P_dMat)/(1-P_Merma)+SUMIFS(Calculo!$F$36:$ES$36,Calculo!$F$14:$ES$14,3)*N(INDEX(INS_O,16))*INDEX(IdxOV_O,1,3)*(1+P_dMat)/(1-P_Merma)+SUMIFS(Calculo!$F$36:$ES$36,Calculo!$F$14:$ES$14,3)*N(INDEX(OV_O,16))*INDEX(IdxOV_O,1,3)*(1+P_dMat)/(1-P_Merma)),(SUMIFS(Calculo!$F$192:$ES$192,Calculo!$F$170:$ES$170,3)*N(INDEX(MP_V,16))*INDEX(IdxMP_V,1,3)*(1+V_dMat)/(1-V_Merma)+SUMIFS(Calculo!$F$192:$ES$192,Calculo!$F$170:$ES$170,3)*N(INDEX(INS_V,16))*INDEX(IdxOV_V,1,3)*(1+V_dMat)/(1-V_Merma)+SUMIFS(Calculo!$F$192:$ES$192,Calculo!$F$170:$ES$170,3)*N(INDEX(OV_V,16))*INDEX(IdxOV_V,1,3)*(1+V_dMat)/(1-V_Merma)))</f>
        <v>0</v>
      </c>
      <c r="H146" s="48" t="n">
        <f aca="false">IF(cu_P=1,(SUMIFS(Calculo!$F$36:$ES$36,Calculo!$F$14:$ES$14,4)*N(INDEX(MP_O,16))*INDEX(IdxMP_O,1,4)*(1+P_dMat)/(1-P_Merma)+SUMIFS(Calculo!$F$36:$ES$36,Calculo!$F$14:$ES$14,4)*N(INDEX(INS_O,16))*INDEX(IdxOV_O,1,4)*(1+P_dMat)/(1-P_Merma)+SUMIFS(Calculo!$F$36:$ES$36,Calculo!$F$14:$ES$14,4)*N(INDEX(OV_O,16))*INDEX(IdxOV_O,1,4)*(1+P_dMat)/(1-P_Merma)),(SUMIFS(Calculo!$F$192:$ES$192,Calculo!$F$170:$ES$170,4)*N(INDEX(MP_V,16))*INDEX(IdxMP_V,1,4)*(1+V_dMat)/(1-V_Merma)+SUMIFS(Calculo!$F$192:$ES$192,Calculo!$F$170:$ES$170,4)*N(INDEX(INS_V,16))*INDEX(IdxOV_V,1,4)*(1+V_dMat)/(1-V_Merma)+SUMIFS(Calculo!$F$192:$ES$192,Calculo!$F$170:$ES$170,4)*N(INDEX(OV_V,16))*INDEX(IdxOV_V,1,4)*(1+V_dMat)/(1-V_Merma)))</f>
        <v>0</v>
      </c>
      <c r="I146" s="48" t="n">
        <f aca="false">IF(cu_P=1,(SUMIFS(Calculo!$F$36:$ES$36,Calculo!$F$14:$ES$14,5)*N(INDEX(MP_O,16))*INDEX(IdxMP_O,1,5)*(1+P_dMat)/(1-P_Merma)+SUMIFS(Calculo!$F$36:$ES$36,Calculo!$F$14:$ES$14,5)*N(INDEX(INS_O,16))*INDEX(IdxOV_O,1,5)*(1+P_dMat)/(1-P_Merma)+SUMIFS(Calculo!$F$36:$ES$36,Calculo!$F$14:$ES$14,5)*N(INDEX(OV_O,16))*INDEX(IdxOV_O,1,5)*(1+P_dMat)/(1-P_Merma)),(SUMIFS(Calculo!$F$192:$ES$192,Calculo!$F$170:$ES$170,5)*N(INDEX(MP_V,16))*INDEX(IdxMP_V,1,5)*(1+V_dMat)/(1-V_Merma)+SUMIFS(Calculo!$F$192:$ES$192,Calculo!$F$170:$ES$170,5)*N(INDEX(INS_V,16))*INDEX(IdxOV_V,1,5)*(1+V_dMat)/(1-V_Merma)+SUMIFS(Calculo!$F$192:$ES$192,Calculo!$F$170:$ES$170,5)*N(INDEX(OV_V,16))*INDEX(IdxOV_V,1,5)*(1+V_dMat)/(1-V_Merma)))</f>
        <v>0</v>
      </c>
      <c r="J146" s="48" t="n">
        <f aca="false">IF(cu_P=1,(SUMIFS(Calculo!$F$36:$ES$36,Calculo!$F$14:$ES$14,6)*N(INDEX(MP_O,16))*INDEX(IdxMP_O,1,6)*(1+P_dMat)/(1-P_Merma)+SUMIFS(Calculo!$F$36:$ES$36,Calculo!$F$14:$ES$14,6)*N(INDEX(INS_O,16))*INDEX(IdxOV_O,1,6)*(1+P_dMat)/(1-P_Merma)+SUMIFS(Calculo!$F$36:$ES$36,Calculo!$F$14:$ES$14,6)*N(INDEX(OV_O,16))*INDEX(IdxOV_O,1,6)*(1+P_dMat)/(1-P_Merma)),(SUMIFS(Calculo!$F$192:$ES$192,Calculo!$F$170:$ES$170,6)*N(INDEX(MP_V,16))*INDEX(IdxMP_V,1,6)*(1+V_dMat)/(1-V_Merma)+SUMIFS(Calculo!$F$192:$ES$192,Calculo!$F$170:$ES$170,6)*N(INDEX(INS_V,16))*INDEX(IdxOV_V,1,6)*(1+V_dMat)/(1-V_Merma)+SUMIFS(Calculo!$F$192:$ES$192,Calculo!$F$170:$ES$170,6)*N(INDEX(OV_V,16))*INDEX(IdxOV_V,1,6)*(1+V_dMat)/(1-V_Merma)))</f>
        <v>0</v>
      </c>
      <c r="K146" s="48" t="n">
        <f aca="false">IF(cu_P=1,(SUMIFS(Calculo!$F$36:$ES$36,Calculo!$F$14:$ES$14,7)*N(INDEX(MP_O,16))*INDEX(IdxMP_O,1,7)*(1+P_dMat)/(1-P_Merma)+SUMIFS(Calculo!$F$36:$ES$36,Calculo!$F$14:$ES$14,7)*N(INDEX(INS_O,16))*INDEX(IdxOV_O,1,7)*(1+P_dMat)/(1-P_Merma)+SUMIFS(Calculo!$F$36:$ES$36,Calculo!$F$14:$ES$14,7)*N(INDEX(OV_O,16))*INDEX(IdxOV_O,1,7)*(1+P_dMat)/(1-P_Merma)),(SUMIFS(Calculo!$F$192:$ES$192,Calculo!$F$170:$ES$170,7)*N(INDEX(MP_V,16))*INDEX(IdxMP_V,1,7)*(1+V_dMat)/(1-V_Merma)+SUMIFS(Calculo!$F$192:$ES$192,Calculo!$F$170:$ES$170,7)*N(INDEX(INS_V,16))*INDEX(IdxOV_V,1,7)*(1+V_dMat)/(1-V_Merma)+SUMIFS(Calculo!$F$192:$ES$192,Calculo!$F$170:$ES$170,7)*N(INDEX(OV_V,16))*INDEX(IdxOV_V,1,7)*(1+V_dMat)/(1-V_Merma)))</f>
        <v>0</v>
      </c>
      <c r="L146" s="48" t="n">
        <f aca="false">IF(cu_P=1,(SUMIFS(Calculo!$F$36:$ES$36,Calculo!$F$14:$ES$14,8)*N(INDEX(MP_O,16))*INDEX(IdxMP_O,1,8)*(1+P_dMat)/(1-P_Merma)+SUMIFS(Calculo!$F$36:$ES$36,Calculo!$F$14:$ES$14,8)*N(INDEX(INS_O,16))*INDEX(IdxOV_O,1,8)*(1+P_dMat)/(1-P_Merma)+SUMIFS(Calculo!$F$36:$ES$36,Calculo!$F$14:$ES$14,8)*N(INDEX(OV_O,16))*INDEX(IdxOV_O,1,8)*(1+P_dMat)/(1-P_Merma)),(SUMIFS(Calculo!$F$192:$ES$192,Calculo!$F$170:$ES$170,8)*N(INDEX(MP_V,16))*INDEX(IdxMP_V,1,8)*(1+V_dMat)/(1-V_Merma)+SUMIFS(Calculo!$F$192:$ES$192,Calculo!$F$170:$ES$170,8)*N(INDEX(INS_V,16))*INDEX(IdxOV_V,1,8)*(1+V_dMat)/(1-V_Merma)+SUMIFS(Calculo!$F$192:$ES$192,Calculo!$F$170:$ES$170,8)*N(INDEX(OV_V,16))*INDEX(IdxOV_V,1,8)*(1+V_dMat)/(1-V_Merma)))</f>
        <v>0</v>
      </c>
      <c r="M146" s="48" t="n">
        <f aca="false">IF(cu_P=1,(SUMIFS(Calculo!$F$36:$ES$36,Calculo!$F$14:$ES$14,9)*N(INDEX(MP_O,16))*INDEX(IdxMP_O,1,9)*(1+P_dMat)/(1-P_Merma)+SUMIFS(Calculo!$F$36:$ES$36,Calculo!$F$14:$ES$14,9)*N(INDEX(INS_O,16))*INDEX(IdxOV_O,1,9)*(1+P_dMat)/(1-P_Merma)+SUMIFS(Calculo!$F$36:$ES$36,Calculo!$F$14:$ES$14,9)*N(INDEX(OV_O,16))*INDEX(IdxOV_O,1,9)*(1+P_dMat)/(1-P_Merma)),(SUMIFS(Calculo!$F$192:$ES$192,Calculo!$F$170:$ES$170,9)*N(INDEX(MP_V,16))*INDEX(IdxMP_V,1,9)*(1+V_dMat)/(1-V_Merma)+SUMIFS(Calculo!$F$192:$ES$192,Calculo!$F$170:$ES$170,9)*N(INDEX(INS_V,16))*INDEX(IdxOV_V,1,9)*(1+V_dMat)/(1-V_Merma)+SUMIFS(Calculo!$F$192:$ES$192,Calculo!$F$170:$ES$170,9)*N(INDEX(OV_V,16))*INDEX(IdxOV_V,1,9)*(1+V_dMat)/(1-V_Merma)))</f>
        <v>0</v>
      </c>
      <c r="N146" s="48" t="n">
        <f aca="false">IF(cu_P=1,(SUMIFS(Calculo!$F$36:$ES$36,Calculo!$F$14:$ES$14,10)*N(INDEX(MP_O,16))*INDEX(IdxMP_O,1,10)*(1+P_dMat)/(1-P_Merma)+SUMIFS(Calculo!$F$36:$ES$36,Calculo!$F$14:$ES$14,10)*N(INDEX(INS_O,16))*INDEX(IdxOV_O,1,10)*(1+P_dMat)/(1-P_Merma)+SUMIFS(Calculo!$F$36:$ES$36,Calculo!$F$14:$ES$14,10)*N(INDEX(OV_O,16))*INDEX(IdxOV_O,1,10)*(1+P_dMat)/(1-P_Merma)),(SUMIFS(Calculo!$F$192:$ES$192,Calculo!$F$170:$ES$170,10)*N(INDEX(MP_V,16))*INDEX(IdxMP_V,1,10)*(1+V_dMat)/(1-V_Merma)+SUMIFS(Calculo!$F$192:$ES$192,Calculo!$F$170:$ES$170,10)*N(INDEX(INS_V,16))*INDEX(IdxOV_V,1,10)*(1+V_dMat)/(1-V_Merma)+SUMIFS(Calculo!$F$192:$ES$192,Calculo!$F$170:$ES$170,10)*N(INDEX(OV_V,16))*INDEX(IdxOV_V,1,10)*(1+V_dMat)/(1-V_Merma)))</f>
        <v>0</v>
      </c>
      <c r="O146" s="54" t="n">
        <f aca="false">SUM(D146:N146)</f>
        <v>0</v>
      </c>
    </row>
    <row r="147" customFormat="false" ht="15" hidden="true" customHeight="false" outlineLevel="1" collapsed="false">
      <c r="A147" s="11" t="s">
        <v>2508</v>
      </c>
      <c r="B147" s="15" t="s">
        <v>2366</v>
      </c>
      <c r="C147" s="11" t="s">
        <v>544</v>
      </c>
      <c r="D147" s="48" t="n">
        <f aca="false">IF(cu_P=1,SUMIFS(Calculo!$F$36:$ES$36,Calculo!$F$16:$ES$16,1),SUMIFS(Calculo!$F$192:$ES$192,Calculo!$F$172:$ES$172,1))</f>
        <v>0</v>
      </c>
      <c r="E147" s="48" t="n">
        <f aca="false">IF(cu_P=1,SUMIFS(Calculo!$F$36:$ES$36,Calculo!$F$14:$ES$14,1),SUMIFS(Calculo!$F$192:$ES$192,Calculo!$F$170:$ES$170,1))</f>
        <v>0</v>
      </c>
      <c r="F147" s="48" t="n">
        <f aca="false">IF(cu_P=1,SUMIFS(Calculo!$F$36:$ES$36,Calculo!$F$14:$ES$14,2),SUMIFS(Calculo!$F$192:$ES$192,Calculo!$F$170:$ES$170,2))</f>
        <v>0</v>
      </c>
      <c r="G147" s="48" t="n">
        <f aca="false">IF(cu_P=1,SUMIFS(Calculo!$F$36:$ES$36,Calculo!$F$14:$ES$14,3),SUMIFS(Calculo!$F$192:$ES$192,Calculo!$F$170:$ES$170,3))</f>
        <v>0</v>
      </c>
      <c r="H147" s="48" t="n">
        <f aca="false">IF(cu_P=1,SUMIFS(Calculo!$F$36:$ES$36,Calculo!$F$14:$ES$14,4),SUMIFS(Calculo!$F$192:$ES$192,Calculo!$F$170:$ES$170,4))</f>
        <v>0</v>
      </c>
      <c r="I147" s="48" t="n">
        <f aca="false">IF(cu_P=1,SUMIFS(Calculo!$F$36:$ES$36,Calculo!$F$14:$ES$14,5),SUMIFS(Calculo!$F$192:$ES$192,Calculo!$F$170:$ES$170,5))</f>
        <v>0</v>
      </c>
      <c r="J147" s="48" t="n">
        <f aca="false">IF(cu_P=1,SUMIFS(Calculo!$F$36:$ES$36,Calculo!$F$14:$ES$14,6),SUMIFS(Calculo!$F$192:$ES$192,Calculo!$F$170:$ES$170,6))</f>
        <v>0</v>
      </c>
      <c r="K147" s="48" t="n">
        <f aca="false">IF(cu_P=1,SUMIFS(Calculo!$F$36:$ES$36,Calculo!$F$14:$ES$14,7),SUMIFS(Calculo!$F$192:$ES$192,Calculo!$F$170:$ES$170,7))</f>
        <v>0</v>
      </c>
      <c r="L147" s="48" t="n">
        <f aca="false">IF(cu_P=1,SUMIFS(Calculo!$F$36:$ES$36,Calculo!$F$14:$ES$14,8),SUMIFS(Calculo!$F$192:$ES$192,Calculo!$F$170:$ES$170,8))</f>
        <v>0</v>
      </c>
      <c r="M147" s="48" t="n">
        <f aca="false">IF(cu_P=1,SUMIFS(Calculo!$F$36:$ES$36,Calculo!$F$14:$ES$14,9),SUMIFS(Calculo!$F$192:$ES$192,Calculo!$F$170:$ES$170,9))</f>
        <v>0</v>
      </c>
      <c r="N147" s="48" t="n">
        <f aca="false">IF(cu_P=1,SUMIFS(Calculo!$F$36:$ES$36,Calculo!$F$14:$ES$14,10),SUMIFS(Calculo!$F$192:$ES$192,Calculo!$F$170:$ES$170,10))</f>
        <v>0</v>
      </c>
      <c r="O147" s="54" t="n">
        <f aca="false">SUM(D147:N147)</f>
        <v>0</v>
      </c>
    </row>
    <row r="148" customFormat="false" ht="15" hidden="true" customHeight="false" outlineLevel="1" collapsed="false">
      <c r="A148" s="11" t="s">
        <v>2509</v>
      </c>
      <c r="B148" s="15" t="s">
        <v>2368</v>
      </c>
      <c r="C148" s="11" t="s">
        <v>508</v>
      </c>
      <c r="D148" s="48" t="n">
        <f aca="false">IF(cu_P=1,SUMIFS(Calculo!$F$61:$ES$61,Calculo!$F$16:$ES$16,1),SUMIFS(Calculo!$F$217:$ES$217,Calculo!$F$172:$ES$172,1))</f>
        <v>0</v>
      </c>
      <c r="E148" s="48" t="n">
        <f aca="false">IF(cu_P=1,SUMIFS(Calculo!$F$61:$ES$61,Calculo!$F$14:$ES$14,1),SUMIFS(Calculo!$F$217:$ES$217,Calculo!$F$170:$ES$170,1))</f>
        <v>0</v>
      </c>
      <c r="F148" s="48" t="n">
        <f aca="false">IF(cu_P=1,SUMIFS(Calculo!$F$61:$ES$61,Calculo!$F$14:$ES$14,2),SUMIFS(Calculo!$F$217:$ES$217,Calculo!$F$170:$ES$170,2))</f>
        <v>0</v>
      </c>
      <c r="G148" s="48" t="n">
        <f aca="false">IF(cu_P=1,SUMIFS(Calculo!$F$61:$ES$61,Calculo!$F$14:$ES$14,3),SUMIFS(Calculo!$F$217:$ES$217,Calculo!$F$170:$ES$170,3))</f>
        <v>0</v>
      </c>
      <c r="H148" s="48" t="n">
        <f aca="false">IF(cu_P=1,SUMIFS(Calculo!$F$61:$ES$61,Calculo!$F$14:$ES$14,4),SUMIFS(Calculo!$F$217:$ES$217,Calculo!$F$170:$ES$170,4))</f>
        <v>0</v>
      </c>
      <c r="I148" s="48" t="n">
        <f aca="false">IF(cu_P=1,SUMIFS(Calculo!$F$61:$ES$61,Calculo!$F$14:$ES$14,5),SUMIFS(Calculo!$F$217:$ES$217,Calculo!$F$170:$ES$170,5))</f>
        <v>0</v>
      </c>
      <c r="J148" s="48" t="n">
        <f aca="false">IF(cu_P=1,SUMIFS(Calculo!$F$61:$ES$61,Calculo!$F$14:$ES$14,6),SUMIFS(Calculo!$F$217:$ES$217,Calculo!$F$170:$ES$170,6))</f>
        <v>0</v>
      </c>
      <c r="K148" s="48" t="n">
        <f aca="false">IF(cu_P=1,SUMIFS(Calculo!$F$61:$ES$61,Calculo!$F$14:$ES$14,7),SUMIFS(Calculo!$F$217:$ES$217,Calculo!$F$170:$ES$170,7))</f>
        <v>0</v>
      </c>
      <c r="L148" s="48" t="n">
        <f aca="false">IF(cu_P=1,SUMIFS(Calculo!$F$61:$ES$61,Calculo!$F$14:$ES$14,8),SUMIFS(Calculo!$F$217:$ES$217,Calculo!$F$170:$ES$170,8))</f>
        <v>0</v>
      </c>
      <c r="M148" s="48" t="n">
        <f aca="false">IF(cu_P=1,SUMIFS(Calculo!$F$61:$ES$61,Calculo!$F$14:$ES$14,9),SUMIFS(Calculo!$F$217:$ES$217,Calculo!$F$170:$ES$170,9))</f>
        <v>0</v>
      </c>
      <c r="N148" s="48" t="n">
        <f aca="false">IF(cu_P=1,SUMIFS(Calculo!$F$61:$ES$61,Calculo!$F$14:$ES$14,10),SUMIFS(Calculo!$F$217:$ES$217,Calculo!$F$170:$ES$170,10))</f>
        <v>0</v>
      </c>
      <c r="O148" s="54" t="n">
        <f aca="false">SUM(D148:N148)</f>
        <v>0</v>
      </c>
    </row>
    <row r="149" customFormat="false" ht="15" hidden="true" customHeight="false" outlineLevel="1" collapsed="false">
      <c r="A149" s="11" t="s">
        <v>2510</v>
      </c>
      <c r="B149" s="15" t="s">
        <v>2370</v>
      </c>
      <c r="C149" s="11" t="s">
        <v>748</v>
      </c>
      <c r="D149" s="50" t="str">
        <f aca="false">IFERROR(IF(OR(NOT(ISNUMBER(D146)),N(D147)=0),"",D146/D147),"")</f>
        <v/>
      </c>
      <c r="E149" s="50" t="str">
        <f aca="false">IFERROR(IF(OR(NOT(ISNUMBER(E146)),N(E147)=0),"",E146/E147),"")</f>
        <v/>
      </c>
      <c r="F149" s="50" t="str">
        <f aca="false">IFERROR(IF(OR(NOT(ISNUMBER(F146)),N(F147)=0),"",F146/F147),"")</f>
        <v/>
      </c>
      <c r="G149" s="50" t="str">
        <f aca="false">IFERROR(IF(OR(NOT(ISNUMBER(G146)),N(G147)=0),"",G146/G147),"")</f>
        <v/>
      </c>
      <c r="H149" s="50" t="str">
        <f aca="false">IFERROR(IF(OR(NOT(ISNUMBER(H146)),N(H147)=0),"",H146/H147),"")</f>
        <v/>
      </c>
      <c r="I149" s="50" t="str">
        <f aca="false">IFERROR(IF(OR(NOT(ISNUMBER(I146)),N(I147)=0),"",I146/I147),"")</f>
        <v/>
      </c>
      <c r="J149" s="50" t="str">
        <f aca="false">IFERROR(IF(OR(NOT(ISNUMBER(J146)),N(J147)=0),"",J146/J147),"")</f>
        <v/>
      </c>
      <c r="K149" s="50" t="str">
        <f aca="false">IFERROR(IF(OR(NOT(ISNUMBER(K146)),N(K147)=0),"",K146/K147),"")</f>
        <v/>
      </c>
      <c r="L149" s="50" t="str">
        <f aca="false">IFERROR(IF(OR(NOT(ISNUMBER(L146)),N(L147)=0),"",L146/L147),"")</f>
        <v/>
      </c>
      <c r="M149" s="50" t="str">
        <f aca="false">IFERROR(IF(OR(NOT(ISNUMBER(M146)),N(M147)=0),"",M146/M147),"")</f>
        <v/>
      </c>
      <c r="N149" s="50" t="str">
        <f aca="false">IFERROR(IF(OR(NOT(ISNUMBER(N146)),N(N147)=0),"",N146/N147),"")</f>
        <v/>
      </c>
      <c r="O149" s="68" t="str">
        <f aca="false">IFERROR(IF(OR(NOT(ISNUMBER(O146)),N(O147)=0),"",O146/O147),"")</f>
        <v/>
      </c>
    </row>
    <row r="150" customFormat="false" ht="15" hidden="true" customHeight="false" outlineLevel="1" collapsed="false">
      <c r="A150" s="11" t="s">
        <v>2511</v>
      </c>
      <c r="B150" s="15" t="s">
        <v>2372</v>
      </c>
      <c r="C150" s="11" t="s">
        <v>748</v>
      </c>
      <c r="D150" s="50" t="str">
        <f aca="false">IFERROR(IF(N(D147)=0,"",(D148-D146)/D147),"")</f>
        <v/>
      </c>
      <c r="E150" s="50" t="str">
        <f aca="false">IFERROR(IF(N(E147)=0,"",(E148-E146)/E147),"")</f>
        <v/>
      </c>
      <c r="F150" s="50" t="str">
        <f aca="false">IFERROR(IF(N(F147)=0,"",(F148-F146)/F147),"")</f>
        <v/>
      </c>
      <c r="G150" s="50" t="str">
        <f aca="false">IFERROR(IF(N(G147)=0,"",(G148-G146)/G147),"")</f>
        <v/>
      </c>
      <c r="H150" s="50" t="str">
        <f aca="false">IFERROR(IF(N(H147)=0,"",(H148-H146)/H147),"")</f>
        <v/>
      </c>
      <c r="I150" s="50" t="str">
        <f aca="false">IFERROR(IF(N(I147)=0,"",(I148-I146)/I147),"")</f>
        <v/>
      </c>
      <c r="J150" s="50" t="str">
        <f aca="false">IFERROR(IF(N(J147)=0,"",(J148-J146)/J147),"")</f>
        <v/>
      </c>
      <c r="K150" s="50" t="str">
        <f aca="false">IFERROR(IF(N(K147)=0,"",(K148-K146)/K147),"")</f>
        <v/>
      </c>
      <c r="L150" s="50" t="str">
        <f aca="false">IFERROR(IF(N(L147)=0,"",(L148-L146)/L147),"")</f>
        <v/>
      </c>
      <c r="M150" s="50" t="str">
        <f aca="false">IFERROR(IF(N(M147)=0,"",(M148-M146)/M147),"")</f>
        <v/>
      </c>
      <c r="N150" s="50" t="str">
        <f aca="false">IFERROR(IF(N(N147)=0,"",(N148-N146)/N147),"")</f>
        <v/>
      </c>
      <c r="O150" s="68" t="str">
        <f aca="false">IFERROR(IF(N(O147)=0,"",(O148-O146)/O147),"")</f>
        <v/>
      </c>
    </row>
    <row r="151" customFormat="false" ht="15" hidden="true" customHeight="false" outlineLevel="1" collapsed="false">
      <c r="A151" s="11" t="s">
        <v>2512</v>
      </c>
      <c r="B151" s="15" t="s">
        <v>2374</v>
      </c>
      <c r="C151" s="11" t="s">
        <v>367</v>
      </c>
      <c r="D151" s="49" t="str">
        <f aca="false">IFERROR(IF(N(D148)=0,"",1-D146/D148),"")</f>
        <v/>
      </c>
      <c r="E151" s="49" t="str">
        <f aca="false">IFERROR(IF(N(E148)=0,"",1-E146/E148),"")</f>
        <v/>
      </c>
      <c r="F151" s="49" t="str">
        <f aca="false">IFERROR(IF(N(F148)=0,"",1-F146/F148),"")</f>
        <v/>
      </c>
      <c r="G151" s="49" t="str">
        <f aca="false">IFERROR(IF(N(G148)=0,"",1-G146/G148),"")</f>
        <v/>
      </c>
      <c r="H151" s="49" t="str">
        <f aca="false">IFERROR(IF(N(H148)=0,"",1-H146/H148),"")</f>
        <v/>
      </c>
      <c r="I151" s="49" t="str">
        <f aca="false">IFERROR(IF(N(I148)=0,"",1-I146/I148),"")</f>
        <v/>
      </c>
      <c r="J151" s="49" t="str">
        <f aca="false">IFERROR(IF(N(J148)=0,"",1-J146/J148),"")</f>
        <v/>
      </c>
      <c r="K151" s="49" t="str">
        <f aca="false">IFERROR(IF(N(K148)=0,"",1-K146/K148),"")</f>
        <v/>
      </c>
      <c r="L151" s="49" t="str">
        <f aca="false">IFERROR(IF(N(L148)=0,"",1-L146/L148),"")</f>
        <v/>
      </c>
      <c r="M151" s="49" t="str">
        <f aca="false">IFERROR(IF(N(M148)=0,"",1-M146/M148),"")</f>
        <v/>
      </c>
      <c r="N151" s="49" t="str">
        <f aca="false">IFERROR(IF(N(N148)=0,"",1-N146/N148),"")</f>
        <v/>
      </c>
      <c r="O151" s="99" t="str">
        <f aca="false">IFERROR(IF(N(O148)=0,"",1-O146/O148),"")</f>
        <v/>
      </c>
    </row>
    <row r="152" customFormat="false" ht="15" hidden="true" customHeight="false" outlineLevel="1" collapsed="false">
      <c r="A152" s="11" t="s">
        <v>2513</v>
      </c>
      <c r="B152" s="15" t="s">
        <v>2376</v>
      </c>
      <c r="C152" s="11" t="s">
        <v>508</v>
      </c>
      <c r="D152" s="48" t="str">
        <f aca="false">IFERROR(IF(OR(NOT(ISNUMBER(D146)),N(D9)=0),"",D10*D146/D9),"")</f>
        <v/>
      </c>
      <c r="E152" s="48" t="n">
        <f aca="false">IFERROR(IF(OR(NOT(ISNUMBER(E146)),N(E9)=0),"",E10*E146/E9),"")</f>
        <v>0</v>
      </c>
      <c r="F152" s="48" t="n">
        <f aca="false">IFERROR(IF(OR(NOT(ISNUMBER(F146)),N(F9)=0),"",F10*F146/F9),"")</f>
        <v>0</v>
      </c>
      <c r="G152" s="48" t="n">
        <f aca="false">IFERROR(IF(OR(NOT(ISNUMBER(G146)),N(G9)=0),"",G10*G146/G9),"")</f>
        <v>0</v>
      </c>
      <c r="H152" s="48" t="n">
        <f aca="false">IFERROR(IF(OR(NOT(ISNUMBER(H146)),N(H9)=0),"",H10*H146/H9),"")</f>
        <v>0</v>
      </c>
      <c r="I152" s="48" t="n">
        <f aca="false">IFERROR(IF(OR(NOT(ISNUMBER(I146)),N(I9)=0),"",I10*I146/I9),"")</f>
        <v>0</v>
      </c>
      <c r="J152" s="48" t="n">
        <f aca="false">IFERROR(IF(OR(NOT(ISNUMBER(J146)),N(J9)=0),"",J10*J146/J9),"")</f>
        <v>0</v>
      </c>
      <c r="K152" s="48" t="n">
        <f aca="false">IFERROR(IF(OR(NOT(ISNUMBER(K146)),N(K9)=0),"",K10*K146/K9),"")</f>
        <v>0</v>
      </c>
      <c r="L152" s="48" t="n">
        <f aca="false">IFERROR(IF(OR(NOT(ISNUMBER(L146)),N(L9)=0),"",L10*L146/L9),"")</f>
        <v>0</v>
      </c>
      <c r="M152" s="48" t="n">
        <f aca="false">IFERROR(IF(OR(NOT(ISNUMBER(M146)),N(M9)=0),"",M10*M146/M9),"")</f>
        <v>0</v>
      </c>
      <c r="N152" s="48" t="n">
        <f aca="false">IFERROR(IF(OR(NOT(ISNUMBER(N146)),N(N9)=0),"",N10*N146/N9),"")</f>
        <v>0</v>
      </c>
      <c r="O152" s="54" t="n">
        <f aca="false">SUM(D152:N152)</f>
        <v>0</v>
      </c>
    </row>
    <row r="153" customFormat="false" ht="15" hidden="true" customHeight="false" outlineLevel="1" collapsed="false">
      <c r="A153" s="11" t="s">
        <v>2514</v>
      </c>
      <c r="B153" s="15" t="s">
        <v>2378</v>
      </c>
      <c r="C153" s="11" t="s">
        <v>508</v>
      </c>
      <c r="D153" s="48" t="n">
        <f aca="false">IFERROR(IF(COUNT(D146,D152)=0,"",N(D146)+N(D152)),"")</f>
        <v>0</v>
      </c>
      <c r="E153" s="48" t="n">
        <f aca="false">IFERROR(IF(COUNT(E146,E152)=0,"",N(E146)+N(E152)),"")</f>
        <v>0</v>
      </c>
      <c r="F153" s="48" t="n">
        <f aca="false">IFERROR(IF(COUNT(F146,F152)=0,"",N(F146)+N(F152)),"")</f>
        <v>0</v>
      </c>
      <c r="G153" s="48" t="n">
        <f aca="false">IFERROR(IF(COUNT(G146,G152)=0,"",N(G146)+N(G152)),"")</f>
        <v>0</v>
      </c>
      <c r="H153" s="48" t="n">
        <f aca="false">IFERROR(IF(COUNT(H146,H152)=0,"",N(H146)+N(H152)),"")</f>
        <v>0</v>
      </c>
      <c r="I153" s="48" t="n">
        <f aca="false">IFERROR(IF(COUNT(I146,I152)=0,"",N(I146)+N(I152)),"")</f>
        <v>0</v>
      </c>
      <c r="J153" s="48" t="n">
        <f aca="false">IFERROR(IF(COUNT(J146,J152)=0,"",N(J146)+N(J152)),"")</f>
        <v>0</v>
      </c>
      <c r="K153" s="48" t="n">
        <f aca="false">IFERROR(IF(COUNT(K146,K152)=0,"",N(K146)+N(K152)),"")</f>
        <v>0</v>
      </c>
      <c r="L153" s="48" t="n">
        <f aca="false">IFERROR(IF(COUNT(L146,L152)=0,"",N(L146)+N(L152)),"")</f>
        <v>0</v>
      </c>
      <c r="M153" s="48" t="n">
        <f aca="false">IFERROR(IF(COUNT(M146,M152)=0,"",N(M146)+N(M152)),"")</f>
        <v>0</v>
      </c>
      <c r="N153" s="48" t="n">
        <f aca="false">IFERROR(IF(COUNT(N146,N152)=0,"",N(N146)+N(N152)),"")</f>
        <v>0</v>
      </c>
      <c r="O153" s="54" t="n">
        <f aca="false">SUM(D153:N153)</f>
        <v>0</v>
      </c>
    </row>
    <row r="154" customFormat="false" ht="15" hidden="true" customHeight="false" outlineLevel="1" collapsed="false">
      <c r="A154" s="11" t="s">
        <v>2515</v>
      </c>
      <c r="B154" s="15" t="s">
        <v>2380</v>
      </c>
      <c r="C154" s="11" t="s">
        <v>748</v>
      </c>
      <c r="D154" s="50" t="str">
        <f aca="false">IFERROR(IF(OR(NOT(ISNUMBER(D153)),N(D147)=0),"",D153/D147),"")</f>
        <v/>
      </c>
      <c r="E154" s="50" t="str">
        <f aca="false">IFERROR(IF(OR(NOT(ISNUMBER(E153)),N(E147)=0),"",E153/E147),"")</f>
        <v/>
      </c>
      <c r="F154" s="50" t="str">
        <f aca="false">IFERROR(IF(OR(NOT(ISNUMBER(F153)),N(F147)=0),"",F153/F147),"")</f>
        <v/>
      </c>
      <c r="G154" s="50" t="str">
        <f aca="false">IFERROR(IF(OR(NOT(ISNUMBER(G153)),N(G147)=0),"",G153/G147),"")</f>
        <v/>
      </c>
      <c r="H154" s="50" t="str">
        <f aca="false">IFERROR(IF(OR(NOT(ISNUMBER(H153)),N(H147)=0),"",H153/H147),"")</f>
        <v/>
      </c>
      <c r="I154" s="50" t="str">
        <f aca="false">IFERROR(IF(OR(NOT(ISNUMBER(I153)),N(I147)=0),"",I153/I147),"")</f>
        <v/>
      </c>
      <c r="J154" s="50" t="str">
        <f aca="false">IFERROR(IF(OR(NOT(ISNUMBER(J153)),N(J147)=0),"",J153/J147),"")</f>
        <v/>
      </c>
      <c r="K154" s="50" t="str">
        <f aca="false">IFERROR(IF(OR(NOT(ISNUMBER(K153)),N(K147)=0),"",K153/K147),"")</f>
        <v/>
      </c>
      <c r="L154" s="50" t="str">
        <f aca="false">IFERROR(IF(OR(NOT(ISNUMBER(L153)),N(L147)=0),"",L153/L147),"")</f>
        <v/>
      </c>
      <c r="M154" s="50" t="str">
        <f aca="false">IFERROR(IF(OR(NOT(ISNUMBER(M153)),N(M147)=0),"",M153/M147),"")</f>
        <v/>
      </c>
      <c r="N154" s="50" t="str">
        <f aca="false">IFERROR(IF(OR(NOT(ISNUMBER(N153)),N(N147)=0),"",N153/N147),"")</f>
        <v/>
      </c>
      <c r="O154" s="68" t="str">
        <f aca="false">IFERROR(IF(OR(NOT(ISNUMBER(O153)),N(O147)=0),"",O153/O147),"")</f>
        <v/>
      </c>
    </row>
    <row r="155" customFormat="false" ht="15" hidden="true" customHeight="false" outlineLevel="1" collapsed="false">
      <c r="A155" s="11" t="s">
        <v>2516</v>
      </c>
      <c r="B155" s="53" t="str">
        <f aca="false">IF(INDEX(Prod_Nombre,17)="","Producto 17",INDEX(Prod_Nombre,17))&amp;" — costo directo"</f>
        <v>Producto 17 — costo directo</v>
      </c>
      <c r="C155" s="11" t="s">
        <v>508</v>
      </c>
      <c r="D155" s="48" t="n">
        <f aca="false">IF(cu_P=1,(SUMIFS(Calculo!$F$37:$ES$37,Calculo!$F$16:$ES$16,1)*N(INDEX(MP_O,17))*INDEX(IdxMP_O,1,1)*(1+P_dMat)/(1-P_Merma)+SUMIFS(Calculo!$F$37:$ES$37,Calculo!$F$16:$ES$16,1)*N(INDEX(INS_O,17))*INDEX(IdxOV_O,1,1)*(1+P_dMat)/(1-P_Merma)+SUMIFS(Calculo!$F$37:$ES$37,Calculo!$F$16:$ES$16,1)*N(INDEX(OV_O,17))*INDEX(IdxOV_O,1,1)*(1+P_dMat)/(1-P_Merma)),(SUMIFS(Calculo!$F$193:$ES$193,Calculo!$F$172:$ES$172,1)*N(INDEX(MP_V,17))*INDEX(IdxMP_V,1,1)*(1+V_dMat)/(1-V_Merma)+SUMIFS(Calculo!$F$193:$ES$193,Calculo!$F$172:$ES$172,1)*N(INDEX(INS_V,17))*INDEX(IdxOV_V,1,1)*(1+V_dMat)/(1-V_Merma)+SUMIFS(Calculo!$F$193:$ES$193,Calculo!$F$172:$ES$172,1)*N(INDEX(OV_V,17))*INDEX(IdxOV_V,1,1)*(1+V_dMat)/(1-V_Merma)))</f>
        <v>0</v>
      </c>
      <c r="E155" s="48" t="n">
        <f aca="false">IF(cu_P=1,(SUMIFS(Calculo!$F$37:$ES$37,Calculo!$F$14:$ES$14,1)*N(INDEX(MP_O,17))*INDEX(IdxMP_O,1,1)*(1+P_dMat)/(1-P_Merma)+SUMIFS(Calculo!$F$37:$ES$37,Calculo!$F$14:$ES$14,1)*N(INDEX(INS_O,17))*INDEX(IdxOV_O,1,1)*(1+P_dMat)/(1-P_Merma)+SUMIFS(Calculo!$F$37:$ES$37,Calculo!$F$14:$ES$14,1)*N(INDEX(OV_O,17))*INDEX(IdxOV_O,1,1)*(1+P_dMat)/(1-P_Merma)),(SUMIFS(Calculo!$F$193:$ES$193,Calculo!$F$170:$ES$170,1)*N(INDEX(MP_V,17))*INDEX(IdxMP_V,1,1)*(1+V_dMat)/(1-V_Merma)+SUMIFS(Calculo!$F$193:$ES$193,Calculo!$F$170:$ES$170,1)*N(INDEX(INS_V,17))*INDEX(IdxOV_V,1,1)*(1+V_dMat)/(1-V_Merma)+SUMIFS(Calculo!$F$193:$ES$193,Calculo!$F$170:$ES$170,1)*N(INDEX(OV_V,17))*INDEX(IdxOV_V,1,1)*(1+V_dMat)/(1-V_Merma)))</f>
        <v>0</v>
      </c>
      <c r="F155" s="48" t="n">
        <f aca="false">IF(cu_P=1,(SUMIFS(Calculo!$F$37:$ES$37,Calculo!$F$14:$ES$14,2)*N(INDEX(MP_O,17))*INDEX(IdxMP_O,1,2)*(1+P_dMat)/(1-P_Merma)+SUMIFS(Calculo!$F$37:$ES$37,Calculo!$F$14:$ES$14,2)*N(INDEX(INS_O,17))*INDEX(IdxOV_O,1,2)*(1+P_dMat)/(1-P_Merma)+SUMIFS(Calculo!$F$37:$ES$37,Calculo!$F$14:$ES$14,2)*N(INDEX(OV_O,17))*INDEX(IdxOV_O,1,2)*(1+P_dMat)/(1-P_Merma)),(SUMIFS(Calculo!$F$193:$ES$193,Calculo!$F$170:$ES$170,2)*N(INDEX(MP_V,17))*INDEX(IdxMP_V,1,2)*(1+V_dMat)/(1-V_Merma)+SUMIFS(Calculo!$F$193:$ES$193,Calculo!$F$170:$ES$170,2)*N(INDEX(INS_V,17))*INDEX(IdxOV_V,1,2)*(1+V_dMat)/(1-V_Merma)+SUMIFS(Calculo!$F$193:$ES$193,Calculo!$F$170:$ES$170,2)*N(INDEX(OV_V,17))*INDEX(IdxOV_V,1,2)*(1+V_dMat)/(1-V_Merma)))</f>
        <v>0</v>
      </c>
      <c r="G155" s="48" t="n">
        <f aca="false">IF(cu_P=1,(SUMIFS(Calculo!$F$37:$ES$37,Calculo!$F$14:$ES$14,3)*N(INDEX(MP_O,17))*INDEX(IdxMP_O,1,3)*(1+P_dMat)/(1-P_Merma)+SUMIFS(Calculo!$F$37:$ES$37,Calculo!$F$14:$ES$14,3)*N(INDEX(INS_O,17))*INDEX(IdxOV_O,1,3)*(1+P_dMat)/(1-P_Merma)+SUMIFS(Calculo!$F$37:$ES$37,Calculo!$F$14:$ES$14,3)*N(INDEX(OV_O,17))*INDEX(IdxOV_O,1,3)*(1+P_dMat)/(1-P_Merma)),(SUMIFS(Calculo!$F$193:$ES$193,Calculo!$F$170:$ES$170,3)*N(INDEX(MP_V,17))*INDEX(IdxMP_V,1,3)*(1+V_dMat)/(1-V_Merma)+SUMIFS(Calculo!$F$193:$ES$193,Calculo!$F$170:$ES$170,3)*N(INDEX(INS_V,17))*INDEX(IdxOV_V,1,3)*(1+V_dMat)/(1-V_Merma)+SUMIFS(Calculo!$F$193:$ES$193,Calculo!$F$170:$ES$170,3)*N(INDEX(OV_V,17))*INDEX(IdxOV_V,1,3)*(1+V_dMat)/(1-V_Merma)))</f>
        <v>0</v>
      </c>
      <c r="H155" s="48" t="n">
        <f aca="false">IF(cu_P=1,(SUMIFS(Calculo!$F$37:$ES$37,Calculo!$F$14:$ES$14,4)*N(INDEX(MP_O,17))*INDEX(IdxMP_O,1,4)*(1+P_dMat)/(1-P_Merma)+SUMIFS(Calculo!$F$37:$ES$37,Calculo!$F$14:$ES$14,4)*N(INDEX(INS_O,17))*INDEX(IdxOV_O,1,4)*(1+P_dMat)/(1-P_Merma)+SUMIFS(Calculo!$F$37:$ES$37,Calculo!$F$14:$ES$14,4)*N(INDEX(OV_O,17))*INDEX(IdxOV_O,1,4)*(1+P_dMat)/(1-P_Merma)),(SUMIFS(Calculo!$F$193:$ES$193,Calculo!$F$170:$ES$170,4)*N(INDEX(MP_V,17))*INDEX(IdxMP_V,1,4)*(1+V_dMat)/(1-V_Merma)+SUMIFS(Calculo!$F$193:$ES$193,Calculo!$F$170:$ES$170,4)*N(INDEX(INS_V,17))*INDEX(IdxOV_V,1,4)*(1+V_dMat)/(1-V_Merma)+SUMIFS(Calculo!$F$193:$ES$193,Calculo!$F$170:$ES$170,4)*N(INDEX(OV_V,17))*INDEX(IdxOV_V,1,4)*(1+V_dMat)/(1-V_Merma)))</f>
        <v>0</v>
      </c>
      <c r="I155" s="48" t="n">
        <f aca="false">IF(cu_P=1,(SUMIFS(Calculo!$F$37:$ES$37,Calculo!$F$14:$ES$14,5)*N(INDEX(MP_O,17))*INDEX(IdxMP_O,1,5)*(1+P_dMat)/(1-P_Merma)+SUMIFS(Calculo!$F$37:$ES$37,Calculo!$F$14:$ES$14,5)*N(INDEX(INS_O,17))*INDEX(IdxOV_O,1,5)*(1+P_dMat)/(1-P_Merma)+SUMIFS(Calculo!$F$37:$ES$37,Calculo!$F$14:$ES$14,5)*N(INDEX(OV_O,17))*INDEX(IdxOV_O,1,5)*(1+P_dMat)/(1-P_Merma)),(SUMIFS(Calculo!$F$193:$ES$193,Calculo!$F$170:$ES$170,5)*N(INDEX(MP_V,17))*INDEX(IdxMP_V,1,5)*(1+V_dMat)/(1-V_Merma)+SUMIFS(Calculo!$F$193:$ES$193,Calculo!$F$170:$ES$170,5)*N(INDEX(INS_V,17))*INDEX(IdxOV_V,1,5)*(1+V_dMat)/(1-V_Merma)+SUMIFS(Calculo!$F$193:$ES$193,Calculo!$F$170:$ES$170,5)*N(INDEX(OV_V,17))*INDEX(IdxOV_V,1,5)*(1+V_dMat)/(1-V_Merma)))</f>
        <v>0</v>
      </c>
      <c r="J155" s="48" t="n">
        <f aca="false">IF(cu_P=1,(SUMIFS(Calculo!$F$37:$ES$37,Calculo!$F$14:$ES$14,6)*N(INDEX(MP_O,17))*INDEX(IdxMP_O,1,6)*(1+P_dMat)/(1-P_Merma)+SUMIFS(Calculo!$F$37:$ES$37,Calculo!$F$14:$ES$14,6)*N(INDEX(INS_O,17))*INDEX(IdxOV_O,1,6)*(1+P_dMat)/(1-P_Merma)+SUMIFS(Calculo!$F$37:$ES$37,Calculo!$F$14:$ES$14,6)*N(INDEX(OV_O,17))*INDEX(IdxOV_O,1,6)*(1+P_dMat)/(1-P_Merma)),(SUMIFS(Calculo!$F$193:$ES$193,Calculo!$F$170:$ES$170,6)*N(INDEX(MP_V,17))*INDEX(IdxMP_V,1,6)*(1+V_dMat)/(1-V_Merma)+SUMIFS(Calculo!$F$193:$ES$193,Calculo!$F$170:$ES$170,6)*N(INDEX(INS_V,17))*INDEX(IdxOV_V,1,6)*(1+V_dMat)/(1-V_Merma)+SUMIFS(Calculo!$F$193:$ES$193,Calculo!$F$170:$ES$170,6)*N(INDEX(OV_V,17))*INDEX(IdxOV_V,1,6)*(1+V_dMat)/(1-V_Merma)))</f>
        <v>0</v>
      </c>
      <c r="K155" s="48" t="n">
        <f aca="false">IF(cu_P=1,(SUMIFS(Calculo!$F$37:$ES$37,Calculo!$F$14:$ES$14,7)*N(INDEX(MP_O,17))*INDEX(IdxMP_O,1,7)*(1+P_dMat)/(1-P_Merma)+SUMIFS(Calculo!$F$37:$ES$37,Calculo!$F$14:$ES$14,7)*N(INDEX(INS_O,17))*INDEX(IdxOV_O,1,7)*(1+P_dMat)/(1-P_Merma)+SUMIFS(Calculo!$F$37:$ES$37,Calculo!$F$14:$ES$14,7)*N(INDEX(OV_O,17))*INDEX(IdxOV_O,1,7)*(1+P_dMat)/(1-P_Merma)),(SUMIFS(Calculo!$F$193:$ES$193,Calculo!$F$170:$ES$170,7)*N(INDEX(MP_V,17))*INDEX(IdxMP_V,1,7)*(1+V_dMat)/(1-V_Merma)+SUMIFS(Calculo!$F$193:$ES$193,Calculo!$F$170:$ES$170,7)*N(INDEX(INS_V,17))*INDEX(IdxOV_V,1,7)*(1+V_dMat)/(1-V_Merma)+SUMIFS(Calculo!$F$193:$ES$193,Calculo!$F$170:$ES$170,7)*N(INDEX(OV_V,17))*INDEX(IdxOV_V,1,7)*(1+V_dMat)/(1-V_Merma)))</f>
        <v>0</v>
      </c>
      <c r="L155" s="48" t="n">
        <f aca="false">IF(cu_P=1,(SUMIFS(Calculo!$F$37:$ES$37,Calculo!$F$14:$ES$14,8)*N(INDEX(MP_O,17))*INDEX(IdxMP_O,1,8)*(1+P_dMat)/(1-P_Merma)+SUMIFS(Calculo!$F$37:$ES$37,Calculo!$F$14:$ES$14,8)*N(INDEX(INS_O,17))*INDEX(IdxOV_O,1,8)*(1+P_dMat)/(1-P_Merma)+SUMIFS(Calculo!$F$37:$ES$37,Calculo!$F$14:$ES$14,8)*N(INDEX(OV_O,17))*INDEX(IdxOV_O,1,8)*(1+P_dMat)/(1-P_Merma)),(SUMIFS(Calculo!$F$193:$ES$193,Calculo!$F$170:$ES$170,8)*N(INDEX(MP_V,17))*INDEX(IdxMP_V,1,8)*(1+V_dMat)/(1-V_Merma)+SUMIFS(Calculo!$F$193:$ES$193,Calculo!$F$170:$ES$170,8)*N(INDEX(INS_V,17))*INDEX(IdxOV_V,1,8)*(1+V_dMat)/(1-V_Merma)+SUMIFS(Calculo!$F$193:$ES$193,Calculo!$F$170:$ES$170,8)*N(INDEX(OV_V,17))*INDEX(IdxOV_V,1,8)*(1+V_dMat)/(1-V_Merma)))</f>
        <v>0</v>
      </c>
      <c r="M155" s="48" t="n">
        <f aca="false">IF(cu_P=1,(SUMIFS(Calculo!$F$37:$ES$37,Calculo!$F$14:$ES$14,9)*N(INDEX(MP_O,17))*INDEX(IdxMP_O,1,9)*(1+P_dMat)/(1-P_Merma)+SUMIFS(Calculo!$F$37:$ES$37,Calculo!$F$14:$ES$14,9)*N(INDEX(INS_O,17))*INDEX(IdxOV_O,1,9)*(1+P_dMat)/(1-P_Merma)+SUMIFS(Calculo!$F$37:$ES$37,Calculo!$F$14:$ES$14,9)*N(INDEX(OV_O,17))*INDEX(IdxOV_O,1,9)*(1+P_dMat)/(1-P_Merma)),(SUMIFS(Calculo!$F$193:$ES$193,Calculo!$F$170:$ES$170,9)*N(INDEX(MP_V,17))*INDEX(IdxMP_V,1,9)*(1+V_dMat)/(1-V_Merma)+SUMIFS(Calculo!$F$193:$ES$193,Calculo!$F$170:$ES$170,9)*N(INDEX(INS_V,17))*INDEX(IdxOV_V,1,9)*(1+V_dMat)/(1-V_Merma)+SUMIFS(Calculo!$F$193:$ES$193,Calculo!$F$170:$ES$170,9)*N(INDEX(OV_V,17))*INDEX(IdxOV_V,1,9)*(1+V_dMat)/(1-V_Merma)))</f>
        <v>0</v>
      </c>
      <c r="N155" s="48" t="n">
        <f aca="false">IF(cu_P=1,(SUMIFS(Calculo!$F$37:$ES$37,Calculo!$F$14:$ES$14,10)*N(INDEX(MP_O,17))*INDEX(IdxMP_O,1,10)*(1+P_dMat)/(1-P_Merma)+SUMIFS(Calculo!$F$37:$ES$37,Calculo!$F$14:$ES$14,10)*N(INDEX(INS_O,17))*INDEX(IdxOV_O,1,10)*(1+P_dMat)/(1-P_Merma)+SUMIFS(Calculo!$F$37:$ES$37,Calculo!$F$14:$ES$14,10)*N(INDEX(OV_O,17))*INDEX(IdxOV_O,1,10)*(1+P_dMat)/(1-P_Merma)),(SUMIFS(Calculo!$F$193:$ES$193,Calculo!$F$170:$ES$170,10)*N(INDEX(MP_V,17))*INDEX(IdxMP_V,1,10)*(1+V_dMat)/(1-V_Merma)+SUMIFS(Calculo!$F$193:$ES$193,Calculo!$F$170:$ES$170,10)*N(INDEX(INS_V,17))*INDEX(IdxOV_V,1,10)*(1+V_dMat)/(1-V_Merma)+SUMIFS(Calculo!$F$193:$ES$193,Calculo!$F$170:$ES$170,10)*N(INDEX(OV_V,17))*INDEX(IdxOV_V,1,10)*(1+V_dMat)/(1-V_Merma)))</f>
        <v>0</v>
      </c>
      <c r="O155" s="54" t="n">
        <f aca="false">SUM(D155:N155)</f>
        <v>0</v>
      </c>
    </row>
    <row r="156" customFormat="false" ht="15" hidden="true" customHeight="false" outlineLevel="1" collapsed="false">
      <c r="A156" s="11" t="s">
        <v>2517</v>
      </c>
      <c r="B156" s="15" t="s">
        <v>2366</v>
      </c>
      <c r="C156" s="11" t="s">
        <v>544</v>
      </c>
      <c r="D156" s="48" t="n">
        <f aca="false">IF(cu_P=1,SUMIFS(Calculo!$F$37:$ES$37,Calculo!$F$16:$ES$16,1),SUMIFS(Calculo!$F$193:$ES$193,Calculo!$F$172:$ES$172,1))</f>
        <v>0</v>
      </c>
      <c r="E156" s="48" t="n">
        <f aca="false">IF(cu_P=1,SUMIFS(Calculo!$F$37:$ES$37,Calculo!$F$14:$ES$14,1),SUMIFS(Calculo!$F$193:$ES$193,Calculo!$F$170:$ES$170,1))</f>
        <v>0</v>
      </c>
      <c r="F156" s="48" t="n">
        <f aca="false">IF(cu_P=1,SUMIFS(Calculo!$F$37:$ES$37,Calculo!$F$14:$ES$14,2),SUMIFS(Calculo!$F$193:$ES$193,Calculo!$F$170:$ES$170,2))</f>
        <v>0</v>
      </c>
      <c r="G156" s="48" t="n">
        <f aca="false">IF(cu_P=1,SUMIFS(Calculo!$F$37:$ES$37,Calculo!$F$14:$ES$14,3),SUMIFS(Calculo!$F$193:$ES$193,Calculo!$F$170:$ES$170,3))</f>
        <v>0</v>
      </c>
      <c r="H156" s="48" t="n">
        <f aca="false">IF(cu_P=1,SUMIFS(Calculo!$F$37:$ES$37,Calculo!$F$14:$ES$14,4),SUMIFS(Calculo!$F$193:$ES$193,Calculo!$F$170:$ES$170,4))</f>
        <v>0</v>
      </c>
      <c r="I156" s="48" t="n">
        <f aca="false">IF(cu_P=1,SUMIFS(Calculo!$F$37:$ES$37,Calculo!$F$14:$ES$14,5),SUMIFS(Calculo!$F$193:$ES$193,Calculo!$F$170:$ES$170,5))</f>
        <v>0</v>
      </c>
      <c r="J156" s="48" t="n">
        <f aca="false">IF(cu_P=1,SUMIFS(Calculo!$F$37:$ES$37,Calculo!$F$14:$ES$14,6),SUMIFS(Calculo!$F$193:$ES$193,Calculo!$F$170:$ES$170,6))</f>
        <v>0</v>
      </c>
      <c r="K156" s="48" t="n">
        <f aca="false">IF(cu_P=1,SUMIFS(Calculo!$F$37:$ES$37,Calculo!$F$14:$ES$14,7),SUMIFS(Calculo!$F$193:$ES$193,Calculo!$F$170:$ES$170,7))</f>
        <v>0</v>
      </c>
      <c r="L156" s="48" t="n">
        <f aca="false">IF(cu_P=1,SUMIFS(Calculo!$F$37:$ES$37,Calculo!$F$14:$ES$14,8),SUMIFS(Calculo!$F$193:$ES$193,Calculo!$F$170:$ES$170,8))</f>
        <v>0</v>
      </c>
      <c r="M156" s="48" t="n">
        <f aca="false">IF(cu_P=1,SUMIFS(Calculo!$F$37:$ES$37,Calculo!$F$14:$ES$14,9),SUMIFS(Calculo!$F$193:$ES$193,Calculo!$F$170:$ES$170,9))</f>
        <v>0</v>
      </c>
      <c r="N156" s="48" t="n">
        <f aca="false">IF(cu_P=1,SUMIFS(Calculo!$F$37:$ES$37,Calculo!$F$14:$ES$14,10),SUMIFS(Calculo!$F$193:$ES$193,Calculo!$F$170:$ES$170,10))</f>
        <v>0</v>
      </c>
      <c r="O156" s="54" t="n">
        <f aca="false">SUM(D156:N156)</f>
        <v>0</v>
      </c>
    </row>
    <row r="157" customFormat="false" ht="15" hidden="true" customHeight="false" outlineLevel="1" collapsed="false">
      <c r="A157" s="11" t="s">
        <v>2518</v>
      </c>
      <c r="B157" s="15" t="s">
        <v>2368</v>
      </c>
      <c r="C157" s="11" t="s">
        <v>508</v>
      </c>
      <c r="D157" s="48" t="n">
        <f aca="false">IF(cu_P=1,SUMIFS(Calculo!$F$62:$ES$62,Calculo!$F$16:$ES$16,1),SUMIFS(Calculo!$F$218:$ES$218,Calculo!$F$172:$ES$172,1))</f>
        <v>0</v>
      </c>
      <c r="E157" s="48" t="n">
        <f aca="false">IF(cu_P=1,SUMIFS(Calculo!$F$62:$ES$62,Calculo!$F$14:$ES$14,1),SUMIFS(Calculo!$F$218:$ES$218,Calculo!$F$170:$ES$170,1))</f>
        <v>0</v>
      </c>
      <c r="F157" s="48" t="n">
        <f aca="false">IF(cu_P=1,SUMIFS(Calculo!$F$62:$ES$62,Calculo!$F$14:$ES$14,2),SUMIFS(Calculo!$F$218:$ES$218,Calculo!$F$170:$ES$170,2))</f>
        <v>0</v>
      </c>
      <c r="G157" s="48" t="n">
        <f aca="false">IF(cu_P=1,SUMIFS(Calculo!$F$62:$ES$62,Calculo!$F$14:$ES$14,3),SUMIFS(Calculo!$F$218:$ES$218,Calculo!$F$170:$ES$170,3))</f>
        <v>0</v>
      </c>
      <c r="H157" s="48" t="n">
        <f aca="false">IF(cu_P=1,SUMIFS(Calculo!$F$62:$ES$62,Calculo!$F$14:$ES$14,4),SUMIFS(Calculo!$F$218:$ES$218,Calculo!$F$170:$ES$170,4))</f>
        <v>0</v>
      </c>
      <c r="I157" s="48" t="n">
        <f aca="false">IF(cu_P=1,SUMIFS(Calculo!$F$62:$ES$62,Calculo!$F$14:$ES$14,5),SUMIFS(Calculo!$F$218:$ES$218,Calculo!$F$170:$ES$170,5))</f>
        <v>0</v>
      </c>
      <c r="J157" s="48" t="n">
        <f aca="false">IF(cu_P=1,SUMIFS(Calculo!$F$62:$ES$62,Calculo!$F$14:$ES$14,6),SUMIFS(Calculo!$F$218:$ES$218,Calculo!$F$170:$ES$170,6))</f>
        <v>0</v>
      </c>
      <c r="K157" s="48" t="n">
        <f aca="false">IF(cu_P=1,SUMIFS(Calculo!$F$62:$ES$62,Calculo!$F$14:$ES$14,7),SUMIFS(Calculo!$F$218:$ES$218,Calculo!$F$170:$ES$170,7))</f>
        <v>0</v>
      </c>
      <c r="L157" s="48" t="n">
        <f aca="false">IF(cu_P=1,SUMIFS(Calculo!$F$62:$ES$62,Calculo!$F$14:$ES$14,8),SUMIFS(Calculo!$F$218:$ES$218,Calculo!$F$170:$ES$170,8))</f>
        <v>0</v>
      </c>
      <c r="M157" s="48" t="n">
        <f aca="false">IF(cu_P=1,SUMIFS(Calculo!$F$62:$ES$62,Calculo!$F$14:$ES$14,9),SUMIFS(Calculo!$F$218:$ES$218,Calculo!$F$170:$ES$170,9))</f>
        <v>0</v>
      </c>
      <c r="N157" s="48" t="n">
        <f aca="false">IF(cu_P=1,SUMIFS(Calculo!$F$62:$ES$62,Calculo!$F$14:$ES$14,10),SUMIFS(Calculo!$F$218:$ES$218,Calculo!$F$170:$ES$170,10))</f>
        <v>0</v>
      </c>
      <c r="O157" s="54" t="n">
        <f aca="false">SUM(D157:N157)</f>
        <v>0</v>
      </c>
    </row>
    <row r="158" customFormat="false" ht="15" hidden="true" customHeight="false" outlineLevel="1" collapsed="false">
      <c r="A158" s="11" t="s">
        <v>2519</v>
      </c>
      <c r="B158" s="15" t="s">
        <v>2370</v>
      </c>
      <c r="C158" s="11" t="s">
        <v>748</v>
      </c>
      <c r="D158" s="50" t="str">
        <f aca="false">IFERROR(IF(OR(NOT(ISNUMBER(D155)),N(D156)=0),"",D155/D156),"")</f>
        <v/>
      </c>
      <c r="E158" s="50" t="str">
        <f aca="false">IFERROR(IF(OR(NOT(ISNUMBER(E155)),N(E156)=0),"",E155/E156),"")</f>
        <v/>
      </c>
      <c r="F158" s="50" t="str">
        <f aca="false">IFERROR(IF(OR(NOT(ISNUMBER(F155)),N(F156)=0),"",F155/F156),"")</f>
        <v/>
      </c>
      <c r="G158" s="50" t="str">
        <f aca="false">IFERROR(IF(OR(NOT(ISNUMBER(G155)),N(G156)=0),"",G155/G156),"")</f>
        <v/>
      </c>
      <c r="H158" s="50" t="str">
        <f aca="false">IFERROR(IF(OR(NOT(ISNUMBER(H155)),N(H156)=0),"",H155/H156),"")</f>
        <v/>
      </c>
      <c r="I158" s="50" t="str">
        <f aca="false">IFERROR(IF(OR(NOT(ISNUMBER(I155)),N(I156)=0),"",I155/I156),"")</f>
        <v/>
      </c>
      <c r="J158" s="50" t="str">
        <f aca="false">IFERROR(IF(OR(NOT(ISNUMBER(J155)),N(J156)=0),"",J155/J156),"")</f>
        <v/>
      </c>
      <c r="K158" s="50" t="str">
        <f aca="false">IFERROR(IF(OR(NOT(ISNUMBER(K155)),N(K156)=0),"",K155/K156),"")</f>
        <v/>
      </c>
      <c r="L158" s="50" t="str">
        <f aca="false">IFERROR(IF(OR(NOT(ISNUMBER(L155)),N(L156)=0),"",L155/L156),"")</f>
        <v/>
      </c>
      <c r="M158" s="50" t="str">
        <f aca="false">IFERROR(IF(OR(NOT(ISNUMBER(M155)),N(M156)=0),"",M155/M156),"")</f>
        <v/>
      </c>
      <c r="N158" s="50" t="str">
        <f aca="false">IFERROR(IF(OR(NOT(ISNUMBER(N155)),N(N156)=0),"",N155/N156),"")</f>
        <v/>
      </c>
      <c r="O158" s="68" t="str">
        <f aca="false">IFERROR(IF(OR(NOT(ISNUMBER(O155)),N(O156)=0),"",O155/O156),"")</f>
        <v/>
      </c>
    </row>
    <row r="159" customFormat="false" ht="15" hidden="true" customHeight="false" outlineLevel="1" collapsed="false">
      <c r="A159" s="11" t="s">
        <v>2520</v>
      </c>
      <c r="B159" s="15" t="s">
        <v>2372</v>
      </c>
      <c r="C159" s="11" t="s">
        <v>748</v>
      </c>
      <c r="D159" s="50" t="str">
        <f aca="false">IFERROR(IF(N(D156)=0,"",(D157-D155)/D156),"")</f>
        <v/>
      </c>
      <c r="E159" s="50" t="str">
        <f aca="false">IFERROR(IF(N(E156)=0,"",(E157-E155)/E156),"")</f>
        <v/>
      </c>
      <c r="F159" s="50" t="str">
        <f aca="false">IFERROR(IF(N(F156)=0,"",(F157-F155)/F156),"")</f>
        <v/>
      </c>
      <c r="G159" s="50" t="str">
        <f aca="false">IFERROR(IF(N(G156)=0,"",(G157-G155)/G156),"")</f>
        <v/>
      </c>
      <c r="H159" s="50" t="str">
        <f aca="false">IFERROR(IF(N(H156)=0,"",(H157-H155)/H156),"")</f>
        <v/>
      </c>
      <c r="I159" s="50" t="str">
        <f aca="false">IFERROR(IF(N(I156)=0,"",(I157-I155)/I156),"")</f>
        <v/>
      </c>
      <c r="J159" s="50" t="str">
        <f aca="false">IFERROR(IF(N(J156)=0,"",(J157-J155)/J156),"")</f>
        <v/>
      </c>
      <c r="K159" s="50" t="str">
        <f aca="false">IFERROR(IF(N(K156)=0,"",(K157-K155)/K156),"")</f>
        <v/>
      </c>
      <c r="L159" s="50" t="str">
        <f aca="false">IFERROR(IF(N(L156)=0,"",(L157-L155)/L156),"")</f>
        <v/>
      </c>
      <c r="M159" s="50" t="str">
        <f aca="false">IFERROR(IF(N(M156)=0,"",(M157-M155)/M156),"")</f>
        <v/>
      </c>
      <c r="N159" s="50" t="str">
        <f aca="false">IFERROR(IF(N(N156)=0,"",(N157-N155)/N156),"")</f>
        <v/>
      </c>
      <c r="O159" s="68" t="str">
        <f aca="false">IFERROR(IF(N(O156)=0,"",(O157-O155)/O156),"")</f>
        <v/>
      </c>
    </row>
    <row r="160" customFormat="false" ht="15" hidden="true" customHeight="false" outlineLevel="1" collapsed="false">
      <c r="A160" s="11" t="s">
        <v>2521</v>
      </c>
      <c r="B160" s="15" t="s">
        <v>2374</v>
      </c>
      <c r="C160" s="11" t="s">
        <v>367</v>
      </c>
      <c r="D160" s="49" t="str">
        <f aca="false">IFERROR(IF(N(D157)=0,"",1-D155/D157),"")</f>
        <v/>
      </c>
      <c r="E160" s="49" t="str">
        <f aca="false">IFERROR(IF(N(E157)=0,"",1-E155/E157),"")</f>
        <v/>
      </c>
      <c r="F160" s="49" t="str">
        <f aca="false">IFERROR(IF(N(F157)=0,"",1-F155/F157),"")</f>
        <v/>
      </c>
      <c r="G160" s="49" t="str">
        <f aca="false">IFERROR(IF(N(G157)=0,"",1-G155/G157),"")</f>
        <v/>
      </c>
      <c r="H160" s="49" t="str">
        <f aca="false">IFERROR(IF(N(H157)=0,"",1-H155/H157),"")</f>
        <v/>
      </c>
      <c r="I160" s="49" t="str">
        <f aca="false">IFERROR(IF(N(I157)=0,"",1-I155/I157),"")</f>
        <v/>
      </c>
      <c r="J160" s="49" t="str">
        <f aca="false">IFERROR(IF(N(J157)=0,"",1-J155/J157),"")</f>
        <v/>
      </c>
      <c r="K160" s="49" t="str">
        <f aca="false">IFERROR(IF(N(K157)=0,"",1-K155/K157),"")</f>
        <v/>
      </c>
      <c r="L160" s="49" t="str">
        <f aca="false">IFERROR(IF(N(L157)=0,"",1-L155/L157),"")</f>
        <v/>
      </c>
      <c r="M160" s="49" t="str">
        <f aca="false">IFERROR(IF(N(M157)=0,"",1-M155/M157),"")</f>
        <v/>
      </c>
      <c r="N160" s="49" t="str">
        <f aca="false">IFERROR(IF(N(N157)=0,"",1-N155/N157),"")</f>
        <v/>
      </c>
      <c r="O160" s="99" t="str">
        <f aca="false">IFERROR(IF(N(O157)=0,"",1-O155/O157),"")</f>
        <v/>
      </c>
    </row>
    <row r="161" customFormat="false" ht="15" hidden="true" customHeight="false" outlineLevel="1" collapsed="false">
      <c r="A161" s="11" t="s">
        <v>2522</v>
      </c>
      <c r="B161" s="15" t="s">
        <v>2376</v>
      </c>
      <c r="C161" s="11" t="s">
        <v>508</v>
      </c>
      <c r="D161" s="48" t="str">
        <f aca="false">IFERROR(IF(OR(NOT(ISNUMBER(D155)),N(D9)=0),"",D10*D155/D9),"")</f>
        <v/>
      </c>
      <c r="E161" s="48" t="n">
        <f aca="false">IFERROR(IF(OR(NOT(ISNUMBER(E155)),N(E9)=0),"",E10*E155/E9),"")</f>
        <v>0</v>
      </c>
      <c r="F161" s="48" t="n">
        <f aca="false">IFERROR(IF(OR(NOT(ISNUMBER(F155)),N(F9)=0),"",F10*F155/F9),"")</f>
        <v>0</v>
      </c>
      <c r="G161" s="48" t="n">
        <f aca="false">IFERROR(IF(OR(NOT(ISNUMBER(G155)),N(G9)=0),"",G10*G155/G9),"")</f>
        <v>0</v>
      </c>
      <c r="H161" s="48" t="n">
        <f aca="false">IFERROR(IF(OR(NOT(ISNUMBER(H155)),N(H9)=0),"",H10*H155/H9),"")</f>
        <v>0</v>
      </c>
      <c r="I161" s="48" t="n">
        <f aca="false">IFERROR(IF(OR(NOT(ISNUMBER(I155)),N(I9)=0),"",I10*I155/I9),"")</f>
        <v>0</v>
      </c>
      <c r="J161" s="48" t="n">
        <f aca="false">IFERROR(IF(OR(NOT(ISNUMBER(J155)),N(J9)=0),"",J10*J155/J9),"")</f>
        <v>0</v>
      </c>
      <c r="K161" s="48" t="n">
        <f aca="false">IFERROR(IF(OR(NOT(ISNUMBER(K155)),N(K9)=0),"",K10*K155/K9),"")</f>
        <v>0</v>
      </c>
      <c r="L161" s="48" t="n">
        <f aca="false">IFERROR(IF(OR(NOT(ISNUMBER(L155)),N(L9)=0),"",L10*L155/L9),"")</f>
        <v>0</v>
      </c>
      <c r="M161" s="48" t="n">
        <f aca="false">IFERROR(IF(OR(NOT(ISNUMBER(M155)),N(M9)=0),"",M10*M155/M9),"")</f>
        <v>0</v>
      </c>
      <c r="N161" s="48" t="n">
        <f aca="false">IFERROR(IF(OR(NOT(ISNUMBER(N155)),N(N9)=0),"",N10*N155/N9),"")</f>
        <v>0</v>
      </c>
      <c r="O161" s="54" t="n">
        <f aca="false">SUM(D161:N161)</f>
        <v>0</v>
      </c>
    </row>
    <row r="162" customFormat="false" ht="15" hidden="true" customHeight="false" outlineLevel="1" collapsed="false">
      <c r="A162" s="11" t="s">
        <v>2523</v>
      </c>
      <c r="B162" s="15" t="s">
        <v>2378</v>
      </c>
      <c r="C162" s="11" t="s">
        <v>508</v>
      </c>
      <c r="D162" s="48" t="n">
        <f aca="false">IFERROR(IF(COUNT(D155,D161)=0,"",N(D155)+N(D161)),"")</f>
        <v>0</v>
      </c>
      <c r="E162" s="48" t="n">
        <f aca="false">IFERROR(IF(COUNT(E155,E161)=0,"",N(E155)+N(E161)),"")</f>
        <v>0</v>
      </c>
      <c r="F162" s="48" t="n">
        <f aca="false">IFERROR(IF(COUNT(F155,F161)=0,"",N(F155)+N(F161)),"")</f>
        <v>0</v>
      </c>
      <c r="G162" s="48" t="n">
        <f aca="false">IFERROR(IF(COUNT(G155,G161)=0,"",N(G155)+N(G161)),"")</f>
        <v>0</v>
      </c>
      <c r="H162" s="48" t="n">
        <f aca="false">IFERROR(IF(COUNT(H155,H161)=0,"",N(H155)+N(H161)),"")</f>
        <v>0</v>
      </c>
      <c r="I162" s="48" t="n">
        <f aca="false">IFERROR(IF(COUNT(I155,I161)=0,"",N(I155)+N(I161)),"")</f>
        <v>0</v>
      </c>
      <c r="J162" s="48" t="n">
        <f aca="false">IFERROR(IF(COUNT(J155,J161)=0,"",N(J155)+N(J161)),"")</f>
        <v>0</v>
      </c>
      <c r="K162" s="48" t="n">
        <f aca="false">IFERROR(IF(COUNT(K155,K161)=0,"",N(K155)+N(K161)),"")</f>
        <v>0</v>
      </c>
      <c r="L162" s="48" t="n">
        <f aca="false">IFERROR(IF(COUNT(L155,L161)=0,"",N(L155)+N(L161)),"")</f>
        <v>0</v>
      </c>
      <c r="M162" s="48" t="n">
        <f aca="false">IFERROR(IF(COUNT(M155,M161)=0,"",N(M155)+N(M161)),"")</f>
        <v>0</v>
      </c>
      <c r="N162" s="48" t="n">
        <f aca="false">IFERROR(IF(COUNT(N155,N161)=0,"",N(N155)+N(N161)),"")</f>
        <v>0</v>
      </c>
      <c r="O162" s="54" t="n">
        <f aca="false">SUM(D162:N162)</f>
        <v>0</v>
      </c>
    </row>
    <row r="163" customFormat="false" ht="15" hidden="true" customHeight="false" outlineLevel="1" collapsed="false">
      <c r="A163" s="11" t="s">
        <v>2524</v>
      </c>
      <c r="B163" s="15" t="s">
        <v>2380</v>
      </c>
      <c r="C163" s="11" t="s">
        <v>748</v>
      </c>
      <c r="D163" s="50" t="str">
        <f aca="false">IFERROR(IF(OR(NOT(ISNUMBER(D162)),N(D156)=0),"",D162/D156),"")</f>
        <v/>
      </c>
      <c r="E163" s="50" t="str">
        <f aca="false">IFERROR(IF(OR(NOT(ISNUMBER(E162)),N(E156)=0),"",E162/E156),"")</f>
        <v/>
      </c>
      <c r="F163" s="50" t="str">
        <f aca="false">IFERROR(IF(OR(NOT(ISNUMBER(F162)),N(F156)=0),"",F162/F156),"")</f>
        <v/>
      </c>
      <c r="G163" s="50" t="str">
        <f aca="false">IFERROR(IF(OR(NOT(ISNUMBER(G162)),N(G156)=0),"",G162/G156),"")</f>
        <v/>
      </c>
      <c r="H163" s="50" t="str">
        <f aca="false">IFERROR(IF(OR(NOT(ISNUMBER(H162)),N(H156)=0),"",H162/H156),"")</f>
        <v/>
      </c>
      <c r="I163" s="50" t="str">
        <f aca="false">IFERROR(IF(OR(NOT(ISNUMBER(I162)),N(I156)=0),"",I162/I156),"")</f>
        <v/>
      </c>
      <c r="J163" s="50" t="str">
        <f aca="false">IFERROR(IF(OR(NOT(ISNUMBER(J162)),N(J156)=0),"",J162/J156),"")</f>
        <v/>
      </c>
      <c r="K163" s="50" t="str">
        <f aca="false">IFERROR(IF(OR(NOT(ISNUMBER(K162)),N(K156)=0),"",K162/K156),"")</f>
        <v/>
      </c>
      <c r="L163" s="50" t="str">
        <f aca="false">IFERROR(IF(OR(NOT(ISNUMBER(L162)),N(L156)=0),"",L162/L156),"")</f>
        <v/>
      </c>
      <c r="M163" s="50" t="str">
        <f aca="false">IFERROR(IF(OR(NOT(ISNUMBER(M162)),N(M156)=0),"",M162/M156),"")</f>
        <v/>
      </c>
      <c r="N163" s="50" t="str">
        <f aca="false">IFERROR(IF(OR(NOT(ISNUMBER(N162)),N(N156)=0),"",N162/N156),"")</f>
        <v/>
      </c>
      <c r="O163" s="68" t="str">
        <f aca="false">IFERROR(IF(OR(NOT(ISNUMBER(O162)),N(O156)=0),"",O162/O156),"")</f>
        <v/>
      </c>
    </row>
    <row r="164" customFormat="false" ht="15" hidden="true" customHeight="false" outlineLevel="1" collapsed="false">
      <c r="A164" s="11" t="s">
        <v>2525</v>
      </c>
      <c r="B164" s="53" t="str">
        <f aca="false">IF(INDEX(Prod_Nombre,18)="","Producto 18",INDEX(Prod_Nombre,18))&amp;" — costo directo"</f>
        <v>Producto 18 — costo directo</v>
      </c>
      <c r="C164" s="11" t="s">
        <v>508</v>
      </c>
      <c r="D164" s="48" t="n">
        <f aca="false">IF(cu_P=1,(SUMIFS(Calculo!$F$38:$ES$38,Calculo!$F$16:$ES$16,1)*N(INDEX(MP_O,18))*INDEX(IdxMP_O,1,1)*(1+P_dMat)/(1-P_Merma)+SUMIFS(Calculo!$F$38:$ES$38,Calculo!$F$16:$ES$16,1)*N(INDEX(INS_O,18))*INDEX(IdxOV_O,1,1)*(1+P_dMat)/(1-P_Merma)+SUMIFS(Calculo!$F$38:$ES$38,Calculo!$F$16:$ES$16,1)*N(INDEX(OV_O,18))*INDEX(IdxOV_O,1,1)*(1+P_dMat)/(1-P_Merma)),(SUMIFS(Calculo!$F$194:$ES$194,Calculo!$F$172:$ES$172,1)*N(INDEX(MP_V,18))*INDEX(IdxMP_V,1,1)*(1+V_dMat)/(1-V_Merma)+SUMIFS(Calculo!$F$194:$ES$194,Calculo!$F$172:$ES$172,1)*N(INDEX(INS_V,18))*INDEX(IdxOV_V,1,1)*(1+V_dMat)/(1-V_Merma)+SUMIFS(Calculo!$F$194:$ES$194,Calculo!$F$172:$ES$172,1)*N(INDEX(OV_V,18))*INDEX(IdxOV_V,1,1)*(1+V_dMat)/(1-V_Merma)))</f>
        <v>0</v>
      </c>
      <c r="E164" s="48" t="n">
        <f aca="false">IF(cu_P=1,(SUMIFS(Calculo!$F$38:$ES$38,Calculo!$F$14:$ES$14,1)*N(INDEX(MP_O,18))*INDEX(IdxMP_O,1,1)*(1+P_dMat)/(1-P_Merma)+SUMIFS(Calculo!$F$38:$ES$38,Calculo!$F$14:$ES$14,1)*N(INDEX(INS_O,18))*INDEX(IdxOV_O,1,1)*(1+P_dMat)/(1-P_Merma)+SUMIFS(Calculo!$F$38:$ES$38,Calculo!$F$14:$ES$14,1)*N(INDEX(OV_O,18))*INDEX(IdxOV_O,1,1)*(1+P_dMat)/(1-P_Merma)),(SUMIFS(Calculo!$F$194:$ES$194,Calculo!$F$170:$ES$170,1)*N(INDEX(MP_V,18))*INDEX(IdxMP_V,1,1)*(1+V_dMat)/(1-V_Merma)+SUMIFS(Calculo!$F$194:$ES$194,Calculo!$F$170:$ES$170,1)*N(INDEX(INS_V,18))*INDEX(IdxOV_V,1,1)*(1+V_dMat)/(1-V_Merma)+SUMIFS(Calculo!$F$194:$ES$194,Calculo!$F$170:$ES$170,1)*N(INDEX(OV_V,18))*INDEX(IdxOV_V,1,1)*(1+V_dMat)/(1-V_Merma)))</f>
        <v>0</v>
      </c>
      <c r="F164" s="48" t="n">
        <f aca="false">IF(cu_P=1,(SUMIFS(Calculo!$F$38:$ES$38,Calculo!$F$14:$ES$14,2)*N(INDEX(MP_O,18))*INDEX(IdxMP_O,1,2)*(1+P_dMat)/(1-P_Merma)+SUMIFS(Calculo!$F$38:$ES$38,Calculo!$F$14:$ES$14,2)*N(INDEX(INS_O,18))*INDEX(IdxOV_O,1,2)*(1+P_dMat)/(1-P_Merma)+SUMIFS(Calculo!$F$38:$ES$38,Calculo!$F$14:$ES$14,2)*N(INDEX(OV_O,18))*INDEX(IdxOV_O,1,2)*(1+P_dMat)/(1-P_Merma)),(SUMIFS(Calculo!$F$194:$ES$194,Calculo!$F$170:$ES$170,2)*N(INDEX(MP_V,18))*INDEX(IdxMP_V,1,2)*(1+V_dMat)/(1-V_Merma)+SUMIFS(Calculo!$F$194:$ES$194,Calculo!$F$170:$ES$170,2)*N(INDEX(INS_V,18))*INDEX(IdxOV_V,1,2)*(1+V_dMat)/(1-V_Merma)+SUMIFS(Calculo!$F$194:$ES$194,Calculo!$F$170:$ES$170,2)*N(INDEX(OV_V,18))*INDEX(IdxOV_V,1,2)*(1+V_dMat)/(1-V_Merma)))</f>
        <v>0</v>
      </c>
      <c r="G164" s="48" t="n">
        <f aca="false">IF(cu_P=1,(SUMIFS(Calculo!$F$38:$ES$38,Calculo!$F$14:$ES$14,3)*N(INDEX(MP_O,18))*INDEX(IdxMP_O,1,3)*(1+P_dMat)/(1-P_Merma)+SUMIFS(Calculo!$F$38:$ES$38,Calculo!$F$14:$ES$14,3)*N(INDEX(INS_O,18))*INDEX(IdxOV_O,1,3)*(1+P_dMat)/(1-P_Merma)+SUMIFS(Calculo!$F$38:$ES$38,Calculo!$F$14:$ES$14,3)*N(INDEX(OV_O,18))*INDEX(IdxOV_O,1,3)*(1+P_dMat)/(1-P_Merma)),(SUMIFS(Calculo!$F$194:$ES$194,Calculo!$F$170:$ES$170,3)*N(INDEX(MP_V,18))*INDEX(IdxMP_V,1,3)*(1+V_dMat)/(1-V_Merma)+SUMIFS(Calculo!$F$194:$ES$194,Calculo!$F$170:$ES$170,3)*N(INDEX(INS_V,18))*INDEX(IdxOV_V,1,3)*(1+V_dMat)/(1-V_Merma)+SUMIFS(Calculo!$F$194:$ES$194,Calculo!$F$170:$ES$170,3)*N(INDEX(OV_V,18))*INDEX(IdxOV_V,1,3)*(1+V_dMat)/(1-V_Merma)))</f>
        <v>0</v>
      </c>
      <c r="H164" s="48" t="n">
        <f aca="false">IF(cu_P=1,(SUMIFS(Calculo!$F$38:$ES$38,Calculo!$F$14:$ES$14,4)*N(INDEX(MP_O,18))*INDEX(IdxMP_O,1,4)*(1+P_dMat)/(1-P_Merma)+SUMIFS(Calculo!$F$38:$ES$38,Calculo!$F$14:$ES$14,4)*N(INDEX(INS_O,18))*INDEX(IdxOV_O,1,4)*(1+P_dMat)/(1-P_Merma)+SUMIFS(Calculo!$F$38:$ES$38,Calculo!$F$14:$ES$14,4)*N(INDEX(OV_O,18))*INDEX(IdxOV_O,1,4)*(1+P_dMat)/(1-P_Merma)),(SUMIFS(Calculo!$F$194:$ES$194,Calculo!$F$170:$ES$170,4)*N(INDEX(MP_V,18))*INDEX(IdxMP_V,1,4)*(1+V_dMat)/(1-V_Merma)+SUMIFS(Calculo!$F$194:$ES$194,Calculo!$F$170:$ES$170,4)*N(INDEX(INS_V,18))*INDEX(IdxOV_V,1,4)*(1+V_dMat)/(1-V_Merma)+SUMIFS(Calculo!$F$194:$ES$194,Calculo!$F$170:$ES$170,4)*N(INDEX(OV_V,18))*INDEX(IdxOV_V,1,4)*(1+V_dMat)/(1-V_Merma)))</f>
        <v>0</v>
      </c>
      <c r="I164" s="48" t="n">
        <f aca="false">IF(cu_P=1,(SUMIFS(Calculo!$F$38:$ES$38,Calculo!$F$14:$ES$14,5)*N(INDEX(MP_O,18))*INDEX(IdxMP_O,1,5)*(1+P_dMat)/(1-P_Merma)+SUMIFS(Calculo!$F$38:$ES$38,Calculo!$F$14:$ES$14,5)*N(INDEX(INS_O,18))*INDEX(IdxOV_O,1,5)*(1+P_dMat)/(1-P_Merma)+SUMIFS(Calculo!$F$38:$ES$38,Calculo!$F$14:$ES$14,5)*N(INDEX(OV_O,18))*INDEX(IdxOV_O,1,5)*(1+P_dMat)/(1-P_Merma)),(SUMIFS(Calculo!$F$194:$ES$194,Calculo!$F$170:$ES$170,5)*N(INDEX(MP_V,18))*INDEX(IdxMP_V,1,5)*(1+V_dMat)/(1-V_Merma)+SUMIFS(Calculo!$F$194:$ES$194,Calculo!$F$170:$ES$170,5)*N(INDEX(INS_V,18))*INDEX(IdxOV_V,1,5)*(1+V_dMat)/(1-V_Merma)+SUMIFS(Calculo!$F$194:$ES$194,Calculo!$F$170:$ES$170,5)*N(INDEX(OV_V,18))*INDEX(IdxOV_V,1,5)*(1+V_dMat)/(1-V_Merma)))</f>
        <v>0</v>
      </c>
      <c r="J164" s="48" t="n">
        <f aca="false">IF(cu_P=1,(SUMIFS(Calculo!$F$38:$ES$38,Calculo!$F$14:$ES$14,6)*N(INDEX(MP_O,18))*INDEX(IdxMP_O,1,6)*(1+P_dMat)/(1-P_Merma)+SUMIFS(Calculo!$F$38:$ES$38,Calculo!$F$14:$ES$14,6)*N(INDEX(INS_O,18))*INDEX(IdxOV_O,1,6)*(1+P_dMat)/(1-P_Merma)+SUMIFS(Calculo!$F$38:$ES$38,Calculo!$F$14:$ES$14,6)*N(INDEX(OV_O,18))*INDEX(IdxOV_O,1,6)*(1+P_dMat)/(1-P_Merma)),(SUMIFS(Calculo!$F$194:$ES$194,Calculo!$F$170:$ES$170,6)*N(INDEX(MP_V,18))*INDEX(IdxMP_V,1,6)*(1+V_dMat)/(1-V_Merma)+SUMIFS(Calculo!$F$194:$ES$194,Calculo!$F$170:$ES$170,6)*N(INDEX(INS_V,18))*INDEX(IdxOV_V,1,6)*(1+V_dMat)/(1-V_Merma)+SUMIFS(Calculo!$F$194:$ES$194,Calculo!$F$170:$ES$170,6)*N(INDEX(OV_V,18))*INDEX(IdxOV_V,1,6)*(1+V_dMat)/(1-V_Merma)))</f>
        <v>0</v>
      </c>
      <c r="K164" s="48" t="n">
        <f aca="false">IF(cu_P=1,(SUMIFS(Calculo!$F$38:$ES$38,Calculo!$F$14:$ES$14,7)*N(INDEX(MP_O,18))*INDEX(IdxMP_O,1,7)*(1+P_dMat)/(1-P_Merma)+SUMIFS(Calculo!$F$38:$ES$38,Calculo!$F$14:$ES$14,7)*N(INDEX(INS_O,18))*INDEX(IdxOV_O,1,7)*(1+P_dMat)/(1-P_Merma)+SUMIFS(Calculo!$F$38:$ES$38,Calculo!$F$14:$ES$14,7)*N(INDEX(OV_O,18))*INDEX(IdxOV_O,1,7)*(1+P_dMat)/(1-P_Merma)),(SUMIFS(Calculo!$F$194:$ES$194,Calculo!$F$170:$ES$170,7)*N(INDEX(MP_V,18))*INDEX(IdxMP_V,1,7)*(1+V_dMat)/(1-V_Merma)+SUMIFS(Calculo!$F$194:$ES$194,Calculo!$F$170:$ES$170,7)*N(INDEX(INS_V,18))*INDEX(IdxOV_V,1,7)*(1+V_dMat)/(1-V_Merma)+SUMIFS(Calculo!$F$194:$ES$194,Calculo!$F$170:$ES$170,7)*N(INDEX(OV_V,18))*INDEX(IdxOV_V,1,7)*(1+V_dMat)/(1-V_Merma)))</f>
        <v>0</v>
      </c>
      <c r="L164" s="48" t="n">
        <f aca="false">IF(cu_P=1,(SUMIFS(Calculo!$F$38:$ES$38,Calculo!$F$14:$ES$14,8)*N(INDEX(MP_O,18))*INDEX(IdxMP_O,1,8)*(1+P_dMat)/(1-P_Merma)+SUMIFS(Calculo!$F$38:$ES$38,Calculo!$F$14:$ES$14,8)*N(INDEX(INS_O,18))*INDEX(IdxOV_O,1,8)*(1+P_dMat)/(1-P_Merma)+SUMIFS(Calculo!$F$38:$ES$38,Calculo!$F$14:$ES$14,8)*N(INDEX(OV_O,18))*INDEX(IdxOV_O,1,8)*(1+P_dMat)/(1-P_Merma)),(SUMIFS(Calculo!$F$194:$ES$194,Calculo!$F$170:$ES$170,8)*N(INDEX(MP_V,18))*INDEX(IdxMP_V,1,8)*(1+V_dMat)/(1-V_Merma)+SUMIFS(Calculo!$F$194:$ES$194,Calculo!$F$170:$ES$170,8)*N(INDEX(INS_V,18))*INDEX(IdxOV_V,1,8)*(1+V_dMat)/(1-V_Merma)+SUMIFS(Calculo!$F$194:$ES$194,Calculo!$F$170:$ES$170,8)*N(INDEX(OV_V,18))*INDEX(IdxOV_V,1,8)*(1+V_dMat)/(1-V_Merma)))</f>
        <v>0</v>
      </c>
      <c r="M164" s="48" t="n">
        <f aca="false">IF(cu_P=1,(SUMIFS(Calculo!$F$38:$ES$38,Calculo!$F$14:$ES$14,9)*N(INDEX(MP_O,18))*INDEX(IdxMP_O,1,9)*(1+P_dMat)/(1-P_Merma)+SUMIFS(Calculo!$F$38:$ES$38,Calculo!$F$14:$ES$14,9)*N(INDEX(INS_O,18))*INDEX(IdxOV_O,1,9)*(1+P_dMat)/(1-P_Merma)+SUMIFS(Calculo!$F$38:$ES$38,Calculo!$F$14:$ES$14,9)*N(INDEX(OV_O,18))*INDEX(IdxOV_O,1,9)*(1+P_dMat)/(1-P_Merma)),(SUMIFS(Calculo!$F$194:$ES$194,Calculo!$F$170:$ES$170,9)*N(INDEX(MP_V,18))*INDEX(IdxMP_V,1,9)*(1+V_dMat)/(1-V_Merma)+SUMIFS(Calculo!$F$194:$ES$194,Calculo!$F$170:$ES$170,9)*N(INDEX(INS_V,18))*INDEX(IdxOV_V,1,9)*(1+V_dMat)/(1-V_Merma)+SUMIFS(Calculo!$F$194:$ES$194,Calculo!$F$170:$ES$170,9)*N(INDEX(OV_V,18))*INDEX(IdxOV_V,1,9)*(1+V_dMat)/(1-V_Merma)))</f>
        <v>0</v>
      </c>
      <c r="N164" s="48" t="n">
        <f aca="false">IF(cu_P=1,(SUMIFS(Calculo!$F$38:$ES$38,Calculo!$F$14:$ES$14,10)*N(INDEX(MP_O,18))*INDEX(IdxMP_O,1,10)*(1+P_dMat)/(1-P_Merma)+SUMIFS(Calculo!$F$38:$ES$38,Calculo!$F$14:$ES$14,10)*N(INDEX(INS_O,18))*INDEX(IdxOV_O,1,10)*(1+P_dMat)/(1-P_Merma)+SUMIFS(Calculo!$F$38:$ES$38,Calculo!$F$14:$ES$14,10)*N(INDEX(OV_O,18))*INDEX(IdxOV_O,1,10)*(1+P_dMat)/(1-P_Merma)),(SUMIFS(Calculo!$F$194:$ES$194,Calculo!$F$170:$ES$170,10)*N(INDEX(MP_V,18))*INDEX(IdxMP_V,1,10)*(1+V_dMat)/(1-V_Merma)+SUMIFS(Calculo!$F$194:$ES$194,Calculo!$F$170:$ES$170,10)*N(INDEX(INS_V,18))*INDEX(IdxOV_V,1,10)*(1+V_dMat)/(1-V_Merma)+SUMIFS(Calculo!$F$194:$ES$194,Calculo!$F$170:$ES$170,10)*N(INDEX(OV_V,18))*INDEX(IdxOV_V,1,10)*(1+V_dMat)/(1-V_Merma)))</f>
        <v>0</v>
      </c>
      <c r="O164" s="54" t="n">
        <f aca="false">SUM(D164:N164)</f>
        <v>0</v>
      </c>
    </row>
    <row r="165" customFormat="false" ht="15" hidden="true" customHeight="false" outlineLevel="1" collapsed="false">
      <c r="A165" s="11" t="s">
        <v>2526</v>
      </c>
      <c r="B165" s="15" t="s">
        <v>2366</v>
      </c>
      <c r="C165" s="11" t="s">
        <v>544</v>
      </c>
      <c r="D165" s="48" t="n">
        <f aca="false">IF(cu_P=1,SUMIFS(Calculo!$F$38:$ES$38,Calculo!$F$16:$ES$16,1),SUMIFS(Calculo!$F$194:$ES$194,Calculo!$F$172:$ES$172,1))</f>
        <v>0</v>
      </c>
      <c r="E165" s="48" t="n">
        <f aca="false">IF(cu_P=1,SUMIFS(Calculo!$F$38:$ES$38,Calculo!$F$14:$ES$14,1),SUMIFS(Calculo!$F$194:$ES$194,Calculo!$F$170:$ES$170,1))</f>
        <v>0</v>
      </c>
      <c r="F165" s="48" t="n">
        <f aca="false">IF(cu_P=1,SUMIFS(Calculo!$F$38:$ES$38,Calculo!$F$14:$ES$14,2),SUMIFS(Calculo!$F$194:$ES$194,Calculo!$F$170:$ES$170,2))</f>
        <v>0</v>
      </c>
      <c r="G165" s="48" t="n">
        <f aca="false">IF(cu_P=1,SUMIFS(Calculo!$F$38:$ES$38,Calculo!$F$14:$ES$14,3),SUMIFS(Calculo!$F$194:$ES$194,Calculo!$F$170:$ES$170,3))</f>
        <v>0</v>
      </c>
      <c r="H165" s="48" t="n">
        <f aca="false">IF(cu_P=1,SUMIFS(Calculo!$F$38:$ES$38,Calculo!$F$14:$ES$14,4),SUMIFS(Calculo!$F$194:$ES$194,Calculo!$F$170:$ES$170,4))</f>
        <v>0</v>
      </c>
      <c r="I165" s="48" t="n">
        <f aca="false">IF(cu_P=1,SUMIFS(Calculo!$F$38:$ES$38,Calculo!$F$14:$ES$14,5),SUMIFS(Calculo!$F$194:$ES$194,Calculo!$F$170:$ES$170,5))</f>
        <v>0</v>
      </c>
      <c r="J165" s="48" t="n">
        <f aca="false">IF(cu_P=1,SUMIFS(Calculo!$F$38:$ES$38,Calculo!$F$14:$ES$14,6),SUMIFS(Calculo!$F$194:$ES$194,Calculo!$F$170:$ES$170,6))</f>
        <v>0</v>
      </c>
      <c r="K165" s="48" t="n">
        <f aca="false">IF(cu_P=1,SUMIFS(Calculo!$F$38:$ES$38,Calculo!$F$14:$ES$14,7),SUMIFS(Calculo!$F$194:$ES$194,Calculo!$F$170:$ES$170,7))</f>
        <v>0</v>
      </c>
      <c r="L165" s="48" t="n">
        <f aca="false">IF(cu_P=1,SUMIFS(Calculo!$F$38:$ES$38,Calculo!$F$14:$ES$14,8),SUMIFS(Calculo!$F$194:$ES$194,Calculo!$F$170:$ES$170,8))</f>
        <v>0</v>
      </c>
      <c r="M165" s="48" t="n">
        <f aca="false">IF(cu_P=1,SUMIFS(Calculo!$F$38:$ES$38,Calculo!$F$14:$ES$14,9),SUMIFS(Calculo!$F$194:$ES$194,Calculo!$F$170:$ES$170,9))</f>
        <v>0</v>
      </c>
      <c r="N165" s="48" t="n">
        <f aca="false">IF(cu_P=1,SUMIFS(Calculo!$F$38:$ES$38,Calculo!$F$14:$ES$14,10),SUMIFS(Calculo!$F$194:$ES$194,Calculo!$F$170:$ES$170,10))</f>
        <v>0</v>
      </c>
      <c r="O165" s="54" t="n">
        <f aca="false">SUM(D165:N165)</f>
        <v>0</v>
      </c>
    </row>
    <row r="166" customFormat="false" ht="15" hidden="true" customHeight="false" outlineLevel="1" collapsed="false">
      <c r="A166" s="11" t="s">
        <v>2527</v>
      </c>
      <c r="B166" s="15" t="s">
        <v>2368</v>
      </c>
      <c r="C166" s="11" t="s">
        <v>508</v>
      </c>
      <c r="D166" s="48" t="n">
        <f aca="false">IF(cu_P=1,SUMIFS(Calculo!$F$63:$ES$63,Calculo!$F$16:$ES$16,1),SUMIFS(Calculo!$F$219:$ES$219,Calculo!$F$172:$ES$172,1))</f>
        <v>0</v>
      </c>
      <c r="E166" s="48" t="n">
        <f aca="false">IF(cu_P=1,SUMIFS(Calculo!$F$63:$ES$63,Calculo!$F$14:$ES$14,1),SUMIFS(Calculo!$F$219:$ES$219,Calculo!$F$170:$ES$170,1))</f>
        <v>0</v>
      </c>
      <c r="F166" s="48" t="n">
        <f aca="false">IF(cu_P=1,SUMIFS(Calculo!$F$63:$ES$63,Calculo!$F$14:$ES$14,2),SUMIFS(Calculo!$F$219:$ES$219,Calculo!$F$170:$ES$170,2))</f>
        <v>0</v>
      </c>
      <c r="G166" s="48" t="n">
        <f aca="false">IF(cu_P=1,SUMIFS(Calculo!$F$63:$ES$63,Calculo!$F$14:$ES$14,3),SUMIFS(Calculo!$F$219:$ES$219,Calculo!$F$170:$ES$170,3))</f>
        <v>0</v>
      </c>
      <c r="H166" s="48" t="n">
        <f aca="false">IF(cu_P=1,SUMIFS(Calculo!$F$63:$ES$63,Calculo!$F$14:$ES$14,4),SUMIFS(Calculo!$F$219:$ES$219,Calculo!$F$170:$ES$170,4))</f>
        <v>0</v>
      </c>
      <c r="I166" s="48" t="n">
        <f aca="false">IF(cu_P=1,SUMIFS(Calculo!$F$63:$ES$63,Calculo!$F$14:$ES$14,5),SUMIFS(Calculo!$F$219:$ES$219,Calculo!$F$170:$ES$170,5))</f>
        <v>0</v>
      </c>
      <c r="J166" s="48" t="n">
        <f aca="false">IF(cu_P=1,SUMIFS(Calculo!$F$63:$ES$63,Calculo!$F$14:$ES$14,6),SUMIFS(Calculo!$F$219:$ES$219,Calculo!$F$170:$ES$170,6))</f>
        <v>0</v>
      </c>
      <c r="K166" s="48" t="n">
        <f aca="false">IF(cu_P=1,SUMIFS(Calculo!$F$63:$ES$63,Calculo!$F$14:$ES$14,7),SUMIFS(Calculo!$F$219:$ES$219,Calculo!$F$170:$ES$170,7))</f>
        <v>0</v>
      </c>
      <c r="L166" s="48" t="n">
        <f aca="false">IF(cu_P=1,SUMIFS(Calculo!$F$63:$ES$63,Calculo!$F$14:$ES$14,8),SUMIFS(Calculo!$F$219:$ES$219,Calculo!$F$170:$ES$170,8))</f>
        <v>0</v>
      </c>
      <c r="M166" s="48" t="n">
        <f aca="false">IF(cu_P=1,SUMIFS(Calculo!$F$63:$ES$63,Calculo!$F$14:$ES$14,9),SUMIFS(Calculo!$F$219:$ES$219,Calculo!$F$170:$ES$170,9))</f>
        <v>0</v>
      </c>
      <c r="N166" s="48" t="n">
        <f aca="false">IF(cu_P=1,SUMIFS(Calculo!$F$63:$ES$63,Calculo!$F$14:$ES$14,10),SUMIFS(Calculo!$F$219:$ES$219,Calculo!$F$170:$ES$170,10))</f>
        <v>0</v>
      </c>
      <c r="O166" s="54" t="n">
        <f aca="false">SUM(D166:N166)</f>
        <v>0</v>
      </c>
    </row>
    <row r="167" customFormat="false" ht="15" hidden="true" customHeight="false" outlineLevel="1" collapsed="false">
      <c r="A167" s="11" t="s">
        <v>2528</v>
      </c>
      <c r="B167" s="15" t="s">
        <v>2370</v>
      </c>
      <c r="C167" s="11" t="s">
        <v>748</v>
      </c>
      <c r="D167" s="50" t="str">
        <f aca="false">IFERROR(IF(OR(NOT(ISNUMBER(D164)),N(D165)=0),"",D164/D165),"")</f>
        <v/>
      </c>
      <c r="E167" s="50" t="str">
        <f aca="false">IFERROR(IF(OR(NOT(ISNUMBER(E164)),N(E165)=0),"",E164/E165),"")</f>
        <v/>
      </c>
      <c r="F167" s="50" t="str">
        <f aca="false">IFERROR(IF(OR(NOT(ISNUMBER(F164)),N(F165)=0),"",F164/F165),"")</f>
        <v/>
      </c>
      <c r="G167" s="50" t="str">
        <f aca="false">IFERROR(IF(OR(NOT(ISNUMBER(G164)),N(G165)=0),"",G164/G165),"")</f>
        <v/>
      </c>
      <c r="H167" s="50" t="str">
        <f aca="false">IFERROR(IF(OR(NOT(ISNUMBER(H164)),N(H165)=0),"",H164/H165),"")</f>
        <v/>
      </c>
      <c r="I167" s="50" t="str">
        <f aca="false">IFERROR(IF(OR(NOT(ISNUMBER(I164)),N(I165)=0),"",I164/I165),"")</f>
        <v/>
      </c>
      <c r="J167" s="50" t="str">
        <f aca="false">IFERROR(IF(OR(NOT(ISNUMBER(J164)),N(J165)=0),"",J164/J165),"")</f>
        <v/>
      </c>
      <c r="K167" s="50" t="str">
        <f aca="false">IFERROR(IF(OR(NOT(ISNUMBER(K164)),N(K165)=0),"",K164/K165),"")</f>
        <v/>
      </c>
      <c r="L167" s="50" t="str">
        <f aca="false">IFERROR(IF(OR(NOT(ISNUMBER(L164)),N(L165)=0),"",L164/L165),"")</f>
        <v/>
      </c>
      <c r="M167" s="50" t="str">
        <f aca="false">IFERROR(IF(OR(NOT(ISNUMBER(M164)),N(M165)=0),"",M164/M165),"")</f>
        <v/>
      </c>
      <c r="N167" s="50" t="str">
        <f aca="false">IFERROR(IF(OR(NOT(ISNUMBER(N164)),N(N165)=0),"",N164/N165),"")</f>
        <v/>
      </c>
      <c r="O167" s="68" t="str">
        <f aca="false">IFERROR(IF(OR(NOT(ISNUMBER(O164)),N(O165)=0),"",O164/O165),"")</f>
        <v/>
      </c>
    </row>
    <row r="168" customFormat="false" ht="15" hidden="true" customHeight="false" outlineLevel="1" collapsed="false">
      <c r="A168" s="11" t="s">
        <v>2529</v>
      </c>
      <c r="B168" s="15" t="s">
        <v>2372</v>
      </c>
      <c r="C168" s="11" t="s">
        <v>748</v>
      </c>
      <c r="D168" s="50" t="str">
        <f aca="false">IFERROR(IF(N(D165)=0,"",(D166-D164)/D165),"")</f>
        <v/>
      </c>
      <c r="E168" s="50" t="str">
        <f aca="false">IFERROR(IF(N(E165)=0,"",(E166-E164)/E165),"")</f>
        <v/>
      </c>
      <c r="F168" s="50" t="str">
        <f aca="false">IFERROR(IF(N(F165)=0,"",(F166-F164)/F165),"")</f>
        <v/>
      </c>
      <c r="G168" s="50" t="str">
        <f aca="false">IFERROR(IF(N(G165)=0,"",(G166-G164)/G165),"")</f>
        <v/>
      </c>
      <c r="H168" s="50" t="str">
        <f aca="false">IFERROR(IF(N(H165)=0,"",(H166-H164)/H165),"")</f>
        <v/>
      </c>
      <c r="I168" s="50" t="str">
        <f aca="false">IFERROR(IF(N(I165)=0,"",(I166-I164)/I165),"")</f>
        <v/>
      </c>
      <c r="J168" s="50" t="str">
        <f aca="false">IFERROR(IF(N(J165)=0,"",(J166-J164)/J165),"")</f>
        <v/>
      </c>
      <c r="K168" s="50" t="str">
        <f aca="false">IFERROR(IF(N(K165)=0,"",(K166-K164)/K165),"")</f>
        <v/>
      </c>
      <c r="L168" s="50" t="str">
        <f aca="false">IFERROR(IF(N(L165)=0,"",(L166-L164)/L165),"")</f>
        <v/>
      </c>
      <c r="M168" s="50" t="str">
        <f aca="false">IFERROR(IF(N(M165)=0,"",(M166-M164)/M165),"")</f>
        <v/>
      </c>
      <c r="N168" s="50" t="str">
        <f aca="false">IFERROR(IF(N(N165)=0,"",(N166-N164)/N165),"")</f>
        <v/>
      </c>
      <c r="O168" s="68" t="str">
        <f aca="false">IFERROR(IF(N(O165)=0,"",(O166-O164)/O165),"")</f>
        <v/>
      </c>
    </row>
    <row r="169" customFormat="false" ht="15" hidden="true" customHeight="false" outlineLevel="1" collapsed="false">
      <c r="A169" s="11" t="s">
        <v>2530</v>
      </c>
      <c r="B169" s="15" t="s">
        <v>2374</v>
      </c>
      <c r="C169" s="11" t="s">
        <v>367</v>
      </c>
      <c r="D169" s="49" t="str">
        <f aca="false">IFERROR(IF(N(D166)=0,"",1-D164/D166),"")</f>
        <v/>
      </c>
      <c r="E169" s="49" t="str">
        <f aca="false">IFERROR(IF(N(E166)=0,"",1-E164/E166),"")</f>
        <v/>
      </c>
      <c r="F169" s="49" t="str">
        <f aca="false">IFERROR(IF(N(F166)=0,"",1-F164/F166),"")</f>
        <v/>
      </c>
      <c r="G169" s="49" t="str">
        <f aca="false">IFERROR(IF(N(G166)=0,"",1-G164/G166),"")</f>
        <v/>
      </c>
      <c r="H169" s="49" t="str">
        <f aca="false">IFERROR(IF(N(H166)=0,"",1-H164/H166),"")</f>
        <v/>
      </c>
      <c r="I169" s="49" t="str">
        <f aca="false">IFERROR(IF(N(I166)=0,"",1-I164/I166),"")</f>
        <v/>
      </c>
      <c r="J169" s="49" t="str">
        <f aca="false">IFERROR(IF(N(J166)=0,"",1-J164/J166),"")</f>
        <v/>
      </c>
      <c r="K169" s="49" t="str">
        <f aca="false">IFERROR(IF(N(K166)=0,"",1-K164/K166),"")</f>
        <v/>
      </c>
      <c r="L169" s="49" t="str">
        <f aca="false">IFERROR(IF(N(L166)=0,"",1-L164/L166),"")</f>
        <v/>
      </c>
      <c r="M169" s="49" t="str">
        <f aca="false">IFERROR(IF(N(M166)=0,"",1-M164/M166),"")</f>
        <v/>
      </c>
      <c r="N169" s="49" t="str">
        <f aca="false">IFERROR(IF(N(N166)=0,"",1-N164/N166),"")</f>
        <v/>
      </c>
      <c r="O169" s="99" t="str">
        <f aca="false">IFERROR(IF(N(O166)=0,"",1-O164/O166),"")</f>
        <v/>
      </c>
    </row>
    <row r="170" customFormat="false" ht="15" hidden="true" customHeight="false" outlineLevel="1" collapsed="false">
      <c r="A170" s="11" t="s">
        <v>2531</v>
      </c>
      <c r="B170" s="15" t="s">
        <v>2376</v>
      </c>
      <c r="C170" s="11" t="s">
        <v>508</v>
      </c>
      <c r="D170" s="48" t="str">
        <f aca="false">IFERROR(IF(OR(NOT(ISNUMBER(D164)),N(D9)=0),"",D10*D164/D9),"")</f>
        <v/>
      </c>
      <c r="E170" s="48" t="n">
        <f aca="false">IFERROR(IF(OR(NOT(ISNUMBER(E164)),N(E9)=0),"",E10*E164/E9),"")</f>
        <v>0</v>
      </c>
      <c r="F170" s="48" t="n">
        <f aca="false">IFERROR(IF(OR(NOT(ISNUMBER(F164)),N(F9)=0),"",F10*F164/F9),"")</f>
        <v>0</v>
      </c>
      <c r="G170" s="48" t="n">
        <f aca="false">IFERROR(IF(OR(NOT(ISNUMBER(G164)),N(G9)=0),"",G10*G164/G9),"")</f>
        <v>0</v>
      </c>
      <c r="H170" s="48" t="n">
        <f aca="false">IFERROR(IF(OR(NOT(ISNUMBER(H164)),N(H9)=0),"",H10*H164/H9),"")</f>
        <v>0</v>
      </c>
      <c r="I170" s="48" t="n">
        <f aca="false">IFERROR(IF(OR(NOT(ISNUMBER(I164)),N(I9)=0),"",I10*I164/I9),"")</f>
        <v>0</v>
      </c>
      <c r="J170" s="48" t="n">
        <f aca="false">IFERROR(IF(OR(NOT(ISNUMBER(J164)),N(J9)=0),"",J10*J164/J9),"")</f>
        <v>0</v>
      </c>
      <c r="K170" s="48" t="n">
        <f aca="false">IFERROR(IF(OR(NOT(ISNUMBER(K164)),N(K9)=0),"",K10*K164/K9),"")</f>
        <v>0</v>
      </c>
      <c r="L170" s="48" t="n">
        <f aca="false">IFERROR(IF(OR(NOT(ISNUMBER(L164)),N(L9)=0),"",L10*L164/L9),"")</f>
        <v>0</v>
      </c>
      <c r="M170" s="48" t="n">
        <f aca="false">IFERROR(IF(OR(NOT(ISNUMBER(M164)),N(M9)=0),"",M10*M164/M9),"")</f>
        <v>0</v>
      </c>
      <c r="N170" s="48" t="n">
        <f aca="false">IFERROR(IF(OR(NOT(ISNUMBER(N164)),N(N9)=0),"",N10*N164/N9),"")</f>
        <v>0</v>
      </c>
      <c r="O170" s="54" t="n">
        <f aca="false">SUM(D170:N170)</f>
        <v>0</v>
      </c>
    </row>
    <row r="171" customFormat="false" ht="15" hidden="true" customHeight="false" outlineLevel="1" collapsed="false">
      <c r="A171" s="11" t="s">
        <v>2532</v>
      </c>
      <c r="B171" s="15" t="s">
        <v>2378</v>
      </c>
      <c r="C171" s="11" t="s">
        <v>508</v>
      </c>
      <c r="D171" s="48" t="n">
        <f aca="false">IFERROR(IF(COUNT(D164,D170)=0,"",N(D164)+N(D170)),"")</f>
        <v>0</v>
      </c>
      <c r="E171" s="48" t="n">
        <f aca="false">IFERROR(IF(COUNT(E164,E170)=0,"",N(E164)+N(E170)),"")</f>
        <v>0</v>
      </c>
      <c r="F171" s="48" t="n">
        <f aca="false">IFERROR(IF(COUNT(F164,F170)=0,"",N(F164)+N(F170)),"")</f>
        <v>0</v>
      </c>
      <c r="G171" s="48" t="n">
        <f aca="false">IFERROR(IF(COUNT(G164,G170)=0,"",N(G164)+N(G170)),"")</f>
        <v>0</v>
      </c>
      <c r="H171" s="48" t="n">
        <f aca="false">IFERROR(IF(COUNT(H164,H170)=0,"",N(H164)+N(H170)),"")</f>
        <v>0</v>
      </c>
      <c r="I171" s="48" t="n">
        <f aca="false">IFERROR(IF(COUNT(I164,I170)=0,"",N(I164)+N(I170)),"")</f>
        <v>0</v>
      </c>
      <c r="J171" s="48" t="n">
        <f aca="false">IFERROR(IF(COUNT(J164,J170)=0,"",N(J164)+N(J170)),"")</f>
        <v>0</v>
      </c>
      <c r="K171" s="48" t="n">
        <f aca="false">IFERROR(IF(COUNT(K164,K170)=0,"",N(K164)+N(K170)),"")</f>
        <v>0</v>
      </c>
      <c r="L171" s="48" t="n">
        <f aca="false">IFERROR(IF(COUNT(L164,L170)=0,"",N(L164)+N(L170)),"")</f>
        <v>0</v>
      </c>
      <c r="M171" s="48" t="n">
        <f aca="false">IFERROR(IF(COUNT(M164,M170)=0,"",N(M164)+N(M170)),"")</f>
        <v>0</v>
      </c>
      <c r="N171" s="48" t="n">
        <f aca="false">IFERROR(IF(COUNT(N164,N170)=0,"",N(N164)+N(N170)),"")</f>
        <v>0</v>
      </c>
      <c r="O171" s="54" t="n">
        <f aca="false">SUM(D171:N171)</f>
        <v>0</v>
      </c>
    </row>
    <row r="172" customFormat="false" ht="15" hidden="true" customHeight="false" outlineLevel="1" collapsed="false">
      <c r="A172" s="11" t="s">
        <v>2533</v>
      </c>
      <c r="B172" s="15" t="s">
        <v>2380</v>
      </c>
      <c r="C172" s="11" t="s">
        <v>748</v>
      </c>
      <c r="D172" s="50" t="str">
        <f aca="false">IFERROR(IF(OR(NOT(ISNUMBER(D171)),N(D165)=0),"",D171/D165),"")</f>
        <v/>
      </c>
      <c r="E172" s="50" t="str">
        <f aca="false">IFERROR(IF(OR(NOT(ISNUMBER(E171)),N(E165)=0),"",E171/E165),"")</f>
        <v/>
      </c>
      <c r="F172" s="50" t="str">
        <f aca="false">IFERROR(IF(OR(NOT(ISNUMBER(F171)),N(F165)=0),"",F171/F165),"")</f>
        <v/>
      </c>
      <c r="G172" s="50" t="str">
        <f aca="false">IFERROR(IF(OR(NOT(ISNUMBER(G171)),N(G165)=0),"",G171/G165),"")</f>
        <v/>
      </c>
      <c r="H172" s="50" t="str">
        <f aca="false">IFERROR(IF(OR(NOT(ISNUMBER(H171)),N(H165)=0),"",H171/H165),"")</f>
        <v/>
      </c>
      <c r="I172" s="50" t="str">
        <f aca="false">IFERROR(IF(OR(NOT(ISNUMBER(I171)),N(I165)=0),"",I171/I165),"")</f>
        <v/>
      </c>
      <c r="J172" s="50" t="str">
        <f aca="false">IFERROR(IF(OR(NOT(ISNUMBER(J171)),N(J165)=0),"",J171/J165),"")</f>
        <v/>
      </c>
      <c r="K172" s="50" t="str">
        <f aca="false">IFERROR(IF(OR(NOT(ISNUMBER(K171)),N(K165)=0),"",K171/K165),"")</f>
        <v/>
      </c>
      <c r="L172" s="50" t="str">
        <f aca="false">IFERROR(IF(OR(NOT(ISNUMBER(L171)),N(L165)=0),"",L171/L165),"")</f>
        <v/>
      </c>
      <c r="M172" s="50" t="str">
        <f aca="false">IFERROR(IF(OR(NOT(ISNUMBER(M171)),N(M165)=0),"",M171/M165),"")</f>
        <v/>
      </c>
      <c r="N172" s="50" t="str">
        <f aca="false">IFERROR(IF(OR(NOT(ISNUMBER(N171)),N(N165)=0),"",N171/N165),"")</f>
        <v/>
      </c>
      <c r="O172" s="68" t="str">
        <f aca="false">IFERROR(IF(OR(NOT(ISNUMBER(O171)),N(O165)=0),"",O171/O165),"")</f>
        <v/>
      </c>
    </row>
    <row r="173" customFormat="false" ht="15" hidden="true" customHeight="false" outlineLevel="1" collapsed="false">
      <c r="A173" s="11" t="s">
        <v>2534</v>
      </c>
      <c r="B173" s="53" t="str">
        <f aca="false">IF(INDEX(Prod_Nombre,19)="","Producto 19",INDEX(Prod_Nombre,19))&amp;" — costo directo"</f>
        <v>Producto 19 — costo directo</v>
      </c>
      <c r="C173" s="11" t="s">
        <v>508</v>
      </c>
      <c r="D173" s="48" t="n">
        <f aca="false">IF(cu_P=1,(SUMIFS(Calculo!$F$39:$ES$39,Calculo!$F$16:$ES$16,1)*N(INDEX(MP_O,19))*INDEX(IdxMP_O,1,1)*(1+P_dMat)/(1-P_Merma)+SUMIFS(Calculo!$F$39:$ES$39,Calculo!$F$16:$ES$16,1)*N(INDEX(INS_O,19))*INDEX(IdxOV_O,1,1)*(1+P_dMat)/(1-P_Merma)+SUMIFS(Calculo!$F$39:$ES$39,Calculo!$F$16:$ES$16,1)*N(INDEX(OV_O,19))*INDEX(IdxOV_O,1,1)*(1+P_dMat)/(1-P_Merma)),(SUMIFS(Calculo!$F$195:$ES$195,Calculo!$F$172:$ES$172,1)*N(INDEX(MP_V,19))*INDEX(IdxMP_V,1,1)*(1+V_dMat)/(1-V_Merma)+SUMIFS(Calculo!$F$195:$ES$195,Calculo!$F$172:$ES$172,1)*N(INDEX(INS_V,19))*INDEX(IdxOV_V,1,1)*(1+V_dMat)/(1-V_Merma)+SUMIFS(Calculo!$F$195:$ES$195,Calculo!$F$172:$ES$172,1)*N(INDEX(OV_V,19))*INDEX(IdxOV_V,1,1)*(1+V_dMat)/(1-V_Merma)))</f>
        <v>0</v>
      </c>
      <c r="E173" s="48" t="n">
        <f aca="false">IF(cu_P=1,(SUMIFS(Calculo!$F$39:$ES$39,Calculo!$F$14:$ES$14,1)*N(INDEX(MP_O,19))*INDEX(IdxMP_O,1,1)*(1+P_dMat)/(1-P_Merma)+SUMIFS(Calculo!$F$39:$ES$39,Calculo!$F$14:$ES$14,1)*N(INDEX(INS_O,19))*INDEX(IdxOV_O,1,1)*(1+P_dMat)/(1-P_Merma)+SUMIFS(Calculo!$F$39:$ES$39,Calculo!$F$14:$ES$14,1)*N(INDEX(OV_O,19))*INDEX(IdxOV_O,1,1)*(1+P_dMat)/(1-P_Merma)),(SUMIFS(Calculo!$F$195:$ES$195,Calculo!$F$170:$ES$170,1)*N(INDEX(MP_V,19))*INDEX(IdxMP_V,1,1)*(1+V_dMat)/(1-V_Merma)+SUMIFS(Calculo!$F$195:$ES$195,Calculo!$F$170:$ES$170,1)*N(INDEX(INS_V,19))*INDEX(IdxOV_V,1,1)*(1+V_dMat)/(1-V_Merma)+SUMIFS(Calculo!$F$195:$ES$195,Calculo!$F$170:$ES$170,1)*N(INDEX(OV_V,19))*INDEX(IdxOV_V,1,1)*(1+V_dMat)/(1-V_Merma)))</f>
        <v>0</v>
      </c>
      <c r="F173" s="48" t="n">
        <f aca="false">IF(cu_P=1,(SUMIFS(Calculo!$F$39:$ES$39,Calculo!$F$14:$ES$14,2)*N(INDEX(MP_O,19))*INDEX(IdxMP_O,1,2)*(1+P_dMat)/(1-P_Merma)+SUMIFS(Calculo!$F$39:$ES$39,Calculo!$F$14:$ES$14,2)*N(INDEX(INS_O,19))*INDEX(IdxOV_O,1,2)*(1+P_dMat)/(1-P_Merma)+SUMIFS(Calculo!$F$39:$ES$39,Calculo!$F$14:$ES$14,2)*N(INDEX(OV_O,19))*INDEX(IdxOV_O,1,2)*(1+P_dMat)/(1-P_Merma)),(SUMIFS(Calculo!$F$195:$ES$195,Calculo!$F$170:$ES$170,2)*N(INDEX(MP_V,19))*INDEX(IdxMP_V,1,2)*(1+V_dMat)/(1-V_Merma)+SUMIFS(Calculo!$F$195:$ES$195,Calculo!$F$170:$ES$170,2)*N(INDEX(INS_V,19))*INDEX(IdxOV_V,1,2)*(1+V_dMat)/(1-V_Merma)+SUMIFS(Calculo!$F$195:$ES$195,Calculo!$F$170:$ES$170,2)*N(INDEX(OV_V,19))*INDEX(IdxOV_V,1,2)*(1+V_dMat)/(1-V_Merma)))</f>
        <v>0</v>
      </c>
      <c r="G173" s="48" t="n">
        <f aca="false">IF(cu_P=1,(SUMIFS(Calculo!$F$39:$ES$39,Calculo!$F$14:$ES$14,3)*N(INDEX(MP_O,19))*INDEX(IdxMP_O,1,3)*(1+P_dMat)/(1-P_Merma)+SUMIFS(Calculo!$F$39:$ES$39,Calculo!$F$14:$ES$14,3)*N(INDEX(INS_O,19))*INDEX(IdxOV_O,1,3)*(1+P_dMat)/(1-P_Merma)+SUMIFS(Calculo!$F$39:$ES$39,Calculo!$F$14:$ES$14,3)*N(INDEX(OV_O,19))*INDEX(IdxOV_O,1,3)*(1+P_dMat)/(1-P_Merma)),(SUMIFS(Calculo!$F$195:$ES$195,Calculo!$F$170:$ES$170,3)*N(INDEX(MP_V,19))*INDEX(IdxMP_V,1,3)*(1+V_dMat)/(1-V_Merma)+SUMIFS(Calculo!$F$195:$ES$195,Calculo!$F$170:$ES$170,3)*N(INDEX(INS_V,19))*INDEX(IdxOV_V,1,3)*(1+V_dMat)/(1-V_Merma)+SUMIFS(Calculo!$F$195:$ES$195,Calculo!$F$170:$ES$170,3)*N(INDEX(OV_V,19))*INDEX(IdxOV_V,1,3)*(1+V_dMat)/(1-V_Merma)))</f>
        <v>0</v>
      </c>
      <c r="H173" s="48" t="n">
        <f aca="false">IF(cu_P=1,(SUMIFS(Calculo!$F$39:$ES$39,Calculo!$F$14:$ES$14,4)*N(INDEX(MP_O,19))*INDEX(IdxMP_O,1,4)*(1+P_dMat)/(1-P_Merma)+SUMIFS(Calculo!$F$39:$ES$39,Calculo!$F$14:$ES$14,4)*N(INDEX(INS_O,19))*INDEX(IdxOV_O,1,4)*(1+P_dMat)/(1-P_Merma)+SUMIFS(Calculo!$F$39:$ES$39,Calculo!$F$14:$ES$14,4)*N(INDEX(OV_O,19))*INDEX(IdxOV_O,1,4)*(1+P_dMat)/(1-P_Merma)),(SUMIFS(Calculo!$F$195:$ES$195,Calculo!$F$170:$ES$170,4)*N(INDEX(MP_V,19))*INDEX(IdxMP_V,1,4)*(1+V_dMat)/(1-V_Merma)+SUMIFS(Calculo!$F$195:$ES$195,Calculo!$F$170:$ES$170,4)*N(INDEX(INS_V,19))*INDEX(IdxOV_V,1,4)*(1+V_dMat)/(1-V_Merma)+SUMIFS(Calculo!$F$195:$ES$195,Calculo!$F$170:$ES$170,4)*N(INDEX(OV_V,19))*INDEX(IdxOV_V,1,4)*(1+V_dMat)/(1-V_Merma)))</f>
        <v>0</v>
      </c>
      <c r="I173" s="48" t="n">
        <f aca="false">IF(cu_P=1,(SUMIFS(Calculo!$F$39:$ES$39,Calculo!$F$14:$ES$14,5)*N(INDEX(MP_O,19))*INDEX(IdxMP_O,1,5)*(1+P_dMat)/(1-P_Merma)+SUMIFS(Calculo!$F$39:$ES$39,Calculo!$F$14:$ES$14,5)*N(INDEX(INS_O,19))*INDEX(IdxOV_O,1,5)*(1+P_dMat)/(1-P_Merma)+SUMIFS(Calculo!$F$39:$ES$39,Calculo!$F$14:$ES$14,5)*N(INDEX(OV_O,19))*INDEX(IdxOV_O,1,5)*(1+P_dMat)/(1-P_Merma)),(SUMIFS(Calculo!$F$195:$ES$195,Calculo!$F$170:$ES$170,5)*N(INDEX(MP_V,19))*INDEX(IdxMP_V,1,5)*(1+V_dMat)/(1-V_Merma)+SUMIFS(Calculo!$F$195:$ES$195,Calculo!$F$170:$ES$170,5)*N(INDEX(INS_V,19))*INDEX(IdxOV_V,1,5)*(1+V_dMat)/(1-V_Merma)+SUMIFS(Calculo!$F$195:$ES$195,Calculo!$F$170:$ES$170,5)*N(INDEX(OV_V,19))*INDEX(IdxOV_V,1,5)*(1+V_dMat)/(1-V_Merma)))</f>
        <v>0</v>
      </c>
      <c r="J173" s="48" t="n">
        <f aca="false">IF(cu_P=1,(SUMIFS(Calculo!$F$39:$ES$39,Calculo!$F$14:$ES$14,6)*N(INDEX(MP_O,19))*INDEX(IdxMP_O,1,6)*(1+P_dMat)/(1-P_Merma)+SUMIFS(Calculo!$F$39:$ES$39,Calculo!$F$14:$ES$14,6)*N(INDEX(INS_O,19))*INDEX(IdxOV_O,1,6)*(1+P_dMat)/(1-P_Merma)+SUMIFS(Calculo!$F$39:$ES$39,Calculo!$F$14:$ES$14,6)*N(INDEX(OV_O,19))*INDEX(IdxOV_O,1,6)*(1+P_dMat)/(1-P_Merma)),(SUMIFS(Calculo!$F$195:$ES$195,Calculo!$F$170:$ES$170,6)*N(INDEX(MP_V,19))*INDEX(IdxMP_V,1,6)*(1+V_dMat)/(1-V_Merma)+SUMIFS(Calculo!$F$195:$ES$195,Calculo!$F$170:$ES$170,6)*N(INDEX(INS_V,19))*INDEX(IdxOV_V,1,6)*(1+V_dMat)/(1-V_Merma)+SUMIFS(Calculo!$F$195:$ES$195,Calculo!$F$170:$ES$170,6)*N(INDEX(OV_V,19))*INDEX(IdxOV_V,1,6)*(1+V_dMat)/(1-V_Merma)))</f>
        <v>0</v>
      </c>
      <c r="K173" s="48" t="n">
        <f aca="false">IF(cu_P=1,(SUMIFS(Calculo!$F$39:$ES$39,Calculo!$F$14:$ES$14,7)*N(INDEX(MP_O,19))*INDEX(IdxMP_O,1,7)*(1+P_dMat)/(1-P_Merma)+SUMIFS(Calculo!$F$39:$ES$39,Calculo!$F$14:$ES$14,7)*N(INDEX(INS_O,19))*INDEX(IdxOV_O,1,7)*(1+P_dMat)/(1-P_Merma)+SUMIFS(Calculo!$F$39:$ES$39,Calculo!$F$14:$ES$14,7)*N(INDEX(OV_O,19))*INDEX(IdxOV_O,1,7)*(1+P_dMat)/(1-P_Merma)),(SUMIFS(Calculo!$F$195:$ES$195,Calculo!$F$170:$ES$170,7)*N(INDEX(MP_V,19))*INDEX(IdxMP_V,1,7)*(1+V_dMat)/(1-V_Merma)+SUMIFS(Calculo!$F$195:$ES$195,Calculo!$F$170:$ES$170,7)*N(INDEX(INS_V,19))*INDEX(IdxOV_V,1,7)*(1+V_dMat)/(1-V_Merma)+SUMIFS(Calculo!$F$195:$ES$195,Calculo!$F$170:$ES$170,7)*N(INDEX(OV_V,19))*INDEX(IdxOV_V,1,7)*(1+V_dMat)/(1-V_Merma)))</f>
        <v>0</v>
      </c>
      <c r="L173" s="48" t="n">
        <f aca="false">IF(cu_P=1,(SUMIFS(Calculo!$F$39:$ES$39,Calculo!$F$14:$ES$14,8)*N(INDEX(MP_O,19))*INDEX(IdxMP_O,1,8)*(1+P_dMat)/(1-P_Merma)+SUMIFS(Calculo!$F$39:$ES$39,Calculo!$F$14:$ES$14,8)*N(INDEX(INS_O,19))*INDEX(IdxOV_O,1,8)*(1+P_dMat)/(1-P_Merma)+SUMIFS(Calculo!$F$39:$ES$39,Calculo!$F$14:$ES$14,8)*N(INDEX(OV_O,19))*INDEX(IdxOV_O,1,8)*(1+P_dMat)/(1-P_Merma)),(SUMIFS(Calculo!$F$195:$ES$195,Calculo!$F$170:$ES$170,8)*N(INDEX(MP_V,19))*INDEX(IdxMP_V,1,8)*(1+V_dMat)/(1-V_Merma)+SUMIFS(Calculo!$F$195:$ES$195,Calculo!$F$170:$ES$170,8)*N(INDEX(INS_V,19))*INDEX(IdxOV_V,1,8)*(1+V_dMat)/(1-V_Merma)+SUMIFS(Calculo!$F$195:$ES$195,Calculo!$F$170:$ES$170,8)*N(INDEX(OV_V,19))*INDEX(IdxOV_V,1,8)*(1+V_dMat)/(1-V_Merma)))</f>
        <v>0</v>
      </c>
      <c r="M173" s="48" t="n">
        <f aca="false">IF(cu_P=1,(SUMIFS(Calculo!$F$39:$ES$39,Calculo!$F$14:$ES$14,9)*N(INDEX(MP_O,19))*INDEX(IdxMP_O,1,9)*(1+P_dMat)/(1-P_Merma)+SUMIFS(Calculo!$F$39:$ES$39,Calculo!$F$14:$ES$14,9)*N(INDEX(INS_O,19))*INDEX(IdxOV_O,1,9)*(1+P_dMat)/(1-P_Merma)+SUMIFS(Calculo!$F$39:$ES$39,Calculo!$F$14:$ES$14,9)*N(INDEX(OV_O,19))*INDEX(IdxOV_O,1,9)*(1+P_dMat)/(1-P_Merma)),(SUMIFS(Calculo!$F$195:$ES$195,Calculo!$F$170:$ES$170,9)*N(INDEX(MP_V,19))*INDEX(IdxMP_V,1,9)*(1+V_dMat)/(1-V_Merma)+SUMIFS(Calculo!$F$195:$ES$195,Calculo!$F$170:$ES$170,9)*N(INDEX(INS_V,19))*INDEX(IdxOV_V,1,9)*(1+V_dMat)/(1-V_Merma)+SUMIFS(Calculo!$F$195:$ES$195,Calculo!$F$170:$ES$170,9)*N(INDEX(OV_V,19))*INDEX(IdxOV_V,1,9)*(1+V_dMat)/(1-V_Merma)))</f>
        <v>0</v>
      </c>
      <c r="N173" s="48" t="n">
        <f aca="false">IF(cu_P=1,(SUMIFS(Calculo!$F$39:$ES$39,Calculo!$F$14:$ES$14,10)*N(INDEX(MP_O,19))*INDEX(IdxMP_O,1,10)*(1+P_dMat)/(1-P_Merma)+SUMIFS(Calculo!$F$39:$ES$39,Calculo!$F$14:$ES$14,10)*N(INDEX(INS_O,19))*INDEX(IdxOV_O,1,10)*(1+P_dMat)/(1-P_Merma)+SUMIFS(Calculo!$F$39:$ES$39,Calculo!$F$14:$ES$14,10)*N(INDEX(OV_O,19))*INDEX(IdxOV_O,1,10)*(1+P_dMat)/(1-P_Merma)),(SUMIFS(Calculo!$F$195:$ES$195,Calculo!$F$170:$ES$170,10)*N(INDEX(MP_V,19))*INDEX(IdxMP_V,1,10)*(1+V_dMat)/(1-V_Merma)+SUMIFS(Calculo!$F$195:$ES$195,Calculo!$F$170:$ES$170,10)*N(INDEX(INS_V,19))*INDEX(IdxOV_V,1,10)*(1+V_dMat)/(1-V_Merma)+SUMIFS(Calculo!$F$195:$ES$195,Calculo!$F$170:$ES$170,10)*N(INDEX(OV_V,19))*INDEX(IdxOV_V,1,10)*(1+V_dMat)/(1-V_Merma)))</f>
        <v>0</v>
      </c>
      <c r="O173" s="54" t="n">
        <f aca="false">SUM(D173:N173)</f>
        <v>0</v>
      </c>
    </row>
    <row r="174" customFormat="false" ht="15" hidden="true" customHeight="false" outlineLevel="1" collapsed="false">
      <c r="A174" s="11" t="s">
        <v>2535</v>
      </c>
      <c r="B174" s="15" t="s">
        <v>2366</v>
      </c>
      <c r="C174" s="11" t="s">
        <v>544</v>
      </c>
      <c r="D174" s="48" t="n">
        <f aca="false">IF(cu_P=1,SUMIFS(Calculo!$F$39:$ES$39,Calculo!$F$16:$ES$16,1),SUMIFS(Calculo!$F$195:$ES$195,Calculo!$F$172:$ES$172,1))</f>
        <v>0</v>
      </c>
      <c r="E174" s="48" t="n">
        <f aca="false">IF(cu_P=1,SUMIFS(Calculo!$F$39:$ES$39,Calculo!$F$14:$ES$14,1),SUMIFS(Calculo!$F$195:$ES$195,Calculo!$F$170:$ES$170,1))</f>
        <v>0</v>
      </c>
      <c r="F174" s="48" t="n">
        <f aca="false">IF(cu_P=1,SUMIFS(Calculo!$F$39:$ES$39,Calculo!$F$14:$ES$14,2),SUMIFS(Calculo!$F$195:$ES$195,Calculo!$F$170:$ES$170,2))</f>
        <v>0</v>
      </c>
      <c r="G174" s="48" t="n">
        <f aca="false">IF(cu_P=1,SUMIFS(Calculo!$F$39:$ES$39,Calculo!$F$14:$ES$14,3),SUMIFS(Calculo!$F$195:$ES$195,Calculo!$F$170:$ES$170,3))</f>
        <v>0</v>
      </c>
      <c r="H174" s="48" t="n">
        <f aca="false">IF(cu_P=1,SUMIFS(Calculo!$F$39:$ES$39,Calculo!$F$14:$ES$14,4),SUMIFS(Calculo!$F$195:$ES$195,Calculo!$F$170:$ES$170,4))</f>
        <v>0</v>
      </c>
      <c r="I174" s="48" t="n">
        <f aca="false">IF(cu_P=1,SUMIFS(Calculo!$F$39:$ES$39,Calculo!$F$14:$ES$14,5),SUMIFS(Calculo!$F$195:$ES$195,Calculo!$F$170:$ES$170,5))</f>
        <v>0</v>
      </c>
      <c r="J174" s="48" t="n">
        <f aca="false">IF(cu_P=1,SUMIFS(Calculo!$F$39:$ES$39,Calculo!$F$14:$ES$14,6),SUMIFS(Calculo!$F$195:$ES$195,Calculo!$F$170:$ES$170,6))</f>
        <v>0</v>
      </c>
      <c r="K174" s="48" t="n">
        <f aca="false">IF(cu_P=1,SUMIFS(Calculo!$F$39:$ES$39,Calculo!$F$14:$ES$14,7),SUMIFS(Calculo!$F$195:$ES$195,Calculo!$F$170:$ES$170,7))</f>
        <v>0</v>
      </c>
      <c r="L174" s="48" t="n">
        <f aca="false">IF(cu_P=1,SUMIFS(Calculo!$F$39:$ES$39,Calculo!$F$14:$ES$14,8),SUMIFS(Calculo!$F$195:$ES$195,Calculo!$F$170:$ES$170,8))</f>
        <v>0</v>
      </c>
      <c r="M174" s="48" t="n">
        <f aca="false">IF(cu_P=1,SUMIFS(Calculo!$F$39:$ES$39,Calculo!$F$14:$ES$14,9),SUMIFS(Calculo!$F$195:$ES$195,Calculo!$F$170:$ES$170,9))</f>
        <v>0</v>
      </c>
      <c r="N174" s="48" t="n">
        <f aca="false">IF(cu_P=1,SUMIFS(Calculo!$F$39:$ES$39,Calculo!$F$14:$ES$14,10),SUMIFS(Calculo!$F$195:$ES$195,Calculo!$F$170:$ES$170,10))</f>
        <v>0</v>
      </c>
      <c r="O174" s="54" t="n">
        <f aca="false">SUM(D174:N174)</f>
        <v>0</v>
      </c>
    </row>
    <row r="175" customFormat="false" ht="15" hidden="true" customHeight="false" outlineLevel="1" collapsed="false">
      <c r="A175" s="11" t="s">
        <v>2536</v>
      </c>
      <c r="B175" s="15" t="s">
        <v>2368</v>
      </c>
      <c r="C175" s="11" t="s">
        <v>508</v>
      </c>
      <c r="D175" s="48" t="n">
        <f aca="false">IF(cu_P=1,SUMIFS(Calculo!$F$64:$ES$64,Calculo!$F$16:$ES$16,1),SUMIFS(Calculo!$F$220:$ES$220,Calculo!$F$172:$ES$172,1))</f>
        <v>0</v>
      </c>
      <c r="E175" s="48" t="n">
        <f aca="false">IF(cu_P=1,SUMIFS(Calculo!$F$64:$ES$64,Calculo!$F$14:$ES$14,1),SUMIFS(Calculo!$F$220:$ES$220,Calculo!$F$170:$ES$170,1))</f>
        <v>0</v>
      </c>
      <c r="F175" s="48" t="n">
        <f aca="false">IF(cu_P=1,SUMIFS(Calculo!$F$64:$ES$64,Calculo!$F$14:$ES$14,2),SUMIFS(Calculo!$F$220:$ES$220,Calculo!$F$170:$ES$170,2))</f>
        <v>0</v>
      </c>
      <c r="G175" s="48" t="n">
        <f aca="false">IF(cu_P=1,SUMIFS(Calculo!$F$64:$ES$64,Calculo!$F$14:$ES$14,3),SUMIFS(Calculo!$F$220:$ES$220,Calculo!$F$170:$ES$170,3))</f>
        <v>0</v>
      </c>
      <c r="H175" s="48" t="n">
        <f aca="false">IF(cu_P=1,SUMIFS(Calculo!$F$64:$ES$64,Calculo!$F$14:$ES$14,4),SUMIFS(Calculo!$F$220:$ES$220,Calculo!$F$170:$ES$170,4))</f>
        <v>0</v>
      </c>
      <c r="I175" s="48" t="n">
        <f aca="false">IF(cu_P=1,SUMIFS(Calculo!$F$64:$ES$64,Calculo!$F$14:$ES$14,5),SUMIFS(Calculo!$F$220:$ES$220,Calculo!$F$170:$ES$170,5))</f>
        <v>0</v>
      </c>
      <c r="J175" s="48" t="n">
        <f aca="false">IF(cu_P=1,SUMIFS(Calculo!$F$64:$ES$64,Calculo!$F$14:$ES$14,6),SUMIFS(Calculo!$F$220:$ES$220,Calculo!$F$170:$ES$170,6))</f>
        <v>0</v>
      </c>
      <c r="K175" s="48" t="n">
        <f aca="false">IF(cu_P=1,SUMIFS(Calculo!$F$64:$ES$64,Calculo!$F$14:$ES$14,7),SUMIFS(Calculo!$F$220:$ES$220,Calculo!$F$170:$ES$170,7))</f>
        <v>0</v>
      </c>
      <c r="L175" s="48" t="n">
        <f aca="false">IF(cu_P=1,SUMIFS(Calculo!$F$64:$ES$64,Calculo!$F$14:$ES$14,8),SUMIFS(Calculo!$F$220:$ES$220,Calculo!$F$170:$ES$170,8))</f>
        <v>0</v>
      </c>
      <c r="M175" s="48" t="n">
        <f aca="false">IF(cu_P=1,SUMIFS(Calculo!$F$64:$ES$64,Calculo!$F$14:$ES$14,9),SUMIFS(Calculo!$F$220:$ES$220,Calculo!$F$170:$ES$170,9))</f>
        <v>0</v>
      </c>
      <c r="N175" s="48" t="n">
        <f aca="false">IF(cu_P=1,SUMIFS(Calculo!$F$64:$ES$64,Calculo!$F$14:$ES$14,10),SUMIFS(Calculo!$F$220:$ES$220,Calculo!$F$170:$ES$170,10))</f>
        <v>0</v>
      </c>
      <c r="O175" s="54" t="n">
        <f aca="false">SUM(D175:N175)</f>
        <v>0</v>
      </c>
    </row>
    <row r="176" customFormat="false" ht="15" hidden="true" customHeight="false" outlineLevel="1" collapsed="false">
      <c r="A176" s="11" t="s">
        <v>2537</v>
      </c>
      <c r="B176" s="15" t="s">
        <v>2370</v>
      </c>
      <c r="C176" s="11" t="s">
        <v>748</v>
      </c>
      <c r="D176" s="50" t="str">
        <f aca="false">IFERROR(IF(OR(NOT(ISNUMBER(D173)),N(D174)=0),"",D173/D174),"")</f>
        <v/>
      </c>
      <c r="E176" s="50" t="str">
        <f aca="false">IFERROR(IF(OR(NOT(ISNUMBER(E173)),N(E174)=0),"",E173/E174),"")</f>
        <v/>
      </c>
      <c r="F176" s="50" t="str">
        <f aca="false">IFERROR(IF(OR(NOT(ISNUMBER(F173)),N(F174)=0),"",F173/F174),"")</f>
        <v/>
      </c>
      <c r="G176" s="50" t="str">
        <f aca="false">IFERROR(IF(OR(NOT(ISNUMBER(G173)),N(G174)=0),"",G173/G174),"")</f>
        <v/>
      </c>
      <c r="H176" s="50" t="str">
        <f aca="false">IFERROR(IF(OR(NOT(ISNUMBER(H173)),N(H174)=0),"",H173/H174),"")</f>
        <v/>
      </c>
      <c r="I176" s="50" t="str">
        <f aca="false">IFERROR(IF(OR(NOT(ISNUMBER(I173)),N(I174)=0),"",I173/I174),"")</f>
        <v/>
      </c>
      <c r="J176" s="50" t="str">
        <f aca="false">IFERROR(IF(OR(NOT(ISNUMBER(J173)),N(J174)=0),"",J173/J174),"")</f>
        <v/>
      </c>
      <c r="K176" s="50" t="str">
        <f aca="false">IFERROR(IF(OR(NOT(ISNUMBER(K173)),N(K174)=0),"",K173/K174),"")</f>
        <v/>
      </c>
      <c r="L176" s="50" t="str">
        <f aca="false">IFERROR(IF(OR(NOT(ISNUMBER(L173)),N(L174)=0),"",L173/L174),"")</f>
        <v/>
      </c>
      <c r="M176" s="50" t="str">
        <f aca="false">IFERROR(IF(OR(NOT(ISNUMBER(M173)),N(M174)=0),"",M173/M174),"")</f>
        <v/>
      </c>
      <c r="N176" s="50" t="str">
        <f aca="false">IFERROR(IF(OR(NOT(ISNUMBER(N173)),N(N174)=0),"",N173/N174),"")</f>
        <v/>
      </c>
      <c r="O176" s="68" t="str">
        <f aca="false">IFERROR(IF(OR(NOT(ISNUMBER(O173)),N(O174)=0),"",O173/O174),"")</f>
        <v/>
      </c>
    </row>
    <row r="177" customFormat="false" ht="15" hidden="true" customHeight="false" outlineLevel="1" collapsed="false">
      <c r="A177" s="11" t="s">
        <v>2538</v>
      </c>
      <c r="B177" s="15" t="s">
        <v>2372</v>
      </c>
      <c r="C177" s="11" t="s">
        <v>748</v>
      </c>
      <c r="D177" s="50" t="str">
        <f aca="false">IFERROR(IF(N(D174)=0,"",(D175-D173)/D174),"")</f>
        <v/>
      </c>
      <c r="E177" s="50" t="str">
        <f aca="false">IFERROR(IF(N(E174)=0,"",(E175-E173)/E174),"")</f>
        <v/>
      </c>
      <c r="F177" s="50" t="str">
        <f aca="false">IFERROR(IF(N(F174)=0,"",(F175-F173)/F174),"")</f>
        <v/>
      </c>
      <c r="G177" s="50" t="str">
        <f aca="false">IFERROR(IF(N(G174)=0,"",(G175-G173)/G174),"")</f>
        <v/>
      </c>
      <c r="H177" s="50" t="str">
        <f aca="false">IFERROR(IF(N(H174)=0,"",(H175-H173)/H174),"")</f>
        <v/>
      </c>
      <c r="I177" s="50" t="str">
        <f aca="false">IFERROR(IF(N(I174)=0,"",(I175-I173)/I174),"")</f>
        <v/>
      </c>
      <c r="J177" s="50" t="str">
        <f aca="false">IFERROR(IF(N(J174)=0,"",(J175-J173)/J174),"")</f>
        <v/>
      </c>
      <c r="K177" s="50" t="str">
        <f aca="false">IFERROR(IF(N(K174)=0,"",(K175-K173)/K174),"")</f>
        <v/>
      </c>
      <c r="L177" s="50" t="str">
        <f aca="false">IFERROR(IF(N(L174)=0,"",(L175-L173)/L174),"")</f>
        <v/>
      </c>
      <c r="M177" s="50" t="str">
        <f aca="false">IFERROR(IF(N(M174)=0,"",(M175-M173)/M174),"")</f>
        <v/>
      </c>
      <c r="N177" s="50" t="str">
        <f aca="false">IFERROR(IF(N(N174)=0,"",(N175-N173)/N174),"")</f>
        <v/>
      </c>
      <c r="O177" s="68" t="str">
        <f aca="false">IFERROR(IF(N(O174)=0,"",(O175-O173)/O174),"")</f>
        <v/>
      </c>
    </row>
    <row r="178" customFormat="false" ht="15" hidden="true" customHeight="false" outlineLevel="1" collapsed="false">
      <c r="A178" s="11" t="s">
        <v>2539</v>
      </c>
      <c r="B178" s="15" t="s">
        <v>2374</v>
      </c>
      <c r="C178" s="11" t="s">
        <v>367</v>
      </c>
      <c r="D178" s="49" t="str">
        <f aca="false">IFERROR(IF(N(D175)=0,"",1-D173/D175),"")</f>
        <v/>
      </c>
      <c r="E178" s="49" t="str">
        <f aca="false">IFERROR(IF(N(E175)=0,"",1-E173/E175),"")</f>
        <v/>
      </c>
      <c r="F178" s="49" t="str">
        <f aca="false">IFERROR(IF(N(F175)=0,"",1-F173/F175),"")</f>
        <v/>
      </c>
      <c r="G178" s="49" t="str">
        <f aca="false">IFERROR(IF(N(G175)=0,"",1-G173/G175),"")</f>
        <v/>
      </c>
      <c r="H178" s="49" t="str">
        <f aca="false">IFERROR(IF(N(H175)=0,"",1-H173/H175),"")</f>
        <v/>
      </c>
      <c r="I178" s="49" t="str">
        <f aca="false">IFERROR(IF(N(I175)=0,"",1-I173/I175),"")</f>
        <v/>
      </c>
      <c r="J178" s="49" t="str">
        <f aca="false">IFERROR(IF(N(J175)=0,"",1-J173/J175),"")</f>
        <v/>
      </c>
      <c r="K178" s="49" t="str">
        <f aca="false">IFERROR(IF(N(K175)=0,"",1-K173/K175),"")</f>
        <v/>
      </c>
      <c r="L178" s="49" t="str">
        <f aca="false">IFERROR(IF(N(L175)=0,"",1-L173/L175),"")</f>
        <v/>
      </c>
      <c r="M178" s="49" t="str">
        <f aca="false">IFERROR(IF(N(M175)=0,"",1-M173/M175),"")</f>
        <v/>
      </c>
      <c r="N178" s="49" t="str">
        <f aca="false">IFERROR(IF(N(N175)=0,"",1-N173/N175),"")</f>
        <v/>
      </c>
      <c r="O178" s="99" t="str">
        <f aca="false">IFERROR(IF(N(O175)=0,"",1-O173/O175),"")</f>
        <v/>
      </c>
    </row>
    <row r="179" customFormat="false" ht="15" hidden="true" customHeight="false" outlineLevel="1" collapsed="false">
      <c r="A179" s="11" t="s">
        <v>2540</v>
      </c>
      <c r="B179" s="15" t="s">
        <v>2376</v>
      </c>
      <c r="C179" s="11" t="s">
        <v>508</v>
      </c>
      <c r="D179" s="48" t="str">
        <f aca="false">IFERROR(IF(OR(NOT(ISNUMBER(D173)),N(D9)=0),"",D10*D173/D9),"")</f>
        <v/>
      </c>
      <c r="E179" s="48" t="n">
        <f aca="false">IFERROR(IF(OR(NOT(ISNUMBER(E173)),N(E9)=0),"",E10*E173/E9),"")</f>
        <v>0</v>
      </c>
      <c r="F179" s="48" t="n">
        <f aca="false">IFERROR(IF(OR(NOT(ISNUMBER(F173)),N(F9)=0),"",F10*F173/F9),"")</f>
        <v>0</v>
      </c>
      <c r="G179" s="48" t="n">
        <f aca="false">IFERROR(IF(OR(NOT(ISNUMBER(G173)),N(G9)=0),"",G10*G173/G9),"")</f>
        <v>0</v>
      </c>
      <c r="H179" s="48" t="n">
        <f aca="false">IFERROR(IF(OR(NOT(ISNUMBER(H173)),N(H9)=0),"",H10*H173/H9),"")</f>
        <v>0</v>
      </c>
      <c r="I179" s="48" t="n">
        <f aca="false">IFERROR(IF(OR(NOT(ISNUMBER(I173)),N(I9)=0),"",I10*I173/I9),"")</f>
        <v>0</v>
      </c>
      <c r="J179" s="48" t="n">
        <f aca="false">IFERROR(IF(OR(NOT(ISNUMBER(J173)),N(J9)=0),"",J10*J173/J9),"")</f>
        <v>0</v>
      </c>
      <c r="K179" s="48" t="n">
        <f aca="false">IFERROR(IF(OR(NOT(ISNUMBER(K173)),N(K9)=0),"",K10*K173/K9),"")</f>
        <v>0</v>
      </c>
      <c r="L179" s="48" t="n">
        <f aca="false">IFERROR(IF(OR(NOT(ISNUMBER(L173)),N(L9)=0),"",L10*L173/L9),"")</f>
        <v>0</v>
      </c>
      <c r="M179" s="48" t="n">
        <f aca="false">IFERROR(IF(OR(NOT(ISNUMBER(M173)),N(M9)=0),"",M10*M173/M9),"")</f>
        <v>0</v>
      </c>
      <c r="N179" s="48" t="n">
        <f aca="false">IFERROR(IF(OR(NOT(ISNUMBER(N173)),N(N9)=0),"",N10*N173/N9),"")</f>
        <v>0</v>
      </c>
      <c r="O179" s="54" t="n">
        <f aca="false">SUM(D179:N179)</f>
        <v>0</v>
      </c>
    </row>
    <row r="180" customFormat="false" ht="15" hidden="true" customHeight="false" outlineLevel="1" collapsed="false">
      <c r="A180" s="11" t="s">
        <v>2541</v>
      </c>
      <c r="B180" s="15" t="s">
        <v>2378</v>
      </c>
      <c r="C180" s="11" t="s">
        <v>508</v>
      </c>
      <c r="D180" s="48" t="n">
        <f aca="false">IFERROR(IF(COUNT(D173,D179)=0,"",N(D173)+N(D179)),"")</f>
        <v>0</v>
      </c>
      <c r="E180" s="48" t="n">
        <f aca="false">IFERROR(IF(COUNT(E173,E179)=0,"",N(E173)+N(E179)),"")</f>
        <v>0</v>
      </c>
      <c r="F180" s="48" t="n">
        <f aca="false">IFERROR(IF(COUNT(F173,F179)=0,"",N(F173)+N(F179)),"")</f>
        <v>0</v>
      </c>
      <c r="G180" s="48" t="n">
        <f aca="false">IFERROR(IF(COUNT(G173,G179)=0,"",N(G173)+N(G179)),"")</f>
        <v>0</v>
      </c>
      <c r="H180" s="48" t="n">
        <f aca="false">IFERROR(IF(COUNT(H173,H179)=0,"",N(H173)+N(H179)),"")</f>
        <v>0</v>
      </c>
      <c r="I180" s="48" t="n">
        <f aca="false">IFERROR(IF(COUNT(I173,I179)=0,"",N(I173)+N(I179)),"")</f>
        <v>0</v>
      </c>
      <c r="J180" s="48" t="n">
        <f aca="false">IFERROR(IF(COUNT(J173,J179)=0,"",N(J173)+N(J179)),"")</f>
        <v>0</v>
      </c>
      <c r="K180" s="48" t="n">
        <f aca="false">IFERROR(IF(COUNT(K173,K179)=0,"",N(K173)+N(K179)),"")</f>
        <v>0</v>
      </c>
      <c r="L180" s="48" t="n">
        <f aca="false">IFERROR(IF(COUNT(L173,L179)=0,"",N(L173)+N(L179)),"")</f>
        <v>0</v>
      </c>
      <c r="M180" s="48" t="n">
        <f aca="false">IFERROR(IF(COUNT(M173,M179)=0,"",N(M173)+N(M179)),"")</f>
        <v>0</v>
      </c>
      <c r="N180" s="48" t="n">
        <f aca="false">IFERROR(IF(COUNT(N173,N179)=0,"",N(N173)+N(N179)),"")</f>
        <v>0</v>
      </c>
      <c r="O180" s="54" t="n">
        <f aca="false">SUM(D180:N180)</f>
        <v>0</v>
      </c>
    </row>
    <row r="181" customFormat="false" ht="15" hidden="true" customHeight="false" outlineLevel="1" collapsed="false">
      <c r="A181" s="11" t="s">
        <v>2542</v>
      </c>
      <c r="B181" s="15" t="s">
        <v>2380</v>
      </c>
      <c r="C181" s="11" t="s">
        <v>748</v>
      </c>
      <c r="D181" s="50" t="str">
        <f aca="false">IFERROR(IF(OR(NOT(ISNUMBER(D180)),N(D174)=0),"",D180/D174),"")</f>
        <v/>
      </c>
      <c r="E181" s="50" t="str">
        <f aca="false">IFERROR(IF(OR(NOT(ISNUMBER(E180)),N(E174)=0),"",E180/E174),"")</f>
        <v/>
      </c>
      <c r="F181" s="50" t="str">
        <f aca="false">IFERROR(IF(OR(NOT(ISNUMBER(F180)),N(F174)=0),"",F180/F174),"")</f>
        <v/>
      </c>
      <c r="G181" s="50" t="str">
        <f aca="false">IFERROR(IF(OR(NOT(ISNUMBER(G180)),N(G174)=0),"",G180/G174),"")</f>
        <v/>
      </c>
      <c r="H181" s="50" t="str">
        <f aca="false">IFERROR(IF(OR(NOT(ISNUMBER(H180)),N(H174)=0),"",H180/H174),"")</f>
        <v/>
      </c>
      <c r="I181" s="50" t="str">
        <f aca="false">IFERROR(IF(OR(NOT(ISNUMBER(I180)),N(I174)=0),"",I180/I174),"")</f>
        <v/>
      </c>
      <c r="J181" s="50" t="str">
        <f aca="false">IFERROR(IF(OR(NOT(ISNUMBER(J180)),N(J174)=0),"",J180/J174),"")</f>
        <v/>
      </c>
      <c r="K181" s="50" t="str">
        <f aca="false">IFERROR(IF(OR(NOT(ISNUMBER(K180)),N(K174)=0),"",K180/K174),"")</f>
        <v/>
      </c>
      <c r="L181" s="50" t="str">
        <f aca="false">IFERROR(IF(OR(NOT(ISNUMBER(L180)),N(L174)=0),"",L180/L174),"")</f>
        <v/>
      </c>
      <c r="M181" s="50" t="str">
        <f aca="false">IFERROR(IF(OR(NOT(ISNUMBER(M180)),N(M174)=0),"",M180/M174),"")</f>
        <v/>
      </c>
      <c r="N181" s="50" t="str">
        <f aca="false">IFERROR(IF(OR(NOT(ISNUMBER(N180)),N(N174)=0),"",N180/N174),"")</f>
        <v/>
      </c>
      <c r="O181" s="68" t="str">
        <f aca="false">IFERROR(IF(OR(NOT(ISNUMBER(O180)),N(O174)=0),"",O180/O174),"")</f>
        <v/>
      </c>
    </row>
    <row r="182" customFormat="false" ht="15" hidden="true" customHeight="false" outlineLevel="1" collapsed="false">
      <c r="A182" s="11" t="s">
        <v>2543</v>
      </c>
      <c r="B182" s="53" t="str">
        <f aca="false">IF(INDEX(Prod_Nombre,20)="","Producto 20",INDEX(Prod_Nombre,20))&amp;" — costo directo"</f>
        <v>Producto 20 — costo directo</v>
      </c>
      <c r="C182" s="11" t="s">
        <v>508</v>
      </c>
      <c r="D182" s="48" t="n">
        <f aca="false">IF(cu_P=1,(SUMIFS(Calculo!$F$40:$ES$40,Calculo!$F$16:$ES$16,1)*N(INDEX(MP_O,20))*INDEX(IdxMP_O,1,1)*(1+P_dMat)/(1-P_Merma)+SUMIFS(Calculo!$F$40:$ES$40,Calculo!$F$16:$ES$16,1)*N(INDEX(INS_O,20))*INDEX(IdxOV_O,1,1)*(1+P_dMat)/(1-P_Merma)+SUMIFS(Calculo!$F$40:$ES$40,Calculo!$F$16:$ES$16,1)*N(INDEX(OV_O,20))*INDEX(IdxOV_O,1,1)*(1+P_dMat)/(1-P_Merma)),(SUMIFS(Calculo!$F$196:$ES$196,Calculo!$F$172:$ES$172,1)*N(INDEX(MP_V,20))*INDEX(IdxMP_V,1,1)*(1+V_dMat)/(1-V_Merma)+SUMIFS(Calculo!$F$196:$ES$196,Calculo!$F$172:$ES$172,1)*N(INDEX(INS_V,20))*INDEX(IdxOV_V,1,1)*(1+V_dMat)/(1-V_Merma)+SUMIFS(Calculo!$F$196:$ES$196,Calculo!$F$172:$ES$172,1)*N(INDEX(OV_V,20))*INDEX(IdxOV_V,1,1)*(1+V_dMat)/(1-V_Merma)))</f>
        <v>0</v>
      </c>
      <c r="E182" s="48" t="n">
        <f aca="false">IF(cu_P=1,(SUMIFS(Calculo!$F$40:$ES$40,Calculo!$F$14:$ES$14,1)*N(INDEX(MP_O,20))*INDEX(IdxMP_O,1,1)*(1+P_dMat)/(1-P_Merma)+SUMIFS(Calculo!$F$40:$ES$40,Calculo!$F$14:$ES$14,1)*N(INDEX(INS_O,20))*INDEX(IdxOV_O,1,1)*(1+P_dMat)/(1-P_Merma)+SUMIFS(Calculo!$F$40:$ES$40,Calculo!$F$14:$ES$14,1)*N(INDEX(OV_O,20))*INDEX(IdxOV_O,1,1)*(1+P_dMat)/(1-P_Merma)),(SUMIFS(Calculo!$F$196:$ES$196,Calculo!$F$170:$ES$170,1)*N(INDEX(MP_V,20))*INDEX(IdxMP_V,1,1)*(1+V_dMat)/(1-V_Merma)+SUMIFS(Calculo!$F$196:$ES$196,Calculo!$F$170:$ES$170,1)*N(INDEX(INS_V,20))*INDEX(IdxOV_V,1,1)*(1+V_dMat)/(1-V_Merma)+SUMIFS(Calculo!$F$196:$ES$196,Calculo!$F$170:$ES$170,1)*N(INDEX(OV_V,20))*INDEX(IdxOV_V,1,1)*(1+V_dMat)/(1-V_Merma)))</f>
        <v>0</v>
      </c>
      <c r="F182" s="48" t="n">
        <f aca="false">IF(cu_P=1,(SUMIFS(Calculo!$F$40:$ES$40,Calculo!$F$14:$ES$14,2)*N(INDEX(MP_O,20))*INDEX(IdxMP_O,1,2)*(1+P_dMat)/(1-P_Merma)+SUMIFS(Calculo!$F$40:$ES$40,Calculo!$F$14:$ES$14,2)*N(INDEX(INS_O,20))*INDEX(IdxOV_O,1,2)*(1+P_dMat)/(1-P_Merma)+SUMIFS(Calculo!$F$40:$ES$40,Calculo!$F$14:$ES$14,2)*N(INDEX(OV_O,20))*INDEX(IdxOV_O,1,2)*(1+P_dMat)/(1-P_Merma)),(SUMIFS(Calculo!$F$196:$ES$196,Calculo!$F$170:$ES$170,2)*N(INDEX(MP_V,20))*INDEX(IdxMP_V,1,2)*(1+V_dMat)/(1-V_Merma)+SUMIFS(Calculo!$F$196:$ES$196,Calculo!$F$170:$ES$170,2)*N(INDEX(INS_V,20))*INDEX(IdxOV_V,1,2)*(1+V_dMat)/(1-V_Merma)+SUMIFS(Calculo!$F$196:$ES$196,Calculo!$F$170:$ES$170,2)*N(INDEX(OV_V,20))*INDEX(IdxOV_V,1,2)*(1+V_dMat)/(1-V_Merma)))</f>
        <v>0</v>
      </c>
      <c r="G182" s="48" t="n">
        <f aca="false">IF(cu_P=1,(SUMIFS(Calculo!$F$40:$ES$40,Calculo!$F$14:$ES$14,3)*N(INDEX(MP_O,20))*INDEX(IdxMP_O,1,3)*(1+P_dMat)/(1-P_Merma)+SUMIFS(Calculo!$F$40:$ES$40,Calculo!$F$14:$ES$14,3)*N(INDEX(INS_O,20))*INDEX(IdxOV_O,1,3)*(1+P_dMat)/(1-P_Merma)+SUMIFS(Calculo!$F$40:$ES$40,Calculo!$F$14:$ES$14,3)*N(INDEX(OV_O,20))*INDEX(IdxOV_O,1,3)*(1+P_dMat)/(1-P_Merma)),(SUMIFS(Calculo!$F$196:$ES$196,Calculo!$F$170:$ES$170,3)*N(INDEX(MP_V,20))*INDEX(IdxMP_V,1,3)*(1+V_dMat)/(1-V_Merma)+SUMIFS(Calculo!$F$196:$ES$196,Calculo!$F$170:$ES$170,3)*N(INDEX(INS_V,20))*INDEX(IdxOV_V,1,3)*(1+V_dMat)/(1-V_Merma)+SUMIFS(Calculo!$F$196:$ES$196,Calculo!$F$170:$ES$170,3)*N(INDEX(OV_V,20))*INDEX(IdxOV_V,1,3)*(1+V_dMat)/(1-V_Merma)))</f>
        <v>0</v>
      </c>
      <c r="H182" s="48" t="n">
        <f aca="false">IF(cu_P=1,(SUMIFS(Calculo!$F$40:$ES$40,Calculo!$F$14:$ES$14,4)*N(INDEX(MP_O,20))*INDEX(IdxMP_O,1,4)*(1+P_dMat)/(1-P_Merma)+SUMIFS(Calculo!$F$40:$ES$40,Calculo!$F$14:$ES$14,4)*N(INDEX(INS_O,20))*INDEX(IdxOV_O,1,4)*(1+P_dMat)/(1-P_Merma)+SUMIFS(Calculo!$F$40:$ES$40,Calculo!$F$14:$ES$14,4)*N(INDEX(OV_O,20))*INDEX(IdxOV_O,1,4)*(1+P_dMat)/(1-P_Merma)),(SUMIFS(Calculo!$F$196:$ES$196,Calculo!$F$170:$ES$170,4)*N(INDEX(MP_V,20))*INDEX(IdxMP_V,1,4)*(1+V_dMat)/(1-V_Merma)+SUMIFS(Calculo!$F$196:$ES$196,Calculo!$F$170:$ES$170,4)*N(INDEX(INS_V,20))*INDEX(IdxOV_V,1,4)*(1+V_dMat)/(1-V_Merma)+SUMIFS(Calculo!$F$196:$ES$196,Calculo!$F$170:$ES$170,4)*N(INDEX(OV_V,20))*INDEX(IdxOV_V,1,4)*(1+V_dMat)/(1-V_Merma)))</f>
        <v>0</v>
      </c>
      <c r="I182" s="48" t="n">
        <f aca="false">IF(cu_P=1,(SUMIFS(Calculo!$F$40:$ES$40,Calculo!$F$14:$ES$14,5)*N(INDEX(MP_O,20))*INDEX(IdxMP_O,1,5)*(1+P_dMat)/(1-P_Merma)+SUMIFS(Calculo!$F$40:$ES$40,Calculo!$F$14:$ES$14,5)*N(INDEX(INS_O,20))*INDEX(IdxOV_O,1,5)*(1+P_dMat)/(1-P_Merma)+SUMIFS(Calculo!$F$40:$ES$40,Calculo!$F$14:$ES$14,5)*N(INDEX(OV_O,20))*INDEX(IdxOV_O,1,5)*(1+P_dMat)/(1-P_Merma)),(SUMIFS(Calculo!$F$196:$ES$196,Calculo!$F$170:$ES$170,5)*N(INDEX(MP_V,20))*INDEX(IdxMP_V,1,5)*(1+V_dMat)/(1-V_Merma)+SUMIFS(Calculo!$F$196:$ES$196,Calculo!$F$170:$ES$170,5)*N(INDEX(INS_V,20))*INDEX(IdxOV_V,1,5)*(1+V_dMat)/(1-V_Merma)+SUMIFS(Calculo!$F$196:$ES$196,Calculo!$F$170:$ES$170,5)*N(INDEX(OV_V,20))*INDEX(IdxOV_V,1,5)*(1+V_dMat)/(1-V_Merma)))</f>
        <v>0</v>
      </c>
      <c r="J182" s="48" t="n">
        <f aca="false">IF(cu_P=1,(SUMIFS(Calculo!$F$40:$ES$40,Calculo!$F$14:$ES$14,6)*N(INDEX(MP_O,20))*INDEX(IdxMP_O,1,6)*(1+P_dMat)/(1-P_Merma)+SUMIFS(Calculo!$F$40:$ES$40,Calculo!$F$14:$ES$14,6)*N(INDEX(INS_O,20))*INDEX(IdxOV_O,1,6)*(1+P_dMat)/(1-P_Merma)+SUMIFS(Calculo!$F$40:$ES$40,Calculo!$F$14:$ES$14,6)*N(INDEX(OV_O,20))*INDEX(IdxOV_O,1,6)*(1+P_dMat)/(1-P_Merma)),(SUMIFS(Calculo!$F$196:$ES$196,Calculo!$F$170:$ES$170,6)*N(INDEX(MP_V,20))*INDEX(IdxMP_V,1,6)*(1+V_dMat)/(1-V_Merma)+SUMIFS(Calculo!$F$196:$ES$196,Calculo!$F$170:$ES$170,6)*N(INDEX(INS_V,20))*INDEX(IdxOV_V,1,6)*(1+V_dMat)/(1-V_Merma)+SUMIFS(Calculo!$F$196:$ES$196,Calculo!$F$170:$ES$170,6)*N(INDEX(OV_V,20))*INDEX(IdxOV_V,1,6)*(1+V_dMat)/(1-V_Merma)))</f>
        <v>0</v>
      </c>
      <c r="K182" s="48" t="n">
        <f aca="false">IF(cu_P=1,(SUMIFS(Calculo!$F$40:$ES$40,Calculo!$F$14:$ES$14,7)*N(INDEX(MP_O,20))*INDEX(IdxMP_O,1,7)*(1+P_dMat)/(1-P_Merma)+SUMIFS(Calculo!$F$40:$ES$40,Calculo!$F$14:$ES$14,7)*N(INDEX(INS_O,20))*INDEX(IdxOV_O,1,7)*(1+P_dMat)/(1-P_Merma)+SUMIFS(Calculo!$F$40:$ES$40,Calculo!$F$14:$ES$14,7)*N(INDEX(OV_O,20))*INDEX(IdxOV_O,1,7)*(1+P_dMat)/(1-P_Merma)),(SUMIFS(Calculo!$F$196:$ES$196,Calculo!$F$170:$ES$170,7)*N(INDEX(MP_V,20))*INDEX(IdxMP_V,1,7)*(1+V_dMat)/(1-V_Merma)+SUMIFS(Calculo!$F$196:$ES$196,Calculo!$F$170:$ES$170,7)*N(INDEX(INS_V,20))*INDEX(IdxOV_V,1,7)*(1+V_dMat)/(1-V_Merma)+SUMIFS(Calculo!$F$196:$ES$196,Calculo!$F$170:$ES$170,7)*N(INDEX(OV_V,20))*INDEX(IdxOV_V,1,7)*(1+V_dMat)/(1-V_Merma)))</f>
        <v>0</v>
      </c>
      <c r="L182" s="48" t="n">
        <f aca="false">IF(cu_P=1,(SUMIFS(Calculo!$F$40:$ES$40,Calculo!$F$14:$ES$14,8)*N(INDEX(MP_O,20))*INDEX(IdxMP_O,1,8)*(1+P_dMat)/(1-P_Merma)+SUMIFS(Calculo!$F$40:$ES$40,Calculo!$F$14:$ES$14,8)*N(INDEX(INS_O,20))*INDEX(IdxOV_O,1,8)*(1+P_dMat)/(1-P_Merma)+SUMIFS(Calculo!$F$40:$ES$40,Calculo!$F$14:$ES$14,8)*N(INDEX(OV_O,20))*INDEX(IdxOV_O,1,8)*(1+P_dMat)/(1-P_Merma)),(SUMIFS(Calculo!$F$196:$ES$196,Calculo!$F$170:$ES$170,8)*N(INDEX(MP_V,20))*INDEX(IdxMP_V,1,8)*(1+V_dMat)/(1-V_Merma)+SUMIFS(Calculo!$F$196:$ES$196,Calculo!$F$170:$ES$170,8)*N(INDEX(INS_V,20))*INDEX(IdxOV_V,1,8)*(1+V_dMat)/(1-V_Merma)+SUMIFS(Calculo!$F$196:$ES$196,Calculo!$F$170:$ES$170,8)*N(INDEX(OV_V,20))*INDEX(IdxOV_V,1,8)*(1+V_dMat)/(1-V_Merma)))</f>
        <v>0</v>
      </c>
      <c r="M182" s="48" t="n">
        <f aca="false">IF(cu_P=1,(SUMIFS(Calculo!$F$40:$ES$40,Calculo!$F$14:$ES$14,9)*N(INDEX(MP_O,20))*INDEX(IdxMP_O,1,9)*(1+P_dMat)/(1-P_Merma)+SUMIFS(Calculo!$F$40:$ES$40,Calculo!$F$14:$ES$14,9)*N(INDEX(INS_O,20))*INDEX(IdxOV_O,1,9)*(1+P_dMat)/(1-P_Merma)+SUMIFS(Calculo!$F$40:$ES$40,Calculo!$F$14:$ES$14,9)*N(INDEX(OV_O,20))*INDEX(IdxOV_O,1,9)*(1+P_dMat)/(1-P_Merma)),(SUMIFS(Calculo!$F$196:$ES$196,Calculo!$F$170:$ES$170,9)*N(INDEX(MP_V,20))*INDEX(IdxMP_V,1,9)*(1+V_dMat)/(1-V_Merma)+SUMIFS(Calculo!$F$196:$ES$196,Calculo!$F$170:$ES$170,9)*N(INDEX(INS_V,20))*INDEX(IdxOV_V,1,9)*(1+V_dMat)/(1-V_Merma)+SUMIFS(Calculo!$F$196:$ES$196,Calculo!$F$170:$ES$170,9)*N(INDEX(OV_V,20))*INDEX(IdxOV_V,1,9)*(1+V_dMat)/(1-V_Merma)))</f>
        <v>0</v>
      </c>
      <c r="N182" s="48" t="n">
        <f aca="false">IF(cu_P=1,(SUMIFS(Calculo!$F$40:$ES$40,Calculo!$F$14:$ES$14,10)*N(INDEX(MP_O,20))*INDEX(IdxMP_O,1,10)*(1+P_dMat)/(1-P_Merma)+SUMIFS(Calculo!$F$40:$ES$40,Calculo!$F$14:$ES$14,10)*N(INDEX(INS_O,20))*INDEX(IdxOV_O,1,10)*(1+P_dMat)/(1-P_Merma)+SUMIFS(Calculo!$F$40:$ES$40,Calculo!$F$14:$ES$14,10)*N(INDEX(OV_O,20))*INDEX(IdxOV_O,1,10)*(1+P_dMat)/(1-P_Merma)),(SUMIFS(Calculo!$F$196:$ES$196,Calculo!$F$170:$ES$170,10)*N(INDEX(MP_V,20))*INDEX(IdxMP_V,1,10)*(1+V_dMat)/(1-V_Merma)+SUMIFS(Calculo!$F$196:$ES$196,Calculo!$F$170:$ES$170,10)*N(INDEX(INS_V,20))*INDEX(IdxOV_V,1,10)*(1+V_dMat)/(1-V_Merma)+SUMIFS(Calculo!$F$196:$ES$196,Calculo!$F$170:$ES$170,10)*N(INDEX(OV_V,20))*INDEX(IdxOV_V,1,10)*(1+V_dMat)/(1-V_Merma)))</f>
        <v>0</v>
      </c>
      <c r="O182" s="54" t="n">
        <f aca="false">SUM(D182:N182)</f>
        <v>0</v>
      </c>
    </row>
    <row r="183" customFormat="false" ht="15" hidden="true" customHeight="false" outlineLevel="1" collapsed="false">
      <c r="A183" s="11" t="s">
        <v>2544</v>
      </c>
      <c r="B183" s="15" t="s">
        <v>2366</v>
      </c>
      <c r="C183" s="11" t="s">
        <v>544</v>
      </c>
      <c r="D183" s="48" t="n">
        <f aca="false">IF(cu_P=1,SUMIFS(Calculo!$F$40:$ES$40,Calculo!$F$16:$ES$16,1),SUMIFS(Calculo!$F$196:$ES$196,Calculo!$F$172:$ES$172,1))</f>
        <v>0</v>
      </c>
      <c r="E183" s="48" t="n">
        <f aca="false">IF(cu_P=1,SUMIFS(Calculo!$F$40:$ES$40,Calculo!$F$14:$ES$14,1),SUMIFS(Calculo!$F$196:$ES$196,Calculo!$F$170:$ES$170,1))</f>
        <v>0</v>
      </c>
      <c r="F183" s="48" t="n">
        <f aca="false">IF(cu_P=1,SUMIFS(Calculo!$F$40:$ES$40,Calculo!$F$14:$ES$14,2),SUMIFS(Calculo!$F$196:$ES$196,Calculo!$F$170:$ES$170,2))</f>
        <v>0</v>
      </c>
      <c r="G183" s="48" t="n">
        <f aca="false">IF(cu_P=1,SUMIFS(Calculo!$F$40:$ES$40,Calculo!$F$14:$ES$14,3),SUMIFS(Calculo!$F$196:$ES$196,Calculo!$F$170:$ES$170,3))</f>
        <v>0</v>
      </c>
      <c r="H183" s="48" t="n">
        <f aca="false">IF(cu_P=1,SUMIFS(Calculo!$F$40:$ES$40,Calculo!$F$14:$ES$14,4),SUMIFS(Calculo!$F$196:$ES$196,Calculo!$F$170:$ES$170,4))</f>
        <v>0</v>
      </c>
      <c r="I183" s="48" t="n">
        <f aca="false">IF(cu_P=1,SUMIFS(Calculo!$F$40:$ES$40,Calculo!$F$14:$ES$14,5),SUMIFS(Calculo!$F$196:$ES$196,Calculo!$F$170:$ES$170,5))</f>
        <v>0</v>
      </c>
      <c r="J183" s="48" t="n">
        <f aca="false">IF(cu_P=1,SUMIFS(Calculo!$F$40:$ES$40,Calculo!$F$14:$ES$14,6),SUMIFS(Calculo!$F$196:$ES$196,Calculo!$F$170:$ES$170,6))</f>
        <v>0</v>
      </c>
      <c r="K183" s="48" t="n">
        <f aca="false">IF(cu_P=1,SUMIFS(Calculo!$F$40:$ES$40,Calculo!$F$14:$ES$14,7),SUMIFS(Calculo!$F$196:$ES$196,Calculo!$F$170:$ES$170,7))</f>
        <v>0</v>
      </c>
      <c r="L183" s="48" t="n">
        <f aca="false">IF(cu_P=1,SUMIFS(Calculo!$F$40:$ES$40,Calculo!$F$14:$ES$14,8),SUMIFS(Calculo!$F$196:$ES$196,Calculo!$F$170:$ES$170,8))</f>
        <v>0</v>
      </c>
      <c r="M183" s="48" t="n">
        <f aca="false">IF(cu_P=1,SUMIFS(Calculo!$F$40:$ES$40,Calculo!$F$14:$ES$14,9),SUMIFS(Calculo!$F$196:$ES$196,Calculo!$F$170:$ES$170,9))</f>
        <v>0</v>
      </c>
      <c r="N183" s="48" t="n">
        <f aca="false">IF(cu_P=1,SUMIFS(Calculo!$F$40:$ES$40,Calculo!$F$14:$ES$14,10),SUMIFS(Calculo!$F$196:$ES$196,Calculo!$F$170:$ES$170,10))</f>
        <v>0</v>
      </c>
      <c r="O183" s="54" t="n">
        <f aca="false">SUM(D183:N183)</f>
        <v>0</v>
      </c>
    </row>
    <row r="184" customFormat="false" ht="15" hidden="true" customHeight="false" outlineLevel="1" collapsed="false">
      <c r="A184" s="11" t="s">
        <v>2545</v>
      </c>
      <c r="B184" s="15" t="s">
        <v>2368</v>
      </c>
      <c r="C184" s="11" t="s">
        <v>508</v>
      </c>
      <c r="D184" s="48" t="n">
        <f aca="false">IF(cu_P=1,SUMIFS(Calculo!$F$65:$ES$65,Calculo!$F$16:$ES$16,1),SUMIFS(Calculo!$F$221:$ES$221,Calculo!$F$172:$ES$172,1))</f>
        <v>0</v>
      </c>
      <c r="E184" s="48" t="n">
        <f aca="false">IF(cu_P=1,SUMIFS(Calculo!$F$65:$ES$65,Calculo!$F$14:$ES$14,1),SUMIFS(Calculo!$F$221:$ES$221,Calculo!$F$170:$ES$170,1))</f>
        <v>0</v>
      </c>
      <c r="F184" s="48" t="n">
        <f aca="false">IF(cu_P=1,SUMIFS(Calculo!$F$65:$ES$65,Calculo!$F$14:$ES$14,2),SUMIFS(Calculo!$F$221:$ES$221,Calculo!$F$170:$ES$170,2))</f>
        <v>0</v>
      </c>
      <c r="G184" s="48" t="n">
        <f aca="false">IF(cu_P=1,SUMIFS(Calculo!$F$65:$ES$65,Calculo!$F$14:$ES$14,3),SUMIFS(Calculo!$F$221:$ES$221,Calculo!$F$170:$ES$170,3))</f>
        <v>0</v>
      </c>
      <c r="H184" s="48" t="n">
        <f aca="false">IF(cu_P=1,SUMIFS(Calculo!$F$65:$ES$65,Calculo!$F$14:$ES$14,4),SUMIFS(Calculo!$F$221:$ES$221,Calculo!$F$170:$ES$170,4))</f>
        <v>0</v>
      </c>
      <c r="I184" s="48" t="n">
        <f aca="false">IF(cu_P=1,SUMIFS(Calculo!$F$65:$ES$65,Calculo!$F$14:$ES$14,5),SUMIFS(Calculo!$F$221:$ES$221,Calculo!$F$170:$ES$170,5))</f>
        <v>0</v>
      </c>
      <c r="J184" s="48" t="n">
        <f aca="false">IF(cu_P=1,SUMIFS(Calculo!$F$65:$ES$65,Calculo!$F$14:$ES$14,6),SUMIFS(Calculo!$F$221:$ES$221,Calculo!$F$170:$ES$170,6))</f>
        <v>0</v>
      </c>
      <c r="K184" s="48" t="n">
        <f aca="false">IF(cu_P=1,SUMIFS(Calculo!$F$65:$ES$65,Calculo!$F$14:$ES$14,7),SUMIFS(Calculo!$F$221:$ES$221,Calculo!$F$170:$ES$170,7))</f>
        <v>0</v>
      </c>
      <c r="L184" s="48" t="n">
        <f aca="false">IF(cu_P=1,SUMIFS(Calculo!$F$65:$ES$65,Calculo!$F$14:$ES$14,8),SUMIFS(Calculo!$F$221:$ES$221,Calculo!$F$170:$ES$170,8))</f>
        <v>0</v>
      </c>
      <c r="M184" s="48" t="n">
        <f aca="false">IF(cu_P=1,SUMIFS(Calculo!$F$65:$ES$65,Calculo!$F$14:$ES$14,9),SUMIFS(Calculo!$F$221:$ES$221,Calculo!$F$170:$ES$170,9))</f>
        <v>0</v>
      </c>
      <c r="N184" s="48" t="n">
        <f aca="false">IF(cu_P=1,SUMIFS(Calculo!$F$65:$ES$65,Calculo!$F$14:$ES$14,10),SUMIFS(Calculo!$F$221:$ES$221,Calculo!$F$170:$ES$170,10))</f>
        <v>0</v>
      </c>
      <c r="O184" s="54" t="n">
        <f aca="false">SUM(D184:N184)</f>
        <v>0</v>
      </c>
    </row>
    <row r="185" customFormat="false" ht="15" hidden="true" customHeight="false" outlineLevel="1" collapsed="false">
      <c r="A185" s="11" t="s">
        <v>2546</v>
      </c>
      <c r="B185" s="15" t="s">
        <v>2370</v>
      </c>
      <c r="C185" s="11" t="s">
        <v>748</v>
      </c>
      <c r="D185" s="50" t="str">
        <f aca="false">IFERROR(IF(OR(NOT(ISNUMBER(D182)),N(D183)=0),"",D182/D183),"")</f>
        <v/>
      </c>
      <c r="E185" s="50" t="str">
        <f aca="false">IFERROR(IF(OR(NOT(ISNUMBER(E182)),N(E183)=0),"",E182/E183),"")</f>
        <v/>
      </c>
      <c r="F185" s="50" t="str">
        <f aca="false">IFERROR(IF(OR(NOT(ISNUMBER(F182)),N(F183)=0),"",F182/F183),"")</f>
        <v/>
      </c>
      <c r="G185" s="50" t="str">
        <f aca="false">IFERROR(IF(OR(NOT(ISNUMBER(G182)),N(G183)=0),"",G182/G183),"")</f>
        <v/>
      </c>
      <c r="H185" s="50" t="str">
        <f aca="false">IFERROR(IF(OR(NOT(ISNUMBER(H182)),N(H183)=0),"",H182/H183),"")</f>
        <v/>
      </c>
      <c r="I185" s="50" t="str">
        <f aca="false">IFERROR(IF(OR(NOT(ISNUMBER(I182)),N(I183)=0),"",I182/I183),"")</f>
        <v/>
      </c>
      <c r="J185" s="50" t="str">
        <f aca="false">IFERROR(IF(OR(NOT(ISNUMBER(J182)),N(J183)=0),"",J182/J183),"")</f>
        <v/>
      </c>
      <c r="K185" s="50" t="str">
        <f aca="false">IFERROR(IF(OR(NOT(ISNUMBER(K182)),N(K183)=0),"",K182/K183),"")</f>
        <v/>
      </c>
      <c r="L185" s="50" t="str">
        <f aca="false">IFERROR(IF(OR(NOT(ISNUMBER(L182)),N(L183)=0),"",L182/L183),"")</f>
        <v/>
      </c>
      <c r="M185" s="50" t="str">
        <f aca="false">IFERROR(IF(OR(NOT(ISNUMBER(M182)),N(M183)=0),"",M182/M183),"")</f>
        <v/>
      </c>
      <c r="N185" s="50" t="str">
        <f aca="false">IFERROR(IF(OR(NOT(ISNUMBER(N182)),N(N183)=0),"",N182/N183),"")</f>
        <v/>
      </c>
      <c r="O185" s="68" t="str">
        <f aca="false">IFERROR(IF(OR(NOT(ISNUMBER(O182)),N(O183)=0),"",O182/O183),"")</f>
        <v/>
      </c>
    </row>
    <row r="186" customFormat="false" ht="15" hidden="true" customHeight="false" outlineLevel="1" collapsed="false">
      <c r="A186" s="11" t="s">
        <v>2547</v>
      </c>
      <c r="B186" s="15" t="s">
        <v>2372</v>
      </c>
      <c r="C186" s="11" t="s">
        <v>748</v>
      </c>
      <c r="D186" s="50" t="str">
        <f aca="false">IFERROR(IF(N(D183)=0,"",(D184-D182)/D183),"")</f>
        <v/>
      </c>
      <c r="E186" s="50" t="str">
        <f aca="false">IFERROR(IF(N(E183)=0,"",(E184-E182)/E183),"")</f>
        <v/>
      </c>
      <c r="F186" s="50" t="str">
        <f aca="false">IFERROR(IF(N(F183)=0,"",(F184-F182)/F183),"")</f>
        <v/>
      </c>
      <c r="G186" s="50" t="str">
        <f aca="false">IFERROR(IF(N(G183)=0,"",(G184-G182)/G183),"")</f>
        <v/>
      </c>
      <c r="H186" s="50" t="str">
        <f aca="false">IFERROR(IF(N(H183)=0,"",(H184-H182)/H183),"")</f>
        <v/>
      </c>
      <c r="I186" s="50" t="str">
        <f aca="false">IFERROR(IF(N(I183)=0,"",(I184-I182)/I183),"")</f>
        <v/>
      </c>
      <c r="J186" s="50" t="str">
        <f aca="false">IFERROR(IF(N(J183)=0,"",(J184-J182)/J183),"")</f>
        <v/>
      </c>
      <c r="K186" s="50" t="str">
        <f aca="false">IFERROR(IF(N(K183)=0,"",(K184-K182)/K183),"")</f>
        <v/>
      </c>
      <c r="L186" s="50" t="str">
        <f aca="false">IFERROR(IF(N(L183)=0,"",(L184-L182)/L183),"")</f>
        <v/>
      </c>
      <c r="M186" s="50" t="str">
        <f aca="false">IFERROR(IF(N(M183)=0,"",(M184-M182)/M183),"")</f>
        <v/>
      </c>
      <c r="N186" s="50" t="str">
        <f aca="false">IFERROR(IF(N(N183)=0,"",(N184-N182)/N183),"")</f>
        <v/>
      </c>
      <c r="O186" s="68" t="str">
        <f aca="false">IFERROR(IF(N(O183)=0,"",(O184-O182)/O183),"")</f>
        <v/>
      </c>
    </row>
    <row r="187" customFormat="false" ht="15" hidden="true" customHeight="false" outlineLevel="1" collapsed="false">
      <c r="A187" s="11" t="s">
        <v>2548</v>
      </c>
      <c r="B187" s="15" t="s">
        <v>2374</v>
      </c>
      <c r="C187" s="11" t="s">
        <v>367</v>
      </c>
      <c r="D187" s="49" t="str">
        <f aca="false">IFERROR(IF(N(D184)=0,"",1-D182/D184),"")</f>
        <v/>
      </c>
      <c r="E187" s="49" t="str">
        <f aca="false">IFERROR(IF(N(E184)=0,"",1-E182/E184),"")</f>
        <v/>
      </c>
      <c r="F187" s="49" t="str">
        <f aca="false">IFERROR(IF(N(F184)=0,"",1-F182/F184),"")</f>
        <v/>
      </c>
      <c r="G187" s="49" t="str">
        <f aca="false">IFERROR(IF(N(G184)=0,"",1-G182/G184),"")</f>
        <v/>
      </c>
      <c r="H187" s="49" t="str">
        <f aca="false">IFERROR(IF(N(H184)=0,"",1-H182/H184),"")</f>
        <v/>
      </c>
      <c r="I187" s="49" t="str">
        <f aca="false">IFERROR(IF(N(I184)=0,"",1-I182/I184),"")</f>
        <v/>
      </c>
      <c r="J187" s="49" t="str">
        <f aca="false">IFERROR(IF(N(J184)=0,"",1-J182/J184),"")</f>
        <v/>
      </c>
      <c r="K187" s="49" t="str">
        <f aca="false">IFERROR(IF(N(K184)=0,"",1-K182/K184),"")</f>
        <v/>
      </c>
      <c r="L187" s="49" t="str">
        <f aca="false">IFERROR(IF(N(L184)=0,"",1-L182/L184),"")</f>
        <v/>
      </c>
      <c r="M187" s="49" t="str">
        <f aca="false">IFERROR(IF(N(M184)=0,"",1-M182/M184),"")</f>
        <v/>
      </c>
      <c r="N187" s="49" t="str">
        <f aca="false">IFERROR(IF(N(N184)=0,"",1-N182/N184),"")</f>
        <v/>
      </c>
      <c r="O187" s="99" t="str">
        <f aca="false">IFERROR(IF(N(O184)=0,"",1-O182/O184),"")</f>
        <v/>
      </c>
    </row>
    <row r="188" customFormat="false" ht="15" hidden="true" customHeight="false" outlineLevel="1" collapsed="false">
      <c r="A188" s="11" t="s">
        <v>2549</v>
      </c>
      <c r="B188" s="15" t="s">
        <v>2376</v>
      </c>
      <c r="C188" s="11" t="s">
        <v>508</v>
      </c>
      <c r="D188" s="48" t="str">
        <f aca="false">IFERROR(IF(OR(NOT(ISNUMBER(D182)),N(D9)=0),"",D10*D182/D9),"")</f>
        <v/>
      </c>
      <c r="E188" s="48" t="n">
        <f aca="false">IFERROR(IF(OR(NOT(ISNUMBER(E182)),N(E9)=0),"",E10*E182/E9),"")</f>
        <v>0</v>
      </c>
      <c r="F188" s="48" t="n">
        <f aca="false">IFERROR(IF(OR(NOT(ISNUMBER(F182)),N(F9)=0),"",F10*F182/F9),"")</f>
        <v>0</v>
      </c>
      <c r="G188" s="48" t="n">
        <f aca="false">IFERROR(IF(OR(NOT(ISNUMBER(G182)),N(G9)=0),"",G10*G182/G9),"")</f>
        <v>0</v>
      </c>
      <c r="H188" s="48" t="n">
        <f aca="false">IFERROR(IF(OR(NOT(ISNUMBER(H182)),N(H9)=0),"",H10*H182/H9),"")</f>
        <v>0</v>
      </c>
      <c r="I188" s="48" t="n">
        <f aca="false">IFERROR(IF(OR(NOT(ISNUMBER(I182)),N(I9)=0),"",I10*I182/I9),"")</f>
        <v>0</v>
      </c>
      <c r="J188" s="48" t="n">
        <f aca="false">IFERROR(IF(OR(NOT(ISNUMBER(J182)),N(J9)=0),"",J10*J182/J9),"")</f>
        <v>0</v>
      </c>
      <c r="K188" s="48" t="n">
        <f aca="false">IFERROR(IF(OR(NOT(ISNUMBER(K182)),N(K9)=0),"",K10*K182/K9),"")</f>
        <v>0</v>
      </c>
      <c r="L188" s="48" t="n">
        <f aca="false">IFERROR(IF(OR(NOT(ISNUMBER(L182)),N(L9)=0),"",L10*L182/L9),"")</f>
        <v>0</v>
      </c>
      <c r="M188" s="48" t="n">
        <f aca="false">IFERROR(IF(OR(NOT(ISNUMBER(M182)),N(M9)=0),"",M10*M182/M9),"")</f>
        <v>0</v>
      </c>
      <c r="N188" s="48" t="n">
        <f aca="false">IFERROR(IF(OR(NOT(ISNUMBER(N182)),N(N9)=0),"",N10*N182/N9),"")</f>
        <v>0</v>
      </c>
      <c r="O188" s="54" t="n">
        <f aca="false">SUM(D188:N188)</f>
        <v>0</v>
      </c>
    </row>
    <row r="189" customFormat="false" ht="15" hidden="true" customHeight="false" outlineLevel="1" collapsed="false">
      <c r="A189" s="11" t="s">
        <v>2550</v>
      </c>
      <c r="B189" s="15" t="s">
        <v>2378</v>
      </c>
      <c r="C189" s="11" t="s">
        <v>508</v>
      </c>
      <c r="D189" s="48" t="n">
        <f aca="false">IFERROR(IF(COUNT(D182,D188)=0,"",N(D182)+N(D188)),"")</f>
        <v>0</v>
      </c>
      <c r="E189" s="48" t="n">
        <f aca="false">IFERROR(IF(COUNT(E182,E188)=0,"",N(E182)+N(E188)),"")</f>
        <v>0</v>
      </c>
      <c r="F189" s="48" t="n">
        <f aca="false">IFERROR(IF(COUNT(F182,F188)=0,"",N(F182)+N(F188)),"")</f>
        <v>0</v>
      </c>
      <c r="G189" s="48" t="n">
        <f aca="false">IFERROR(IF(COUNT(G182,G188)=0,"",N(G182)+N(G188)),"")</f>
        <v>0</v>
      </c>
      <c r="H189" s="48" t="n">
        <f aca="false">IFERROR(IF(COUNT(H182,H188)=0,"",N(H182)+N(H188)),"")</f>
        <v>0</v>
      </c>
      <c r="I189" s="48" t="n">
        <f aca="false">IFERROR(IF(COUNT(I182,I188)=0,"",N(I182)+N(I188)),"")</f>
        <v>0</v>
      </c>
      <c r="J189" s="48" t="n">
        <f aca="false">IFERROR(IF(COUNT(J182,J188)=0,"",N(J182)+N(J188)),"")</f>
        <v>0</v>
      </c>
      <c r="K189" s="48" t="n">
        <f aca="false">IFERROR(IF(COUNT(K182,K188)=0,"",N(K182)+N(K188)),"")</f>
        <v>0</v>
      </c>
      <c r="L189" s="48" t="n">
        <f aca="false">IFERROR(IF(COUNT(L182,L188)=0,"",N(L182)+N(L188)),"")</f>
        <v>0</v>
      </c>
      <c r="M189" s="48" t="n">
        <f aca="false">IFERROR(IF(COUNT(M182,M188)=0,"",N(M182)+N(M188)),"")</f>
        <v>0</v>
      </c>
      <c r="N189" s="48" t="n">
        <f aca="false">IFERROR(IF(COUNT(N182,N188)=0,"",N(N182)+N(N188)),"")</f>
        <v>0</v>
      </c>
      <c r="O189" s="54" t="n">
        <f aca="false">SUM(D189:N189)</f>
        <v>0</v>
      </c>
    </row>
    <row r="190" customFormat="false" ht="15" hidden="true" customHeight="false" outlineLevel="1" collapsed="false">
      <c r="A190" s="11" t="s">
        <v>2551</v>
      </c>
      <c r="B190" s="15" t="s">
        <v>2380</v>
      </c>
      <c r="C190" s="11" t="s">
        <v>748</v>
      </c>
      <c r="D190" s="50" t="str">
        <f aca="false">IFERROR(IF(OR(NOT(ISNUMBER(D189)),N(D183)=0),"",D189/D183),"")</f>
        <v/>
      </c>
      <c r="E190" s="50" t="str">
        <f aca="false">IFERROR(IF(OR(NOT(ISNUMBER(E189)),N(E183)=0),"",E189/E183),"")</f>
        <v/>
      </c>
      <c r="F190" s="50" t="str">
        <f aca="false">IFERROR(IF(OR(NOT(ISNUMBER(F189)),N(F183)=0),"",F189/F183),"")</f>
        <v/>
      </c>
      <c r="G190" s="50" t="str">
        <f aca="false">IFERROR(IF(OR(NOT(ISNUMBER(G189)),N(G183)=0),"",G189/G183),"")</f>
        <v/>
      </c>
      <c r="H190" s="50" t="str">
        <f aca="false">IFERROR(IF(OR(NOT(ISNUMBER(H189)),N(H183)=0),"",H189/H183),"")</f>
        <v/>
      </c>
      <c r="I190" s="50" t="str">
        <f aca="false">IFERROR(IF(OR(NOT(ISNUMBER(I189)),N(I183)=0),"",I189/I183),"")</f>
        <v/>
      </c>
      <c r="J190" s="50" t="str">
        <f aca="false">IFERROR(IF(OR(NOT(ISNUMBER(J189)),N(J183)=0),"",J189/J183),"")</f>
        <v/>
      </c>
      <c r="K190" s="50" t="str">
        <f aca="false">IFERROR(IF(OR(NOT(ISNUMBER(K189)),N(K183)=0),"",K189/K183),"")</f>
        <v/>
      </c>
      <c r="L190" s="50" t="str">
        <f aca="false">IFERROR(IF(OR(NOT(ISNUMBER(L189)),N(L183)=0),"",L189/L183),"")</f>
        <v/>
      </c>
      <c r="M190" s="50" t="str">
        <f aca="false">IFERROR(IF(OR(NOT(ISNUMBER(M189)),N(M183)=0),"",M189/M183),"")</f>
        <v/>
      </c>
      <c r="N190" s="50" t="str">
        <f aca="false">IFERROR(IF(OR(NOT(ISNUMBER(N189)),N(N183)=0),"",N189/N183),"")</f>
        <v/>
      </c>
      <c r="O190" s="68" t="str">
        <f aca="false">IFERROR(IF(OR(NOT(ISNUMBER(O189)),N(O183)=0),"",O189/O183),"")</f>
        <v/>
      </c>
    </row>
    <row r="191" customFormat="false" ht="15" hidden="true" customHeight="false" outlineLevel="1" collapsed="false">
      <c r="A191" s="11" t="s">
        <v>2552</v>
      </c>
      <c r="B191" s="53" t="str">
        <f aca="false">IF(INDEX(Prod_Nombre,21)="","Producto 21",INDEX(Prod_Nombre,21))&amp;" — costo directo"</f>
        <v>Producto 21 — costo directo</v>
      </c>
      <c r="C191" s="11" t="s">
        <v>508</v>
      </c>
      <c r="D191" s="48" t="n">
        <f aca="false">IF(cu_P=1,(SUMIFS(Calculo!$F$41:$ES$41,Calculo!$F$16:$ES$16,1)*N(INDEX(MP_O,21))*INDEX(IdxMP_O,1,1)*(1+P_dMat)/(1-P_Merma)+SUMIFS(Calculo!$F$41:$ES$41,Calculo!$F$16:$ES$16,1)*N(INDEX(INS_O,21))*INDEX(IdxOV_O,1,1)*(1+P_dMat)/(1-P_Merma)+SUMIFS(Calculo!$F$41:$ES$41,Calculo!$F$16:$ES$16,1)*N(INDEX(OV_O,21))*INDEX(IdxOV_O,1,1)*(1+P_dMat)/(1-P_Merma)),(SUMIFS(Calculo!$F$197:$ES$197,Calculo!$F$172:$ES$172,1)*N(INDEX(MP_V,21))*INDEX(IdxMP_V,1,1)*(1+V_dMat)/(1-V_Merma)+SUMIFS(Calculo!$F$197:$ES$197,Calculo!$F$172:$ES$172,1)*N(INDEX(INS_V,21))*INDEX(IdxOV_V,1,1)*(1+V_dMat)/(1-V_Merma)+SUMIFS(Calculo!$F$197:$ES$197,Calculo!$F$172:$ES$172,1)*N(INDEX(OV_V,21))*INDEX(IdxOV_V,1,1)*(1+V_dMat)/(1-V_Merma)))</f>
        <v>0</v>
      </c>
      <c r="E191" s="48" t="n">
        <f aca="false">IF(cu_P=1,(SUMIFS(Calculo!$F$41:$ES$41,Calculo!$F$14:$ES$14,1)*N(INDEX(MP_O,21))*INDEX(IdxMP_O,1,1)*(1+P_dMat)/(1-P_Merma)+SUMIFS(Calculo!$F$41:$ES$41,Calculo!$F$14:$ES$14,1)*N(INDEX(INS_O,21))*INDEX(IdxOV_O,1,1)*(1+P_dMat)/(1-P_Merma)+SUMIFS(Calculo!$F$41:$ES$41,Calculo!$F$14:$ES$14,1)*N(INDEX(OV_O,21))*INDEX(IdxOV_O,1,1)*(1+P_dMat)/(1-P_Merma)),(SUMIFS(Calculo!$F$197:$ES$197,Calculo!$F$170:$ES$170,1)*N(INDEX(MP_V,21))*INDEX(IdxMP_V,1,1)*(1+V_dMat)/(1-V_Merma)+SUMIFS(Calculo!$F$197:$ES$197,Calculo!$F$170:$ES$170,1)*N(INDEX(INS_V,21))*INDEX(IdxOV_V,1,1)*(1+V_dMat)/(1-V_Merma)+SUMIFS(Calculo!$F$197:$ES$197,Calculo!$F$170:$ES$170,1)*N(INDEX(OV_V,21))*INDEX(IdxOV_V,1,1)*(1+V_dMat)/(1-V_Merma)))</f>
        <v>0</v>
      </c>
      <c r="F191" s="48" t="n">
        <f aca="false">IF(cu_P=1,(SUMIFS(Calculo!$F$41:$ES$41,Calculo!$F$14:$ES$14,2)*N(INDEX(MP_O,21))*INDEX(IdxMP_O,1,2)*(1+P_dMat)/(1-P_Merma)+SUMIFS(Calculo!$F$41:$ES$41,Calculo!$F$14:$ES$14,2)*N(INDEX(INS_O,21))*INDEX(IdxOV_O,1,2)*(1+P_dMat)/(1-P_Merma)+SUMIFS(Calculo!$F$41:$ES$41,Calculo!$F$14:$ES$14,2)*N(INDEX(OV_O,21))*INDEX(IdxOV_O,1,2)*(1+P_dMat)/(1-P_Merma)),(SUMIFS(Calculo!$F$197:$ES$197,Calculo!$F$170:$ES$170,2)*N(INDEX(MP_V,21))*INDEX(IdxMP_V,1,2)*(1+V_dMat)/(1-V_Merma)+SUMIFS(Calculo!$F$197:$ES$197,Calculo!$F$170:$ES$170,2)*N(INDEX(INS_V,21))*INDEX(IdxOV_V,1,2)*(1+V_dMat)/(1-V_Merma)+SUMIFS(Calculo!$F$197:$ES$197,Calculo!$F$170:$ES$170,2)*N(INDEX(OV_V,21))*INDEX(IdxOV_V,1,2)*(1+V_dMat)/(1-V_Merma)))</f>
        <v>0</v>
      </c>
      <c r="G191" s="48" t="n">
        <f aca="false">IF(cu_P=1,(SUMIFS(Calculo!$F$41:$ES$41,Calculo!$F$14:$ES$14,3)*N(INDEX(MP_O,21))*INDEX(IdxMP_O,1,3)*(1+P_dMat)/(1-P_Merma)+SUMIFS(Calculo!$F$41:$ES$41,Calculo!$F$14:$ES$14,3)*N(INDEX(INS_O,21))*INDEX(IdxOV_O,1,3)*(1+P_dMat)/(1-P_Merma)+SUMIFS(Calculo!$F$41:$ES$41,Calculo!$F$14:$ES$14,3)*N(INDEX(OV_O,21))*INDEX(IdxOV_O,1,3)*(1+P_dMat)/(1-P_Merma)),(SUMIFS(Calculo!$F$197:$ES$197,Calculo!$F$170:$ES$170,3)*N(INDEX(MP_V,21))*INDEX(IdxMP_V,1,3)*(1+V_dMat)/(1-V_Merma)+SUMIFS(Calculo!$F$197:$ES$197,Calculo!$F$170:$ES$170,3)*N(INDEX(INS_V,21))*INDEX(IdxOV_V,1,3)*(1+V_dMat)/(1-V_Merma)+SUMIFS(Calculo!$F$197:$ES$197,Calculo!$F$170:$ES$170,3)*N(INDEX(OV_V,21))*INDEX(IdxOV_V,1,3)*(1+V_dMat)/(1-V_Merma)))</f>
        <v>0</v>
      </c>
      <c r="H191" s="48" t="n">
        <f aca="false">IF(cu_P=1,(SUMIFS(Calculo!$F$41:$ES$41,Calculo!$F$14:$ES$14,4)*N(INDEX(MP_O,21))*INDEX(IdxMP_O,1,4)*(1+P_dMat)/(1-P_Merma)+SUMIFS(Calculo!$F$41:$ES$41,Calculo!$F$14:$ES$14,4)*N(INDEX(INS_O,21))*INDEX(IdxOV_O,1,4)*(1+P_dMat)/(1-P_Merma)+SUMIFS(Calculo!$F$41:$ES$41,Calculo!$F$14:$ES$14,4)*N(INDEX(OV_O,21))*INDEX(IdxOV_O,1,4)*(1+P_dMat)/(1-P_Merma)),(SUMIFS(Calculo!$F$197:$ES$197,Calculo!$F$170:$ES$170,4)*N(INDEX(MP_V,21))*INDEX(IdxMP_V,1,4)*(1+V_dMat)/(1-V_Merma)+SUMIFS(Calculo!$F$197:$ES$197,Calculo!$F$170:$ES$170,4)*N(INDEX(INS_V,21))*INDEX(IdxOV_V,1,4)*(1+V_dMat)/(1-V_Merma)+SUMIFS(Calculo!$F$197:$ES$197,Calculo!$F$170:$ES$170,4)*N(INDEX(OV_V,21))*INDEX(IdxOV_V,1,4)*(1+V_dMat)/(1-V_Merma)))</f>
        <v>0</v>
      </c>
      <c r="I191" s="48" t="n">
        <f aca="false">IF(cu_P=1,(SUMIFS(Calculo!$F$41:$ES$41,Calculo!$F$14:$ES$14,5)*N(INDEX(MP_O,21))*INDEX(IdxMP_O,1,5)*(1+P_dMat)/(1-P_Merma)+SUMIFS(Calculo!$F$41:$ES$41,Calculo!$F$14:$ES$14,5)*N(INDEX(INS_O,21))*INDEX(IdxOV_O,1,5)*(1+P_dMat)/(1-P_Merma)+SUMIFS(Calculo!$F$41:$ES$41,Calculo!$F$14:$ES$14,5)*N(INDEX(OV_O,21))*INDEX(IdxOV_O,1,5)*(1+P_dMat)/(1-P_Merma)),(SUMIFS(Calculo!$F$197:$ES$197,Calculo!$F$170:$ES$170,5)*N(INDEX(MP_V,21))*INDEX(IdxMP_V,1,5)*(1+V_dMat)/(1-V_Merma)+SUMIFS(Calculo!$F$197:$ES$197,Calculo!$F$170:$ES$170,5)*N(INDEX(INS_V,21))*INDEX(IdxOV_V,1,5)*(1+V_dMat)/(1-V_Merma)+SUMIFS(Calculo!$F$197:$ES$197,Calculo!$F$170:$ES$170,5)*N(INDEX(OV_V,21))*INDEX(IdxOV_V,1,5)*(1+V_dMat)/(1-V_Merma)))</f>
        <v>0</v>
      </c>
      <c r="J191" s="48" t="n">
        <f aca="false">IF(cu_P=1,(SUMIFS(Calculo!$F$41:$ES$41,Calculo!$F$14:$ES$14,6)*N(INDEX(MP_O,21))*INDEX(IdxMP_O,1,6)*(1+P_dMat)/(1-P_Merma)+SUMIFS(Calculo!$F$41:$ES$41,Calculo!$F$14:$ES$14,6)*N(INDEX(INS_O,21))*INDEX(IdxOV_O,1,6)*(1+P_dMat)/(1-P_Merma)+SUMIFS(Calculo!$F$41:$ES$41,Calculo!$F$14:$ES$14,6)*N(INDEX(OV_O,21))*INDEX(IdxOV_O,1,6)*(1+P_dMat)/(1-P_Merma)),(SUMIFS(Calculo!$F$197:$ES$197,Calculo!$F$170:$ES$170,6)*N(INDEX(MP_V,21))*INDEX(IdxMP_V,1,6)*(1+V_dMat)/(1-V_Merma)+SUMIFS(Calculo!$F$197:$ES$197,Calculo!$F$170:$ES$170,6)*N(INDEX(INS_V,21))*INDEX(IdxOV_V,1,6)*(1+V_dMat)/(1-V_Merma)+SUMIFS(Calculo!$F$197:$ES$197,Calculo!$F$170:$ES$170,6)*N(INDEX(OV_V,21))*INDEX(IdxOV_V,1,6)*(1+V_dMat)/(1-V_Merma)))</f>
        <v>0</v>
      </c>
      <c r="K191" s="48" t="n">
        <f aca="false">IF(cu_P=1,(SUMIFS(Calculo!$F$41:$ES$41,Calculo!$F$14:$ES$14,7)*N(INDEX(MP_O,21))*INDEX(IdxMP_O,1,7)*(1+P_dMat)/(1-P_Merma)+SUMIFS(Calculo!$F$41:$ES$41,Calculo!$F$14:$ES$14,7)*N(INDEX(INS_O,21))*INDEX(IdxOV_O,1,7)*(1+P_dMat)/(1-P_Merma)+SUMIFS(Calculo!$F$41:$ES$41,Calculo!$F$14:$ES$14,7)*N(INDEX(OV_O,21))*INDEX(IdxOV_O,1,7)*(1+P_dMat)/(1-P_Merma)),(SUMIFS(Calculo!$F$197:$ES$197,Calculo!$F$170:$ES$170,7)*N(INDEX(MP_V,21))*INDEX(IdxMP_V,1,7)*(1+V_dMat)/(1-V_Merma)+SUMIFS(Calculo!$F$197:$ES$197,Calculo!$F$170:$ES$170,7)*N(INDEX(INS_V,21))*INDEX(IdxOV_V,1,7)*(1+V_dMat)/(1-V_Merma)+SUMIFS(Calculo!$F$197:$ES$197,Calculo!$F$170:$ES$170,7)*N(INDEX(OV_V,21))*INDEX(IdxOV_V,1,7)*(1+V_dMat)/(1-V_Merma)))</f>
        <v>0</v>
      </c>
      <c r="L191" s="48" t="n">
        <f aca="false">IF(cu_P=1,(SUMIFS(Calculo!$F$41:$ES$41,Calculo!$F$14:$ES$14,8)*N(INDEX(MP_O,21))*INDEX(IdxMP_O,1,8)*(1+P_dMat)/(1-P_Merma)+SUMIFS(Calculo!$F$41:$ES$41,Calculo!$F$14:$ES$14,8)*N(INDEX(INS_O,21))*INDEX(IdxOV_O,1,8)*(1+P_dMat)/(1-P_Merma)+SUMIFS(Calculo!$F$41:$ES$41,Calculo!$F$14:$ES$14,8)*N(INDEX(OV_O,21))*INDEX(IdxOV_O,1,8)*(1+P_dMat)/(1-P_Merma)),(SUMIFS(Calculo!$F$197:$ES$197,Calculo!$F$170:$ES$170,8)*N(INDEX(MP_V,21))*INDEX(IdxMP_V,1,8)*(1+V_dMat)/(1-V_Merma)+SUMIFS(Calculo!$F$197:$ES$197,Calculo!$F$170:$ES$170,8)*N(INDEX(INS_V,21))*INDEX(IdxOV_V,1,8)*(1+V_dMat)/(1-V_Merma)+SUMIFS(Calculo!$F$197:$ES$197,Calculo!$F$170:$ES$170,8)*N(INDEX(OV_V,21))*INDEX(IdxOV_V,1,8)*(1+V_dMat)/(1-V_Merma)))</f>
        <v>0</v>
      </c>
      <c r="M191" s="48" t="n">
        <f aca="false">IF(cu_P=1,(SUMIFS(Calculo!$F$41:$ES$41,Calculo!$F$14:$ES$14,9)*N(INDEX(MP_O,21))*INDEX(IdxMP_O,1,9)*(1+P_dMat)/(1-P_Merma)+SUMIFS(Calculo!$F$41:$ES$41,Calculo!$F$14:$ES$14,9)*N(INDEX(INS_O,21))*INDEX(IdxOV_O,1,9)*(1+P_dMat)/(1-P_Merma)+SUMIFS(Calculo!$F$41:$ES$41,Calculo!$F$14:$ES$14,9)*N(INDEX(OV_O,21))*INDEX(IdxOV_O,1,9)*(1+P_dMat)/(1-P_Merma)),(SUMIFS(Calculo!$F$197:$ES$197,Calculo!$F$170:$ES$170,9)*N(INDEX(MP_V,21))*INDEX(IdxMP_V,1,9)*(1+V_dMat)/(1-V_Merma)+SUMIFS(Calculo!$F$197:$ES$197,Calculo!$F$170:$ES$170,9)*N(INDEX(INS_V,21))*INDEX(IdxOV_V,1,9)*(1+V_dMat)/(1-V_Merma)+SUMIFS(Calculo!$F$197:$ES$197,Calculo!$F$170:$ES$170,9)*N(INDEX(OV_V,21))*INDEX(IdxOV_V,1,9)*(1+V_dMat)/(1-V_Merma)))</f>
        <v>0</v>
      </c>
      <c r="N191" s="48" t="n">
        <f aca="false">IF(cu_P=1,(SUMIFS(Calculo!$F$41:$ES$41,Calculo!$F$14:$ES$14,10)*N(INDEX(MP_O,21))*INDEX(IdxMP_O,1,10)*(1+P_dMat)/(1-P_Merma)+SUMIFS(Calculo!$F$41:$ES$41,Calculo!$F$14:$ES$14,10)*N(INDEX(INS_O,21))*INDEX(IdxOV_O,1,10)*(1+P_dMat)/(1-P_Merma)+SUMIFS(Calculo!$F$41:$ES$41,Calculo!$F$14:$ES$14,10)*N(INDEX(OV_O,21))*INDEX(IdxOV_O,1,10)*(1+P_dMat)/(1-P_Merma)),(SUMIFS(Calculo!$F$197:$ES$197,Calculo!$F$170:$ES$170,10)*N(INDEX(MP_V,21))*INDEX(IdxMP_V,1,10)*(1+V_dMat)/(1-V_Merma)+SUMIFS(Calculo!$F$197:$ES$197,Calculo!$F$170:$ES$170,10)*N(INDEX(INS_V,21))*INDEX(IdxOV_V,1,10)*(1+V_dMat)/(1-V_Merma)+SUMIFS(Calculo!$F$197:$ES$197,Calculo!$F$170:$ES$170,10)*N(INDEX(OV_V,21))*INDEX(IdxOV_V,1,10)*(1+V_dMat)/(1-V_Merma)))</f>
        <v>0</v>
      </c>
      <c r="O191" s="54" t="n">
        <f aca="false">SUM(D191:N191)</f>
        <v>0</v>
      </c>
    </row>
    <row r="192" customFormat="false" ht="15" hidden="true" customHeight="false" outlineLevel="1" collapsed="false">
      <c r="A192" s="11" t="s">
        <v>2553</v>
      </c>
      <c r="B192" s="15" t="s">
        <v>2366</v>
      </c>
      <c r="C192" s="11" t="s">
        <v>544</v>
      </c>
      <c r="D192" s="48" t="n">
        <f aca="false">IF(cu_P=1,SUMIFS(Calculo!$F$41:$ES$41,Calculo!$F$16:$ES$16,1),SUMIFS(Calculo!$F$197:$ES$197,Calculo!$F$172:$ES$172,1))</f>
        <v>0</v>
      </c>
      <c r="E192" s="48" t="n">
        <f aca="false">IF(cu_P=1,SUMIFS(Calculo!$F$41:$ES$41,Calculo!$F$14:$ES$14,1),SUMIFS(Calculo!$F$197:$ES$197,Calculo!$F$170:$ES$170,1))</f>
        <v>0</v>
      </c>
      <c r="F192" s="48" t="n">
        <f aca="false">IF(cu_P=1,SUMIFS(Calculo!$F$41:$ES$41,Calculo!$F$14:$ES$14,2),SUMIFS(Calculo!$F$197:$ES$197,Calculo!$F$170:$ES$170,2))</f>
        <v>0</v>
      </c>
      <c r="G192" s="48" t="n">
        <f aca="false">IF(cu_P=1,SUMIFS(Calculo!$F$41:$ES$41,Calculo!$F$14:$ES$14,3),SUMIFS(Calculo!$F$197:$ES$197,Calculo!$F$170:$ES$170,3))</f>
        <v>0</v>
      </c>
      <c r="H192" s="48" t="n">
        <f aca="false">IF(cu_P=1,SUMIFS(Calculo!$F$41:$ES$41,Calculo!$F$14:$ES$14,4),SUMIFS(Calculo!$F$197:$ES$197,Calculo!$F$170:$ES$170,4))</f>
        <v>0</v>
      </c>
      <c r="I192" s="48" t="n">
        <f aca="false">IF(cu_P=1,SUMIFS(Calculo!$F$41:$ES$41,Calculo!$F$14:$ES$14,5),SUMIFS(Calculo!$F$197:$ES$197,Calculo!$F$170:$ES$170,5))</f>
        <v>0</v>
      </c>
      <c r="J192" s="48" t="n">
        <f aca="false">IF(cu_P=1,SUMIFS(Calculo!$F$41:$ES$41,Calculo!$F$14:$ES$14,6),SUMIFS(Calculo!$F$197:$ES$197,Calculo!$F$170:$ES$170,6))</f>
        <v>0</v>
      </c>
      <c r="K192" s="48" t="n">
        <f aca="false">IF(cu_P=1,SUMIFS(Calculo!$F$41:$ES$41,Calculo!$F$14:$ES$14,7),SUMIFS(Calculo!$F$197:$ES$197,Calculo!$F$170:$ES$170,7))</f>
        <v>0</v>
      </c>
      <c r="L192" s="48" t="n">
        <f aca="false">IF(cu_P=1,SUMIFS(Calculo!$F$41:$ES$41,Calculo!$F$14:$ES$14,8),SUMIFS(Calculo!$F$197:$ES$197,Calculo!$F$170:$ES$170,8))</f>
        <v>0</v>
      </c>
      <c r="M192" s="48" t="n">
        <f aca="false">IF(cu_P=1,SUMIFS(Calculo!$F$41:$ES$41,Calculo!$F$14:$ES$14,9),SUMIFS(Calculo!$F$197:$ES$197,Calculo!$F$170:$ES$170,9))</f>
        <v>0</v>
      </c>
      <c r="N192" s="48" t="n">
        <f aca="false">IF(cu_P=1,SUMIFS(Calculo!$F$41:$ES$41,Calculo!$F$14:$ES$14,10),SUMIFS(Calculo!$F$197:$ES$197,Calculo!$F$170:$ES$170,10))</f>
        <v>0</v>
      </c>
      <c r="O192" s="54" t="n">
        <f aca="false">SUM(D192:N192)</f>
        <v>0</v>
      </c>
    </row>
    <row r="193" customFormat="false" ht="15" hidden="true" customHeight="false" outlineLevel="1" collapsed="false">
      <c r="A193" s="11" t="s">
        <v>2554</v>
      </c>
      <c r="B193" s="15" t="s">
        <v>2368</v>
      </c>
      <c r="C193" s="11" t="s">
        <v>508</v>
      </c>
      <c r="D193" s="48" t="n">
        <f aca="false">IF(cu_P=1,SUMIFS(Calculo!$F$66:$ES$66,Calculo!$F$16:$ES$16,1),SUMIFS(Calculo!$F$222:$ES$222,Calculo!$F$172:$ES$172,1))</f>
        <v>0</v>
      </c>
      <c r="E193" s="48" t="n">
        <f aca="false">IF(cu_P=1,SUMIFS(Calculo!$F$66:$ES$66,Calculo!$F$14:$ES$14,1),SUMIFS(Calculo!$F$222:$ES$222,Calculo!$F$170:$ES$170,1))</f>
        <v>0</v>
      </c>
      <c r="F193" s="48" t="n">
        <f aca="false">IF(cu_P=1,SUMIFS(Calculo!$F$66:$ES$66,Calculo!$F$14:$ES$14,2),SUMIFS(Calculo!$F$222:$ES$222,Calculo!$F$170:$ES$170,2))</f>
        <v>0</v>
      </c>
      <c r="G193" s="48" t="n">
        <f aca="false">IF(cu_P=1,SUMIFS(Calculo!$F$66:$ES$66,Calculo!$F$14:$ES$14,3),SUMIFS(Calculo!$F$222:$ES$222,Calculo!$F$170:$ES$170,3))</f>
        <v>0</v>
      </c>
      <c r="H193" s="48" t="n">
        <f aca="false">IF(cu_P=1,SUMIFS(Calculo!$F$66:$ES$66,Calculo!$F$14:$ES$14,4),SUMIFS(Calculo!$F$222:$ES$222,Calculo!$F$170:$ES$170,4))</f>
        <v>0</v>
      </c>
      <c r="I193" s="48" t="n">
        <f aca="false">IF(cu_P=1,SUMIFS(Calculo!$F$66:$ES$66,Calculo!$F$14:$ES$14,5),SUMIFS(Calculo!$F$222:$ES$222,Calculo!$F$170:$ES$170,5))</f>
        <v>0</v>
      </c>
      <c r="J193" s="48" t="n">
        <f aca="false">IF(cu_P=1,SUMIFS(Calculo!$F$66:$ES$66,Calculo!$F$14:$ES$14,6),SUMIFS(Calculo!$F$222:$ES$222,Calculo!$F$170:$ES$170,6))</f>
        <v>0</v>
      </c>
      <c r="K193" s="48" t="n">
        <f aca="false">IF(cu_P=1,SUMIFS(Calculo!$F$66:$ES$66,Calculo!$F$14:$ES$14,7),SUMIFS(Calculo!$F$222:$ES$222,Calculo!$F$170:$ES$170,7))</f>
        <v>0</v>
      </c>
      <c r="L193" s="48" t="n">
        <f aca="false">IF(cu_P=1,SUMIFS(Calculo!$F$66:$ES$66,Calculo!$F$14:$ES$14,8),SUMIFS(Calculo!$F$222:$ES$222,Calculo!$F$170:$ES$170,8))</f>
        <v>0</v>
      </c>
      <c r="M193" s="48" t="n">
        <f aca="false">IF(cu_P=1,SUMIFS(Calculo!$F$66:$ES$66,Calculo!$F$14:$ES$14,9),SUMIFS(Calculo!$F$222:$ES$222,Calculo!$F$170:$ES$170,9))</f>
        <v>0</v>
      </c>
      <c r="N193" s="48" t="n">
        <f aca="false">IF(cu_P=1,SUMIFS(Calculo!$F$66:$ES$66,Calculo!$F$14:$ES$14,10),SUMIFS(Calculo!$F$222:$ES$222,Calculo!$F$170:$ES$170,10))</f>
        <v>0</v>
      </c>
      <c r="O193" s="54" t="n">
        <f aca="false">SUM(D193:N193)</f>
        <v>0</v>
      </c>
    </row>
    <row r="194" customFormat="false" ht="15" hidden="true" customHeight="false" outlineLevel="1" collapsed="false">
      <c r="A194" s="11" t="s">
        <v>2555</v>
      </c>
      <c r="B194" s="15" t="s">
        <v>2370</v>
      </c>
      <c r="C194" s="11" t="s">
        <v>748</v>
      </c>
      <c r="D194" s="50" t="str">
        <f aca="false">IFERROR(IF(OR(NOT(ISNUMBER(D191)),N(D192)=0),"",D191/D192),"")</f>
        <v/>
      </c>
      <c r="E194" s="50" t="str">
        <f aca="false">IFERROR(IF(OR(NOT(ISNUMBER(E191)),N(E192)=0),"",E191/E192),"")</f>
        <v/>
      </c>
      <c r="F194" s="50" t="str">
        <f aca="false">IFERROR(IF(OR(NOT(ISNUMBER(F191)),N(F192)=0),"",F191/F192),"")</f>
        <v/>
      </c>
      <c r="G194" s="50" t="str">
        <f aca="false">IFERROR(IF(OR(NOT(ISNUMBER(G191)),N(G192)=0),"",G191/G192),"")</f>
        <v/>
      </c>
      <c r="H194" s="50" t="str">
        <f aca="false">IFERROR(IF(OR(NOT(ISNUMBER(H191)),N(H192)=0),"",H191/H192),"")</f>
        <v/>
      </c>
      <c r="I194" s="50" t="str">
        <f aca="false">IFERROR(IF(OR(NOT(ISNUMBER(I191)),N(I192)=0),"",I191/I192),"")</f>
        <v/>
      </c>
      <c r="J194" s="50" t="str">
        <f aca="false">IFERROR(IF(OR(NOT(ISNUMBER(J191)),N(J192)=0),"",J191/J192),"")</f>
        <v/>
      </c>
      <c r="K194" s="50" t="str">
        <f aca="false">IFERROR(IF(OR(NOT(ISNUMBER(K191)),N(K192)=0),"",K191/K192),"")</f>
        <v/>
      </c>
      <c r="L194" s="50" t="str">
        <f aca="false">IFERROR(IF(OR(NOT(ISNUMBER(L191)),N(L192)=0),"",L191/L192),"")</f>
        <v/>
      </c>
      <c r="M194" s="50" t="str">
        <f aca="false">IFERROR(IF(OR(NOT(ISNUMBER(M191)),N(M192)=0),"",M191/M192),"")</f>
        <v/>
      </c>
      <c r="N194" s="50" t="str">
        <f aca="false">IFERROR(IF(OR(NOT(ISNUMBER(N191)),N(N192)=0),"",N191/N192),"")</f>
        <v/>
      </c>
      <c r="O194" s="68" t="str">
        <f aca="false">IFERROR(IF(OR(NOT(ISNUMBER(O191)),N(O192)=0),"",O191/O192),"")</f>
        <v/>
      </c>
    </row>
    <row r="195" customFormat="false" ht="15" hidden="true" customHeight="false" outlineLevel="1" collapsed="false">
      <c r="A195" s="11" t="s">
        <v>2556</v>
      </c>
      <c r="B195" s="15" t="s">
        <v>2372</v>
      </c>
      <c r="C195" s="11" t="s">
        <v>748</v>
      </c>
      <c r="D195" s="50" t="str">
        <f aca="false">IFERROR(IF(N(D192)=0,"",(D193-D191)/D192),"")</f>
        <v/>
      </c>
      <c r="E195" s="50" t="str">
        <f aca="false">IFERROR(IF(N(E192)=0,"",(E193-E191)/E192),"")</f>
        <v/>
      </c>
      <c r="F195" s="50" t="str">
        <f aca="false">IFERROR(IF(N(F192)=0,"",(F193-F191)/F192),"")</f>
        <v/>
      </c>
      <c r="G195" s="50" t="str">
        <f aca="false">IFERROR(IF(N(G192)=0,"",(G193-G191)/G192),"")</f>
        <v/>
      </c>
      <c r="H195" s="50" t="str">
        <f aca="false">IFERROR(IF(N(H192)=0,"",(H193-H191)/H192),"")</f>
        <v/>
      </c>
      <c r="I195" s="50" t="str">
        <f aca="false">IFERROR(IF(N(I192)=0,"",(I193-I191)/I192),"")</f>
        <v/>
      </c>
      <c r="J195" s="50" t="str">
        <f aca="false">IFERROR(IF(N(J192)=0,"",(J193-J191)/J192),"")</f>
        <v/>
      </c>
      <c r="K195" s="50" t="str">
        <f aca="false">IFERROR(IF(N(K192)=0,"",(K193-K191)/K192),"")</f>
        <v/>
      </c>
      <c r="L195" s="50" t="str">
        <f aca="false">IFERROR(IF(N(L192)=0,"",(L193-L191)/L192),"")</f>
        <v/>
      </c>
      <c r="M195" s="50" t="str">
        <f aca="false">IFERROR(IF(N(M192)=0,"",(M193-M191)/M192),"")</f>
        <v/>
      </c>
      <c r="N195" s="50" t="str">
        <f aca="false">IFERROR(IF(N(N192)=0,"",(N193-N191)/N192),"")</f>
        <v/>
      </c>
      <c r="O195" s="68" t="str">
        <f aca="false">IFERROR(IF(N(O192)=0,"",(O193-O191)/O192),"")</f>
        <v/>
      </c>
    </row>
    <row r="196" customFormat="false" ht="15" hidden="true" customHeight="false" outlineLevel="1" collapsed="false">
      <c r="A196" s="11" t="s">
        <v>2557</v>
      </c>
      <c r="B196" s="15" t="s">
        <v>2374</v>
      </c>
      <c r="C196" s="11" t="s">
        <v>367</v>
      </c>
      <c r="D196" s="49" t="str">
        <f aca="false">IFERROR(IF(N(D193)=0,"",1-D191/D193),"")</f>
        <v/>
      </c>
      <c r="E196" s="49" t="str">
        <f aca="false">IFERROR(IF(N(E193)=0,"",1-E191/E193),"")</f>
        <v/>
      </c>
      <c r="F196" s="49" t="str">
        <f aca="false">IFERROR(IF(N(F193)=0,"",1-F191/F193),"")</f>
        <v/>
      </c>
      <c r="G196" s="49" t="str">
        <f aca="false">IFERROR(IF(N(G193)=0,"",1-G191/G193),"")</f>
        <v/>
      </c>
      <c r="H196" s="49" t="str">
        <f aca="false">IFERROR(IF(N(H193)=0,"",1-H191/H193),"")</f>
        <v/>
      </c>
      <c r="I196" s="49" t="str">
        <f aca="false">IFERROR(IF(N(I193)=0,"",1-I191/I193),"")</f>
        <v/>
      </c>
      <c r="J196" s="49" t="str">
        <f aca="false">IFERROR(IF(N(J193)=0,"",1-J191/J193),"")</f>
        <v/>
      </c>
      <c r="K196" s="49" t="str">
        <f aca="false">IFERROR(IF(N(K193)=0,"",1-K191/K193),"")</f>
        <v/>
      </c>
      <c r="L196" s="49" t="str">
        <f aca="false">IFERROR(IF(N(L193)=0,"",1-L191/L193),"")</f>
        <v/>
      </c>
      <c r="M196" s="49" t="str">
        <f aca="false">IFERROR(IF(N(M193)=0,"",1-M191/M193),"")</f>
        <v/>
      </c>
      <c r="N196" s="49" t="str">
        <f aca="false">IFERROR(IF(N(N193)=0,"",1-N191/N193),"")</f>
        <v/>
      </c>
      <c r="O196" s="99" t="str">
        <f aca="false">IFERROR(IF(N(O193)=0,"",1-O191/O193),"")</f>
        <v/>
      </c>
    </row>
    <row r="197" customFormat="false" ht="15" hidden="true" customHeight="false" outlineLevel="1" collapsed="false">
      <c r="A197" s="11" t="s">
        <v>2558</v>
      </c>
      <c r="B197" s="15" t="s">
        <v>2376</v>
      </c>
      <c r="C197" s="11" t="s">
        <v>508</v>
      </c>
      <c r="D197" s="48" t="str">
        <f aca="false">IFERROR(IF(OR(NOT(ISNUMBER(D191)),N(D9)=0),"",D10*D191/D9),"")</f>
        <v/>
      </c>
      <c r="E197" s="48" t="n">
        <f aca="false">IFERROR(IF(OR(NOT(ISNUMBER(E191)),N(E9)=0),"",E10*E191/E9),"")</f>
        <v>0</v>
      </c>
      <c r="F197" s="48" t="n">
        <f aca="false">IFERROR(IF(OR(NOT(ISNUMBER(F191)),N(F9)=0),"",F10*F191/F9),"")</f>
        <v>0</v>
      </c>
      <c r="G197" s="48" t="n">
        <f aca="false">IFERROR(IF(OR(NOT(ISNUMBER(G191)),N(G9)=0),"",G10*G191/G9),"")</f>
        <v>0</v>
      </c>
      <c r="H197" s="48" t="n">
        <f aca="false">IFERROR(IF(OR(NOT(ISNUMBER(H191)),N(H9)=0),"",H10*H191/H9),"")</f>
        <v>0</v>
      </c>
      <c r="I197" s="48" t="n">
        <f aca="false">IFERROR(IF(OR(NOT(ISNUMBER(I191)),N(I9)=0),"",I10*I191/I9),"")</f>
        <v>0</v>
      </c>
      <c r="J197" s="48" t="n">
        <f aca="false">IFERROR(IF(OR(NOT(ISNUMBER(J191)),N(J9)=0),"",J10*J191/J9),"")</f>
        <v>0</v>
      </c>
      <c r="K197" s="48" t="n">
        <f aca="false">IFERROR(IF(OR(NOT(ISNUMBER(K191)),N(K9)=0),"",K10*K191/K9),"")</f>
        <v>0</v>
      </c>
      <c r="L197" s="48" t="n">
        <f aca="false">IFERROR(IF(OR(NOT(ISNUMBER(L191)),N(L9)=0),"",L10*L191/L9),"")</f>
        <v>0</v>
      </c>
      <c r="M197" s="48" t="n">
        <f aca="false">IFERROR(IF(OR(NOT(ISNUMBER(M191)),N(M9)=0),"",M10*M191/M9),"")</f>
        <v>0</v>
      </c>
      <c r="N197" s="48" t="n">
        <f aca="false">IFERROR(IF(OR(NOT(ISNUMBER(N191)),N(N9)=0),"",N10*N191/N9),"")</f>
        <v>0</v>
      </c>
      <c r="O197" s="54" t="n">
        <f aca="false">SUM(D197:N197)</f>
        <v>0</v>
      </c>
    </row>
    <row r="198" customFormat="false" ht="15" hidden="true" customHeight="false" outlineLevel="1" collapsed="false">
      <c r="A198" s="11" t="s">
        <v>2559</v>
      </c>
      <c r="B198" s="15" t="s">
        <v>2378</v>
      </c>
      <c r="C198" s="11" t="s">
        <v>508</v>
      </c>
      <c r="D198" s="48" t="n">
        <f aca="false">IFERROR(IF(COUNT(D191,D197)=0,"",N(D191)+N(D197)),"")</f>
        <v>0</v>
      </c>
      <c r="E198" s="48" t="n">
        <f aca="false">IFERROR(IF(COUNT(E191,E197)=0,"",N(E191)+N(E197)),"")</f>
        <v>0</v>
      </c>
      <c r="F198" s="48" t="n">
        <f aca="false">IFERROR(IF(COUNT(F191,F197)=0,"",N(F191)+N(F197)),"")</f>
        <v>0</v>
      </c>
      <c r="G198" s="48" t="n">
        <f aca="false">IFERROR(IF(COUNT(G191,G197)=0,"",N(G191)+N(G197)),"")</f>
        <v>0</v>
      </c>
      <c r="H198" s="48" t="n">
        <f aca="false">IFERROR(IF(COUNT(H191,H197)=0,"",N(H191)+N(H197)),"")</f>
        <v>0</v>
      </c>
      <c r="I198" s="48" t="n">
        <f aca="false">IFERROR(IF(COUNT(I191,I197)=0,"",N(I191)+N(I197)),"")</f>
        <v>0</v>
      </c>
      <c r="J198" s="48" t="n">
        <f aca="false">IFERROR(IF(COUNT(J191,J197)=0,"",N(J191)+N(J197)),"")</f>
        <v>0</v>
      </c>
      <c r="K198" s="48" t="n">
        <f aca="false">IFERROR(IF(COUNT(K191,K197)=0,"",N(K191)+N(K197)),"")</f>
        <v>0</v>
      </c>
      <c r="L198" s="48" t="n">
        <f aca="false">IFERROR(IF(COUNT(L191,L197)=0,"",N(L191)+N(L197)),"")</f>
        <v>0</v>
      </c>
      <c r="M198" s="48" t="n">
        <f aca="false">IFERROR(IF(COUNT(M191,M197)=0,"",N(M191)+N(M197)),"")</f>
        <v>0</v>
      </c>
      <c r="N198" s="48" t="n">
        <f aca="false">IFERROR(IF(COUNT(N191,N197)=0,"",N(N191)+N(N197)),"")</f>
        <v>0</v>
      </c>
      <c r="O198" s="54" t="n">
        <f aca="false">SUM(D198:N198)</f>
        <v>0</v>
      </c>
    </row>
    <row r="199" customFormat="false" ht="15" hidden="true" customHeight="false" outlineLevel="1" collapsed="false">
      <c r="A199" s="11" t="s">
        <v>2560</v>
      </c>
      <c r="B199" s="15" t="s">
        <v>2380</v>
      </c>
      <c r="C199" s="11" t="s">
        <v>748</v>
      </c>
      <c r="D199" s="50" t="str">
        <f aca="false">IFERROR(IF(OR(NOT(ISNUMBER(D198)),N(D192)=0),"",D198/D192),"")</f>
        <v/>
      </c>
      <c r="E199" s="50" t="str">
        <f aca="false">IFERROR(IF(OR(NOT(ISNUMBER(E198)),N(E192)=0),"",E198/E192),"")</f>
        <v/>
      </c>
      <c r="F199" s="50" t="str">
        <f aca="false">IFERROR(IF(OR(NOT(ISNUMBER(F198)),N(F192)=0),"",F198/F192),"")</f>
        <v/>
      </c>
      <c r="G199" s="50" t="str">
        <f aca="false">IFERROR(IF(OR(NOT(ISNUMBER(G198)),N(G192)=0),"",G198/G192),"")</f>
        <v/>
      </c>
      <c r="H199" s="50" t="str">
        <f aca="false">IFERROR(IF(OR(NOT(ISNUMBER(H198)),N(H192)=0),"",H198/H192),"")</f>
        <v/>
      </c>
      <c r="I199" s="50" t="str">
        <f aca="false">IFERROR(IF(OR(NOT(ISNUMBER(I198)),N(I192)=0),"",I198/I192),"")</f>
        <v/>
      </c>
      <c r="J199" s="50" t="str">
        <f aca="false">IFERROR(IF(OR(NOT(ISNUMBER(J198)),N(J192)=0),"",J198/J192),"")</f>
        <v/>
      </c>
      <c r="K199" s="50" t="str">
        <f aca="false">IFERROR(IF(OR(NOT(ISNUMBER(K198)),N(K192)=0),"",K198/K192),"")</f>
        <v/>
      </c>
      <c r="L199" s="50" t="str">
        <f aca="false">IFERROR(IF(OR(NOT(ISNUMBER(L198)),N(L192)=0),"",L198/L192),"")</f>
        <v/>
      </c>
      <c r="M199" s="50" t="str">
        <f aca="false">IFERROR(IF(OR(NOT(ISNUMBER(M198)),N(M192)=0),"",M198/M192),"")</f>
        <v/>
      </c>
      <c r="N199" s="50" t="str">
        <f aca="false">IFERROR(IF(OR(NOT(ISNUMBER(N198)),N(N192)=0),"",N198/N192),"")</f>
        <v/>
      </c>
      <c r="O199" s="68" t="str">
        <f aca="false">IFERROR(IF(OR(NOT(ISNUMBER(O198)),N(O192)=0),"",O198/O192),"")</f>
        <v/>
      </c>
    </row>
    <row r="200" customFormat="false" ht="15" hidden="true" customHeight="false" outlineLevel="1" collapsed="false">
      <c r="A200" s="11" t="s">
        <v>2561</v>
      </c>
      <c r="B200" s="53" t="str">
        <f aca="false">IF(INDEX(Prod_Nombre,22)="","Producto 22",INDEX(Prod_Nombre,22))&amp;" — costo directo"</f>
        <v>Producto 22 — costo directo</v>
      </c>
      <c r="C200" s="11" t="s">
        <v>508</v>
      </c>
      <c r="D200" s="48" t="n">
        <f aca="false">IF(cu_P=1,(SUMIFS(Calculo!$F$42:$ES$42,Calculo!$F$16:$ES$16,1)*N(INDEX(MP_O,22))*INDEX(IdxMP_O,1,1)*(1+P_dMat)/(1-P_Merma)+SUMIFS(Calculo!$F$42:$ES$42,Calculo!$F$16:$ES$16,1)*N(INDEX(INS_O,22))*INDEX(IdxOV_O,1,1)*(1+P_dMat)/(1-P_Merma)+SUMIFS(Calculo!$F$42:$ES$42,Calculo!$F$16:$ES$16,1)*N(INDEX(OV_O,22))*INDEX(IdxOV_O,1,1)*(1+P_dMat)/(1-P_Merma)),(SUMIFS(Calculo!$F$198:$ES$198,Calculo!$F$172:$ES$172,1)*N(INDEX(MP_V,22))*INDEX(IdxMP_V,1,1)*(1+V_dMat)/(1-V_Merma)+SUMIFS(Calculo!$F$198:$ES$198,Calculo!$F$172:$ES$172,1)*N(INDEX(INS_V,22))*INDEX(IdxOV_V,1,1)*(1+V_dMat)/(1-V_Merma)+SUMIFS(Calculo!$F$198:$ES$198,Calculo!$F$172:$ES$172,1)*N(INDEX(OV_V,22))*INDEX(IdxOV_V,1,1)*(1+V_dMat)/(1-V_Merma)))</f>
        <v>0</v>
      </c>
      <c r="E200" s="48" t="n">
        <f aca="false">IF(cu_P=1,(SUMIFS(Calculo!$F$42:$ES$42,Calculo!$F$14:$ES$14,1)*N(INDEX(MP_O,22))*INDEX(IdxMP_O,1,1)*(1+P_dMat)/(1-P_Merma)+SUMIFS(Calculo!$F$42:$ES$42,Calculo!$F$14:$ES$14,1)*N(INDEX(INS_O,22))*INDEX(IdxOV_O,1,1)*(1+P_dMat)/(1-P_Merma)+SUMIFS(Calculo!$F$42:$ES$42,Calculo!$F$14:$ES$14,1)*N(INDEX(OV_O,22))*INDEX(IdxOV_O,1,1)*(1+P_dMat)/(1-P_Merma)),(SUMIFS(Calculo!$F$198:$ES$198,Calculo!$F$170:$ES$170,1)*N(INDEX(MP_V,22))*INDEX(IdxMP_V,1,1)*(1+V_dMat)/(1-V_Merma)+SUMIFS(Calculo!$F$198:$ES$198,Calculo!$F$170:$ES$170,1)*N(INDEX(INS_V,22))*INDEX(IdxOV_V,1,1)*(1+V_dMat)/(1-V_Merma)+SUMIFS(Calculo!$F$198:$ES$198,Calculo!$F$170:$ES$170,1)*N(INDEX(OV_V,22))*INDEX(IdxOV_V,1,1)*(1+V_dMat)/(1-V_Merma)))</f>
        <v>0</v>
      </c>
      <c r="F200" s="48" t="n">
        <f aca="false">IF(cu_P=1,(SUMIFS(Calculo!$F$42:$ES$42,Calculo!$F$14:$ES$14,2)*N(INDEX(MP_O,22))*INDEX(IdxMP_O,1,2)*(1+P_dMat)/(1-P_Merma)+SUMIFS(Calculo!$F$42:$ES$42,Calculo!$F$14:$ES$14,2)*N(INDEX(INS_O,22))*INDEX(IdxOV_O,1,2)*(1+P_dMat)/(1-P_Merma)+SUMIFS(Calculo!$F$42:$ES$42,Calculo!$F$14:$ES$14,2)*N(INDEX(OV_O,22))*INDEX(IdxOV_O,1,2)*(1+P_dMat)/(1-P_Merma)),(SUMIFS(Calculo!$F$198:$ES$198,Calculo!$F$170:$ES$170,2)*N(INDEX(MP_V,22))*INDEX(IdxMP_V,1,2)*(1+V_dMat)/(1-V_Merma)+SUMIFS(Calculo!$F$198:$ES$198,Calculo!$F$170:$ES$170,2)*N(INDEX(INS_V,22))*INDEX(IdxOV_V,1,2)*(1+V_dMat)/(1-V_Merma)+SUMIFS(Calculo!$F$198:$ES$198,Calculo!$F$170:$ES$170,2)*N(INDEX(OV_V,22))*INDEX(IdxOV_V,1,2)*(1+V_dMat)/(1-V_Merma)))</f>
        <v>0</v>
      </c>
      <c r="G200" s="48" t="n">
        <f aca="false">IF(cu_P=1,(SUMIFS(Calculo!$F$42:$ES$42,Calculo!$F$14:$ES$14,3)*N(INDEX(MP_O,22))*INDEX(IdxMP_O,1,3)*(1+P_dMat)/(1-P_Merma)+SUMIFS(Calculo!$F$42:$ES$42,Calculo!$F$14:$ES$14,3)*N(INDEX(INS_O,22))*INDEX(IdxOV_O,1,3)*(1+P_dMat)/(1-P_Merma)+SUMIFS(Calculo!$F$42:$ES$42,Calculo!$F$14:$ES$14,3)*N(INDEX(OV_O,22))*INDEX(IdxOV_O,1,3)*(1+P_dMat)/(1-P_Merma)),(SUMIFS(Calculo!$F$198:$ES$198,Calculo!$F$170:$ES$170,3)*N(INDEX(MP_V,22))*INDEX(IdxMP_V,1,3)*(1+V_dMat)/(1-V_Merma)+SUMIFS(Calculo!$F$198:$ES$198,Calculo!$F$170:$ES$170,3)*N(INDEX(INS_V,22))*INDEX(IdxOV_V,1,3)*(1+V_dMat)/(1-V_Merma)+SUMIFS(Calculo!$F$198:$ES$198,Calculo!$F$170:$ES$170,3)*N(INDEX(OV_V,22))*INDEX(IdxOV_V,1,3)*(1+V_dMat)/(1-V_Merma)))</f>
        <v>0</v>
      </c>
      <c r="H200" s="48" t="n">
        <f aca="false">IF(cu_P=1,(SUMIFS(Calculo!$F$42:$ES$42,Calculo!$F$14:$ES$14,4)*N(INDEX(MP_O,22))*INDEX(IdxMP_O,1,4)*(1+P_dMat)/(1-P_Merma)+SUMIFS(Calculo!$F$42:$ES$42,Calculo!$F$14:$ES$14,4)*N(INDEX(INS_O,22))*INDEX(IdxOV_O,1,4)*(1+P_dMat)/(1-P_Merma)+SUMIFS(Calculo!$F$42:$ES$42,Calculo!$F$14:$ES$14,4)*N(INDEX(OV_O,22))*INDEX(IdxOV_O,1,4)*(1+P_dMat)/(1-P_Merma)),(SUMIFS(Calculo!$F$198:$ES$198,Calculo!$F$170:$ES$170,4)*N(INDEX(MP_V,22))*INDEX(IdxMP_V,1,4)*(1+V_dMat)/(1-V_Merma)+SUMIFS(Calculo!$F$198:$ES$198,Calculo!$F$170:$ES$170,4)*N(INDEX(INS_V,22))*INDEX(IdxOV_V,1,4)*(1+V_dMat)/(1-V_Merma)+SUMIFS(Calculo!$F$198:$ES$198,Calculo!$F$170:$ES$170,4)*N(INDEX(OV_V,22))*INDEX(IdxOV_V,1,4)*(1+V_dMat)/(1-V_Merma)))</f>
        <v>0</v>
      </c>
      <c r="I200" s="48" t="n">
        <f aca="false">IF(cu_P=1,(SUMIFS(Calculo!$F$42:$ES$42,Calculo!$F$14:$ES$14,5)*N(INDEX(MP_O,22))*INDEX(IdxMP_O,1,5)*(1+P_dMat)/(1-P_Merma)+SUMIFS(Calculo!$F$42:$ES$42,Calculo!$F$14:$ES$14,5)*N(INDEX(INS_O,22))*INDEX(IdxOV_O,1,5)*(1+P_dMat)/(1-P_Merma)+SUMIFS(Calculo!$F$42:$ES$42,Calculo!$F$14:$ES$14,5)*N(INDEX(OV_O,22))*INDEX(IdxOV_O,1,5)*(1+P_dMat)/(1-P_Merma)),(SUMIFS(Calculo!$F$198:$ES$198,Calculo!$F$170:$ES$170,5)*N(INDEX(MP_V,22))*INDEX(IdxMP_V,1,5)*(1+V_dMat)/(1-V_Merma)+SUMIFS(Calculo!$F$198:$ES$198,Calculo!$F$170:$ES$170,5)*N(INDEX(INS_V,22))*INDEX(IdxOV_V,1,5)*(1+V_dMat)/(1-V_Merma)+SUMIFS(Calculo!$F$198:$ES$198,Calculo!$F$170:$ES$170,5)*N(INDEX(OV_V,22))*INDEX(IdxOV_V,1,5)*(1+V_dMat)/(1-V_Merma)))</f>
        <v>0</v>
      </c>
      <c r="J200" s="48" t="n">
        <f aca="false">IF(cu_P=1,(SUMIFS(Calculo!$F$42:$ES$42,Calculo!$F$14:$ES$14,6)*N(INDEX(MP_O,22))*INDEX(IdxMP_O,1,6)*(1+P_dMat)/(1-P_Merma)+SUMIFS(Calculo!$F$42:$ES$42,Calculo!$F$14:$ES$14,6)*N(INDEX(INS_O,22))*INDEX(IdxOV_O,1,6)*(1+P_dMat)/(1-P_Merma)+SUMIFS(Calculo!$F$42:$ES$42,Calculo!$F$14:$ES$14,6)*N(INDEX(OV_O,22))*INDEX(IdxOV_O,1,6)*(1+P_dMat)/(1-P_Merma)),(SUMIFS(Calculo!$F$198:$ES$198,Calculo!$F$170:$ES$170,6)*N(INDEX(MP_V,22))*INDEX(IdxMP_V,1,6)*(1+V_dMat)/(1-V_Merma)+SUMIFS(Calculo!$F$198:$ES$198,Calculo!$F$170:$ES$170,6)*N(INDEX(INS_V,22))*INDEX(IdxOV_V,1,6)*(1+V_dMat)/(1-V_Merma)+SUMIFS(Calculo!$F$198:$ES$198,Calculo!$F$170:$ES$170,6)*N(INDEX(OV_V,22))*INDEX(IdxOV_V,1,6)*(1+V_dMat)/(1-V_Merma)))</f>
        <v>0</v>
      </c>
      <c r="K200" s="48" t="n">
        <f aca="false">IF(cu_P=1,(SUMIFS(Calculo!$F$42:$ES$42,Calculo!$F$14:$ES$14,7)*N(INDEX(MP_O,22))*INDEX(IdxMP_O,1,7)*(1+P_dMat)/(1-P_Merma)+SUMIFS(Calculo!$F$42:$ES$42,Calculo!$F$14:$ES$14,7)*N(INDEX(INS_O,22))*INDEX(IdxOV_O,1,7)*(1+P_dMat)/(1-P_Merma)+SUMIFS(Calculo!$F$42:$ES$42,Calculo!$F$14:$ES$14,7)*N(INDEX(OV_O,22))*INDEX(IdxOV_O,1,7)*(1+P_dMat)/(1-P_Merma)),(SUMIFS(Calculo!$F$198:$ES$198,Calculo!$F$170:$ES$170,7)*N(INDEX(MP_V,22))*INDEX(IdxMP_V,1,7)*(1+V_dMat)/(1-V_Merma)+SUMIFS(Calculo!$F$198:$ES$198,Calculo!$F$170:$ES$170,7)*N(INDEX(INS_V,22))*INDEX(IdxOV_V,1,7)*(1+V_dMat)/(1-V_Merma)+SUMIFS(Calculo!$F$198:$ES$198,Calculo!$F$170:$ES$170,7)*N(INDEX(OV_V,22))*INDEX(IdxOV_V,1,7)*(1+V_dMat)/(1-V_Merma)))</f>
        <v>0</v>
      </c>
      <c r="L200" s="48" t="n">
        <f aca="false">IF(cu_P=1,(SUMIFS(Calculo!$F$42:$ES$42,Calculo!$F$14:$ES$14,8)*N(INDEX(MP_O,22))*INDEX(IdxMP_O,1,8)*(1+P_dMat)/(1-P_Merma)+SUMIFS(Calculo!$F$42:$ES$42,Calculo!$F$14:$ES$14,8)*N(INDEX(INS_O,22))*INDEX(IdxOV_O,1,8)*(1+P_dMat)/(1-P_Merma)+SUMIFS(Calculo!$F$42:$ES$42,Calculo!$F$14:$ES$14,8)*N(INDEX(OV_O,22))*INDEX(IdxOV_O,1,8)*(1+P_dMat)/(1-P_Merma)),(SUMIFS(Calculo!$F$198:$ES$198,Calculo!$F$170:$ES$170,8)*N(INDEX(MP_V,22))*INDEX(IdxMP_V,1,8)*(1+V_dMat)/(1-V_Merma)+SUMIFS(Calculo!$F$198:$ES$198,Calculo!$F$170:$ES$170,8)*N(INDEX(INS_V,22))*INDEX(IdxOV_V,1,8)*(1+V_dMat)/(1-V_Merma)+SUMIFS(Calculo!$F$198:$ES$198,Calculo!$F$170:$ES$170,8)*N(INDEX(OV_V,22))*INDEX(IdxOV_V,1,8)*(1+V_dMat)/(1-V_Merma)))</f>
        <v>0</v>
      </c>
      <c r="M200" s="48" t="n">
        <f aca="false">IF(cu_P=1,(SUMIFS(Calculo!$F$42:$ES$42,Calculo!$F$14:$ES$14,9)*N(INDEX(MP_O,22))*INDEX(IdxMP_O,1,9)*(1+P_dMat)/(1-P_Merma)+SUMIFS(Calculo!$F$42:$ES$42,Calculo!$F$14:$ES$14,9)*N(INDEX(INS_O,22))*INDEX(IdxOV_O,1,9)*(1+P_dMat)/(1-P_Merma)+SUMIFS(Calculo!$F$42:$ES$42,Calculo!$F$14:$ES$14,9)*N(INDEX(OV_O,22))*INDEX(IdxOV_O,1,9)*(1+P_dMat)/(1-P_Merma)),(SUMIFS(Calculo!$F$198:$ES$198,Calculo!$F$170:$ES$170,9)*N(INDEX(MP_V,22))*INDEX(IdxMP_V,1,9)*(1+V_dMat)/(1-V_Merma)+SUMIFS(Calculo!$F$198:$ES$198,Calculo!$F$170:$ES$170,9)*N(INDEX(INS_V,22))*INDEX(IdxOV_V,1,9)*(1+V_dMat)/(1-V_Merma)+SUMIFS(Calculo!$F$198:$ES$198,Calculo!$F$170:$ES$170,9)*N(INDEX(OV_V,22))*INDEX(IdxOV_V,1,9)*(1+V_dMat)/(1-V_Merma)))</f>
        <v>0</v>
      </c>
      <c r="N200" s="48" t="n">
        <f aca="false">IF(cu_P=1,(SUMIFS(Calculo!$F$42:$ES$42,Calculo!$F$14:$ES$14,10)*N(INDEX(MP_O,22))*INDEX(IdxMP_O,1,10)*(1+P_dMat)/(1-P_Merma)+SUMIFS(Calculo!$F$42:$ES$42,Calculo!$F$14:$ES$14,10)*N(INDEX(INS_O,22))*INDEX(IdxOV_O,1,10)*(1+P_dMat)/(1-P_Merma)+SUMIFS(Calculo!$F$42:$ES$42,Calculo!$F$14:$ES$14,10)*N(INDEX(OV_O,22))*INDEX(IdxOV_O,1,10)*(1+P_dMat)/(1-P_Merma)),(SUMIFS(Calculo!$F$198:$ES$198,Calculo!$F$170:$ES$170,10)*N(INDEX(MP_V,22))*INDEX(IdxMP_V,1,10)*(1+V_dMat)/(1-V_Merma)+SUMIFS(Calculo!$F$198:$ES$198,Calculo!$F$170:$ES$170,10)*N(INDEX(INS_V,22))*INDEX(IdxOV_V,1,10)*(1+V_dMat)/(1-V_Merma)+SUMIFS(Calculo!$F$198:$ES$198,Calculo!$F$170:$ES$170,10)*N(INDEX(OV_V,22))*INDEX(IdxOV_V,1,10)*(1+V_dMat)/(1-V_Merma)))</f>
        <v>0</v>
      </c>
      <c r="O200" s="54" t="n">
        <f aca="false">SUM(D200:N200)</f>
        <v>0</v>
      </c>
    </row>
    <row r="201" customFormat="false" ht="15" hidden="true" customHeight="false" outlineLevel="1" collapsed="false">
      <c r="A201" s="11" t="s">
        <v>2562</v>
      </c>
      <c r="B201" s="15" t="s">
        <v>2366</v>
      </c>
      <c r="C201" s="11" t="s">
        <v>544</v>
      </c>
      <c r="D201" s="48" t="n">
        <f aca="false">IF(cu_P=1,SUMIFS(Calculo!$F$42:$ES$42,Calculo!$F$16:$ES$16,1),SUMIFS(Calculo!$F$198:$ES$198,Calculo!$F$172:$ES$172,1))</f>
        <v>0</v>
      </c>
      <c r="E201" s="48" t="n">
        <f aca="false">IF(cu_P=1,SUMIFS(Calculo!$F$42:$ES$42,Calculo!$F$14:$ES$14,1),SUMIFS(Calculo!$F$198:$ES$198,Calculo!$F$170:$ES$170,1))</f>
        <v>0</v>
      </c>
      <c r="F201" s="48" t="n">
        <f aca="false">IF(cu_P=1,SUMIFS(Calculo!$F$42:$ES$42,Calculo!$F$14:$ES$14,2),SUMIFS(Calculo!$F$198:$ES$198,Calculo!$F$170:$ES$170,2))</f>
        <v>0</v>
      </c>
      <c r="G201" s="48" t="n">
        <f aca="false">IF(cu_P=1,SUMIFS(Calculo!$F$42:$ES$42,Calculo!$F$14:$ES$14,3),SUMIFS(Calculo!$F$198:$ES$198,Calculo!$F$170:$ES$170,3))</f>
        <v>0</v>
      </c>
      <c r="H201" s="48" t="n">
        <f aca="false">IF(cu_P=1,SUMIFS(Calculo!$F$42:$ES$42,Calculo!$F$14:$ES$14,4),SUMIFS(Calculo!$F$198:$ES$198,Calculo!$F$170:$ES$170,4))</f>
        <v>0</v>
      </c>
      <c r="I201" s="48" t="n">
        <f aca="false">IF(cu_P=1,SUMIFS(Calculo!$F$42:$ES$42,Calculo!$F$14:$ES$14,5),SUMIFS(Calculo!$F$198:$ES$198,Calculo!$F$170:$ES$170,5))</f>
        <v>0</v>
      </c>
      <c r="J201" s="48" t="n">
        <f aca="false">IF(cu_P=1,SUMIFS(Calculo!$F$42:$ES$42,Calculo!$F$14:$ES$14,6),SUMIFS(Calculo!$F$198:$ES$198,Calculo!$F$170:$ES$170,6))</f>
        <v>0</v>
      </c>
      <c r="K201" s="48" t="n">
        <f aca="false">IF(cu_P=1,SUMIFS(Calculo!$F$42:$ES$42,Calculo!$F$14:$ES$14,7),SUMIFS(Calculo!$F$198:$ES$198,Calculo!$F$170:$ES$170,7))</f>
        <v>0</v>
      </c>
      <c r="L201" s="48" t="n">
        <f aca="false">IF(cu_P=1,SUMIFS(Calculo!$F$42:$ES$42,Calculo!$F$14:$ES$14,8),SUMIFS(Calculo!$F$198:$ES$198,Calculo!$F$170:$ES$170,8))</f>
        <v>0</v>
      </c>
      <c r="M201" s="48" t="n">
        <f aca="false">IF(cu_P=1,SUMIFS(Calculo!$F$42:$ES$42,Calculo!$F$14:$ES$14,9),SUMIFS(Calculo!$F$198:$ES$198,Calculo!$F$170:$ES$170,9))</f>
        <v>0</v>
      </c>
      <c r="N201" s="48" t="n">
        <f aca="false">IF(cu_P=1,SUMIFS(Calculo!$F$42:$ES$42,Calculo!$F$14:$ES$14,10),SUMIFS(Calculo!$F$198:$ES$198,Calculo!$F$170:$ES$170,10))</f>
        <v>0</v>
      </c>
      <c r="O201" s="54" t="n">
        <f aca="false">SUM(D201:N201)</f>
        <v>0</v>
      </c>
    </row>
    <row r="202" customFormat="false" ht="15" hidden="true" customHeight="false" outlineLevel="1" collapsed="false">
      <c r="A202" s="11" t="s">
        <v>2563</v>
      </c>
      <c r="B202" s="15" t="s">
        <v>2368</v>
      </c>
      <c r="C202" s="11" t="s">
        <v>508</v>
      </c>
      <c r="D202" s="48" t="n">
        <f aca="false">IF(cu_P=1,SUMIFS(Calculo!$F$67:$ES$67,Calculo!$F$16:$ES$16,1),SUMIFS(Calculo!$F$223:$ES$223,Calculo!$F$172:$ES$172,1))</f>
        <v>0</v>
      </c>
      <c r="E202" s="48" t="n">
        <f aca="false">IF(cu_P=1,SUMIFS(Calculo!$F$67:$ES$67,Calculo!$F$14:$ES$14,1),SUMIFS(Calculo!$F$223:$ES$223,Calculo!$F$170:$ES$170,1))</f>
        <v>0</v>
      </c>
      <c r="F202" s="48" t="n">
        <f aca="false">IF(cu_P=1,SUMIFS(Calculo!$F$67:$ES$67,Calculo!$F$14:$ES$14,2),SUMIFS(Calculo!$F$223:$ES$223,Calculo!$F$170:$ES$170,2))</f>
        <v>0</v>
      </c>
      <c r="G202" s="48" t="n">
        <f aca="false">IF(cu_P=1,SUMIFS(Calculo!$F$67:$ES$67,Calculo!$F$14:$ES$14,3),SUMIFS(Calculo!$F$223:$ES$223,Calculo!$F$170:$ES$170,3))</f>
        <v>0</v>
      </c>
      <c r="H202" s="48" t="n">
        <f aca="false">IF(cu_P=1,SUMIFS(Calculo!$F$67:$ES$67,Calculo!$F$14:$ES$14,4),SUMIFS(Calculo!$F$223:$ES$223,Calculo!$F$170:$ES$170,4))</f>
        <v>0</v>
      </c>
      <c r="I202" s="48" t="n">
        <f aca="false">IF(cu_P=1,SUMIFS(Calculo!$F$67:$ES$67,Calculo!$F$14:$ES$14,5),SUMIFS(Calculo!$F$223:$ES$223,Calculo!$F$170:$ES$170,5))</f>
        <v>0</v>
      </c>
      <c r="J202" s="48" t="n">
        <f aca="false">IF(cu_P=1,SUMIFS(Calculo!$F$67:$ES$67,Calculo!$F$14:$ES$14,6),SUMIFS(Calculo!$F$223:$ES$223,Calculo!$F$170:$ES$170,6))</f>
        <v>0</v>
      </c>
      <c r="K202" s="48" t="n">
        <f aca="false">IF(cu_P=1,SUMIFS(Calculo!$F$67:$ES$67,Calculo!$F$14:$ES$14,7),SUMIFS(Calculo!$F$223:$ES$223,Calculo!$F$170:$ES$170,7))</f>
        <v>0</v>
      </c>
      <c r="L202" s="48" t="n">
        <f aca="false">IF(cu_P=1,SUMIFS(Calculo!$F$67:$ES$67,Calculo!$F$14:$ES$14,8),SUMIFS(Calculo!$F$223:$ES$223,Calculo!$F$170:$ES$170,8))</f>
        <v>0</v>
      </c>
      <c r="M202" s="48" t="n">
        <f aca="false">IF(cu_P=1,SUMIFS(Calculo!$F$67:$ES$67,Calculo!$F$14:$ES$14,9),SUMIFS(Calculo!$F$223:$ES$223,Calculo!$F$170:$ES$170,9))</f>
        <v>0</v>
      </c>
      <c r="N202" s="48" t="n">
        <f aca="false">IF(cu_P=1,SUMIFS(Calculo!$F$67:$ES$67,Calculo!$F$14:$ES$14,10),SUMIFS(Calculo!$F$223:$ES$223,Calculo!$F$170:$ES$170,10))</f>
        <v>0</v>
      </c>
      <c r="O202" s="54" t="n">
        <f aca="false">SUM(D202:N202)</f>
        <v>0</v>
      </c>
    </row>
    <row r="203" customFormat="false" ht="15" hidden="true" customHeight="false" outlineLevel="1" collapsed="false">
      <c r="A203" s="11" t="s">
        <v>2564</v>
      </c>
      <c r="B203" s="15" t="s">
        <v>2370</v>
      </c>
      <c r="C203" s="11" t="s">
        <v>748</v>
      </c>
      <c r="D203" s="50" t="str">
        <f aca="false">IFERROR(IF(OR(NOT(ISNUMBER(D200)),N(D201)=0),"",D200/D201),"")</f>
        <v/>
      </c>
      <c r="E203" s="50" t="str">
        <f aca="false">IFERROR(IF(OR(NOT(ISNUMBER(E200)),N(E201)=0),"",E200/E201),"")</f>
        <v/>
      </c>
      <c r="F203" s="50" t="str">
        <f aca="false">IFERROR(IF(OR(NOT(ISNUMBER(F200)),N(F201)=0),"",F200/F201),"")</f>
        <v/>
      </c>
      <c r="G203" s="50" t="str">
        <f aca="false">IFERROR(IF(OR(NOT(ISNUMBER(G200)),N(G201)=0),"",G200/G201),"")</f>
        <v/>
      </c>
      <c r="H203" s="50" t="str">
        <f aca="false">IFERROR(IF(OR(NOT(ISNUMBER(H200)),N(H201)=0),"",H200/H201),"")</f>
        <v/>
      </c>
      <c r="I203" s="50" t="str">
        <f aca="false">IFERROR(IF(OR(NOT(ISNUMBER(I200)),N(I201)=0),"",I200/I201),"")</f>
        <v/>
      </c>
      <c r="J203" s="50" t="str">
        <f aca="false">IFERROR(IF(OR(NOT(ISNUMBER(J200)),N(J201)=0),"",J200/J201),"")</f>
        <v/>
      </c>
      <c r="K203" s="50" t="str">
        <f aca="false">IFERROR(IF(OR(NOT(ISNUMBER(K200)),N(K201)=0),"",K200/K201),"")</f>
        <v/>
      </c>
      <c r="L203" s="50" t="str">
        <f aca="false">IFERROR(IF(OR(NOT(ISNUMBER(L200)),N(L201)=0),"",L200/L201),"")</f>
        <v/>
      </c>
      <c r="M203" s="50" t="str">
        <f aca="false">IFERROR(IF(OR(NOT(ISNUMBER(M200)),N(M201)=0),"",M200/M201),"")</f>
        <v/>
      </c>
      <c r="N203" s="50" t="str">
        <f aca="false">IFERROR(IF(OR(NOT(ISNUMBER(N200)),N(N201)=0),"",N200/N201),"")</f>
        <v/>
      </c>
      <c r="O203" s="68" t="str">
        <f aca="false">IFERROR(IF(OR(NOT(ISNUMBER(O200)),N(O201)=0),"",O200/O201),"")</f>
        <v/>
      </c>
    </row>
    <row r="204" customFormat="false" ht="15" hidden="true" customHeight="false" outlineLevel="1" collapsed="false">
      <c r="A204" s="11" t="s">
        <v>2565</v>
      </c>
      <c r="B204" s="15" t="s">
        <v>2372</v>
      </c>
      <c r="C204" s="11" t="s">
        <v>748</v>
      </c>
      <c r="D204" s="50" t="str">
        <f aca="false">IFERROR(IF(N(D201)=0,"",(D202-D200)/D201),"")</f>
        <v/>
      </c>
      <c r="E204" s="50" t="str">
        <f aca="false">IFERROR(IF(N(E201)=0,"",(E202-E200)/E201),"")</f>
        <v/>
      </c>
      <c r="F204" s="50" t="str">
        <f aca="false">IFERROR(IF(N(F201)=0,"",(F202-F200)/F201),"")</f>
        <v/>
      </c>
      <c r="G204" s="50" t="str">
        <f aca="false">IFERROR(IF(N(G201)=0,"",(G202-G200)/G201),"")</f>
        <v/>
      </c>
      <c r="H204" s="50" t="str">
        <f aca="false">IFERROR(IF(N(H201)=0,"",(H202-H200)/H201),"")</f>
        <v/>
      </c>
      <c r="I204" s="50" t="str">
        <f aca="false">IFERROR(IF(N(I201)=0,"",(I202-I200)/I201),"")</f>
        <v/>
      </c>
      <c r="J204" s="50" t="str">
        <f aca="false">IFERROR(IF(N(J201)=0,"",(J202-J200)/J201),"")</f>
        <v/>
      </c>
      <c r="K204" s="50" t="str">
        <f aca="false">IFERROR(IF(N(K201)=0,"",(K202-K200)/K201),"")</f>
        <v/>
      </c>
      <c r="L204" s="50" t="str">
        <f aca="false">IFERROR(IF(N(L201)=0,"",(L202-L200)/L201),"")</f>
        <v/>
      </c>
      <c r="M204" s="50" t="str">
        <f aca="false">IFERROR(IF(N(M201)=0,"",(M202-M200)/M201),"")</f>
        <v/>
      </c>
      <c r="N204" s="50" t="str">
        <f aca="false">IFERROR(IF(N(N201)=0,"",(N202-N200)/N201),"")</f>
        <v/>
      </c>
      <c r="O204" s="68" t="str">
        <f aca="false">IFERROR(IF(N(O201)=0,"",(O202-O200)/O201),"")</f>
        <v/>
      </c>
    </row>
    <row r="205" customFormat="false" ht="15" hidden="true" customHeight="false" outlineLevel="1" collapsed="false">
      <c r="A205" s="11" t="s">
        <v>2566</v>
      </c>
      <c r="B205" s="15" t="s">
        <v>2374</v>
      </c>
      <c r="C205" s="11" t="s">
        <v>367</v>
      </c>
      <c r="D205" s="49" t="str">
        <f aca="false">IFERROR(IF(N(D202)=0,"",1-D200/D202),"")</f>
        <v/>
      </c>
      <c r="E205" s="49" t="str">
        <f aca="false">IFERROR(IF(N(E202)=0,"",1-E200/E202),"")</f>
        <v/>
      </c>
      <c r="F205" s="49" t="str">
        <f aca="false">IFERROR(IF(N(F202)=0,"",1-F200/F202),"")</f>
        <v/>
      </c>
      <c r="G205" s="49" t="str">
        <f aca="false">IFERROR(IF(N(G202)=0,"",1-G200/G202),"")</f>
        <v/>
      </c>
      <c r="H205" s="49" t="str">
        <f aca="false">IFERROR(IF(N(H202)=0,"",1-H200/H202),"")</f>
        <v/>
      </c>
      <c r="I205" s="49" t="str">
        <f aca="false">IFERROR(IF(N(I202)=0,"",1-I200/I202),"")</f>
        <v/>
      </c>
      <c r="J205" s="49" t="str">
        <f aca="false">IFERROR(IF(N(J202)=0,"",1-J200/J202),"")</f>
        <v/>
      </c>
      <c r="K205" s="49" t="str">
        <f aca="false">IFERROR(IF(N(K202)=0,"",1-K200/K202),"")</f>
        <v/>
      </c>
      <c r="L205" s="49" t="str">
        <f aca="false">IFERROR(IF(N(L202)=0,"",1-L200/L202),"")</f>
        <v/>
      </c>
      <c r="M205" s="49" t="str">
        <f aca="false">IFERROR(IF(N(M202)=0,"",1-M200/M202),"")</f>
        <v/>
      </c>
      <c r="N205" s="49" t="str">
        <f aca="false">IFERROR(IF(N(N202)=0,"",1-N200/N202),"")</f>
        <v/>
      </c>
      <c r="O205" s="99" t="str">
        <f aca="false">IFERROR(IF(N(O202)=0,"",1-O200/O202),"")</f>
        <v/>
      </c>
    </row>
    <row r="206" customFormat="false" ht="15" hidden="true" customHeight="false" outlineLevel="1" collapsed="false">
      <c r="A206" s="11" t="s">
        <v>2567</v>
      </c>
      <c r="B206" s="15" t="s">
        <v>2376</v>
      </c>
      <c r="C206" s="11" t="s">
        <v>508</v>
      </c>
      <c r="D206" s="48" t="str">
        <f aca="false">IFERROR(IF(OR(NOT(ISNUMBER(D200)),N(D9)=0),"",D10*D200/D9),"")</f>
        <v/>
      </c>
      <c r="E206" s="48" t="n">
        <f aca="false">IFERROR(IF(OR(NOT(ISNUMBER(E200)),N(E9)=0),"",E10*E200/E9),"")</f>
        <v>0</v>
      </c>
      <c r="F206" s="48" t="n">
        <f aca="false">IFERROR(IF(OR(NOT(ISNUMBER(F200)),N(F9)=0),"",F10*F200/F9),"")</f>
        <v>0</v>
      </c>
      <c r="G206" s="48" t="n">
        <f aca="false">IFERROR(IF(OR(NOT(ISNUMBER(G200)),N(G9)=0),"",G10*G200/G9),"")</f>
        <v>0</v>
      </c>
      <c r="H206" s="48" t="n">
        <f aca="false">IFERROR(IF(OR(NOT(ISNUMBER(H200)),N(H9)=0),"",H10*H200/H9),"")</f>
        <v>0</v>
      </c>
      <c r="I206" s="48" t="n">
        <f aca="false">IFERROR(IF(OR(NOT(ISNUMBER(I200)),N(I9)=0),"",I10*I200/I9),"")</f>
        <v>0</v>
      </c>
      <c r="J206" s="48" t="n">
        <f aca="false">IFERROR(IF(OR(NOT(ISNUMBER(J200)),N(J9)=0),"",J10*J200/J9),"")</f>
        <v>0</v>
      </c>
      <c r="K206" s="48" t="n">
        <f aca="false">IFERROR(IF(OR(NOT(ISNUMBER(K200)),N(K9)=0),"",K10*K200/K9),"")</f>
        <v>0</v>
      </c>
      <c r="L206" s="48" t="n">
        <f aca="false">IFERROR(IF(OR(NOT(ISNUMBER(L200)),N(L9)=0),"",L10*L200/L9),"")</f>
        <v>0</v>
      </c>
      <c r="M206" s="48" t="n">
        <f aca="false">IFERROR(IF(OR(NOT(ISNUMBER(M200)),N(M9)=0),"",M10*M200/M9),"")</f>
        <v>0</v>
      </c>
      <c r="N206" s="48" t="n">
        <f aca="false">IFERROR(IF(OR(NOT(ISNUMBER(N200)),N(N9)=0),"",N10*N200/N9),"")</f>
        <v>0</v>
      </c>
      <c r="O206" s="54" t="n">
        <f aca="false">SUM(D206:N206)</f>
        <v>0</v>
      </c>
    </row>
    <row r="207" customFormat="false" ht="15" hidden="true" customHeight="false" outlineLevel="1" collapsed="false">
      <c r="A207" s="11" t="s">
        <v>2568</v>
      </c>
      <c r="B207" s="15" t="s">
        <v>2378</v>
      </c>
      <c r="C207" s="11" t="s">
        <v>508</v>
      </c>
      <c r="D207" s="48" t="n">
        <f aca="false">IFERROR(IF(COUNT(D200,D206)=0,"",N(D200)+N(D206)),"")</f>
        <v>0</v>
      </c>
      <c r="E207" s="48" t="n">
        <f aca="false">IFERROR(IF(COUNT(E200,E206)=0,"",N(E200)+N(E206)),"")</f>
        <v>0</v>
      </c>
      <c r="F207" s="48" t="n">
        <f aca="false">IFERROR(IF(COUNT(F200,F206)=0,"",N(F200)+N(F206)),"")</f>
        <v>0</v>
      </c>
      <c r="G207" s="48" t="n">
        <f aca="false">IFERROR(IF(COUNT(G200,G206)=0,"",N(G200)+N(G206)),"")</f>
        <v>0</v>
      </c>
      <c r="H207" s="48" t="n">
        <f aca="false">IFERROR(IF(COUNT(H200,H206)=0,"",N(H200)+N(H206)),"")</f>
        <v>0</v>
      </c>
      <c r="I207" s="48" t="n">
        <f aca="false">IFERROR(IF(COUNT(I200,I206)=0,"",N(I200)+N(I206)),"")</f>
        <v>0</v>
      </c>
      <c r="J207" s="48" t="n">
        <f aca="false">IFERROR(IF(COUNT(J200,J206)=0,"",N(J200)+N(J206)),"")</f>
        <v>0</v>
      </c>
      <c r="K207" s="48" t="n">
        <f aca="false">IFERROR(IF(COUNT(K200,K206)=0,"",N(K200)+N(K206)),"")</f>
        <v>0</v>
      </c>
      <c r="L207" s="48" t="n">
        <f aca="false">IFERROR(IF(COUNT(L200,L206)=0,"",N(L200)+N(L206)),"")</f>
        <v>0</v>
      </c>
      <c r="M207" s="48" t="n">
        <f aca="false">IFERROR(IF(COUNT(M200,M206)=0,"",N(M200)+N(M206)),"")</f>
        <v>0</v>
      </c>
      <c r="N207" s="48" t="n">
        <f aca="false">IFERROR(IF(COUNT(N200,N206)=0,"",N(N200)+N(N206)),"")</f>
        <v>0</v>
      </c>
      <c r="O207" s="54" t="n">
        <f aca="false">SUM(D207:N207)</f>
        <v>0</v>
      </c>
    </row>
    <row r="208" customFormat="false" ht="15" hidden="true" customHeight="false" outlineLevel="1" collapsed="false">
      <c r="A208" s="11" t="s">
        <v>2569</v>
      </c>
      <c r="B208" s="15" t="s">
        <v>2380</v>
      </c>
      <c r="C208" s="11" t="s">
        <v>748</v>
      </c>
      <c r="D208" s="50" t="str">
        <f aca="false">IFERROR(IF(OR(NOT(ISNUMBER(D207)),N(D201)=0),"",D207/D201),"")</f>
        <v/>
      </c>
      <c r="E208" s="50" t="str">
        <f aca="false">IFERROR(IF(OR(NOT(ISNUMBER(E207)),N(E201)=0),"",E207/E201),"")</f>
        <v/>
      </c>
      <c r="F208" s="50" t="str">
        <f aca="false">IFERROR(IF(OR(NOT(ISNUMBER(F207)),N(F201)=0),"",F207/F201),"")</f>
        <v/>
      </c>
      <c r="G208" s="50" t="str">
        <f aca="false">IFERROR(IF(OR(NOT(ISNUMBER(G207)),N(G201)=0),"",G207/G201),"")</f>
        <v/>
      </c>
      <c r="H208" s="50" t="str">
        <f aca="false">IFERROR(IF(OR(NOT(ISNUMBER(H207)),N(H201)=0),"",H207/H201),"")</f>
        <v/>
      </c>
      <c r="I208" s="50" t="str">
        <f aca="false">IFERROR(IF(OR(NOT(ISNUMBER(I207)),N(I201)=0),"",I207/I201),"")</f>
        <v/>
      </c>
      <c r="J208" s="50" t="str">
        <f aca="false">IFERROR(IF(OR(NOT(ISNUMBER(J207)),N(J201)=0),"",J207/J201),"")</f>
        <v/>
      </c>
      <c r="K208" s="50" t="str">
        <f aca="false">IFERROR(IF(OR(NOT(ISNUMBER(K207)),N(K201)=0),"",K207/K201),"")</f>
        <v/>
      </c>
      <c r="L208" s="50" t="str">
        <f aca="false">IFERROR(IF(OR(NOT(ISNUMBER(L207)),N(L201)=0),"",L207/L201),"")</f>
        <v/>
      </c>
      <c r="M208" s="50" t="str">
        <f aca="false">IFERROR(IF(OR(NOT(ISNUMBER(M207)),N(M201)=0),"",M207/M201),"")</f>
        <v/>
      </c>
      <c r="N208" s="50" t="str">
        <f aca="false">IFERROR(IF(OR(NOT(ISNUMBER(N207)),N(N201)=0),"",N207/N201),"")</f>
        <v/>
      </c>
      <c r="O208" s="68" t="str">
        <f aca="false">IFERROR(IF(OR(NOT(ISNUMBER(O207)),N(O201)=0),"",O207/O201),"")</f>
        <v/>
      </c>
    </row>
    <row r="209" customFormat="false" ht="15" hidden="true" customHeight="false" outlineLevel="1" collapsed="false">
      <c r="A209" s="11" t="s">
        <v>2570</v>
      </c>
      <c r="B209" s="53" t="str">
        <f aca="false">IF(INDEX(Prod_Nombre,23)="","Producto 23",INDEX(Prod_Nombre,23))&amp;" — costo directo"</f>
        <v>Producto 23 — costo directo</v>
      </c>
      <c r="C209" s="11" t="s">
        <v>508</v>
      </c>
      <c r="D209" s="48" t="n">
        <f aca="false">IF(cu_P=1,(SUMIFS(Calculo!$F$43:$ES$43,Calculo!$F$16:$ES$16,1)*N(INDEX(MP_O,23))*INDEX(IdxMP_O,1,1)*(1+P_dMat)/(1-P_Merma)+SUMIFS(Calculo!$F$43:$ES$43,Calculo!$F$16:$ES$16,1)*N(INDEX(INS_O,23))*INDEX(IdxOV_O,1,1)*(1+P_dMat)/(1-P_Merma)+SUMIFS(Calculo!$F$43:$ES$43,Calculo!$F$16:$ES$16,1)*N(INDEX(OV_O,23))*INDEX(IdxOV_O,1,1)*(1+P_dMat)/(1-P_Merma)),(SUMIFS(Calculo!$F$199:$ES$199,Calculo!$F$172:$ES$172,1)*N(INDEX(MP_V,23))*INDEX(IdxMP_V,1,1)*(1+V_dMat)/(1-V_Merma)+SUMIFS(Calculo!$F$199:$ES$199,Calculo!$F$172:$ES$172,1)*N(INDEX(INS_V,23))*INDEX(IdxOV_V,1,1)*(1+V_dMat)/(1-V_Merma)+SUMIFS(Calculo!$F$199:$ES$199,Calculo!$F$172:$ES$172,1)*N(INDEX(OV_V,23))*INDEX(IdxOV_V,1,1)*(1+V_dMat)/(1-V_Merma)))</f>
        <v>0</v>
      </c>
      <c r="E209" s="48" t="n">
        <f aca="false">IF(cu_P=1,(SUMIFS(Calculo!$F$43:$ES$43,Calculo!$F$14:$ES$14,1)*N(INDEX(MP_O,23))*INDEX(IdxMP_O,1,1)*(1+P_dMat)/(1-P_Merma)+SUMIFS(Calculo!$F$43:$ES$43,Calculo!$F$14:$ES$14,1)*N(INDEX(INS_O,23))*INDEX(IdxOV_O,1,1)*(1+P_dMat)/(1-P_Merma)+SUMIFS(Calculo!$F$43:$ES$43,Calculo!$F$14:$ES$14,1)*N(INDEX(OV_O,23))*INDEX(IdxOV_O,1,1)*(1+P_dMat)/(1-P_Merma)),(SUMIFS(Calculo!$F$199:$ES$199,Calculo!$F$170:$ES$170,1)*N(INDEX(MP_V,23))*INDEX(IdxMP_V,1,1)*(1+V_dMat)/(1-V_Merma)+SUMIFS(Calculo!$F$199:$ES$199,Calculo!$F$170:$ES$170,1)*N(INDEX(INS_V,23))*INDEX(IdxOV_V,1,1)*(1+V_dMat)/(1-V_Merma)+SUMIFS(Calculo!$F$199:$ES$199,Calculo!$F$170:$ES$170,1)*N(INDEX(OV_V,23))*INDEX(IdxOV_V,1,1)*(1+V_dMat)/(1-V_Merma)))</f>
        <v>0</v>
      </c>
      <c r="F209" s="48" t="n">
        <f aca="false">IF(cu_P=1,(SUMIFS(Calculo!$F$43:$ES$43,Calculo!$F$14:$ES$14,2)*N(INDEX(MP_O,23))*INDEX(IdxMP_O,1,2)*(1+P_dMat)/(1-P_Merma)+SUMIFS(Calculo!$F$43:$ES$43,Calculo!$F$14:$ES$14,2)*N(INDEX(INS_O,23))*INDEX(IdxOV_O,1,2)*(1+P_dMat)/(1-P_Merma)+SUMIFS(Calculo!$F$43:$ES$43,Calculo!$F$14:$ES$14,2)*N(INDEX(OV_O,23))*INDEX(IdxOV_O,1,2)*(1+P_dMat)/(1-P_Merma)),(SUMIFS(Calculo!$F$199:$ES$199,Calculo!$F$170:$ES$170,2)*N(INDEX(MP_V,23))*INDEX(IdxMP_V,1,2)*(1+V_dMat)/(1-V_Merma)+SUMIFS(Calculo!$F$199:$ES$199,Calculo!$F$170:$ES$170,2)*N(INDEX(INS_V,23))*INDEX(IdxOV_V,1,2)*(1+V_dMat)/(1-V_Merma)+SUMIFS(Calculo!$F$199:$ES$199,Calculo!$F$170:$ES$170,2)*N(INDEX(OV_V,23))*INDEX(IdxOV_V,1,2)*(1+V_dMat)/(1-V_Merma)))</f>
        <v>0</v>
      </c>
      <c r="G209" s="48" t="n">
        <f aca="false">IF(cu_P=1,(SUMIFS(Calculo!$F$43:$ES$43,Calculo!$F$14:$ES$14,3)*N(INDEX(MP_O,23))*INDEX(IdxMP_O,1,3)*(1+P_dMat)/(1-P_Merma)+SUMIFS(Calculo!$F$43:$ES$43,Calculo!$F$14:$ES$14,3)*N(INDEX(INS_O,23))*INDEX(IdxOV_O,1,3)*(1+P_dMat)/(1-P_Merma)+SUMIFS(Calculo!$F$43:$ES$43,Calculo!$F$14:$ES$14,3)*N(INDEX(OV_O,23))*INDEX(IdxOV_O,1,3)*(1+P_dMat)/(1-P_Merma)),(SUMIFS(Calculo!$F$199:$ES$199,Calculo!$F$170:$ES$170,3)*N(INDEX(MP_V,23))*INDEX(IdxMP_V,1,3)*(1+V_dMat)/(1-V_Merma)+SUMIFS(Calculo!$F$199:$ES$199,Calculo!$F$170:$ES$170,3)*N(INDEX(INS_V,23))*INDEX(IdxOV_V,1,3)*(1+V_dMat)/(1-V_Merma)+SUMIFS(Calculo!$F$199:$ES$199,Calculo!$F$170:$ES$170,3)*N(INDEX(OV_V,23))*INDEX(IdxOV_V,1,3)*(1+V_dMat)/(1-V_Merma)))</f>
        <v>0</v>
      </c>
      <c r="H209" s="48" t="n">
        <f aca="false">IF(cu_P=1,(SUMIFS(Calculo!$F$43:$ES$43,Calculo!$F$14:$ES$14,4)*N(INDEX(MP_O,23))*INDEX(IdxMP_O,1,4)*(1+P_dMat)/(1-P_Merma)+SUMIFS(Calculo!$F$43:$ES$43,Calculo!$F$14:$ES$14,4)*N(INDEX(INS_O,23))*INDEX(IdxOV_O,1,4)*(1+P_dMat)/(1-P_Merma)+SUMIFS(Calculo!$F$43:$ES$43,Calculo!$F$14:$ES$14,4)*N(INDEX(OV_O,23))*INDEX(IdxOV_O,1,4)*(1+P_dMat)/(1-P_Merma)),(SUMIFS(Calculo!$F$199:$ES$199,Calculo!$F$170:$ES$170,4)*N(INDEX(MP_V,23))*INDEX(IdxMP_V,1,4)*(1+V_dMat)/(1-V_Merma)+SUMIFS(Calculo!$F$199:$ES$199,Calculo!$F$170:$ES$170,4)*N(INDEX(INS_V,23))*INDEX(IdxOV_V,1,4)*(1+V_dMat)/(1-V_Merma)+SUMIFS(Calculo!$F$199:$ES$199,Calculo!$F$170:$ES$170,4)*N(INDEX(OV_V,23))*INDEX(IdxOV_V,1,4)*(1+V_dMat)/(1-V_Merma)))</f>
        <v>0</v>
      </c>
      <c r="I209" s="48" t="n">
        <f aca="false">IF(cu_P=1,(SUMIFS(Calculo!$F$43:$ES$43,Calculo!$F$14:$ES$14,5)*N(INDEX(MP_O,23))*INDEX(IdxMP_O,1,5)*(1+P_dMat)/(1-P_Merma)+SUMIFS(Calculo!$F$43:$ES$43,Calculo!$F$14:$ES$14,5)*N(INDEX(INS_O,23))*INDEX(IdxOV_O,1,5)*(1+P_dMat)/(1-P_Merma)+SUMIFS(Calculo!$F$43:$ES$43,Calculo!$F$14:$ES$14,5)*N(INDEX(OV_O,23))*INDEX(IdxOV_O,1,5)*(1+P_dMat)/(1-P_Merma)),(SUMIFS(Calculo!$F$199:$ES$199,Calculo!$F$170:$ES$170,5)*N(INDEX(MP_V,23))*INDEX(IdxMP_V,1,5)*(1+V_dMat)/(1-V_Merma)+SUMIFS(Calculo!$F$199:$ES$199,Calculo!$F$170:$ES$170,5)*N(INDEX(INS_V,23))*INDEX(IdxOV_V,1,5)*(1+V_dMat)/(1-V_Merma)+SUMIFS(Calculo!$F$199:$ES$199,Calculo!$F$170:$ES$170,5)*N(INDEX(OV_V,23))*INDEX(IdxOV_V,1,5)*(1+V_dMat)/(1-V_Merma)))</f>
        <v>0</v>
      </c>
      <c r="J209" s="48" t="n">
        <f aca="false">IF(cu_P=1,(SUMIFS(Calculo!$F$43:$ES$43,Calculo!$F$14:$ES$14,6)*N(INDEX(MP_O,23))*INDEX(IdxMP_O,1,6)*(1+P_dMat)/(1-P_Merma)+SUMIFS(Calculo!$F$43:$ES$43,Calculo!$F$14:$ES$14,6)*N(INDEX(INS_O,23))*INDEX(IdxOV_O,1,6)*(1+P_dMat)/(1-P_Merma)+SUMIFS(Calculo!$F$43:$ES$43,Calculo!$F$14:$ES$14,6)*N(INDEX(OV_O,23))*INDEX(IdxOV_O,1,6)*(1+P_dMat)/(1-P_Merma)),(SUMIFS(Calculo!$F$199:$ES$199,Calculo!$F$170:$ES$170,6)*N(INDEX(MP_V,23))*INDEX(IdxMP_V,1,6)*(1+V_dMat)/(1-V_Merma)+SUMIFS(Calculo!$F$199:$ES$199,Calculo!$F$170:$ES$170,6)*N(INDEX(INS_V,23))*INDEX(IdxOV_V,1,6)*(1+V_dMat)/(1-V_Merma)+SUMIFS(Calculo!$F$199:$ES$199,Calculo!$F$170:$ES$170,6)*N(INDEX(OV_V,23))*INDEX(IdxOV_V,1,6)*(1+V_dMat)/(1-V_Merma)))</f>
        <v>0</v>
      </c>
      <c r="K209" s="48" t="n">
        <f aca="false">IF(cu_P=1,(SUMIFS(Calculo!$F$43:$ES$43,Calculo!$F$14:$ES$14,7)*N(INDEX(MP_O,23))*INDEX(IdxMP_O,1,7)*(1+P_dMat)/(1-P_Merma)+SUMIFS(Calculo!$F$43:$ES$43,Calculo!$F$14:$ES$14,7)*N(INDEX(INS_O,23))*INDEX(IdxOV_O,1,7)*(1+P_dMat)/(1-P_Merma)+SUMIFS(Calculo!$F$43:$ES$43,Calculo!$F$14:$ES$14,7)*N(INDEX(OV_O,23))*INDEX(IdxOV_O,1,7)*(1+P_dMat)/(1-P_Merma)),(SUMIFS(Calculo!$F$199:$ES$199,Calculo!$F$170:$ES$170,7)*N(INDEX(MP_V,23))*INDEX(IdxMP_V,1,7)*(1+V_dMat)/(1-V_Merma)+SUMIFS(Calculo!$F$199:$ES$199,Calculo!$F$170:$ES$170,7)*N(INDEX(INS_V,23))*INDEX(IdxOV_V,1,7)*(1+V_dMat)/(1-V_Merma)+SUMIFS(Calculo!$F$199:$ES$199,Calculo!$F$170:$ES$170,7)*N(INDEX(OV_V,23))*INDEX(IdxOV_V,1,7)*(1+V_dMat)/(1-V_Merma)))</f>
        <v>0</v>
      </c>
      <c r="L209" s="48" t="n">
        <f aca="false">IF(cu_P=1,(SUMIFS(Calculo!$F$43:$ES$43,Calculo!$F$14:$ES$14,8)*N(INDEX(MP_O,23))*INDEX(IdxMP_O,1,8)*(1+P_dMat)/(1-P_Merma)+SUMIFS(Calculo!$F$43:$ES$43,Calculo!$F$14:$ES$14,8)*N(INDEX(INS_O,23))*INDEX(IdxOV_O,1,8)*(1+P_dMat)/(1-P_Merma)+SUMIFS(Calculo!$F$43:$ES$43,Calculo!$F$14:$ES$14,8)*N(INDEX(OV_O,23))*INDEX(IdxOV_O,1,8)*(1+P_dMat)/(1-P_Merma)),(SUMIFS(Calculo!$F$199:$ES$199,Calculo!$F$170:$ES$170,8)*N(INDEX(MP_V,23))*INDEX(IdxMP_V,1,8)*(1+V_dMat)/(1-V_Merma)+SUMIFS(Calculo!$F$199:$ES$199,Calculo!$F$170:$ES$170,8)*N(INDEX(INS_V,23))*INDEX(IdxOV_V,1,8)*(1+V_dMat)/(1-V_Merma)+SUMIFS(Calculo!$F$199:$ES$199,Calculo!$F$170:$ES$170,8)*N(INDEX(OV_V,23))*INDEX(IdxOV_V,1,8)*(1+V_dMat)/(1-V_Merma)))</f>
        <v>0</v>
      </c>
      <c r="M209" s="48" t="n">
        <f aca="false">IF(cu_P=1,(SUMIFS(Calculo!$F$43:$ES$43,Calculo!$F$14:$ES$14,9)*N(INDEX(MP_O,23))*INDEX(IdxMP_O,1,9)*(1+P_dMat)/(1-P_Merma)+SUMIFS(Calculo!$F$43:$ES$43,Calculo!$F$14:$ES$14,9)*N(INDEX(INS_O,23))*INDEX(IdxOV_O,1,9)*(1+P_dMat)/(1-P_Merma)+SUMIFS(Calculo!$F$43:$ES$43,Calculo!$F$14:$ES$14,9)*N(INDEX(OV_O,23))*INDEX(IdxOV_O,1,9)*(1+P_dMat)/(1-P_Merma)),(SUMIFS(Calculo!$F$199:$ES$199,Calculo!$F$170:$ES$170,9)*N(INDEX(MP_V,23))*INDEX(IdxMP_V,1,9)*(1+V_dMat)/(1-V_Merma)+SUMIFS(Calculo!$F$199:$ES$199,Calculo!$F$170:$ES$170,9)*N(INDEX(INS_V,23))*INDEX(IdxOV_V,1,9)*(1+V_dMat)/(1-V_Merma)+SUMIFS(Calculo!$F$199:$ES$199,Calculo!$F$170:$ES$170,9)*N(INDEX(OV_V,23))*INDEX(IdxOV_V,1,9)*(1+V_dMat)/(1-V_Merma)))</f>
        <v>0</v>
      </c>
      <c r="N209" s="48" t="n">
        <f aca="false">IF(cu_P=1,(SUMIFS(Calculo!$F$43:$ES$43,Calculo!$F$14:$ES$14,10)*N(INDEX(MP_O,23))*INDEX(IdxMP_O,1,10)*(1+P_dMat)/(1-P_Merma)+SUMIFS(Calculo!$F$43:$ES$43,Calculo!$F$14:$ES$14,10)*N(INDEX(INS_O,23))*INDEX(IdxOV_O,1,10)*(1+P_dMat)/(1-P_Merma)+SUMIFS(Calculo!$F$43:$ES$43,Calculo!$F$14:$ES$14,10)*N(INDEX(OV_O,23))*INDEX(IdxOV_O,1,10)*(1+P_dMat)/(1-P_Merma)),(SUMIFS(Calculo!$F$199:$ES$199,Calculo!$F$170:$ES$170,10)*N(INDEX(MP_V,23))*INDEX(IdxMP_V,1,10)*(1+V_dMat)/(1-V_Merma)+SUMIFS(Calculo!$F$199:$ES$199,Calculo!$F$170:$ES$170,10)*N(INDEX(INS_V,23))*INDEX(IdxOV_V,1,10)*(1+V_dMat)/(1-V_Merma)+SUMIFS(Calculo!$F$199:$ES$199,Calculo!$F$170:$ES$170,10)*N(INDEX(OV_V,23))*INDEX(IdxOV_V,1,10)*(1+V_dMat)/(1-V_Merma)))</f>
        <v>0</v>
      </c>
      <c r="O209" s="54" t="n">
        <f aca="false">SUM(D209:N209)</f>
        <v>0</v>
      </c>
    </row>
    <row r="210" customFormat="false" ht="15" hidden="true" customHeight="false" outlineLevel="1" collapsed="false">
      <c r="A210" s="11" t="s">
        <v>2571</v>
      </c>
      <c r="B210" s="15" t="s">
        <v>2366</v>
      </c>
      <c r="C210" s="11" t="s">
        <v>544</v>
      </c>
      <c r="D210" s="48" t="n">
        <f aca="false">IF(cu_P=1,SUMIFS(Calculo!$F$43:$ES$43,Calculo!$F$16:$ES$16,1),SUMIFS(Calculo!$F$199:$ES$199,Calculo!$F$172:$ES$172,1))</f>
        <v>0</v>
      </c>
      <c r="E210" s="48" t="n">
        <f aca="false">IF(cu_P=1,SUMIFS(Calculo!$F$43:$ES$43,Calculo!$F$14:$ES$14,1),SUMIFS(Calculo!$F$199:$ES$199,Calculo!$F$170:$ES$170,1))</f>
        <v>0</v>
      </c>
      <c r="F210" s="48" t="n">
        <f aca="false">IF(cu_P=1,SUMIFS(Calculo!$F$43:$ES$43,Calculo!$F$14:$ES$14,2),SUMIFS(Calculo!$F$199:$ES$199,Calculo!$F$170:$ES$170,2))</f>
        <v>0</v>
      </c>
      <c r="G210" s="48" t="n">
        <f aca="false">IF(cu_P=1,SUMIFS(Calculo!$F$43:$ES$43,Calculo!$F$14:$ES$14,3),SUMIFS(Calculo!$F$199:$ES$199,Calculo!$F$170:$ES$170,3))</f>
        <v>0</v>
      </c>
      <c r="H210" s="48" t="n">
        <f aca="false">IF(cu_P=1,SUMIFS(Calculo!$F$43:$ES$43,Calculo!$F$14:$ES$14,4),SUMIFS(Calculo!$F$199:$ES$199,Calculo!$F$170:$ES$170,4))</f>
        <v>0</v>
      </c>
      <c r="I210" s="48" t="n">
        <f aca="false">IF(cu_P=1,SUMIFS(Calculo!$F$43:$ES$43,Calculo!$F$14:$ES$14,5),SUMIFS(Calculo!$F$199:$ES$199,Calculo!$F$170:$ES$170,5))</f>
        <v>0</v>
      </c>
      <c r="J210" s="48" t="n">
        <f aca="false">IF(cu_P=1,SUMIFS(Calculo!$F$43:$ES$43,Calculo!$F$14:$ES$14,6),SUMIFS(Calculo!$F$199:$ES$199,Calculo!$F$170:$ES$170,6))</f>
        <v>0</v>
      </c>
      <c r="K210" s="48" t="n">
        <f aca="false">IF(cu_P=1,SUMIFS(Calculo!$F$43:$ES$43,Calculo!$F$14:$ES$14,7),SUMIFS(Calculo!$F$199:$ES$199,Calculo!$F$170:$ES$170,7))</f>
        <v>0</v>
      </c>
      <c r="L210" s="48" t="n">
        <f aca="false">IF(cu_P=1,SUMIFS(Calculo!$F$43:$ES$43,Calculo!$F$14:$ES$14,8),SUMIFS(Calculo!$F$199:$ES$199,Calculo!$F$170:$ES$170,8))</f>
        <v>0</v>
      </c>
      <c r="M210" s="48" t="n">
        <f aca="false">IF(cu_P=1,SUMIFS(Calculo!$F$43:$ES$43,Calculo!$F$14:$ES$14,9),SUMIFS(Calculo!$F$199:$ES$199,Calculo!$F$170:$ES$170,9))</f>
        <v>0</v>
      </c>
      <c r="N210" s="48" t="n">
        <f aca="false">IF(cu_P=1,SUMIFS(Calculo!$F$43:$ES$43,Calculo!$F$14:$ES$14,10),SUMIFS(Calculo!$F$199:$ES$199,Calculo!$F$170:$ES$170,10))</f>
        <v>0</v>
      </c>
      <c r="O210" s="54" t="n">
        <f aca="false">SUM(D210:N210)</f>
        <v>0</v>
      </c>
    </row>
    <row r="211" customFormat="false" ht="15" hidden="true" customHeight="false" outlineLevel="1" collapsed="false">
      <c r="A211" s="11" t="s">
        <v>2572</v>
      </c>
      <c r="B211" s="15" t="s">
        <v>2368</v>
      </c>
      <c r="C211" s="11" t="s">
        <v>508</v>
      </c>
      <c r="D211" s="48" t="n">
        <f aca="false">IF(cu_P=1,SUMIFS(Calculo!$F$68:$ES$68,Calculo!$F$16:$ES$16,1),SUMIFS(Calculo!$F$224:$ES$224,Calculo!$F$172:$ES$172,1))</f>
        <v>0</v>
      </c>
      <c r="E211" s="48" t="n">
        <f aca="false">IF(cu_P=1,SUMIFS(Calculo!$F$68:$ES$68,Calculo!$F$14:$ES$14,1),SUMIFS(Calculo!$F$224:$ES$224,Calculo!$F$170:$ES$170,1))</f>
        <v>0</v>
      </c>
      <c r="F211" s="48" t="n">
        <f aca="false">IF(cu_P=1,SUMIFS(Calculo!$F$68:$ES$68,Calculo!$F$14:$ES$14,2),SUMIFS(Calculo!$F$224:$ES$224,Calculo!$F$170:$ES$170,2))</f>
        <v>0</v>
      </c>
      <c r="G211" s="48" t="n">
        <f aca="false">IF(cu_P=1,SUMIFS(Calculo!$F$68:$ES$68,Calculo!$F$14:$ES$14,3),SUMIFS(Calculo!$F$224:$ES$224,Calculo!$F$170:$ES$170,3))</f>
        <v>0</v>
      </c>
      <c r="H211" s="48" t="n">
        <f aca="false">IF(cu_P=1,SUMIFS(Calculo!$F$68:$ES$68,Calculo!$F$14:$ES$14,4),SUMIFS(Calculo!$F$224:$ES$224,Calculo!$F$170:$ES$170,4))</f>
        <v>0</v>
      </c>
      <c r="I211" s="48" t="n">
        <f aca="false">IF(cu_P=1,SUMIFS(Calculo!$F$68:$ES$68,Calculo!$F$14:$ES$14,5),SUMIFS(Calculo!$F$224:$ES$224,Calculo!$F$170:$ES$170,5))</f>
        <v>0</v>
      </c>
      <c r="J211" s="48" t="n">
        <f aca="false">IF(cu_P=1,SUMIFS(Calculo!$F$68:$ES$68,Calculo!$F$14:$ES$14,6),SUMIFS(Calculo!$F$224:$ES$224,Calculo!$F$170:$ES$170,6))</f>
        <v>0</v>
      </c>
      <c r="K211" s="48" t="n">
        <f aca="false">IF(cu_P=1,SUMIFS(Calculo!$F$68:$ES$68,Calculo!$F$14:$ES$14,7),SUMIFS(Calculo!$F$224:$ES$224,Calculo!$F$170:$ES$170,7))</f>
        <v>0</v>
      </c>
      <c r="L211" s="48" t="n">
        <f aca="false">IF(cu_P=1,SUMIFS(Calculo!$F$68:$ES$68,Calculo!$F$14:$ES$14,8),SUMIFS(Calculo!$F$224:$ES$224,Calculo!$F$170:$ES$170,8))</f>
        <v>0</v>
      </c>
      <c r="M211" s="48" t="n">
        <f aca="false">IF(cu_P=1,SUMIFS(Calculo!$F$68:$ES$68,Calculo!$F$14:$ES$14,9),SUMIFS(Calculo!$F$224:$ES$224,Calculo!$F$170:$ES$170,9))</f>
        <v>0</v>
      </c>
      <c r="N211" s="48" t="n">
        <f aca="false">IF(cu_P=1,SUMIFS(Calculo!$F$68:$ES$68,Calculo!$F$14:$ES$14,10),SUMIFS(Calculo!$F$224:$ES$224,Calculo!$F$170:$ES$170,10))</f>
        <v>0</v>
      </c>
      <c r="O211" s="54" t="n">
        <f aca="false">SUM(D211:N211)</f>
        <v>0</v>
      </c>
    </row>
    <row r="212" customFormat="false" ht="15" hidden="true" customHeight="false" outlineLevel="1" collapsed="false">
      <c r="A212" s="11" t="s">
        <v>2573</v>
      </c>
      <c r="B212" s="15" t="s">
        <v>2370</v>
      </c>
      <c r="C212" s="11" t="s">
        <v>748</v>
      </c>
      <c r="D212" s="50" t="str">
        <f aca="false">IFERROR(IF(OR(NOT(ISNUMBER(D209)),N(D210)=0),"",D209/D210),"")</f>
        <v/>
      </c>
      <c r="E212" s="50" t="str">
        <f aca="false">IFERROR(IF(OR(NOT(ISNUMBER(E209)),N(E210)=0),"",E209/E210),"")</f>
        <v/>
      </c>
      <c r="F212" s="50" t="str">
        <f aca="false">IFERROR(IF(OR(NOT(ISNUMBER(F209)),N(F210)=0),"",F209/F210),"")</f>
        <v/>
      </c>
      <c r="G212" s="50" t="str">
        <f aca="false">IFERROR(IF(OR(NOT(ISNUMBER(G209)),N(G210)=0),"",G209/G210),"")</f>
        <v/>
      </c>
      <c r="H212" s="50" t="str">
        <f aca="false">IFERROR(IF(OR(NOT(ISNUMBER(H209)),N(H210)=0),"",H209/H210),"")</f>
        <v/>
      </c>
      <c r="I212" s="50" t="str">
        <f aca="false">IFERROR(IF(OR(NOT(ISNUMBER(I209)),N(I210)=0),"",I209/I210),"")</f>
        <v/>
      </c>
      <c r="J212" s="50" t="str">
        <f aca="false">IFERROR(IF(OR(NOT(ISNUMBER(J209)),N(J210)=0),"",J209/J210),"")</f>
        <v/>
      </c>
      <c r="K212" s="50" t="str">
        <f aca="false">IFERROR(IF(OR(NOT(ISNUMBER(K209)),N(K210)=0),"",K209/K210),"")</f>
        <v/>
      </c>
      <c r="L212" s="50" t="str">
        <f aca="false">IFERROR(IF(OR(NOT(ISNUMBER(L209)),N(L210)=0),"",L209/L210),"")</f>
        <v/>
      </c>
      <c r="M212" s="50" t="str">
        <f aca="false">IFERROR(IF(OR(NOT(ISNUMBER(M209)),N(M210)=0),"",M209/M210),"")</f>
        <v/>
      </c>
      <c r="N212" s="50" t="str">
        <f aca="false">IFERROR(IF(OR(NOT(ISNUMBER(N209)),N(N210)=0),"",N209/N210),"")</f>
        <v/>
      </c>
      <c r="O212" s="68" t="str">
        <f aca="false">IFERROR(IF(OR(NOT(ISNUMBER(O209)),N(O210)=0),"",O209/O210),"")</f>
        <v/>
      </c>
    </row>
    <row r="213" customFormat="false" ht="15" hidden="true" customHeight="false" outlineLevel="1" collapsed="false">
      <c r="A213" s="11" t="s">
        <v>2574</v>
      </c>
      <c r="B213" s="15" t="s">
        <v>2372</v>
      </c>
      <c r="C213" s="11" t="s">
        <v>748</v>
      </c>
      <c r="D213" s="50" t="str">
        <f aca="false">IFERROR(IF(N(D210)=0,"",(D211-D209)/D210),"")</f>
        <v/>
      </c>
      <c r="E213" s="50" t="str">
        <f aca="false">IFERROR(IF(N(E210)=0,"",(E211-E209)/E210),"")</f>
        <v/>
      </c>
      <c r="F213" s="50" t="str">
        <f aca="false">IFERROR(IF(N(F210)=0,"",(F211-F209)/F210),"")</f>
        <v/>
      </c>
      <c r="G213" s="50" t="str">
        <f aca="false">IFERROR(IF(N(G210)=0,"",(G211-G209)/G210),"")</f>
        <v/>
      </c>
      <c r="H213" s="50" t="str">
        <f aca="false">IFERROR(IF(N(H210)=0,"",(H211-H209)/H210),"")</f>
        <v/>
      </c>
      <c r="I213" s="50" t="str">
        <f aca="false">IFERROR(IF(N(I210)=0,"",(I211-I209)/I210),"")</f>
        <v/>
      </c>
      <c r="J213" s="50" t="str">
        <f aca="false">IFERROR(IF(N(J210)=0,"",(J211-J209)/J210),"")</f>
        <v/>
      </c>
      <c r="K213" s="50" t="str">
        <f aca="false">IFERROR(IF(N(K210)=0,"",(K211-K209)/K210),"")</f>
        <v/>
      </c>
      <c r="L213" s="50" t="str">
        <f aca="false">IFERROR(IF(N(L210)=0,"",(L211-L209)/L210),"")</f>
        <v/>
      </c>
      <c r="M213" s="50" t="str">
        <f aca="false">IFERROR(IF(N(M210)=0,"",(M211-M209)/M210),"")</f>
        <v/>
      </c>
      <c r="N213" s="50" t="str">
        <f aca="false">IFERROR(IF(N(N210)=0,"",(N211-N209)/N210),"")</f>
        <v/>
      </c>
      <c r="O213" s="68" t="str">
        <f aca="false">IFERROR(IF(N(O210)=0,"",(O211-O209)/O210),"")</f>
        <v/>
      </c>
    </row>
    <row r="214" customFormat="false" ht="15" hidden="true" customHeight="false" outlineLevel="1" collapsed="false">
      <c r="A214" s="11" t="s">
        <v>2575</v>
      </c>
      <c r="B214" s="15" t="s">
        <v>2374</v>
      </c>
      <c r="C214" s="11" t="s">
        <v>367</v>
      </c>
      <c r="D214" s="49" t="str">
        <f aca="false">IFERROR(IF(N(D211)=0,"",1-D209/D211),"")</f>
        <v/>
      </c>
      <c r="E214" s="49" t="str">
        <f aca="false">IFERROR(IF(N(E211)=0,"",1-E209/E211),"")</f>
        <v/>
      </c>
      <c r="F214" s="49" t="str">
        <f aca="false">IFERROR(IF(N(F211)=0,"",1-F209/F211),"")</f>
        <v/>
      </c>
      <c r="G214" s="49" t="str">
        <f aca="false">IFERROR(IF(N(G211)=0,"",1-G209/G211),"")</f>
        <v/>
      </c>
      <c r="H214" s="49" t="str">
        <f aca="false">IFERROR(IF(N(H211)=0,"",1-H209/H211),"")</f>
        <v/>
      </c>
      <c r="I214" s="49" t="str">
        <f aca="false">IFERROR(IF(N(I211)=0,"",1-I209/I211),"")</f>
        <v/>
      </c>
      <c r="J214" s="49" t="str">
        <f aca="false">IFERROR(IF(N(J211)=0,"",1-J209/J211),"")</f>
        <v/>
      </c>
      <c r="K214" s="49" t="str">
        <f aca="false">IFERROR(IF(N(K211)=0,"",1-K209/K211),"")</f>
        <v/>
      </c>
      <c r="L214" s="49" t="str">
        <f aca="false">IFERROR(IF(N(L211)=0,"",1-L209/L211),"")</f>
        <v/>
      </c>
      <c r="M214" s="49" t="str">
        <f aca="false">IFERROR(IF(N(M211)=0,"",1-M209/M211),"")</f>
        <v/>
      </c>
      <c r="N214" s="49" t="str">
        <f aca="false">IFERROR(IF(N(N211)=0,"",1-N209/N211),"")</f>
        <v/>
      </c>
      <c r="O214" s="99" t="str">
        <f aca="false">IFERROR(IF(N(O211)=0,"",1-O209/O211),"")</f>
        <v/>
      </c>
    </row>
    <row r="215" customFormat="false" ht="15" hidden="true" customHeight="false" outlineLevel="1" collapsed="false">
      <c r="A215" s="11" t="s">
        <v>2576</v>
      </c>
      <c r="B215" s="15" t="s">
        <v>2376</v>
      </c>
      <c r="C215" s="11" t="s">
        <v>508</v>
      </c>
      <c r="D215" s="48" t="str">
        <f aca="false">IFERROR(IF(OR(NOT(ISNUMBER(D209)),N(D9)=0),"",D10*D209/D9),"")</f>
        <v/>
      </c>
      <c r="E215" s="48" t="n">
        <f aca="false">IFERROR(IF(OR(NOT(ISNUMBER(E209)),N(E9)=0),"",E10*E209/E9),"")</f>
        <v>0</v>
      </c>
      <c r="F215" s="48" t="n">
        <f aca="false">IFERROR(IF(OR(NOT(ISNUMBER(F209)),N(F9)=0),"",F10*F209/F9),"")</f>
        <v>0</v>
      </c>
      <c r="G215" s="48" t="n">
        <f aca="false">IFERROR(IF(OR(NOT(ISNUMBER(G209)),N(G9)=0),"",G10*G209/G9),"")</f>
        <v>0</v>
      </c>
      <c r="H215" s="48" t="n">
        <f aca="false">IFERROR(IF(OR(NOT(ISNUMBER(H209)),N(H9)=0),"",H10*H209/H9),"")</f>
        <v>0</v>
      </c>
      <c r="I215" s="48" t="n">
        <f aca="false">IFERROR(IF(OR(NOT(ISNUMBER(I209)),N(I9)=0),"",I10*I209/I9),"")</f>
        <v>0</v>
      </c>
      <c r="J215" s="48" t="n">
        <f aca="false">IFERROR(IF(OR(NOT(ISNUMBER(J209)),N(J9)=0),"",J10*J209/J9),"")</f>
        <v>0</v>
      </c>
      <c r="K215" s="48" t="n">
        <f aca="false">IFERROR(IF(OR(NOT(ISNUMBER(K209)),N(K9)=0),"",K10*K209/K9),"")</f>
        <v>0</v>
      </c>
      <c r="L215" s="48" t="n">
        <f aca="false">IFERROR(IF(OR(NOT(ISNUMBER(L209)),N(L9)=0),"",L10*L209/L9),"")</f>
        <v>0</v>
      </c>
      <c r="M215" s="48" t="n">
        <f aca="false">IFERROR(IF(OR(NOT(ISNUMBER(M209)),N(M9)=0),"",M10*M209/M9),"")</f>
        <v>0</v>
      </c>
      <c r="N215" s="48" t="n">
        <f aca="false">IFERROR(IF(OR(NOT(ISNUMBER(N209)),N(N9)=0),"",N10*N209/N9),"")</f>
        <v>0</v>
      </c>
      <c r="O215" s="54" t="n">
        <f aca="false">SUM(D215:N215)</f>
        <v>0</v>
      </c>
    </row>
    <row r="216" customFormat="false" ht="15" hidden="true" customHeight="false" outlineLevel="1" collapsed="false">
      <c r="A216" s="11" t="s">
        <v>2577</v>
      </c>
      <c r="B216" s="15" t="s">
        <v>2378</v>
      </c>
      <c r="C216" s="11" t="s">
        <v>508</v>
      </c>
      <c r="D216" s="48" t="n">
        <f aca="false">IFERROR(IF(COUNT(D209,D215)=0,"",N(D209)+N(D215)),"")</f>
        <v>0</v>
      </c>
      <c r="E216" s="48" t="n">
        <f aca="false">IFERROR(IF(COUNT(E209,E215)=0,"",N(E209)+N(E215)),"")</f>
        <v>0</v>
      </c>
      <c r="F216" s="48" t="n">
        <f aca="false">IFERROR(IF(COUNT(F209,F215)=0,"",N(F209)+N(F215)),"")</f>
        <v>0</v>
      </c>
      <c r="G216" s="48" t="n">
        <f aca="false">IFERROR(IF(COUNT(G209,G215)=0,"",N(G209)+N(G215)),"")</f>
        <v>0</v>
      </c>
      <c r="H216" s="48" t="n">
        <f aca="false">IFERROR(IF(COUNT(H209,H215)=0,"",N(H209)+N(H215)),"")</f>
        <v>0</v>
      </c>
      <c r="I216" s="48" t="n">
        <f aca="false">IFERROR(IF(COUNT(I209,I215)=0,"",N(I209)+N(I215)),"")</f>
        <v>0</v>
      </c>
      <c r="J216" s="48" t="n">
        <f aca="false">IFERROR(IF(COUNT(J209,J215)=0,"",N(J209)+N(J215)),"")</f>
        <v>0</v>
      </c>
      <c r="K216" s="48" t="n">
        <f aca="false">IFERROR(IF(COUNT(K209,K215)=0,"",N(K209)+N(K215)),"")</f>
        <v>0</v>
      </c>
      <c r="L216" s="48" t="n">
        <f aca="false">IFERROR(IF(COUNT(L209,L215)=0,"",N(L209)+N(L215)),"")</f>
        <v>0</v>
      </c>
      <c r="M216" s="48" t="n">
        <f aca="false">IFERROR(IF(COUNT(M209,M215)=0,"",N(M209)+N(M215)),"")</f>
        <v>0</v>
      </c>
      <c r="N216" s="48" t="n">
        <f aca="false">IFERROR(IF(COUNT(N209,N215)=0,"",N(N209)+N(N215)),"")</f>
        <v>0</v>
      </c>
      <c r="O216" s="54" t="n">
        <f aca="false">SUM(D216:N216)</f>
        <v>0</v>
      </c>
    </row>
    <row r="217" customFormat="false" ht="15" hidden="true" customHeight="false" outlineLevel="1" collapsed="false">
      <c r="A217" s="11" t="s">
        <v>2578</v>
      </c>
      <c r="B217" s="15" t="s">
        <v>2380</v>
      </c>
      <c r="C217" s="11" t="s">
        <v>748</v>
      </c>
      <c r="D217" s="50" t="str">
        <f aca="false">IFERROR(IF(OR(NOT(ISNUMBER(D216)),N(D210)=0),"",D216/D210),"")</f>
        <v/>
      </c>
      <c r="E217" s="50" t="str">
        <f aca="false">IFERROR(IF(OR(NOT(ISNUMBER(E216)),N(E210)=0),"",E216/E210),"")</f>
        <v/>
      </c>
      <c r="F217" s="50" t="str">
        <f aca="false">IFERROR(IF(OR(NOT(ISNUMBER(F216)),N(F210)=0),"",F216/F210),"")</f>
        <v/>
      </c>
      <c r="G217" s="50" t="str">
        <f aca="false">IFERROR(IF(OR(NOT(ISNUMBER(G216)),N(G210)=0),"",G216/G210),"")</f>
        <v/>
      </c>
      <c r="H217" s="50" t="str">
        <f aca="false">IFERROR(IF(OR(NOT(ISNUMBER(H216)),N(H210)=0),"",H216/H210),"")</f>
        <v/>
      </c>
      <c r="I217" s="50" t="str">
        <f aca="false">IFERROR(IF(OR(NOT(ISNUMBER(I216)),N(I210)=0),"",I216/I210),"")</f>
        <v/>
      </c>
      <c r="J217" s="50" t="str">
        <f aca="false">IFERROR(IF(OR(NOT(ISNUMBER(J216)),N(J210)=0),"",J216/J210),"")</f>
        <v/>
      </c>
      <c r="K217" s="50" t="str">
        <f aca="false">IFERROR(IF(OR(NOT(ISNUMBER(K216)),N(K210)=0),"",K216/K210),"")</f>
        <v/>
      </c>
      <c r="L217" s="50" t="str">
        <f aca="false">IFERROR(IF(OR(NOT(ISNUMBER(L216)),N(L210)=0),"",L216/L210),"")</f>
        <v/>
      </c>
      <c r="M217" s="50" t="str">
        <f aca="false">IFERROR(IF(OR(NOT(ISNUMBER(M216)),N(M210)=0),"",M216/M210),"")</f>
        <v/>
      </c>
      <c r="N217" s="50" t="str">
        <f aca="false">IFERROR(IF(OR(NOT(ISNUMBER(N216)),N(N210)=0),"",N216/N210),"")</f>
        <v/>
      </c>
      <c r="O217" s="68" t="str">
        <f aca="false">IFERROR(IF(OR(NOT(ISNUMBER(O216)),N(O210)=0),"",O216/O210),"")</f>
        <v/>
      </c>
    </row>
    <row r="218" customFormat="false" ht="15" hidden="true" customHeight="false" outlineLevel="1" collapsed="false">
      <c r="A218" s="11" t="s">
        <v>2579</v>
      </c>
      <c r="B218" s="53" t="str">
        <f aca="false">IF(INDEX(Prod_Nombre,24)="","Producto 24",INDEX(Prod_Nombre,24))&amp;" — costo directo"</f>
        <v>Producto 24 — costo directo</v>
      </c>
      <c r="C218" s="11" t="s">
        <v>508</v>
      </c>
      <c r="D218" s="48" t="n">
        <f aca="false">IF(cu_P=1,(SUMIFS(Calculo!$F$44:$ES$44,Calculo!$F$16:$ES$16,1)*N(INDEX(MP_O,24))*INDEX(IdxMP_O,1,1)*(1+P_dMat)/(1-P_Merma)+SUMIFS(Calculo!$F$44:$ES$44,Calculo!$F$16:$ES$16,1)*N(INDEX(INS_O,24))*INDEX(IdxOV_O,1,1)*(1+P_dMat)/(1-P_Merma)+SUMIFS(Calculo!$F$44:$ES$44,Calculo!$F$16:$ES$16,1)*N(INDEX(OV_O,24))*INDEX(IdxOV_O,1,1)*(1+P_dMat)/(1-P_Merma)),(SUMIFS(Calculo!$F$200:$ES$200,Calculo!$F$172:$ES$172,1)*N(INDEX(MP_V,24))*INDEX(IdxMP_V,1,1)*(1+V_dMat)/(1-V_Merma)+SUMIFS(Calculo!$F$200:$ES$200,Calculo!$F$172:$ES$172,1)*N(INDEX(INS_V,24))*INDEX(IdxOV_V,1,1)*(1+V_dMat)/(1-V_Merma)+SUMIFS(Calculo!$F$200:$ES$200,Calculo!$F$172:$ES$172,1)*N(INDEX(OV_V,24))*INDEX(IdxOV_V,1,1)*(1+V_dMat)/(1-V_Merma)))</f>
        <v>0</v>
      </c>
      <c r="E218" s="48" t="n">
        <f aca="false">IF(cu_P=1,(SUMIFS(Calculo!$F$44:$ES$44,Calculo!$F$14:$ES$14,1)*N(INDEX(MP_O,24))*INDEX(IdxMP_O,1,1)*(1+P_dMat)/(1-P_Merma)+SUMIFS(Calculo!$F$44:$ES$44,Calculo!$F$14:$ES$14,1)*N(INDEX(INS_O,24))*INDEX(IdxOV_O,1,1)*(1+P_dMat)/(1-P_Merma)+SUMIFS(Calculo!$F$44:$ES$44,Calculo!$F$14:$ES$14,1)*N(INDEX(OV_O,24))*INDEX(IdxOV_O,1,1)*(1+P_dMat)/(1-P_Merma)),(SUMIFS(Calculo!$F$200:$ES$200,Calculo!$F$170:$ES$170,1)*N(INDEX(MP_V,24))*INDEX(IdxMP_V,1,1)*(1+V_dMat)/(1-V_Merma)+SUMIFS(Calculo!$F$200:$ES$200,Calculo!$F$170:$ES$170,1)*N(INDEX(INS_V,24))*INDEX(IdxOV_V,1,1)*(1+V_dMat)/(1-V_Merma)+SUMIFS(Calculo!$F$200:$ES$200,Calculo!$F$170:$ES$170,1)*N(INDEX(OV_V,24))*INDEX(IdxOV_V,1,1)*(1+V_dMat)/(1-V_Merma)))</f>
        <v>0</v>
      </c>
      <c r="F218" s="48" t="n">
        <f aca="false">IF(cu_P=1,(SUMIFS(Calculo!$F$44:$ES$44,Calculo!$F$14:$ES$14,2)*N(INDEX(MP_O,24))*INDEX(IdxMP_O,1,2)*(1+P_dMat)/(1-P_Merma)+SUMIFS(Calculo!$F$44:$ES$44,Calculo!$F$14:$ES$14,2)*N(INDEX(INS_O,24))*INDEX(IdxOV_O,1,2)*(1+P_dMat)/(1-P_Merma)+SUMIFS(Calculo!$F$44:$ES$44,Calculo!$F$14:$ES$14,2)*N(INDEX(OV_O,24))*INDEX(IdxOV_O,1,2)*(1+P_dMat)/(1-P_Merma)),(SUMIFS(Calculo!$F$200:$ES$200,Calculo!$F$170:$ES$170,2)*N(INDEX(MP_V,24))*INDEX(IdxMP_V,1,2)*(1+V_dMat)/(1-V_Merma)+SUMIFS(Calculo!$F$200:$ES$200,Calculo!$F$170:$ES$170,2)*N(INDEX(INS_V,24))*INDEX(IdxOV_V,1,2)*(1+V_dMat)/(1-V_Merma)+SUMIFS(Calculo!$F$200:$ES$200,Calculo!$F$170:$ES$170,2)*N(INDEX(OV_V,24))*INDEX(IdxOV_V,1,2)*(1+V_dMat)/(1-V_Merma)))</f>
        <v>0</v>
      </c>
      <c r="G218" s="48" t="n">
        <f aca="false">IF(cu_P=1,(SUMIFS(Calculo!$F$44:$ES$44,Calculo!$F$14:$ES$14,3)*N(INDEX(MP_O,24))*INDEX(IdxMP_O,1,3)*(1+P_dMat)/(1-P_Merma)+SUMIFS(Calculo!$F$44:$ES$44,Calculo!$F$14:$ES$14,3)*N(INDEX(INS_O,24))*INDEX(IdxOV_O,1,3)*(1+P_dMat)/(1-P_Merma)+SUMIFS(Calculo!$F$44:$ES$44,Calculo!$F$14:$ES$14,3)*N(INDEX(OV_O,24))*INDEX(IdxOV_O,1,3)*(1+P_dMat)/(1-P_Merma)),(SUMIFS(Calculo!$F$200:$ES$200,Calculo!$F$170:$ES$170,3)*N(INDEX(MP_V,24))*INDEX(IdxMP_V,1,3)*(1+V_dMat)/(1-V_Merma)+SUMIFS(Calculo!$F$200:$ES$200,Calculo!$F$170:$ES$170,3)*N(INDEX(INS_V,24))*INDEX(IdxOV_V,1,3)*(1+V_dMat)/(1-V_Merma)+SUMIFS(Calculo!$F$200:$ES$200,Calculo!$F$170:$ES$170,3)*N(INDEX(OV_V,24))*INDEX(IdxOV_V,1,3)*(1+V_dMat)/(1-V_Merma)))</f>
        <v>0</v>
      </c>
      <c r="H218" s="48" t="n">
        <f aca="false">IF(cu_P=1,(SUMIFS(Calculo!$F$44:$ES$44,Calculo!$F$14:$ES$14,4)*N(INDEX(MP_O,24))*INDEX(IdxMP_O,1,4)*(1+P_dMat)/(1-P_Merma)+SUMIFS(Calculo!$F$44:$ES$44,Calculo!$F$14:$ES$14,4)*N(INDEX(INS_O,24))*INDEX(IdxOV_O,1,4)*(1+P_dMat)/(1-P_Merma)+SUMIFS(Calculo!$F$44:$ES$44,Calculo!$F$14:$ES$14,4)*N(INDEX(OV_O,24))*INDEX(IdxOV_O,1,4)*(1+P_dMat)/(1-P_Merma)),(SUMIFS(Calculo!$F$200:$ES$200,Calculo!$F$170:$ES$170,4)*N(INDEX(MP_V,24))*INDEX(IdxMP_V,1,4)*(1+V_dMat)/(1-V_Merma)+SUMIFS(Calculo!$F$200:$ES$200,Calculo!$F$170:$ES$170,4)*N(INDEX(INS_V,24))*INDEX(IdxOV_V,1,4)*(1+V_dMat)/(1-V_Merma)+SUMIFS(Calculo!$F$200:$ES$200,Calculo!$F$170:$ES$170,4)*N(INDEX(OV_V,24))*INDEX(IdxOV_V,1,4)*(1+V_dMat)/(1-V_Merma)))</f>
        <v>0</v>
      </c>
      <c r="I218" s="48" t="n">
        <f aca="false">IF(cu_P=1,(SUMIFS(Calculo!$F$44:$ES$44,Calculo!$F$14:$ES$14,5)*N(INDEX(MP_O,24))*INDEX(IdxMP_O,1,5)*(1+P_dMat)/(1-P_Merma)+SUMIFS(Calculo!$F$44:$ES$44,Calculo!$F$14:$ES$14,5)*N(INDEX(INS_O,24))*INDEX(IdxOV_O,1,5)*(1+P_dMat)/(1-P_Merma)+SUMIFS(Calculo!$F$44:$ES$44,Calculo!$F$14:$ES$14,5)*N(INDEX(OV_O,24))*INDEX(IdxOV_O,1,5)*(1+P_dMat)/(1-P_Merma)),(SUMIFS(Calculo!$F$200:$ES$200,Calculo!$F$170:$ES$170,5)*N(INDEX(MP_V,24))*INDEX(IdxMP_V,1,5)*(1+V_dMat)/(1-V_Merma)+SUMIFS(Calculo!$F$200:$ES$200,Calculo!$F$170:$ES$170,5)*N(INDEX(INS_V,24))*INDEX(IdxOV_V,1,5)*(1+V_dMat)/(1-V_Merma)+SUMIFS(Calculo!$F$200:$ES$200,Calculo!$F$170:$ES$170,5)*N(INDEX(OV_V,24))*INDEX(IdxOV_V,1,5)*(1+V_dMat)/(1-V_Merma)))</f>
        <v>0</v>
      </c>
      <c r="J218" s="48" t="n">
        <f aca="false">IF(cu_P=1,(SUMIFS(Calculo!$F$44:$ES$44,Calculo!$F$14:$ES$14,6)*N(INDEX(MP_O,24))*INDEX(IdxMP_O,1,6)*(1+P_dMat)/(1-P_Merma)+SUMIFS(Calculo!$F$44:$ES$44,Calculo!$F$14:$ES$14,6)*N(INDEX(INS_O,24))*INDEX(IdxOV_O,1,6)*(1+P_dMat)/(1-P_Merma)+SUMIFS(Calculo!$F$44:$ES$44,Calculo!$F$14:$ES$14,6)*N(INDEX(OV_O,24))*INDEX(IdxOV_O,1,6)*(1+P_dMat)/(1-P_Merma)),(SUMIFS(Calculo!$F$200:$ES$200,Calculo!$F$170:$ES$170,6)*N(INDEX(MP_V,24))*INDEX(IdxMP_V,1,6)*(1+V_dMat)/(1-V_Merma)+SUMIFS(Calculo!$F$200:$ES$200,Calculo!$F$170:$ES$170,6)*N(INDEX(INS_V,24))*INDEX(IdxOV_V,1,6)*(1+V_dMat)/(1-V_Merma)+SUMIFS(Calculo!$F$200:$ES$200,Calculo!$F$170:$ES$170,6)*N(INDEX(OV_V,24))*INDEX(IdxOV_V,1,6)*(1+V_dMat)/(1-V_Merma)))</f>
        <v>0</v>
      </c>
      <c r="K218" s="48" t="n">
        <f aca="false">IF(cu_P=1,(SUMIFS(Calculo!$F$44:$ES$44,Calculo!$F$14:$ES$14,7)*N(INDEX(MP_O,24))*INDEX(IdxMP_O,1,7)*(1+P_dMat)/(1-P_Merma)+SUMIFS(Calculo!$F$44:$ES$44,Calculo!$F$14:$ES$14,7)*N(INDEX(INS_O,24))*INDEX(IdxOV_O,1,7)*(1+P_dMat)/(1-P_Merma)+SUMIFS(Calculo!$F$44:$ES$44,Calculo!$F$14:$ES$14,7)*N(INDEX(OV_O,24))*INDEX(IdxOV_O,1,7)*(1+P_dMat)/(1-P_Merma)),(SUMIFS(Calculo!$F$200:$ES$200,Calculo!$F$170:$ES$170,7)*N(INDEX(MP_V,24))*INDEX(IdxMP_V,1,7)*(1+V_dMat)/(1-V_Merma)+SUMIFS(Calculo!$F$200:$ES$200,Calculo!$F$170:$ES$170,7)*N(INDEX(INS_V,24))*INDEX(IdxOV_V,1,7)*(1+V_dMat)/(1-V_Merma)+SUMIFS(Calculo!$F$200:$ES$200,Calculo!$F$170:$ES$170,7)*N(INDEX(OV_V,24))*INDEX(IdxOV_V,1,7)*(1+V_dMat)/(1-V_Merma)))</f>
        <v>0</v>
      </c>
      <c r="L218" s="48" t="n">
        <f aca="false">IF(cu_P=1,(SUMIFS(Calculo!$F$44:$ES$44,Calculo!$F$14:$ES$14,8)*N(INDEX(MP_O,24))*INDEX(IdxMP_O,1,8)*(1+P_dMat)/(1-P_Merma)+SUMIFS(Calculo!$F$44:$ES$44,Calculo!$F$14:$ES$14,8)*N(INDEX(INS_O,24))*INDEX(IdxOV_O,1,8)*(1+P_dMat)/(1-P_Merma)+SUMIFS(Calculo!$F$44:$ES$44,Calculo!$F$14:$ES$14,8)*N(INDEX(OV_O,24))*INDEX(IdxOV_O,1,8)*(1+P_dMat)/(1-P_Merma)),(SUMIFS(Calculo!$F$200:$ES$200,Calculo!$F$170:$ES$170,8)*N(INDEX(MP_V,24))*INDEX(IdxMP_V,1,8)*(1+V_dMat)/(1-V_Merma)+SUMIFS(Calculo!$F$200:$ES$200,Calculo!$F$170:$ES$170,8)*N(INDEX(INS_V,24))*INDEX(IdxOV_V,1,8)*(1+V_dMat)/(1-V_Merma)+SUMIFS(Calculo!$F$200:$ES$200,Calculo!$F$170:$ES$170,8)*N(INDEX(OV_V,24))*INDEX(IdxOV_V,1,8)*(1+V_dMat)/(1-V_Merma)))</f>
        <v>0</v>
      </c>
      <c r="M218" s="48" t="n">
        <f aca="false">IF(cu_P=1,(SUMIFS(Calculo!$F$44:$ES$44,Calculo!$F$14:$ES$14,9)*N(INDEX(MP_O,24))*INDEX(IdxMP_O,1,9)*(1+P_dMat)/(1-P_Merma)+SUMIFS(Calculo!$F$44:$ES$44,Calculo!$F$14:$ES$14,9)*N(INDEX(INS_O,24))*INDEX(IdxOV_O,1,9)*(1+P_dMat)/(1-P_Merma)+SUMIFS(Calculo!$F$44:$ES$44,Calculo!$F$14:$ES$14,9)*N(INDEX(OV_O,24))*INDEX(IdxOV_O,1,9)*(1+P_dMat)/(1-P_Merma)),(SUMIFS(Calculo!$F$200:$ES$200,Calculo!$F$170:$ES$170,9)*N(INDEX(MP_V,24))*INDEX(IdxMP_V,1,9)*(1+V_dMat)/(1-V_Merma)+SUMIFS(Calculo!$F$200:$ES$200,Calculo!$F$170:$ES$170,9)*N(INDEX(INS_V,24))*INDEX(IdxOV_V,1,9)*(1+V_dMat)/(1-V_Merma)+SUMIFS(Calculo!$F$200:$ES$200,Calculo!$F$170:$ES$170,9)*N(INDEX(OV_V,24))*INDEX(IdxOV_V,1,9)*(1+V_dMat)/(1-V_Merma)))</f>
        <v>0</v>
      </c>
      <c r="N218" s="48" t="n">
        <f aca="false">IF(cu_P=1,(SUMIFS(Calculo!$F$44:$ES$44,Calculo!$F$14:$ES$14,10)*N(INDEX(MP_O,24))*INDEX(IdxMP_O,1,10)*(1+P_dMat)/(1-P_Merma)+SUMIFS(Calculo!$F$44:$ES$44,Calculo!$F$14:$ES$14,10)*N(INDEX(INS_O,24))*INDEX(IdxOV_O,1,10)*(1+P_dMat)/(1-P_Merma)+SUMIFS(Calculo!$F$44:$ES$44,Calculo!$F$14:$ES$14,10)*N(INDEX(OV_O,24))*INDEX(IdxOV_O,1,10)*(1+P_dMat)/(1-P_Merma)),(SUMIFS(Calculo!$F$200:$ES$200,Calculo!$F$170:$ES$170,10)*N(INDEX(MP_V,24))*INDEX(IdxMP_V,1,10)*(1+V_dMat)/(1-V_Merma)+SUMIFS(Calculo!$F$200:$ES$200,Calculo!$F$170:$ES$170,10)*N(INDEX(INS_V,24))*INDEX(IdxOV_V,1,10)*(1+V_dMat)/(1-V_Merma)+SUMIFS(Calculo!$F$200:$ES$200,Calculo!$F$170:$ES$170,10)*N(INDEX(OV_V,24))*INDEX(IdxOV_V,1,10)*(1+V_dMat)/(1-V_Merma)))</f>
        <v>0</v>
      </c>
      <c r="O218" s="54" t="n">
        <f aca="false">SUM(D218:N218)</f>
        <v>0</v>
      </c>
    </row>
    <row r="219" customFormat="false" ht="15" hidden="true" customHeight="false" outlineLevel="1" collapsed="false">
      <c r="A219" s="11" t="s">
        <v>2580</v>
      </c>
      <c r="B219" s="15" t="s">
        <v>2366</v>
      </c>
      <c r="C219" s="11" t="s">
        <v>544</v>
      </c>
      <c r="D219" s="48" t="n">
        <f aca="false">IF(cu_P=1,SUMIFS(Calculo!$F$44:$ES$44,Calculo!$F$16:$ES$16,1),SUMIFS(Calculo!$F$200:$ES$200,Calculo!$F$172:$ES$172,1))</f>
        <v>0</v>
      </c>
      <c r="E219" s="48" t="n">
        <f aca="false">IF(cu_P=1,SUMIFS(Calculo!$F$44:$ES$44,Calculo!$F$14:$ES$14,1),SUMIFS(Calculo!$F$200:$ES$200,Calculo!$F$170:$ES$170,1))</f>
        <v>0</v>
      </c>
      <c r="F219" s="48" t="n">
        <f aca="false">IF(cu_P=1,SUMIFS(Calculo!$F$44:$ES$44,Calculo!$F$14:$ES$14,2),SUMIFS(Calculo!$F$200:$ES$200,Calculo!$F$170:$ES$170,2))</f>
        <v>0</v>
      </c>
      <c r="G219" s="48" t="n">
        <f aca="false">IF(cu_P=1,SUMIFS(Calculo!$F$44:$ES$44,Calculo!$F$14:$ES$14,3),SUMIFS(Calculo!$F$200:$ES$200,Calculo!$F$170:$ES$170,3))</f>
        <v>0</v>
      </c>
      <c r="H219" s="48" t="n">
        <f aca="false">IF(cu_P=1,SUMIFS(Calculo!$F$44:$ES$44,Calculo!$F$14:$ES$14,4),SUMIFS(Calculo!$F$200:$ES$200,Calculo!$F$170:$ES$170,4))</f>
        <v>0</v>
      </c>
      <c r="I219" s="48" t="n">
        <f aca="false">IF(cu_P=1,SUMIFS(Calculo!$F$44:$ES$44,Calculo!$F$14:$ES$14,5),SUMIFS(Calculo!$F$200:$ES$200,Calculo!$F$170:$ES$170,5))</f>
        <v>0</v>
      </c>
      <c r="J219" s="48" t="n">
        <f aca="false">IF(cu_P=1,SUMIFS(Calculo!$F$44:$ES$44,Calculo!$F$14:$ES$14,6),SUMIFS(Calculo!$F$200:$ES$200,Calculo!$F$170:$ES$170,6))</f>
        <v>0</v>
      </c>
      <c r="K219" s="48" t="n">
        <f aca="false">IF(cu_P=1,SUMIFS(Calculo!$F$44:$ES$44,Calculo!$F$14:$ES$14,7),SUMIFS(Calculo!$F$200:$ES$200,Calculo!$F$170:$ES$170,7))</f>
        <v>0</v>
      </c>
      <c r="L219" s="48" t="n">
        <f aca="false">IF(cu_P=1,SUMIFS(Calculo!$F$44:$ES$44,Calculo!$F$14:$ES$14,8),SUMIFS(Calculo!$F$200:$ES$200,Calculo!$F$170:$ES$170,8))</f>
        <v>0</v>
      </c>
      <c r="M219" s="48" t="n">
        <f aca="false">IF(cu_P=1,SUMIFS(Calculo!$F$44:$ES$44,Calculo!$F$14:$ES$14,9),SUMIFS(Calculo!$F$200:$ES$200,Calculo!$F$170:$ES$170,9))</f>
        <v>0</v>
      </c>
      <c r="N219" s="48" t="n">
        <f aca="false">IF(cu_P=1,SUMIFS(Calculo!$F$44:$ES$44,Calculo!$F$14:$ES$14,10),SUMIFS(Calculo!$F$200:$ES$200,Calculo!$F$170:$ES$170,10))</f>
        <v>0</v>
      </c>
      <c r="O219" s="54" t="n">
        <f aca="false">SUM(D219:N219)</f>
        <v>0</v>
      </c>
    </row>
    <row r="220" customFormat="false" ht="15" hidden="true" customHeight="false" outlineLevel="1" collapsed="false">
      <c r="A220" s="11" t="s">
        <v>2581</v>
      </c>
      <c r="B220" s="15" t="s">
        <v>2368</v>
      </c>
      <c r="C220" s="11" t="s">
        <v>508</v>
      </c>
      <c r="D220" s="48" t="n">
        <f aca="false">IF(cu_P=1,SUMIFS(Calculo!$F$69:$ES$69,Calculo!$F$16:$ES$16,1),SUMIFS(Calculo!$F$225:$ES$225,Calculo!$F$172:$ES$172,1))</f>
        <v>0</v>
      </c>
      <c r="E220" s="48" t="n">
        <f aca="false">IF(cu_P=1,SUMIFS(Calculo!$F$69:$ES$69,Calculo!$F$14:$ES$14,1),SUMIFS(Calculo!$F$225:$ES$225,Calculo!$F$170:$ES$170,1))</f>
        <v>0</v>
      </c>
      <c r="F220" s="48" t="n">
        <f aca="false">IF(cu_P=1,SUMIFS(Calculo!$F$69:$ES$69,Calculo!$F$14:$ES$14,2),SUMIFS(Calculo!$F$225:$ES$225,Calculo!$F$170:$ES$170,2))</f>
        <v>0</v>
      </c>
      <c r="G220" s="48" t="n">
        <f aca="false">IF(cu_P=1,SUMIFS(Calculo!$F$69:$ES$69,Calculo!$F$14:$ES$14,3),SUMIFS(Calculo!$F$225:$ES$225,Calculo!$F$170:$ES$170,3))</f>
        <v>0</v>
      </c>
      <c r="H220" s="48" t="n">
        <f aca="false">IF(cu_P=1,SUMIFS(Calculo!$F$69:$ES$69,Calculo!$F$14:$ES$14,4),SUMIFS(Calculo!$F$225:$ES$225,Calculo!$F$170:$ES$170,4))</f>
        <v>0</v>
      </c>
      <c r="I220" s="48" t="n">
        <f aca="false">IF(cu_P=1,SUMIFS(Calculo!$F$69:$ES$69,Calculo!$F$14:$ES$14,5),SUMIFS(Calculo!$F$225:$ES$225,Calculo!$F$170:$ES$170,5))</f>
        <v>0</v>
      </c>
      <c r="J220" s="48" t="n">
        <f aca="false">IF(cu_P=1,SUMIFS(Calculo!$F$69:$ES$69,Calculo!$F$14:$ES$14,6),SUMIFS(Calculo!$F$225:$ES$225,Calculo!$F$170:$ES$170,6))</f>
        <v>0</v>
      </c>
      <c r="K220" s="48" t="n">
        <f aca="false">IF(cu_P=1,SUMIFS(Calculo!$F$69:$ES$69,Calculo!$F$14:$ES$14,7),SUMIFS(Calculo!$F$225:$ES$225,Calculo!$F$170:$ES$170,7))</f>
        <v>0</v>
      </c>
      <c r="L220" s="48" t="n">
        <f aca="false">IF(cu_P=1,SUMIFS(Calculo!$F$69:$ES$69,Calculo!$F$14:$ES$14,8),SUMIFS(Calculo!$F$225:$ES$225,Calculo!$F$170:$ES$170,8))</f>
        <v>0</v>
      </c>
      <c r="M220" s="48" t="n">
        <f aca="false">IF(cu_P=1,SUMIFS(Calculo!$F$69:$ES$69,Calculo!$F$14:$ES$14,9),SUMIFS(Calculo!$F$225:$ES$225,Calculo!$F$170:$ES$170,9))</f>
        <v>0</v>
      </c>
      <c r="N220" s="48" t="n">
        <f aca="false">IF(cu_P=1,SUMIFS(Calculo!$F$69:$ES$69,Calculo!$F$14:$ES$14,10),SUMIFS(Calculo!$F$225:$ES$225,Calculo!$F$170:$ES$170,10))</f>
        <v>0</v>
      </c>
      <c r="O220" s="54" t="n">
        <f aca="false">SUM(D220:N220)</f>
        <v>0</v>
      </c>
    </row>
    <row r="221" customFormat="false" ht="15" hidden="true" customHeight="false" outlineLevel="1" collapsed="false">
      <c r="A221" s="11" t="s">
        <v>2582</v>
      </c>
      <c r="B221" s="15" t="s">
        <v>2370</v>
      </c>
      <c r="C221" s="11" t="s">
        <v>748</v>
      </c>
      <c r="D221" s="50" t="str">
        <f aca="false">IFERROR(IF(OR(NOT(ISNUMBER(D218)),N(D219)=0),"",D218/D219),"")</f>
        <v/>
      </c>
      <c r="E221" s="50" t="str">
        <f aca="false">IFERROR(IF(OR(NOT(ISNUMBER(E218)),N(E219)=0),"",E218/E219),"")</f>
        <v/>
      </c>
      <c r="F221" s="50" t="str">
        <f aca="false">IFERROR(IF(OR(NOT(ISNUMBER(F218)),N(F219)=0),"",F218/F219),"")</f>
        <v/>
      </c>
      <c r="G221" s="50" t="str">
        <f aca="false">IFERROR(IF(OR(NOT(ISNUMBER(G218)),N(G219)=0),"",G218/G219),"")</f>
        <v/>
      </c>
      <c r="H221" s="50" t="str">
        <f aca="false">IFERROR(IF(OR(NOT(ISNUMBER(H218)),N(H219)=0),"",H218/H219),"")</f>
        <v/>
      </c>
      <c r="I221" s="50" t="str">
        <f aca="false">IFERROR(IF(OR(NOT(ISNUMBER(I218)),N(I219)=0),"",I218/I219),"")</f>
        <v/>
      </c>
      <c r="J221" s="50" t="str">
        <f aca="false">IFERROR(IF(OR(NOT(ISNUMBER(J218)),N(J219)=0),"",J218/J219),"")</f>
        <v/>
      </c>
      <c r="K221" s="50" t="str">
        <f aca="false">IFERROR(IF(OR(NOT(ISNUMBER(K218)),N(K219)=0),"",K218/K219),"")</f>
        <v/>
      </c>
      <c r="L221" s="50" t="str">
        <f aca="false">IFERROR(IF(OR(NOT(ISNUMBER(L218)),N(L219)=0),"",L218/L219),"")</f>
        <v/>
      </c>
      <c r="M221" s="50" t="str">
        <f aca="false">IFERROR(IF(OR(NOT(ISNUMBER(M218)),N(M219)=0),"",M218/M219),"")</f>
        <v/>
      </c>
      <c r="N221" s="50" t="str">
        <f aca="false">IFERROR(IF(OR(NOT(ISNUMBER(N218)),N(N219)=0),"",N218/N219),"")</f>
        <v/>
      </c>
      <c r="O221" s="68" t="str">
        <f aca="false">IFERROR(IF(OR(NOT(ISNUMBER(O218)),N(O219)=0),"",O218/O219),"")</f>
        <v/>
      </c>
    </row>
    <row r="222" customFormat="false" ht="15" hidden="true" customHeight="false" outlineLevel="1" collapsed="false">
      <c r="A222" s="11" t="s">
        <v>2583</v>
      </c>
      <c r="B222" s="15" t="s">
        <v>2372</v>
      </c>
      <c r="C222" s="11" t="s">
        <v>748</v>
      </c>
      <c r="D222" s="50" t="str">
        <f aca="false">IFERROR(IF(N(D219)=0,"",(D220-D218)/D219),"")</f>
        <v/>
      </c>
      <c r="E222" s="50" t="str">
        <f aca="false">IFERROR(IF(N(E219)=0,"",(E220-E218)/E219),"")</f>
        <v/>
      </c>
      <c r="F222" s="50" t="str">
        <f aca="false">IFERROR(IF(N(F219)=0,"",(F220-F218)/F219),"")</f>
        <v/>
      </c>
      <c r="G222" s="50" t="str">
        <f aca="false">IFERROR(IF(N(G219)=0,"",(G220-G218)/G219),"")</f>
        <v/>
      </c>
      <c r="H222" s="50" t="str">
        <f aca="false">IFERROR(IF(N(H219)=0,"",(H220-H218)/H219),"")</f>
        <v/>
      </c>
      <c r="I222" s="50" t="str">
        <f aca="false">IFERROR(IF(N(I219)=0,"",(I220-I218)/I219),"")</f>
        <v/>
      </c>
      <c r="J222" s="50" t="str">
        <f aca="false">IFERROR(IF(N(J219)=0,"",(J220-J218)/J219),"")</f>
        <v/>
      </c>
      <c r="K222" s="50" t="str">
        <f aca="false">IFERROR(IF(N(K219)=0,"",(K220-K218)/K219),"")</f>
        <v/>
      </c>
      <c r="L222" s="50" t="str">
        <f aca="false">IFERROR(IF(N(L219)=0,"",(L220-L218)/L219),"")</f>
        <v/>
      </c>
      <c r="M222" s="50" t="str">
        <f aca="false">IFERROR(IF(N(M219)=0,"",(M220-M218)/M219),"")</f>
        <v/>
      </c>
      <c r="N222" s="50" t="str">
        <f aca="false">IFERROR(IF(N(N219)=0,"",(N220-N218)/N219),"")</f>
        <v/>
      </c>
      <c r="O222" s="68" t="str">
        <f aca="false">IFERROR(IF(N(O219)=0,"",(O220-O218)/O219),"")</f>
        <v/>
      </c>
    </row>
    <row r="223" customFormat="false" ht="15" hidden="true" customHeight="false" outlineLevel="1" collapsed="false">
      <c r="A223" s="11" t="s">
        <v>2584</v>
      </c>
      <c r="B223" s="15" t="s">
        <v>2374</v>
      </c>
      <c r="C223" s="11" t="s">
        <v>367</v>
      </c>
      <c r="D223" s="49" t="str">
        <f aca="false">IFERROR(IF(N(D220)=0,"",1-D218/D220),"")</f>
        <v/>
      </c>
      <c r="E223" s="49" t="str">
        <f aca="false">IFERROR(IF(N(E220)=0,"",1-E218/E220),"")</f>
        <v/>
      </c>
      <c r="F223" s="49" t="str">
        <f aca="false">IFERROR(IF(N(F220)=0,"",1-F218/F220),"")</f>
        <v/>
      </c>
      <c r="G223" s="49" t="str">
        <f aca="false">IFERROR(IF(N(G220)=0,"",1-G218/G220),"")</f>
        <v/>
      </c>
      <c r="H223" s="49" t="str">
        <f aca="false">IFERROR(IF(N(H220)=0,"",1-H218/H220),"")</f>
        <v/>
      </c>
      <c r="I223" s="49" t="str">
        <f aca="false">IFERROR(IF(N(I220)=0,"",1-I218/I220),"")</f>
        <v/>
      </c>
      <c r="J223" s="49" t="str">
        <f aca="false">IFERROR(IF(N(J220)=0,"",1-J218/J220),"")</f>
        <v/>
      </c>
      <c r="K223" s="49" t="str">
        <f aca="false">IFERROR(IF(N(K220)=0,"",1-K218/K220),"")</f>
        <v/>
      </c>
      <c r="L223" s="49" t="str">
        <f aca="false">IFERROR(IF(N(L220)=0,"",1-L218/L220),"")</f>
        <v/>
      </c>
      <c r="M223" s="49" t="str">
        <f aca="false">IFERROR(IF(N(M220)=0,"",1-M218/M220),"")</f>
        <v/>
      </c>
      <c r="N223" s="49" t="str">
        <f aca="false">IFERROR(IF(N(N220)=0,"",1-N218/N220),"")</f>
        <v/>
      </c>
      <c r="O223" s="99" t="str">
        <f aca="false">IFERROR(IF(N(O220)=0,"",1-O218/O220),"")</f>
        <v/>
      </c>
    </row>
    <row r="224" customFormat="false" ht="15" hidden="true" customHeight="false" outlineLevel="1" collapsed="false">
      <c r="A224" s="11" t="s">
        <v>2585</v>
      </c>
      <c r="B224" s="15" t="s">
        <v>2376</v>
      </c>
      <c r="C224" s="11" t="s">
        <v>508</v>
      </c>
      <c r="D224" s="48" t="str">
        <f aca="false">IFERROR(IF(OR(NOT(ISNUMBER(D218)),N(D9)=0),"",D10*D218/D9),"")</f>
        <v/>
      </c>
      <c r="E224" s="48" t="n">
        <f aca="false">IFERROR(IF(OR(NOT(ISNUMBER(E218)),N(E9)=0),"",E10*E218/E9),"")</f>
        <v>0</v>
      </c>
      <c r="F224" s="48" t="n">
        <f aca="false">IFERROR(IF(OR(NOT(ISNUMBER(F218)),N(F9)=0),"",F10*F218/F9),"")</f>
        <v>0</v>
      </c>
      <c r="G224" s="48" t="n">
        <f aca="false">IFERROR(IF(OR(NOT(ISNUMBER(G218)),N(G9)=0),"",G10*G218/G9),"")</f>
        <v>0</v>
      </c>
      <c r="H224" s="48" t="n">
        <f aca="false">IFERROR(IF(OR(NOT(ISNUMBER(H218)),N(H9)=0),"",H10*H218/H9),"")</f>
        <v>0</v>
      </c>
      <c r="I224" s="48" t="n">
        <f aca="false">IFERROR(IF(OR(NOT(ISNUMBER(I218)),N(I9)=0),"",I10*I218/I9),"")</f>
        <v>0</v>
      </c>
      <c r="J224" s="48" t="n">
        <f aca="false">IFERROR(IF(OR(NOT(ISNUMBER(J218)),N(J9)=0),"",J10*J218/J9),"")</f>
        <v>0</v>
      </c>
      <c r="K224" s="48" t="n">
        <f aca="false">IFERROR(IF(OR(NOT(ISNUMBER(K218)),N(K9)=0),"",K10*K218/K9),"")</f>
        <v>0</v>
      </c>
      <c r="L224" s="48" t="n">
        <f aca="false">IFERROR(IF(OR(NOT(ISNUMBER(L218)),N(L9)=0),"",L10*L218/L9),"")</f>
        <v>0</v>
      </c>
      <c r="M224" s="48" t="n">
        <f aca="false">IFERROR(IF(OR(NOT(ISNUMBER(M218)),N(M9)=0),"",M10*M218/M9),"")</f>
        <v>0</v>
      </c>
      <c r="N224" s="48" t="n">
        <f aca="false">IFERROR(IF(OR(NOT(ISNUMBER(N218)),N(N9)=0),"",N10*N218/N9),"")</f>
        <v>0</v>
      </c>
      <c r="O224" s="54" t="n">
        <f aca="false">SUM(D224:N224)</f>
        <v>0</v>
      </c>
    </row>
    <row r="225" customFormat="false" ht="15" hidden="true" customHeight="false" outlineLevel="1" collapsed="false">
      <c r="A225" s="11" t="s">
        <v>2586</v>
      </c>
      <c r="B225" s="15" t="s">
        <v>2378</v>
      </c>
      <c r="C225" s="11" t="s">
        <v>508</v>
      </c>
      <c r="D225" s="48" t="n">
        <f aca="false">IFERROR(IF(COUNT(D218,D224)=0,"",N(D218)+N(D224)),"")</f>
        <v>0</v>
      </c>
      <c r="E225" s="48" t="n">
        <f aca="false">IFERROR(IF(COUNT(E218,E224)=0,"",N(E218)+N(E224)),"")</f>
        <v>0</v>
      </c>
      <c r="F225" s="48" t="n">
        <f aca="false">IFERROR(IF(COUNT(F218,F224)=0,"",N(F218)+N(F224)),"")</f>
        <v>0</v>
      </c>
      <c r="G225" s="48" t="n">
        <f aca="false">IFERROR(IF(COUNT(G218,G224)=0,"",N(G218)+N(G224)),"")</f>
        <v>0</v>
      </c>
      <c r="H225" s="48" t="n">
        <f aca="false">IFERROR(IF(COUNT(H218,H224)=0,"",N(H218)+N(H224)),"")</f>
        <v>0</v>
      </c>
      <c r="I225" s="48" t="n">
        <f aca="false">IFERROR(IF(COUNT(I218,I224)=0,"",N(I218)+N(I224)),"")</f>
        <v>0</v>
      </c>
      <c r="J225" s="48" t="n">
        <f aca="false">IFERROR(IF(COUNT(J218,J224)=0,"",N(J218)+N(J224)),"")</f>
        <v>0</v>
      </c>
      <c r="K225" s="48" t="n">
        <f aca="false">IFERROR(IF(COUNT(K218,K224)=0,"",N(K218)+N(K224)),"")</f>
        <v>0</v>
      </c>
      <c r="L225" s="48" t="n">
        <f aca="false">IFERROR(IF(COUNT(L218,L224)=0,"",N(L218)+N(L224)),"")</f>
        <v>0</v>
      </c>
      <c r="M225" s="48" t="n">
        <f aca="false">IFERROR(IF(COUNT(M218,M224)=0,"",N(M218)+N(M224)),"")</f>
        <v>0</v>
      </c>
      <c r="N225" s="48" t="n">
        <f aca="false">IFERROR(IF(COUNT(N218,N224)=0,"",N(N218)+N(N224)),"")</f>
        <v>0</v>
      </c>
      <c r="O225" s="54" t="n">
        <f aca="false">SUM(D225:N225)</f>
        <v>0</v>
      </c>
    </row>
    <row r="226" customFormat="false" ht="15" hidden="true" customHeight="false" outlineLevel="1" collapsed="false">
      <c r="A226" s="11" t="s">
        <v>2587</v>
      </c>
      <c r="B226" s="15" t="s">
        <v>2380</v>
      </c>
      <c r="C226" s="11" t="s">
        <v>748</v>
      </c>
      <c r="D226" s="50" t="str">
        <f aca="false">IFERROR(IF(OR(NOT(ISNUMBER(D225)),N(D219)=0),"",D225/D219),"")</f>
        <v/>
      </c>
      <c r="E226" s="50" t="str">
        <f aca="false">IFERROR(IF(OR(NOT(ISNUMBER(E225)),N(E219)=0),"",E225/E219),"")</f>
        <v/>
      </c>
      <c r="F226" s="50" t="str">
        <f aca="false">IFERROR(IF(OR(NOT(ISNUMBER(F225)),N(F219)=0),"",F225/F219),"")</f>
        <v/>
      </c>
      <c r="G226" s="50" t="str">
        <f aca="false">IFERROR(IF(OR(NOT(ISNUMBER(G225)),N(G219)=0),"",G225/G219),"")</f>
        <v/>
      </c>
      <c r="H226" s="50" t="str">
        <f aca="false">IFERROR(IF(OR(NOT(ISNUMBER(H225)),N(H219)=0),"",H225/H219),"")</f>
        <v/>
      </c>
      <c r="I226" s="50" t="str">
        <f aca="false">IFERROR(IF(OR(NOT(ISNUMBER(I225)),N(I219)=0),"",I225/I219),"")</f>
        <v/>
      </c>
      <c r="J226" s="50" t="str">
        <f aca="false">IFERROR(IF(OR(NOT(ISNUMBER(J225)),N(J219)=0),"",J225/J219),"")</f>
        <v/>
      </c>
      <c r="K226" s="50" t="str">
        <f aca="false">IFERROR(IF(OR(NOT(ISNUMBER(K225)),N(K219)=0),"",K225/K219),"")</f>
        <v/>
      </c>
      <c r="L226" s="50" t="str">
        <f aca="false">IFERROR(IF(OR(NOT(ISNUMBER(L225)),N(L219)=0),"",L225/L219),"")</f>
        <v/>
      </c>
      <c r="M226" s="50" t="str">
        <f aca="false">IFERROR(IF(OR(NOT(ISNUMBER(M225)),N(M219)=0),"",M225/M219),"")</f>
        <v/>
      </c>
      <c r="N226" s="50" t="str">
        <f aca="false">IFERROR(IF(OR(NOT(ISNUMBER(N225)),N(N219)=0),"",N225/N219),"")</f>
        <v/>
      </c>
      <c r="O226" s="68" t="str">
        <f aca="false">IFERROR(IF(OR(NOT(ISNUMBER(O225)),N(O219)=0),"",O225/O219),"")</f>
        <v/>
      </c>
    </row>
    <row r="227" customFormat="false" ht="15" hidden="true" customHeight="false" outlineLevel="1" collapsed="false">
      <c r="A227" s="11" t="s">
        <v>2588</v>
      </c>
      <c r="B227" s="53" t="str">
        <f aca="false">IF(INDEX(Prod_Nombre,25)="","Producto 25",INDEX(Prod_Nombre,25))&amp;" — costo directo"</f>
        <v>Producto 25 — costo directo</v>
      </c>
      <c r="C227" s="11" t="s">
        <v>508</v>
      </c>
      <c r="D227" s="48" t="n">
        <f aca="false">IF(cu_P=1,(SUMIFS(Calculo!$F$45:$ES$45,Calculo!$F$16:$ES$16,1)*N(INDEX(MP_O,25))*INDEX(IdxMP_O,1,1)*(1+P_dMat)/(1-P_Merma)+SUMIFS(Calculo!$F$45:$ES$45,Calculo!$F$16:$ES$16,1)*N(INDEX(INS_O,25))*INDEX(IdxOV_O,1,1)*(1+P_dMat)/(1-P_Merma)+SUMIFS(Calculo!$F$45:$ES$45,Calculo!$F$16:$ES$16,1)*N(INDEX(OV_O,25))*INDEX(IdxOV_O,1,1)*(1+P_dMat)/(1-P_Merma)),(SUMIFS(Calculo!$F$201:$ES$201,Calculo!$F$172:$ES$172,1)*N(INDEX(MP_V,25))*INDEX(IdxMP_V,1,1)*(1+V_dMat)/(1-V_Merma)+SUMIFS(Calculo!$F$201:$ES$201,Calculo!$F$172:$ES$172,1)*N(INDEX(INS_V,25))*INDEX(IdxOV_V,1,1)*(1+V_dMat)/(1-V_Merma)+SUMIFS(Calculo!$F$201:$ES$201,Calculo!$F$172:$ES$172,1)*N(INDEX(OV_V,25))*INDEX(IdxOV_V,1,1)*(1+V_dMat)/(1-V_Merma)))</f>
        <v>0</v>
      </c>
      <c r="E227" s="48" t="n">
        <f aca="false">IF(cu_P=1,(SUMIFS(Calculo!$F$45:$ES$45,Calculo!$F$14:$ES$14,1)*N(INDEX(MP_O,25))*INDEX(IdxMP_O,1,1)*(1+P_dMat)/(1-P_Merma)+SUMIFS(Calculo!$F$45:$ES$45,Calculo!$F$14:$ES$14,1)*N(INDEX(INS_O,25))*INDEX(IdxOV_O,1,1)*(1+P_dMat)/(1-P_Merma)+SUMIFS(Calculo!$F$45:$ES$45,Calculo!$F$14:$ES$14,1)*N(INDEX(OV_O,25))*INDEX(IdxOV_O,1,1)*(1+P_dMat)/(1-P_Merma)),(SUMIFS(Calculo!$F$201:$ES$201,Calculo!$F$170:$ES$170,1)*N(INDEX(MP_V,25))*INDEX(IdxMP_V,1,1)*(1+V_dMat)/(1-V_Merma)+SUMIFS(Calculo!$F$201:$ES$201,Calculo!$F$170:$ES$170,1)*N(INDEX(INS_V,25))*INDEX(IdxOV_V,1,1)*(1+V_dMat)/(1-V_Merma)+SUMIFS(Calculo!$F$201:$ES$201,Calculo!$F$170:$ES$170,1)*N(INDEX(OV_V,25))*INDEX(IdxOV_V,1,1)*(1+V_dMat)/(1-V_Merma)))</f>
        <v>0</v>
      </c>
      <c r="F227" s="48" t="n">
        <f aca="false">IF(cu_P=1,(SUMIFS(Calculo!$F$45:$ES$45,Calculo!$F$14:$ES$14,2)*N(INDEX(MP_O,25))*INDEX(IdxMP_O,1,2)*(1+P_dMat)/(1-P_Merma)+SUMIFS(Calculo!$F$45:$ES$45,Calculo!$F$14:$ES$14,2)*N(INDEX(INS_O,25))*INDEX(IdxOV_O,1,2)*(1+P_dMat)/(1-P_Merma)+SUMIFS(Calculo!$F$45:$ES$45,Calculo!$F$14:$ES$14,2)*N(INDEX(OV_O,25))*INDEX(IdxOV_O,1,2)*(1+P_dMat)/(1-P_Merma)),(SUMIFS(Calculo!$F$201:$ES$201,Calculo!$F$170:$ES$170,2)*N(INDEX(MP_V,25))*INDEX(IdxMP_V,1,2)*(1+V_dMat)/(1-V_Merma)+SUMIFS(Calculo!$F$201:$ES$201,Calculo!$F$170:$ES$170,2)*N(INDEX(INS_V,25))*INDEX(IdxOV_V,1,2)*(1+V_dMat)/(1-V_Merma)+SUMIFS(Calculo!$F$201:$ES$201,Calculo!$F$170:$ES$170,2)*N(INDEX(OV_V,25))*INDEX(IdxOV_V,1,2)*(1+V_dMat)/(1-V_Merma)))</f>
        <v>0</v>
      </c>
      <c r="G227" s="48" t="n">
        <f aca="false">IF(cu_P=1,(SUMIFS(Calculo!$F$45:$ES$45,Calculo!$F$14:$ES$14,3)*N(INDEX(MP_O,25))*INDEX(IdxMP_O,1,3)*(1+P_dMat)/(1-P_Merma)+SUMIFS(Calculo!$F$45:$ES$45,Calculo!$F$14:$ES$14,3)*N(INDEX(INS_O,25))*INDEX(IdxOV_O,1,3)*(1+P_dMat)/(1-P_Merma)+SUMIFS(Calculo!$F$45:$ES$45,Calculo!$F$14:$ES$14,3)*N(INDEX(OV_O,25))*INDEX(IdxOV_O,1,3)*(1+P_dMat)/(1-P_Merma)),(SUMIFS(Calculo!$F$201:$ES$201,Calculo!$F$170:$ES$170,3)*N(INDEX(MP_V,25))*INDEX(IdxMP_V,1,3)*(1+V_dMat)/(1-V_Merma)+SUMIFS(Calculo!$F$201:$ES$201,Calculo!$F$170:$ES$170,3)*N(INDEX(INS_V,25))*INDEX(IdxOV_V,1,3)*(1+V_dMat)/(1-V_Merma)+SUMIFS(Calculo!$F$201:$ES$201,Calculo!$F$170:$ES$170,3)*N(INDEX(OV_V,25))*INDEX(IdxOV_V,1,3)*(1+V_dMat)/(1-V_Merma)))</f>
        <v>0</v>
      </c>
      <c r="H227" s="48" t="n">
        <f aca="false">IF(cu_P=1,(SUMIFS(Calculo!$F$45:$ES$45,Calculo!$F$14:$ES$14,4)*N(INDEX(MP_O,25))*INDEX(IdxMP_O,1,4)*(1+P_dMat)/(1-P_Merma)+SUMIFS(Calculo!$F$45:$ES$45,Calculo!$F$14:$ES$14,4)*N(INDEX(INS_O,25))*INDEX(IdxOV_O,1,4)*(1+P_dMat)/(1-P_Merma)+SUMIFS(Calculo!$F$45:$ES$45,Calculo!$F$14:$ES$14,4)*N(INDEX(OV_O,25))*INDEX(IdxOV_O,1,4)*(1+P_dMat)/(1-P_Merma)),(SUMIFS(Calculo!$F$201:$ES$201,Calculo!$F$170:$ES$170,4)*N(INDEX(MP_V,25))*INDEX(IdxMP_V,1,4)*(1+V_dMat)/(1-V_Merma)+SUMIFS(Calculo!$F$201:$ES$201,Calculo!$F$170:$ES$170,4)*N(INDEX(INS_V,25))*INDEX(IdxOV_V,1,4)*(1+V_dMat)/(1-V_Merma)+SUMIFS(Calculo!$F$201:$ES$201,Calculo!$F$170:$ES$170,4)*N(INDEX(OV_V,25))*INDEX(IdxOV_V,1,4)*(1+V_dMat)/(1-V_Merma)))</f>
        <v>0</v>
      </c>
      <c r="I227" s="48" t="n">
        <f aca="false">IF(cu_P=1,(SUMIFS(Calculo!$F$45:$ES$45,Calculo!$F$14:$ES$14,5)*N(INDEX(MP_O,25))*INDEX(IdxMP_O,1,5)*(1+P_dMat)/(1-P_Merma)+SUMIFS(Calculo!$F$45:$ES$45,Calculo!$F$14:$ES$14,5)*N(INDEX(INS_O,25))*INDEX(IdxOV_O,1,5)*(1+P_dMat)/(1-P_Merma)+SUMIFS(Calculo!$F$45:$ES$45,Calculo!$F$14:$ES$14,5)*N(INDEX(OV_O,25))*INDEX(IdxOV_O,1,5)*(1+P_dMat)/(1-P_Merma)),(SUMIFS(Calculo!$F$201:$ES$201,Calculo!$F$170:$ES$170,5)*N(INDEX(MP_V,25))*INDEX(IdxMP_V,1,5)*(1+V_dMat)/(1-V_Merma)+SUMIFS(Calculo!$F$201:$ES$201,Calculo!$F$170:$ES$170,5)*N(INDEX(INS_V,25))*INDEX(IdxOV_V,1,5)*(1+V_dMat)/(1-V_Merma)+SUMIFS(Calculo!$F$201:$ES$201,Calculo!$F$170:$ES$170,5)*N(INDEX(OV_V,25))*INDEX(IdxOV_V,1,5)*(1+V_dMat)/(1-V_Merma)))</f>
        <v>0</v>
      </c>
      <c r="J227" s="48" t="n">
        <f aca="false">IF(cu_P=1,(SUMIFS(Calculo!$F$45:$ES$45,Calculo!$F$14:$ES$14,6)*N(INDEX(MP_O,25))*INDEX(IdxMP_O,1,6)*(1+P_dMat)/(1-P_Merma)+SUMIFS(Calculo!$F$45:$ES$45,Calculo!$F$14:$ES$14,6)*N(INDEX(INS_O,25))*INDEX(IdxOV_O,1,6)*(1+P_dMat)/(1-P_Merma)+SUMIFS(Calculo!$F$45:$ES$45,Calculo!$F$14:$ES$14,6)*N(INDEX(OV_O,25))*INDEX(IdxOV_O,1,6)*(1+P_dMat)/(1-P_Merma)),(SUMIFS(Calculo!$F$201:$ES$201,Calculo!$F$170:$ES$170,6)*N(INDEX(MP_V,25))*INDEX(IdxMP_V,1,6)*(1+V_dMat)/(1-V_Merma)+SUMIFS(Calculo!$F$201:$ES$201,Calculo!$F$170:$ES$170,6)*N(INDEX(INS_V,25))*INDEX(IdxOV_V,1,6)*(1+V_dMat)/(1-V_Merma)+SUMIFS(Calculo!$F$201:$ES$201,Calculo!$F$170:$ES$170,6)*N(INDEX(OV_V,25))*INDEX(IdxOV_V,1,6)*(1+V_dMat)/(1-V_Merma)))</f>
        <v>0</v>
      </c>
      <c r="K227" s="48" t="n">
        <f aca="false">IF(cu_P=1,(SUMIFS(Calculo!$F$45:$ES$45,Calculo!$F$14:$ES$14,7)*N(INDEX(MP_O,25))*INDEX(IdxMP_O,1,7)*(1+P_dMat)/(1-P_Merma)+SUMIFS(Calculo!$F$45:$ES$45,Calculo!$F$14:$ES$14,7)*N(INDEX(INS_O,25))*INDEX(IdxOV_O,1,7)*(1+P_dMat)/(1-P_Merma)+SUMIFS(Calculo!$F$45:$ES$45,Calculo!$F$14:$ES$14,7)*N(INDEX(OV_O,25))*INDEX(IdxOV_O,1,7)*(1+P_dMat)/(1-P_Merma)),(SUMIFS(Calculo!$F$201:$ES$201,Calculo!$F$170:$ES$170,7)*N(INDEX(MP_V,25))*INDEX(IdxMP_V,1,7)*(1+V_dMat)/(1-V_Merma)+SUMIFS(Calculo!$F$201:$ES$201,Calculo!$F$170:$ES$170,7)*N(INDEX(INS_V,25))*INDEX(IdxOV_V,1,7)*(1+V_dMat)/(1-V_Merma)+SUMIFS(Calculo!$F$201:$ES$201,Calculo!$F$170:$ES$170,7)*N(INDEX(OV_V,25))*INDEX(IdxOV_V,1,7)*(1+V_dMat)/(1-V_Merma)))</f>
        <v>0</v>
      </c>
      <c r="L227" s="48" t="n">
        <f aca="false">IF(cu_P=1,(SUMIFS(Calculo!$F$45:$ES$45,Calculo!$F$14:$ES$14,8)*N(INDEX(MP_O,25))*INDEX(IdxMP_O,1,8)*(1+P_dMat)/(1-P_Merma)+SUMIFS(Calculo!$F$45:$ES$45,Calculo!$F$14:$ES$14,8)*N(INDEX(INS_O,25))*INDEX(IdxOV_O,1,8)*(1+P_dMat)/(1-P_Merma)+SUMIFS(Calculo!$F$45:$ES$45,Calculo!$F$14:$ES$14,8)*N(INDEX(OV_O,25))*INDEX(IdxOV_O,1,8)*(1+P_dMat)/(1-P_Merma)),(SUMIFS(Calculo!$F$201:$ES$201,Calculo!$F$170:$ES$170,8)*N(INDEX(MP_V,25))*INDEX(IdxMP_V,1,8)*(1+V_dMat)/(1-V_Merma)+SUMIFS(Calculo!$F$201:$ES$201,Calculo!$F$170:$ES$170,8)*N(INDEX(INS_V,25))*INDEX(IdxOV_V,1,8)*(1+V_dMat)/(1-V_Merma)+SUMIFS(Calculo!$F$201:$ES$201,Calculo!$F$170:$ES$170,8)*N(INDEX(OV_V,25))*INDEX(IdxOV_V,1,8)*(1+V_dMat)/(1-V_Merma)))</f>
        <v>0</v>
      </c>
      <c r="M227" s="48" t="n">
        <f aca="false">IF(cu_P=1,(SUMIFS(Calculo!$F$45:$ES$45,Calculo!$F$14:$ES$14,9)*N(INDEX(MP_O,25))*INDEX(IdxMP_O,1,9)*(1+P_dMat)/(1-P_Merma)+SUMIFS(Calculo!$F$45:$ES$45,Calculo!$F$14:$ES$14,9)*N(INDEX(INS_O,25))*INDEX(IdxOV_O,1,9)*(1+P_dMat)/(1-P_Merma)+SUMIFS(Calculo!$F$45:$ES$45,Calculo!$F$14:$ES$14,9)*N(INDEX(OV_O,25))*INDEX(IdxOV_O,1,9)*(1+P_dMat)/(1-P_Merma)),(SUMIFS(Calculo!$F$201:$ES$201,Calculo!$F$170:$ES$170,9)*N(INDEX(MP_V,25))*INDEX(IdxMP_V,1,9)*(1+V_dMat)/(1-V_Merma)+SUMIFS(Calculo!$F$201:$ES$201,Calculo!$F$170:$ES$170,9)*N(INDEX(INS_V,25))*INDEX(IdxOV_V,1,9)*(1+V_dMat)/(1-V_Merma)+SUMIFS(Calculo!$F$201:$ES$201,Calculo!$F$170:$ES$170,9)*N(INDEX(OV_V,25))*INDEX(IdxOV_V,1,9)*(1+V_dMat)/(1-V_Merma)))</f>
        <v>0</v>
      </c>
      <c r="N227" s="48" t="n">
        <f aca="false">IF(cu_P=1,(SUMIFS(Calculo!$F$45:$ES$45,Calculo!$F$14:$ES$14,10)*N(INDEX(MP_O,25))*INDEX(IdxMP_O,1,10)*(1+P_dMat)/(1-P_Merma)+SUMIFS(Calculo!$F$45:$ES$45,Calculo!$F$14:$ES$14,10)*N(INDEX(INS_O,25))*INDEX(IdxOV_O,1,10)*(1+P_dMat)/(1-P_Merma)+SUMIFS(Calculo!$F$45:$ES$45,Calculo!$F$14:$ES$14,10)*N(INDEX(OV_O,25))*INDEX(IdxOV_O,1,10)*(1+P_dMat)/(1-P_Merma)),(SUMIFS(Calculo!$F$201:$ES$201,Calculo!$F$170:$ES$170,10)*N(INDEX(MP_V,25))*INDEX(IdxMP_V,1,10)*(1+V_dMat)/(1-V_Merma)+SUMIFS(Calculo!$F$201:$ES$201,Calculo!$F$170:$ES$170,10)*N(INDEX(INS_V,25))*INDEX(IdxOV_V,1,10)*(1+V_dMat)/(1-V_Merma)+SUMIFS(Calculo!$F$201:$ES$201,Calculo!$F$170:$ES$170,10)*N(INDEX(OV_V,25))*INDEX(IdxOV_V,1,10)*(1+V_dMat)/(1-V_Merma)))</f>
        <v>0</v>
      </c>
      <c r="O227" s="54" t="n">
        <f aca="false">SUM(D227:N227)</f>
        <v>0</v>
      </c>
    </row>
    <row r="228" customFormat="false" ht="15" hidden="true" customHeight="false" outlineLevel="1" collapsed="false">
      <c r="A228" s="11" t="s">
        <v>2589</v>
      </c>
      <c r="B228" s="15" t="s">
        <v>2366</v>
      </c>
      <c r="C228" s="11" t="s">
        <v>544</v>
      </c>
      <c r="D228" s="48" t="n">
        <f aca="false">IF(cu_P=1,SUMIFS(Calculo!$F$45:$ES$45,Calculo!$F$16:$ES$16,1),SUMIFS(Calculo!$F$201:$ES$201,Calculo!$F$172:$ES$172,1))</f>
        <v>0</v>
      </c>
      <c r="E228" s="48" t="n">
        <f aca="false">IF(cu_P=1,SUMIFS(Calculo!$F$45:$ES$45,Calculo!$F$14:$ES$14,1),SUMIFS(Calculo!$F$201:$ES$201,Calculo!$F$170:$ES$170,1))</f>
        <v>0</v>
      </c>
      <c r="F228" s="48" t="n">
        <f aca="false">IF(cu_P=1,SUMIFS(Calculo!$F$45:$ES$45,Calculo!$F$14:$ES$14,2),SUMIFS(Calculo!$F$201:$ES$201,Calculo!$F$170:$ES$170,2))</f>
        <v>0</v>
      </c>
      <c r="G228" s="48" t="n">
        <f aca="false">IF(cu_P=1,SUMIFS(Calculo!$F$45:$ES$45,Calculo!$F$14:$ES$14,3),SUMIFS(Calculo!$F$201:$ES$201,Calculo!$F$170:$ES$170,3))</f>
        <v>0</v>
      </c>
      <c r="H228" s="48" t="n">
        <f aca="false">IF(cu_P=1,SUMIFS(Calculo!$F$45:$ES$45,Calculo!$F$14:$ES$14,4),SUMIFS(Calculo!$F$201:$ES$201,Calculo!$F$170:$ES$170,4))</f>
        <v>0</v>
      </c>
      <c r="I228" s="48" t="n">
        <f aca="false">IF(cu_P=1,SUMIFS(Calculo!$F$45:$ES$45,Calculo!$F$14:$ES$14,5),SUMIFS(Calculo!$F$201:$ES$201,Calculo!$F$170:$ES$170,5))</f>
        <v>0</v>
      </c>
      <c r="J228" s="48" t="n">
        <f aca="false">IF(cu_P=1,SUMIFS(Calculo!$F$45:$ES$45,Calculo!$F$14:$ES$14,6),SUMIFS(Calculo!$F$201:$ES$201,Calculo!$F$170:$ES$170,6))</f>
        <v>0</v>
      </c>
      <c r="K228" s="48" t="n">
        <f aca="false">IF(cu_P=1,SUMIFS(Calculo!$F$45:$ES$45,Calculo!$F$14:$ES$14,7),SUMIFS(Calculo!$F$201:$ES$201,Calculo!$F$170:$ES$170,7))</f>
        <v>0</v>
      </c>
      <c r="L228" s="48" t="n">
        <f aca="false">IF(cu_P=1,SUMIFS(Calculo!$F$45:$ES$45,Calculo!$F$14:$ES$14,8),SUMIFS(Calculo!$F$201:$ES$201,Calculo!$F$170:$ES$170,8))</f>
        <v>0</v>
      </c>
      <c r="M228" s="48" t="n">
        <f aca="false">IF(cu_P=1,SUMIFS(Calculo!$F$45:$ES$45,Calculo!$F$14:$ES$14,9),SUMIFS(Calculo!$F$201:$ES$201,Calculo!$F$170:$ES$170,9))</f>
        <v>0</v>
      </c>
      <c r="N228" s="48" t="n">
        <f aca="false">IF(cu_P=1,SUMIFS(Calculo!$F$45:$ES$45,Calculo!$F$14:$ES$14,10),SUMIFS(Calculo!$F$201:$ES$201,Calculo!$F$170:$ES$170,10))</f>
        <v>0</v>
      </c>
      <c r="O228" s="54" t="n">
        <f aca="false">SUM(D228:N228)</f>
        <v>0</v>
      </c>
    </row>
    <row r="229" customFormat="false" ht="15" hidden="true" customHeight="false" outlineLevel="1" collapsed="false">
      <c r="A229" s="11" t="s">
        <v>2590</v>
      </c>
      <c r="B229" s="15" t="s">
        <v>2368</v>
      </c>
      <c r="C229" s="11" t="s">
        <v>508</v>
      </c>
      <c r="D229" s="48" t="n">
        <f aca="false">IF(cu_P=1,SUMIFS(Calculo!$F$70:$ES$70,Calculo!$F$16:$ES$16,1),SUMIFS(Calculo!$F$226:$ES$226,Calculo!$F$172:$ES$172,1))</f>
        <v>0</v>
      </c>
      <c r="E229" s="48" t="n">
        <f aca="false">IF(cu_P=1,SUMIFS(Calculo!$F$70:$ES$70,Calculo!$F$14:$ES$14,1),SUMIFS(Calculo!$F$226:$ES$226,Calculo!$F$170:$ES$170,1))</f>
        <v>0</v>
      </c>
      <c r="F229" s="48" t="n">
        <f aca="false">IF(cu_P=1,SUMIFS(Calculo!$F$70:$ES$70,Calculo!$F$14:$ES$14,2),SUMIFS(Calculo!$F$226:$ES$226,Calculo!$F$170:$ES$170,2))</f>
        <v>0</v>
      </c>
      <c r="G229" s="48" t="n">
        <f aca="false">IF(cu_P=1,SUMIFS(Calculo!$F$70:$ES$70,Calculo!$F$14:$ES$14,3),SUMIFS(Calculo!$F$226:$ES$226,Calculo!$F$170:$ES$170,3))</f>
        <v>0</v>
      </c>
      <c r="H229" s="48" t="n">
        <f aca="false">IF(cu_P=1,SUMIFS(Calculo!$F$70:$ES$70,Calculo!$F$14:$ES$14,4),SUMIFS(Calculo!$F$226:$ES$226,Calculo!$F$170:$ES$170,4))</f>
        <v>0</v>
      </c>
      <c r="I229" s="48" t="n">
        <f aca="false">IF(cu_P=1,SUMIFS(Calculo!$F$70:$ES$70,Calculo!$F$14:$ES$14,5),SUMIFS(Calculo!$F$226:$ES$226,Calculo!$F$170:$ES$170,5))</f>
        <v>0</v>
      </c>
      <c r="J229" s="48" t="n">
        <f aca="false">IF(cu_P=1,SUMIFS(Calculo!$F$70:$ES$70,Calculo!$F$14:$ES$14,6),SUMIFS(Calculo!$F$226:$ES$226,Calculo!$F$170:$ES$170,6))</f>
        <v>0</v>
      </c>
      <c r="K229" s="48" t="n">
        <f aca="false">IF(cu_P=1,SUMIFS(Calculo!$F$70:$ES$70,Calculo!$F$14:$ES$14,7),SUMIFS(Calculo!$F$226:$ES$226,Calculo!$F$170:$ES$170,7))</f>
        <v>0</v>
      </c>
      <c r="L229" s="48" t="n">
        <f aca="false">IF(cu_P=1,SUMIFS(Calculo!$F$70:$ES$70,Calculo!$F$14:$ES$14,8),SUMIFS(Calculo!$F$226:$ES$226,Calculo!$F$170:$ES$170,8))</f>
        <v>0</v>
      </c>
      <c r="M229" s="48" t="n">
        <f aca="false">IF(cu_P=1,SUMIFS(Calculo!$F$70:$ES$70,Calculo!$F$14:$ES$14,9),SUMIFS(Calculo!$F$226:$ES$226,Calculo!$F$170:$ES$170,9))</f>
        <v>0</v>
      </c>
      <c r="N229" s="48" t="n">
        <f aca="false">IF(cu_P=1,SUMIFS(Calculo!$F$70:$ES$70,Calculo!$F$14:$ES$14,10),SUMIFS(Calculo!$F$226:$ES$226,Calculo!$F$170:$ES$170,10))</f>
        <v>0</v>
      </c>
      <c r="O229" s="54" t="n">
        <f aca="false">SUM(D229:N229)</f>
        <v>0</v>
      </c>
    </row>
    <row r="230" customFormat="false" ht="15" hidden="true" customHeight="false" outlineLevel="1" collapsed="false">
      <c r="A230" s="11" t="s">
        <v>2591</v>
      </c>
      <c r="B230" s="15" t="s">
        <v>2370</v>
      </c>
      <c r="C230" s="11" t="s">
        <v>748</v>
      </c>
      <c r="D230" s="50" t="str">
        <f aca="false">IFERROR(IF(OR(NOT(ISNUMBER(D227)),N(D228)=0),"",D227/D228),"")</f>
        <v/>
      </c>
      <c r="E230" s="50" t="str">
        <f aca="false">IFERROR(IF(OR(NOT(ISNUMBER(E227)),N(E228)=0),"",E227/E228),"")</f>
        <v/>
      </c>
      <c r="F230" s="50" t="str">
        <f aca="false">IFERROR(IF(OR(NOT(ISNUMBER(F227)),N(F228)=0),"",F227/F228),"")</f>
        <v/>
      </c>
      <c r="G230" s="50" t="str">
        <f aca="false">IFERROR(IF(OR(NOT(ISNUMBER(G227)),N(G228)=0),"",G227/G228),"")</f>
        <v/>
      </c>
      <c r="H230" s="50" t="str">
        <f aca="false">IFERROR(IF(OR(NOT(ISNUMBER(H227)),N(H228)=0),"",H227/H228),"")</f>
        <v/>
      </c>
      <c r="I230" s="50" t="str">
        <f aca="false">IFERROR(IF(OR(NOT(ISNUMBER(I227)),N(I228)=0),"",I227/I228),"")</f>
        <v/>
      </c>
      <c r="J230" s="50" t="str">
        <f aca="false">IFERROR(IF(OR(NOT(ISNUMBER(J227)),N(J228)=0),"",J227/J228),"")</f>
        <v/>
      </c>
      <c r="K230" s="50" t="str">
        <f aca="false">IFERROR(IF(OR(NOT(ISNUMBER(K227)),N(K228)=0),"",K227/K228),"")</f>
        <v/>
      </c>
      <c r="L230" s="50" t="str">
        <f aca="false">IFERROR(IF(OR(NOT(ISNUMBER(L227)),N(L228)=0),"",L227/L228),"")</f>
        <v/>
      </c>
      <c r="M230" s="50" t="str">
        <f aca="false">IFERROR(IF(OR(NOT(ISNUMBER(M227)),N(M228)=0),"",M227/M228),"")</f>
        <v/>
      </c>
      <c r="N230" s="50" t="str">
        <f aca="false">IFERROR(IF(OR(NOT(ISNUMBER(N227)),N(N228)=0),"",N227/N228),"")</f>
        <v/>
      </c>
      <c r="O230" s="68" t="str">
        <f aca="false">IFERROR(IF(OR(NOT(ISNUMBER(O227)),N(O228)=0),"",O227/O228),"")</f>
        <v/>
      </c>
    </row>
    <row r="231" customFormat="false" ht="15" hidden="true" customHeight="false" outlineLevel="1" collapsed="false">
      <c r="A231" s="11" t="s">
        <v>2592</v>
      </c>
      <c r="B231" s="15" t="s">
        <v>2372</v>
      </c>
      <c r="C231" s="11" t="s">
        <v>748</v>
      </c>
      <c r="D231" s="50" t="str">
        <f aca="false">IFERROR(IF(N(D228)=0,"",(D229-D227)/D228),"")</f>
        <v/>
      </c>
      <c r="E231" s="50" t="str">
        <f aca="false">IFERROR(IF(N(E228)=0,"",(E229-E227)/E228),"")</f>
        <v/>
      </c>
      <c r="F231" s="50" t="str">
        <f aca="false">IFERROR(IF(N(F228)=0,"",(F229-F227)/F228),"")</f>
        <v/>
      </c>
      <c r="G231" s="50" t="str">
        <f aca="false">IFERROR(IF(N(G228)=0,"",(G229-G227)/G228),"")</f>
        <v/>
      </c>
      <c r="H231" s="50" t="str">
        <f aca="false">IFERROR(IF(N(H228)=0,"",(H229-H227)/H228),"")</f>
        <v/>
      </c>
      <c r="I231" s="50" t="str">
        <f aca="false">IFERROR(IF(N(I228)=0,"",(I229-I227)/I228),"")</f>
        <v/>
      </c>
      <c r="J231" s="50" t="str">
        <f aca="false">IFERROR(IF(N(J228)=0,"",(J229-J227)/J228),"")</f>
        <v/>
      </c>
      <c r="K231" s="50" t="str">
        <f aca="false">IFERROR(IF(N(K228)=0,"",(K229-K227)/K228),"")</f>
        <v/>
      </c>
      <c r="L231" s="50" t="str">
        <f aca="false">IFERROR(IF(N(L228)=0,"",(L229-L227)/L228),"")</f>
        <v/>
      </c>
      <c r="M231" s="50" t="str">
        <f aca="false">IFERROR(IF(N(M228)=0,"",(M229-M227)/M228),"")</f>
        <v/>
      </c>
      <c r="N231" s="50" t="str">
        <f aca="false">IFERROR(IF(N(N228)=0,"",(N229-N227)/N228),"")</f>
        <v/>
      </c>
      <c r="O231" s="68" t="str">
        <f aca="false">IFERROR(IF(N(O228)=0,"",(O229-O227)/O228),"")</f>
        <v/>
      </c>
    </row>
    <row r="232" customFormat="false" ht="15" hidden="true" customHeight="false" outlineLevel="1" collapsed="false">
      <c r="A232" s="11" t="s">
        <v>2593</v>
      </c>
      <c r="B232" s="15" t="s">
        <v>2374</v>
      </c>
      <c r="C232" s="11" t="s">
        <v>367</v>
      </c>
      <c r="D232" s="49" t="str">
        <f aca="false">IFERROR(IF(N(D229)=0,"",1-D227/D229),"")</f>
        <v/>
      </c>
      <c r="E232" s="49" t="str">
        <f aca="false">IFERROR(IF(N(E229)=0,"",1-E227/E229),"")</f>
        <v/>
      </c>
      <c r="F232" s="49" t="str">
        <f aca="false">IFERROR(IF(N(F229)=0,"",1-F227/F229),"")</f>
        <v/>
      </c>
      <c r="G232" s="49" t="str">
        <f aca="false">IFERROR(IF(N(G229)=0,"",1-G227/G229),"")</f>
        <v/>
      </c>
      <c r="H232" s="49" t="str">
        <f aca="false">IFERROR(IF(N(H229)=0,"",1-H227/H229),"")</f>
        <v/>
      </c>
      <c r="I232" s="49" t="str">
        <f aca="false">IFERROR(IF(N(I229)=0,"",1-I227/I229),"")</f>
        <v/>
      </c>
      <c r="J232" s="49" t="str">
        <f aca="false">IFERROR(IF(N(J229)=0,"",1-J227/J229),"")</f>
        <v/>
      </c>
      <c r="K232" s="49" t="str">
        <f aca="false">IFERROR(IF(N(K229)=0,"",1-K227/K229),"")</f>
        <v/>
      </c>
      <c r="L232" s="49" t="str">
        <f aca="false">IFERROR(IF(N(L229)=0,"",1-L227/L229),"")</f>
        <v/>
      </c>
      <c r="M232" s="49" t="str">
        <f aca="false">IFERROR(IF(N(M229)=0,"",1-M227/M229),"")</f>
        <v/>
      </c>
      <c r="N232" s="49" t="str">
        <f aca="false">IFERROR(IF(N(N229)=0,"",1-N227/N229),"")</f>
        <v/>
      </c>
      <c r="O232" s="99" t="str">
        <f aca="false">IFERROR(IF(N(O229)=0,"",1-O227/O229),"")</f>
        <v/>
      </c>
    </row>
    <row r="233" customFormat="false" ht="15" hidden="true" customHeight="false" outlineLevel="1" collapsed="false">
      <c r="A233" s="11" t="s">
        <v>2594</v>
      </c>
      <c r="B233" s="15" t="s">
        <v>2376</v>
      </c>
      <c r="C233" s="11" t="s">
        <v>508</v>
      </c>
      <c r="D233" s="48" t="str">
        <f aca="false">IFERROR(IF(OR(NOT(ISNUMBER(D227)),N(D9)=0),"",D10*D227/D9),"")</f>
        <v/>
      </c>
      <c r="E233" s="48" t="n">
        <f aca="false">IFERROR(IF(OR(NOT(ISNUMBER(E227)),N(E9)=0),"",E10*E227/E9),"")</f>
        <v>0</v>
      </c>
      <c r="F233" s="48" t="n">
        <f aca="false">IFERROR(IF(OR(NOT(ISNUMBER(F227)),N(F9)=0),"",F10*F227/F9),"")</f>
        <v>0</v>
      </c>
      <c r="G233" s="48" t="n">
        <f aca="false">IFERROR(IF(OR(NOT(ISNUMBER(G227)),N(G9)=0),"",G10*G227/G9),"")</f>
        <v>0</v>
      </c>
      <c r="H233" s="48" t="n">
        <f aca="false">IFERROR(IF(OR(NOT(ISNUMBER(H227)),N(H9)=0),"",H10*H227/H9),"")</f>
        <v>0</v>
      </c>
      <c r="I233" s="48" t="n">
        <f aca="false">IFERROR(IF(OR(NOT(ISNUMBER(I227)),N(I9)=0),"",I10*I227/I9),"")</f>
        <v>0</v>
      </c>
      <c r="J233" s="48" t="n">
        <f aca="false">IFERROR(IF(OR(NOT(ISNUMBER(J227)),N(J9)=0),"",J10*J227/J9),"")</f>
        <v>0</v>
      </c>
      <c r="K233" s="48" t="n">
        <f aca="false">IFERROR(IF(OR(NOT(ISNUMBER(K227)),N(K9)=0),"",K10*K227/K9),"")</f>
        <v>0</v>
      </c>
      <c r="L233" s="48" t="n">
        <f aca="false">IFERROR(IF(OR(NOT(ISNUMBER(L227)),N(L9)=0),"",L10*L227/L9),"")</f>
        <v>0</v>
      </c>
      <c r="M233" s="48" t="n">
        <f aca="false">IFERROR(IF(OR(NOT(ISNUMBER(M227)),N(M9)=0),"",M10*M227/M9),"")</f>
        <v>0</v>
      </c>
      <c r="N233" s="48" t="n">
        <f aca="false">IFERROR(IF(OR(NOT(ISNUMBER(N227)),N(N9)=0),"",N10*N227/N9),"")</f>
        <v>0</v>
      </c>
      <c r="O233" s="54" t="n">
        <f aca="false">SUM(D233:N233)</f>
        <v>0</v>
      </c>
    </row>
    <row r="234" customFormat="false" ht="15" hidden="true" customHeight="false" outlineLevel="1" collapsed="false">
      <c r="A234" s="11" t="s">
        <v>2595</v>
      </c>
      <c r="B234" s="15" t="s">
        <v>2378</v>
      </c>
      <c r="C234" s="11" t="s">
        <v>508</v>
      </c>
      <c r="D234" s="48" t="n">
        <f aca="false">IFERROR(IF(COUNT(D227,D233)=0,"",N(D227)+N(D233)),"")</f>
        <v>0</v>
      </c>
      <c r="E234" s="48" t="n">
        <f aca="false">IFERROR(IF(COUNT(E227,E233)=0,"",N(E227)+N(E233)),"")</f>
        <v>0</v>
      </c>
      <c r="F234" s="48" t="n">
        <f aca="false">IFERROR(IF(COUNT(F227,F233)=0,"",N(F227)+N(F233)),"")</f>
        <v>0</v>
      </c>
      <c r="G234" s="48" t="n">
        <f aca="false">IFERROR(IF(COUNT(G227,G233)=0,"",N(G227)+N(G233)),"")</f>
        <v>0</v>
      </c>
      <c r="H234" s="48" t="n">
        <f aca="false">IFERROR(IF(COUNT(H227,H233)=0,"",N(H227)+N(H233)),"")</f>
        <v>0</v>
      </c>
      <c r="I234" s="48" t="n">
        <f aca="false">IFERROR(IF(COUNT(I227,I233)=0,"",N(I227)+N(I233)),"")</f>
        <v>0</v>
      </c>
      <c r="J234" s="48" t="n">
        <f aca="false">IFERROR(IF(COUNT(J227,J233)=0,"",N(J227)+N(J233)),"")</f>
        <v>0</v>
      </c>
      <c r="K234" s="48" t="n">
        <f aca="false">IFERROR(IF(COUNT(K227,K233)=0,"",N(K227)+N(K233)),"")</f>
        <v>0</v>
      </c>
      <c r="L234" s="48" t="n">
        <f aca="false">IFERROR(IF(COUNT(L227,L233)=0,"",N(L227)+N(L233)),"")</f>
        <v>0</v>
      </c>
      <c r="M234" s="48" t="n">
        <f aca="false">IFERROR(IF(COUNT(M227,M233)=0,"",N(M227)+N(M233)),"")</f>
        <v>0</v>
      </c>
      <c r="N234" s="48" t="n">
        <f aca="false">IFERROR(IF(COUNT(N227,N233)=0,"",N(N227)+N(N233)),"")</f>
        <v>0</v>
      </c>
      <c r="O234" s="54" t="n">
        <f aca="false">SUM(D234:N234)</f>
        <v>0</v>
      </c>
    </row>
    <row r="235" customFormat="false" ht="15" hidden="true" customHeight="false" outlineLevel="1" collapsed="false">
      <c r="A235" s="11" t="s">
        <v>2596</v>
      </c>
      <c r="B235" s="15" t="s">
        <v>2380</v>
      </c>
      <c r="C235" s="11" t="s">
        <v>748</v>
      </c>
      <c r="D235" s="50" t="str">
        <f aca="false">IFERROR(IF(OR(NOT(ISNUMBER(D234)),N(D228)=0),"",D234/D228),"")</f>
        <v/>
      </c>
      <c r="E235" s="50" t="str">
        <f aca="false">IFERROR(IF(OR(NOT(ISNUMBER(E234)),N(E228)=0),"",E234/E228),"")</f>
        <v/>
      </c>
      <c r="F235" s="50" t="str">
        <f aca="false">IFERROR(IF(OR(NOT(ISNUMBER(F234)),N(F228)=0),"",F234/F228),"")</f>
        <v/>
      </c>
      <c r="G235" s="50" t="str">
        <f aca="false">IFERROR(IF(OR(NOT(ISNUMBER(G234)),N(G228)=0),"",G234/G228),"")</f>
        <v/>
      </c>
      <c r="H235" s="50" t="str">
        <f aca="false">IFERROR(IF(OR(NOT(ISNUMBER(H234)),N(H228)=0),"",H234/H228),"")</f>
        <v/>
      </c>
      <c r="I235" s="50" t="str">
        <f aca="false">IFERROR(IF(OR(NOT(ISNUMBER(I234)),N(I228)=0),"",I234/I228),"")</f>
        <v/>
      </c>
      <c r="J235" s="50" t="str">
        <f aca="false">IFERROR(IF(OR(NOT(ISNUMBER(J234)),N(J228)=0),"",J234/J228),"")</f>
        <v/>
      </c>
      <c r="K235" s="50" t="str">
        <f aca="false">IFERROR(IF(OR(NOT(ISNUMBER(K234)),N(K228)=0),"",K234/K228),"")</f>
        <v/>
      </c>
      <c r="L235" s="50" t="str">
        <f aca="false">IFERROR(IF(OR(NOT(ISNUMBER(L234)),N(L228)=0),"",L234/L228),"")</f>
        <v/>
      </c>
      <c r="M235" s="50" t="str">
        <f aca="false">IFERROR(IF(OR(NOT(ISNUMBER(M234)),N(M228)=0),"",M234/M228),"")</f>
        <v/>
      </c>
      <c r="N235" s="50" t="str">
        <f aca="false">IFERROR(IF(OR(NOT(ISNUMBER(N234)),N(N228)=0),"",N234/N228),"")</f>
        <v/>
      </c>
      <c r="O235" s="68" t="str">
        <f aca="false">IFERROR(IF(OR(NOT(ISNUMBER(O234)),N(O228)=0),"",O234/O228),"")</f>
        <v/>
      </c>
    </row>
    <row r="237" customFormat="false" ht="15" hidden="false" customHeight="false" outlineLevel="0" collapsed="false">
      <c r="A237" s="65" t="s">
        <v>1992</v>
      </c>
      <c r="B237" s="64"/>
      <c r="C237" s="64"/>
      <c r="D237" s="64"/>
      <c r="E237" s="64"/>
      <c r="F237" s="64"/>
      <c r="G237" s="64"/>
      <c r="H237" s="64"/>
      <c r="I237" s="64"/>
      <c r="J237" s="64"/>
      <c r="K237" s="64"/>
      <c r="L237" s="64"/>
      <c r="M237" s="64"/>
      <c r="N237" s="64"/>
      <c r="O237" s="64"/>
    </row>
    <row r="238" customFormat="false" ht="24" hidden="false" customHeight="true" outlineLevel="0" collapsed="false">
      <c r="A238" s="14"/>
      <c r="B238" s="14" t="s">
        <v>1530</v>
      </c>
      <c r="C238" s="14" t="s">
        <v>355</v>
      </c>
      <c r="D238" s="14" t="s">
        <v>1857</v>
      </c>
      <c r="E238" s="14" t="s">
        <v>452</v>
      </c>
      <c r="F238" s="14" t="s">
        <v>453</v>
      </c>
      <c r="G238" s="14" t="s">
        <v>454</v>
      </c>
      <c r="H238" s="14" t="s">
        <v>455</v>
      </c>
      <c r="I238" s="14" t="s">
        <v>456</v>
      </c>
      <c r="J238" s="14" t="s">
        <v>457</v>
      </c>
      <c r="K238" s="14" t="s">
        <v>458</v>
      </c>
      <c r="L238" s="14" t="s">
        <v>459</v>
      </c>
      <c r="M238" s="14" t="s">
        <v>460</v>
      </c>
      <c r="N238" s="14" t="s">
        <v>461</v>
      </c>
      <c r="O238" s="14" t="s">
        <v>549</v>
      </c>
    </row>
    <row r="239" customFormat="false" ht="15" hidden="false" customHeight="false" outlineLevel="0" collapsed="false">
      <c r="B239" s="11" t="s">
        <v>1993</v>
      </c>
      <c r="D239" s="86" t="str">
        <f aca="false">IF(OR(n_Fecha1="",IF(cu_P=1,P_Inicio,V_Inicio)=1),"",YEAR(n_Fecha1))</f>
        <v/>
      </c>
      <c r="E239" s="86" t="str">
        <f aca="false">IF(n_Fecha1="","",YEAR(EOMONTH(n_Fecha1,IF(cu_P=1,P_Inicio,V_Inicio)-1+0)))</f>
        <v/>
      </c>
      <c r="F239" s="86" t="str">
        <f aca="false">IF(n_Fecha1="","",YEAR(EOMONTH(n_Fecha1,IF(cu_P=1,P_Inicio,V_Inicio)-1+12)))</f>
        <v/>
      </c>
      <c r="G239" s="86" t="str">
        <f aca="false">IF(n_Fecha1="","",YEAR(EOMONTH(n_Fecha1,IF(cu_P=1,P_Inicio,V_Inicio)-1+24)))</f>
        <v/>
      </c>
      <c r="H239" s="86" t="str">
        <f aca="false">IF(n_Fecha1="","",YEAR(EOMONTH(n_Fecha1,IF(cu_P=1,P_Inicio,V_Inicio)-1+36)))</f>
        <v/>
      </c>
      <c r="I239" s="86" t="str">
        <f aca="false">IF(n_Fecha1="","",YEAR(EOMONTH(n_Fecha1,IF(cu_P=1,P_Inicio,V_Inicio)-1+48)))</f>
        <v/>
      </c>
      <c r="J239" s="86" t="str">
        <f aca="false">IF(n_Fecha1="","",YEAR(EOMONTH(n_Fecha1,IF(cu_P=1,P_Inicio,V_Inicio)-1+60)))</f>
        <v/>
      </c>
      <c r="K239" s="86" t="str">
        <f aca="false">IF(n_Fecha1="","",YEAR(EOMONTH(n_Fecha1,IF(cu_P=1,P_Inicio,V_Inicio)-1+72)))</f>
        <v/>
      </c>
      <c r="L239" s="86" t="str">
        <f aca="false">IF(n_Fecha1="","",YEAR(EOMONTH(n_Fecha1,IF(cu_P=1,P_Inicio,V_Inicio)-1+84)))</f>
        <v/>
      </c>
      <c r="M239" s="86" t="str">
        <f aca="false">IF(n_Fecha1="","",YEAR(EOMONTH(n_Fecha1,IF(cu_P=1,P_Inicio,V_Inicio)-1+96)))</f>
        <v/>
      </c>
      <c r="N239" s="86" t="str">
        <f aca="false">IF(n_Fecha1="","",YEAR(EOMONTH(n_Fecha1,IF(cu_P=1,P_Inicio,V_Inicio)-1+108)))</f>
        <v/>
      </c>
    </row>
    <row r="240" customFormat="false" ht="15" hidden="false" customHeight="false" outlineLevel="0" collapsed="false">
      <c r="A240" s="11" t="s">
        <v>2358</v>
      </c>
      <c r="B240" s="67" t="s">
        <v>2359</v>
      </c>
      <c r="C240" s="11" t="s">
        <v>508</v>
      </c>
      <c r="D240" s="37"/>
      <c r="E240" s="37" t="n">
        <v>4548078</v>
      </c>
      <c r="F240" s="37" t="n">
        <v>5450056</v>
      </c>
      <c r="G240" s="37" t="n">
        <v>6299788</v>
      </c>
      <c r="H240" s="37" t="n">
        <v>6977948</v>
      </c>
      <c r="I240" s="37" t="n">
        <v>6968286</v>
      </c>
      <c r="J240" s="37" t="n">
        <v>6957607</v>
      </c>
      <c r="K240" s="37" t="n">
        <v>6974375</v>
      </c>
      <c r="L240" s="37" t="n">
        <v>7003749</v>
      </c>
      <c r="M240" s="37" t="n">
        <v>7033564</v>
      </c>
      <c r="N240" s="37" t="n">
        <v>7063828</v>
      </c>
      <c r="O240" s="54" t="n">
        <f aca="false">IF(COUNT(D240:N240)=0,"",SUM(D240:N240))</f>
        <v>65277279</v>
      </c>
    </row>
    <row r="241" customFormat="false" ht="15" hidden="false" customHeight="false" outlineLevel="0" collapsed="false">
      <c r="A241" s="11" t="s">
        <v>2360</v>
      </c>
      <c r="B241" s="15" t="s">
        <v>2361</v>
      </c>
      <c r="C241" s="11" t="s">
        <v>508</v>
      </c>
      <c r="D241" s="48" t="str">
        <f aca="false">IFERROR(IF(COUNT(D243,D252,D261,D270,D279,D288,D297,D306,D315,D324,D333,D342,D351,D360,D369,D378,D387,D396,D405,D414,D423,D432,D441,D450,D459)=0,"",N(D243)+N(D252)+N(D261)+N(D270)+N(D279)+N(D288)+N(D297)+N(D306)+N(D315)+N(D324)+N(D333)+N(D342)+N(D351)+N(D360)+N(D369)+N(D378)+N(D387)+N(D396)+N(D405)+N(D414)+N(D423)+N(D432)+N(D441)+N(D450)+N(D459)),"")</f>
        <v/>
      </c>
      <c r="E241" s="48" t="n">
        <f aca="false">IFERROR(IF(COUNT(E243,E252,E261,E270,E279,E288,E297,E306,E315,E324,E333,E342,E351,E360,E369,E378,E387,E396,E405,E414,E423,E432,E441,E450,E459)=0,"",N(E243)+N(E252)+N(E261)+N(E270)+N(E279)+N(E288)+N(E297)+N(E306)+N(E315)+N(E324)+N(E333)+N(E342)+N(E351)+N(E360)+N(E369)+N(E378)+N(E387)+N(E396)+N(E405)+N(E414)+N(E423)+N(E432)+N(E441)+N(E450)+N(E459)),"")</f>
        <v>2890252</v>
      </c>
      <c r="F241" s="48" t="n">
        <f aca="false">IFERROR(IF(COUNT(F243,F252,F261,F270,F279,F288,F297,F306,F315,F324,F333,F342,F351,F360,F369,F378,F387,F396,F405,F414,F423,F432,F441,F450,F459)=0,"",N(F243)+N(F252)+N(F261)+N(F270)+N(F279)+N(F288)+N(F297)+N(F306)+N(F315)+N(F324)+N(F333)+N(F342)+N(F351)+N(F360)+N(F369)+N(F378)+N(F387)+N(F396)+N(F405)+N(F414)+N(F423)+N(F432)+N(F441)+N(F450)+N(F459)),"")</f>
        <v>3668871</v>
      </c>
      <c r="G241" s="48" t="n">
        <f aca="false">IFERROR(IF(COUNT(G243,G252,G261,G270,G279,G288,G297,G306,G315,G324,G333,G342,G351,G360,G369,G378,G387,G396,G405,G414,G423,G432,G441,G450,G459)=0,"",N(G243)+N(G252)+N(G261)+N(G270)+N(G279)+N(G288)+N(G297)+N(G306)+N(G315)+N(G324)+N(G333)+N(G342)+N(G351)+N(G360)+N(G369)+N(G378)+N(G387)+N(G396)+N(G405)+N(G414)+N(G423)+N(G432)+N(G441)+N(G450)+N(G459)),"")</f>
        <v>4447411</v>
      </c>
      <c r="H241" s="48" t="n">
        <f aca="false">IFERROR(IF(COUNT(H243,H252,H261,H270,H279,H288,H297,H306,H315,H324,H333,H342,H351,H360,H369,H378,H387,H396,H405,H414,H423,H432,H441,H450,H459)=0,"",N(H243)+N(H252)+N(H261)+N(H270)+N(H279)+N(H288)+N(H297)+N(H306)+N(H315)+N(H324)+N(H333)+N(H342)+N(H351)+N(H360)+N(H369)+N(H378)+N(H387)+N(H396)+N(H405)+N(H414)+N(H423)+N(H432)+N(H441)+N(H450)+N(H459)),"")</f>
        <v>5082434</v>
      </c>
      <c r="I241" s="48" t="n">
        <f aca="false">IFERROR(IF(COUNT(I243,I252,I261,I270,I279,I288,I297,I306,I315,I324,I333,I342,I351,I360,I369,I378,I387,I396,I405,I414,I423,I432,I441,I450,I459)=0,"",N(I243)+N(I252)+N(I261)+N(I270)+N(I279)+N(I288)+N(I297)+N(I306)+N(I315)+N(I324)+N(I333)+N(I342)+N(I351)+N(I360)+N(I369)+N(I378)+N(I387)+N(I396)+N(I405)+N(I414)+N(I423)+N(I432)+N(I441)+N(I450)+N(I459)),"")</f>
        <v>5100317</v>
      </c>
      <c r="J241" s="48" t="n">
        <f aca="false">IFERROR(IF(COUNT(J243,J252,J261,J270,J279,J288,J297,J306,J315,J324,J333,J342,J351,J360,J369,J378,J387,J396,J405,J414,J423,J432,J441,J450,J459)=0,"",N(J243)+N(J252)+N(J261)+N(J270)+N(J279)+N(J288)+N(J297)+N(J306)+N(J315)+N(J324)+N(J333)+N(J342)+N(J351)+N(J360)+N(J369)+N(J378)+N(J387)+N(J396)+N(J405)+N(J414)+N(J423)+N(J432)+N(J441)+N(J450)+N(J459)),"")</f>
        <v>5118378</v>
      </c>
      <c r="K241" s="48" t="n">
        <f aca="false">IFERROR(IF(COUNT(K243,K252,K261,K270,K279,K288,K297,K306,K315,K324,K333,K342,K351,K360,K369,K378,K387,K396,K405,K414,K423,K432,K441,K450,K459)=0,"",N(K243)+N(K252)+N(K261)+N(K270)+N(K279)+N(K288)+N(K297)+N(K306)+N(K315)+N(K324)+N(K333)+N(K342)+N(K351)+N(K360)+N(K369)+N(K378)+N(K387)+N(K396)+N(K405)+N(K414)+N(K423)+N(K432)+N(K441)+N(K450)+N(K459)),"")</f>
        <v>5136620</v>
      </c>
      <c r="L241" s="48" t="n">
        <f aca="false">IFERROR(IF(COUNT(L243,L252,L261,L270,L279,L288,L297,L306,L315,L324,L333,L342,L351,L360,L369,L378,L387,L396,L405,L414,L423,L432,L441,L450,L459)=0,"",N(L243)+N(L252)+N(L261)+N(L270)+N(L279)+N(L288)+N(L297)+N(L306)+N(L315)+N(L324)+N(L333)+N(L342)+N(L351)+N(L360)+N(L369)+N(L378)+N(L387)+N(L396)+N(L405)+N(L414)+N(L423)+N(L432)+N(L441)+N(L450)+N(L459)),"")</f>
        <v>5155044</v>
      </c>
      <c r="M241" s="48" t="n">
        <f aca="false">IFERROR(IF(COUNT(M243,M252,M261,M270,M279,M288,M297,M306,M315,M324,M333,M342,M351,M360,M369,M378,M387,M396,M405,M414,M423,M432,M441,M450,M459)=0,"",N(M243)+N(M252)+N(M261)+N(M270)+N(M279)+N(M288)+N(M297)+N(M306)+N(M315)+N(M324)+N(M333)+N(M342)+N(M351)+N(M360)+N(M369)+N(M378)+N(M387)+N(M396)+N(M405)+N(M414)+N(M423)+N(M432)+N(M441)+N(M450)+N(M459)),"")</f>
        <v>5173653</v>
      </c>
      <c r="N241" s="48" t="n">
        <f aca="false">IFERROR(IF(COUNT(N243,N252,N261,N270,N279,N288,N297,N306,N315,N324,N333,N342,N351,N360,N369,N378,N387,N396,N405,N414,N423,N432,N441,N450,N459)=0,"",N(N243)+N(N252)+N(N261)+N(N270)+N(N279)+N(N288)+N(N297)+N(N306)+N(N315)+N(N324)+N(N333)+N(N342)+N(N351)+N(N360)+N(N369)+N(N378)+N(N387)+N(N396)+N(N405)+N(N414)+N(N423)+N(N432)+N(N441)+N(N450)+N(N459)),"")</f>
        <v>5192447</v>
      </c>
      <c r="O241" s="54" t="n">
        <f aca="false">IF(COUNT(D241:N241)=0,"",SUM(D241:N241))</f>
        <v>46965427</v>
      </c>
    </row>
    <row r="242" customFormat="false" ht="15" hidden="false" customHeight="false" outlineLevel="0" collapsed="false">
      <c r="A242" s="11" t="s">
        <v>2362</v>
      </c>
      <c r="B242" s="15" t="s">
        <v>2363</v>
      </c>
      <c r="C242" s="11" t="s">
        <v>508</v>
      </c>
      <c r="D242" s="48" t="str">
        <f aca="false">IFERROR(IF(COUNT(D240,D241)=0,"",N(D240)-N(D241)),"")</f>
        <v/>
      </c>
      <c r="E242" s="48" t="n">
        <f aca="false">IFERROR(IF(COUNT(E240,E241)=0,"",N(E240)-N(E241)),"")</f>
        <v>1657826</v>
      </c>
      <c r="F242" s="48" t="n">
        <f aca="false">IFERROR(IF(COUNT(F240,F241)=0,"",N(F240)-N(F241)),"")</f>
        <v>1781185</v>
      </c>
      <c r="G242" s="48" t="n">
        <f aca="false">IFERROR(IF(COUNT(G240,G241)=0,"",N(G240)-N(G241)),"")</f>
        <v>1852377</v>
      </c>
      <c r="H242" s="48" t="n">
        <f aca="false">IFERROR(IF(COUNT(H240,H241)=0,"",N(H240)-N(H241)),"")</f>
        <v>1895514</v>
      </c>
      <c r="I242" s="48" t="n">
        <f aca="false">IFERROR(IF(COUNT(I240,I241)=0,"",N(I240)-N(I241)),"")</f>
        <v>1867969</v>
      </c>
      <c r="J242" s="48" t="n">
        <f aca="false">IFERROR(IF(COUNT(J240,J241)=0,"",N(J240)-N(J241)),"")</f>
        <v>1839229</v>
      </c>
      <c r="K242" s="48" t="n">
        <f aca="false">IFERROR(IF(COUNT(K240,K241)=0,"",N(K240)-N(K241)),"")</f>
        <v>1837755</v>
      </c>
      <c r="L242" s="48" t="n">
        <f aca="false">IFERROR(IF(COUNT(L240,L241)=0,"",N(L240)-N(L241)),"")</f>
        <v>1848705</v>
      </c>
      <c r="M242" s="48" t="n">
        <f aca="false">IFERROR(IF(COUNT(M240,M241)=0,"",N(M240)-N(M241)),"")</f>
        <v>1859911</v>
      </c>
      <c r="N242" s="48" t="n">
        <f aca="false">IFERROR(IF(COUNT(N240,N241)=0,"",N(N240)-N(N241)),"")</f>
        <v>1871381</v>
      </c>
      <c r="O242" s="54" t="n">
        <f aca="false">IF(COUNT(D242:N242)=0,"",SUM(D242:N242))</f>
        <v>18311852</v>
      </c>
    </row>
    <row r="243" customFormat="false" ht="15" hidden="false" customHeight="false" outlineLevel="0" collapsed="false">
      <c r="A243" s="11" t="s">
        <v>2364</v>
      </c>
      <c r="B243" s="53" t="str">
        <f aca="false">IF(INDEX(Prod_Nombre,1)="","Producto 1",INDEX(Prod_Nombre,1))&amp;" — costo directo"</f>
        <v>Gabinetes metálicos 153 kg — costo directo</v>
      </c>
      <c r="C243" s="11" t="s">
        <v>508</v>
      </c>
      <c r="D243" s="37"/>
      <c r="E243" s="37" t="n">
        <v>1854532</v>
      </c>
      <c r="F243" s="37" t="n">
        <v>2330562</v>
      </c>
      <c r="G243" s="37" t="n">
        <v>2811700</v>
      </c>
      <c r="H243" s="37" t="n">
        <v>3298022</v>
      </c>
      <c r="I243" s="37" t="n">
        <v>3315905</v>
      </c>
      <c r="J243" s="37" t="n">
        <v>3333966</v>
      </c>
      <c r="K243" s="37" t="n">
        <v>3352208</v>
      </c>
      <c r="L243" s="37" t="n">
        <v>3370632</v>
      </c>
      <c r="M243" s="37" t="n">
        <v>3389241</v>
      </c>
      <c r="N243" s="37" t="n">
        <v>3408035</v>
      </c>
      <c r="O243" s="54" t="n">
        <f aca="false">IF(COUNT(D243:N243)=0,"",SUM(D243:N243))</f>
        <v>30464803</v>
      </c>
    </row>
    <row r="244" customFormat="false" ht="15" hidden="false" customHeight="false" outlineLevel="0" collapsed="false">
      <c r="A244" s="11" t="s">
        <v>2365</v>
      </c>
      <c r="B244" s="15" t="s">
        <v>2366</v>
      </c>
      <c r="C244" s="11" t="s">
        <v>544</v>
      </c>
      <c r="D244" s="37"/>
      <c r="E244" s="37" t="n">
        <v>12000</v>
      </c>
      <c r="F244" s="37" t="n">
        <v>15000</v>
      </c>
      <c r="G244" s="37" t="n">
        <v>18000</v>
      </c>
      <c r="H244" s="37" t="n">
        <v>21000</v>
      </c>
      <c r="I244" s="37" t="n">
        <v>21000</v>
      </c>
      <c r="J244" s="37" t="n">
        <v>21000</v>
      </c>
      <c r="K244" s="37" t="n">
        <v>21000</v>
      </c>
      <c r="L244" s="37" t="n">
        <v>21000</v>
      </c>
      <c r="M244" s="37" t="n">
        <v>21000</v>
      </c>
      <c r="N244" s="37" t="n">
        <v>21000</v>
      </c>
      <c r="O244" s="54" t="n">
        <f aca="false">IF(COUNT(D244:N244)=0,"",SUM(D244:N244))</f>
        <v>192000</v>
      </c>
    </row>
    <row r="245" customFormat="false" ht="15" hidden="false" customHeight="false" outlineLevel="0" collapsed="false">
      <c r="A245" s="11" t="s">
        <v>2367</v>
      </c>
      <c r="B245" s="15" t="s">
        <v>2368</v>
      </c>
      <c r="C245" s="11" t="s">
        <v>508</v>
      </c>
      <c r="D245" s="37"/>
      <c r="E245" s="37" t="n">
        <v>3240000</v>
      </c>
      <c r="F245" s="37" t="n">
        <v>4090500</v>
      </c>
      <c r="G245" s="37" t="n">
        <v>4957686</v>
      </c>
      <c r="H245" s="37" t="n">
        <v>5841807</v>
      </c>
      <c r="I245" s="37" t="n">
        <v>5900225</v>
      </c>
      <c r="J245" s="37" t="n">
        <v>5959227</v>
      </c>
      <c r="K245" s="37" t="n">
        <v>6018819</v>
      </c>
      <c r="L245" s="37" t="n">
        <v>6079007</v>
      </c>
      <c r="M245" s="37" t="n">
        <v>6139798</v>
      </c>
      <c r="N245" s="37" t="n">
        <v>6201195</v>
      </c>
      <c r="O245" s="54" t="n">
        <f aca="false">IF(COUNT(D245:N245)=0,"",SUM(D245:N245))</f>
        <v>54428264</v>
      </c>
    </row>
    <row r="246" customFormat="false" ht="15" hidden="false" customHeight="false" outlineLevel="0" collapsed="false">
      <c r="A246" s="11" t="s">
        <v>2369</v>
      </c>
      <c r="B246" s="15" t="s">
        <v>2370</v>
      </c>
      <c r="C246" s="11" t="s">
        <v>748</v>
      </c>
      <c r="D246" s="50" t="str">
        <f aca="false">IFERROR(IF(OR(NOT(ISNUMBER(D243)),N(D244)=0),"",D243/D244),"")</f>
        <v/>
      </c>
      <c r="E246" s="50" t="n">
        <f aca="false">IFERROR(IF(OR(NOT(ISNUMBER(E243)),N(E244)=0),"",E243/E244),"")</f>
        <v>154.544333333333</v>
      </c>
      <c r="F246" s="50" t="n">
        <f aca="false">IFERROR(IF(OR(NOT(ISNUMBER(F243)),N(F244)=0),"",F243/F244),"")</f>
        <v>155.3708</v>
      </c>
      <c r="G246" s="50" t="n">
        <f aca="false">IFERROR(IF(OR(NOT(ISNUMBER(G243)),N(G244)=0),"",G243/G244),"")</f>
        <v>156.205555555556</v>
      </c>
      <c r="H246" s="50" t="n">
        <f aca="false">IFERROR(IF(OR(NOT(ISNUMBER(H243)),N(H244)=0),"",H243/H244),"")</f>
        <v>157.048666666667</v>
      </c>
      <c r="I246" s="50" t="n">
        <f aca="false">IFERROR(IF(OR(NOT(ISNUMBER(I243)),N(I244)=0),"",I243/I244),"")</f>
        <v>157.900238095238</v>
      </c>
      <c r="J246" s="50" t="n">
        <f aca="false">IFERROR(IF(OR(NOT(ISNUMBER(J243)),N(J244)=0),"",J243/J244),"")</f>
        <v>158.760285714286</v>
      </c>
      <c r="K246" s="50" t="n">
        <f aca="false">IFERROR(IF(OR(NOT(ISNUMBER(K243)),N(K244)=0),"",K243/K244),"")</f>
        <v>159.628952380952</v>
      </c>
      <c r="L246" s="50" t="n">
        <f aca="false">IFERROR(IF(OR(NOT(ISNUMBER(L243)),N(L244)=0),"",L243/L244),"")</f>
        <v>160.506285714286</v>
      </c>
      <c r="M246" s="50" t="n">
        <f aca="false">IFERROR(IF(OR(NOT(ISNUMBER(M243)),N(M244)=0),"",M243/M244),"")</f>
        <v>161.392428571429</v>
      </c>
      <c r="N246" s="50" t="n">
        <f aca="false">IFERROR(IF(OR(NOT(ISNUMBER(N243)),N(N244)=0),"",N243/N244),"")</f>
        <v>162.287380952381</v>
      </c>
      <c r="O246" s="68" t="n">
        <f aca="false">IFERROR(IF(OR(NOT(ISNUMBER(O243)),N(O244)=0),"",O243/O244),"")</f>
        <v>158.670848958333</v>
      </c>
    </row>
    <row r="247" customFormat="false" ht="15" hidden="false" customHeight="false" outlineLevel="0" collapsed="false">
      <c r="A247" s="11" t="s">
        <v>2371</v>
      </c>
      <c r="B247" s="15" t="s">
        <v>2372</v>
      </c>
      <c r="C247" s="11" t="s">
        <v>748</v>
      </c>
      <c r="D247" s="50" t="str">
        <f aca="false">IFERROR(IF(N(D244)=0,"",(D245-D243)/D244),"")</f>
        <v/>
      </c>
      <c r="E247" s="50" t="n">
        <f aca="false">IFERROR(IF(N(E244)=0,"",(E245-E243)/E244),"")</f>
        <v>115.455666666667</v>
      </c>
      <c r="F247" s="50" t="n">
        <f aca="false">IFERROR(IF(N(F244)=0,"",(F245-F243)/F244),"")</f>
        <v>117.3292</v>
      </c>
      <c r="G247" s="50" t="n">
        <f aca="false">IFERROR(IF(N(G244)=0,"",(G245-G243)/G244),"")</f>
        <v>119.221444444444</v>
      </c>
      <c r="H247" s="50" t="n">
        <f aca="false">IFERROR(IF(N(H244)=0,"",(H245-H243)/H244),"")</f>
        <v>121.132619047619</v>
      </c>
      <c r="I247" s="50" t="n">
        <f aca="false">IFERROR(IF(N(I244)=0,"",(I245-I243)/I244),"")</f>
        <v>123.062857142857</v>
      </c>
      <c r="J247" s="50" t="n">
        <f aca="false">IFERROR(IF(N(J244)=0,"",(J245-J243)/J244),"")</f>
        <v>125.012428571429</v>
      </c>
      <c r="K247" s="50" t="n">
        <f aca="false">IFERROR(IF(N(K244)=0,"",(K245-K243)/K244),"")</f>
        <v>126.981476190476</v>
      </c>
      <c r="L247" s="50" t="n">
        <f aca="false">IFERROR(IF(N(L244)=0,"",(L245-L243)/L244),"")</f>
        <v>128.970238095238</v>
      </c>
      <c r="M247" s="50" t="n">
        <f aca="false">IFERROR(IF(N(M244)=0,"",(M245-M243)/M244),"")</f>
        <v>130.978904761905</v>
      </c>
      <c r="N247" s="50" t="n">
        <f aca="false">IFERROR(IF(N(N244)=0,"",(N245-N243)/N244),"")</f>
        <v>133.007619047619</v>
      </c>
      <c r="O247" s="68" t="n">
        <f aca="false">IFERROR(IF(N(O244)=0,"",(O245-O243)/O244),"")</f>
        <v>124.809692708333</v>
      </c>
    </row>
    <row r="248" customFormat="false" ht="15" hidden="false" customHeight="false" outlineLevel="0" collapsed="false">
      <c r="A248" s="11" t="s">
        <v>2373</v>
      </c>
      <c r="B248" s="15" t="s">
        <v>2374</v>
      </c>
      <c r="C248" s="11" t="s">
        <v>367</v>
      </c>
      <c r="D248" s="49" t="str">
        <f aca="false">IFERROR(IF(N(D245)=0,"",1-D243/D245),"")</f>
        <v/>
      </c>
      <c r="E248" s="49" t="n">
        <f aca="false">IFERROR(IF(N(E245)=0,"",1-E243/E245),"")</f>
        <v>0.427613580246914</v>
      </c>
      <c r="F248" s="49" t="n">
        <f aca="false">IFERROR(IF(N(F245)=0,"",1-F243/F245),"")</f>
        <v>0.430250091675834</v>
      </c>
      <c r="G248" s="49" t="n">
        <f aca="false">IFERROR(IF(N(G245)=0,"",1-G243/G245),"")</f>
        <v>0.432860411086947</v>
      </c>
      <c r="H248" s="49" t="n">
        <f aca="false">IFERROR(IF(N(H245)=0,"",1-H243/H245),"")</f>
        <v>0.435444888884552</v>
      </c>
      <c r="I248" s="49" t="n">
        <f aca="false">IFERROR(IF(N(I245)=0,"",1-I243/I245),"")</f>
        <v>0.43800363545458</v>
      </c>
      <c r="J248" s="49" t="n">
        <f aca="false">IFERROR(IF(N(J245)=0,"",1-J243/J245),"")</f>
        <v>0.440537170341053</v>
      </c>
      <c r="K248" s="49" t="n">
        <f aca="false">IFERROR(IF(N(K245)=0,"",1-K243/K245),"")</f>
        <v>0.44304555428565</v>
      </c>
      <c r="L248" s="49" t="n">
        <f aca="false">IFERROR(IF(N(L245)=0,"",1-L243/L245),"")</f>
        <v>0.445529179354457</v>
      </c>
      <c r="M248" s="49" t="n">
        <f aca="false">IFERROR(IF(N(M245)=0,"",1-M243/M245),"")</f>
        <v>0.447988191142445</v>
      </c>
      <c r="N248" s="49" t="n">
        <f aca="false">IFERROR(IF(N(N245)=0,"",1-N243/N245),"")</f>
        <v>0.450422862045138</v>
      </c>
      <c r="O248" s="99" t="n">
        <f aca="false">IFERROR(IF(N(O245)=0,"",1-O243/O245),"")</f>
        <v>0.440276048488337</v>
      </c>
    </row>
    <row r="249" customFormat="false" ht="15" hidden="false" customHeight="false" outlineLevel="0" collapsed="false">
      <c r="A249" s="11" t="s">
        <v>2375</v>
      </c>
      <c r="B249" s="15" t="s">
        <v>2376</v>
      </c>
      <c r="C249" s="11" t="s">
        <v>508</v>
      </c>
      <c r="D249" s="48" t="str">
        <f aca="false">IFERROR(IF(OR(NOT(ISNUMBER(D243)),N(D241)=0),"",D242*D243/D241),"")</f>
        <v/>
      </c>
      <c r="E249" s="48" t="n">
        <f aca="false">IFERROR(IF(OR(NOT(ISNUMBER(E243)),N(E241)=0),"",E242*E243/E241),"")</f>
        <v>1063745.08777505</v>
      </c>
      <c r="F249" s="48" t="n">
        <f aca="false">IFERROR(IF(OR(NOT(ISNUMBER(F243)),N(F241)=0),"",F242*F243/F241),"")</f>
        <v>1131454.9015133</v>
      </c>
      <c r="G249" s="48" t="n">
        <f aca="false">IFERROR(IF(OR(NOT(ISNUMBER(G243)),N(G241)=0),"",G242*G243/G241),"")</f>
        <v>1171092.21767451</v>
      </c>
      <c r="H249" s="48" t="n">
        <f aca="false">IFERROR(IF(OR(NOT(ISNUMBER(H243)),N(H241)=0),"",H242*H243/H241),"")</f>
        <v>1230010.4385631</v>
      </c>
      <c r="I249" s="48" t="n">
        <f aca="false">IFERROR(IF(OR(NOT(ISNUMBER(I243)),N(I241)=0),"",I242*I243/I241),"")</f>
        <v>1214435.83740873</v>
      </c>
      <c r="J249" s="48" t="n">
        <f aca="false">IFERROR(IF(OR(NOT(ISNUMBER(J243)),N(J241)=0),"",J242*J243/J241),"")</f>
        <v>1198021.51232558</v>
      </c>
      <c r="K249" s="48" t="n">
        <f aca="false">IFERROR(IF(OR(NOT(ISNUMBER(K243)),N(K241)=0),"",K242*K243/K241),"")</f>
        <v>1199336.72590926</v>
      </c>
      <c r="L249" s="48" t="n">
        <f aca="false">IFERROR(IF(OR(NOT(ISNUMBER(L243)),N(L241)=0),"",L242*L243/L241),"")</f>
        <v>1208778.0883267</v>
      </c>
      <c r="M249" s="48" t="n">
        <f aca="false">IFERROR(IF(OR(NOT(ISNUMBER(M243)),N(M241)=0),"",M242*M243/M241),"")</f>
        <v>1218420.83679578</v>
      </c>
      <c r="N249" s="48" t="n">
        <f aca="false">IFERROR(IF(OR(NOT(ISNUMBER(N243)),N(N241)=0),"",N242*N243/N241),"")</f>
        <v>1228270.97634988</v>
      </c>
      <c r="O249" s="54" t="n">
        <f aca="false">IF(COUNT(D249:N249)=0,"",SUM(D249:N249))</f>
        <v>11863566.6226419</v>
      </c>
    </row>
    <row r="250" customFormat="false" ht="15" hidden="false" customHeight="false" outlineLevel="0" collapsed="false">
      <c r="A250" s="11" t="s">
        <v>2377</v>
      </c>
      <c r="B250" s="15" t="s">
        <v>2378</v>
      </c>
      <c r="C250" s="11" t="s">
        <v>508</v>
      </c>
      <c r="D250" s="48" t="str">
        <f aca="false">IFERROR(IF(COUNT(D243,D249)=0,"",N(D243)+N(D249)),"")</f>
        <v/>
      </c>
      <c r="E250" s="48" t="n">
        <f aca="false">IFERROR(IF(COUNT(E243,E249)=0,"",N(E243)+N(E249)),"")</f>
        <v>2918277.08777505</v>
      </c>
      <c r="F250" s="48" t="n">
        <f aca="false">IFERROR(IF(COUNT(F243,F249)=0,"",N(F243)+N(F249)),"")</f>
        <v>3462016.9015133</v>
      </c>
      <c r="G250" s="48" t="n">
        <f aca="false">IFERROR(IF(COUNT(G243,G249)=0,"",N(G243)+N(G249)),"")</f>
        <v>3982792.21767451</v>
      </c>
      <c r="H250" s="48" t="n">
        <f aca="false">IFERROR(IF(COUNT(H243,H249)=0,"",N(H243)+N(H249)),"")</f>
        <v>4528032.4385631</v>
      </c>
      <c r="I250" s="48" t="n">
        <f aca="false">IFERROR(IF(COUNT(I243,I249)=0,"",N(I243)+N(I249)),"")</f>
        <v>4530340.83740873</v>
      </c>
      <c r="J250" s="48" t="n">
        <f aca="false">IFERROR(IF(COUNT(J243,J249)=0,"",N(J243)+N(J249)),"")</f>
        <v>4531987.51232559</v>
      </c>
      <c r="K250" s="48" t="n">
        <f aca="false">IFERROR(IF(COUNT(K243,K249)=0,"",N(K243)+N(K249)),"")</f>
        <v>4551544.72590926</v>
      </c>
      <c r="L250" s="48" t="n">
        <f aca="false">IFERROR(IF(COUNT(L243,L249)=0,"",N(L243)+N(L249)),"")</f>
        <v>4579410.0883267</v>
      </c>
      <c r="M250" s="48" t="n">
        <f aca="false">IFERROR(IF(COUNT(M243,M249)=0,"",N(M243)+N(M249)),"")</f>
        <v>4607661.83679578</v>
      </c>
      <c r="N250" s="48" t="n">
        <f aca="false">IFERROR(IF(COUNT(N243,N249)=0,"",N(N243)+N(N249)),"")</f>
        <v>4636305.97634988</v>
      </c>
      <c r="O250" s="54" t="n">
        <f aca="false">IF(COUNT(D250:N250)=0,"",SUM(D250:N250))</f>
        <v>42328369.6226419</v>
      </c>
    </row>
    <row r="251" customFormat="false" ht="15" hidden="false" customHeight="false" outlineLevel="0" collapsed="false">
      <c r="A251" s="11" t="s">
        <v>2379</v>
      </c>
      <c r="B251" s="15" t="s">
        <v>2380</v>
      </c>
      <c r="C251" s="11" t="s">
        <v>748</v>
      </c>
      <c r="D251" s="50" t="str">
        <f aca="false">IFERROR(IF(OR(NOT(ISNUMBER(D250)),N(D244)=0),"",D250/D244),"")</f>
        <v/>
      </c>
      <c r="E251" s="50" t="n">
        <f aca="false">IFERROR(IF(OR(NOT(ISNUMBER(E250)),N(E244)=0),"",E250/E244),"")</f>
        <v>243.189757314587</v>
      </c>
      <c r="F251" s="50" t="n">
        <f aca="false">IFERROR(IF(OR(NOT(ISNUMBER(F250)),N(F244)=0),"",F250/F244),"")</f>
        <v>230.801126767553</v>
      </c>
      <c r="G251" s="50" t="n">
        <f aca="false">IFERROR(IF(OR(NOT(ISNUMBER(G250)),N(G244)=0),"",G250/G244),"")</f>
        <v>221.26623431525</v>
      </c>
      <c r="H251" s="50" t="n">
        <f aca="false">IFERROR(IF(OR(NOT(ISNUMBER(H250)),N(H244)=0),"",H250/H244),"")</f>
        <v>215.620592312529</v>
      </c>
      <c r="I251" s="50" t="n">
        <f aca="false">IFERROR(IF(OR(NOT(ISNUMBER(I250)),N(I244)=0),"",I250/I244),"")</f>
        <v>215.730516067083</v>
      </c>
      <c r="J251" s="50" t="n">
        <f aca="false">IFERROR(IF(OR(NOT(ISNUMBER(J250)),N(J244)=0),"",J250/J244),"")</f>
        <v>215.808929158361</v>
      </c>
      <c r="K251" s="50" t="n">
        <f aca="false">IFERROR(IF(OR(NOT(ISNUMBER(K250)),N(K244)=0),"",K250/K244),"")</f>
        <v>216.740225043298</v>
      </c>
      <c r="L251" s="50" t="n">
        <f aca="false">IFERROR(IF(OR(NOT(ISNUMBER(L250)),N(L244)=0),"",L250/L244),"")</f>
        <v>218.067147063176</v>
      </c>
      <c r="M251" s="50" t="n">
        <f aca="false">IFERROR(IF(OR(NOT(ISNUMBER(M250)),N(M244)=0),"",M250/M244),"")</f>
        <v>219.412468418847</v>
      </c>
      <c r="N251" s="50" t="n">
        <f aca="false">IFERROR(IF(OR(NOT(ISNUMBER(N250)),N(N244)=0),"",N250/N244),"")</f>
        <v>220.77647506428</v>
      </c>
      <c r="O251" s="68" t="n">
        <f aca="false">IFERROR(IF(OR(NOT(ISNUMBER(O250)),N(O244)=0),"",O250/O244),"")</f>
        <v>220.46025845126</v>
      </c>
    </row>
    <row r="252" customFormat="false" ht="15" hidden="false" customHeight="false" outlineLevel="0" collapsed="false">
      <c r="A252" s="11" t="s">
        <v>2381</v>
      </c>
      <c r="B252" s="53" t="str">
        <f aca="false">IF(INDEX(Prod_Nombre,2)="","Producto 2",INDEX(Prod_Nombre,2))&amp;" — costo directo"</f>
        <v>Cajas metálicas 13 kg — costo directo</v>
      </c>
      <c r="C252" s="11" t="s">
        <v>508</v>
      </c>
      <c r="D252" s="37"/>
      <c r="E252" s="37" t="n">
        <v>1035720</v>
      </c>
      <c r="F252" s="37" t="n">
        <v>1338309</v>
      </c>
      <c r="G252" s="37" t="n">
        <v>1635711</v>
      </c>
      <c r="H252" s="37" t="n">
        <v>1784412</v>
      </c>
      <c r="I252" s="37" t="n">
        <v>1784412</v>
      </c>
      <c r="J252" s="37" t="n">
        <v>1784412</v>
      </c>
      <c r="K252" s="37" t="n">
        <v>1784412</v>
      </c>
      <c r="L252" s="37" t="n">
        <v>1784412</v>
      </c>
      <c r="M252" s="37" t="n">
        <v>1784412</v>
      </c>
      <c r="N252" s="37" t="n">
        <v>1784412</v>
      </c>
      <c r="O252" s="54" t="n">
        <f aca="false">IF(COUNT(D252:N252)=0,"",SUM(D252:N252))</f>
        <v>16500624</v>
      </c>
    </row>
    <row r="253" customFormat="false" ht="15" hidden="false" customHeight="false" outlineLevel="0" collapsed="false">
      <c r="A253" s="11" t="s">
        <v>2382</v>
      </c>
      <c r="B253" s="15" t="s">
        <v>2366</v>
      </c>
      <c r="C253" s="11" t="s">
        <v>544</v>
      </c>
      <c r="D253" s="37"/>
      <c r="E253" s="37" t="n">
        <v>70000</v>
      </c>
      <c r="F253" s="37" t="n">
        <v>90000</v>
      </c>
      <c r="G253" s="37" t="n">
        <v>110000</v>
      </c>
      <c r="H253" s="37" t="n">
        <v>120000</v>
      </c>
      <c r="I253" s="37" t="n">
        <v>120000</v>
      </c>
      <c r="J253" s="37" t="n">
        <v>120000</v>
      </c>
      <c r="K253" s="37" t="n">
        <v>120000</v>
      </c>
      <c r="L253" s="37" t="n">
        <v>120000</v>
      </c>
      <c r="M253" s="37" t="n">
        <v>120000</v>
      </c>
      <c r="N253" s="37" t="n">
        <v>120000</v>
      </c>
      <c r="O253" s="54" t="n">
        <f aca="false">IF(COUNT(D253:N253)=0,"",SUM(D253:N253))</f>
        <v>1110000</v>
      </c>
    </row>
    <row r="254" customFormat="false" ht="15" hidden="false" customHeight="false" outlineLevel="0" collapsed="false">
      <c r="A254" s="11" t="s">
        <v>2383</v>
      </c>
      <c r="B254" s="15" t="s">
        <v>2368</v>
      </c>
      <c r="C254" s="11" t="s">
        <v>508</v>
      </c>
      <c r="D254" s="37"/>
      <c r="E254" s="37" t="n">
        <v>1610000</v>
      </c>
      <c r="F254" s="37" t="n">
        <v>2090700</v>
      </c>
      <c r="G254" s="37" t="n">
        <v>2580853</v>
      </c>
      <c r="H254" s="37" t="n">
        <v>2843631</v>
      </c>
      <c r="I254" s="37" t="n">
        <v>2872067</v>
      </c>
      <c r="J254" s="37" t="n">
        <v>2900788</v>
      </c>
      <c r="K254" s="37" t="n">
        <v>2929796</v>
      </c>
      <c r="L254" s="37" t="n">
        <v>2959094</v>
      </c>
      <c r="M254" s="37" t="n">
        <v>2988685</v>
      </c>
      <c r="N254" s="37" t="n">
        <v>3018571</v>
      </c>
      <c r="O254" s="54" t="n">
        <f aca="false">IF(COUNT(D254:N254)=0,"",SUM(D254:N254))</f>
        <v>26794185</v>
      </c>
    </row>
    <row r="255" customFormat="false" ht="15" hidden="false" customHeight="false" outlineLevel="0" collapsed="false">
      <c r="A255" s="11" t="s">
        <v>2384</v>
      </c>
      <c r="B255" s="15" t="s">
        <v>2370</v>
      </c>
      <c r="C255" s="11" t="s">
        <v>748</v>
      </c>
      <c r="D255" s="50" t="str">
        <f aca="false">IFERROR(IF(OR(NOT(ISNUMBER(D252)),N(D253)=0),"",D252/D253),"")</f>
        <v/>
      </c>
      <c r="E255" s="50" t="n">
        <f aca="false">IFERROR(IF(OR(NOT(ISNUMBER(E252)),N(E253)=0),"",E252/E253),"")</f>
        <v>14.796</v>
      </c>
      <c r="F255" s="50" t="n">
        <f aca="false">IFERROR(IF(OR(NOT(ISNUMBER(F252)),N(F253)=0),"",F252/F253),"")</f>
        <v>14.8701</v>
      </c>
      <c r="G255" s="50" t="n">
        <f aca="false">IFERROR(IF(OR(NOT(ISNUMBER(G252)),N(G253)=0),"",G252/G253),"")</f>
        <v>14.8701</v>
      </c>
      <c r="H255" s="50" t="n">
        <f aca="false">IFERROR(IF(OR(NOT(ISNUMBER(H252)),N(H253)=0),"",H252/H253),"")</f>
        <v>14.8701</v>
      </c>
      <c r="I255" s="50" t="n">
        <f aca="false">IFERROR(IF(OR(NOT(ISNUMBER(I252)),N(I253)=0),"",I252/I253),"")</f>
        <v>14.8701</v>
      </c>
      <c r="J255" s="50" t="n">
        <f aca="false">IFERROR(IF(OR(NOT(ISNUMBER(J252)),N(J253)=0),"",J252/J253),"")</f>
        <v>14.8701</v>
      </c>
      <c r="K255" s="50" t="n">
        <f aca="false">IFERROR(IF(OR(NOT(ISNUMBER(K252)),N(K253)=0),"",K252/K253),"")</f>
        <v>14.8701</v>
      </c>
      <c r="L255" s="50" t="n">
        <f aca="false">IFERROR(IF(OR(NOT(ISNUMBER(L252)),N(L253)=0),"",L252/L253),"")</f>
        <v>14.8701</v>
      </c>
      <c r="M255" s="50" t="n">
        <f aca="false">IFERROR(IF(OR(NOT(ISNUMBER(M252)),N(M253)=0),"",M252/M253),"")</f>
        <v>14.8701</v>
      </c>
      <c r="N255" s="50" t="n">
        <f aca="false">IFERROR(IF(OR(NOT(ISNUMBER(N252)),N(N253)=0),"",N252/N253),"")</f>
        <v>14.8701</v>
      </c>
      <c r="O255" s="68" t="n">
        <f aca="false">IFERROR(IF(OR(NOT(ISNUMBER(O252)),N(O253)=0),"",O252/O253),"")</f>
        <v>14.865427027027</v>
      </c>
    </row>
    <row r="256" customFormat="false" ht="15" hidden="false" customHeight="false" outlineLevel="0" collapsed="false">
      <c r="A256" s="11" t="s">
        <v>2385</v>
      </c>
      <c r="B256" s="15" t="s">
        <v>2372</v>
      </c>
      <c r="C256" s="11" t="s">
        <v>748</v>
      </c>
      <c r="D256" s="50" t="str">
        <f aca="false">IFERROR(IF(N(D253)=0,"",(D254-D252)/D253),"")</f>
        <v/>
      </c>
      <c r="E256" s="50" t="n">
        <f aca="false">IFERROR(IF(N(E253)=0,"",(E254-E252)/E253),"")</f>
        <v>8.204</v>
      </c>
      <c r="F256" s="50" t="n">
        <f aca="false">IFERROR(IF(N(F253)=0,"",(F254-F252)/F253),"")</f>
        <v>8.3599</v>
      </c>
      <c r="G256" s="50" t="n">
        <f aca="false">IFERROR(IF(N(G253)=0,"",(G254-G252)/G253),"")</f>
        <v>8.5922</v>
      </c>
      <c r="H256" s="50" t="n">
        <f aca="false">IFERROR(IF(N(H253)=0,"",(H254-H252)/H253),"")</f>
        <v>8.826825</v>
      </c>
      <c r="I256" s="50" t="n">
        <f aca="false">IFERROR(IF(N(I253)=0,"",(I254-I252)/I253),"")</f>
        <v>9.06379166666667</v>
      </c>
      <c r="J256" s="50" t="n">
        <f aca="false">IFERROR(IF(N(J253)=0,"",(J254-J252)/J253),"")</f>
        <v>9.30313333333333</v>
      </c>
      <c r="K256" s="50" t="n">
        <f aca="false">IFERROR(IF(N(K253)=0,"",(K254-K252)/K253),"")</f>
        <v>9.54486666666667</v>
      </c>
      <c r="L256" s="50" t="n">
        <f aca="false">IFERROR(IF(N(L253)=0,"",(L254-L252)/L253),"")</f>
        <v>9.78901666666667</v>
      </c>
      <c r="M256" s="50" t="n">
        <f aca="false">IFERROR(IF(N(M253)=0,"",(M254-M252)/M253),"")</f>
        <v>10.0356083333333</v>
      </c>
      <c r="N256" s="50" t="n">
        <f aca="false">IFERROR(IF(N(N253)=0,"",(N254-N252)/N253),"")</f>
        <v>10.2846583333333</v>
      </c>
      <c r="O256" s="68" t="n">
        <f aca="false">IFERROR(IF(N(O253)=0,"",(O254-O252)/O253),"")</f>
        <v>9.27347837837838</v>
      </c>
    </row>
    <row r="257" customFormat="false" ht="15" hidden="false" customHeight="false" outlineLevel="0" collapsed="false">
      <c r="A257" s="11" t="s">
        <v>2386</v>
      </c>
      <c r="B257" s="15" t="s">
        <v>2374</v>
      </c>
      <c r="C257" s="11" t="s">
        <v>367</v>
      </c>
      <c r="D257" s="49" t="str">
        <f aca="false">IFERROR(IF(N(D254)=0,"",1-D252/D254),"")</f>
        <v/>
      </c>
      <c r="E257" s="49" t="n">
        <f aca="false">IFERROR(IF(N(E254)=0,"",1-E252/E254),"")</f>
        <v>0.356695652173913</v>
      </c>
      <c r="F257" s="49" t="n">
        <f aca="false">IFERROR(IF(N(F254)=0,"",1-F252/F254),"")</f>
        <v>0.359875161429186</v>
      </c>
      <c r="G257" s="49" t="n">
        <f aca="false">IFERROR(IF(N(G254)=0,"",1-G252/G254),"")</f>
        <v>0.366213031118006</v>
      </c>
      <c r="H257" s="49" t="n">
        <f aca="false">IFERROR(IF(N(H254)=0,"",1-H252/H254),"")</f>
        <v>0.372488202583247</v>
      </c>
      <c r="I257" s="49" t="n">
        <f aca="false">IFERROR(IF(N(I254)=0,"",1-I252/I254),"")</f>
        <v>0.378701123615849</v>
      </c>
      <c r="J257" s="49" t="n">
        <f aca="false">IFERROR(IF(N(J254)=0,"",1-J252/J254),"")</f>
        <v>0.384852667619971</v>
      </c>
      <c r="K257" s="49" t="n">
        <f aca="false">IFERROR(IF(N(K254)=0,"",1-K252/K254),"")</f>
        <v>0.390943260213339</v>
      </c>
      <c r="L257" s="49" t="n">
        <f aca="false">IFERROR(IF(N(L254)=0,"",1-L252/L254),"")</f>
        <v>0.396973533115204</v>
      </c>
      <c r="M257" s="49" t="n">
        <f aca="false">IFERROR(IF(N(M254)=0,"",1-M252/M254),"")</f>
        <v>0.402944104179597</v>
      </c>
      <c r="N257" s="49" t="n">
        <f aca="false">IFERROR(IF(N(N254)=0,"",1-N252/N254),"")</f>
        <v>0.408855382232189</v>
      </c>
      <c r="O257" s="99" t="n">
        <f aca="false">IFERROR(IF(N(O254)=0,"",1-O252/O254),"")</f>
        <v>0.384171453619507</v>
      </c>
    </row>
    <row r="258" customFormat="false" ht="15" hidden="false" customHeight="false" outlineLevel="0" collapsed="false">
      <c r="A258" s="11" t="s">
        <v>2387</v>
      </c>
      <c r="B258" s="15" t="s">
        <v>2376</v>
      </c>
      <c r="C258" s="11" t="s">
        <v>508</v>
      </c>
      <c r="D258" s="48" t="str">
        <f aca="false">IFERROR(IF(OR(NOT(ISNUMBER(D252)),N(D241)=0),"",D242*D252/D241),"")</f>
        <v/>
      </c>
      <c r="E258" s="48" t="n">
        <f aca="false">IFERROR(IF(OR(NOT(ISNUMBER(E252)),N(E241)=0),"",E242*E252/E241),"")</f>
        <v>594080.912224955</v>
      </c>
      <c r="F258" s="48" t="n">
        <f aca="false">IFERROR(IF(OR(NOT(ISNUMBER(F252)),N(F241)=0),"",F242*F252/F241),"")</f>
        <v>649730.098486701</v>
      </c>
      <c r="G258" s="48" t="n">
        <f aca="false">IFERROR(IF(OR(NOT(ISNUMBER(G252)),N(G241)=0),"",G242*G252/G241),"")</f>
        <v>681284.782325492</v>
      </c>
      <c r="H258" s="48" t="n">
        <f aca="false">IFERROR(IF(OR(NOT(ISNUMBER(H252)),N(H241)=0),"",H242*H252/H241),"")</f>
        <v>665503.561436902</v>
      </c>
      <c r="I258" s="48" t="n">
        <f aca="false">IFERROR(IF(OR(NOT(ISNUMBER(I252)),N(I241)=0),"",I242*I252/I241),"")</f>
        <v>653533.162591266</v>
      </c>
      <c r="J258" s="48" t="n">
        <f aca="false">IFERROR(IF(OR(NOT(ISNUMBER(J252)),N(J241)=0),"",J242*J252/J241),"")</f>
        <v>641207.487674416</v>
      </c>
      <c r="K258" s="48" t="n">
        <f aca="false">IFERROR(IF(OR(NOT(ISNUMBER(K252)),N(K241)=0),"",K242*K252/K241),"")</f>
        <v>638418.274090745</v>
      </c>
      <c r="L258" s="48" t="n">
        <f aca="false">IFERROR(IF(OR(NOT(ISNUMBER(L252)),N(L241)=0),"",L242*L252/L241),"")</f>
        <v>639926.911673305</v>
      </c>
      <c r="M258" s="48" t="n">
        <f aca="false">IFERROR(IF(OR(NOT(ISNUMBER(M252)),N(M241)=0),"",M242*M252/M241),"")</f>
        <v>641490.16320422</v>
      </c>
      <c r="N258" s="48" t="n">
        <f aca="false">IFERROR(IF(OR(NOT(ISNUMBER(N252)),N(N241)=0),"",N242*N252/N241),"")</f>
        <v>643110.023650121</v>
      </c>
      <c r="O258" s="54" t="n">
        <f aca="false">IF(COUNT(D258:N258)=0,"",SUM(D258:N258))</f>
        <v>6448285.37735812</v>
      </c>
    </row>
    <row r="259" customFormat="false" ht="15" hidden="false" customHeight="false" outlineLevel="0" collapsed="false">
      <c r="A259" s="11" t="s">
        <v>2388</v>
      </c>
      <c r="B259" s="15" t="s">
        <v>2378</v>
      </c>
      <c r="C259" s="11" t="s">
        <v>508</v>
      </c>
      <c r="D259" s="48" t="str">
        <f aca="false">IFERROR(IF(COUNT(D252,D258)=0,"",N(D252)+N(D258)),"")</f>
        <v/>
      </c>
      <c r="E259" s="48" t="n">
        <f aca="false">IFERROR(IF(COUNT(E252,E258)=0,"",N(E252)+N(E258)),"")</f>
        <v>1629800.91222496</v>
      </c>
      <c r="F259" s="48" t="n">
        <f aca="false">IFERROR(IF(COUNT(F252,F258)=0,"",N(F252)+N(F258)),"")</f>
        <v>1988039.0984867</v>
      </c>
      <c r="G259" s="48" t="n">
        <f aca="false">IFERROR(IF(COUNT(G252,G258)=0,"",N(G252)+N(G258)),"")</f>
        <v>2316995.78232549</v>
      </c>
      <c r="H259" s="48" t="n">
        <f aca="false">IFERROR(IF(COUNT(H252,H258)=0,"",N(H252)+N(H258)),"")</f>
        <v>2449915.5614369</v>
      </c>
      <c r="I259" s="48" t="n">
        <f aca="false">IFERROR(IF(COUNT(I252,I258)=0,"",N(I252)+N(I258)),"")</f>
        <v>2437945.16259127</v>
      </c>
      <c r="J259" s="48" t="n">
        <f aca="false">IFERROR(IF(COUNT(J252,J258)=0,"",N(J252)+N(J258)),"")</f>
        <v>2425619.48767442</v>
      </c>
      <c r="K259" s="48" t="n">
        <f aca="false">IFERROR(IF(COUNT(K252,K258)=0,"",N(K252)+N(K258)),"")</f>
        <v>2422830.27409074</v>
      </c>
      <c r="L259" s="48" t="n">
        <f aca="false">IFERROR(IF(COUNT(L252,L258)=0,"",N(L252)+N(L258)),"")</f>
        <v>2424338.9116733</v>
      </c>
      <c r="M259" s="48" t="n">
        <f aca="false">IFERROR(IF(COUNT(M252,M258)=0,"",N(M252)+N(M258)),"")</f>
        <v>2425902.16320422</v>
      </c>
      <c r="N259" s="48" t="n">
        <f aca="false">IFERROR(IF(COUNT(N252,N258)=0,"",N(N252)+N(N258)),"")</f>
        <v>2427522.02365012</v>
      </c>
      <c r="O259" s="54" t="n">
        <f aca="false">IF(COUNT(D259:N259)=0,"",SUM(D259:N259))</f>
        <v>22948909.3773581</v>
      </c>
    </row>
    <row r="260" customFormat="false" ht="15" hidden="false" customHeight="false" outlineLevel="0" collapsed="false">
      <c r="A260" s="11" t="s">
        <v>2389</v>
      </c>
      <c r="B260" s="15" t="s">
        <v>2380</v>
      </c>
      <c r="C260" s="11" t="s">
        <v>748</v>
      </c>
      <c r="D260" s="50" t="str">
        <f aca="false">IFERROR(IF(OR(NOT(ISNUMBER(D259)),N(D253)=0),"",D259/D253),"")</f>
        <v/>
      </c>
      <c r="E260" s="50" t="n">
        <f aca="false">IFERROR(IF(OR(NOT(ISNUMBER(E259)),N(E253)=0),"",E259/E253),"")</f>
        <v>23.2828701746422</v>
      </c>
      <c r="F260" s="50" t="n">
        <f aca="false">IFERROR(IF(OR(NOT(ISNUMBER(F259)),N(F253)=0),"",F259/F253),"")</f>
        <v>22.0893233165189</v>
      </c>
      <c r="G260" s="50" t="n">
        <f aca="false">IFERROR(IF(OR(NOT(ISNUMBER(G259)),N(G253)=0),"",G259/G253),"")</f>
        <v>21.0635980211408</v>
      </c>
      <c r="H260" s="50" t="n">
        <f aca="false">IFERROR(IF(OR(NOT(ISNUMBER(H259)),N(H253)=0),"",H259/H253),"")</f>
        <v>20.4159630119742</v>
      </c>
      <c r="I260" s="50" t="n">
        <f aca="false">IFERROR(IF(OR(NOT(ISNUMBER(I259)),N(I253)=0),"",I259/I253),"")</f>
        <v>20.3162096882606</v>
      </c>
      <c r="J260" s="50" t="n">
        <f aca="false">IFERROR(IF(OR(NOT(ISNUMBER(J259)),N(J253)=0),"",J259/J253),"")</f>
        <v>20.2134957306201</v>
      </c>
      <c r="K260" s="50" t="n">
        <f aca="false">IFERROR(IF(OR(NOT(ISNUMBER(K259)),N(K253)=0),"",K259/K253),"")</f>
        <v>20.1902522840895</v>
      </c>
      <c r="L260" s="50" t="n">
        <f aca="false">IFERROR(IF(OR(NOT(ISNUMBER(L259)),N(L253)=0),"",L259/L253),"")</f>
        <v>20.2028242639442</v>
      </c>
      <c r="M260" s="50" t="n">
        <f aca="false">IFERROR(IF(OR(NOT(ISNUMBER(M259)),N(M253)=0),"",M259/M253),"")</f>
        <v>20.2158513600352</v>
      </c>
      <c r="N260" s="50" t="n">
        <f aca="false">IFERROR(IF(OR(NOT(ISNUMBER(N259)),N(N253)=0),"",N259/N253),"")</f>
        <v>20.2293501970843</v>
      </c>
      <c r="O260" s="68" t="n">
        <f aca="false">IFERROR(IF(OR(NOT(ISNUMBER(O259)),N(O253)=0),"",O259/O253),"")</f>
        <v>20.6746931327551</v>
      </c>
    </row>
    <row r="261" customFormat="false" ht="15" hidden="true" customHeight="false" outlineLevel="1" collapsed="false">
      <c r="A261" s="11" t="s">
        <v>2390</v>
      </c>
      <c r="B261" s="53" t="str">
        <f aca="false">IF(INDEX(Prod_Nombre,3)="","Producto 3",INDEX(Prod_Nombre,3))&amp;" — costo directo"</f>
        <v>Producto 3 — costo directo</v>
      </c>
      <c r="C261" s="11" t="s">
        <v>508</v>
      </c>
      <c r="D261" s="37"/>
      <c r="E261" s="37"/>
      <c r="F261" s="37"/>
      <c r="G261" s="37"/>
      <c r="H261" s="37"/>
      <c r="I261" s="37"/>
      <c r="J261" s="37"/>
      <c r="K261" s="37"/>
      <c r="L261" s="37"/>
      <c r="M261" s="37"/>
      <c r="N261" s="37"/>
      <c r="O261" s="54" t="str">
        <f aca="false">IF(COUNT(D261:N261)=0,"",SUM(D261:N261))</f>
        <v/>
      </c>
    </row>
    <row r="262" customFormat="false" ht="15" hidden="true" customHeight="false" outlineLevel="1" collapsed="false">
      <c r="A262" s="11" t="s">
        <v>2391</v>
      </c>
      <c r="B262" s="15" t="s">
        <v>2366</v>
      </c>
      <c r="C262" s="11" t="s">
        <v>544</v>
      </c>
      <c r="D262" s="37"/>
      <c r="E262" s="37"/>
      <c r="F262" s="37"/>
      <c r="G262" s="37"/>
      <c r="H262" s="37"/>
      <c r="I262" s="37"/>
      <c r="J262" s="37"/>
      <c r="K262" s="37"/>
      <c r="L262" s="37"/>
      <c r="M262" s="37"/>
      <c r="N262" s="37"/>
      <c r="O262" s="54" t="str">
        <f aca="false">IF(COUNT(D262:N262)=0,"",SUM(D262:N262))</f>
        <v/>
      </c>
    </row>
    <row r="263" customFormat="false" ht="15" hidden="true" customHeight="false" outlineLevel="1" collapsed="false">
      <c r="A263" s="11" t="s">
        <v>2392</v>
      </c>
      <c r="B263" s="15" t="s">
        <v>2368</v>
      </c>
      <c r="C263" s="11" t="s">
        <v>508</v>
      </c>
      <c r="D263" s="37"/>
      <c r="E263" s="37"/>
      <c r="F263" s="37"/>
      <c r="G263" s="37"/>
      <c r="H263" s="37"/>
      <c r="I263" s="37"/>
      <c r="J263" s="37"/>
      <c r="K263" s="37"/>
      <c r="L263" s="37"/>
      <c r="M263" s="37"/>
      <c r="N263" s="37"/>
      <c r="O263" s="54" t="str">
        <f aca="false">IF(COUNT(D263:N263)=0,"",SUM(D263:N263))</f>
        <v/>
      </c>
    </row>
    <row r="264" customFormat="false" ht="15" hidden="true" customHeight="false" outlineLevel="1" collapsed="false">
      <c r="A264" s="11" t="s">
        <v>2393</v>
      </c>
      <c r="B264" s="15" t="s">
        <v>2370</v>
      </c>
      <c r="C264" s="11" t="s">
        <v>748</v>
      </c>
      <c r="D264" s="50" t="str">
        <f aca="false">IFERROR(IF(OR(NOT(ISNUMBER(D261)),N(D262)=0),"",D261/D262),"")</f>
        <v/>
      </c>
      <c r="E264" s="50" t="str">
        <f aca="false">IFERROR(IF(OR(NOT(ISNUMBER(E261)),N(E262)=0),"",E261/E262),"")</f>
        <v/>
      </c>
      <c r="F264" s="50" t="str">
        <f aca="false">IFERROR(IF(OR(NOT(ISNUMBER(F261)),N(F262)=0),"",F261/F262),"")</f>
        <v/>
      </c>
      <c r="G264" s="50" t="str">
        <f aca="false">IFERROR(IF(OR(NOT(ISNUMBER(G261)),N(G262)=0),"",G261/G262),"")</f>
        <v/>
      </c>
      <c r="H264" s="50" t="str">
        <f aca="false">IFERROR(IF(OR(NOT(ISNUMBER(H261)),N(H262)=0),"",H261/H262),"")</f>
        <v/>
      </c>
      <c r="I264" s="50" t="str">
        <f aca="false">IFERROR(IF(OR(NOT(ISNUMBER(I261)),N(I262)=0),"",I261/I262),"")</f>
        <v/>
      </c>
      <c r="J264" s="50" t="str">
        <f aca="false">IFERROR(IF(OR(NOT(ISNUMBER(J261)),N(J262)=0),"",J261/J262),"")</f>
        <v/>
      </c>
      <c r="K264" s="50" t="str">
        <f aca="false">IFERROR(IF(OR(NOT(ISNUMBER(K261)),N(K262)=0),"",K261/K262),"")</f>
        <v/>
      </c>
      <c r="L264" s="50" t="str">
        <f aca="false">IFERROR(IF(OR(NOT(ISNUMBER(L261)),N(L262)=0),"",L261/L262),"")</f>
        <v/>
      </c>
      <c r="M264" s="50" t="str">
        <f aca="false">IFERROR(IF(OR(NOT(ISNUMBER(M261)),N(M262)=0),"",M261/M262),"")</f>
        <v/>
      </c>
      <c r="N264" s="50" t="str">
        <f aca="false">IFERROR(IF(OR(NOT(ISNUMBER(N261)),N(N262)=0),"",N261/N262),"")</f>
        <v/>
      </c>
      <c r="O264" s="68" t="str">
        <f aca="false">IFERROR(IF(OR(NOT(ISNUMBER(O261)),N(O262)=0),"",O261/O262),"")</f>
        <v/>
      </c>
    </row>
    <row r="265" customFormat="false" ht="15" hidden="true" customHeight="false" outlineLevel="1" collapsed="false">
      <c r="A265" s="11" t="s">
        <v>2394</v>
      </c>
      <c r="B265" s="15" t="s">
        <v>2372</v>
      </c>
      <c r="C265" s="11" t="s">
        <v>748</v>
      </c>
      <c r="D265" s="50" t="str">
        <f aca="false">IFERROR(IF(N(D262)=0,"",(D263-D261)/D262),"")</f>
        <v/>
      </c>
      <c r="E265" s="50" t="str">
        <f aca="false">IFERROR(IF(N(E262)=0,"",(E263-E261)/E262),"")</f>
        <v/>
      </c>
      <c r="F265" s="50" t="str">
        <f aca="false">IFERROR(IF(N(F262)=0,"",(F263-F261)/F262),"")</f>
        <v/>
      </c>
      <c r="G265" s="50" t="str">
        <f aca="false">IFERROR(IF(N(G262)=0,"",(G263-G261)/G262),"")</f>
        <v/>
      </c>
      <c r="H265" s="50" t="str">
        <f aca="false">IFERROR(IF(N(H262)=0,"",(H263-H261)/H262),"")</f>
        <v/>
      </c>
      <c r="I265" s="50" t="str">
        <f aca="false">IFERROR(IF(N(I262)=0,"",(I263-I261)/I262),"")</f>
        <v/>
      </c>
      <c r="J265" s="50" t="str">
        <f aca="false">IFERROR(IF(N(J262)=0,"",(J263-J261)/J262),"")</f>
        <v/>
      </c>
      <c r="K265" s="50" t="str">
        <f aca="false">IFERROR(IF(N(K262)=0,"",(K263-K261)/K262),"")</f>
        <v/>
      </c>
      <c r="L265" s="50" t="str">
        <f aca="false">IFERROR(IF(N(L262)=0,"",(L263-L261)/L262),"")</f>
        <v/>
      </c>
      <c r="M265" s="50" t="str">
        <f aca="false">IFERROR(IF(N(M262)=0,"",(M263-M261)/M262),"")</f>
        <v/>
      </c>
      <c r="N265" s="50" t="str">
        <f aca="false">IFERROR(IF(N(N262)=0,"",(N263-N261)/N262),"")</f>
        <v/>
      </c>
      <c r="O265" s="68" t="str">
        <f aca="false">IFERROR(IF(N(O262)=0,"",(O263-O261)/O262),"")</f>
        <v/>
      </c>
    </row>
    <row r="266" customFormat="false" ht="15" hidden="true" customHeight="false" outlineLevel="1" collapsed="false">
      <c r="A266" s="11" t="s">
        <v>2395</v>
      </c>
      <c r="B266" s="15" t="s">
        <v>2374</v>
      </c>
      <c r="C266" s="11" t="s">
        <v>367</v>
      </c>
      <c r="D266" s="49" t="str">
        <f aca="false">IFERROR(IF(N(D263)=0,"",1-D261/D263),"")</f>
        <v/>
      </c>
      <c r="E266" s="49" t="str">
        <f aca="false">IFERROR(IF(N(E263)=0,"",1-E261/E263),"")</f>
        <v/>
      </c>
      <c r="F266" s="49" t="str">
        <f aca="false">IFERROR(IF(N(F263)=0,"",1-F261/F263),"")</f>
        <v/>
      </c>
      <c r="G266" s="49" t="str">
        <f aca="false">IFERROR(IF(N(G263)=0,"",1-G261/G263),"")</f>
        <v/>
      </c>
      <c r="H266" s="49" t="str">
        <f aca="false">IFERROR(IF(N(H263)=0,"",1-H261/H263),"")</f>
        <v/>
      </c>
      <c r="I266" s="49" t="str">
        <f aca="false">IFERROR(IF(N(I263)=0,"",1-I261/I263),"")</f>
        <v/>
      </c>
      <c r="J266" s="49" t="str">
        <f aca="false">IFERROR(IF(N(J263)=0,"",1-J261/J263),"")</f>
        <v/>
      </c>
      <c r="K266" s="49" t="str">
        <f aca="false">IFERROR(IF(N(K263)=0,"",1-K261/K263),"")</f>
        <v/>
      </c>
      <c r="L266" s="49" t="str">
        <f aca="false">IFERROR(IF(N(L263)=0,"",1-L261/L263),"")</f>
        <v/>
      </c>
      <c r="M266" s="49" t="str">
        <f aca="false">IFERROR(IF(N(M263)=0,"",1-M261/M263),"")</f>
        <v/>
      </c>
      <c r="N266" s="49" t="str">
        <f aca="false">IFERROR(IF(N(N263)=0,"",1-N261/N263),"")</f>
        <v/>
      </c>
      <c r="O266" s="99" t="str">
        <f aca="false">IFERROR(IF(N(O263)=0,"",1-O261/O263),"")</f>
        <v/>
      </c>
    </row>
    <row r="267" customFormat="false" ht="15" hidden="true" customHeight="false" outlineLevel="1" collapsed="false">
      <c r="A267" s="11" t="s">
        <v>2396</v>
      </c>
      <c r="B267" s="15" t="s">
        <v>2376</v>
      </c>
      <c r="C267" s="11" t="s">
        <v>508</v>
      </c>
      <c r="D267" s="48" t="str">
        <f aca="false">IFERROR(IF(OR(NOT(ISNUMBER(D261)),N(D241)=0),"",D242*D261/D241),"")</f>
        <v/>
      </c>
      <c r="E267" s="48" t="str">
        <f aca="false">IFERROR(IF(OR(NOT(ISNUMBER(E261)),N(E241)=0),"",E242*E261/E241),"")</f>
        <v/>
      </c>
      <c r="F267" s="48" t="str">
        <f aca="false">IFERROR(IF(OR(NOT(ISNUMBER(F261)),N(F241)=0),"",F242*F261/F241),"")</f>
        <v/>
      </c>
      <c r="G267" s="48" t="str">
        <f aca="false">IFERROR(IF(OR(NOT(ISNUMBER(G261)),N(G241)=0),"",G242*G261/G241),"")</f>
        <v/>
      </c>
      <c r="H267" s="48" t="str">
        <f aca="false">IFERROR(IF(OR(NOT(ISNUMBER(H261)),N(H241)=0),"",H242*H261/H241),"")</f>
        <v/>
      </c>
      <c r="I267" s="48" t="str">
        <f aca="false">IFERROR(IF(OR(NOT(ISNUMBER(I261)),N(I241)=0),"",I242*I261/I241),"")</f>
        <v/>
      </c>
      <c r="J267" s="48" t="str">
        <f aca="false">IFERROR(IF(OR(NOT(ISNUMBER(J261)),N(J241)=0),"",J242*J261/J241),"")</f>
        <v/>
      </c>
      <c r="K267" s="48" t="str">
        <f aca="false">IFERROR(IF(OR(NOT(ISNUMBER(K261)),N(K241)=0),"",K242*K261/K241),"")</f>
        <v/>
      </c>
      <c r="L267" s="48" t="str">
        <f aca="false">IFERROR(IF(OR(NOT(ISNUMBER(L261)),N(L241)=0),"",L242*L261/L241),"")</f>
        <v/>
      </c>
      <c r="M267" s="48" t="str">
        <f aca="false">IFERROR(IF(OR(NOT(ISNUMBER(M261)),N(M241)=0),"",M242*M261/M241),"")</f>
        <v/>
      </c>
      <c r="N267" s="48" t="str">
        <f aca="false">IFERROR(IF(OR(NOT(ISNUMBER(N261)),N(N241)=0),"",N242*N261/N241),"")</f>
        <v/>
      </c>
      <c r="O267" s="54" t="str">
        <f aca="false">IF(COUNT(D267:N267)=0,"",SUM(D267:N267))</f>
        <v/>
      </c>
    </row>
    <row r="268" customFormat="false" ht="15" hidden="true" customHeight="false" outlineLevel="1" collapsed="false">
      <c r="A268" s="11" t="s">
        <v>2397</v>
      </c>
      <c r="B268" s="15" t="s">
        <v>2378</v>
      </c>
      <c r="C268" s="11" t="s">
        <v>508</v>
      </c>
      <c r="D268" s="48" t="str">
        <f aca="false">IFERROR(IF(COUNT(D261,D267)=0,"",N(D261)+N(D267)),"")</f>
        <v/>
      </c>
      <c r="E268" s="48" t="str">
        <f aca="false">IFERROR(IF(COUNT(E261,E267)=0,"",N(E261)+N(E267)),"")</f>
        <v/>
      </c>
      <c r="F268" s="48" t="str">
        <f aca="false">IFERROR(IF(COUNT(F261,F267)=0,"",N(F261)+N(F267)),"")</f>
        <v/>
      </c>
      <c r="G268" s="48" t="str">
        <f aca="false">IFERROR(IF(COUNT(G261,G267)=0,"",N(G261)+N(G267)),"")</f>
        <v/>
      </c>
      <c r="H268" s="48" t="str">
        <f aca="false">IFERROR(IF(COUNT(H261,H267)=0,"",N(H261)+N(H267)),"")</f>
        <v/>
      </c>
      <c r="I268" s="48" t="str">
        <f aca="false">IFERROR(IF(COUNT(I261,I267)=0,"",N(I261)+N(I267)),"")</f>
        <v/>
      </c>
      <c r="J268" s="48" t="str">
        <f aca="false">IFERROR(IF(COUNT(J261,J267)=0,"",N(J261)+N(J267)),"")</f>
        <v/>
      </c>
      <c r="K268" s="48" t="str">
        <f aca="false">IFERROR(IF(COUNT(K261,K267)=0,"",N(K261)+N(K267)),"")</f>
        <v/>
      </c>
      <c r="L268" s="48" t="str">
        <f aca="false">IFERROR(IF(COUNT(L261,L267)=0,"",N(L261)+N(L267)),"")</f>
        <v/>
      </c>
      <c r="M268" s="48" t="str">
        <f aca="false">IFERROR(IF(COUNT(M261,M267)=0,"",N(M261)+N(M267)),"")</f>
        <v/>
      </c>
      <c r="N268" s="48" t="str">
        <f aca="false">IFERROR(IF(COUNT(N261,N267)=0,"",N(N261)+N(N267)),"")</f>
        <v/>
      </c>
      <c r="O268" s="54" t="str">
        <f aca="false">IF(COUNT(D268:N268)=0,"",SUM(D268:N268))</f>
        <v/>
      </c>
    </row>
    <row r="269" customFormat="false" ht="15" hidden="true" customHeight="false" outlineLevel="1" collapsed="false">
      <c r="A269" s="11" t="s">
        <v>2398</v>
      </c>
      <c r="B269" s="15" t="s">
        <v>2380</v>
      </c>
      <c r="C269" s="11" t="s">
        <v>748</v>
      </c>
      <c r="D269" s="50" t="str">
        <f aca="false">IFERROR(IF(OR(NOT(ISNUMBER(D268)),N(D262)=0),"",D268/D262),"")</f>
        <v/>
      </c>
      <c r="E269" s="50" t="str">
        <f aca="false">IFERROR(IF(OR(NOT(ISNUMBER(E268)),N(E262)=0),"",E268/E262),"")</f>
        <v/>
      </c>
      <c r="F269" s="50" t="str">
        <f aca="false">IFERROR(IF(OR(NOT(ISNUMBER(F268)),N(F262)=0),"",F268/F262),"")</f>
        <v/>
      </c>
      <c r="G269" s="50" t="str">
        <f aca="false">IFERROR(IF(OR(NOT(ISNUMBER(G268)),N(G262)=0),"",G268/G262),"")</f>
        <v/>
      </c>
      <c r="H269" s="50" t="str">
        <f aca="false">IFERROR(IF(OR(NOT(ISNUMBER(H268)),N(H262)=0),"",H268/H262),"")</f>
        <v/>
      </c>
      <c r="I269" s="50" t="str">
        <f aca="false">IFERROR(IF(OR(NOT(ISNUMBER(I268)),N(I262)=0),"",I268/I262),"")</f>
        <v/>
      </c>
      <c r="J269" s="50" t="str">
        <f aca="false">IFERROR(IF(OR(NOT(ISNUMBER(J268)),N(J262)=0),"",J268/J262),"")</f>
        <v/>
      </c>
      <c r="K269" s="50" t="str">
        <f aca="false">IFERROR(IF(OR(NOT(ISNUMBER(K268)),N(K262)=0),"",K268/K262),"")</f>
        <v/>
      </c>
      <c r="L269" s="50" t="str">
        <f aca="false">IFERROR(IF(OR(NOT(ISNUMBER(L268)),N(L262)=0),"",L268/L262),"")</f>
        <v/>
      </c>
      <c r="M269" s="50" t="str">
        <f aca="false">IFERROR(IF(OR(NOT(ISNUMBER(M268)),N(M262)=0),"",M268/M262),"")</f>
        <v/>
      </c>
      <c r="N269" s="50" t="str">
        <f aca="false">IFERROR(IF(OR(NOT(ISNUMBER(N268)),N(N262)=0),"",N268/N262),"")</f>
        <v/>
      </c>
      <c r="O269" s="68" t="str">
        <f aca="false">IFERROR(IF(OR(NOT(ISNUMBER(O268)),N(O262)=0),"",O268/O262),"")</f>
        <v/>
      </c>
    </row>
    <row r="270" customFormat="false" ht="15" hidden="true" customHeight="false" outlineLevel="1" collapsed="false">
      <c r="A270" s="11" t="s">
        <v>2399</v>
      </c>
      <c r="B270" s="53" t="str">
        <f aca="false">IF(INDEX(Prod_Nombre,4)="","Producto 4",INDEX(Prod_Nombre,4))&amp;" — costo directo"</f>
        <v>Producto 4 — costo directo</v>
      </c>
      <c r="C270" s="11" t="s">
        <v>508</v>
      </c>
      <c r="D270" s="37"/>
      <c r="E270" s="37"/>
      <c r="F270" s="37"/>
      <c r="G270" s="37"/>
      <c r="H270" s="37"/>
      <c r="I270" s="37"/>
      <c r="J270" s="37"/>
      <c r="K270" s="37"/>
      <c r="L270" s="37"/>
      <c r="M270" s="37"/>
      <c r="N270" s="37"/>
      <c r="O270" s="54" t="str">
        <f aca="false">IF(COUNT(D270:N270)=0,"",SUM(D270:N270))</f>
        <v/>
      </c>
    </row>
    <row r="271" customFormat="false" ht="15" hidden="true" customHeight="false" outlineLevel="1" collapsed="false">
      <c r="A271" s="11" t="s">
        <v>2400</v>
      </c>
      <c r="B271" s="15" t="s">
        <v>2366</v>
      </c>
      <c r="C271" s="11" t="s">
        <v>544</v>
      </c>
      <c r="D271" s="37"/>
      <c r="E271" s="37"/>
      <c r="F271" s="37"/>
      <c r="G271" s="37"/>
      <c r="H271" s="37"/>
      <c r="I271" s="37"/>
      <c r="J271" s="37"/>
      <c r="K271" s="37"/>
      <c r="L271" s="37"/>
      <c r="M271" s="37"/>
      <c r="N271" s="37"/>
      <c r="O271" s="54" t="str">
        <f aca="false">IF(COUNT(D271:N271)=0,"",SUM(D271:N271))</f>
        <v/>
      </c>
    </row>
    <row r="272" customFormat="false" ht="15" hidden="true" customHeight="false" outlineLevel="1" collapsed="false">
      <c r="A272" s="11" t="s">
        <v>2401</v>
      </c>
      <c r="B272" s="15" t="s">
        <v>2368</v>
      </c>
      <c r="C272" s="11" t="s">
        <v>508</v>
      </c>
      <c r="D272" s="37"/>
      <c r="E272" s="37"/>
      <c r="F272" s="37"/>
      <c r="G272" s="37"/>
      <c r="H272" s="37"/>
      <c r="I272" s="37"/>
      <c r="J272" s="37"/>
      <c r="K272" s="37"/>
      <c r="L272" s="37"/>
      <c r="M272" s="37"/>
      <c r="N272" s="37"/>
      <c r="O272" s="54" t="str">
        <f aca="false">IF(COUNT(D272:N272)=0,"",SUM(D272:N272))</f>
        <v/>
      </c>
    </row>
    <row r="273" customFormat="false" ht="15" hidden="true" customHeight="false" outlineLevel="1" collapsed="false">
      <c r="A273" s="11" t="s">
        <v>2402</v>
      </c>
      <c r="B273" s="15" t="s">
        <v>2370</v>
      </c>
      <c r="C273" s="11" t="s">
        <v>748</v>
      </c>
      <c r="D273" s="50" t="str">
        <f aca="false">IFERROR(IF(OR(NOT(ISNUMBER(D270)),N(D271)=0),"",D270/D271),"")</f>
        <v/>
      </c>
      <c r="E273" s="50" t="str">
        <f aca="false">IFERROR(IF(OR(NOT(ISNUMBER(E270)),N(E271)=0),"",E270/E271),"")</f>
        <v/>
      </c>
      <c r="F273" s="50" t="str">
        <f aca="false">IFERROR(IF(OR(NOT(ISNUMBER(F270)),N(F271)=0),"",F270/F271),"")</f>
        <v/>
      </c>
      <c r="G273" s="50" t="str">
        <f aca="false">IFERROR(IF(OR(NOT(ISNUMBER(G270)),N(G271)=0),"",G270/G271),"")</f>
        <v/>
      </c>
      <c r="H273" s="50" t="str">
        <f aca="false">IFERROR(IF(OR(NOT(ISNUMBER(H270)),N(H271)=0),"",H270/H271),"")</f>
        <v/>
      </c>
      <c r="I273" s="50" t="str">
        <f aca="false">IFERROR(IF(OR(NOT(ISNUMBER(I270)),N(I271)=0),"",I270/I271),"")</f>
        <v/>
      </c>
      <c r="J273" s="50" t="str">
        <f aca="false">IFERROR(IF(OR(NOT(ISNUMBER(J270)),N(J271)=0),"",J270/J271),"")</f>
        <v/>
      </c>
      <c r="K273" s="50" t="str">
        <f aca="false">IFERROR(IF(OR(NOT(ISNUMBER(K270)),N(K271)=0),"",K270/K271),"")</f>
        <v/>
      </c>
      <c r="L273" s="50" t="str">
        <f aca="false">IFERROR(IF(OR(NOT(ISNUMBER(L270)),N(L271)=0),"",L270/L271),"")</f>
        <v/>
      </c>
      <c r="M273" s="50" t="str">
        <f aca="false">IFERROR(IF(OR(NOT(ISNUMBER(M270)),N(M271)=0),"",M270/M271),"")</f>
        <v/>
      </c>
      <c r="N273" s="50" t="str">
        <f aca="false">IFERROR(IF(OR(NOT(ISNUMBER(N270)),N(N271)=0),"",N270/N271),"")</f>
        <v/>
      </c>
      <c r="O273" s="68" t="str">
        <f aca="false">IFERROR(IF(OR(NOT(ISNUMBER(O270)),N(O271)=0),"",O270/O271),"")</f>
        <v/>
      </c>
    </row>
    <row r="274" customFormat="false" ht="15" hidden="true" customHeight="false" outlineLevel="1" collapsed="false">
      <c r="A274" s="11" t="s">
        <v>2403</v>
      </c>
      <c r="B274" s="15" t="s">
        <v>2372</v>
      </c>
      <c r="C274" s="11" t="s">
        <v>748</v>
      </c>
      <c r="D274" s="50" t="str">
        <f aca="false">IFERROR(IF(N(D271)=0,"",(D272-D270)/D271),"")</f>
        <v/>
      </c>
      <c r="E274" s="50" t="str">
        <f aca="false">IFERROR(IF(N(E271)=0,"",(E272-E270)/E271),"")</f>
        <v/>
      </c>
      <c r="F274" s="50" t="str">
        <f aca="false">IFERROR(IF(N(F271)=0,"",(F272-F270)/F271),"")</f>
        <v/>
      </c>
      <c r="G274" s="50" t="str">
        <f aca="false">IFERROR(IF(N(G271)=0,"",(G272-G270)/G271),"")</f>
        <v/>
      </c>
      <c r="H274" s="50" t="str">
        <f aca="false">IFERROR(IF(N(H271)=0,"",(H272-H270)/H271),"")</f>
        <v/>
      </c>
      <c r="I274" s="50" t="str">
        <f aca="false">IFERROR(IF(N(I271)=0,"",(I272-I270)/I271),"")</f>
        <v/>
      </c>
      <c r="J274" s="50" t="str">
        <f aca="false">IFERROR(IF(N(J271)=0,"",(J272-J270)/J271),"")</f>
        <v/>
      </c>
      <c r="K274" s="50" t="str">
        <f aca="false">IFERROR(IF(N(K271)=0,"",(K272-K270)/K271),"")</f>
        <v/>
      </c>
      <c r="L274" s="50" t="str">
        <f aca="false">IFERROR(IF(N(L271)=0,"",(L272-L270)/L271),"")</f>
        <v/>
      </c>
      <c r="M274" s="50" t="str">
        <f aca="false">IFERROR(IF(N(M271)=0,"",(M272-M270)/M271),"")</f>
        <v/>
      </c>
      <c r="N274" s="50" t="str">
        <f aca="false">IFERROR(IF(N(N271)=0,"",(N272-N270)/N271),"")</f>
        <v/>
      </c>
      <c r="O274" s="68" t="str">
        <f aca="false">IFERROR(IF(N(O271)=0,"",(O272-O270)/O271),"")</f>
        <v/>
      </c>
    </row>
    <row r="275" customFormat="false" ht="15" hidden="true" customHeight="false" outlineLevel="1" collapsed="false">
      <c r="A275" s="11" t="s">
        <v>2404</v>
      </c>
      <c r="B275" s="15" t="s">
        <v>2374</v>
      </c>
      <c r="C275" s="11" t="s">
        <v>367</v>
      </c>
      <c r="D275" s="49" t="str">
        <f aca="false">IFERROR(IF(N(D272)=0,"",1-D270/D272),"")</f>
        <v/>
      </c>
      <c r="E275" s="49" t="str">
        <f aca="false">IFERROR(IF(N(E272)=0,"",1-E270/E272),"")</f>
        <v/>
      </c>
      <c r="F275" s="49" t="str">
        <f aca="false">IFERROR(IF(N(F272)=0,"",1-F270/F272),"")</f>
        <v/>
      </c>
      <c r="G275" s="49" t="str">
        <f aca="false">IFERROR(IF(N(G272)=0,"",1-G270/G272),"")</f>
        <v/>
      </c>
      <c r="H275" s="49" t="str">
        <f aca="false">IFERROR(IF(N(H272)=0,"",1-H270/H272),"")</f>
        <v/>
      </c>
      <c r="I275" s="49" t="str">
        <f aca="false">IFERROR(IF(N(I272)=0,"",1-I270/I272),"")</f>
        <v/>
      </c>
      <c r="J275" s="49" t="str">
        <f aca="false">IFERROR(IF(N(J272)=0,"",1-J270/J272),"")</f>
        <v/>
      </c>
      <c r="K275" s="49" t="str">
        <f aca="false">IFERROR(IF(N(K272)=0,"",1-K270/K272),"")</f>
        <v/>
      </c>
      <c r="L275" s="49" t="str">
        <f aca="false">IFERROR(IF(N(L272)=0,"",1-L270/L272),"")</f>
        <v/>
      </c>
      <c r="M275" s="49" t="str">
        <f aca="false">IFERROR(IF(N(M272)=0,"",1-M270/M272),"")</f>
        <v/>
      </c>
      <c r="N275" s="49" t="str">
        <f aca="false">IFERROR(IF(N(N272)=0,"",1-N270/N272),"")</f>
        <v/>
      </c>
      <c r="O275" s="99" t="str">
        <f aca="false">IFERROR(IF(N(O272)=0,"",1-O270/O272),"")</f>
        <v/>
      </c>
    </row>
    <row r="276" customFormat="false" ht="15" hidden="true" customHeight="false" outlineLevel="1" collapsed="false">
      <c r="A276" s="11" t="s">
        <v>2405</v>
      </c>
      <c r="B276" s="15" t="s">
        <v>2376</v>
      </c>
      <c r="C276" s="11" t="s">
        <v>508</v>
      </c>
      <c r="D276" s="48" t="str">
        <f aca="false">IFERROR(IF(OR(NOT(ISNUMBER(D270)),N(D241)=0),"",D242*D270/D241),"")</f>
        <v/>
      </c>
      <c r="E276" s="48" t="str">
        <f aca="false">IFERROR(IF(OR(NOT(ISNUMBER(E270)),N(E241)=0),"",E242*E270/E241),"")</f>
        <v/>
      </c>
      <c r="F276" s="48" t="str">
        <f aca="false">IFERROR(IF(OR(NOT(ISNUMBER(F270)),N(F241)=0),"",F242*F270/F241),"")</f>
        <v/>
      </c>
      <c r="G276" s="48" t="str">
        <f aca="false">IFERROR(IF(OR(NOT(ISNUMBER(G270)),N(G241)=0),"",G242*G270/G241),"")</f>
        <v/>
      </c>
      <c r="H276" s="48" t="str">
        <f aca="false">IFERROR(IF(OR(NOT(ISNUMBER(H270)),N(H241)=0),"",H242*H270/H241),"")</f>
        <v/>
      </c>
      <c r="I276" s="48" t="str">
        <f aca="false">IFERROR(IF(OR(NOT(ISNUMBER(I270)),N(I241)=0),"",I242*I270/I241),"")</f>
        <v/>
      </c>
      <c r="J276" s="48" t="str">
        <f aca="false">IFERROR(IF(OR(NOT(ISNUMBER(J270)),N(J241)=0),"",J242*J270/J241),"")</f>
        <v/>
      </c>
      <c r="K276" s="48" t="str">
        <f aca="false">IFERROR(IF(OR(NOT(ISNUMBER(K270)),N(K241)=0),"",K242*K270/K241),"")</f>
        <v/>
      </c>
      <c r="L276" s="48" t="str">
        <f aca="false">IFERROR(IF(OR(NOT(ISNUMBER(L270)),N(L241)=0),"",L242*L270/L241),"")</f>
        <v/>
      </c>
      <c r="M276" s="48" t="str">
        <f aca="false">IFERROR(IF(OR(NOT(ISNUMBER(M270)),N(M241)=0),"",M242*M270/M241),"")</f>
        <v/>
      </c>
      <c r="N276" s="48" t="str">
        <f aca="false">IFERROR(IF(OR(NOT(ISNUMBER(N270)),N(N241)=0),"",N242*N270/N241),"")</f>
        <v/>
      </c>
      <c r="O276" s="54" t="str">
        <f aca="false">IF(COUNT(D276:N276)=0,"",SUM(D276:N276))</f>
        <v/>
      </c>
    </row>
    <row r="277" customFormat="false" ht="15" hidden="true" customHeight="false" outlineLevel="1" collapsed="false">
      <c r="A277" s="11" t="s">
        <v>2406</v>
      </c>
      <c r="B277" s="15" t="s">
        <v>2378</v>
      </c>
      <c r="C277" s="11" t="s">
        <v>508</v>
      </c>
      <c r="D277" s="48" t="str">
        <f aca="false">IFERROR(IF(COUNT(D270,D276)=0,"",N(D270)+N(D276)),"")</f>
        <v/>
      </c>
      <c r="E277" s="48" t="str">
        <f aca="false">IFERROR(IF(COUNT(E270,E276)=0,"",N(E270)+N(E276)),"")</f>
        <v/>
      </c>
      <c r="F277" s="48" t="str">
        <f aca="false">IFERROR(IF(COUNT(F270,F276)=0,"",N(F270)+N(F276)),"")</f>
        <v/>
      </c>
      <c r="G277" s="48" t="str">
        <f aca="false">IFERROR(IF(COUNT(G270,G276)=0,"",N(G270)+N(G276)),"")</f>
        <v/>
      </c>
      <c r="H277" s="48" t="str">
        <f aca="false">IFERROR(IF(COUNT(H270,H276)=0,"",N(H270)+N(H276)),"")</f>
        <v/>
      </c>
      <c r="I277" s="48" t="str">
        <f aca="false">IFERROR(IF(COUNT(I270,I276)=0,"",N(I270)+N(I276)),"")</f>
        <v/>
      </c>
      <c r="J277" s="48" t="str">
        <f aca="false">IFERROR(IF(COUNT(J270,J276)=0,"",N(J270)+N(J276)),"")</f>
        <v/>
      </c>
      <c r="K277" s="48" t="str">
        <f aca="false">IFERROR(IF(COUNT(K270,K276)=0,"",N(K270)+N(K276)),"")</f>
        <v/>
      </c>
      <c r="L277" s="48" t="str">
        <f aca="false">IFERROR(IF(COUNT(L270,L276)=0,"",N(L270)+N(L276)),"")</f>
        <v/>
      </c>
      <c r="M277" s="48" t="str">
        <f aca="false">IFERROR(IF(COUNT(M270,M276)=0,"",N(M270)+N(M276)),"")</f>
        <v/>
      </c>
      <c r="N277" s="48" t="str">
        <f aca="false">IFERROR(IF(COUNT(N270,N276)=0,"",N(N270)+N(N276)),"")</f>
        <v/>
      </c>
      <c r="O277" s="54" t="str">
        <f aca="false">IF(COUNT(D277:N277)=0,"",SUM(D277:N277))</f>
        <v/>
      </c>
    </row>
    <row r="278" customFormat="false" ht="15" hidden="true" customHeight="false" outlineLevel="1" collapsed="false">
      <c r="A278" s="11" t="s">
        <v>2407</v>
      </c>
      <c r="B278" s="15" t="s">
        <v>2380</v>
      </c>
      <c r="C278" s="11" t="s">
        <v>748</v>
      </c>
      <c r="D278" s="50" t="str">
        <f aca="false">IFERROR(IF(OR(NOT(ISNUMBER(D277)),N(D271)=0),"",D277/D271),"")</f>
        <v/>
      </c>
      <c r="E278" s="50" t="str">
        <f aca="false">IFERROR(IF(OR(NOT(ISNUMBER(E277)),N(E271)=0),"",E277/E271),"")</f>
        <v/>
      </c>
      <c r="F278" s="50" t="str">
        <f aca="false">IFERROR(IF(OR(NOT(ISNUMBER(F277)),N(F271)=0),"",F277/F271),"")</f>
        <v/>
      </c>
      <c r="G278" s="50" t="str">
        <f aca="false">IFERROR(IF(OR(NOT(ISNUMBER(G277)),N(G271)=0),"",G277/G271),"")</f>
        <v/>
      </c>
      <c r="H278" s="50" t="str">
        <f aca="false">IFERROR(IF(OR(NOT(ISNUMBER(H277)),N(H271)=0),"",H277/H271),"")</f>
        <v/>
      </c>
      <c r="I278" s="50" t="str">
        <f aca="false">IFERROR(IF(OR(NOT(ISNUMBER(I277)),N(I271)=0),"",I277/I271),"")</f>
        <v/>
      </c>
      <c r="J278" s="50" t="str">
        <f aca="false">IFERROR(IF(OR(NOT(ISNUMBER(J277)),N(J271)=0),"",J277/J271),"")</f>
        <v/>
      </c>
      <c r="K278" s="50" t="str">
        <f aca="false">IFERROR(IF(OR(NOT(ISNUMBER(K277)),N(K271)=0),"",K277/K271),"")</f>
        <v/>
      </c>
      <c r="L278" s="50" t="str">
        <f aca="false">IFERROR(IF(OR(NOT(ISNUMBER(L277)),N(L271)=0),"",L277/L271),"")</f>
        <v/>
      </c>
      <c r="M278" s="50" t="str">
        <f aca="false">IFERROR(IF(OR(NOT(ISNUMBER(M277)),N(M271)=0),"",M277/M271),"")</f>
        <v/>
      </c>
      <c r="N278" s="50" t="str">
        <f aca="false">IFERROR(IF(OR(NOT(ISNUMBER(N277)),N(N271)=0),"",N277/N271),"")</f>
        <v/>
      </c>
      <c r="O278" s="68" t="str">
        <f aca="false">IFERROR(IF(OR(NOT(ISNUMBER(O277)),N(O271)=0),"",O277/O271),"")</f>
        <v/>
      </c>
    </row>
    <row r="279" customFormat="false" ht="15" hidden="true" customHeight="false" outlineLevel="1" collapsed="false">
      <c r="A279" s="11" t="s">
        <v>2408</v>
      </c>
      <c r="B279" s="53" t="str">
        <f aca="false">IF(INDEX(Prod_Nombre,5)="","Producto 5",INDEX(Prod_Nombre,5))&amp;" — costo directo"</f>
        <v>Producto 5 — costo directo</v>
      </c>
      <c r="C279" s="11" t="s">
        <v>508</v>
      </c>
      <c r="D279" s="37"/>
      <c r="E279" s="37"/>
      <c r="F279" s="37"/>
      <c r="G279" s="37"/>
      <c r="H279" s="37"/>
      <c r="I279" s="37"/>
      <c r="J279" s="37"/>
      <c r="K279" s="37"/>
      <c r="L279" s="37"/>
      <c r="M279" s="37"/>
      <c r="N279" s="37"/>
      <c r="O279" s="54" t="str">
        <f aca="false">IF(COUNT(D279:N279)=0,"",SUM(D279:N279))</f>
        <v/>
      </c>
    </row>
    <row r="280" customFormat="false" ht="15" hidden="true" customHeight="false" outlineLevel="1" collapsed="false">
      <c r="A280" s="11" t="s">
        <v>2409</v>
      </c>
      <c r="B280" s="15" t="s">
        <v>2366</v>
      </c>
      <c r="C280" s="11" t="s">
        <v>544</v>
      </c>
      <c r="D280" s="37"/>
      <c r="E280" s="37"/>
      <c r="F280" s="37"/>
      <c r="G280" s="37"/>
      <c r="H280" s="37"/>
      <c r="I280" s="37"/>
      <c r="J280" s="37"/>
      <c r="K280" s="37"/>
      <c r="L280" s="37"/>
      <c r="M280" s="37"/>
      <c r="N280" s="37"/>
      <c r="O280" s="54" t="str">
        <f aca="false">IF(COUNT(D280:N280)=0,"",SUM(D280:N280))</f>
        <v/>
      </c>
    </row>
    <row r="281" customFormat="false" ht="15" hidden="true" customHeight="false" outlineLevel="1" collapsed="false">
      <c r="A281" s="11" t="s">
        <v>2410</v>
      </c>
      <c r="B281" s="15" t="s">
        <v>2368</v>
      </c>
      <c r="C281" s="11" t="s">
        <v>508</v>
      </c>
      <c r="D281" s="37"/>
      <c r="E281" s="37"/>
      <c r="F281" s="37"/>
      <c r="G281" s="37"/>
      <c r="H281" s="37"/>
      <c r="I281" s="37"/>
      <c r="J281" s="37"/>
      <c r="K281" s="37"/>
      <c r="L281" s="37"/>
      <c r="M281" s="37"/>
      <c r="N281" s="37"/>
      <c r="O281" s="54" t="str">
        <f aca="false">IF(COUNT(D281:N281)=0,"",SUM(D281:N281))</f>
        <v/>
      </c>
    </row>
    <row r="282" customFormat="false" ht="15" hidden="true" customHeight="false" outlineLevel="1" collapsed="false">
      <c r="A282" s="11" t="s">
        <v>2411</v>
      </c>
      <c r="B282" s="15" t="s">
        <v>2370</v>
      </c>
      <c r="C282" s="11" t="s">
        <v>748</v>
      </c>
      <c r="D282" s="50" t="str">
        <f aca="false">IFERROR(IF(OR(NOT(ISNUMBER(D279)),N(D280)=0),"",D279/D280),"")</f>
        <v/>
      </c>
      <c r="E282" s="50" t="str">
        <f aca="false">IFERROR(IF(OR(NOT(ISNUMBER(E279)),N(E280)=0),"",E279/E280),"")</f>
        <v/>
      </c>
      <c r="F282" s="50" t="str">
        <f aca="false">IFERROR(IF(OR(NOT(ISNUMBER(F279)),N(F280)=0),"",F279/F280),"")</f>
        <v/>
      </c>
      <c r="G282" s="50" t="str">
        <f aca="false">IFERROR(IF(OR(NOT(ISNUMBER(G279)),N(G280)=0),"",G279/G280),"")</f>
        <v/>
      </c>
      <c r="H282" s="50" t="str">
        <f aca="false">IFERROR(IF(OR(NOT(ISNUMBER(H279)),N(H280)=0),"",H279/H280),"")</f>
        <v/>
      </c>
      <c r="I282" s="50" t="str">
        <f aca="false">IFERROR(IF(OR(NOT(ISNUMBER(I279)),N(I280)=0),"",I279/I280),"")</f>
        <v/>
      </c>
      <c r="J282" s="50" t="str">
        <f aca="false">IFERROR(IF(OR(NOT(ISNUMBER(J279)),N(J280)=0),"",J279/J280),"")</f>
        <v/>
      </c>
      <c r="K282" s="50" t="str">
        <f aca="false">IFERROR(IF(OR(NOT(ISNUMBER(K279)),N(K280)=0),"",K279/K280),"")</f>
        <v/>
      </c>
      <c r="L282" s="50" t="str">
        <f aca="false">IFERROR(IF(OR(NOT(ISNUMBER(L279)),N(L280)=0),"",L279/L280),"")</f>
        <v/>
      </c>
      <c r="M282" s="50" t="str">
        <f aca="false">IFERROR(IF(OR(NOT(ISNUMBER(M279)),N(M280)=0),"",M279/M280),"")</f>
        <v/>
      </c>
      <c r="N282" s="50" t="str">
        <f aca="false">IFERROR(IF(OR(NOT(ISNUMBER(N279)),N(N280)=0),"",N279/N280),"")</f>
        <v/>
      </c>
      <c r="O282" s="68" t="str">
        <f aca="false">IFERROR(IF(OR(NOT(ISNUMBER(O279)),N(O280)=0),"",O279/O280),"")</f>
        <v/>
      </c>
    </row>
    <row r="283" customFormat="false" ht="15" hidden="true" customHeight="false" outlineLevel="1" collapsed="false">
      <c r="A283" s="11" t="s">
        <v>2412</v>
      </c>
      <c r="B283" s="15" t="s">
        <v>2372</v>
      </c>
      <c r="C283" s="11" t="s">
        <v>748</v>
      </c>
      <c r="D283" s="50" t="str">
        <f aca="false">IFERROR(IF(N(D280)=0,"",(D281-D279)/D280),"")</f>
        <v/>
      </c>
      <c r="E283" s="50" t="str">
        <f aca="false">IFERROR(IF(N(E280)=0,"",(E281-E279)/E280),"")</f>
        <v/>
      </c>
      <c r="F283" s="50" t="str">
        <f aca="false">IFERROR(IF(N(F280)=0,"",(F281-F279)/F280),"")</f>
        <v/>
      </c>
      <c r="G283" s="50" t="str">
        <f aca="false">IFERROR(IF(N(G280)=0,"",(G281-G279)/G280),"")</f>
        <v/>
      </c>
      <c r="H283" s="50" t="str">
        <f aca="false">IFERROR(IF(N(H280)=0,"",(H281-H279)/H280),"")</f>
        <v/>
      </c>
      <c r="I283" s="50" t="str">
        <f aca="false">IFERROR(IF(N(I280)=0,"",(I281-I279)/I280),"")</f>
        <v/>
      </c>
      <c r="J283" s="50" t="str">
        <f aca="false">IFERROR(IF(N(J280)=0,"",(J281-J279)/J280),"")</f>
        <v/>
      </c>
      <c r="K283" s="50" t="str">
        <f aca="false">IFERROR(IF(N(K280)=0,"",(K281-K279)/K280),"")</f>
        <v/>
      </c>
      <c r="L283" s="50" t="str">
        <f aca="false">IFERROR(IF(N(L280)=0,"",(L281-L279)/L280),"")</f>
        <v/>
      </c>
      <c r="M283" s="50" t="str">
        <f aca="false">IFERROR(IF(N(M280)=0,"",(M281-M279)/M280),"")</f>
        <v/>
      </c>
      <c r="N283" s="50" t="str">
        <f aca="false">IFERROR(IF(N(N280)=0,"",(N281-N279)/N280),"")</f>
        <v/>
      </c>
      <c r="O283" s="68" t="str">
        <f aca="false">IFERROR(IF(N(O280)=0,"",(O281-O279)/O280),"")</f>
        <v/>
      </c>
    </row>
    <row r="284" customFormat="false" ht="15" hidden="true" customHeight="false" outlineLevel="1" collapsed="false">
      <c r="A284" s="11" t="s">
        <v>2413</v>
      </c>
      <c r="B284" s="15" t="s">
        <v>2374</v>
      </c>
      <c r="C284" s="11" t="s">
        <v>367</v>
      </c>
      <c r="D284" s="49" t="str">
        <f aca="false">IFERROR(IF(N(D281)=0,"",1-D279/D281),"")</f>
        <v/>
      </c>
      <c r="E284" s="49" t="str">
        <f aca="false">IFERROR(IF(N(E281)=0,"",1-E279/E281),"")</f>
        <v/>
      </c>
      <c r="F284" s="49" t="str">
        <f aca="false">IFERROR(IF(N(F281)=0,"",1-F279/F281),"")</f>
        <v/>
      </c>
      <c r="G284" s="49" t="str">
        <f aca="false">IFERROR(IF(N(G281)=0,"",1-G279/G281),"")</f>
        <v/>
      </c>
      <c r="H284" s="49" t="str">
        <f aca="false">IFERROR(IF(N(H281)=0,"",1-H279/H281),"")</f>
        <v/>
      </c>
      <c r="I284" s="49" t="str">
        <f aca="false">IFERROR(IF(N(I281)=0,"",1-I279/I281),"")</f>
        <v/>
      </c>
      <c r="J284" s="49" t="str">
        <f aca="false">IFERROR(IF(N(J281)=0,"",1-J279/J281),"")</f>
        <v/>
      </c>
      <c r="K284" s="49" t="str">
        <f aca="false">IFERROR(IF(N(K281)=0,"",1-K279/K281),"")</f>
        <v/>
      </c>
      <c r="L284" s="49" t="str">
        <f aca="false">IFERROR(IF(N(L281)=0,"",1-L279/L281),"")</f>
        <v/>
      </c>
      <c r="M284" s="49" t="str">
        <f aca="false">IFERROR(IF(N(M281)=0,"",1-M279/M281),"")</f>
        <v/>
      </c>
      <c r="N284" s="49" t="str">
        <f aca="false">IFERROR(IF(N(N281)=0,"",1-N279/N281),"")</f>
        <v/>
      </c>
      <c r="O284" s="99" t="str">
        <f aca="false">IFERROR(IF(N(O281)=0,"",1-O279/O281),"")</f>
        <v/>
      </c>
    </row>
    <row r="285" customFormat="false" ht="15" hidden="true" customHeight="false" outlineLevel="1" collapsed="false">
      <c r="A285" s="11" t="s">
        <v>2414</v>
      </c>
      <c r="B285" s="15" t="s">
        <v>2376</v>
      </c>
      <c r="C285" s="11" t="s">
        <v>508</v>
      </c>
      <c r="D285" s="48" t="str">
        <f aca="false">IFERROR(IF(OR(NOT(ISNUMBER(D279)),N(D241)=0),"",D242*D279/D241),"")</f>
        <v/>
      </c>
      <c r="E285" s="48" t="str">
        <f aca="false">IFERROR(IF(OR(NOT(ISNUMBER(E279)),N(E241)=0),"",E242*E279/E241),"")</f>
        <v/>
      </c>
      <c r="F285" s="48" t="str">
        <f aca="false">IFERROR(IF(OR(NOT(ISNUMBER(F279)),N(F241)=0),"",F242*F279/F241),"")</f>
        <v/>
      </c>
      <c r="G285" s="48" t="str">
        <f aca="false">IFERROR(IF(OR(NOT(ISNUMBER(G279)),N(G241)=0),"",G242*G279/G241),"")</f>
        <v/>
      </c>
      <c r="H285" s="48" t="str">
        <f aca="false">IFERROR(IF(OR(NOT(ISNUMBER(H279)),N(H241)=0),"",H242*H279/H241),"")</f>
        <v/>
      </c>
      <c r="I285" s="48" t="str">
        <f aca="false">IFERROR(IF(OR(NOT(ISNUMBER(I279)),N(I241)=0),"",I242*I279/I241),"")</f>
        <v/>
      </c>
      <c r="J285" s="48" t="str">
        <f aca="false">IFERROR(IF(OR(NOT(ISNUMBER(J279)),N(J241)=0),"",J242*J279/J241),"")</f>
        <v/>
      </c>
      <c r="K285" s="48" t="str">
        <f aca="false">IFERROR(IF(OR(NOT(ISNUMBER(K279)),N(K241)=0),"",K242*K279/K241),"")</f>
        <v/>
      </c>
      <c r="L285" s="48" t="str">
        <f aca="false">IFERROR(IF(OR(NOT(ISNUMBER(L279)),N(L241)=0),"",L242*L279/L241),"")</f>
        <v/>
      </c>
      <c r="M285" s="48" t="str">
        <f aca="false">IFERROR(IF(OR(NOT(ISNUMBER(M279)),N(M241)=0),"",M242*M279/M241),"")</f>
        <v/>
      </c>
      <c r="N285" s="48" t="str">
        <f aca="false">IFERROR(IF(OR(NOT(ISNUMBER(N279)),N(N241)=0),"",N242*N279/N241),"")</f>
        <v/>
      </c>
      <c r="O285" s="54" t="str">
        <f aca="false">IF(COUNT(D285:N285)=0,"",SUM(D285:N285))</f>
        <v/>
      </c>
    </row>
    <row r="286" customFormat="false" ht="15" hidden="true" customHeight="false" outlineLevel="1" collapsed="false">
      <c r="A286" s="11" t="s">
        <v>2415</v>
      </c>
      <c r="B286" s="15" t="s">
        <v>2378</v>
      </c>
      <c r="C286" s="11" t="s">
        <v>508</v>
      </c>
      <c r="D286" s="48" t="str">
        <f aca="false">IFERROR(IF(COUNT(D279,D285)=0,"",N(D279)+N(D285)),"")</f>
        <v/>
      </c>
      <c r="E286" s="48" t="str">
        <f aca="false">IFERROR(IF(COUNT(E279,E285)=0,"",N(E279)+N(E285)),"")</f>
        <v/>
      </c>
      <c r="F286" s="48" t="str">
        <f aca="false">IFERROR(IF(COUNT(F279,F285)=0,"",N(F279)+N(F285)),"")</f>
        <v/>
      </c>
      <c r="G286" s="48" t="str">
        <f aca="false">IFERROR(IF(COUNT(G279,G285)=0,"",N(G279)+N(G285)),"")</f>
        <v/>
      </c>
      <c r="H286" s="48" t="str">
        <f aca="false">IFERROR(IF(COUNT(H279,H285)=0,"",N(H279)+N(H285)),"")</f>
        <v/>
      </c>
      <c r="I286" s="48" t="str">
        <f aca="false">IFERROR(IF(COUNT(I279,I285)=0,"",N(I279)+N(I285)),"")</f>
        <v/>
      </c>
      <c r="J286" s="48" t="str">
        <f aca="false">IFERROR(IF(COUNT(J279,J285)=0,"",N(J279)+N(J285)),"")</f>
        <v/>
      </c>
      <c r="K286" s="48" t="str">
        <f aca="false">IFERROR(IF(COUNT(K279,K285)=0,"",N(K279)+N(K285)),"")</f>
        <v/>
      </c>
      <c r="L286" s="48" t="str">
        <f aca="false">IFERROR(IF(COUNT(L279,L285)=0,"",N(L279)+N(L285)),"")</f>
        <v/>
      </c>
      <c r="M286" s="48" t="str">
        <f aca="false">IFERROR(IF(COUNT(M279,M285)=0,"",N(M279)+N(M285)),"")</f>
        <v/>
      </c>
      <c r="N286" s="48" t="str">
        <f aca="false">IFERROR(IF(COUNT(N279,N285)=0,"",N(N279)+N(N285)),"")</f>
        <v/>
      </c>
      <c r="O286" s="54" t="str">
        <f aca="false">IF(COUNT(D286:N286)=0,"",SUM(D286:N286))</f>
        <v/>
      </c>
    </row>
    <row r="287" customFormat="false" ht="15" hidden="true" customHeight="false" outlineLevel="1" collapsed="false">
      <c r="A287" s="11" t="s">
        <v>2416</v>
      </c>
      <c r="B287" s="15" t="s">
        <v>2380</v>
      </c>
      <c r="C287" s="11" t="s">
        <v>748</v>
      </c>
      <c r="D287" s="50" t="str">
        <f aca="false">IFERROR(IF(OR(NOT(ISNUMBER(D286)),N(D280)=0),"",D286/D280),"")</f>
        <v/>
      </c>
      <c r="E287" s="50" t="str">
        <f aca="false">IFERROR(IF(OR(NOT(ISNUMBER(E286)),N(E280)=0),"",E286/E280),"")</f>
        <v/>
      </c>
      <c r="F287" s="50" t="str">
        <f aca="false">IFERROR(IF(OR(NOT(ISNUMBER(F286)),N(F280)=0),"",F286/F280),"")</f>
        <v/>
      </c>
      <c r="G287" s="50" t="str">
        <f aca="false">IFERROR(IF(OR(NOT(ISNUMBER(G286)),N(G280)=0),"",G286/G280),"")</f>
        <v/>
      </c>
      <c r="H287" s="50" t="str">
        <f aca="false">IFERROR(IF(OR(NOT(ISNUMBER(H286)),N(H280)=0),"",H286/H280),"")</f>
        <v/>
      </c>
      <c r="I287" s="50" t="str">
        <f aca="false">IFERROR(IF(OR(NOT(ISNUMBER(I286)),N(I280)=0),"",I286/I280),"")</f>
        <v/>
      </c>
      <c r="J287" s="50" t="str">
        <f aca="false">IFERROR(IF(OR(NOT(ISNUMBER(J286)),N(J280)=0),"",J286/J280),"")</f>
        <v/>
      </c>
      <c r="K287" s="50" t="str">
        <f aca="false">IFERROR(IF(OR(NOT(ISNUMBER(K286)),N(K280)=0),"",K286/K280),"")</f>
        <v/>
      </c>
      <c r="L287" s="50" t="str">
        <f aca="false">IFERROR(IF(OR(NOT(ISNUMBER(L286)),N(L280)=0),"",L286/L280),"")</f>
        <v/>
      </c>
      <c r="M287" s="50" t="str">
        <f aca="false">IFERROR(IF(OR(NOT(ISNUMBER(M286)),N(M280)=0),"",M286/M280),"")</f>
        <v/>
      </c>
      <c r="N287" s="50" t="str">
        <f aca="false">IFERROR(IF(OR(NOT(ISNUMBER(N286)),N(N280)=0),"",N286/N280),"")</f>
        <v/>
      </c>
      <c r="O287" s="68" t="str">
        <f aca="false">IFERROR(IF(OR(NOT(ISNUMBER(O286)),N(O280)=0),"",O286/O280),"")</f>
        <v/>
      </c>
    </row>
    <row r="288" customFormat="false" ht="15" hidden="true" customHeight="false" outlineLevel="1" collapsed="false">
      <c r="A288" s="11" t="s">
        <v>2417</v>
      </c>
      <c r="B288" s="53" t="str">
        <f aca="false">IF(INDEX(Prod_Nombre,6)="","Producto 6",INDEX(Prod_Nombre,6))&amp;" — costo directo"</f>
        <v>Producto 6 — costo directo</v>
      </c>
      <c r="C288" s="11" t="s">
        <v>508</v>
      </c>
      <c r="D288" s="37"/>
      <c r="E288" s="37"/>
      <c r="F288" s="37"/>
      <c r="G288" s="37"/>
      <c r="H288" s="37"/>
      <c r="I288" s="37"/>
      <c r="J288" s="37"/>
      <c r="K288" s="37"/>
      <c r="L288" s="37"/>
      <c r="M288" s="37"/>
      <c r="N288" s="37"/>
      <c r="O288" s="54" t="str">
        <f aca="false">IF(COUNT(D288:N288)=0,"",SUM(D288:N288))</f>
        <v/>
      </c>
    </row>
    <row r="289" customFormat="false" ht="15" hidden="true" customHeight="false" outlineLevel="1" collapsed="false">
      <c r="A289" s="11" t="s">
        <v>2418</v>
      </c>
      <c r="B289" s="15" t="s">
        <v>2366</v>
      </c>
      <c r="C289" s="11" t="s">
        <v>544</v>
      </c>
      <c r="D289" s="37"/>
      <c r="E289" s="37"/>
      <c r="F289" s="37"/>
      <c r="G289" s="37"/>
      <c r="H289" s="37"/>
      <c r="I289" s="37"/>
      <c r="J289" s="37"/>
      <c r="K289" s="37"/>
      <c r="L289" s="37"/>
      <c r="M289" s="37"/>
      <c r="N289" s="37"/>
      <c r="O289" s="54" t="str">
        <f aca="false">IF(COUNT(D289:N289)=0,"",SUM(D289:N289))</f>
        <v/>
      </c>
    </row>
    <row r="290" customFormat="false" ht="15" hidden="true" customHeight="false" outlineLevel="1" collapsed="false">
      <c r="A290" s="11" t="s">
        <v>2419</v>
      </c>
      <c r="B290" s="15" t="s">
        <v>2368</v>
      </c>
      <c r="C290" s="11" t="s">
        <v>508</v>
      </c>
      <c r="D290" s="37"/>
      <c r="E290" s="37"/>
      <c r="F290" s="37"/>
      <c r="G290" s="37"/>
      <c r="H290" s="37"/>
      <c r="I290" s="37"/>
      <c r="J290" s="37"/>
      <c r="K290" s="37"/>
      <c r="L290" s="37"/>
      <c r="M290" s="37"/>
      <c r="N290" s="37"/>
      <c r="O290" s="54" t="str">
        <f aca="false">IF(COUNT(D290:N290)=0,"",SUM(D290:N290))</f>
        <v/>
      </c>
    </row>
    <row r="291" customFormat="false" ht="15" hidden="true" customHeight="false" outlineLevel="1" collapsed="false">
      <c r="A291" s="11" t="s">
        <v>2420</v>
      </c>
      <c r="B291" s="15" t="s">
        <v>2370</v>
      </c>
      <c r="C291" s="11" t="s">
        <v>748</v>
      </c>
      <c r="D291" s="50" t="str">
        <f aca="false">IFERROR(IF(OR(NOT(ISNUMBER(D288)),N(D289)=0),"",D288/D289),"")</f>
        <v/>
      </c>
      <c r="E291" s="50" t="str">
        <f aca="false">IFERROR(IF(OR(NOT(ISNUMBER(E288)),N(E289)=0),"",E288/E289),"")</f>
        <v/>
      </c>
      <c r="F291" s="50" t="str">
        <f aca="false">IFERROR(IF(OR(NOT(ISNUMBER(F288)),N(F289)=0),"",F288/F289),"")</f>
        <v/>
      </c>
      <c r="G291" s="50" t="str">
        <f aca="false">IFERROR(IF(OR(NOT(ISNUMBER(G288)),N(G289)=0),"",G288/G289),"")</f>
        <v/>
      </c>
      <c r="H291" s="50" t="str">
        <f aca="false">IFERROR(IF(OR(NOT(ISNUMBER(H288)),N(H289)=0),"",H288/H289),"")</f>
        <v/>
      </c>
      <c r="I291" s="50" t="str">
        <f aca="false">IFERROR(IF(OR(NOT(ISNUMBER(I288)),N(I289)=0),"",I288/I289),"")</f>
        <v/>
      </c>
      <c r="J291" s="50" t="str">
        <f aca="false">IFERROR(IF(OR(NOT(ISNUMBER(J288)),N(J289)=0),"",J288/J289),"")</f>
        <v/>
      </c>
      <c r="K291" s="50" t="str">
        <f aca="false">IFERROR(IF(OR(NOT(ISNUMBER(K288)),N(K289)=0),"",K288/K289),"")</f>
        <v/>
      </c>
      <c r="L291" s="50" t="str">
        <f aca="false">IFERROR(IF(OR(NOT(ISNUMBER(L288)),N(L289)=0),"",L288/L289),"")</f>
        <v/>
      </c>
      <c r="M291" s="50" t="str">
        <f aca="false">IFERROR(IF(OR(NOT(ISNUMBER(M288)),N(M289)=0),"",M288/M289),"")</f>
        <v/>
      </c>
      <c r="N291" s="50" t="str">
        <f aca="false">IFERROR(IF(OR(NOT(ISNUMBER(N288)),N(N289)=0),"",N288/N289),"")</f>
        <v/>
      </c>
      <c r="O291" s="68" t="str">
        <f aca="false">IFERROR(IF(OR(NOT(ISNUMBER(O288)),N(O289)=0),"",O288/O289),"")</f>
        <v/>
      </c>
    </row>
    <row r="292" customFormat="false" ht="15" hidden="true" customHeight="false" outlineLevel="1" collapsed="false">
      <c r="A292" s="11" t="s">
        <v>2421</v>
      </c>
      <c r="B292" s="15" t="s">
        <v>2372</v>
      </c>
      <c r="C292" s="11" t="s">
        <v>748</v>
      </c>
      <c r="D292" s="50" t="str">
        <f aca="false">IFERROR(IF(N(D289)=0,"",(D290-D288)/D289),"")</f>
        <v/>
      </c>
      <c r="E292" s="50" t="str">
        <f aca="false">IFERROR(IF(N(E289)=0,"",(E290-E288)/E289),"")</f>
        <v/>
      </c>
      <c r="F292" s="50" t="str">
        <f aca="false">IFERROR(IF(N(F289)=0,"",(F290-F288)/F289),"")</f>
        <v/>
      </c>
      <c r="G292" s="50" t="str">
        <f aca="false">IFERROR(IF(N(G289)=0,"",(G290-G288)/G289),"")</f>
        <v/>
      </c>
      <c r="H292" s="50" t="str">
        <f aca="false">IFERROR(IF(N(H289)=0,"",(H290-H288)/H289),"")</f>
        <v/>
      </c>
      <c r="I292" s="50" t="str">
        <f aca="false">IFERROR(IF(N(I289)=0,"",(I290-I288)/I289),"")</f>
        <v/>
      </c>
      <c r="J292" s="50" t="str">
        <f aca="false">IFERROR(IF(N(J289)=0,"",(J290-J288)/J289),"")</f>
        <v/>
      </c>
      <c r="K292" s="50" t="str">
        <f aca="false">IFERROR(IF(N(K289)=0,"",(K290-K288)/K289),"")</f>
        <v/>
      </c>
      <c r="L292" s="50" t="str">
        <f aca="false">IFERROR(IF(N(L289)=0,"",(L290-L288)/L289),"")</f>
        <v/>
      </c>
      <c r="M292" s="50" t="str">
        <f aca="false">IFERROR(IF(N(M289)=0,"",(M290-M288)/M289),"")</f>
        <v/>
      </c>
      <c r="N292" s="50" t="str">
        <f aca="false">IFERROR(IF(N(N289)=0,"",(N290-N288)/N289),"")</f>
        <v/>
      </c>
      <c r="O292" s="68" t="str">
        <f aca="false">IFERROR(IF(N(O289)=0,"",(O290-O288)/O289),"")</f>
        <v/>
      </c>
    </row>
    <row r="293" customFormat="false" ht="15" hidden="true" customHeight="false" outlineLevel="1" collapsed="false">
      <c r="A293" s="11" t="s">
        <v>2422</v>
      </c>
      <c r="B293" s="15" t="s">
        <v>2374</v>
      </c>
      <c r="C293" s="11" t="s">
        <v>367</v>
      </c>
      <c r="D293" s="49" t="str">
        <f aca="false">IFERROR(IF(N(D290)=0,"",1-D288/D290),"")</f>
        <v/>
      </c>
      <c r="E293" s="49" t="str">
        <f aca="false">IFERROR(IF(N(E290)=0,"",1-E288/E290),"")</f>
        <v/>
      </c>
      <c r="F293" s="49" t="str">
        <f aca="false">IFERROR(IF(N(F290)=0,"",1-F288/F290),"")</f>
        <v/>
      </c>
      <c r="G293" s="49" t="str">
        <f aca="false">IFERROR(IF(N(G290)=0,"",1-G288/G290),"")</f>
        <v/>
      </c>
      <c r="H293" s="49" t="str">
        <f aca="false">IFERROR(IF(N(H290)=0,"",1-H288/H290),"")</f>
        <v/>
      </c>
      <c r="I293" s="49" t="str">
        <f aca="false">IFERROR(IF(N(I290)=0,"",1-I288/I290),"")</f>
        <v/>
      </c>
      <c r="J293" s="49" t="str">
        <f aca="false">IFERROR(IF(N(J290)=0,"",1-J288/J290),"")</f>
        <v/>
      </c>
      <c r="K293" s="49" t="str">
        <f aca="false">IFERROR(IF(N(K290)=0,"",1-K288/K290),"")</f>
        <v/>
      </c>
      <c r="L293" s="49" t="str">
        <f aca="false">IFERROR(IF(N(L290)=0,"",1-L288/L290),"")</f>
        <v/>
      </c>
      <c r="M293" s="49" t="str">
        <f aca="false">IFERROR(IF(N(M290)=0,"",1-M288/M290),"")</f>
        <v/>
      </c>
      <c r="N293" s="49" t="str">
        <f aca="false">IFERROR(IF(N(N290)=0,"",1-N288/N290),"")</f>
        <v/>
      </c>
      <c r="O293" s="99" t="str">
        <f aca="false">IFERROR(IF(N(O290)=0,"",1-O288/O290),"")</f>
        <v/>
      </c>
    </row>
    <row r="294" customFormat="false" ht="15" hidden="true" customHeight="false" outlineLevel="1" collapsed="false">
      <c r="A294" s="11" t="s">
        <v>2423</v>
      </c>
      <c r="B294" s="15" t="s">
        <v>2376</v>
      </c>
      <c r="C294" s="11" t="s">
        <v>508</v>
      </c>
      <c r="D294" s="48" t="str">
        <f aca="false">IFERROR(IF(OR(NOT(ISNUMBER(D288)),N(D241)=0),"",D242*D288/D241),"")</f>
        <v/>
      </c>
      <c r="E294" s="48" t="str">
        <f aca="false">IFERROR(IF(OR(NOT(ISNUMBER(E288)),N(E241)=0),"",E242*E288/E241),"")</f>
        <v/>
      </c>
      <c r="F294" s="48" t="str">
        <f aca="false">IFERROR(IF(OR(NOT(ISNUMBER(F288)),N(F241)=0),"",F242*F288/F241),"")</f>
        <v/>
      </c>
      <c r="G294" s="48" t="str">
        <f aca="false">IFERROR(IF(OR(NOT(ISNUMBER(G288)),N(G241)=0),"",G242*G288/G241),"")</f>
        <v/>
      </c>
      <c r="H294" s="48" t="str">
        <f aca="false">IFERROR(IF(OR(NOT(ISNUMBER(H288)),N(H241)=0),"",H242*H288/H241),"")</f>
        <v/>
      </c>
      <c r="I294" s="48" t="str">
        <f aca="false">IFERROR(IF(OR(NOT(ISNUMBER(I288)),N(I241)=0),"",I242*I288/I241),"")</f>
        <v/>
      </c>
      <c r="J294" s="48" t="str">
        <f aca="false">IFERROR(IF(OR(NOT(ISNUMBER(J288)),N(J241)=0),"",J242*J288/J241),"")</f>
        <v/>
      </c>
      <c r="K294" s="48" t="str">
        <f aca="false">IFERROR(IF(OR(NOT(ISNUMBER(K288)),N(K241)=0),"",K242*K288/K241),"")</f>
        <v/>
      </c>
      <c r="L294" s="48" t="str">
        <f aca="false">IFERROR(IF(OR(NOT(ISNUMBER(L288)),N(L241)=0),"",L242*L288/L241),"")</f>
        <v/>
      </c>
      <c r="M294" s="48" t="str">
        <f aca="false">IFERROR(IF(OR(NOT(ISNUMBER(M288)),N(M241)=0),"",M242*M288/M241),"")</f>
        <v/>
      </c>
      <c r="N294" s="48" t="str">
        <f aca="false">IFERROR(IF(OR(NOT(ISNUMBER(N288)),N(N241)=0),"",N242*N288/N241),"")</f>
        <v/>
      </c>
      <c r="O294" s="54" t="str">
        <f aca="false">IF(COUNT(D294:N294)=0,"",SUM(D294:N294))</f>
        <v/>
      </c>
    </row>
    <row r="295" customFormat="false" ht="15" hidden="true" customHeight="false" outlineLevel="1" collapsed="false">
      <c r="A295" s="11" t="s">
        <v>2424</v>
      </c>
      <c r="B295" s="15" t="s">
        <v>2378</v>
      </c>
      <c r="C295" s="11" t="s">
        <v>508</v>
      </c>
      <c r="D295" s="48" t="str">
        <f aca="false">IFERROR(IF(COUNT(D288,D294)=0,"",N(D288)+N(D294)),"")</f>
        <v/>
      </c>
      <c r="E295" s="48" t="str">
        <f aca="false">IFERROR(IF(COUNT(E288,E294)=0,"",N(E288)+N(E294)),"")</f>
        <v/>
      </c>
      <c r="F295" s="48" t="str">
        <f aca="false">IFERROR(IF(COUNT(F288,F294)=0,"",N(F288)+N(F294)),"")</f>
        <v/>
      </c>
      <c r="G295" s="48" t="str">
        <f aca="false">IFERROR(IF(COUNT(G288,G294)=0,"",N(G288)+N(G294)),"")</f>
        <v/>
      </c>
      <c r="H295" s="48" t="str">
        <f aca="false">IFERROR(IF(COUNT(H288,H294)=0,"",N(H288)+N(H294)),"")</f>
        <v/>
      </c>
      <c r="I295" s="48" t="str">
        <f aca="false">IFERROR(IF(COUNT(I288,I294)=0,"",N(I288)+N(I294)),"")</f>
        <v/>
      </c>
      <c r="J295" s="48" t="str">
        <f aca="false">IFERROR(IF(COUNT(J288,J294)=0,"",N(J288)+N(J294)),"")</f>
        <v/>
      </c>
      <c r="K295" s="48" t="str">
        <f aca="false">IFERROR(IF(COUNT(K288,K294)=0,"",N(K288)+N(K294)),"")</f>
        <v/>
      </c>
      <c r="L295" s="48" t="str">
        <f aca="false">IFERROR(IF(COUNT(L288,L294)=0,"",N(L288)+N(L294)),"")</f>
        <v/>
      </c>
      <c r="M295" s="48" t="str">
        <f aca="false">IFERROR(IF(COUNT(M288,M294)=0,"",N(M288)+N(M294)),"")</f>
        <v/>
      </c>
      <c r="N295" s="48" t="str">
        <f aca="false">IFERROR(IF(COUNT(N288,N294)=0,"",N(N288)+N(N294)),"")</f>
        <v/>
      </c>
      <c r="O295" s="54" t="str">
        <f aca="false">IF(COUNT(D295:N295)=0,"",SUM(D295:N295))</f>
        <v/>
      </c>
    </row>
    <row r="296" customFormat="false" ht="15" hidden="true" customHeight="false" outlineLevel="1" collapsed="false">
      <c r="A296" s="11" t="s">
        <v>2425</v>
      </c>
      <c r="B296" s="15" t="s">
        <v>2380</v>
      </c>
      <c r="C296" s="11" t="s">
        <v>748</v>
      </c>
      <c r="D296" s="50" t="str">
        <f aca="false">IFERROR(IF(OR(NOT(ISNUMBER(D295)),N(D289)=0),"",D295/D289),"")</f>
        <v/>
      </c>
      <c r="E296" s="50" t="str">
        <f aca="false">IFERROR(IF(OR(NOT(ISNUMBER(E295)),N(E289)=0),"",E295/E289),"")</f>
        <v/>
      </c>
      <c r="F296" s="50" t="str">
        <f aca="false">IFERROR(IF(OR(NOT(ISNUMBER(F295)),N(F289)=0),"",F295/F289),"")</f>
        <v/>
      </c>
      <c r="G296" s="50" t="str">
        <f aca="false">IFERROR(IF(OR(NOT(ISNUMBER(G295)),N(G289)=0),"",G295/G289),"")</f>
        <v/>
      </c>
      <c r="H296" s="50" t="str">
        <f aca="false">IFERROR(IF(OR(NOT(ISNUMBER(H295)),N(H289)=0),"",H295/H289),"")</f>
        <v/>
      </c>
      <c r="I296" s="50" t="str">
        <f aca="false">IFERROR(IF(OR(NOT(ISNUMBER(I295)),N(I289)=0),"",I295/I289),"")</f>
        <v/>
      </c>
      <c r="J296" s="50" t="str">
        <f aca="false">IFERROR(IF(OR(NOT(ISNUMBER(J295)),N(J289)=0),"",J295/J289),"")</f>
        <v/>
      </c>
      <c r="K296" s="50" t="str">
        <f aca="false">IFERROR(IF(OR(NOT(ISNUMBER(K295)),N(K289)=0),"",K295/K289),"")</f>
        <v/>
      </c>
      <c r="L296" s="50" t="str">
        <f aca="false">IFERROR(IF(OR(NOT(ISNUMBER(L295)),N(L289)=0),"",L295/L289),"")</f>
        <v/>
      </c>
      <c r="M296" s="50" t="str">
        <f aca="false">IFERROR(IF(OR(NOT(ISNUMBER(M295)),N(M289)=0),"",M295/M289),"")</f>
        <v/>
      </c>
      <c r="N296" s="50" t="str">
        <f aca="false">IFERROR(IF(OR(NOT(ISNUMBER(N295)),N(N289)=0),"",N295/N289),"")</f>
        <v/>
      </c>
      <c r="O296" s="68" t="str">
        <f aca="false">IFERROR(IF(OR(NOT(ISNUMBER(O295)),N(O289)=0),"",O295/O289),"")</f>
        <v/>
      </c>
    </row>
    <row r="297" customFormat="false" ht="15" hidden="true" customHeight="false" outlineLevel="1" collapsed="false">
      <c r="A297" s="11" t="s">
        <v>2426</v>
      </c>
      <c r="B297" s="53" t="str">
        <f aca="false">IF(INDEX(Prod_Nombre,7)="","Producto 7",INDEX(Prod_Nombre,7))&amp;" — costo directo"</f>
        <v>Producto 7 — costo directo</v>
      </c>
      <c r="C297" s="11" t="s">
        <v>508</v>
      </c>
      <c r="D297" s="37"/>
      <c r="E297" s="37"/>
      <c r="F297" s="37"/>
      <c r="G297" s="37"/>
      <c r="H297" s="37"/>
      <c r="I297" s="37"/>
      <c r="J297" s="37"/>
      <c r="K297" s="37"/>
      <c r="L297" s="37"/>
      <c r="M297" s="37"/>
      <c r="N297" s="37"/>
      <c r="O297" s="54" t="str">
        <f aca="false">IF(COUNT(D297:N297)=0,"",SUM(D297:N297))</f>
        <v/>
      </c>
    </row>
    <row r="298" customFormat="false" ht="15" hidden="true" customHeight="false" outlineLevel="1" collapsed="false">
      <c r="A298" s="11" t="s">
        <v>2427</v>
      </c>
      <c r="B298" s="15" t="s">
        <v>2366</v>
      </c>
      <c r="C298" s="11" t="s">
        <v>544</v>
      </c>
      <c r="D298" s="37"/>
      <c r="E298" s="37"/>
      <c r="F298" s="37"/>
      <c r="G298" s="37"/>
      <c r="H298" s="37"/>
      <c r="I298" s="37"/>
      <c r="J298" s="37"/>
      <c r="K298" s="37"/>
      <c r="L298" s="37"/>
      <c r="M298" s="37"/>
      <c r="N298" s="37"/>
      <c r="O298" s="54" t="str">
        <f aca="false">IF(COUNT(D298:N298)=0,"",SUM(D298:N298))</f>
        <v/>
      </c>
    </row>
    <row r="299" customFormat="false" ht="15" hidden="true" customHeight="false" outlineLevel="1" collapsed="false">
      <c r="A299" s="11" t="s">
        <v>2428</v>
      </c>
      <c r="B299" s="15" t="s">
        <v>2368</v>
      </c>
      <c r="C299" s="11" t="s">
        <v>508</v>
      </c>
      <c r="D299" s="37"/>
      <c r="E299" s="37"/>
      <c r="F299" s="37"/>
      <c r="G299" s="37"/>
      <c r="H299" s="37"/>
      <c r="I299" s="37"/>
      <c r="J299" s="37"/>
      <c r="K299" s="37"/>
      <c r="L299" s="37"/>
      <c r="M299" s="37"/>
      <c r="N299" s="37"/>
      <c r="O299" s="54" t="str">
        <f aca="false">IF(COUNT(D299:N299)=0,"",SUM(D299:N299))</f>
        <v/>
      </c>
    </row>
    <row r="300" customFormat="false" ht="15" hidden="true" customHeight="false" outlineLevel="1" collapsed="false">
      <c r="A300" s="11" t="s">
        <v>2429</v>
      </c>
      <c r="B300" s="15" t="s">
        <v>2370</v>
      </c>
      <c r="C300" s="11" t="s">
        <v>748</v>
      </c>
      <c r="D300" s="50" t="str">
        <f aca="false">IFERROR(IF(OR(NOT(ISNUMBER(D297)),N(D298)=0),"",D297/D298),"")</f>
        <v/>
      </c>
      <c r="E300" s="50" t="str">
        <f aca="false">IFERROR(IF(OR(NOT(ISNUMBER(E297)),N(E298)=0),"",E297/E298),"")</f>
        <v/>
      </c>
      <c r="F300" s="50" t="str">
        <f aca="false">IFERROR(IF(OR(NOT(ISNUMBER(F297)),N(F298)=0),"",F297/F298),"")</f>
        <v/>
      </c>
      <c r="G300" s="50" t="str">
        <f aca="false">IFERROR(IF(OR(NOT(ISNUMBER(G297)),N(G298)=0),"",G297/G298),"")</f>
        <v/>
      </c>
      <c r="H300" s="50" t="str">
        <f aca="false">IFERROR(IF(OR(NOT(ISNUMBER(H297)),N(H298)=0),"",H297/H298),"")</f>
        <v/>
      </c>
      <c r="I300" s="50" t="str">
        <f aca="false">IFERROR(IF(OR(NOT(ISNUMBER(I297)),N(I298)=0),"",I297/I298),"")</f>
        <v/>
      </c>
      <c r="J300" s="50" t="str">
        <f aca="false">IFERROR(IF(OR(NOT(ISNUMBER(J297)),N(J298)=0),"",J297/J298),"")</f>
        <v/>
      </c>
      <c r="K300" s="50" t="str">
        <f aca="false">IFERROR(IF(OR(NOT(ISNUMBER(K297)),N(K298)=0),"",K297/K298),"")</f>
        <v/>
      </c>
      <c r="L300" s="50" t="str">
        <f aca="false">IFERROR(IF(OR(NOT(ISNUMBER(L297)),N(L298)=0),"",L297/L298),"")</f>
        <v/>
      </c>
      <c r="M300" s="50" t="str">
        <f aca="false">IFERROR(IF(OR(NOT(ISNUMBER(M297)),N(M298)=0),"",M297/M298),"")</f>
        <v/>
      </c>
      <c r="N300" s="50" t="str">
        <f aca="false">IFERROR(IF(OR(NOT(ISNUMBER(N297)),N(N298)=0),"",N297/N298),"")</f>
        <v/>
      </c>
      <c r="O300" s="68" t="str">
        <f aca="false">IFERROR(IF(OR(NOT(ISNUMBER(O297)),N(O298)=0),"",O297/O298),"")</f>
        <v/>
      </c>
    </row>
    <row r="301" customFormat="false" ht="15" hidden="true" customHeight="false" outlineLevel="1" collapsed="false">
      <c r="A301" s="11" t="s">
        <v>2430</v>
      </c>
      <c r="B301" s="15" t="s">
        <v>2372</v>
      </c>
      <c r="C301" s="11" t="s">
        <v>748</v>
      </c>
      <c r="D301" s="50" t="str">
        <f aca="false">IFERROR(IF(N(D298)=0,"",(D299-D297)/D298),"")</f>
        <v/>
      </c>
      <c r="E301" s="50" t="str">
        <f aca="false">IFERROR(IF(N(E298)=0,"",(E299-E297)/E298),"")</f>
        <v/>
      </c>
      <c r="F301" s="50" t="str">
        <f aca="false">IFERROR(IF(N(F298)=0,"",(F299-F297)/F298),"")</f>
        <v/>
      </c>
      <c r="G301" s="50" t="str">
        <f aca="false">IFERROR(IF(N(G298)=0,"",(G299-G297)/G298),"")</f>
        <v/>
      </c>
      <c r="H301" s="50" t="str">
        <f aca="false">IFERROR(IF(N(H298)=0,"",(H299-H297)/H298),"")</f>
        <v/>
      </c>
      <c r="I301" s="50" t="str">
        <f aca="false">IFERROR(IF(N(I298)=0,"",(I299-I297)/I298),"")</f>
        <v/>
      </c>
      <c r="J301" s="50" t="str">
        <f aca="false">IFERROR(IF(N(J298)=0,"",(J299-J297)/J298),"")</f>
        <v/>
      </c>
      <c r="K301" s="50" t="str">
        <f aca="false">IFERROR(IF(N(K298)=0,"",(K299-K297)/K298),"")</f>
        <v/>
      </c>
      <c r="L301" s="50" t="str">
        <f aca="false">IFERROR(IF(N(L298)=0,"",(L299-L297)/L298),"")</f>
        <v/>
      </c>
      <c r="M301" s="50" t="str">
        <f aca="false">IFERROR(IF(N(M298)=0,"",(M299-M297)/M298),"")</f>
        <v/>
      </c>
      <c r="N301" s="50" t="str">
        <f aca="false">IFERROR(IF(N(N298)=0,"",(N299-N297)/N298),"")</f>
        <v/>
      </c>
      <c r="O301" s="68" t="str">
        <f aca="false">IFERROR(IF(N(O298)=0,"",(O299-O297)/O298),"")</f>
        <v/>
      </c>
    </row>
    <row r="302" customFormat="false" ht="15" hidden="true" customHeight="false" outlineLevel="1" collapsed="false">
      <c r="A302" s="11" t="s">
        <v>2431</v>
      </c>
      <c r="B302" s="15" t="s">
        <v>2374</v>
      </c>
      <c r="C302" s="11" t="s">
        <v>367</v>
      </c>
      <c r="D302" s="49" t="str">
        <f aca="false">IFERROR(IF(N(D299)=0,"",1-D297/D299),"")</f>
        <v/>
      </c>
      <c r="E302" s="49" t="str">
        <f aca="false">IFERROR(IF(N(E299)=0,"",1-E297/E299),"")</f>
        <v/>
      </c>
      <c r="F302" s="49" t="str">
        <f aca="false">IFERROR(IF(N(F299)=0,"",1-F297/F299),"")</f>
        <v/>
      </c>
      <c r="G302" s="49" t="str">
        <f aca="false">IFERROR(IF(N(G299)=0,"",1-G297/G299),"")</f>
        <v/>
      </c>
      <c r="H302" s="49" t="str">
        <f aca="false">IFERROR(IF(N(H299)=0,"",1-H297/H299),"")</f>
        <v/>
      </c>
      <c r="I302" s="49" t="str">
        <f aca="false">IFERROR(IF(N(I299)=0,"",1-I297/I299),"")</f>
        <v/>
      </c>
      <c r="J302" s="49" t="str">
        <f aca="false">IFERROR(IF(N(J299)=0,"",1-J297/J299),"")</f>
        <v/>
      </c>
      <c r="K302" s="49" t="str">
        <f aca="false">IFERROR(IF(N(K299)=0,"",1-K297/K299),"")</f>
        <v/>
      </c>
      <c r="L302" s="49" t="str">
        <f aca="false">IFERROR(IF(N(L299)=0,"",1-L297/L299),"")</f>
        <v/>
      </c>
      <c r="M302" s="49" t="str">
        <f aca="false">IFERROR(IF(N(M299)=0,"",1-M297/M299),"")</f>
        <v/>
      </c>
      <c r="N302" s="49" t="str">
        <f aca="false">IFERROR(IF(N(N299)=0,"",1-N297/N299),"")</f>
        <v/>
      </c>
      <c r="O302" s="99" t="str">
        <f aca="false">IFERROR(IF(N(O299)=0,"",1-O297/O299),"")</f>
        <v/>
      </c>
    </row>
    <row r="303" customFormat="false" ht="15" hidden="true" customHeight="false" outlineLevel="1" collapsed="false">
      <c r="A303" s="11" t="s">
        <v>2432</v>
      </c>
      <c r="B303" s="15" t="s">
        <v>2376</v>
      </c>
      <c r="C303" s="11" t="s">
        <v>508</v>
      </c>
      <c r="D303" s="48" t="str">
        <f aca="false">IFERROR(IF(OR(NOT(ISNUMBER(D297)),N(D241)=0),"",D242*D297/D241),"")</f>
        <v/>
      </c>
      <c r="E303" s="48" t="str">
        <f aca="false">IFERROR(IF(OR(NOT(ISNUMBER(E297)),N(E241)=0),"",E242*E297/E241),"")</f>
        <v/>
      </c>
      <c r="F303" s="48" t="str">
        <f aca="false">IFERROR(IF(OR(NOT(ISNUMBER(F297)),N(F241)=0),"",F242*F297/F241),"")</f>
        <v/>
      </c>
      <c r="G303" s="48" t="str">
        <f aca="false">IFERROR(IF(OR(NOT(ISNUMBER(G297)),N(G241)=0),"",G242*G297/G241),"")</f>
        <v/>
      </c>
      <c r="H303" s="48" t="str">
        <f aca="false">IFERROR(IF(OR(NOT(ISNUMBER(H297)),N(H241)=0),"",H242*H297/H241),"")</f>
        <v/>
      </c>
      <c r="I303" s="48" t="str">
        <f aca="false">IFERROR(IF(OR(NOT(ISNUMBER(I297)),N(I241)=0),"",I242*I297/I241),"")</f>
        <v/>
      </c>
      <c r="J303" s="48" t="str">
        <f aca="false">IFERROR(IF(OR(NOT(ISNUMBER(J297)),N(J241)=0),"",J242*J297/J241),"")</f>
        <v/>
      </c>
      <c r="K303" s="48" t="str">
        <f aca="false">IFERROR(IF(OR(NOT(ISNUMBER(K297)),N(K241)=0),"",K242*K297/K241),"")</f>
        <v/>
      </c>
      <c r="L303" s="48" t="str">
        <f aca="false">IFERROR(IF(OR(NOT(ISNUMBER(L297)),N(L241)=0),"",L242*L297/L241),"")</f>
        <v/>
      </c>
      <c r="M303" s="48" t="str">
        <f aca="false">IFERROR(IF(OR(NOT(ISNUMBER(M297)),N(M241)=0),"",M242*M297/M241),"")</f>
        <v/>
      </c>
      <c r="N303" s="48" t="str">
        <f aca="false">IFERROR(IF(OR(NOT(ISNUMBER(N297)),N(N241)=0),"",N242*N297/N241),"")</f>
        <v/>
      </c>
      <c r="O303" s="54" t="str">
        <f aca="false">IF(COUNT(D303:N303)=0,"",SUM(D303:N303))</f>
        <v/>
      </c>
    </row>
    <row r="304" customFormat="false" ht="15" hidden="true" customHeight="false" outlineLevel="1" collapsed="false">
      <c r="A304" s="11" t="s">
        <v>2433</v>
      </c>
      <c r="B304" s="15" t="s">
        <v>2378</v>
      </c>
      <c r="C304" s="11" t="s">
        <v>508</v>
      </c>
      <c r="D304" s="48" t="str">
        <f aca="false">IFERROR(IF(COUNT(D297,D303)=0,"",N(D297)+N(D303)),"")</f>
        <v/>
      </c>
      <c r="E304" s="48" t="str">
        <f aca="false">IFERROR(IF(COUNT(E297,E303)=0,"",N(E297)+N(E303)),"")</f>
        <v/>
      </c>
      <c r="F304" s="48" t="str">
        <f aca="false">IFERROR(IF(COUNT(F297,F303)=0,"",N(F297)+N(F303)),"")</f>
        <v/>
      </c>
      <c r="G304" s="48" t="str">
        <f aca="false">IFERROR(IF(COUNT(G297,G303)=0,"",N(G297)+N(G303)),"")</f>
        <v/>
      </c>
      <c r="H304" s="48" t="str">
        <f aca="false">IFERROR(IF(COUNT(H297,H303)=0,"",N(H297)+N(H303)),"")</f>
        <v/>
      </c>
      <c r="I304" s="48" t="str">
        <f aca="false">IFERROR(IF(COUNT(I297,I303)=0,"",N(I297)+N(I303)),"")</f>
        <v/>
      </c>
      <c r="J304" s="48" t="str">
        <f aca="false">IFERROR(IF(COUNT(J297,J303)=0,"",N(J297)+N(J303)),"")</f>
        <v/>
      </c>
      <c r="K304" s="48" t="str">
        <f aca="false">IFERROR(IF(COUNT(K297,K303)=0,"",N(K297)+N(K303)),"")</f>
        <v/>
      </c>
      <c r="L304" s="48" t="str">
        <f aca="false">IFERROR(IF(COUNT(L297,L303)=0,"",N(L297)+N(L303)),"")</f>
        <v/>
      </c>
      <c r="M304" s="48" t="str">
        <f aca="false">IFERROR(IF(COUNT(M297,M303)=0,"",N(M297)+N(M303)),"")</f>
        <v/>
      </c>
      <c r="N304" s="48" t="str">
        <f aca="false">IFERROR(IF(COUNT(N297,N303)=0,"",N(N297)+N(N303)),"")</f>
        <v/>
      </c>
      <c r="O304" s="54" t="str">
        <f aca="false">IF(COUNT(D304:N304)=0,"",SUM(D304:N304))</f>
        <v/>
      </c>
    </row>
    <row r="305" customFormat="false" ht="15" hidden="true" customHeight="false" outlineLevel="1" collapsed="false">
      <c r="A305" s="11" t="s">
        <v>2434</v>
      </c>
      <c r="B305" s="15" t="s">
        <v>2380</v>
      </c>
      <c r="C305" s="11" t="s">
        <v>748</v>
      </c>
      <c r="D305" s="50" t="str">
        <f aca="false">IFERROR(IF(OR(NOT(ISNUMBER(D304)),N(D298)=0),"",D304/D298),"")</f>
        <v/>
      </c>
      <c r="E305" s="50" t="str">
        <f aca="false">IFERROR(IF(OR(NOT(ISNUMBER(E304)),N(E298)=0),"",E304/E298),"")</f>
        <v/>
      </c>
      <c r="F305" s="50" t="str">
        <f aca="false">IFERROR(IF(OR(NOT(ISNUMBER(F304)),N(F298)=0),"",F304/F298),"")</f>
        <v/>
      </c>
      <c r="G305" s="50" t="str">
        <f aca="false">IFERROR(IF(OR(NOT(ISNUMBER(G304)),N(G298)=0),"",G304/G298),"")</f>
        <v/>
      </c>
      <c r="H305" s="50" t="str">
        <f aca="false">IFERROR(IF(OR(NOT(ISNUMBER(H304)),N(H298)=0),"",H304/H298),"")</f>
        <v/>
      </c>
      <c r="I305" s="50" t="str">
        <f aca="false">IFERROR(IF(OR(NOT(ISNUMBER(I304)),N(I298)=0),"",I304/I298),"")</f>
        <v/>
      </c>
      <c r="J305" s="50" t="str">
        <f aca="false">IFERROR(IF(OR(NOT(ISNUMBER(J304)),N(J298)=0),"",J304/J298),"")</f>
        <v/>
      </c>
      <c r="K305" s="50" t="str">
        <f aca="false">IFERROR(IF(OR(NOT(ISNUMBER(K304)),N(K298)=0),"",K304/K298),"")</f>
        <v/>
      </c>
      <c r="L305" s="50" t="str">
        <f aca="false">IFERROR(IF(OR(NOT(ISNUMBER(L304)),N(L298)=0),"",L304/L298),"")</f>
        <v/>
      </c>
      <c r="M305" s="50" t="str">
        <f aca="false">IFERROR(IF(OR(NOT(ISNUMBER(M304)),N(M298)=0),"",M304/M298),"")</f>
        <v/>
      </c>
      <c r="N305" s="50" t="str">
        <f aca="false">IFERROR(IF(OR(NOT(ISNUMBER(N304)),N(N298)=0),"",N304/N298),"")</f>
        <v/>
      </c>
      <c r="O305" s="68" t="str">
        <f aca="false">IFERROR(IF(OR(NOT(ISNUMBER(O304)),N(O298)=0),"",O304/O298),"")</f>
        <v/>
      </c>
    </row>
    <row r="306" customFormat="false" ht="15" hidden="true" customHeight="false" outlineLevel="1" collapsed="false">
      <c r="A306" s="11" t="s">
        <v>2435</v>
      </c>
      <c r="B306" s="53" t="str">
        <f aca="false">IF(INDEX(Prod_Nombre,8)="","Producto 8",INDEX(Prod_Nombre,8))&amp;" — costo directo"</f>
        <v>Producto 8 — costo directo</v>
      </c>
      <c r="C306" s="11" t="s">
        <v>508</v>
      </c>
      <c r="D306" s="37"/>
      <c r="E306" s="37"/>
      <c r="F306" s="37"/>
      <c r="G306" s="37"/>
      <c r="H306" s="37"/>
      <c r="I306" s="37"/>
      <c r="J306" s="37"/>
      <c r="K306" s="37"/>
      <c r="L306" s="37"/>
      <c r="M306" s="37"/>
      <c r="N306" s="37"/>
      <c r="O306" s="54" t="str">
        <f aca="false">IF(COUNT(D306:N306)=0,"",SUM(D306:N306))</f>
        <v/>
      </c>
    </row>
    <row r="307" customFormat="false" ht="15" hidden="true" customHeight="false" outlineLevel="1" collapsed="false">
      <c r="A307" s="11" t="s">
        <v>2436</v>
      </c>
      <c r="B307" s="15" t="s">
        <v>2366</v>
      </c>
      <c r="C307" s="11" t="s">
        <v>544</v>
      </c>
      <c r="D307" s="37"/>
      <c r="E307" s="37"/>
      <c r="F307" s="37"/>
      <c r="G307" s="37"/>
      <c r="H307" s="37"/>
      <c r="I307" s="37"/>
      <c r="J307" s="37"/>
      <c r="K307" s="37"/>
      <c r="L307" s="37"/>
      <c r="M307" s="37"/>
      <c r="N307" s="37"/>
      <c r="O307" s="54" t="str">
        <f aca="false">IF(COUNT(D307:N307)=0,"",SUM(D307:N307))</f>
        <v/>
      </c>
    </row>
    <row r="308" customFormat="false" ht="15" hidden="true" customHeight="false" outlineLevel="1" collapsed="false">
      <c r="A308" s="11" t="s">
        <v>2437</v>
      </c>
      <c r="B308" s="15" t="s">
        <v>2368</v>
      </c>
      <c r="C308" s="11" t="s">
        <v>508</v>
      </c>
      <c r="D308" s="37"/>
      <c r="E308" s="37"/>
      <c r="F308" s="37"/>
      <c r="G308" s="37"/>
      <c r="H308" s="37"/>
      <c r="I308" s="37"/>
      <c r="J308" s="37"/>
      <c r="K308" s="37"/>
      <c r="L308" s="37"/>
      <c r="M308" s="37"/>
      <c r="N308" s="37"/>
      <c r="O308" s="54" t="str">
        <f aca="false">IF(COUNT(D308:N308)=0,"",SUM(D308:N308))</f>
        <v/>
      </c>
    </row>
    <row r="309" customFormat="false" ht="15" hidden="true" customHeight="false" outlineLevel="1" collapsed="false">
      <c r="A309" s="11" t="s">
        <v>2438</v>
      </c>
      <c r="B309" s="15" t="s">
        <v>2370</v>
      </c>
      <c r="C309" s="11" t="s">
        <v>748</v>
      </c>
      <c r="D309" s="50" t="str">
        <f aca="false">IFERROR(IF(OR(NOT(ISNUMBER(D306)),N(D307)=0),"",D306/D307),"")</f>
        <v/>
      </c>
      <c r="E309" s="50" t="str">
        <f aca="false">IFERROR(IF(OR(NOT(ISNUMBER(E306)),N(E307)=0),"",E306/E307),"")</f>
        <v/>
      </c>
      <c r="F309" s="50" t="str">
        <f aca="false">IFERROR(IF(OR(NOT(ISNUMBER(F306)),N(F307)=0),"",F306/F307),"")</f>
        <v/>
      </c>
      <c r="G309" s="50" t="str">
        <f aca="false">IFERROR(IF(OR(NOT(ISNUMBER(G306)),N(G307)=0),"",G306/G307),"")</f>
        <v/>
      </c>
      <c r="H309" s="50" t="str">
        <f aca="false">IFERROR(IF(OR(NOT(ISNUMBER(H306)),N(H307)=0),"",H306/H307),"")</f>
        <v/>
      </c>
      <c r="I309" s="50" t="str">
        <f aca="false">IFERROR(IF(OR(NOT(ISNUMBER(I306)),N(I307)=0),"",I306/I307),"")</f>
        <v/>
      </c>
      <c r="J309" s="50" t="str">
        <f aca="false">IFERROR(IF(OR(NOT(ISNUMBER(J306)),N(J307)=0),"",J306/J307),"")</f>
        <v/>
      </c>
      <c r="K309" s="50" t="str">
        <f aca="false">IFERROR(IF(OR(NOT(ISNUMBER(K306)),N(K307)=0),"",K306/K307),"")</f>
        <v/>
      </c>
      <c r="L309" s="50" t="str">
        <f aca="false">IFERROR(IF(OR(NOT(ISNUMBER(L306)),N(L307)=0),"",L306/L307),"")</f>
        <v/>
      </c>
      <c r="M309" s="50" t="str">
        <f aca="false">IFERROR(IF(OR(NOT(ISNUMBER(M306)),N(M307)=0),"",M306/M307),"")</f>
        <v/>
      </c>
      <c r="N309" s="50" t="str">
        <f aca="false">IFERROR(IF(OR(NOT(ISNUMBER(N306)),N(N307)=0),"",N306/N307),"")</f>
        <v/>
      </c>
      <c r="O309" s="68" t="str">
        <f aca="false">IFERROR(IF(OR(NOT(ISNUMBER(O306)),N(O307)=0),"",O306/O307),"")</f>
        <v/>
      </c>
    </row>
    <row r="310" customFormat="false" ht="15" hidden="true" customHeight="false" outlineLevel="1" collapsed="false">
      <c r="A310" s="11" t="s">
        <v>2439</v>
      </c>
      <c r="B310" s="15" t="s">
        <v>2372</v>
      </c>
      <c r="C310" s="11" t="s">
        <v>748</v>
      </c>
      <c r="D310" s="50" t="str">
        <f aca="false">IFERROR(IF(N(D307)=0,"",(D308-D306)/D307),"")</f>
        <v/>
      </c>
      <c r="E310" s="50" t="str">
        <f aca="false">IFERROR(IF(N(E307)=0,"",(E308-E306)/E307),"")</f>
        <v/>
      </c>
      <c r="F310" s="50" t="str">
        <f aca="false">IFERROR(IF(N(F307)=0,"",(F308-F306)/F307),"")</f>
        <v/>
      </c>
      <c r="G310" s="50" t="str">
        <f aca="false">IFERROR(IF(N(G307)=0,"",(G308-G306)/G307),"")</f>
        <v/>
      </c>
      <c r="H310" s="50" t="str">
        <f aca="false">IFERROR(IF(N(H307)=0,"",(H308-H306)/H307),"")</f>
        <v/>
      </c>
      <c r="I310" s="50" t="str">
        <f aca="false">IFERROR(IF(N(I307)=0,"",(I308-I306)/I307),"")</f>
        <v/>
      </c>
      <c r="J310" s="50" t="str">
        <f aca="false">IFERROR(IF(N(J307)=0,"",(J308-J306)/J307),"")</f>
        <v/>
      </c>
      <c r="K310" s="50" t="str">
        <f aca="false">IFERROR(IF(N(K307)=0,"",(K308-K306)/K307),"")</f>
        <v/>
      </c>
      <c r="L310" s="50" t="str">
        <f aca="false">IFERROR(IF(N(L307)=0,"",(L308-L306)/L307),"")</f>
        <v/>
      </c>
      <c r="M310" s="50" t="str">
        <f aca="false">IFERROR(IF(N(M307)=0,"",(M308-M306)/M307),"")</f>
        <v/>
      </c>
      <c r="N310" s="50" t="str">
        <f aca="false">IFERROR(IF(N(N307)=0,"",(N308-N306)/N307),"")</f>
        <v/>
      </c>
      <c r="O310" s="68" t="str">
        <f aca="false">IFERROR(IF(N(O307)=0,"",(O308-O306)/O307),"")</f>
        <v/>
      </c>
    </row>
    <row r="311" customFormat="false" ht="15" hidden="true" customHeight="false" outlineLevel="1" collapsed="false">
      <c r="A311" s="11" t="s">
        <v>2440</v>
      </c>
      <c r="B311" s="15" t="s">
        <v>2374</v>
      </c>
      <c r="C311" s="11" t="s">
        <v>367</v>
      </c>
      <c r="D311" s="49" t="str">
        <f aca="false">IFERROR(IF(N(D308)=0,"",1-D306/D308),"")</f>
        <v/>
      </c>
      <c r="E311" s="49" t="str">
        <f aca="false">IFERROR(IF(N(E308)=0,"",1-E306/E308),"")</f>
        <v/>
      </c>
      <c r="F311" s="49" t="str">
        <f aca="false">IFERROR(IF(N(F308)=0,"",1-F306/F308),"")</f>
        <v/>
      </c>
      <c r="G311" s="49" t="str">
        <f aca="false">IFERROR(IF(N(G308)=0,"",1-G306/G308),"")</f>
        <v/>
      </c>
      <c r="H311" s="49" t="str">
        <f aca="false">IFERROR(IF(N(H308)=0,"",1-H306/H308),"")</f>
        <v/>
      </c>
      <c r="I311" s="49" t="str">
        <f aca="false">IFERROR(IF(N(I308)=0,"",1-I306/I308),"")</f>
        <v/>
      </c>
      <c r="J311" s="49" t="str">
        <f aca="false">IFERROR(IF(N(J308)=0,"",1-J306/J308),"")</f>
        <v/>
      </c>
      <c r="K311" s="49" t="str">
        <f aca="false">IFERROR(IF(N(K308)=0,"",1-K306/K308),"")</f>
        <v/>
      </c>
      <c r="L311" s="49" t="str">
        <f aca="false">IFERROR(IF(N(L308)=0,"",1-L306/L308),"")</f>
        <v/>
      </c>
      <c r="M311" s="49" t="str">
        <f aca="false">IFERROR(IF(N(M308)=0,"",1-M306/M308),"")</f>
        <v/>
      </c>
      <c r="N311" s="49" t="str">
        <f aca="false">IFERROR(IF(N(N308)=0,"",1-N306/N308),"")</f>
        <v/>
      </c>
      <c r="O311" s="99" t="str">
        <f aca="false">IFERROR(IF(N(O308)=0,"",1-O306/O308),"")</f>
        <v/>
      </c>
    </row>
    <row r="312" customFormat="false" ht="15" hidden="true" customHeight="false" outlineLevel="1" collapsed="false">
      <c r="A312" s="11" t="s">
        <v>2441</v>
      </c>
      <c r="B312" s="15" t="s">
        <v>2376</v>
      </c>
      <c r="C312" s="11" t="s">
        <v>508</v>
      </c>
      <c r="D312" s="48" t="str">
        <f aca="false">IFERROR(IF(OR(NOT(ISNUMBER(D306)),N(D241)=0),"",D242*D306/D241),"")</f>
        <v/>
      </c>
      <c r="E312" s="48" t="str">
        <f aca="false">IFERROR(IF(OR(NOT(ISNUMBER(E306)),N(E241)=0),"",E242*E306/E241),"")</f>
        <v/>
      </c>
      <c r="F312" s="48" t="str">
        <f aca="false">IFERROR(IF(OR(NOT(ISNUMBER(F306)),N(F241)=0),"",F242*F306/F241),"")</f>
        <v/>
      </c>
      <c r="G312" s="48" t="str">
        <f aca="false">IFERROR(IF(OR(NOT(ISNUMBER(G306)),N(G241)=0),"",G242*G306/G241),"")</f>
        <v/>
      </c>
      <c r="H312" s="48" t="str">
        <f aca="false">IFERROR(IF(OR(NOT(ISNUMBER(H306)),N(H241)=0),"",H242*H306/H241),"")</f>
        <v/>
      </c>
      <c r="I312" s="48" t="str">
        <f aca="false">IFERROR(IF(OR(NOT(ISNUMBER(I306)),N(I241)=0),"",I242*I306/I241),"")</f>
        <v/>
      </c>
      <c r="J312" s="48" t="str">
        <f aca="false">IFERROR(IF(OR(NOT(ISNUMBER(J306)),N(J241)=0),"",J242*J306/J241),"")</f>
        <v/>
      </c>
      <c r="K312" s="48" t="str">
        <f aca="false">IFERROR(IF(OR(NOT(ISNUMBER(K306)),N(K241)=0),"",K242*K306/K241),"")</f>
        <v/>
      </c>
      <c r="L312" s="48" t="str">
        <f aca="false">IFERROR(IF(OR(NOT(ISNUMBER(L306)),N(L241)=0),"",L242*L306/L241),"")</f>
        <v/>
      </c>
      <c r="M312" s="48" t="str">
        <f aca="false">IFERROR(IF(OR(NOT(ISNUMBER(M306)),N(M241)=0),"",M242*M306/M241),"")</f>
        <v/>
      </c>
      <c r="N312" s="48" t="str">
        <f aca="false">IFERROR(IF(OR(NOT(ISNUMBER(N306)),N(N241)=0),"",N242*N306/N241),"")</f>
        <v/>
      </c>
      <c r="O312" s="54" t="str">
        <f aca="false">IF(COUNT(D312:N312)=0,"",SUM(D312:N312))</f>
        <v/>
      </c>
    </row>
    <row r="313" customFormat="false" ht="15" hidden="true" customHeight="false" outlineLevel="1" collapsed="false">
      <c r="A313" s="11" t="s">
        <v>2442</v>
      </c>
      <c r="B313" s="15" t="s">
        <v>2378</v>
      </c>
      <c r="C313" s="11" t="s">
        <v>508</v>
      </c>
      <c r="D313" s="48" t="str">
        <f aca="false">IFERROR(IF(COUNT(D306,D312)=0,"",N(D306)+N(D312)),"")</f>
        <v/>
      </c>
      <c r="E313" s="48" t="str">
        <f aca="false">IFERROR(IF(COUNT(E306,E312)=0,"",N(E306)+N(E312)),"")</f>
        <v/>
      </c>
      <c r="F313" s="48" t="str">
        <f aca="false">IFERROR(IF(COUNT(F306,F312)=0,"",N(F306)+N(F312)),"")</f>
        <v/>
      </c>
      <c r="G313" s="48" t="str">
        <f aca="false">IFERROR(IF(COUNT(G306,G312)=0,"",N(G306)+N(G312)),"")</f>
        <v/>
      </c>
      <c r="H313" s="48" t="str">
        <f aca="false">IFERROR(IF(COUNT(H306,H312)=0,"",N(H306)+N(H312)),"")</f>
        <v/>
      </c>
      <c r="I313" s="48" t="str">
        <f aca="false">IFERROR(IF(COUNT(I306,I312)=0,"",N(I306)+N(I312)),"")</f>
        <v/>
      </c>
      <c r="J313" s="48" t="str">
        <f aca="false">IFERROR(IF(COUNT(J306,J312)=0,"",N(J306)+N(J312)),"")</f>
        <v/>
      </c>
      <c r="K313" s="48" t="str">
        <f aca="false">IFERROR(IF(COUNT(K306,K312)=0,"",N(K306)+N(K312)),"")</f>
        <v/>
      </c>
      <c r="L313" s="48" t="str">
        <f aca="false">IFERROR(IF(COUNT(L306,L312)=0,"",N(L306)+N(L312)),"")</f>
        <v/>
      </c>
      <c r="M313" s="48" t="str">
        <f aca="false">IFERROR(IF(COUNT(M306,M312)=0,"",N(M306)+N(M312)),"")</f>
        <v/>
      </c>
      <c r="N313" s="48" t="str">
        <f aca="false">IFERROR(IF(COUNT(N306,N312)=0,"",N(N306)+N(N312)),"")</f>
        <v/>
      </c>
      <c r="O313" s="54" t="str">
        <f aca="false">IF(COUNT(D313:N313)=0,"",SUM(D313:N313))</f>
        <v/>
      </c>
    </row>
    <row r="314" customFormat="false" ht="15" hidden="true" customHeight="false" outlineLevel="1" collapsed="false">
      <c r="A314" s="11" t="s">
        <v>2443</v>
      </c>
      <c r="B314" s="15" t="s">
        <v>2380</v>
      </c>
      <c r="C314" s="11" t="s">
        <v>748</v>
      </c>
      <c r="D314" s="50" t="str">
        <f aca="false">IFERROR(IF(OR(NOT(ISNUMBER(D313)),N(D307)=0),"",D313/D307),"")</f>
        <v/>
      </c>
      <c r="E314" s="50" t="str">
        <f aca="false">IFERROR(IF(OR(NOT(ISNUMBER(E313)),N(E307)=0),"",E313/E307),"")</f>
        <v/>
      </c>
      <c r="F314" s="50" t="str">
        <f aca="false">IFERROR(IF(OR(NOT(ISNUMBER(F313)),N(F307)=0),"",F313/F307),"")</f>
        <v/>
      </c>
      <c r="G314" s="50" t="str">
        <f aca="false">IFERROR(IF(OR(NOT(ISNUMBER(G313)),N(G307)=0),"",G313/G307),"")</f>
        <v/>
      </c>
      <c r="H314" s="50" t="str">
        <f aca="false">IFERROR(IF(OR(NOT(ISNUMBER(H313)),N(H307)=0),"",H313/H307),"")</f>
        <v/>
      </c>
      <c r="I314" s="50" t="str">
        <f aca="false">IFERROR(IF(OR(NOT(ISNUMBER(I313)),N(I307)=0),"",I313/I307),"")</f>
        <v/>
      </c>
      <c r="J314" s="50" t="str">
        <f aca="false">IFERROR(IF(OR(NOT(ISNUMBER(J313)),N(J307)=0),"",J313/J307),"")</f>
        <v/>
      </c>
      <c r="K314" s="50" t="str">
        <f aca="false">IFERROR(IF(OR(NOT(ISNUMBER(K313)),N(K307)=0),"",K313/K307),"")</f>
        <v/>
      </c>
      <c r="L314" s="50" t="str">
        <f aca="false">IFERROR(IF(OR(NOT(ISNUMBER(L313)),N(L307)=0),"",L313/L307),"")</f>
        <v/>
      </c>
      <c r="M314" s="50" t="str">
        <f aca="false">IFERROR(IF(OR(NOT(ISNUMBER(M313)),N(M307)=0),"",M313/M307),"")</f>
        <v/>
      </c>
      <c r="N314" s="50" t="str">
        <f aca="false">IFERROR(IF(OR(NOT(ISNUMBER(N313)),N(N307)=0),"",N313/N307),"")</f>
        <v/>
      </c>
      <c r="O314" s="68" t="str">
        <f aca="false">IFERROR(IF(OR(NOT(ISNUMBER(O313)),N(O307)=0),"",O313/O307),"")</f>
        <v/>
      </c>
    </row>
    <row r="315" customFormat="false" ht="15" hidden="true" customHeight="false" outlineLevel="1" collapsed="false">
      <c r="A315" s="11" t="s">
        <v>2444</v>
      </c>
      <c r="B315" s="53" t="str">
        <f aca="false">IF(INDEX(Prod_Nombre,9)="","Producto 9",INDEX(Prod_Nombre,9))&amp;" — costo directo"</f>
        <v>Producto 9 — costo directo</v>
      </c>
      <c r="C315" s="11" t="s">
        <v>508</v>
      </c>
      <c r="D315" s="37"/>
      <c r="E315" s="37"/>
      <c r="F315" s="37"/>
      <c r="G315" s="37"/>
      <c r="H315" s="37"/>
      <c r="I315" s="37"/>
      <c r="J315" s="37"/>
      <c r="K315" s="37"/>
      <c r="L315" s="37"/>
      <c r="M315" s="37"/>
      <c r="N315" s="37"/>
      <c r="O315" s="54" t="str">
        <f aca="false">IF(COUNT(D315:N315)=0,"",SUM(D315:N315))</f>
        <v/>
      </c>
    </row>
    <row r="316" customFormat="false" ht="15" hidden="true" customHeight="false" outlineLevel="1" collapsed="false">
      <c r="A316" s="11" t="s">
        <v>2445</v>
      </c>
      <c r="B316" s="15" t="s">
        <v>2366</v>
      </c>
      <c r="C316" s="11" t="s">
        <v>544</v>
      </c>
      <c r="D316" s="37"/>
      <c r="E316" s="37"/>
      <c r="F316" s="37"/>
      <c r="G316" s="37"/>
      <c r="H316" s="37"/>
      <c r="I316" s="37"/>
      <c r="J316" s="37"/>
      <c r="K316" s="37"/>
      <c r="L316" s="37"/>
      <c r="M316" s="37"/>
      <c r="N316" s="37"/>
      <c r="O316" s="54" t="str">
        <f aca="false">IF(COUNT(D316:N316)=0,"",SUM(D316:N316))</f>
        <v/>
      </c>
    </row>
    <row r="317" customFormat="false" ht="15" hidden="true" customHeight="false" outlineLevel="1" collapsed="false">
      <c r="A317" s="11" t="s">
        <v>2446</v>
      </c>
      <c r="B317" s="15" t="s">
        <v>2368</v>
      </c>
      <c r="C317" s="11" t="s">
        <v>508</v>
      </c>
      <c r="D317" s="37"/>
      <c r="E317" s="37"/>
      <c r="F317" s="37"/>
      <c r="G317" s="37"/>
      <c r="H317" s="37"/>
      <c r="I317" s="37"/>
      <c r="J317" s="37"/>
      <c r="K317" s="37"/>
      <c r="L317" s="37"/>
      <c r="M317" s="37"/>
      <c r="N317" s="37"/>
      <c r="O317" s="54" t="str">
        <f aca="false">IF(COUNT(D317:N317)=0,"",SUM(D317:N317))</f>
        <v/>
      </c>
    </row>
    <row r="318" customFormat="false" ht="15" hidden="true" customHeight="false" outlineLevel="1" collapsed="false">
      <c r="A318" s="11" t="s">
        <v>2447</v>
      </c>
      <c r="B318" s="15" t="s">
        <v>2370</v>
      </c>
      <c r="C318" s="11" t="s">
        <v>748</v>
      </c>
      <c r="D318" s="50" t="str">
        <f aca="false">IFERROR(IF(OR(NOT(ISNUMBER(D315)),N(D316)=0),"",D315/D316),"")</f>
        <v/>
      </c>
      <c r="E318" s="50" t="str">
        <f aca="false">IFERROR(IF(OR(NOT(ISNUMBER(E315)),N(E316)=0),"",E315/E316),"")</f>
        <v/>
      </c>
      <c r="F318" s="50" t="str">
        <f aca="false">IFERROR(IF(OR(NOT(ISNUMBER(F315)),N(F316)=0),"",F315/F316),"")</f>
        <v/>
      </c>
      <c r="G318" s="50" t="str">
        <f aca="false">IFERROR(IF(OR(NOT(ISNUMBER(G315)),N(G316)=0),"",G315/G316),"")</f>
        <v/>
      </c>
      <c r="H318" s="50" t="str">
        <f aca="false">IFERROR(IF(OR(NOT(ISNUMBER(H315)),N(H316)=0),"",H315/H316),"")</f>
        <v/>
      </c>
      <c r="I318" s="50" t="str">
        <f aca="false">IFERROR(IF(OR(NOT(ISNUMBER(I315)),N(I316)=0),"",I315/I316),"")</f>
        <v/>
      </c>
      <c r="J318" s="50" t="str">
        <f aca="false">IFERROR(IF(OR(NOT(ISNUMBER(J315)),N(J316)=0),"",J315/J316),"")</f>
        <v/>
      </c>
      <c r="K318" s="50" t="str">
        <f aca="false">IFERROR(IF(OR(NOT(ISNUMBER(K315)),N(K316)=0),"",K315/K316),"")</f>
        <v/>
      </c>
      <c r="L318" s="50" t="str">
        <f aca="false">IFERROR(IF(OR(NOT(ISNUMBER(L315)),N(L316)=0),"",L315/L316),"")</f>
        <v/>
      </c>
      <c r="M318" s="50" t="str">
        <f aca="false">IFERROR(IF(OR(NOT(ISNUMBER(M315)),N(M316)=0),"",M315/M316),"")</f>
        <v/>
      </c>
      <c r="N318" s="50" t="str">
        <f aca="false">IFERROR(IF(OR(NOT(ISNUMBER(N315)),N(N316)=0),"",N315/N316),"")</f>
        <v/>
      </c>
      <c r="O318" s="68" t="str">
        <f aca="false">IFERROR(IF(OR(NOT(ISNUMBER(O315)),N(O316)=0),"",O315/O316),"")</f>
        <v/>
      </c>
    </row>
    <row r="319" customFormat="false" ht="15" hidden="true" customHeight="false" outlineLevel="1" collapsed="false">
      <c r="A319" s="11" t="s">
        <v>2448</v>
      </c>
      <c r="B319" s="15" t="s">
        <v>2372</v>
      </c>
      <c r="C319" s="11" t="s">
        <v>748</v>
      </c>
      <c r="D319" s="50" t="str">
        <f aca="false">IFERROR(IF(N(D316)=0,"",(D317-D315)/D316),"")</f>
        <v/>
      </c>
      <c r="E319" s="50" t="str">
        <f aca="false">IFERROR(IF(N(E316)=0,"",(E317-E315)/E316),"")</f>
        <v/>
      </c>
      <c r="F319" s="50" t="str">
        <f aca="false">IFERROR(IF(N(F316)=0,"",(F317-F315)/F316),"")</f>
        <v/>
      </c>
      <c r="G319" s="50" t="str">
        <f aca="false">IFERROR(IF(N(G316)=0,"",(G317-G315)/G316),"")</f>
        <v/>
      </c>
      <c r="H319" s="50" t="str">
        <f aca="false">IFERROR(IF(N(H316)=0,"",(H317-H315)/H316),"")</f>
        <v/>
      </c>
      <c r="I319" s="50" t="str">
        <f aca="false">IFERROR(IF(N(I316)=0,"",(I317-I315)/I316),"")</f>
        <v/>
      </c>
      <c r="J319" s="50" t="str">
        <f aca="false">IFERROR(IF(N(J316)=0,"",(J317-J315)/J316),"")</f>
        <v/>
      </c>
      <c r="K319" s="50" t="str">
        <f aca="false">IFERROR(IF(N(K316)=0,"",(K317-K315)/K316),"")</f>
        <v/>
      </c>
      <c r="L319" s="50" t="str">
        <f aca="false">IFERROR(IF(N(L316)=0,"",(L317-L315)/L316),"")</f>
        <v/>
      </c>
      <c r="M319" s="50" t="str">
        <f aca="false">IFERROR(IF(N(M316)=0,"",(M317-M315)/M316),"")</f>
        <v/>
      </c>
      <c r="N319" s="50" t="str">
        <f aca="false">IFERROR(IF(N(N316)=0,"",(N317-N315)/N316),"")</f>
        <v/>
      </c>
      <c r="O319" s="68" t="str">
        <f aca="false">IFERROR(IF(N(O316)=0,"",(O317-O315)/O316),"")</f>
        <v/>
      </c>
    </row>
    <row r="320" customFormat="false" ht="15" hidden="true" customHeight="false" outlineLevel="1" collapsed="false">
      <c r="A320" s="11" t="s">
        <v>2449</v>
      </c>
      <c r="B320" s="15" t="s">
        <v>2374</v>
      </c>
      <c r="C320" s="11" t="s">
        <v>367</v>
      </c>
      <c r="D320" s="49" t="str">
        <f aca="false">IFERROR(IF(N(D317)=0,"",1-D315/D317),"")</f>
        <v/>
      </c>
      <c r="E320" s="49" t="str">
        <f aca="false">IFERROR(IF(N(E317)=0,"",1-E315/E317),"")</f>
        <v/>
      </c>
      <c r="F320" s="49" t="str">
        <f aca="false">IFERROR(IF(N(F317)=0,"",1-F315/F317),"")</f>
        <v/>
      </c>
      <c r="G320" s="49" t="str">
        <f aca="false">IFERROR(IF(N(G317)=0,"",1-G315/G317),"")</f>
        <v/>
      </c>
      <c r="H320" s="49" t="str">
        <f aca="false">IFERROR(IF(N(H317)=0,"",1-H315/H317),"")</f>
        <v/>
      </c>
      <c r="I320" s="49" t="str">
        <f aca="false">IFERROR(IF(N(I317)=0,"",1-I315/I317),"")</f>
        <v/>
      </c>
      <c r="J320" s="49" t="str">
        <f aca="false">IFERROR(IF(N(J317)=0,"",1-J315/J317),"")</f>
        <v/>
      </c>
      <c r="K320" s="49" t="str">
        <f aca="false">IFERROR(IF(N(K317)=0,"",1-K315/K317),"")</f>
        <v/>
      </c>
      <c r="L320" s="49" t="str">
        <f aca="false">IFERROR(IF(N(L317)=0,"",1-L315/L317),"")</f>
        <v/>
      </c>
      <c r="M320" s="49" t="str">
        <f aca="false">IFERROR(IF(N(M317)=0,"",1-M315/M317),"")</f>
        <v/>
      </c>
      <c r="N320" s="49" t="str">
        <f aca="false">IFERROR(IF(N(N317)=0,"",1-N315/N317),"")</f>
        <v/>
      </c>
      <c r="O320" s="99" t="str">
        <f aca="false">IFERROR(IF(N(O317)=0,"",1-O315/O317),"")</f>
        <v/>
      </c>
    </row>
    <row r="321" customFormat="false" ht="15" hidden="true" customHeight="false" outlineLevel="1" collapsed="false">
      <c r="A321" s="11" t="s">
        <v>2450</v>
      </c>
      <c r="B321" s="15" t="s">
        <v>2376</v>
      </c>
      <c r="C321" s="11" t="s">
        <v>508</v>
      </c>
      <c r="D321" s="48" t="str">
        <f aca="false">IFERROR(IF(OR(NOT(ISNUMBER(D315)),N(D241)=0),"",D242*D315/D241),"")</f>
        <v/>
      </c>
      <c r="E321" s="48" t="str">
        <f aca="false">IFERROR(IF(OR(NOT(ISNUMBER(E315)),N(E241)=0),"",E242*E315/E241),"")</f>
        <v/>
      </c>
      <c r="F321" s="48" t="str">
        <f aca="false">IFERROR(IF(OR(NOT(ISNUMBER(F315)),N(F241)=0),"",F242*F315/F241),"")</f>
        <v/>
      </c>
      <c r="G321" s="48" t="str">
        <f aca="false">IFERROR(IF(OR(NOT(ISNUMBER(G315)),N(G241)=0),"",G242*G315/G241),"")</f>
        <v/>
      </c>
      <c r="H321" s="48" t="str">
        <f aca="false">IFERROR(IF(OR(NOT(ISNUMBER(H315)),N(H241)=0),"",H242*H315/H241),"")</f>
        <v/>
      </c>
      <c r="I321" s="48" t="str">
        <f aca="false">IFERROR(IF(OR(NOT(ISNUMBER(I315)),N(I241)=0),"",I242*I315/I241),"")</f>
        <v/>
      </c>
      <c r="J321" s="48" t="str">
        <f aca="false">IFERROR(IF(OR(NOT(ISNUMBER(J315)),N(J241)=0),"",J242*J315/J241),"")</f>
        <v/>
      </c>
      <c r="K321" s="48" t="str">
        <f aca="false">IFERROR(IF(OR(NOT(ISNUMBER(K315)),N(K241)=0),"",K242*K315/K241),"")</f>
        <v/>
      </c>
      <c r="L321" s="48" t="str">
        <f aca="false">IFERROR(IF(OR(NOT(ISNUMBER(L315)),N(L241)=0),"",L242*L315/L241),"")</f>
        <v/>
      </c>
      <c r="M321" s="48" t="str">
        <f aca="false">IFERROR(IF(OR(NOT(ISNUMBER(M315)),N(M241)=0),"",M242*M315/M241),"")</f>
        <v/>
      </c>
      <c r="N321" s="48" t="str">
        <f aca="false">IFERROR(IF(OR(NOT(ISNUMBER(N315)),N(N241)=0),"",N242*N315/N241),"")</f>
        <v/>
      </c>
      <c r="O321" s="54" t="str">
        <f aca="false">IF(COUNT(D321:N321)=0,"",SUM(D321:N321))</f>
        <v/>
      </c>
    </row>
    <row r="322" customFormat="false" ht="15" hidden="true" customHeight="false" outlineLevel="1" collapsed="false">
      <c r="A322" s="11" t="s">
        <v>2451</v>
      </c>
      <c r="B322" s="15" t="s">
        <v>2378</v>
      </c>
      <c r="C322" s="11" t="s">
        <v>508</v>
      </c>
      <c r="D322" s="48" t="str">
        <f aca="false">IFERROR(IF(COUNT(D315,D321)=0,"",N(D315)+N(D321)),"")</f>
        <v/>
      </c>
      <c r="E322" s="48" t="str">
        <f aca="false">IFERROR(IF(COUNT(E315,E321)=0,"",N(E315)+N(E321)),"")</f>
        <v/>
      </c>
      <c r="F322" s="48" t="str">
        <f aca="false">IFERROR(IF(COUNT(F315,F321)=0,"",N(F315)+N(F321)),"")</f>
        <v/>
      </c>
      <c r="G322" s="48" t="str">
        <f aca="false">IFERROR(IF(COUNT(G315,G321)=0,"",N(G315)+N(G321)),"")</f>
        <v/>
      </c>
      <c r="H322" s="48" t="str">
        <f aca="false">IFERROR(IF(COUNT(H315,H321)=0,"",N(H315)+N(H321)),"")</f>
        <v/>
      </c>
      <c r="I322" s="48" t="str">
        <f aca="false">IFERROR(IF(COUNT(I315,I321)=0,"",N(I315)+N(I321)),"")</f>
        <v/>
      </c>
      <c r="J322" s="48" t="str">
        <f aca="false">IFERROR(IF(COUNT(J315,J321)=0,"",N(J315)+N(J321)),"")</f>
        <v/>
      </c>
      <c r="K322" s="48" t="str">
        <f aca="false">IFERROR(IF(COUNT(K315,K321)=0,"",N(K315)+N(K321)),"")</f>
        <v/>
      </c>
      <c r="L322" s="48" t="str">
        <f aca="false">IFERROR(IF(COUNT(L315,L321)=0,"",N(L315)+N(L321)),"")</f>
        <v/>
      </c>
      <c r="M322" s="48" t="str">
        <f aca="false">IFERROR(IF(COUNT(M315,M321)=0,"",N(M315)+N(M321)),"")</f>
        <v/>
      </c>
      <c r="N322" s="48" t="str">
        <f aca="false">IFERROR(IF(COUNT(N315,N321)=0,"",N(N315)+N(N321)),"")</f>
        <v/>
      </c>
      <c r="O322" s="54" t="str">
        <f aca="false">IF(COUNT(D322:N322)=0,"",SUM(D322:N322))</f>
        <v/>
      </c>
    </row>
    <row r="323" customFormat="false" ht="15" hidden="true" customHeight="false" outlineLevel="1" collapsed="false">
      <c r="A323" s="11" t="s">
        <v>2452</v>
      </c>
      <c r="B323" s="15" t="s">
        <v>2380</v>
      </c>
      <c r="C323" s="11" t="s">
        <v>748</v>
      </c>
      <c r="D323" s="50" t="str">
        <f aca="false">IFERROR(IF(OR(NOT(ISNUMBER(D322)),N(D316)=0),"",D322/D316),"")</f>
        <v/>
      </c>
      <c r="E323" s="50" t="str">
        <f aca="false">IFERROR(IF(OR(NOT(ISNUMBER(E322)),N(E316)=0),"",E322/E316),"")</f>
        <v/>
      </c>
      <c r="F323" s="50" t="str">
        <f aca="false">IFERROR(IF(OR(NOT(ISNUMBER(F322)),N(F316)=0),"",F322/F316),"")</f>
        <v/>
      </c>
      <c r="G323" s="50" t="str">
        <f aca="false">IFERROR(IF(OR(NOT(ISNUMBER(G322)),N(G316)=0),"",G322/G316),"")</f>
        <v/>
      </c>
      <c r="H323" s="50" t="str">
        <f aca="false">IFERROR(IF(OR(NOT(ISNUMBER(H322)),N(H316)=0),"",H322/H316),"")</f>
        <v/>
      </c>
      <c r="I323" s="50" t="str">
        <f aca="false">IFERROR(IF(OR(NOT(ISNUMBER(I322)),N(I316)=0),"",I322/I316),"")</f>
        <v/>
      </c>
      <c r="J323" s="50" t="str">
        <f aca="false">IFERROR(IF(OR(NOT(ISNUMBER(J322)),N(J316)=0),"",J322/J316),"")</f>
        <v/>
      </c>
      <c r="K323" s="50" t="str">
        <f aca="false">IFERROR(IF(OR(NOT(ISNUMBER(K322)),N(K316)=0),"",K322/K316),"")</f>
        <v/>
      </c>
      <c r="L323" s="50" t="str">
        <f aca="false">IFERROR(IF(OR(NOT(ISNUMBER(L322)),N(L316)=0),"",L322/L316),"")</f>
        <v/>
      </c>
      <c r="M323" s="50" t="str">
        <f aca="false">IFERROR(IF(OR(NOT(ISNUMBER(M322)),N(M316)=0),"",M322/M316),"")</f>
        <v/>
      </c>
      <c r="N323" s="50" t="str">
        <f aca="false">IFERROR(IF(OR(NOT(ISNUMBER(N322)),N(N316)=0),"",N322/N316),"")</f>
        <v/>
      </c>
      <c r="O323" s="68" t="str">
        <f aca="false">IFERROR(IF(OR(NOT(ISNUMBER(O322)),N(O316)=0),"",O322/O316),"")</f>
        <v/>
      </c>
    </row>
    <row r="324" customFormat="false" ht="15" hidden="true" customHeight="false" outlineLevel="1" collapsed="false">
      <c r="A324" s="11" t="s">
        <v>2453</v>
      </c>
      <c r="B324" s="53" t="str">
        <f aca="false">IF(INDEX(Prod_Nombre,10)="","Producto 10",INDEX(Prod_Nombre,10))&amp;" — costo directo"</f>
        <v>Producto 10 — costo directo</v>
      </c>
      <c r="C324" s="11" t="s">
        <v>508</v>
      </c>
      <c r="D324" s="37"/>
      <c r="E324" s="37"/>
      <c r="F324" s="37"/>
      <c r="G324" s="37"/>
      <c r="H324" s="37"/>
      <c r="I324" s="37"/>
      <c r="J324" s="37"/>
      <c r="K324" s="37"/>
      <c r="L324" s="37"/>
      <c r="M324" s="37"/>
      <c r="N324" s="37"/>
      <c r="O324" s="54" t="str">
        <f aca="false">IF(COUNT(D324:N324)=0,"",SUM(D324:N324))</f>
        <v/>
      </c>
    </row>
    <row r="325" customFormat="false" ht="15" hidden="true" customHeight="false" outlineLevel="1" collapsed="false">
      <c r="A325" s="11" t="s">
        <v>2454</v>
      </c>
      <c r="B325" s="15" t="s">
        <v>2366</v>
      </c>
      <c r="C325" s="11" t="s">
        <v>544</v>
      </c>
      <c r="D325" s="37"/>
      <c r="E325" s="37"/>
      <c r="F325" s="37"/>
      <c r="G325" s="37"/>
      <c r="H325" s="37"/>
      <c r="I325" s="37"/>
      <c r="J325" s="37"/>
      <c r="K325" s="37"/>
      <c r="L325" s="37"/>
      <c r="M325" s="37"/>
      <c r="N325" s="37"/>
      <c r="O325" s="54" t="str">
        <f aca="false">IF(COUNT(D325:N325)=0,"",SUM(D325:N325))</f>
        <v/>
      </c>
    </row>
    <row r="326" customFormat="false" ht="15" hidden="true" customHeight="false" outlineLevel="1" collapsed="false">
      <c r="A326" s="11" t="s">
        <v>2455</v>
      </c>
      <c r="B326" s="15" t="s">
        <v>2368</v>
      </c>
      <c r="C326" s="11" t="s">
        <v>508</v>
      </c>
      <c r="D326" s="37"/>
      <c r="E326" s="37"/>
      <c r="F326" s="37"/>
      <c r="G326" s="37"/>
      <c r="H326" s="37"/>
      <c r="I326" s="37"/>
      <c r="J326" s="37"/>
      <c r="K326" s="37"/>
      <c r="L326" s="37"/>
      <c r="M326" s="37"/>
      <c r="N326" s="37"/>
      <c r="O326" s="54" t="str">
        <f aca="false">IF(COUNT(D326:N326)=0,"",SUM(D326:N326))</f>
        <v/>
      </c>
    </row>
    <row r="327" customFormat="false" ht="15" hidden="true" customHeight="false" outlineLevel="1" collapsed="false">
      <c r="A327" s="11" t="s">
        <v>2456</v>
      </c>
      <c r="B327" s="15" t="s">
        <v>2370</v>
      </c>
      <c r="C327" s="11" t="s">
        <v>748</v>
      </c>
      <c r="D327" s="50" t="str">
        <f aca="false">IFERROR(IF(OR(NOT(ISNUMBER(D324)),N(D325)=0),"",D324/D325),"")</f>
        <v/>
      </c>
      <c r="E327" s="50" t="str">
        <f aca="false">IFERROR(IF(OR(NOT(ISNUMBER(E324)),N(E325)=0),"",E324/E325),"")</f>
        <v/>
      </c>
      <c r="F327" s="50" t="str">
        <f aca="false">IFERROR(IF(OR(NOT(ISNUMBER(F324)),N(F325)=0),"",F324/F325),"")</f>
        <v/>
      </c>
      <c r="G327" s="50" t="str">
        <f aca="false">IFERROR(IF(OR(NOT(ISNUMBER(G324)),N(G325)=0),"",G324/G325),"")</f>
        <v/>
      </c>
      <c r="H327" s="50" t="str">
        <f aca="false">IFERROR(IF(OR(NOT(ISNUMBER(H324)),N(H325)=0),"",H324/H325),"")</f>
        <v/>
      </c>
      <c r="I327" s="50" t="str">
        <f aca="false">IFERROR(IF(OR(NOT(ISNUMBER(I324)),N(I325)=0),"",I324/I325),"")</f>
        <v/>
      </c>
      <c r="J327" s="50" t="str">
        <f aca="false">IFERROR(IF(OR(NOT(ISNUMBER(J324)),N(J325)=0),"",J324/J325),"")</f>
        <v/>
      </c>
      <c r="K327" s="50" t="str">
        <f aca="false">IFERROR(IF(OR(NOT(ISNUMBER(K324)),N(K325)=0),"",K324/K325),"")</f>
        <v/>
      </c>
      <c r="L327" s="50" t="str">
        <f aca="false">IFERROR(IF(OR(NOT(ISNUMBER(L324)),N(L325)=0),"",L324/L325),"")</f>
        <v/>
      </c>
      <c r="M327" s="50" t="str">
        <f aca="false">IFERROR(IF(OR(NOT(ISNUMBER(M324)),N(M325)=0),"",M324/M325),"")</f>
        <v/>
      </c>
      <c r="N327" s="50" t="str">
        <f aca="false">IFERROR(IF(OR(NOT(ISNUMBER(N324)),N(N325)=0),"",N324/N325),"")</f>
        <v/>
      </c>
      <c r="O327" s="68" t="str">
        <f aca="false">IFERROR(IF(OR(NOT(ISNUMBER(O324)),N(O325)=0),"",O324/O325),"")</f>
        <v/>
      </c>
    </row>
    <row r="328" customFormat="false" ht="15" hidden="true" customHeight="false" outlineLevel="1" collapsed="false">
      <c r="A328" s="11" t="s">
        <v>2457</v>
      </c>
      <c r="B328" s="15" t="s">
        <v>2372</v>
      </c>
      <c r="C328" s="11" t="s">
        <v>748</v>
      </c>
      <c r="D328" s="50" t="str">
        <f aca="false">IFERROR(IF(N(D325)=0,"",(D326-D324)/D325),"")</f>
        <v/>
      </c>
      <c r="E328" s="50" t="str">
        <f aca="false">IFERROR(IF(N(E325)=0,"",(E326-E324)/E325),"")</f>
        <v/>
      </c>
      <c r="F328" s="50" t="str">
        <f aca="false">IFERROR(IF(N(F325)=0,"",(F326-F324)/F325),"")</f>
        <v/>
      </c>
      <c r="G328" s="50" t="str">
        <f aca="false">IFERROR(IF(N(G325)=0,"",(G326-G324)/G325),"")</f>
        <v/>
      </c>
      <c r="H328" s="50" t="str">
        <f aca="false">IFERROR(IF(N(H325)=0,"",(H326-H324)/H325),"")</f>
        <v/>
      </c>
      <c r="I328" s="50" t="str">
        <f aca="false">IFERROR(IF(N(I325)=0,"",(I326-I324)/I325),"")</f>
        <v/>
      </c>
      <c r="J328" s="50" t="str">
        <f aca="false">IFERROR(IF(N(J325)=0,"",(J326-J324)/J325),"")</f>
        <v/>
      </c>
      <c r="K328" s="50" t="str">
        <f aca="false">IFERROR(IF(N(K325)=0,"",(K326-K324)/K325),"")</f>
        <v/>
      </c>
      <c r="L328" s="50" t="str">
        <f aca="false">IFERROR(IF(N(L325)=0,"",(L326-L324)/L325),"")</f>
        <v/>
      </c>
      <c r="M328" s="50" t="str">
        <f aca="false">IFERROR(IF(N(M325)=0,"",(M326-M324)/M325),"")</f>
        <v/>
      </c>
      <c r="N328" s="50" t="str">
        <f aca="false">IFERROR(IF(N(N325)=0,"",(N326-N324)/N325),"")</f>
        <v/>
      </c>
      <c r="O328" s="68" t="str">
        <f aca="false">IFERROR(IF(N(O325)=0,"",(O326-O324)/O325),"")</f>
        <v/>
      </c>
    </row>
    <row r="329" customFormat="false" ht="15" hidden="true" customHeight="false" outlineLevel="1" collapsed="false">
      <c r="A329" s="11" t="s">
        <v>2458</v>
      </c>
      <c r="B329" s="15" t="s">
        <v>2374</v>
      </c>
      <c r="C329" s="11" t="s">
        <v>367</v>
      </c>
      <c r="D329" s="49" t="str">
        <f aca="false">IFERROR(IF(N(D326)=0,"",1-D324/D326),"")</f>
        <v/>
      </c>
      <c r="E329" s="49" t="str">
        <f aca="false">IFERROR(IF(N(E326)=0,"",1-E324/E326),"")</f>
        <v/>
      </c>
      <c r="F329" s="49" t="str">
        <f aca="false">IFERROR(IF(N(F326)=0,"",1-F324/F326),"")</f>
        <v/>
      </c>
      <c r="G329" s="49" t="str">
        <f aca="false">IFERROR(IF(N(G326)=0,"",1-G324/G326),"")</f>
        <v/>
      </c>
      <c r="H329" s="49" t="str">
        <f aca="false">IFERROR(IF(N(H326)=0,"",1-H324/H326),"")</f>
        <v/>
      </c>
      <c r="I329" s="49" t="str">
        <f aca="false">IFERROR(IF(N(I326)=0,"",1-I324/I326),"")</f>
        <v/>
      </c>
      <c r="J329" s="49" t="str">
        <f aca="false">IFERROR(IF(N(J326)=0,"",1-J324/J326),"")</f>
        <v/>
      </c>
      <c r="K329" s="49" t="str">
        <f aca="false">IFERROR(IF(N(K326)=0,"",1-K324/K326),"")</f>
        <v/>
      </c>
      <c r="L329" s="49" t="str">
        <f aca="false">IFERROR(IF(N(L326)=0,"",1-L324/L326),"")</f>
        <v/>
      </c>
      <c r="M329" s="49" t="str">
        <f aca="false">IFERROR(IF(N(M326)=0,"",1-M324/M326),"")</f>
        <v/>
      </c>
      <c r="N329" s="49" t="str">
        <f aca="false">IFERROR(IF(N(N326)=0,"",1-N324/N326),"")</f>
        <v/>
      </c>
      <c r="O329" s="99" t="str">
        <f aca="false">IFERROR(IF(N(O326)=0,"",1-O324/O326),"")</f>
        <v/>
      </c>
    </row>
    <row r="330" customFormat="false" ht="15" hidden="true" customHeight="false" outlineLevel="1" collapsed="false">
      <c r="A330" s="11" t="s">
        <v>2459</v>
      </c>
      <c r="B330" s="15" t="s">
        <v>2376</v>
      </c>
      <c r="C330" s="11" t="s">
        <v>508</v>
      </c>
      <c r="D330" s="48" t="str">
        <f aca="false">IFERROR(IF(OR(NOT(ISNUMBER(D324)),N(D241)=0),"",D242*D324/D241),"")</f>
        <v/>
      </c>
      <c r="E330" s="48" t="str">
        <f aca="false">IFERROR(IF(OR(NOT(ISNUMBER(E324)),N(E241)=0),"",E242*E324/E241),"")</f>
        <v/>
      </c>
      <c r="F330" s="48" t="str">
        <f aca="false">IFERROR(IF(OR(NOT(ISNUMBER(F324)),N(F241)=0),"",F242*F324/F241),"")</f>
        <v/>
      </c>
      <c r="G330" s="48" t="str">
        <f aca="false">IFERROR(IF(OR(NOT(ISNUMBER(G324)),N(G241)=0),"",G242*G324/G241),"")</f>
        <v/>
      </c>
      <c r="H330" s="48" t="str">
        <f aca="false">IFERROR(IF(OR(NOT(ISNUMBER(H324)),N(H241)=0),"",H242*H324/H241),"")</f>
        <v/>
      </c>
      <c r="I330" s="48" t="str">
        <f aca="false">IFERROR(IF(OR(NOT(ISNUMBER(I324)),N(I241)=0),"",I242*I324/I241),"")</f>
        <v/>
      </c>
      <c r="J330" s="48" t="str">
        <f aca="false">IFERROR(IF(OR(NOT(ISNUMBER(J324)),N(J241)=0),"",J242*J324/J241),"")</f>
        <v/>
      </c>
      <c r="K330" s="48" t="str">
        <f aca="false">IFERROR(IF(OR(NOT(ISNUMBER(K324)),N(K241)=0),"",K242*K324/K241),"")</f>
        <v/>
      </c>
      <c r="L330" s="48" t="str">
        <f aca="false">IFERROR(IF(OR(NOT(ISNUMBER(L324)),N(L241)=0),"",L242*L324/L241),"")</f>
        <v/>
      </c>
      <c r="M330" s="48" t="str">
        <f aca="false">IFERROR(IF(OR(NOT(ISNUMBER(M324)),N(M241)=0),"",M242*M324/M241),"")</f>
        <v/>
      </c>
      <c r="N330" s="48" t="str">
        <f aca="false">IFERROR(IF(OR(NOT(ISNUMBER(N324)),N(N241)=0),"",N242*N324/N241),"")</f>
        <v/>
      </c>
      <c r="O330" s="54" t="str">
        <f aca="false">IF(COUNT(D330:N330)=0,"",SUM(D330:N330))</f>
        <v/>
      </c>
    </row>
    <row r="331" customFormat="false" ht="15" hidden="true" customHeight="false" outlineLevel="1" collapsed="false">
      <c r="A331" s="11" t="s">
        <v>2460</v>
      </c>
      <c r="B331" s="15" t="s">
        <v>2378</v>
      </c>
      <c r="C331" s="11" t="s">
        <v>508</v>
      </c>
      <c r="D331" s="48" t="str">
        <f aca="false">IFERROR(IF(COUNT(D324,D330)=0,"",N(D324)+N(D330)),"")</f>
        <v/>
      </c>
      <c r="E331" s="48" t="str">
        <f aca="false">IFERROR(IF(COUNT(E324,E330)=0,"",N(E324)+N(E330)),"")</f>
        <v/>
      </c>
      <c r="F331" s="48" t="str">
        <f aca="false">IFERROR(IF(COUNT(F324,F330)=0,"",N(F324)+N(F330)),"")</f>
        <v/>
      </c>
      <c r="G331" s="48" t="str">
        <f aca="false">IFERROR(IF(COUNT(G324,G330)=0,"",N(G324)+N(G330)),"")</f>
        <v/>
      </c>
      <c r="H331" s="48" t="str">
        <f aca="false">IFERROR(IF(COUNT(H324,H330)=0,"",N(H324)+N(H330)),"")</f>
        <v/>
      </c>
      <c r="I331" s="48" t="str">
        <f aca="false">IFERROR(IF(COUNT(I324,I330)=0,"",N(I324)+N(I330)),"")</f>
        <v/>
      </c>
      <c r="J331" s="48" t="str">
        <f aca="false">IFERROR(IF(COUNT(J324,J330)=0,"",N(J324)+N(J330)),"")</f>
        <v/>
      </c>
      <c r="K331" s="48" t="str">
        <f aca="false">IFERROR(IF(COUNT(K324,K330)=0,"",N(K324)+N(K330)),"")</f>
        <v/>
      </c>
      <c r="L331" s="48" t="str">
        <f aca="false">IFERROR(IF(COUNT(L324,L330)=0,"",N(L324)+N(L330)),"")</f>
        <v/>
      </c>
      <c r="M331" s="48" t="str">
        <f aca="false">IFERROR(IF(COUNT(M324,M330)=0,"",N(M324)+N(M330)),"")</f>
        <v/>
      </c>
      <c r="N331" s="48" t="str">
        <f aca="false">IFERROR(IF(COUNT(N324,N330)=0,"",N(N324)+N(N330)),"")</f>
        <v/>
      </c>
      <c r="O331" s="54" t="str">
        <f aca="false">IF(COUNT(D331:N331)=0,"",SUM(D331:N331))</f>
        <v/>
      </c>
    </row>
    <row r="332" customFormat="false" ht="15" hidden="true" customHeight="false" outlineLevel="1" collapsed="false">
      <c r="A332" s="11" t="s">
        <v>2461</v>
      </c>
      <c r="B332" s="15" t="s">
        <v>2380</v>
      </c>
      <c r="C332" s="11" t="s">
        <v>748</v>
      </c>
      <c r="D332" s="50" t="str">
        <f aca="false">IFERROR(IF(OR(NOT(ISNUMBER(D331)),N(D325)=0),"",D331/D325),"")</f>
        <v/>
      </c>
      <c r="E332" s="50" t="str">
        <f aca="false">IFERROR(IF(OR(NOT(ISNUMBER(E331)),N(E325)=0),"",E331/E325),"")</f>
        <v/>
      </c>
      <c r="F332" s="50" t="str">
        <f aca="false">IFERROR(IF(OR(NOT(ISNUMBER(F331)),N(F325)=0),"",F331/F325),"")</f>
        <v/>
      </c>
      <c r="G332" s="50" t="str">
        <f aca="false">IFERROR(IF(OR(NOT(ISNUMBER(G331)),N(G325)=0),"",G331/G325),"")</f>
        <v/>
      </c>
      <c r="H332" s="50" t="str">
        <f aca="false">IFERROR(IF(OR(NOT(ISNUMBER(H331)),N(H325)=0),"",H331/H325),"")</f>
        <v/>
      </c>
      <c r="I332" s="50" t="str">
        <f aca="false">IFERROR(IF(OR(NOT(ISNUMBER(I331)),N(I325)=0),"",I331/I325),"")</f>
        <v/>
      </c>
      <c r="J332" s="50" t="str">
        <f aca="false">IFERROR(IF(OR(NOT(ISNUMBER(J331)),N(J325)=0),"",J331/J325),"")</f>
        <v/>
      </c>
      <c r="K332" s="50" t="str">
        <f aca="false">IFERROR(IF(OR(NOT(ISNUMBER(K331)),N(K325)=0),"",K331/K325),"")</f>
        <v/>
      </c>
      <c r="L332" s="50" t="str">
        <f aca="false">IFERROR(IF(OR(NOT(ISNUMBER(L331)),N(L325)=0),"",L331/L325),"")</f>
        <v/>
      </c>
      <c r="M332" s="50" t="str">
        <f aca="false">IFERROR(IF(OR(NOT(ISNUMBER(M331)),N(M325)=0),"",M331/M325),"")</f>
        <v/>
      </c>
      <c r="N332" s="50" t="str">
        <f aca="false">IFERROR(IF(OR(NOT(ISNUMBER(N331)),N(N325)=0),"",N331/N325),"")</f>
        <v/>
      </c>
      <c r="O332" s="68" t="str">
        <f aca="false">IFERROR(IF(OR(NOT(ISNUMBER(O331)),N(O325)=0),"",O331/O325),"")</f>
        <v/>
      </c>
    </row>
    <row r="333" customFormat="false" ht="15" hidden="true" customHeight="false" outlineLevel="1" collapsed="false">
      <c r="A333" s="11" t="s">
        <v>2462</v>
      </c>
      <c r="B333" s="53" t="str">
        <f aca="false">IF(INDEX(Prod_Nombre,11)="","Producto 11",INDEX(Prod_Nombre,11))&amp;" — costo directo"</f>
        <v>Producto 11 — costo directo</v>
      </c>
      <c r="C333" s="11" t="s">
        <v>508</v>
      </c>
      <c r="D333" s="37"/>
      <c r="E333" s="37"/>
      <c r="F333" s="37"/>
      <c r="G333" s="37"/>
      <c r="H333" s="37"/>
      <c r="I333" s="37"/>
      <c r="J333" s="37"/>
      <c r="K333" s="37"/>
      <c r="L333" s="37"/>
      <c r="M333" s="37"/>
      <c r="N333" s="37"/>
      <c r="O333" s="54" t="str">
        <f aca="false">IF(COUNT(D333:N333)=0,"",SUM(D333:N333))</f>
        <v/>
      </c>
    </row>
    <row r="334" customFormat="false" ht="15" hidden="true" customHeight="false" outlineLevel="1" collapsed="false">
      <c r="A334" s="11" t="s">
        <v>2463</v>
      </c>
      <c r="B334" s="15" t="s">
        <v>2366</v>
      </c>
      <c r="C334" s="11" t="s">
        <v>544</v>
      </c>
      <c r="D334" s="37"/>
      <c r="E334" s="37"/>
      <c r="F334" s="37"/>
      <c r="G334" s="37"/>
      <c r="H334" s="37"/>
      <c r="I334" s="37"/>
      <c r="J334" s="37"/>
      <c r="K334" s="37"/>
      <c r="L334" s="37"/>
      <c r="M334" s="37"/>
      <c r="N334" s="37"/>
      <c r="O334" s="54" t="str">
        <f aca="false">IF(COUNT(D334:N334)=0,"",SUM(D334:N334))</f>
        <v/>
      </c>
    </row>
    <row r="335" customFormat="false" ht="15" hidden="true" customHeight="false" outlineLevel="1" collapsed="false">
      <c r="A335" s="11" t="s">
        <v>2464</v>
      </c>
      <c r="B335" s="15" t="s">
        <v>2368</v>
      </c>
      <c r="C335" s="11" t="s">
        <v>508</v>
      </c>
      <c r="D335" s="37"/>
      <c r="E335" s="37"/>
      <c r="F335" s="37"/>
      <c r="G335" s="37"/>
      <c r="H335" s="37"/>
      <c r="I335" s="37"/>
      <c r="J335" s="37"/>
      <c r="K335" s="37"/>
      <c r="L335" s="37"/>
      <c r="M335" s="37"/>
      <c r="N335" s="37"/>
      <c r="O335" s="54" t="str">
        <f aca="false">IF(COUNT(D335:N335)=0,"",SUM(D335:N335))</f>
        <v/>
      </c>
    </row>
    <row r="336" customFormat="false" ht="15" hidden="true" customHeight="false" outlineLevel="1" collapsed="false">
      <c r="A336" s="11" t="s">
        <v>2465</v>
      </c>
      <c r="B336" s="15" t="s">
        <v>2370</v>
      </c>
      <c r="C336" s="11" t="s">
        <v>748</v>
      </c>
      <c r="D336" s="50" t="str">
        <f aca="false">IFERROR(IF(OR(NOT(ISNUMBER(D333)),N(D334)=0),"",D333/D334),"")</f>
        <v/>
      </c>
      <c r="E336" s="50" t="str">
        <f aca="false">IFERROR(IF(OR(NOT(ISNUMBER(E333)),N(E334)=0),"",E333/E334),"")</f>
        <v/>
      </c>
      <c r="F336" s="50" t="str">
        <f aca="false">IFERROR(IF(OR(NOT(ISNUMBER(F333)),N(F334)=0),"",F333/F334),"")</f>
        <v/>
      </c>
      <c r="G336" s="50" t="str">
        <f aca="false">IFERROR(IF(OR(NOT(ISNUMBER(G333)),N(G334)=0),"",G333/G334),"")</f>
        <v/>
      </c>
      <c r="H336" s="50" t="str">
        <f aca="false">IFERROR(IF(OR(NOT(ISNUMBER(H333)),N(H334)=0),"",H333/H334),"")</f>
        <v/>
      </c>
      <c r="I336" s="50" t="str">
        <f aca="false">IFERROR(IF(OR(NOT(ISNUMBER(I333)),N(I334)=0),"",I333/I334),"")</f>
        <v/>
      </c>
      <c r="J336" s="50" t="str">
        <f aca="false">IFERROR(IF(OR(NOT(ISNUMBER(J333)),N(J334)=0),"",J333/J334),"")</f>
        <v/>
      </c>
      <c r="K336" s="50" t="str">
        <f aca="false">IFERROR(IF(OR(NOT(ISNUMBER(K333)),N(K334)=0),"",K333/K334),"")</f>
        <v/>
      </c>
      <c r="L336" s="50" t="str">
        <f aca="false">IFERROR(IF(OR(NOT(ISNUMBER(L333)),N(L334)=0),"",L333/L334),"")</f>
        <v/>
      </c>
      <c r="M336" s="50" t="str">
        <f aca="false">IFERROR(IF(OR(NOT(ISNUMBER(M333)),N(M334)=0),"",M333/M334),"")</f>
        <v/>
      </c>
      <c r="N336" s="50" t="str">
        <f aca="false">IFERROR(IF(OR(NOT(ISNUMBER(N333)),N(N334)=0),"",N333/N334),"")</f>
        <v/>
      </c>
      <c r="O336" s="68" t="str">
        <f aca="false">IFERROR(IF(OR(NOT(ISNUMBER(O333)),N(O334)=0),"",O333/O334),"")</f>
        <v/>
      </c>
    </row>
    <row r="337" customFormat="false" ht="15" hidden="true" customHeight="false" outlineLevel="1" collapsed="false">
      <c r="A337" s="11" t="s">
        <v>2466</v>
      </c>
      <c r="B337" s="15" t="s">
        <v>2372</v>
      </c>
      <c r="C337" s="11" t="s">
        <v>748</v>
      </c>
      <c r="D337" s="50" t="str">
        <f aca="false">IFERROR(IF(N(D334)=0,"",(D335-D333)/D334),"")</f>
        <v/>
      </c>
      <c r="E337" s="50" t="str">
        <f aca="false">IFERROR(IF(N(E334)=0,"",(E335-E333)/E334),"")</f>
        <v/>
      </c>
      <c r="F337" s="50" t="str">
        <f aca="false">IFERROR(IF(N(F334)=0,"",(F335-F333)/F334),"")</f>
        <v/>
      </c>
      <c r="G337" s="50" t="str">
        <f aca="false">IFERROR(IF(N(G334)=0,"",(G335-G333)/G334),"")</f>
        <v/>
      </c>
      <c r="H337" s="50" t="str">
        <f aca="false">IFERROR(IF(N(H334)=0,"",(H335-H333)/H334),"")</f>
        <v/>
      </c>
      <c r="I337" s="50" t="str">
        <f aca="false">IFERROR(IF(N(I334)=0,"",(I335-I333)/I334),"")</f>
        <v/>
      </c>
      <c r="J337" s="50" t="str">
        <f aca="false">IFERROR(IF(N(J334)=0,"",(J335-J333)/J334),"")</f>
        <v/>
      </c>
      <c r="K337" s="50" t="str">
        <f aca="false">IFERROR(IF(N(K334)=0,"",(K335-K333)/K334),"")</f>
        <v/>
      </c>
      <c r="L337" s="50" t="str">
        <f aca="false">IFERROR(IF(N(L334)=0,"",(L335-L333)/L334),"")</f>
        <v/>
      </c>
      <c r="M337" s="50" t="str">
        <f aca="false">IFERROR(IF(N(M334)=0,"",(M335-M333)/M334),"")</f>
        <v/>
      </c>
      <c r="N337" s="50" t="str">
        <f aca="false">IFERROR(IF(N(N334)=0,"",(N335-N333)/N334),"")</f>
        <v/>
      </c>
      <c r="O337" s="68" t="str">
        <f aca="false">IFERROR(IF(N(O334)=0,"",(O335-O333)/O334),"")</f>
        <v/>
      </c>
    </row>
    <row r="338" customFormat="false" ht="15" hidden="true" customHeight="false" outlineLevel="1" collapsed="false">
      <c r="A338" s="11" t="s">
        <v>2467</v>
      </c>
      <c r="B338" s="15" t="s">
        <v>2374</v>
      </c>
      <c r="C338" s="11" t="s">
        <v>367</v>
      </c>
      <c r="D338" s="49" t="str">
        <f aca="false">IFERROR(IF(N(D335)=0,"",1-D333/D335),"")</f>
        <v/>
      </c>
      <c r="E338" s="49" t="str">
        <f aca="false">IFERROR(IF(N(E335)=0,"",1-E333/E335),"")</f>
        <v/>
      </c>
      <c r="F338" s="49" t="str">
        <f aca="false">IFERROR(IF(N(F335)=0,"",1-F333/F335),"")</f>
        <v/>
      </c>
      <c r="G338" s="49" t="str">
        <f aca="false">IFERROR(IF(N(G335)=0,"",1-G333/G335),"")</f>
        <v/>
      </c>
      <c r="H338" s="49" t="str">
        <f aca="false">IFERROR(IF(N(H335)=0,"",1-H333/H335),"")</f>
        <v/>
      </c>
      <c r="I338" s="49" t="str">
        <f aca="false">IFERROR(IF(N(I335)=0,"",1-I333/I335),"")</f>
        <v/>
      </c>
      <c r="J338" s="49" t="str">
        <f aca="false">IFERROR(IF(N(J335)=0,"",1-J333/J335),"")</f>
        <v/>
      </c>
      <c r="K338" s="49" t="str">
        <f aca="false">IFERROR(IF(N(K335)=0,"",1-K333/K335),"")</f>
        <v/>
      </c>
      <c r="L338" s="49" t="str">
        <f aca="false">IFERROR(IF(N(L335)=0,"",1-L333/L335),"")</f>
        <v/>
      </c>
      <c r="M338" s="49" t="str">
        <f aca="false">IFERROR(IF(N(M335)=0,"",1-M333/M335),"")</f>
        <v/>
      </c>
      <c r="N338" s="49" t="str">
        <f aca="false">IFERROR(IF(N(N335)=0,"",1-N333/N335),"")</f>
        <v/>
      </c>
      <c r="O338" s="99" t="str">
        <f aca="false">IFERROR(IF(N(O335)=0,"",1-O333/O335),"")</f>
        <v/>
      </c>
    </row>
    <row r="339" customFormat="false" ht="15" hidden="true" customHeight="false" outlineLevel="1" collapsed="false">
      <c r="A339" s="11" t="s">
        <v>2468</v>
      </c>
      <c r="B339" s="15" t="s">
        <v>2376</v>
      </c>
      <c r="C339" s="11" t="s">
        <v>508</v>
      </c>
      <c r="D339" s="48" t="str">
        <f aca="false">IFERROR(IF(OR(NOT(ISNUMBER(D333)),N(D241)=0),"",D242*D333/D241),"")</f>
        <v/>
      </c>
      <c r="E339" s="48" t="str">
        <f aca="false">IFERROR(IF(OR(NOT(ISNUMBER(E333)),N(E241)=0),"",E242*E333/E241),"")</f>
        <v/>
      </c>
      <c r="F339" s="48" t="str">
        <f aca="false">IFERROR(IF(OR(NOT(ISNUMBER(F333)),N(F241)=0),"",F242*F333/F241),"")</f>
        <v/>
      </c>
      <c r="G339" s="48" t="str">
        <f aca="false">IFERROR(IF(OR(NOT(ISNUMBER(G333)),N(G241)=0),"",G242*G333/G241),"")</f>
        <v/>
      </c>
      <c r="H339" s="48" t="str">
        <f aca="false">IFERROR(IF(OR(NOT(ISNUMBER(H333)),N(H241)=0),"",H242*H333/H241),"")</f>
        <v/>
      </c>
      <c r="I339" s="48" t="str">
        <f aca="false">IFERROR(IF(OR(NOT(ISNUMBER(I333)),N(I241)=0),"",I242*I333/I241),"")</f>
        <v/>
      </c>
      <c r="J339" s="48" t="str">
        <f aca="false">IFERROR(IF(OR(NOT(ISNUMBER(J333)),N(J241)=0),"",J242*J333/J241),"")</f>
        <v/>
      </c>
      <c r="K339" s="48" t="str">
        <f aca="false">IFERROR(IF(OR(NOT(ISNUMBER(K333)),N(K241)=0),"",K242*K333/K241),"")</f>
        <v/>
      </c>
      <c r="L339" s="48" t="str">
        <f aca="false">IFERROR(IF(OR(NOT(ISNUMBER(L333)),N(L241)=0),"",L242*L333/L241),"")</f>
        <v/>
      </c>
      <c r="M339" s="48" t="str">
        <f aca="false">IFERROR(IF(OR(NOT(ISNUMBER(M333)),N(M241)=0),"",M242*M333/M241),"")</f>
        <v/>
      </c>
      <c r="N339" s="48" t="str">
        <f aca="false">IFERROR(IF(OR(NOT(ISNUMBER(N333)),N(N241)=0),"",N242*N333/N241),"")</f>
        <v/>
      </c>
      <c r="O339" s="54" t="str">
        <f aca="false">IF(COUNT(D339:N339)=0,"",SUM(D339:N339))</f>
        <v/>
      </c>
    </row>
    <row r="340" customFormat="false" ht="15" hidden="true" customHeight="false" outlineLevel="1" collapsed="false">
      <c r="A340" s="11" t="s">
        <v>2469</v>
      </c>
      <c r="B340" s="15" t="s">
        <v>2378</v>
      </c>
      <c r="C340" s="11" t="s">
        <v>508</v>
      </c>
      <c r="D340" s="48" t="str">
        <f aca="false">IFERROR(IF(COUNT(D333,D339)=0,"",N(D333)+N(D339)),"")</f>
        <v/>
      </c>
      <c r="E340" s="48" t="str">
        <f aca="false">IFERROR(IF(COUNT(E333,E339)=0,"",N(E333)+N(E339)),"")</f>
        <v/>
      </c>
      <c r="F340" s="48" t="str">
        <f aca="false">IFERROR(IF(COUNT(F333,F339)=0,"",N(F333)+N(F339)),"")</f>
        <v/>
      </c>
      <c r="G340" s="48" t="str">
        <f aca="false">IFERROR(IF(COUNT(G333,G339)=0,"",N(G333)+N(G339)),"")</f>
        <v/>
      </c>
      <c r="H340" s="48" t="str">
        <f aca="false">IFERROR(IF(COUNT(H333,H339)=0,"",N(H333)+N(H339)),"")</f>
        <v/>
      </c>
      <c r="I340" s="48" t="str">
        <f aca="false">IFERROR(IF(COUNT(I333,I339)=0,"",N(I333)+N(I339)),"")</f>
        <v/>
      </c>
      <c r="J340" s="48" t="str">
        <f aca="false">IFERROR(IF(COUNT(J333,J339)=0,"",N(J333)+N(J339)),"")</f>
        <v/>
      </c>
      <c r="K340" s="48" t="str">
        <f aca="false">IFERROR(IF(COUNT(K333,K339)=0,"",N(K333)+N(K339)),"")</f>
        <v/>
      </c>
      <c r="L340" s="48" t="str">
        <f aca="false">IFERROR(IF(COUNT(L333,L339)=0,"",N(L333)+N(L339)),"")</f>
        <v/>
      </c>
      <c r="M340" s="48" t="str">
        <f aca="false">IFERROR(IF(COUNT(M333,M339)=0,"",N(M333)+N(M339)),"")</f>
        <v/>
      </c>
      <c r="N340" s="48" t="str">
        <f aca="false">IFERROR(IF(COUNT(N333,N339)=0,"",N(N333)+N(N339)),"")</f>
        <v/>
      </c>
      <c r="O340" s="54" t="str">
        <f aca="false">IF(COUNT(D340:N340)=0,"",SUM(D340:N340))</f>
        <v/>
      </c>
    </row>
    <row r="341" customFormat="false" ht="15" hidden="true" customHeight="false" outlineLevel="1" collapsed="false">
      <c r="A341" s="11" t="s">
        <v>2470</v>
      </c>
      <c r="B341" s="15" t="s">
        <v>2380</v>
      </c>
      <c r="C341" s="11" t="s">
        <v>748</v>
      </c>
      <c r="D341" s="50" t="str">
        <f aca="false">IFERROR(IF(OR(NOT(ISNUMBER(D340)),N(D334)=0),"",D340/D334),"")</f>
        <v/>
      </c>
      <c r="E341" s="50" t="str">
        <f aca="false">IFERROR(IF(OR(NOT(ISNUMBER(E340)),N(E334)=0),"",E340/E334),"")</f>
        <v/>
      </c>
      <c r="F341" s="50" t="str">
        <f aca="false">IFERROR(IF(OR(NOT(ISNUMBER(F340)),N(F334)=0),"",F340/F334),"")</f>
        <v/>
      </c>
      <c r="G341" s="50" t="str">
        <f aca="false">IFERROR(IF(OR(NOT(ISNUMBER(G340)),N(G334)=0),"",G340/G334),"")</f>
        <v/>
      </c>
      <c r="H341" s="50" t="str">
        <f aca="false">IFERROR(IF(OR(NOT(ISNUMBER(H340)),N(H334)=0),"",H340/H334),"")</f>
        <v/>
      </c>
      <c r="I341" s="50" t="str">
        <f aca="false">IFERROR(IF(OR(NOT(ISNUMBER(I340)),N(I334)=0),"",I340/I334),"")</f>
        <v/>
      </c>
      <c r="J341" s="50" t="str">
        <f aca="false">IFERROR(IF(OR(NOT(ISNUMBER(J340)),N(J334)=0),"",J340/J334),"")</f>
        <v/>
      </c>
      <c r="K341" s="50" t="str">
        <f aca="false">IFERROR(IF(OR(NOT(ISNUMBER(K340)),N(K334)=0),"",K340/K334),"")</f>
        <v/>
      </c>
      <c r="L341" s="50" t="str">
        <f aca="false">IFERROR(IF(OR(NOT(ISNUMBER(L340)),N(L334)=0),"",L340/L334),"")</f>
        <v/>
      </c>
      <c r="M341" s="50" t="str">
        <f aca="false">IFERROR(IF(OR(NOT(ISNUMBER(M340)),N(M334)=0),"",M340/M334),"")</f>
        <v/>
      </c>
      <c r="N341" s="50" t="str">
        <f aca="false">IFERROR(IF(OR(NOT(ISNUMBER(N340)),N(N334)=0),"",N340/N334),"")</f>
        <v/>
      </c>
      <c r="O341" s="68" t="str">
        <f aca="false">IFERROR(IF(OR(NOT(ISNUMBER(O340)),N(O334)=0),"",O340/O334),"")</f>
        <v/>
      </c>
    </row>
    <row r="342" customFormat="false" ht="15" hidden="true" customHeight="false" outlineLevel="1" collapsed="false">
      <c r="A342" s="11" t="s">
        <v>2471</v>
      </c>
      <c r="B342" s="53" t="str">
        <f aca="false">IF(INDEX(Prod_Nombre,12)="","Producto 12",INDEX(Prod_Nombre,12))&amp;" — costo directo"</f>
        <v>Producto 12 — costo directo</v>
      </c>
      <c r="C342" s="11" t="s">
        <v>508</v>
      </c>
      <c r="D342" s="37"/>
      <c r="E342" s="37"/>
      <c r="F342" s="37"/>
      <c r="G342" s="37"/>
      <c r="H342" s="37"/>
      <c r="I342" s="37"/>
      <c r="J342" s="37"/>
      <c r="K342" s="37"/>
      <c r="L342" s="37"/>
      <c r="M342" s="37"/>
      <c r="N342" s="37"/>
      <c r="O342" s="54" t="str">
        <f aca="false">IF(COUNT(D342:N342)=0,"",SUM(D342:N342))</f>
        <v/>
      </c>
    </row>
    <row r="343" customFormat="false" ht="15" hidden="true" customHeight="false" outlineLevel="1" collapsed="false">
      <c r="A343" s="11" t="s">
        <v>2472</v>
      </c>
      <c r="B343" s="15" t="s">
        <v>2366</v>
      </c>
      <c r="C343" s="11" t="s">
        <v>544</v>
      </c>
      <c r="D343" s="37"/>
      <c r="E343" s="37"/>
      <c r="F343" s="37"/>
      <c r="G343" s="37"/>
      <c r="H343" s="37"/>
      <c r="I343" s="37"/>
      <c r="J343" s="37"/>
      <c r="K343" s="37"/>
      <c r="L343" s="37"/>
      <c r="M343" s="37"/>
      <c r="N343" s="37"/>
      <c r="O343" s="54" t="str">
        <f aca="false">IF(COUNT(D343:N343)=0,"",SUM(D343:N343))</f>
        <v/>
      </c>
    </row>
    <row r="344" customFormat="false" ht="15" hidden="true" customHeight="false" outlineLevel="1" collapsed="false">
      <c r="A344" s="11" t="s">
        <v>2473</v>
      </c>
      <c r="B344" s="15" t="s">
        <v>2368</v>
      </c>
      <c r="C344" s="11" t="s">
        <v>508</v>
      </c>
      <c r="D344" s="37"/>
      <c r="E344" s="37"/>
      <c r="F344" s="37"/>
      <c r="G344" s="37"/>
      <c r="H344" s="37"/>
      <c r="I344" s="37"/>
      <c r="J344" s="37"/>
      <c r="K344" s="37"/>
      <c r="L344" s="37"/>
      <c r="M344" s="37"/>
      <c r="N344" s="37"/>
      <c r="O344" s="54" t="str">
        <f aca="false">IF(COUNT(D344:N344)=0,"",SUM(D344:N344))</f>
        <v/>
      </c>
    </row>
    <row r="345" customFormat="false" ht="15" hidden="true" customHeight="false" outlineLevel="1" collapsed="false">
      <c r="A345" s="11" t="s">
        <v>2474</v>
      </c>
      <c r="B345" s="15" t="s">
        <v>2370</v>
      </c>
      <c r="C345" s="11" t="s">
        <v>748</v>
      </c>
      <c r="D345" s="50" t="str">
        <f aca="false">IFERROR(IF(OR(NOT(ISNUMBER(D342)),N(D343)=0),"",D342/D343),"")</f>
        <v/>
      </c>
      <c r="E345" s="50" t="str">
        <f aca="false">IFERROR(IF(OR(NOT(ISNUMBER(E342)),N(E343)=0),"",E342/E343),"")</f>
        <v/>
      </c>
      <c r="F345" s="50" t="str">
        <f aca="false">IFERROR(IF(OR(NOT(ISNUMBER(F342)),N(F343)=0),"",F342/F343),"")</f>
        <v/>
      </c>
      <c r="G345" s="50" t="str">
        <f aca="false">IFERROR(IF(OR(NOT(ISNUMBER(G342)),N(G343)=0),"",G342/G343),"")</f>
        <v/>
      </c>
      <c r="H345" s="50" t="str">
        <f aca="false">IFERROR(IF(OR(NOT(ISNUMBER(H342)),N(H343)=0),"",H342/H343),"")</f>
        <v/>
      </c>
      <c r="I345" s="50" t="str">
        <f aca="false">IFERROR(IF(OR(NOT(ISNUMBER(I342)),N(I343)=0),"",I342/I343),"")</f>
        <v/>
      </c>
      <c r="J345" s="50" t="str">
        <f aca="false">IFERROR(IF(OR(NOT(ISNUMBER(J342)),N(J343)=0),"",J342/J343),"")</f>
        <v/>
      </c>
      <c r="K345" s="50" t="str">
        <f aca="false">IFERROR(IF(OR(NOT(ISNUMBER(K342)),N(K343)=0),"",K342/K343),"")</f>
        <v/>
      </c>
      <c r="L345" s="50" t="str">
        <f aca="false">IFERROR(IF(OR(NOT(ISNUMBER(L342)),N(L343)=0),"",L342/L343),"")</f>
        <v/>
      </c>
      <c r="M345" s="50" t="str">
        <f aca="false">IFERROR(IF(OR(NOT(ISNUMBER(M342)),N(M343)=0),"",M342/M343),"")</f>
        <v/>
      </c>
      <c r="N345" s="50" t="str">
        <f aca="false">IFERROR(IF(OR(NOT(ISNUMBER(N342)),N(N343)=0),"",N342/N343),"")</f>
        <v/>
      </c>
      <c r="O345" s="68" t="str">
        <f aca="false">IFERROR(IF(OR(NOT(ISNUMBER(O342)),N(O343)=0),"",O342/O343),"")</f>
        <v/>
      </c>
    </row>
    <row r="346" customFormat="false" ht="15" hidden="true" customHeight="false" outlineLevel="1" collapsed="false">
      <c r="A346" s="11" t="s">
        <v>2475</v>
      </c>
      <c r="B346" s="15" t="s">
        <v>2372</v>
      </c>
      <c r="C346" s="11" t="s">
        <v>748</v>
      </c>
      <c r="D346" s="50" t="str">
        <f aca="false">IFERROR(IF(N(D343)=0,"",(D344-D342)/D343),"")</f>
        <v/>
      </c>
      <c r="E346" s="50" t="str">
        <f aca="false">IFERROR(IF(N(E343)=0,"",(E344-E342)/E343),"")</f>
        <v/>
      </c>
      <c r="F346" s="50" t="str">
        <f aca="false">IFERROR(IF(N(F343)=0,"",(F344-F342)/F343),"")</f>
        <v/>
      </c>
      <c r="G346" s="50" t="str">
        <f aca="false">IFERROR(IF(N(G343)=0,"",(G344-G342)/G343),"")</f>
        <v/>
      </c>
      <c r="H346" s="50" t="str">
        <f aca="false">IFERROR(IF(N(H343)=0,"",(H344-H342)/H343),"")</f>
        <v/>
      </c>
      <c r="I346" s="50" t="str">
        <f aca="false">IFERROR(IF(N(I343)=0,"",(I344-I342)/I343),"")</f>
        <v/>
      </c>
      <c r="J346" s="50" t="str">
        <f aca="false">IFERROR(IF(N(J343)=0,"",(J344-J342)/J343),"")</f>
        <v/>
      </c>
      <c r="K346" s="50" t="str">
        <f aca="false">IFERROR(IF(N(K343)=0,"",(K344-K342)/K343),"")</f>
        <v/>
      </c>
      <c r="L346" s="50" t="str">
        <f aca="false">IFERROR(IF(N(L343)=0,"",(L344-L342)/L343),"")</f>
        <v/>
      </c>
      <c r="M346" s="50" t="str">
        <f aca="false">IFERROR(IF(N(M343)=0,"",(M344-M342)/M343),"")</f>
        <v/>
      </c>
      <c r="N346" s="50" t="str">
        <f aca="false">IFERROR(IF(N(N343)=0,"",(N344-N342)/N343),"")</f>
        <v/>
      </c>
      <c r="O346" s="68" t="str">
        <f aca="false">IFERROR(IF(N(O343)=0,"",(O344-O342)/O343),"")</f>
        <v/>
      </c>
    </row>
    <row r="347" customFormat="false" ht="15" hidden="true" customHeight="false" outlineLevel="1" collapsed="false">
      <c r="A347" s="11" t="s">
        <v>2476</v>
      </c>
      <c r="B347" s="15" t="s">
        <v>2374</v>
      </c>
      <c r="C347" s="11" t="s">
        <v>367</v>
      </c>
      <c r="D347" s="49" t="str">
        <f aca="false">IFERROR(IF(N(D344)=0,"",1-D342/D344),"")</f>
        <v/>
      </c>
      <c r="E347" s="49" t="str">
        <f aca="false">IFERROR(IF(N(E344)=0,"",1-E342/E344),"")</f>
        <v/>
      </c>
      <c r="F347" s="49" t="str">
        <f aca="false">IFERROR(IF(N(F344)=0,"",1-F342/F344),"")</f>
        <v/>
      </c>
      <c r="G347" s="49" t="str">
        <f aca="false">IFERROR(IF(N(G344)=0,"",1-G342/G344),"")</f>
        <v/>
      </c>
      <c r="H347" s="49" t="str">
        <f aca="false">IFERROR(IF(N(H344)=0,"",1-H342/H344),"")</f>
        <v/>
      </c>
      <c r="I347" s="49" t="str">
        <f aca="false">IFERROR(IF(N(I344)=0,"",1-I342/I344),"")</f>
        <v/>
      </c>
      <c r="J347" s="49" t="str">
        <f aca="false">IFERROR(IF(N(J344)=0,"",1-J342/J344),"")</f>
        <v/>
      </c>
      <c r="K347" s="49" t="str">
        <f aca="false">IFERROR(IF(N(K344)=0,"",1-K342/K344),"")</f>
        <v/>
      </c>
      <c r="L347" s="49" t="str">
        <f aca="false">IFERROR(IF(N(L344)=0,"",1-L342/L344),"")</f>
        <v/>
      </c>
      <c r="M347" s="49" t="str">
        <f aca="false">IFERROR(IF(N(M344)=0,"",1-M342/M344),"")</f>
        <v/>
      </c>
      <c r="N347" s="49" t="str">
        <f aca="false">IFERROR(IF(N(N344)=0,"",1-N342/N344),"")</f>
        <v/>
      </c>
      <c r="O347" s="99" t="str">
        <f aca="false">IFERROR(IF(N(O344)=0,"",1-O342/O344),"")</f>
        <v/>
      </c>
    </row>
    <row r="348" customFormat="false" ht="15" hidden="true" customHeight="false" outlineLevel="1" collapsed="false">
      <c r="A348" s="11" t="s">
        <v>2477</v>
      </c>
      <c r="B348" s="15" t="s">
        <v>2376</v>
      </c>
      <c r="C348" s="11" t="s">
        <v>508</v>
      </c>
      <c r="D348" s="48" t="str">
        <f aca="false">IFERROR(IF(OR(NOT(ISNUMBER(D342)),N(D241)=0),"",D242*D342/D241),"")</f>
        <v/>
      </c>
      <c r="E348" s="48" t="str">
        <f aca="false">IFERROR(IF(OR(NOT(ISNUMBER(E342)),N(E241)=0),"",E242*E342/E241),"")</f>
        <v/>
      </c>
      <c r="F348" s="48" t="str">
        <f aca="false">IFERROR(IF(OR(NOT(ISNUMBER(F342)),N(F241)=0),"",F242*F342/F241),"")</f>
        <v/>
      </c>
      <c r="G348" s="48" t="str">
        <f aca="false">IFERROR(IF(OR(NOT(ISNUMBER(G342)),N(G241)=0),"",G242*G342/G241),"")</f>
        <v/>
      </c>
      <c r="H348" s="48" t="str">
        <f aca="false">IFERROR(IF(OR(NOT(ISNUMBER(H342)),N(H241)=0),"",H242*H342/H241),"")</f>
        <v/>
      </c>
      <c r="I348" s="48" t="str">
        <f aca="false">IFERROR(IF(OR(NOT(ISNUMBER(I342)),N(I241)=0),"",I242*I342/I241),"")</f>
        <v/>
      </c>
      <c r="J348" s="48" t="str">
        <f aca="false">IFERROR(IF(OR(NOT(ISNUMBER(J342)),N(J241)=0),"",J242*J342/J241),"")</f>
        <v/>
      </c>
      <c r="K348" s="48" t="str">
        <f aca="false">IFERROR(IF(OR(NOT(ISNUMBER(K342)),N(K241)=0),"",K242*K342/K241),"")</f>
        <v/>
      </c>
      <c r="L348" s="48" t="str">
        <f aca="false">IFERROR(IF(OR(NOT(ISNUMBER(L342)),N(L241)=0),"",L242*L342/L241),"")</f>
        <v/>
      </c>
      <c r="M348" s="48" t="str">
        <f aca="false">IFERROR(IF(OR(NOT(ISNUMBER(M342)),N(M241)=0),"",M242*M342/M241),"")</f>
        <v/>
      </c>
      <c r="N348" s="48" t="str">
        <f aca="false">IFERROR(IF(OR(NOT(ISNUMBER(N342)),N(N241)=0),"",N242*N342/N241),"")</f>
        <v/>
      </c>
      <c r="O348" s="54" t="str">
        <f aca="false">IF(COUNT(D348:N348)=0,"",SUM(D348:N348))</f>
        <v/>
      </c>
    </row>
    <row r="349" customFormat="false" ht="15" hidden="true" customHeight="false" outlineLevel="1" collapsed="false">
      <c r="A349" s="11" t="s">
        <v>2478</v>
      </c>
      <c r="B349" s="15" t="s">
        <v>2378</v>
      </c>
      <c r="C349" s="11" t="s">
        <v>508</v>
      </c>
      <c r="D349" s="48" t="str">
        <f aca="false">IFERROR(IF(COUNT(D342,D348)=0,"",N(D342)+N(D348)),"")</f>
        <v/>
      </c>
      <c r="E349" s="48" t="str">
        <f aca="false">IFERROR(IF(COUNT(E342,E348)=0,"",N(E342)+N(E348)),"")</f>
        <v/>
      </c>
      <c r="F349" s="48" t="str">
        <f aca="false">IFERROR(IF(COUNT(F342,F348)=0,"",N(F342)+N(F348)),"")</f>
        <v/>
      </c>
      <c r="G349" s="48" t="str">
        <f aca="false">IFERROR(IF(COUNT(G342,G348)=0,"",N(G342)+N(G348)),"")</f>
        <v/>
      </c>
      <c r="H349" s="48" t="str">
        <f aca="false">IFERROR(IF(COUNT(H342,H348)=0,"",N(H342)+N(H348)),"")</f>
        <v/>
      </c>
      <c r="I349" s="48" t="str">
        <f aca="false">IFERROR(IF(COUNT(I342,I348)=0,"",N(I342)+N(I348)),"")</f>
        <v/>
      </c>
      <c r="J349" s="48" t="str">
        <f aca="false">IFERROR(IF(COUNT(J342,J348)=0,"",N(J342)+N(J348)),"")</f>
        <v/>
      </c>
      <c r="K349" s="48" t="str">
        <f aca="false">IFERROR(IF(COUNT(K342,K348)=0,"",N(K342)+N(K348)),"")</f>
        <v/>
      </c>
      <c r="L349" s="48" t="str">
        <f aca="false">IFERROR(IF(COUNT(L342,L348)=0,"",N(L342)+N(L348)),"")</f>
        <v/>
      </c>
      <c r="M349" s="48" t="str">
        <f aca="false">IFERROR(IF(COUNT(M342,M348)=0,"",N(M342)+N(M348)),"")</f>
        <v/>
      </c>
      <c r="N349" s="48" t="str">
        <f aca="false">IFERROR(IF(COUNT(N342,N348)=0,"",N(N342)+N(N348)),"")</f>
        <v/>
      </c>
      <c r="O349" s="54" t="str">
        <f aca="false">IF(COUNT(D349:N349)=0,"",SUM(D349:N349))</f>
        <v/>
      </c>
    </row>
    <row r="350" customFormat="false" ht="15" hidden="true" customHeight="false" outlineLevel="1" collapsed="false">
      <c r="A350" s="11" t="s">
        <v>2479</v>
      </c>
      <c r="B350" s="15" t="s">
        <v>2380</v>
      </c>
      <c r="C350" s="11" t="s">
        <v>748</v>
      </c>
      <c r="D350" s="50" t="str">
        <f aca="false">IFERROR(IF(OR(NOT(ISNUMBER(D349)),N(D343)=0),"",D349/D343),"")</f>
        <v/>
      </c>
      <c r="E350" s="50" t="str">
        <f aca="false">IFERROR(IF(OR(NOT(ISNUMBER(E349)),N(E343)=0),"",E349/E343),"")</f>
        <v/>
      </c>
      <c r="F350" s="50" t="str">
        <f aca="false">IFERROR(IF(OR(NOT(ISNUMBER(F349)),N(F343)=0),"",F349/F343),"")</f>
        <v/>
      </c>
      <c r="G350" s="50" t="str">
        <f aca="false">IFERROR(IF(OR(NOT(ISNUMBER(G349)),N(G343)=0),"",G349/G343),"")</f>
        <v/>
      </c>
      <c r="H350" s="50" t="str">
        <f aca="false">IFERROR(IF(OR(NOT(ISNUMBER(H349)),N(H343)=0),"",H349/H343),"")</f>
        <v/>
      </c>
      <c r="I350" s="50" t="str">
        <f aca="false">IFERROR(IF(OR(NOT(ISNUMBER(I349)),N(I343)=0),"",I349/I343),"")</f>
        <v/>
      </c>
      <c r="J350" s="50" t="str">
        <f aca="false">IFERROR(IF(OR(NOT(ISNUMBER(J349)),N(J343)=0),"",J349/J343),"")</f>
        <v/>
      </c>
      <c r="K350" s="50" t="str">
        <f aca="false">IFERROR(IF(OR(NOT(ISNUMBER(K349)),N(K343)=0),"",K349/K343),"")</f>
        <v/>
      </c>
      <c r="L350" s="50" t="str">
        <f aca="false">IFERROR(IF(OR(NOT(ISNUMBER(L349)),N(L343)=0),"",L349/L343),"")</f>
        <v/>
      </c>
      <c r="M350" s="50" t="str">
        <f aca="false">IFERROR(IF(OR(NOT(ISNUMBER(M349)),N(M343)=0),"",M349/M343),"")</f>
        <v/>
      </c>
      <c r="N350" s="50" t="str">
        <f aca="false">IFERROR(IF(OR(NOT(ISNUMBER(N349)),N(N343)=0),"",N349/N343),"")</f>
        <v/>
      </c>
      <c r="O350" s="68" t="str">
        <f aca="false">IFERROR(IF(OR(NOT(ISNUMBER(O349)),N(O343)=0),"",O349/O343),"")</f>
        <v/>
      </c>
    </row>
    <row r="351" customFormat="false" ht="15" hidden="true" customHeight="false" outlineLevel="1" collapsed="false">
      <c r="A351" s="11" t="s">
        <v>2480</v>
      </c>
      <c r="B351" s="53" t="str">
        <f aca="false">IF(INDEX(Prod_Nombre,13)="","Producto 13",INDEX(Prod_Nombre,13))&amp;" — costo directo"</f>
        <v>Producto 13 — costo directo</v>
      </c>
      <c r="C351" s="11" t="s">
        <v>508</v>
      </c>
      <c r="D351" s="37"/>
      <c r="E351" s="37"/>
      <c r="F351" s="37"/>
      <c r="G351" s="37"/>
      <c r="H351" s="37"/>
      <c r="I351" s="37"/>
      <c r="J351" s="37"/>
      <c r="K351" s="37"/>
      <c r="L351" s="37"/>
      <c r="M351" s="37"/>
      <c r="N351" s="37"/>
      <c r="O351" s="54" t="str">
        <f aca="false">IF(COUNT(D351:N351)=0,"",SUM(D351:N351))</f>
        <v/>
      </c>
    </row>
    <row r="352" customFormat="false" ht="15" hidden="true" customHeight="false" outlineLevel="1" collapsed="false">
      <c r="A352" s="11" t="s">
        <v>2481</v>
      </c>
      <c r="B352" s="15" t="s">
        <v>2366</v>
      </c>
      <c r="C352" s="11" t="s">
        <v>544</v>
      </c>
      <c r="D352" s="37"/>
      <c r="E352" s="37"/>
      <c r="F352" s="37"/>
      <c r="G352" s="37"/>
      <c r="H352" s="37"/>
      <c r="I352" s="37"/>
      <c r="J352" s="37"/>
      <c r="K352" s="37"/>
      <c r="L352" s="37"/>
      <c r="M352" s="37"/>
      <c r="N352" s="37"/>
      <c r="O352" s="54" t="str">
        <f aca="false">IF(COUNT(D352:N352)=0,"",SUM(D352:N352))</f>
        <v/>
      </c>
    </row>
    <row r="353" customFormat="false" ht="15" hidden="true" customHeight="false" outlineLevel="1" collapsed="false">
      <c r="A353" s="11" t="s">
        <v>2482</v>
      </c>
      <c r="B353" s="15" t="s">
        <v>2368</v>
      </c>
      <c r="C353" s="11" t="s">
        <v>508</v>
      </c>
      <c r="D353" s="37"/>
      <c r="E353" s="37"/>
      <c r="F353" s="37"/>
      <c r="G353" s="37"/>
      <c r="H353" s="37"/>
      <c r="I353" s="37"/>
      <c r="J353" s="37"/>
      <c r="K353" s="37"/>
      <c r="L353" s="37"/>
      <c r="M353" s="37"/>
      <c r="N353" s="37"/>
      <c r="O353" s="54" t="str">
        <f aca="false">IF(COUNT(D353:N353)=0,"",SUM(D353:N353))</f>
        <v/>
      </c>
    </row>
    <row r="354" customFormat="false" ht="15" hidden="true" customHeight="false" outlineLevel="1" collapsed="false">
      <c r="A354" s="11" t="s">
        <v>2483</v>
      </c>
      <c r="B354" s="15" t="s">
        <v>2370</v>
      </c>
      <c r="C354" s="11" t="s">
        <v>748</v>
      </c>
      <c r="D354" s="50" t="str">
        <f aca="false">IFERROR(IF(OR(NOT(ISNUMBER(D351)),N(D352)=0),"",D351/D352),"")</f>
        <v/>
      </c>
      <c r="E354" s="50" t="str">
        <f aca="false">IFERROR(IF(OR(NOT(ISNUMBER(E351)),N(E352)=0),"",E351/E352),"")</f>
        <v/>
      </c>
      <c r="F354" s="50" t="str">
        <f aca="false">IFERROR(IF(OR(NOT(ISNUMBER(F351)),N(F352)=0),"",F351/F352),"")</f>
        <v/>
      </c>
      <c r="G354" s="50" t="str">
        <f aca="false">IFERROR(IF(OR(NOT(ISNUMBER(G351)),N(G352)=0),"",G351/G352),"")</f>
        <v/>
      </c>
      <c r="H354" s="50" t="str">
        <f aca="false">IFERROR(IF(OR(NOT(ISNUMBER(H351)),N(H352)=0),"",H351/H352),"")</f>
        <v/>
      </c>
      <c r="I354" s="50" t="str">
        <f aca="false">IFERROR(IF(OR(NOT(ISNUMBER(I351)),N(I352)=0),"",I351/I352),"")</f>
        <v/>
      </c>
      <c r="J354" s="50" t="str">
        <f aca="false">IFERROR(IF(OR(NOT(ISNUMBER(J351)),N(J352)=0),"",J351/J352),"")</f>
        <v/>
      </c>
      <c r="K354" s="50" t="str">
        <f aca="false">IFERROR(IF(OR(NOT(ISNUMBER(K351)),N(K352)=0),"",K351/K352),"")</f>
        <v/>
      </c>
      <c r="L354" s="50" t="str">
        <f aca="false">IFERROR(IF(OR(NOT(ISNUMBER(L351)),N(L352)=0),"",L351/L352),"")</f>
        <v/>
      </c>
      <c r="M354" s="50" t="str">
        <f aca="false">IFERROR(IF(OR(NOT(ISNUMBER(M351)),N(M352)=0),"",M351/M352),"")</f>
        <v/>
      </c>
      <c r="N354" s="50" t="str">
        <f aca="false">IFERROR(IF(OR(NOT(ISNUMBER(N351)),N(N352)=0),"",N351/N352),"")</f>
        <v/>
      </c>
      <c r="O354" s="68" t="str">
        <f aca="false">IFERROR(IF(OR(NOT(ISNUMBER(O351)),N(O352)=0),"",O351/O352),"")</f>
        <v/>
      </c>
    </row>
    <row r="355" customFormat="false" ht="15" hidden="true" customHeight="false" outlineLevel="1" collapsed="false">
      <c r="A355" s="11" t="s">
        <v>2484</v>
      </c>
      <c r="B355" s="15" t="s">
        <v>2372</v>
      </c>
      <c r="C355" s="11" t="s">
        <v>748</v>
      </c>
      <c r="D355" s="50" t="str">
        <f aca="false">IFERROR(IF(N(D352)=0,"",(D353-D351)/D352),"")</f>
        <v/>
      </c>
      <c r="E355" s="50" t="str">
        <f aca="false">IFERROR(IF(N(E352)=0,"",(E353-E351)/E352),"")</f>
        <v/>
      </c>
      <c r="F355" s="50" t="str">
        <f aca="false">IFERROR(IF(N(F352)=0,"",(F353-F351)/F352),"")</f>
        <v/>
      </c>
      <c r="G355" s="50" t="str">
        <f aca="false">IFERROR(IF(N(G352)=0,"",(G353-G351)/G352),"")</f>
        <v/>
      </c>
      <c r="H355" s="50" t="str">
        <f aca="false">IFERROR(IF(N(H352)=0,"",(H353-H351)/H352),"")</f>
        <v/>
      </c>
      <c r="I355" s="50" t="str">
        <f aca="false">IFERROR(IF(N(I352)=0,"",(I353-I351)/I352),"")</f>
        <v/>
      </c>
      <c r="J355" s="50" t="str">
        <f aca="false">IFERROR(IF(N(J352)=0,"",(J353-J351)/J352),"")</f>
        <v/>
      </c>
      <c r="K355" s="50" t="str">
        <f aca="false">IFERROR(IF(N(K352)=0,"",(K353-K351)/K352),"")</f>
        <v/>
      </c>
      <c r="L355" s="50" t="str">
        <f aca="false">IFERROR(IF(N(L352)=0,"",(L353-L351)/L352),"")</f>
        <v/>
      </c>
      <c r="M355" s="50" t="str">
        <f aca="false">IFERROR(IF(N(M352)=0,"",(M353-M351)/M352),"")</f>
        <v/>
      </c>
      <c r="N355" s="50" t="str">
        <f aca="false">IFERROR(IF(N(N352)=0,"",(N353-N351)/N352),"")</f>
        <v/>
      </c>
      <c r="O355" s="68" t="str">
        <f aca="false">IFERROR(IF(N(O352)=0,"",(O353-O351)/O352),"")</f>
        <v/>
      </c>
    </row>
    <row r="356" customFormat="false" ht="15" hidden="true" customHeight="false" outlineLevel="1" collapsed="false">
      <c r="A356" s="11" t="s">
        <v>2485</v>
      </c>
      <c r="B356" s="15" t="s">
        <v>2374</v>
      </c>
      <c r="C356" s="11" t="s">
        <v>367</v>
      </c>
      <c r="D356" s="49" t="str">
        <f aca="false">IFERROR(IF(N(D353)=0,"",1-D351/D353),"")</f>
        <v/>
      </c>
      <c r="E356" s="49" t="str">
        <f aca="false">IFERROR(IF(N(E353)=0,"",1-E351/E353),"")</f>
        <v/>
      </c>
      <c r="F356" s="49" t="str">
        <f aca="false">IFERROR(IF(N(F353)=0,"",1-F351/F353),"")</f>
        <v/>
      </c>
      <c r="G356" s="49" t="str">
        <f aca="false">IFERROR(IF(N(G353)=0,"",1-G351/G353),"")</f>
        <v/>
      </c>
      <c r="H356" s="49" t="str">
        <f aca="false">IFERROR(IF(N(H353)=0,"",1-H351/H353),"")</f>
        <v/>
      </c>
      <c r="I356" s="49" t="str">
        <f aca="false">IFERROR(IF(N(I353)=0,"",1-I351/I353),"")</f>
        <v/>
      </c>
      <c r="J356" s="49" t="str">
        <f aca="false">IFERROR(IF(N(J353)=0,"",1-J351/J353),"")</f>
        <v/>
      </c>
      <c r="K356" s="49" t="str">
        <f aca="false">IFERROR(IF(N(K353)=0,"",1-K351/K353),"")</f>
        <v/>
      </c>
      <c r="L356" s="49" t="str">
        <f aca="false">IFERROR(IF(N(L353)=0,"",1-L351/L353),"")</f>
        <v/>
      </c>
      <c r="M356" s="49" t="str">
        <f aca="false">IFERROR(IF(N(M353)=0,"",1-M351/M353),"")</f>
        <v/>
      </c>
      <c r="N356" s="49" t="str">
        <f aca="false">IFERROR(IF(N(N353)=0,"",1-N351/N353),"")</f>
        <v/>
      </c>
      <c r="O356" s="99" t="str">
        <f aca="false">IFERROR(IF(N(O353)=0,"",1-O351/O353),"")</f>
        <v/>
      </c>
    </row>
    <row r="357" customFormat="false" ht="15" hidden="true" customHeight="false" outlineLevel="1" collapsed="false">
      <c r="A357" s="11" t="s">
        <v>2486</v>
      </c>
      <c r="B357" s="15" t="s">
        <v>2376</v>
      </c>
      <c r="C357" s="11" t="s">
        <v>508</v>
      </c>
      <c r="D357" s="48" t="str">
        <f aca="false">IFERROR(IF(OR(NOT(ISNUMBER(D351)),N(D241)=0),"",D242*D351/D241),"")</f>
        <v/>
      </c>
      <c r="E357" s="48" t="str">
        <f aca="false">IFERROR(IF(OR(NOT(ISNUMBER(E351)),N(E241)=0),"",E242*E351/E241),"")</f>
        <v/>
      </c>
      <c r="F357" s="48" t="str">
        <f aca="false">IFERROR(IF(OR(NOT(ISNUMBER(F351)),N(F241)=0),"",F242*F351/F241),"")</f>
        <v/>
      </c>
      <c r="G357" s="48" t="str">
        <f aca="false">IFERROR(IF(OR(NOT(ISNUMBER(G351)),N(G241)=0),"",G242*G351/G241),"")</f>
        <v/>
      </c>
      <c r="H357" s="48" t="str">
        <f aca="false">IFERROR(IF(OR(NOT(ISNUMBER(H351)),N(H241)=0),"",H242*H351/H241),"")</f>
        <v/>
      </c>
      <c r="I357" s="48" t="str">
        <f aca="false">IFERROR(IF(OR(NOT(ISNUMBER(I351)),N(I241)=0),"",I242*I351/I241),"")</f>
        <v/>
      </c>
      <c r="J357" s="48" t="str">
        <f aca="false">IFERROR(IF(OR(NOT(ISNUMBER(J351)),N(J241)=0),"",J242*J351/J241),"")</f>
        <v/>
      </c>
      <c r="K357" s="48" t="str">
        <f aca="false">IFERROR(IF(OR(NOT(ISNUMBER(K351)),N(K241)=0),"",K242*K351/K241),"")</f>
        <v/>
      </c>
      <c r="L357" s="48" t="str">
        <f aca="false">IFERROR(IF(OR(NOT(ISNUMBER(L351)),N(L241)=0),"",L242*L351/L241),"")</f>
        <v/>
      </c>
      <c r="M357" s="48" t="str">
        <f aca="false">IFERROR(IF(OR(NOT(ISNUMBER(M351)),N(M241)=0),"",M242*M351/M241),"")</f>
        <v/>
      </c>
      <c r="N357" s="48" t="str">
        <f aca="false">IFERROR(IF(OR(NOT(ISNUMBER(N351)),N(N241)=0),"",N242*N351/N241),"")</f>
        <v/>
      </c>
      <c r="O357" s="54" t="str">
        <f aca="false">IF(COUNT(D357:N357)=0,"",SUM(D357:N357))</f>
        <v/>
      </c>
    </row>
    <row r="358" customFormat="false" ht="15" hidden="true" customHeight="false" outlineLevel="1" collapsed="false">
      <c r="A358" s="11" t="s">
        <v>2487</v>
      </c>
      <c r="B358" s="15" t="s">
        <v>2378</v>
      </c>
      <c r="C358" s="11" t="s">
        <v>508</v>
      </c>
      <c r="D358" s="48" t="str">
        <f aca="false">IFERROR(IF(COUNT(D351,D357)=0,"",N(D351)+N(D357)),"")</f>
        <v/>
      </c>
      <c r="E358" s="48" t="str">
        <f aca="false">IFERROR(IF(COUNT(E351,E357)=0,"",N(E351)+N(E357)),"")</f>
        <v/>
      </c>
      <c r="F358" s="48" t="str">
        <f aca="false">IFERROR(IF(COUNT(F351,F357)=0,"",N(F351)+N(F357)),"")</f>
        <v/>
      </c>
      <c r="G358" s="48" t="str">
        <f aca="false">IFERROR(IF(COUNT(G351,G357)=0,"",N(G351)+N(G357)),"")</f>
        <v/>
      </c>
      <c r="H358" s="48" t="str">
        <f aca="false">IFERROR(IF(COUNT(H351,H357)=0,"",N(H351)+N(H357)),"")</f>
        <v/>
      </c>
      <c r="I358" s="48" t="str">
        <f aca="false">IFERROR(IF(COUNT(I351,I357)=0,"",N(I351)+N(I357)),"")</f>
        <v/>
      </c>
      <c r="J358" s="48" t="str">
        <f aca="false">IFERROR(IF(COUNT(J351,J357)=0,"",N(J351)+N(J357)),"")</f>
        <v/>
      </c>
      <c r="K358" s="48" t="str">
        <f aca="false">IFERROR(IF(COUNT(K351,K357)=0,"",N(K351)+N(K357)),"")</f>
        <v/>
      </c>
      <c r="L358" s="48" t="str">
        <f aca="false">IFERROR(IF(COUNT(L351,L357)=0,"",N(L351)+N(L357)),"")</f>
        <v/>
      </c>
      <c r="M358" s="48" t="str">
        <f aca="false">IFERROR(IF(COUNT(M351,M357)=0,"",N(M351)+N(M357)),"")</f>
        <v/>
      </c>
      <c r="N358" s="48" t="str">
        <f aca="false">IFERROR(IF(COUNT(N351,N357)=0,"",N(N351)+N(N357)),"")</f>
        <v/>
      </c>
      <c r="O358" s="54" t="str">
        <f aca="false">IF(COUNT(D358:N358)=0,"",SUM(D358:N358))</f>
        <v/>
      </c>
    </row>
    <row r="359" customFormat="false" ht="15" hidden="true" customHeight="false" outlineLevel="1" collapsed="false">
      <c r="A359" s="11" t="s">
        <v>2488</v>
      </c>
      <c r="B359" s="15" t="s">
        <v>2380</v>
      </c>
      <c r="C359" s="11" t="s">
        <v>748</v>
      </c>
      <c r="D359" s="50" t="str">
        <f aca="false">IFERROR(IF(OR(NOT(ISNUMBER(D358)),N(D352)=0),"",D358/D352),"")</f>
        <v/>
      </c>
      <c r="E359" s="50" t="str">
        <f aca="false">IFERROR(IF(OR(NOT(ISNUMBER(E358)),N(E352)=0),"",E358/E352),"")</f>
        <v/>
      </c>
      <c r="F359" s="50" t="str">
        <f aca="false">IFERROR(IF(OR(NOT(ISNUMBER(F358)),N(F352)=0),"",F358/F352),"")</f>
        <v/>
      </c>
      <c r="G359" s="50" t="str">
        <f aca="false">IFERROR(IF(OR(NOT(ISNUMBER(G358)),N(G352)=0),"",G358/G352),"")</f>
        <v/>
      </c>
      <c r="H359" s="50" t="str">
        <f aca="false">IFERROR(IF(OR(NOT(ISNUMBER(H358)),N(H352)=0),"",H358/H352),"")</f>
        <v/>
      </c>
      <c r="I359" s="50" t="str">
        <f aca="false">IFERROR(IF(OR(NOT(ISNUMBER(I358)),N(I352)=0),"",I358/I352),"")</f>
        <v/>
      </c>
      <c r="J359" s="50" t="str">
        <f aca="false">IFERROR(IF(OR(NOT(ISNUMBER(J358)),N(J352)=0),"",J358/J352),"")</f>
        <v/>
      </c>
      <c r="K359" s="50" t="str">
        <f aca="false">IFERROR(IF(OR(NOT(ISNUMBER(K358)),N(K352)=0),"",K358/K352),"")</f>
        <v/>
      </c>
      <c r="L359" s="50" t="str">
        <f aca="false">IFERROR(IF(OR(NOT(ISNUMBER(L358)),N(L352)=0),"",L358/L352),"")</f>
        <v/>
      </c>
      <c r="M359" s="50" t="str">
        <f aca="false">IFERROR(IF(OR(NOT(ISNUMBER(M358)),N(M352)=0),"",M358/M352),"")</f>
        <v/>
      </c>
      <c r="N359" s="50" t="str">
        <f aca="false">IFERROR(IF(OR(NOT(ISNUMBER(N358)),N(N352)=0),"",N358/N352),"")</f>
        <v/>
      </c>
      <c r="O359" s="68" t="str">
        <f aca="false">IFERROR(IF(OR(NOT(ISNUMBER(O358)),N(O352)=0),"",O358/O352),"")</f>
        <v/>
      </c>
    </row>
    <row r="360" customFormat="false" ht="15" hidden="true" customHeight="false" outlineLevel="1" collapsed="false">
      <c r="A360" s="11" t="s">
        <v>2489</v>
      </c>
      <c r="B360" s="53" t="str">
        <f aca="false">IF(INDEX(Prod_Nombre,14)="","Producto 14",INDEX(Prod_Nombre,14))&amp;" — costo directo"</f>
        <v>Producto 14 — costo directo</v>
      </c>
      <c r="C360" s="11" t="s">
        <v>508</v>
      </c>
      <c r="D360" s="37"/>
      <c r="E360" s="37"/>
      <c r="F360" s="37"/>
      <c r="G360" s="37"/>
      <c r="H360" s="37"/>
      <c r="I360" s="37"/>
      <c r="J360" s="37"/>
      <c r="K360" s="37"/>
      <c r="L360" s="37"/>
      <c r="M360" s="37"/>
      <c r="N360" s="37"/>
      <c r="O360" s="54" t="str">
        <f aca="false">IF(COUNT(D360:N360)=0,"",SUM(D360:N360))</f>
        <v/>
      </c>
    </row>
    <row r="361" customFormat="false" ht="15" hidden="true" customHeight="false" outlineLevel="1" collapsed="false">
      <c r="A361" s="11" t="s">
        <v>2490</v>
      </c>
      <c r="B361" s="15" t="s">
        <v>2366</v>
      </c>
      <c r="C361" s="11" t="s">
        <v>544</v>
      </c>
      <c r="D361" s="37"/>
      <c r="E361" s="37"/>
      <c r="F361" s="37"/>
      <c r="G361" s="37"/>
      <c r="H361" s="37"/>
      <c r="I361" s="37"/>
      <c r="J361" s="37"/>
      <c r="K361" s="37"/>
      <c r="L361" s="37"/>
      <c r="M361" s="37"/>
      <c r="N361" s="37"/>
      <c r="O361" s="54" t="str">
        <f aca="false">IF(COUNT(D361:N361)=0,"",SUM(D361:N361))</f>
        <v/>
      </c>
    </row>
    <row r="362" customFormat="false" ht="15" hidden="true" customHeight="false" outlineLevel="1" collapsed="false">
      <c r="A362" s="11" t="s">
        <v>2491</v>
      </c>
      <c r="B362" s="15" t="s">
        <v>2368</v>
      </c>
      <c r="C362" s="11" t="s">
        <v>508</v>
      </c>
      <c r="D362" s="37"/>
      <c r="E362" s="37"/>
      <c r="F362" s="37"/>
      <c r="G362" s="37"/>
      <c r="H362" s="37"/>
      <c r="I362" s="37"/>
      <c r="J362" s="37"/>
      <c r="K362" s="37"/>
      <c r="L362" s="37"/>
      <c r="M362" s="37"/>
      <c r="N362" s="37"/>
      <c r="O362" s="54" t="str">
        <f aca="false">IF(COUNT(D362:N362)=0,"",SUM(D362:N362))</f>
        <v/>
      </c>
    </row>
    <row r="363" customFormat="false" ht="15" hidden="true" customHeight="false" outlineLevel="1" collapsed="false">
      <c r="A363" s="11" t="s">
        <v>2492</v>
      </c>
      <c r="B363" s="15" t="s">
        <v>2370</v>
      </c>
      <c r="C363" s="11" t="s">
        <v>748</v>
      </c>
      <c r="D363" s="50" t="str">
        <f aca="false">IFERROR(IF(OR(NOT(ISNUMBER(D360)),N(D361)=0),"",D360/D361),"")</f>
        <v/>
      </c>
      <c r="E363" s="50" t="str">
        <f aca="false">IFERROR(IF(OR(NOT(ISNUMBER(E360)),N(E361)=0),"",E360/E361),"")</f>
        <v/>
      </c>
      <c r="F363" s="50" t="str">
        <f aca="false">IFERROR(IF(OR(NOT(ISNUMBER(F360)),N(F361)=0),"",F360/F361),"")</f>
        <v/>
      </c>
      <c r="G363" s="50" t="str">
        <f aca="false">IFERROR(IF(OR(NOT(ISNUMBER(G360)),N(G361)=0),"",G360/G361),"")</f>
        <v/>
      </c>
      <c r="H363" s="50" t="str">
        <f aca="false">IFERROR(IF(OR(NOT(ISNUMBER(H360)),N(H361)=0),"",H360/H361),"")</f>
        <v/>
      </c>
      <c r="I363" s="50" t="str">
        <f aca="false">IFERROR(IF(OR(NOT(ISNUMBER(I360)),N(I361)=0),"",I360/I361),"")</f>
        <v/>
      </c>
      <c r="J363" s="50" t="str">
        <f aca="false">IFERROR(IF(OR(NOT(ISNUMBER(J360)),N(J361)=0),"",J360/J361),"")</f>
        <v/>
      </c>
      <c r="K363" s="50" t="str">
        <f aca="false">IFERROR(IF(OR(NOT(ISNUMBER(K360)),N(K361)=0),"",K360/K361),"")</f>
        <v/>
      </c>
      <c r="L363" s="50" t="str">
        <f aca="false">IFERROR(IF(OR(NOT(ISNUMBER(L360)),N(L361)=0),"",L360/L361),"")</f>
        <v/>
      </c>
      <c r="M363" s="50" t="str">
        <f aca="false">IFERROR(IF(OR(NOT(ISNUMBER(M360)),N(M361)=0),"",M360/M361),"")</f>
        <v/>
      </c>
      <c r="N363" s="50" t="str">
        <f aca="false">IFERROR(IF(OR(NOT(ISNUMBER(N360)),N(N361)=0),"",N360/N361),"")</f>
        <v/>
      </c>
      <c r="O363" s="68" t="str">
        <f aca="false">IFERROR(IF(OR(NOT(ISNUMBER(O360)),N(O361)=0),"",O360/O361),"")</f>
        <v/>
      </c>
    </row>
    <row r="364" customFormat="false" ht="15" hidden="true" customHeight="false" outlineLevel="1" collapsed="false">
      <c r="A364" s="11" t="s">
        <v>2493</v>
      </c>
      <c r="B364" s="15" t="s">
        <v>2372</v>
      </c>
      <c r="C364" s="11" t="s">
        <v>748</v>
      </c>
      <c r="D364" s="50" t="str">
        <f aca="false">IFERROR(IF(N(D361)=0,"",(D362-D360)/D361),"")</f>
        <v/>
      </c>
      <c r="E364" s="50" t="str">
        <f aca="false">IFERROR(IF(N(E361)=0,"",(E362-E360)/E361),"")</f>
        <v/>
      </c>
      <c r="F364" s="50" t="str">
        <f aca="false">IFERROR(IF(N(F361)=0,"",(F362-F360)/F361),"")</f>
        <v/>
      </c>
      <c r="G364" s="50" t="str">
        <f aca="false">IFERROR(IF(N(G361)=0,"",(G362-G360)/G361),"")</f>
        <v/>
      </c>
      <c r="H364" s="50" t="str">
        <f aca="false">IFERROR(IF(N(H361)=0,"",(H362-H360)/H361),"")</f>
        <v/>
      </c>
      <c r="I364" s="50" t="str">
        <f aca="false">IFERROR(IF(N(I361)=0,"",(I362-I360)/I361),"")</f>
        <v/>
      </c>
      <c r="J364" s="50" t="str">
        <f aca="false">IFERROR(IF(N(J361)=0,"",(J362-J360)/J361),"")</f>
        <v/>
      </c>
      <c r="K364" s="50" t="str">
        <f aca="false">IFERROR(IF(N(K361)=0,"",(K362-K360)/K361),"")</f>
        <v/>
      </c>
      <c r="L364" s="50" t="str">
        <f aca="false">IFERROR(IF(N(L361)=0,"",(L362-L360)/L361),"")</f>
        <v/>
      </c>
      <c r="M364" s="50" t="str">
        <f aca="false">IFERROR(IF(N(M361)=0,"",(M362-M360)/M361),"")</f>
        <v/>
      </c>
      <c r="N364" s="50" t="str">
        <f aca="false">IFERROR(IF(N(N361)=0,"",(N362-N360)/N361),"")</f>
        <v/>
      </c>
      <c r="O364" s="68" t="str">
        <f aca="false">IFERROR(IF(N(O361)=0,"",(O362-O360)/O361),"")</f>
        <v/>
      </c>
    </row>
    <row r="365" customFormat="false" ht="15" hidden="true" customHeight="false" outlineLevel="1" collapsed="false">
      <c r="A365" s="11" t="s">
        <v>2494</v>
      </c>
      <c r="B365" s="15" t="s">
        <v>2374</v>
      </c>
      <c r="C365" s="11" t="s">
        <v>367</v>
      </c>
      <c r="D365" s="49" t="str">
        <f aca="false">IFERROR(IF(N(D362)=0,"",1-D360/D362),"")</f>
        <v/>
      </c>
      <c r="E365" s="49" t="str">
        <f aca="false">IFERROR(IF(N(E362)=0,"",1-E360/E362),"")</f>
        <v/>
      </c>
      <c r="F365" s="49" t="str">
        <f aca="false">IFERROR(IF(N(F362)=0,"",1-F360/F362),"")</f>
        <v/>
      </c>
      <c r="G365" s="49" t="str">
        <f aca="false">IFERROR(IF(N(G362)=0,"",1-G360/G362),"")</f>
        <v/>
      </c>
      <c r="H365" s="49" t="str">
        <f aca="false">IFERROR(IF(N(H362)=0,"",1-H360/H362),"")</f>
        <v/>
      </c>
      <c r="I365" s="49" t="str">
        <f aca="false">IFERROR(IF(N(I362)=0,"",1-I360/I362),"")</f>
        <v/>
      </c>
      <c r="J365" s="49" t="str">
        <f aca="false">IFERROR(IF(N(J362)=0,"",1-J360/J362),"")</f>
        <v/>
      </c>
      <c r="K365" s="49" t="str">
        <f aca="false">IFERROR(IF(N(K362)=0,"",1-K360/K362),"")</f>
        <v/>
      </c>
      <c r="L365" s="49" t="str">
        <f aca="false">IFERROR(IF(N(L362)=0,"",1-L360/L362),"")</f>
        <v/>
      </c>
      <c r="M365" s="49" t="str">
        <f aca="false">IFERROR(IF(N(M362)=0,"",1-M360/M362),"")</f>
        <v/>
      </c>
      <c r="N365" s="49" t="str">
        <f aca="false">IFERROR(IF(N(N362)=0,"",1-N360/N362),"")</f>
        <v/>
      </c>
      <c r="O365" s="99" t="str">
        <f aca="false">IFERROR(IF(N(O362)=0,"",1-O360/O362),"")</f>
        <v/>
      </c>
    </row>
    <row r="366" customFormat="false" ht="15" hidden="true" customHeight="false" outlineLevel="1" collapsed="false">
      <c r="A366" s="11" t="s">
        <v>2495</v>
      </c>
      <c r="B366" s="15" t="s">
        <v>2376</v>
      </c>
      <c r="C366" s="11" t="s">
        <v>508</v>
      </c>
      <c r="D366" s="48" t="str">
        <f aca="false">IFERROR(IF(OR(NOT(ISNUMBER(D360)),N(D241)=0),"",D242*D360/D241),"")</f>
        <v/>
      </c>
      <c r="E366" s="48" t="str">
        <f aca="false">IFERROR(IF(OR(NOT(ISNUMBER(E360)),N(E241)=0),"",E242*E360/E241),"")</f>
        <v/>
      </c>
      <c r="F366" s="48" t="str">
        <f aca="false">IFERROR(IF(OR(NOT(ISNUMBER(F360)),N(F241)=0),"",F242*F360/F241),"")</f>
        <v/>
      </c>
      <c r="G366" s="48" t="str">
        <f aca="false">IFERROR(IF(OR(NOT(ISNUMBER(G360)),N(G241)=0),"",G242*G360/G241),"")</f>
        <v/>
      </c>
      <c r="H366" s="48" t="str">
        <f aca="false">IFERROR(IF(OR(NOT(ISNUMBER(H360)),N(H241)=0),"",H242*H360/H241),"")</f>
        <v/>
      </c>
      <c r="I366" s="48" t="str">
        <f aca="false">IFERROR(IF(OR(NOT(ISNUMBER(I360)),N(I241)=0),"",I242*I360/I241),"")</f>
        <v/>
      </c>
      <c r="J366" s="48" t="str">
        <f aca="false">IFERROR(IF(OR(NOT(ISNUMBER(J360)),N(J241)=0),"",J242*J360/J241),"")</f>
        <v/>
      </c>
      <c r="K366" s="48" t="str">
        <f aca="false">IFERROR(IF(OR(NOT(ISNUMBER(K360)),N(K241)=0),"",K242*K360/K241),"")</f>
        <v/>
      </c>
      <c r="L366" s="48" t="str">
        <f aca="false">IFERROR(IF(OR(NOT(ISNUMBER(L360)),N(L241)=0),"",L242*L360/L241),"")</f>
        <v/>
      </c>
      <c r="M366" s="48" t="str">
        <f aca="false">IFERROR(IF(OR(NOT(ISNUMBER(M360)),N(M241)=0),"",M242*M360/M241),"")</f>
        <v/>
      </c>
      <c r="N366" s="48" t="str">
        <f aca="false">IFERROR(IF(OR(NOT(ISNUMBER(N360)),N(N241)=0),"",N242*N360/N241),"")</f>
        <v/>
      </c>
      <c r="O366" s="54" t="str">
        <f aca="false">IF(COUNT(D366:N366)=0,"",SUM(D366:N366))</f>
        <v/>
      </c>
    </row>
    <row r="367" customFormat="false" ht="15" hidden="true" customHeight="false" outlineLevel="1" collapsed="false">
      <c r="A367" s="11" t="s">
        <v>2496</v>
      </c>
      <c r="B367" s="15" t="s">
        <v>2378</v>
      </c>
      <c r="C367" s="11" t="s">
        <v>508</v>
      </c>
      <c r="D367" s="48" t="str">
        <f aca="false">IFERROR(IF(COUNT(D360,D366)=0,"",N(D360)+N(D366)),"")</f>
        <v/>
      </c>
      <c r="E367" s="48" t="str">
        <f aca="false">IFERROR(IF(COUNT(E360,E366)=0,"",N(E360)+N(E366)),"")</f>
        <v/>
      </c>
      <c r="F367" s="48" t="str">
        <f aca="false">IFERROR(IF(COUNT(F360,F366)=0,"",N(F360)+N(F366)),"")</f>
        <v/>
      </c>
      <c r="G367" s="48" t="str">
        <f aca="false">IFERROR(IF(COUNT(G360,G366)=0,"",N(G360)+N(G366)),"")</f>
        <v/>
      </c>
      <c r="H367" s="48" t="str">
        <f aca="false">IFERROR(IF(COUNT(H360,H366)=0,"",N(H360)+N(H366)),"")</f>
        <v/>
      </c>
      <c r="I367" s="48" t="str">
        <f aca="false">IFERROR(IF(COUNT(I360,I366)=0,"",N(I360)+N(I366)),"")</f>
        <v/>
      </c>
      <c r="J367" s="48" t="str">
        <f aca="false">IFERROR(IF(COUNT(J360,J366)=0,"",N(J360)+N(J366)),"")</f>
        <v/>
      </c>
      <c r="K367" s="48" t="str">
        <f aca="false">IFERROR(IF(COUNT(K360,K366)=0,"",N(K360)+N(K366)),"")</f>
        <v/>
      </c>
      <c r="L367" s="48" t="str">
        <f aca="false">IFERROR(IF(COUNT(L360,L366)=0,"",N(L360)+N(L366)),"")</f>
        <v/>
      </c>
      <c r="M367" s="48" t="str">
        <f aca="false">IFERROR(IF(COUNT(M360,M366)=0,"",N(M360)+N(M366)),"")</f>
        <v/>
      </c>
      <c r="N367" s="48" t="str">
        <f aca="false">IFERROR(IF(COUNT(N360,N366)=0,"",N(N360)+N(N366)),"")</f>
        <v/>
      </c>
      <c r="O367" s="54" t="str">
        <f aca="false">IF(COUNT(D367:N367)=0,"",SUM(D367:N367))</f>
        <v/>
      </c>
    </row>
    <row r="368" customFormat="false" ht="15" hidden="true" customHeight="false" outlineLevel="1" collapsed="false">
      <c r="A368" s="11" t="s">
        <v>2497</v>
      </c>
      <c r="B368" s="15" t="s">
        <v>2380</v>
      </c>
      <c r="C368" s="11" t="s">
        <v>748</v>
      </c>
      <c r="D368" s="50" t="str">
        <f aca="false">IFERROR(IF(OR(NOT(ISNUMBER(D367)),N(D361)=0),"",D367/D361),"")</f>
        <v/>
      </c>
      <c r="E368" s="50" t="str">
        <f aca="false">IFERROR(IF(OR(NOT(ISNUMBER(E367)),N(E361)=0),"",E367/E361),"")</f>
        <v/>
      </c>
      <c r="F368" s="50" t="str">
        <f aca="false">IFERROR(IF(OR(NOT(ISNUMBER(F367)),N(F361)=0),"",F367/F361),"")</f>
        <v/>
      </c>
      <c r="G368" s="50" t="str">
        <f aca="false">IFERROR(IF(OR(NOT(ISNUMBER(G367)),N(G361)=0),"",G367/G361),"")</f>
        <v/>
      </c>
      <c r="H368" s="50" t="str">
        <f aca="false">IFERROR(IF(OR(NOT(ISNUMBER(H367)),N(H361)=0),"",H367/H361),"")</f>
        <v/>
      </c>
      <c r="I368" s="50" t="str">
        <f aca="false">IFERROR(IF(OR(NOT(ISNUMBER(I367)),N(I361)=0),"",I367/I361),"")</f>
        <v/>
      </c>
      <c r="J368" s="50" t="str">
        <f aca="false">IFERROR(IF(OR(NOT(ISNUMBER(J367)),N(J361)=0),"",J367/J361),"")</f>
        <v/>
      </c>
      <c r="K368" s="50" t="str">
        <f aca="false">IFERROR(IF(OR(NOT(ISNUMBER(K367)),N(K361)=0),"",K367/K361),"")</f>
        <v/>
      </c>
      <c r="L368" s="50" t="str">
        <f aca="false">IFERROR(IF(OR(NOT(ISNUMBER(L367)),N(L361)=0),"",L367/L361),"")</f>
        <v/>
      </c>
      <c r="M368" s="50" t="str">
        <f aca="false">IFERROR(IF(OR(NOT(ISNUMBER(M367)),N(M361)=0),"",M367/M361),"")</f>
        <v/>
      </c>
      <c r="N368" s="50" t="str">
        <f aca="false">IFERROR(IF(OR(NOT(ISNUMBER(N367)),N(N361)=0),"",N367/N361),"")</f>
        <v/>
      </c>
      <c r="O368" s="68" t="str">
        <f aca="false">IFERROR(IF(OR(NOT(ISNUMBER(O367)),N(O361)=0),"",O367/O361),"")</f>
        <v/>
      </c>
    </row>
    <row r="369" customFormat="false" ht="15" hidden="true" customHeight="false" outlineLevel="1" collapsed="false">
      <c r="A369" s="11" t="s">
        <v>2498</v>
      </c>
      <c r="B369" s="53" t="str">
        <f aca="false">IF(INDEX(Prod_Nombre,15)="","Producto 15",INDEX(Prod_Nombre,15))&amp;" — costo directo"</f>
        <v>Producto 15 — costo directo</v>
      </c>
      <c r="C369" s="11" t="s">
        <v>508</v>
      </c>
      <c r="D369" s="37"/>
      <c r="E369" s="37"/>
      <c r="F369" s="37"/>
      <c r="G369" s="37"/>
      <c r="H369" s="37"/>
      <c r="I369" s="37"/>
      <c r="J369" s="37"/>
      <c r="K369" s="37"/>
      <c r="L369" s="37"/>
      <c r="M369" s="37"/>
      <c r="N369" s="37"/>
      <c r="O369" s="54" t="str">
        <f aca="false">IF(COUNT(D369:N369)=0,"",SUM(D369:N369))</f>
        <v/>
      </c>
    </row>
    <row r="370" customFormat="false" ht="15" hidden="true" customHeight="false" outlineLevel="1" collapsed="false">
      <c r="A370" s="11" t="s">
        <v>2499</v>
      </c>
      <c r="B370" s="15" t="s">
        <v>2366</v>
      </c>
      <c r="C370" s="11" t="s">
        <v>544</v>
      </c>
      <c r="D370" s="37"/>
      <c r="E370" s="37"/>
      <c r="F370" s="37"/>
      <c r="G370" s="37"/>
      <c r="H370" s="37"/>
      <c r="I370" s="37"/>
      <c r="J370" s="37"/>
      <c r="K370" s="37"/>
      <c r="L370" s="37"/>
      <c r="M370" s="37"/>
      <c r="N370" s="37"/>
      <c r="O370" s="54" t="str">
        <f aca="false">IF(COUNT(D370:N370)=0,"",SUM(D370:N370))</f>
        <v/>
      </c>
    </row>
    <row r="371" customFormat="false" ht="15" hidden="true" customHeight="false" outlineLevel="1" collapsed="false">
      <c r="A371" s="11" t="s">
        <v>2500</v>
      </c>
      <c r="B371" s="15" t="s">
        <v>2368</v>
      </c>
      <c r="C371" s="11" t="s">
        <v>508</v>
      </c>
      <c r="D371" s="37"/>
      <c r="E371" s="37"/>
      <c r="F371" s="37"/>
      <c r="G371" s="37"/>
      <c r="H371" s="37"/>
      <c r="I371" s="37"/>
      <c r="J371" s="37"/>
      <c r="K371" s="37"/>
      <c r="L371" s="37"/>
      <c r="M371" s="37"/>
      <c r="N371" s="37"/>
      <c r="O371" s="54" t="str">
        <f aca="false">IF(COUNT(D371:N371)=0,"",SUM(D371:N371))</f>
        <v/>
      </c>
    </row>
    <row r="372" customFormat="false" ht="15" hidden="true" customHeight="false" outlineLevel="1" collapsed="false">
      <c r="A372" s="11" t="s">
        <v>2501</v>
      </c>
      <c r="B372" s="15" t="s">
        <v>2370</v>
      </c>
      <c r="C372" s="11" t="s">
        <v>748</v>
      </c>
      <c r="D372" s="50" t="str">
        <f aca="false">IFERROR(IF(OR(NOT(ISNUMBER(D369)),N(D370)=0),"",D369/D370),"")</f>
        <v/>
      </c>
      <c r="E372" s="50" t="str">
        <f aca="false">IFERROR(IF(OR(NOT(ISNUMBER(E369)),N(E370)=0),"",E369/E370),"")</f>
        <v/>
      </c>
      <c r="F372" s="50" t="str">
        <f aca="false">IFERROR(IF(OR(NOT(ISNUMBER(F369)),N(F370)=0),"",F369/F370),"")</f>
        <v/>
      </c>
      <c r="G372" s="50" t="str">
        <f aca="false">IFERROR(IF(OR(NOT(ISNUMBER(G369)),N(G370)=0),"",G369/G370),"")</f>
        <v/>
      </c>
      <c r="H372" s="50" t="str">
        <f aca="false">IFERROR(IF(OR(NOT(ISNUMBER(H369)),N(H370)=0),"",H369/H370),"")</f>
        <v/>
      </c>
      <c r="I372" s="50" t="str">
        <f aca="false">IFERROR(IF(OR(NOT(ISNUMBER(I369)),N(I370)=0),"",I369/I370),"")</f>
        <v/>
      </c>
      <c r="J372" s="50" t="str">
        <f aca="false">IFERROR(IF(OR(NOT(ISNUMBER(J369)),N(J370)=0),"",J369/J370),"")</f>
        <v/>
      </c>
      <c r="K372" s="50" t="str">
        <f aca="false">IFERROR(IF(OR(NOT(ISNUMBER(K369)),N(K370)=0),"",K369/K370),"")</f>
        <v/>
      </c>
      <c r="L372" s="50" t="str">
        <f aca="false">IFERROR(IF(OR(NOT(ISNUMBER(L369)),N(L370)=0),"",L369/L370),"")</f>
        <v/>
      </c>
      <c r="M372" s="50" t="str">
        <f aca="false">IFERROR(IF(OR(NOT(ISNUMBER(M369)),N(M370)=0),"",M369/M370),"")</f>
        <v/>
      </c>
      <c r="N372" s="50" t="str">
        <f aca="false">IFERROR(IF(OR(NOT(ISNUMBER(N369)),N(N370)=0),"",N369/N370),"")</f>
        <v/>
      </c>
      <c r="O372" s="68" t="str">
        <f aca="false">IFERROR(IF(OR(NOT(ISNUMBER(O369)),N(O370)=0),"",O369/O370),"")</f>
        <v/>
      </c>
    </row>
    <row r="373" customFormat="false" ht="15" hidden="true" customHeight="false" outlineLevel="1" collapsed="false">
      <c r="A373" s="11" t="s">
        <v>2502</v>
      </c>
      <c r="B373" s="15" t="s">
        <v>2372</v>
      </c>
      <c r="C373" s="11" t="s">
        <v>748</v>
      </c>
      <c r="D373" s="50" t="str">
        <f aca="false">IFERROR(IF(N(D370)=0,"",(D371-D369)/D370),"")</f>
        <v/>
      </c>
      <c r="E373" s="50" t="str">
        <f aca="false">IFERROR(IF(N(E370)=0,"",(E371-E369)/E370),"")</f>
        <v/>
      </c>
      <c r="F373" s="50" t="str">
        <f aca="false">IFERROR(IF(N(F370)=0,"",(F371-F369)/F370),"")</f>
        <v/>
      </c>
      <c r="G373" s="50" t="str">
        <f aca="false">IFERROR(IF(N(G370)=0,"",(G371-G369)/G370),"")</f>
        <v/>
      </c>
      <c r="H373" s="50" t="str">
        <f aca="false">IFERROR(IF(N(H370)=0,"",(H371-H369)/H370),"")</f>
        <v/>
      </c>
      <c r="I373" s="50" t="str">
        <f aca="false">IFERROR(IF(N(I370)=0,"",(I371-I369)/I370),"")</f>
        <v/>
      </c>
      <c r="J373" s="50" t="str">
        <f aca="false">IFERROR(IF(N(J370)=0,"",(J371-J369)/J370),"")</f>
        <v/>
      </c>
      <c r="K373" s="50" t="str">
        <f aca="false">IFERROR(IF(N(K370)=0,"",(K371-K369)/K370),"")</f>
        <v/>
      </c>
      <c r="L373" s="50" t="str">
        <f aca="false">IFERROR(IF(N(L370)=0,"",(L371-L369)/L370),"")</f>
        <v/>
      </c>
      <c r="M373" s="50" t="str">
        <f aca="false">IFERROR(IF(N(M370)=0,"",(M371-M369)/M370),"")</f>
        <v/>
      </c>
      <c r="N373" s="50" t="str">
        <f aca="false">IFERROR(IF(N(N370)=0,"",(N371-N369)/N370),"")</f>
        <v/>
      </c>
      <c r="O373" s="68" t="str">
        <f aca="false">IFERROR(IF(N(O370)=0,"",(O371-O369)/O370),"")</f>
        <v/>
      </c>
    </row>
    <row r="374" customFormat="false" ht="15" hidden="true" customHeight="false" outlineLevel="1" collapsed="false">
      <c r="A374" s="11" t="s">
        <v>2503</v>
      </c>
      <c r="B374" s="15" t="s">
        <v>2374</v>
      </c>
      <c r="C374" s="11" t="s">
        <v>367</v>
      </c>
      <c r="D374" s="49" t="str">
        <f aca="false">IFERROR(IF(N(D371)=0,"",1-D369/D371),"")</f>
        <v/>
      </c>
      <c r="E374" s="49" t="str">
        <f aca="false">IFERROR(IF(N(E371)=0,"",1-E369/E371),"")</f>
        <v/>
      </c>
      <c r="F374" s="49" t="str">
        <f aca="false">IFERROR(IF(N(F371)=0,"",1-F369/F371),"")</f>
        <v/>
      </c>
      <c r="G374" s="49" t="str">
        <f aca="false">IFERROR(IF(N(G371)=0,"",1-G369/G371),"")</f>
        <v/>
      </c>
      <c r="H374" s="49" t="str">
        <f aca="false">IFERROR(IF(N(H371)=0,"",1-H369/H371),"")</f>
        <v/>
      </c>
      <c r="I374" s="49" t="str">
        <f aca="false">IFERROR(IF(N(I371)=0,"",1-I369/I371),"")</f>
        <v/>
      </c>
      <c r="J374" s="49" t="str">
        <f aca="false">IFERROR(IF(N(J371)=0,"",1-J369/J371),"")</f>
        <v/>
      </c>
      <c r="K374" s="49" t="str">
        <f aca="false">IFERROR(IF(N(K371)=0,"",1-K369/K371),"")</f>
        <v/>
      </c>
      <c r="L374" s="49" t="str">
        <f aca="false">IFERROR(IF(N(L371)=0,"",1-L369/L371),"")</f>
        <v/>
      </c>
      <c r="M374" s="49" t="str">
        <f aca="false">IFERROR(IF(N(M371)=0,"",1-M369/M371),"")</f>
        <v/>
      </c>
      <c r="N374" s="49" t="str">
        <f aca="false">IFERROR(IF(N(N371)=0,"",1-N369/N371),"")</f>
        <v/>
      </c>
      <c r="O374" s="99" t="str">
        <f aca="false">IFERROR(IF(N(O371)=0,"",1-O369/O371),"")</f>
        <v/>
      </c>
    </row>
    <row r="375" customFormat="false" ht="15" hidden="true" customHeight="false" outlineLevel="1" collapsed="false">
      <c r="A375" s="11" t="s">
        <v>2504</v>
      </c>
      <c r="B375" s="15" t="s">
        <v>2376</v>
      </c>
      <c r="C375" s="11" t="s">
        <v>508</v>
      </c>
      <c r="D375" s="48" t="str">
        <f aca="false">IFERROR(IF(OR(NOT(ISNUMBER(D369)),N(D241)=0),"",D242*D369/D241),"")</f>
        <v/>
      </c>
      <c r="E375" s="48" t="str">
        <f aca="false">IFERROR(IF(OR(NOT(ISNUMBER(E369)),N(E241)=0),"",E242*E369/E241),"")</f>
        <v/>
      </c>
      <c r="F375" s="48" t="str">
        <f aca="false">IFERROR(IF(OR(NOT(ISNUMBER(F369)),N(F241)=0),"",F242*F369/F241),"")</f>
        <v/>
      </c>
      <c r="G375" s="48" t="str">
        <f aca="false">IFERROR(IF(OR(NOT(ISNUMBER(G369)),N(G241)=0),"",G242*G369/G241),"")</f>
        <v/>
      </c>
      <c r="H375" s="48" t="str">
        <f aca="false">IFERROR(IF(OR(NOT(ISNUMBER(H369)),N(H241)=0),"",H242*H369/H241),"")</f>
        <v/>
      </c>
      <c r="I375" s="48" t="str">
        <f aca="false">IFERROR(IF(OR(NOT(ISNUMBER(I369)),N(I241)=0),"",I242*I369/I241),"")</f>
        <v/>
      </c>
      <c r="J375" s="48" t="str">
        <f aca="false">IFERROR(IF(OR(NOT(ISNUMBER(J369)),N(J241)=0),"",J242*J369/J241),"")</f>
        <v/>
      </c>
      <c r="K375" s="48" t="str">
        <f aca="false">IFERROR(IF(OR(NOT(ISNUMBER(K369)),N(K241)=0),"",K242*K369/K241),"")</f>
        <v/>
      </c>
      <c r="L375" s="48" t="str">
        <f aca="false">IFERROR(IF(OR(NOT(ISNUMBER(L369)),N(L241)=0),"",L242*L369/L241),"")</f>
        <v/>
      </c>
      <c r="M375" s="48" t="str">
        <f aca="false">IFERROR(IF(OR(NOT(ISNUMBER(M369)),N(M241)=0),"",M242*M369/M241),"")</f>
        <v/>
      </c>
      <c r="N375" s="48" t="str">
        <f aca="false">IFERROR(IF(OR(NOT(ISNUMBER(N369)),N(N241)=0),"",N242*N369/N241),"")</f>
        <v/>
      </c>
      <c r="O375" s="54" t="str">
        <f aca="false">IF(COUNT(D375:N375)=0,"",SUM(D375:N375))</f>
        <v/>
      </c>
    </row>
    <row r="376" customFormat="false" ht="15" hidden="true" customHeight="false" outlineLevel="1" collapsed="false">
      <c r="A376" s="11" t="s">
        <v>2505</v>
      </c>
      <c r="B376" s="15" t="s">
        <v>2378</v>
      </c>
      <c r="C376" s="11" t="s">
        <v>508</v>
      </c>
      <c r="D376" s="48" t="str">
        <f aca="false">IFERROR(IF(COUNT(D369,D375)=0,"",N(D369)+N(D375)),"")</f>
        <v/>
      </c>
      <c r="E376" s="48" t="str">
        <f aca="false">IFERROR(IF(COUNT(E369,E375)=0,"",N(E369)+N(E375)),"")</f>
        <v/>
      </c>
      <c r="F376" s="48" t="str">
        <f aca="false">IFERROR(IF(COUNT(F369,F375)=0,"",N(F369)+N(F375)),"")</f>
        <v/>
      </c>
      <c r="G376" s="48" t="str">
        <f aca="false">IFERROR(IF(COUNT(G369,G375)=0,"",N(G369)+N(G375)),"")</f>
        <v/>
      </c>
      <c r="H376" s="48" t="str">
        <f aca="false">IFERROR(IF(COUNT(H369,H375)=0,"",N(H369)+N(H375)),"")</f>
        <v/>
      </c>
      <c r="I376" s="48" t="str">
        <f aca="false">IFERROR(IF(COUNT(I369,I375)=0,"",N(I369)+N(I375)),"")</f>
        <v/>
      </c>
      <c r="J376" s="48" t="str">
        <f aca="false">IFERROR(IF(COUNT(J369,J375)=0,"",N(J369)+N(J375)),"")</f>
        <v/>
      </c>
      <c r="K376" s="48" t="str">
        <f aca="false">IFERROR(IF(COUNT(K369,K375)=0,"",N(K369)+N(K375)),"")</f>
        <v/>
      </c>
      <c r="L376" s="48" t="str">
        <f aca="false">IFERROR(IF(COUNT(L369,L375)=0,"",N(L369)+N(L375)),"")</f>
        <v/>
      </c>
      <c r="M376" s="48" t="str">
        <f aca="false">IFERROR(IF(COUNT(M369,M375)=0,"",N(M369)+N(M375)),"")</f>
        <v/>
      </c>
      <c r="N376" s="48" t="str">
        <f aca="false">IFERROR(IF(COUNT(N369,N375)=0,"",N(N369)+N(N375)),"")</f>
        <v/>
      </c>
      <c r="O376" s="54" t="str">
        <f aca="false">IF(COUNT(D376:N376)=0,"",SUM(D376:N376))</f>
        <v/>
      </c>
    </row>
    <row r="377" customFormat="false" ht="15" hidden="true" customHeight="false" outlineLevel="1" collapsed="false">
      <c r="A377" s="11" t="s">
        <v>2506</v>
      </c>
      <c r="B377" s="15" t="s">
        <v>2380</v>
      </c>
      <c r="C377" s="11" t="s">
        <v>748</v>
      </c>
      <c r="D377" s="50" t="str">
        <f aca="false">IFERROR(IF(OR(NOT(ISNUMBER(D376)),N(D370)=0),"",D376/D370),"")</f>
        <v/>
      </c>
      <c r="E377" s="50" t="str">
        <f aca="false">IFERROR(IF(OR(NOT(ISNUMBER(E376)),N(E370)=0),"",E376/E370),"")</f>
        <v/>
      </c>
      <c r="F377" s="50" t="str">
        <f aca="false">IFERROR(IF(OR(NOT(ISNUMBER(F376)),N(F370)=0),"",F376/F370),"")</f>
        <v/>
      </c>
      <c r="G377" s="50" t="str">
        <f aca="false">IFERROR(IF(OR(NOT(ISNUMBER(G376)),N(G370)=0),"",G376/G370),"")</f>
        <v/>
      </c>
      <c r="H377" s="50" t="str">
        <f aca="false">IFERROR(IF(OR(NOT(ISNUMBER(H376)),N(H370)=0),"",H376/H370),"")</f>
        <v/>
      </c>
      <c r="I377" s="50" t="str">
        <f aca="false">IFERROR(IF(OR(NOT(ISNUMBER(I376)),N(I370)=0),"",I376/I370),"")</f>
        <v/>
      </c>
      <c r="J377" s="50" t="str">
        <f aca="false">IFERROR(IF(OR(NOT(ISNUMBER(J376)),N(J370)=0),"",J376/J370),"")</f>
        <v/>
      </c>
      <c r="K377" s="50" t="str">
        <f aca="false">IFERROR(IF(OR(NOT(ISNUMBER(K376)),N(K370)=0),"",K376/K370),"")</f>
        <v/>
      </c>
      <c r="L377" s="50" t="str">
        <f aca="false">IFERROR(IF(OR(NOT(ISNUMBER(L376)),N(L370)=0),"",L376/L370),"")</f>
        <v/>
      </c>
      <c r="M377" s="50" t="str">
        <f aca="false">IFERROR(IF(OR(NOT(ISNUMBER(M376)),N(M370)=0),"",M376/M370),"")</f>
        <v/>
      </c>
      <c r="N377" s="50" t="str">
        <f aca="false">IFERROR(IF(OR(NOT(ISNUMBER(N376)),N(N370)=0),"",N376/N370),"")</f>
        <v/>
      </c>
      <c r="O377" s="68" t="str">
        <f aca="false">IFERROR(IF(OR(NOT(ISNUMBER(O376)),N(O370)=0),"",O376/O370),"")</f>
        <v/>
      </c>
    </row>
    <row r="378" customFormat="false" ht="15" hidden="true" customHeight="false" outlineLevel="1" collapsed="false">
      <c r="A378" s="11" t="s">
        <v>2507</v>
      </c>
      <c r="B378" s="53" t="str">
        <f aca="false">IF(INDEX(Prod_Nombre,16)="","Producto 16",INDEX(Prod_Nombre,16))&amp;" — costo directo"</f>
        <v>Producto 16 — costo directo</v>
      </c>
      <c r="C378" s="11" t="s">
        <v>508</v>
      </c>
      <c r="D378" s="37"/>
      <c r="E378" s="37"/>
      <c r="F378" s="37"/>
      <c r="G378" s="37"/>
      <c r="H378" s="37"/>
      <c r="I378" s="37"/>
      <c r="J378" s="37"/>
      <c r="K378" s="37"/>
      <c r="L378" s="37"/>
      <c r="M378" s="37"/>
      <c r="N378" s="37"/>
      <c r="O378" s="54" t="str">
        <f aca="false">IF(COUNT(D378:N378)=0,"",SUM(D378:N378))</f>
        <v/>
      </c>
    </row>
    <row r="379" customFormat="false" ht="15" hidden="true" customHeight="false" outlineLevel="1" collapsed="false">
      <c r="A379" s="11" t="s">
        <v>2508</v>
      </c>
      <c r="B379" s="15" t="s">
        <v>2366</v>
      </c>
      <c r="C379" s="11" t="s">
        <v>544</v>
      </c>
      <c r="D379" s="37"/>
      <c r="E379" s="37"/>
      <c r="F379" s="37"/>
      <c r="G379" s="37"/>
      <c r="H379" s="37"/>
      <c r="I379" s="37"/>
      <c r="J379" s="37"/>
      <c r="K379" s="37"/>
      <c r="L379" s="37"/>
      <c r="M379" s="37"/>
      <c r="N379" s="37"/>
      <c r="O379" s="54" t="str">
        <f aca="false">IF(COUNT(D379:N379)=0,"",SUM(D379:N379))</f>
        <v/>
      </c>
    </row>
    <row r="380" customFormat="false" ht="15" hidden="true" customHeight="false" outlineLevel="1" collapsed="false">
      <c r="A380" s="11" t="s">
        <v>2509</v>
      </c>
      <c r="B380" s="15" t="s">
        <v>2368</v>
      </c>
      <c r="C380" s="11" t="s">
        <v>508</v>
      </c>
      <c r="D380" s="37"/>
      <c r="E380" s="37"/>
      <c r="F380" s="37"/>
      <c r="G380" s="37"/>
      <c r="H380" s="37"/>
      <c r="I380" s="37"/>
      <c r="J380" s="37"/>
      <c r="K380" s="37"/>
      <c r="L380" s="37"/>
      <c r="M380" s="37"/>
      <c r="N380" s="37"/>
      <c r="O380" s="54" t="str">
        <f aca="false">IF(COUNT(D380:N380)=0,"",SUM(D380:N380))</f>
        <v/>
      </c>
    </row>
    <row r="381" customFormat="false" ht="15" hidden="true" customHeight="false" outlineLevel="1" collapsed="false">
      <c r="A381" s="11" t="s">
        <v>2510</v>
      </c>
      <c r="B381" s="15" t="s">
        <v>2370</v>
      </c>
      <c r="C381" s="11" t="s">
        <v>748</v>
      </c>
      <c r="D381" s="50" t="str">
        <f aca="false">IFERROR(IF(OR(NOT(ISNUMBER(D378)),N(D379)=0),"",D378/D379),"")</f>
        <v/>
      </c>
      <c r="E381" s="50" t="str">
        <f aca="false">IFERROR(IF(OR(NOT(ISNUMBER(E378)),N(E379)=0),"",E378/E379),"")</f>
        <v/>
      </c>
      <c r="F381" s="50" t="str">
        <f aca="false">IFERROR(IF(OR(NOT(ISNUMBER(F378)),N(F379)=0),"",F378/F379),"")</f>
        <v/>
      </c>
      <c r="G381" s="50" t="str">
        <f aca="false">IFERROR(IF(OR(NOT(ISNUMBER(G378)),N(G379)=0),"",G378/G379),"")</f>
        <v/>
      </c>
      <c r="H381" s="50" t="str">
        <f aca="false">IFERROR(IF(OR(NOT(ISNUMBER(H378)),N(H379)=0),"",H378/H379),"")</f>
        <v/>
      </c>
      <c r="I381" s="50" t="str">
        <f aca="false">IFERROR(IF(OR(NOT(ISNUMBER(I378)),N(I379)=0),"",I378/I379),"")</f>
        <v/>
      </c>
      <c r="J381" s="50" t="str">
        <f aca="false">IFERROR(IF(OR(NOT(ISNUMBER(J378)),N(J379)=0),"",J378/J379),"")</f>
        <v/>
      </c>
      <c r="K381" s="50" t="str">
        <f aca="false">IFERROR(IF(OR(NOT(ISNUMBER(K378)),N(K379)=0),"",K378/K379),"")</f>
        <v/>
      </c>
      <c r="L381" s="50" t="str">
        <f aca="false">IFERROR(IF(OR(NOT(ISNUMBER(L378)),N(L379)=0),"",L378/L379),"")</f>
        <v/>
      </c>
      <c r="M381" s="50" t="str">
        <f aca="false">IFERROR(IF(OR(NOT(ISNUMBER(M378)),N(M379)=0),"",M378/M379),"")</f>
        <v/>
      </c>
      <c r="N381" s="50" t="str">
        <f aca="false">IFERROR(IF(OR(NOT(ISNUMBER(N378)),N(N379)=0),"",N378/N379),"")</f>
        <v/>
      </c>
      <c r="O381" s="68" t="str">
        <f aca="false">IFERROR(IF(OR(NOT(ISNUMBER(O378)),N(O379)=0),"",O378/O379),"")</f>
        <v/>
      </c>
    </row>
    <row r="382" customFormat="false" ht="15" hidden="true" customHeight="false" outlineLevel="1" collapsed="false">
      <c r="A382" s="11" t="s">
        <v>2511</v>
      </c>
      <c r="B382" s="15" t="s">
        <v>2372</v>
      </c>
      <c r="C382" s="11" t="s">
        <v>748</v>
      </c>
      <c r="D382" s="50" t="str">
        <f aca="false">IFERROR(IF(N(D379)=0,"",(D380-D378)/D379),"")</f>
        <v/>
      </c>
      <c r="E382" s="50" t="str">
        <f aca="false">IFERROR(IF(N(E379)=0,"",(E380-E378)/E379),"")</f>
        <v/>
      </c>
      <c r="F382" s="50" t="str">
        <f aca="false">IFERROR(IF(N(F379)=0,"",(F380-F378)/F379),"")</f>
        <v/>
      </c>
      <c r="G382" s="50" t="str">
        <f aca="false">IFERROR(IF(N(G379)=0,"",(G380-G378)/G379),"")</f>
        <v/>
      </c>
      <c r="H382" s="50" t="str">
        <f aca="false">IFERROR(IF(N(H379)=0,"",(H380-H378)/H379),"")</f>
        <v/>
      </c>
      <c r="I382" s="50" t="str">
        <f aca="false">IFERROR(IF(N(I379)=0,"",(I380-I378)/I379),"")</f>
        <v/>
      </c>
      <c r="J382" s="50" t="str">
        <f aca="false">IFERROR(IF(N(J379)=0,"",(J380-J378)/J379),"")</f>
        <v/>
      </c>
      <c r="K382" s="50" t="str">
        <f aca="false">IFERROR(IF(N(K379)=0,"",(K380-K378)/K379),"")</f>
        <v/>
      </c>
      <c r="L382" s="50" t="str">
        <f aca="false">IFERROR(IF(N(L379)=0,"",(L380-L378)/L379),"")</f>
        <v/>
      </c>
      <c r="M382" s="50" t="str">
        <f aca="false">IFERROR(IF(N(M379)=0,"",(M380-M378)/M379),"")</f>
        <v/>
      </c>
      <c r="N382" s="50" t="str">
        <f aca="false">IFERROR(IF(N(N379)=0,"",(N380-N378)/N379),"")</f>
        <v/>
      </c>
      <c r="O382" s="68" t="str">
        <f aca="false">IFERROR(IF(N(O379)=0,"",(O380-O378)/O379),"")</f>
        <v/>
      </c>
    </row>
    <row r="383" customFormat="false" ht="15" hidden="true" customHeight="false" outlineLevel="1" collapsed="false">
      <c r="A383" s="11" t="s">
        <v>2512</v>
      </c>
      <c r="B383" s="15" t="s">
        <v>2374</v>
      </c>
      <c r="C383" s="11" t="s">
        <v>367</v>
      </c>
      <c r="D383" s="49" t="str">
        <f aca="false">IFERROR(IF(N(D380)=0,"",1-D378/D380),"")</f>
        <v/>
      </c>
      <c r="E383" s="49" t="str">
        <f aca="false">IFERROR(IF(N(E380)=0,"",1-E378/E380),"")</f>
        <v/>
      </c>
      <c r="F383" s="49" t="str">
        <f aca="false">IFERROR(IF(N(F380)=0,"",1-F378/F380),"")</f>
        <v/>
      </c>
      <c r="G383" s="49" t="str">
        <f aca="false">IFERROR(IF(N(G380)=0,"",1-G378/G380),"")</f>
        <v/>
      </c>
      <c r="H383" s="49" t="str">
        <f aca="false">IFERROR(IF(N(H380)=0,"",1-H378/H380),"")</f>
        <v/>
      </c>
      <c r="I383" s="49" t="str">
        <f aca="false">IFERROR(IF(N(I380)=0,"",1-I378/I380),"")</f>
        <v/>
      </c>
      <c r="J383" s="49" t="str">
        <f aca="false">IFERROR(IF(N(J380)=0,"",1-J378/J380),"")</f>
        <v/>
      </c>
      <c r="K383" s="49" t="str">
        <f aca="false">IFERROR(IF(N(K380)=0,"",1-K378/K380),"")</f>
        <v/>
      </c>
      <c r="L383" s="49" t="str">
        <f aca="false">IFERROR(IF(N(L380)=0,"",1-L378/L380),"")</f>
        <v/>
      </c>
      <c r="M383" s="49" t="str">
        <f aca="false">IFERROR(IF(N(M380)=0,"",1-M378/M380),"")</f>
        <v/>
      </c>
      <c r="N383" s="49" t="str">
        <f aca="false">IFERROR(IF(N(N380)=0,"",1-N378/N380),"")</f>
        <v/>
      </c>
      <c r="O383" s="99" t="str">
        <f aca="false">IFERROR(IF(N(O380)=0,"",1-O378/O380),"")</f>
        <v/>
      </c>
    </row>
    <row r="384" customFormat="false" ht="15" hidden="true" customHeight="false" outlineLevel="1" collapsed="false">
      <c r="A384" s="11" t="s">
        <v>2513</v>
      </c>
      <c r="B384" s="15" t="s">
        <v>2376</v>
      </c>
      <c r="C384" s="11" t="s">
        <v>508</v>
      </c>
      <c r="D384" s="48" t="str">
        <f aca="false">IFERROR(IF(OR(NOT(ISNUMBER(D378)),N(D241)=0),"",D242*D378/D241),"")</f>
        <v/>
      </c>
      <c r="E384" s="48" t="str">
        <f aca="false">IFERROR(IF(OR(NOT(ISNUMBER(E378)),N(E241)=0),"",E242*E378/E241),"")</f>
        <v/>
      </c>
      <c r="F384" s="48" t="str">
        <f aca="false">IFERROR(IF(OR(NOT(ISNUMBER(F378)),N(F241)=0),"",F242*F378/F241),"")</f>
        <v/>
      </c>
      <c r="G384" s="48" t="str">
        <f aca="false">IFERROR(IF(OR(NOT(ISNUMBER(G378)),N(G241)=0),"",G242*G378/G241),"")</f>
        <v/>
      </c>
      <c r="H384" s="48" t="str">
        <f aca="false">IFERROR(IF(OR(NOT(ISNUMBER(H378)),N(H241)=0),"",H242*H378/H241),"")</f>
        <v/>
      </c>
      <c r="I384" s="48" t="str">
        <f aca="false">IFERROR(IF(OR(NOT(ISNUMBER(I378)),N(I241)=0),"",I242*I378/I241),"")</f>
        <v/>
      </c>
      <c r="J384" s="48" t="str">
        <f aca="false">IFERROR(IF(OR(NOT(ISNUMBER(J378)),N(J241)=0),"",J242*J378/J241),"")</f>
        <v/>
      </c>
      <c r="K384" s="48" t="str">
        <f aca="false">IFERROR(IF(OR(NOT(ISNUMBER(K378)),N(K241)=0),"",K242*K378/K241),"")</f>
        <v/>
      </c>
      <c r="L384" s="48" t="str">
        <f aca="false">IFERROR(IF(OR(NOT(ISNUMBER(L378)),N(L241)=0),"",L242*L378/L241),"")</f>
        <v/>
      </c>
      <c r="M384" s="48" t="str">
        <f aca="false">IFERROR(IF(OR(NOT(ISNUMBER(M378)),N(M241)=0),"",M242*M378/M241),"")</f>
        <v/>
      </c>
      <c r="N384" s="48" t="str">
        <f aca="false">IFERROR(IF(OR(NOT(ISNUMBER(N378)),N(N241)=0),"",N242*N378/N241),"")</f>
        <v/>
      </c>
      <c r="O384" s="54" t="str">
        <f aca="false">IF(COUNT(D384:N384)=0,"",SUM(D384:N384))</f>
        <v/>
      </c>
    </row>
    <row r="385" customFormat="false" ht="15" hidden="true" customHeight="false" outlineLevel="1" collapsed="false">
      <c r="A385" s="11" t="s">
        <v>2514</v>
      </c>
      <c r="B385" s="15" t="s">
        <v>2378</v>
      </c>
      <c r="C385" s="11" t="s">
        <v>508</v>
      </c>
      <c r="D385" s="48" t="str">
        <f aca="false">IFERROR(IF(COUNT(D378,D384)=0,"",N(D378)+N(D384)),"")</f>
        <v/>
      </c>
      <c r="E385" s="48" t="str">
        <f aca="false">IFERROR(IF(COUNT(E378,E384)=0,"",N(E378)+N(E384)),"")</f>
        <v/>
      </c>
      <c r="F385" s="48" t="str">
        <f aca="false">IFERROR(IF(COUNT(F378,F384)=0,"",N(F378)+N(F384)),"")</f>
        <v/>
      </c>
      <c r="G385" s="48" t="str">
        <f aca="false">IFERROR(IF(COUNT(G378,G384)=0,"",N(G378)+N(G384)),"")</f>
        <v/>
      </c>
      <c r="H385" s="48" t="str">
        <f aca="false">IFERROR(IF(COUNT(H378,H384)=0,"",N(H378)+N(H384)),"")</f>
        <v/>
      </c>
      <c r="I385" s="48" t="str">
        <f aca="false">IFERROR(IF(COUNT(I378,I384)=0,"",N(I378)+N(I384)),"")</f>
        <v/>
      </c>
      <c r="J385" s="48" t="str">
        <f aca="false">IFERROR(IF(COUNT(J378,J384)=0,"",N(J378)+N(J384)),"")</f>
        <v/>
      </c>
      <c r="K385" s="48" t="str">
        <f aca="false">IFERROR(IF(COUNT(K378,K384)=0,"",N(K378)+N(K384)),"")</f>
        <v/>
      </c>
      <c r="L385" s="48" t="str">
        <f aca="false">IFERROR(IF(COUNT(L378,L384)=0,"",N(L378)+N(L384)),"")</f>
        <v/>
      </c>
      <c r="M385" s="48" t="str">
        <f aca="false">IFERROR(IF(COUNT(M378,M384)=0,"",N(M378)+N(M384)),"")</f>
        <v/>
      </c>
      <c r="N385" s="48" t="str">
        <f aca="false">IFERROR(IF(COUNT(N378,N384)=0,"",N(N378)+N(N384)),"")</f>
        <v/>
      </c>
      <c r="O385" s="54" t="str">
        <f aca="false">IF(COUNT(D385:N385)=0,"",SUM(D385:N385))</f>
        <v/>
      </c>
    </row>
    <row r="386" customFormat="false" ht="15" hidden="true" customHeight="false" outlineLevel="1" collapsed="false">
      <c r="A386" s="11" t="s">
        <v>2515</v>
      </c>
      <c r="B386" s="15" t="s">
        <v>2380</v>
      </c>
      <c r="C386" s="11" t="s">
        <v>748</v>
      </c>
      <c r="D386" s="50" t="str">
        <f aca="false">IFERROR(IF(OR(NOT(ISNUMBER(D385)),N(D379)=0),"",D385/D379),"")</f>
        <v/>
      </c>
      <c r="E386" s="50" t="str">
        <f aca="false">IFERROR(IF(OR(NOT(ISNUMBER(E385)),N(E379)=0),"",E385/E379),"")</f>
        <v/>
      </c>
      <c r="F386" s="50" t="str">
        <f aca="false">IFERROR(IF(OR(NOT(ISNUMBER(F385)),N(F379)=0),"",F385/F379),"")</f>
        <v/>
      </c>
      <c r="G386" s="50" t="str">
        <f aca="false">IFERROR(IF(OR(NOT(ISNUMBER(G385)),N(G379)=0),"",G385/G379),"")</f>
        <v/>
      </c>
      <c r="H386" s="50" t="str">
        <f aca="false">IFERROR(IF(OR(NOT(ISNUMBER(H385)),N(H379)=0),"",H385/H379),"")</f>
        <v/>
      </c>
      <c r="I386" s="50" t="str">
        <f aca="false">IFERROR(IF(OR(NOT(ISNUMBER(I385)),N(I379)=0),"",I385/I379),"")</f>
        <v/>
      </c>
      <c r="J386" s="50" t="str">
        <f aca="false">IFERROR(IF(OR(NOT(ISNUMBER(J385)),N(J379)=0),"",J385/J379),"")</f>
        <v/>
      </c>
      <c r="K386" s="50" t="str">
        <f aca="false">IFERROR(IF(OR(NOT(ISNUMBER(K385)),N(K379)=0),"",K385/K379),"")</f>
        <v/>
      </c>
      <c r="L386" s="50" t="str">
        <f aca="false">IFERROR(IF(OR(NOT(ISNUMBER(L385)),N(L379)=0),"",L385/L379),"")</f>
        <v/>
      </c>
      <c r="M386" s="50" t="str">
        <f aca="false">IFERROR(IF(OR(NOT(ISNUMBER(M385)),N(M379)=0),"",M385/M379),"")</f>
        <v/>
      </c>
      <c r="N386" s="50" t="str">
        <f aca="false">IFERROR(IF(OR(NOT(ISNUMBER(N385)),N(N379)=0),"",N385/N379),"")</f>
        <v/>
      </c>
      <c r="O386" s="68" t="str">
        <f aca="false">IFERROR(IF(OR(NOT(ISNUMBER(O385)),N(O379)=0),"",O385/O379),"")</f>
        <v/>
      </c>
    </row>
    <row r="387" customFormat="false" ht="15" hidden="true" customHeight="false" outlineLevel="1" collapsed="false">
      <c r="A387" s="11" t="s">
        <v>2516</v>
      </c>
      <c r="B387" s="53" t="str">
        <f aca="false">IF(INDEX(Prod_Nombre,17)="","Producto 17",INDEX(Prod_Nombre,17))&amp;" — costo directo"</f>
        <v>Producto 17 — costo directo</v>
      </c>
      <c r="C387" s="11" t="s">
        <v>508</v>
      </c>
      <c r="D387" s="37"/>
      <c r="E387" s="37"/>
      <c r="F387" s="37"/>
      <c r="G387" s="37"/>
      <c r="H387" s="37"/>
      <c r="I387" s="37"/>
      <c r="J387" s="37"/>
      <c r="K387" s="37"/>
      <c r="L387" s="37"/>
      <c r="M387" s="37"/>
      <c r="N387" s="37"/>
      <c r="O387" s="54" t="str">
        <f aca="false">IF(COUNT(D387:N387)=0,"",SUM(D387:N387))</f>
        <v/>
      </c>
    </row>
    <row r="388" customFormat="false" ht="15" hidden="true" customHeight="false" outlineLevel="1" collapsed="false">
      <c r="A388" s="11" t="s">
        <v>2517</v>
      </c>
      <c r="B388" s="15" t="s">
        <v>2366</v>
      </c>
      <c r="C388" s="11" t="s">
        <v>544</v>
      </c>
      <c r="D388" s="37"/>
      <c r="E388" s="37"/>
      <c r="F388" s="37"/>
      <c r="G388" s="37"/>
      <c r="H388" s="37"/>
      <c r="I388" s="37"/>
      <c r="J388" s="37"/>
      <c r="K388" s="37"/>
      <c r="L388" s="37"/>
      <c r="M388" s="37"/>
      <c r="N388" s="37"/>
      <c r="O388" s="54" t="str">
        <f aca="false">IF(COUNT(D388:N388)=0,"",SUM(D388:N388))</f>
        <v/>
      </c>
    </row>
    <row r="389" customFormat="false" ht="15" hidden="true" customHeight="false" outlineLevel="1" collapsed="false">
      <c r="A389" s="11" t="s">
        <v>2518</v>
      </c>
      <c r="B389" s="15" t="s">
        <v>2368</v>
      </c>
      <c r="C389" s="11" t="s">
        <v>508</v>
      </c>
      <c r="D389" s="37"/>
      <c r="E389" s="37"/>
      <c r="F389" s="37"/>
      <c r="G389" s="37"/>
      <c r="H389" s="37"/>
      <c r="I389" s="37"/>
      <c r="J389" s="37"/>
      <c r="K389" s="37"/>
      <c r="L389" s="37"/>
      <c r="M389" s="37"/>
      <c r="N389" s="37"/>
      <c r="O389" s="54" t="str">
        <f aca="false">IF(COUNT(D389:N389)=0,"",SUM(D389:N389))</f>
        <v/>
      </c>
    </row>
    <row r="390" customFormat="false" ht="15" hidden="true" customHeight="false" outlineLevel="1" collapsed="false">
      <c r="A390" s="11" t="s">
        <v>2519</v>
      </c>
      <c r="B390" s="15" t="s">
        <v>2370</v>
      </c>
      <c r="C390" s="11" t="s">
        <v>748</v>
      </c>
      <c r="D390" s="50" t="str">
        <f aca="false">IFERROR(IF(OR(NOT(ISNUMBER(D387)),N(D388)=0),"",D387/D388),"")</f>
        <v/>
      </c>
      <c r="E390" s="50" t="str">
        <f aca="false">IFERROR(IF(OR(NOT(ISNUMBER(E387)),N(E388)=0),"",E387/E388),"")</f>
        <v/>
      </c>
      <c r="F390" s="50" t="str">
        <f aca="false">IFERROR(IF(OR(NOT(ISNUMBER(F387)),N(F388)=0),"",F387/F388),"")</f>
        <v/>
      </c>
      <c r="G390" s="50" t="str">
        <f aca="false">IFERROR(IF(OR(NOT(ISNUMBER(G387)),N(G388)=0),"",G387/G388),"")</f>
        <v/>
      </c>
      <c r="H390" s="50" t="str">
        <f aca="false">IFERROR(IF(OR(NOT(ISNUMBER(H387)),N(H388)=0),"",H387/H388),"")</f>
        <v/>
      </c>
      <c r="I390" s="50" t="str">
        <f aca="false">IFERROR(IF(OR(NOT(ISNUMBER(I387)),N(I388)=0),"",I387/I388),"")</f>
        <v/>
      </c>
      <c r="J390" s="50" t="str">
        <f aca="false">IFERROR(IF(OR(NOT(ISNUMBER(J387)),N(J388)=0),"",J387/J388),"")</f>
        <v/>
      </c>
      <c r="K390" s="50" t="str">
        <f aca="false">IFERROR(IF(OR(NOT(ISNUMBER(K387)),N(K388)=0),"",K387/K388),"")</f>
        <v/>
      </c>
      <c r="L390" s="50" t="str">
        <f aca="false">IFERROR(IF(OR(NOT(ISNUMBER(L387)),N(L388)=0),"",L387/L388),"")</f>
        <v/>
      </c>
      <c r="M390" s="50" t="str">
        <f aca="false">IFERROR(IF(OR(NOT(ISNUMBER(M387)),N(M388)=0),"",M387/M388),"")</f>
        <v/>
      </c>
      <c r="N390" s="50" t="str">
        <f aca="false">IFERROR(IF(OR(NOT(ISNUMBER(N387)),N(N388)=0),"",N387/N388),"")</f>
        <v/>
      </c>
      <c r="O390" s="68" t="str">
        <f aca="false">IFERROR(IF(OR(NOT(ISNUMBER(O387)),N(O388)=0),"",O387/O388),"")</f>
        <v/>
      </c>
    </row>
    <row r="391" customFormat="false" ht="15" hidden="true" customHeight="false" outlineLevel="1" collapsed="false">
      <c r="A391" s="11" t="s">
        <v>2520</v>
      </c>
      <c r="B391" s="15" t="s">
        <v>2372</v>
      </c>
      <c r="C391" s="11" t="s">
        <v>748</v>
      </c>
      <c r="D391" s="50" t="str">
        <f aca="false">IFERROR(IF(N(D388)=0,"",(D389-D387)/D388),"")</f>
        <v/>
      </c>
      <c r="E391" s="50" t="str">
        <f aca="false">IFERROR(IF(N(E388)=0,"",(E389-E387)/E388),"")</f>
        <v/>
      </c>
      <c r="F391" s="50" t="str">
        <f aca="false">IFERROR(IF(N(F388)=0,"",(F389-F387)/F388),"")</f>
        <v/>
      </c>
      <c r="G391" s="50" t="str">
        <f aca="false">IFERROR(IF(N(G388)=0,"",(G389-G387)/G388),"")</f>
        <v/>
      </c>
      <c r="H391" s="50" t="str">
        <f aca="false">IFERROR(IF(N(H388)=0,"",(H389-H387)/H388),"")</f>
        <v/>
      </c>
      <c r="I391" s="50" t="str">
        <f aca="false">IFERROR(IF(N(I388)=0,"",(I389-I387)/I388),"")</f>
        <v/>
      </c>
      <c r="J391" s="50" t="str">
        <f aca="false">IFERROR(IF(N(J388)=0,"",(J389-J387)/J388),"")</f>
        <v/>
      </c>
      <c r="K391" s="50" t="str">
        <f aca="false">IFERROR(IF(N(K388)=0,"",(K389-K387)/K388),"")</f>
        <v/>
      </c>
      <c r="L391" s="50" t="str">
        <f aca="false">IFERROR(IF(N(L388)=0,"",(L389-L387)/L388),"")</f>
        <v/>
      </c>
      <c r="M391" s="50" t="str">
        <f aca="false">IFERROR(IF(N(M388)=0,"",(M389-M387)/M388),"")</f>
        <v/>
      </c>
      <c r="N391" s="50" t="str">
        <f aca="false">IFERROR(IF(N(N388)=0,"",(N389-N387)/N388),"")</f>
        <v/>
      </c>
      <c r="O391" s="68" t="str">
        <f aca="false">IFERROR(IF(N(O388)=0,"",(O389-O387)/O388),"")</f>
        <v/>
      </c>
    </row>
    <row r="392" customFormat="false" ht="15" hidden="true" customHeight="false" outlineLevel="1" collapsed="false">
      <c r="A392" s="11" t="s">
        <v>2521</v>
      </c>
      <c r="B392" s="15" t="s">
        <v>2374</v>
      </c>
      <c r="C392" s="11" t="s">
        <v>367</v>
      </c>
      <c r="D392" s="49" t="str">
        <f aca="false">IFERROR(IF(N(D389)=0,"",1-D387/D389),"")</f>
        <v/>
      </c>
      <c r="E392" s="49" t="str">
        <f aca="false">IFERROR(IF(N(E389)=0,"",1-E387/E389),"")</f>
        <v/>
      </c>
      <c r="F392" s="49" t="str">
        <f aca="false">IFERROR(IF(N(F389)=0,"",1-F387/F389),"")</f>
        <v/>
      </c>
      <c r="G392" s="49" t="str">
        <f aca="false">IFERROR(IF(N(G389)=0,"",1-G387/G389),"")</f>
        <v/>
      </c>
      <c r="H392" s="49" t="str">
        <f aca="false">IFERROR(IF(N(H389)=0,"",1-H387/H389),"")</f>
        <v/>
      </c>
      <c r="I392" s="49" t="str">
        <f aca="false">IFERROR(IF(N(I389)=0,"",1-I387/I389),"")</f>
        <v/>
      </c>
      <c r="J392" s="49" t="str">
        <f aca="false">IFERROR(IF(N(J389)=0,"",1-J387/J389),"")</f>
        <v/>
      </c>
      <c r="K392" s="49" t="str">
        <f aca="false">IFERROR(IF(N(K389)=0,"",1-K387/K389),"")</f>
        <v/>
      </c>
      <c r="L392" s="49" t="str">
        <f aca="false">IFERROR(IF(N(L389)=0,"",1-L387/L389),"")</f>
        <v/>
      </c>
      <c r="M392" s="49" t="str">
        <f aca="false">IFERROR(IF(N(M389)=0,"",1-M387/M389),"")</f>
        <v/>
      </c>
      <c r="N392" s="49" t="str">
        <f aca="false">IFERROR(IF(N(N389)=0,"",1-N387/N389),"")</f>
        <v/>
      </c>
      <c r="O392" s="99" t="str">
        <f aca="false">IFERROR(IF(N(O389)=0,"",1-O387/O389),"")</f>
        <v/>
      </c>
    </row>
    <row r="393" customFormat="false" ht="15" hidden="true" customHeight="false" outlineLevel="1" collapsed="false">
      <c r="A393" s="11" t="s">
        <v>2522</v>
      </c>
      <c r="B393" s="15" t="s">
        <v>2376</v>
      </c>
      <c r="C393" s="11" t="s">
        <v>508</v>
      </c>
      <c r="D393" s="48" t="str">
        <f aca="false">IFERROR(IF(OR(NOT(ISNUMBER(D387)),N(D241)=0),"",D242*D387/D241),"")</f>
        <v/>
      </c>
      <c r="E393" s="48" t="str">
        <f aca="false">IFERROR(IF(OR(NOT(ISNUMBER(E387)),N(E241)=0),"",E242*E387/E241),"")</f>
        <v/>
      </c>
      <c r="F393" s="48" t="str">
        <f aca="false">IFERROR(IF(OR(NOT(ISNUMBER(F387)),N(F241)=0),"",F242*F387/F241),"")</f>
        <v/>
      </c>
      <c r="G393" s="48" t="str">
        <f aca="false">IFERROR(IF(OR(NOT(ISNUMBER(G387)),N(G241)=0),"",G242*G387/G241),"")</f>
        <v/>
      </c>
      <c r="H393" s="48" t="str">
        <f aca="false">IFERROR(IF(OR(NOT(ISNUMBER(H387)),N(H241)=0),"",H242*H387/H241),"")</f>
        <v/>
      </c>
      <c r="I393" s="48" t="str">
        <f aca="false">IFERROR(IF(OR(NOT(ISNUMBER(I387)),N(I241)=0),"",I242*I387/I241),"")</f>
        <v/>
      </c>
      <c r="J393" s="48" t="str">
        <f aca="false">IFERROR(IF(OR(NOT(ISNUMBER(J387)),N(J241)=0),"",J242*J387/J241),"")</f>
        <v/>
      </c>
      <c r="K393" s="48" t="str">
        <f aca="false">IFERROR(IF(OR(NOT(ISNUMBER(K387)),N(K241)=0),"",K242*K387/K241),"")</f>
        <v/>
      </c>
      <c r="L393" s="48" t="str">
        <f aca="false">IFERROR(IF(OR(NOT(ISNUMBER(L387)),N(L241)=0),"",L242*L387/L241),"")</f>
        <v/>
      </c>
      <c r="M393" s="48" t="str">
        <f aca="false">IFERROR(IF(OR(NOT(ISNUMBER(M387)),N(M241)=0),"",M242*M387/M241),"")</f>
        <v/>
      </c>
      <c r="N393" s="48" t="str">
        <f aca="false">IFERROR(IF(OR(NOT(ISNUMBER(N387)),N(N241)=0),"",N242*N387/N241),"")</f>
        <v/>
      </c>
      <c r="O393" s="54" t="str">
        <f aca="false">IF(COUNT(D393:N393)=0,"",SUM(D393:N393))</f>
        <v/>
      </c>
    </row>
    <row r="394" customFormat="false" ht="15" hidden="true" customHeight="false" outlineLevel="1" collapsed="false">
      <c r="A394" s="11" t="s">
        <v>2523</v>
      </c>
      <c r="B394" s="15" t="s">
        <v>2378</v>
      </c>
      <c r="C394" s="11" t="s">
        <v>508</v>
      </c>
      <c r="D394" s="48" t="str">
        <f aca="false">IFERROR(IF(COUNT(D387,D393)=0,"",N(D387)+N(D393)),"")</f>
        <v/>
      </c>
      <c r="E394" s="48" t="str">
        <f aca="false">IFERROR(IF(COUNT(E387,E393)=0,"",N(E387)+N(E393)),"")</f>
        <v/>
      </c>
      <c r="F394" s="48" t="str">
        <f aca="false">IFERROR(IF(COUNT(F387,F393)=0,"",N(F387)+N(F393)),"")</f>
        <v/>
      </c>
      <c r="G394" s="48" t="str">
        <f aca="false">IFERROR(IF(COUNT(G387,G393)=0,"",N(G387)+N(G393)),"")</f>
        <v/>
      </c>
      <c r="H394" s="48" t="str">
        <f aca="false">IFERROR(IF(COUNT(H387,H393)=0,"",N(H387)+N(H393)),"")</f>
        <v/>
      </c>
      <c r="I394" s="48" t="str">
        <f aca="false">IFERROR(IF(COUNT(I387,I393)=0,"",N(I387)+N(I393)),"")</f>
        <v/>
      </c>
      <c r="J394" s="48" t="str">
        <f aca="false">IFERROR(IF(COUNT(J387,J393)=0,"",N(J387)+N(J393)),"")</f>
        <v/>
      </c>
      <c r="K394" s="48" t="str">
        <f aca="false">IFERROR(IF(COUNT(K387,K393)=0,"",N(K387)+N(K393)),"")</f>
        <v/>
      </c>
      <c r="L394" s="48" t="str">
        <f aca="false">IFERROR(IF(COUNT(L387,L393)=0,"",N(L387)+N(L393)),"")</f>
        <v/>
      </c>
      <c r="M394" s="48" t="str">
        <f aca="false">IFERROR(IF(COUNT(M387,M393)=0,"",N(M387)+N(M393)),"")</f>
        <v/>
      </c>
      <c r="N394" s="48" t="str">
        <f aca="false">IFERROR(IF(COUNT(N387,N393)=0,"",N(N387)+N(N393)),"")</f>
        <v/>
      </c>
      <c r="O394" s="54" t="str">
        <f aca="false">IF(COUNT(D394:N394)=0,"",SUM(D394:N394))</f>
        <v/>
      </c>
    </row>
    <row r="395" customFormat="false" ht="15" hidden="true" customHeight="false" outlineLevel="1" collapsed="false">
      <c r="A395" s="11" t="s">
        <v>2524</v>
      </c>
      <c r="B395" s="15" t="s">
        <v>2380</v>
      </c>
      <c r="C395" s="11" t="s">
        <v>748</v>
      </c>
      <c r="D395" s="50" t="str">
        <f aca="false">IFERROR(IF(OR(NOT(ISNUMBER(D394)),N(D388)=0),"",D394/D388),"")</f>
        <v/>
      </c>
      <c r="E395" s="50" t="str">
        <f aca="false">IFERROR(IF(OR(NOT(ISNUMBER(E394)),N(E388)=0),"",E394/E388),"")</f>
        <v/>
      </c>
      <c r="F395" s="50" t="str">
        <f aca="false">IFERROR(IF(OR(NOT(ISNUMBER(F394)),N(F388)=0),"",F394/F388),"")</f>
        <v/>
      </c>
      <c r="G395" s="50" t="str">
        <f aca="false">IFERROR(IF(OR(NOT(ISNUMBER(G394)),N(G388)=0),"",G394/G388),"")</f>
        <v/>
      </c>
      <c r="H395" s="50" t="str">
        <f aca="false">IFERROR(IF(OR(NOT(ISNUMBER(H394)),N(H388)=0),"",H394/H388),"")</f>
        <v/>
      </c>
      <c r="I395" s="50" t="str">
        <f aca="false">IFERROR(IF(OR(NOT(ISNUMBER(I394)),N(I388)=0),"",I394/I388),"")</f>
        <v/>
      </c>
      <c r="J395" s="50" t="str">
        <f aca="false">IFERROR(IF(OR(NOT(ISNUMBER(J394)),N(J388)=0),"",J394/J388),"")</f>
        <v/>
      </c>
      <c r="K395" s="50" t="str">
        <f aca="false">IFERROR(IF(OR(NOT(ISNUMBER(K394)),N(K388)=0),"",K394/K388),"")</f>
        <v/>
      </c>
      <c r="L395" s="50" t="str">
        <f aca="false">IFERROR(IF(OR(NOT(ISNUMBER(L394)),N(L388)=0),"",L394/L388),"")</f>
        <v/>
      </c>
      <c r="M395" s="50" t="str">
        <f aca="false">IFERROR(IF(OR(NOT(ISNUMBER(M394)),N(M388)=0),"",M394/M388),"")</f>
        <v/>
      </c>
      <c r="N395" s="50" t="str">
        <f aca="false">IFERROR(IF(OR(NOT(ISNUMBER(N394)),N(N388)=0),"",N394/N388),"")</f>
        <v/>
      </c>
      <c r="O395" s="68" t="str">
        <f aca="false">IFERROR(IF(OR(NOT(ISNUMBER(O394)),N(O388)=0),"",O394/O388),"")</f>
        <v/>
      </c>
    </row>
    <row r="396" customFormat="false" ht="15" hidden="true" customHeight="false" outlineLevel="1" collapsed="false">
      <c r="A396" s="11" t="s">
        <v>2525</v>
      </c>
      <c r="B396" s="53" t="str">
        <f aca="false">IF(INDEX(Prod_Nombre,18)="","Producto 18",INDEX(Prod_Nombre,18))&amp;" — costo directo"</f>
        <v>Producto 18 — costo directo</v>
      </c>
      <c r="C396" s="11" t="s">
        <v>508</v>
      </c>
      <c r="D396" s="37"/>
      <c r="E396" s="37"/>
      <c r="F396" s="37"/>
      <c r="G396" s="37"/>
      <c r="H396" s="37"/>
      <c r="I396" s="37"/>
      <c r="J396" s="37"/>
      <c r="K396" s="37"/>
      <c r="L396" s="37"/>
      <c r="M396" s="37"/>
      <c r="N396" s="37"/>
      <c r="O396" s="54" t="str">
        <f aca="false">IF(COUNT(D396:N396)=0,"",SUM(D396:N396))</f>
        <v/>
      </c>
    </row>
    <row r="397" customFormat="false" ht="15" hidden="true" customHeight="false" outlineLevel="1" collapsed="false">
      <c r="A397" s="11" t="s">
        <v>2526</v>
      </c>
      <c r="B397" s="15" t="s">
        <v>2366</v>
      </c>
      <c r="C397" s="11" t="s">
        <v>544</v>
      </c>
      <c r="D397" s="37"/>
      <c r="E397" s="37"/>
      <c r="F397" s="37"/>
      <c r="G397" s="37"/>
      <c r="H397" s="37"/>
      <c r="I397" s="37"/>
      <c r="J397" s="37"/>
      <c r="K397" s="37"/>
      <c r="L397" s="37"/>
      <c r="M397" s="37"/>
      <c r="N397" s="37"/>
      <c r="O397" s="54" t="str">
        <f aca="false">IF(COUNT(D397:N397)=0,"",SUM(D397:N397))</f>
        <v/>
      </c>
    </row>
    <row r="398" customFormat="false" ht="15" hidden="true" customHeight="false" outlineLevel="1" collapsed="false">
      <c r="A398" s="11" t="s">
        <v>2527</v>
      </c>
      <c r="B398" s="15" t="s">
        <v>2368</v>
      </c>
      <c r="C398" s="11" t="s">
        <v>508</v>
      </c>
      <c r="D398" s="37"/>
      <c r="E398" s="37"/>
      <c r="F398" s="37"/>
      <c r="G398" s="37"/>
      <c r="H398" s="37"/>
      <c r="I398" s="37"/>
      <c r="J398" s="37"/>
      <c r="K398" s="37"/>
      <c r="L398" s="37"/>
      <c r="M398" s="37"/>
      <c r="N398" s="37"/>
      <c r="O398" s="54" t="str">
        <f aca="false">IF(COUNT(D398:N398)=0,"",SUM(D398:N398))</f>
        <v/>
      </c>
    </row>
    <row r="399" customFormat="false" ht="15" hidden="true" customHeight="false" outlineLevel="1" collapsed="false">
      <c r="A399" s="11" t="s">
        <v>2528</v>
      </c>
      <c r="B399" s="15" t="s">
        <v>2370</v>
      </c>
      <c r="C399" s="11" t="s">
        <v>748</v>
      </c>
      <c r="D399" s="50" t="str">
        <f aca="false">IFERROR(IF(OR(NOT(ISNUMBER(D396)),N(D397)=0),"",D396/D397),"")</f>
        <v/>
      </c>
      <c r="E399" s="50" t="str">
        <f aca="false">IFERROR(IF(OR(NOT(ISNUMBER(E396)),N(E397)=0),"",E396/E397),"")</f>
        <v/>
      </c>
      <c r="F399" s="50" t="str">
        <f aca="false">IFERROR(IF(OR(NOT(ISNUMBER(F396)),N(F397)=0),"",F396/F397),"")</f>
        <v/>
      </c>
      <c r="G399" s="50" t="str">
        <f aca="false">IFERROR(IF(OR(NOT(ISNUMBER(G396)),N(G397)=0),"",G396/G397),"")</f>
        <v/>
      </c>
      <c r="H399" s="50" t="str">
        <f aca="false">IFERROR(IF(OR(NOT(ISNUMBER(H396)),N(H397)=0),"",H396/H397),"")</f>
        <v/>
      </c>
      <c r="I399" s="50" t="str">
        <f aca="false">IFERROR(IF(OR(NOT(ISNUMBER(I396)),N(I397)=0),"",I396/I397),"")</f>
        <v/>
      </c>
      <c r="J399" s="50" t="str">
        <f aca="false">IFERROR(IF(OR(NOT(ISNUMBER(J396)),N(J397)=0),"",J396/J397),"")</f>
        <v/>
      </c>
      <c r="K399" s="50" t="str">
        <f aca="false">IFERROR(IF(OR(NOT(ISNUMBER(K396)),N(K397)=0),"",K396/K397),"")</f>
        <v/>
      </c>
      <c r="L399" s="50" t="str">
        <f aca="false">IFERROR(IF(OR(NOT(ISNUMBER(L396)),N(L397)=0),"",L396/L397),"")</f>
        <v/>
      </c>
      <c r="M399" s="50" t="str">
        <f aca="false">IFERROR(IF(OR(NOT(ISNUMBER(M396)),N(M397)=0),"",M396/M397),"")</f>
        <v/>
      </c>
      <c r="N399" s="50" t="str">
        <f aca="false">IFERROR(IF(OR(NOT(ISNUMBER(N396)),N(N397)=0),"",N396/N397),"")</f>
        <v/>
      </c>
      <c r="O399" s="68" t="str">
        <f aca="false">IFERROR(IF(OR(NOT(ISNUMBER(O396)),N(O397)=0),"",O396/O397),"")</f>
        <v/>
      </c>
    </row>
    <row r="400" customFormat="false" ht="15" hidden="true" customHeight="false" outlineLevel="1" collapsed="false">
      <c r="A400" s="11" t="s">
        <v>2529</v>
      </c>
      <c r="B400" s="15" t="s">
        <v>2372</v>
      </c>
      <c r="C400" s="11" t="s">
        <v>748</v>
      </c>
      <c r="D400" s="50" t="str">
        <f aca="false">IFERROR(IF(N(D397)=0,"",(D398-D396)/D397),"")</f>
        <v/>
      </c>
      <c r="E400" s="50" t="str">
        <f aca="false">IFERROR(IF(N(E397)=0,"",(E398-E396)/E397),"")</f>
        <v/>
      </c>
      <c r="F400" s="50" t="str">
        <f aca="false">IFERROR(IF(N(F397)=0,"",(F398-F396)/F397),"")</f>
        <v/>
      </c>
      <c r="G400" s="50" t="str">
        <f aca="false">IFERROR(IF(N(G397)=0,"",(G398-G396)/G397),"")</f>
        <v/>
      </c>
      <c r="H400" s="50" t="str">
        <f aca="false">IFERROR(IF(N(H397)=0,"",(H398-H396)/H397),"")</f>
        <v/>
      </c>
      <c r="I400" s="50" t="str">
        <f aca="false">IFERROR(IF(N(I397)=0,"",(I398-I396)/I397),"")</f>
        <v/>
      </c>
      <c r="J400" s="50" t="str">
        <f aca="false">IFERROR(IF(N(J397)=0,"",(J398-J396)/J397),"")</f>
        <v/>
      </c>
      <c r="K400" s="50" t="str">
        <f aca="false">IFERROR(IF(N(K397)=0,"",(K398-K396)/K397),"")</f>
        <v/>
      </c>
      <c r="L400" s="50" t="str">
        <f aca="false">IFERROR(IF(N(L397)=0,"",(L398-L396)/L397),"")</f>
        <v/>
      </c>
      <c r="M400" s="50" t="str">
        <f aca="false">IFERROR(IF(N(M397)=0,"",(M398-M396)/M397),"")</f>
        <v/>
      </c>
      <c r="N400" s="50" t="str">
        <f aca="false">IFERROR(IF(N(N397)=0,"",(N398-N396)/N397),"")</f>
        <v/>
      </c>
      <c r="O400" s="68" t="str">
        <f aca="false">IFERROR(IF(N(O397)=0,"",(O398-O396)/O397),"")</f>
        <v/>
      </c>
    </row>
    <row r="401" customFormat="false" ht="15" hidden="true" customHeight="false" outlineLevel="1" collapsed="false">
      <c r="A401" s="11" t="s">
        <v>2530</v>
      </c>
      <c r="B401" s="15" t="s">
        <v>2374</v>
      </c>
      <c r="C401" s="11" t="s">
        <v>367</v>
      </c>
      <c r="D401" s="49" t="str">
        <f aca="false">IFERROR(IF(N(D398)=0,"",1-D396/D398),"")</f>
        <v/>
      </c>
      <c r="E401" s="49" t="str">
        <f aca="false">IFERROR(IF(N(E398)=0,"",1-E396/E398),"")</f>
        <v/>
      </c>
      <c r="F401" s="49" t="str">
        <f aca="false">IFERROR(IF(N(F398)=0,"",1-F396/F398),"")</f>
        <v/>
      </c>
      <c r="G401" s="49" t="str">
        <f aca="false">IFERROR(IF(N(G398)=0,"",1-G396/G398),"")</f>
        <v/>
      </c>
      <c r="H401" s="49" t="str">
        <f aca="false">IFERROR(IF(N(H398)=0,"",1-H396/H398),"")</f>
        <v/>
      </c>
      <c r="I401" s="49" t="str">
        <f aca="false">IFERROR(IF(N(I398)=0,"",1-I396/I398),"")</f>
        <v/>
      </c>
      <c r="J401" s="49" t="str">
        <f aca="false">IFERROR(IF(N(J398)=0,"",1-J396/J398),"")</f>
        <v/>
      </c>
      <c r="K401" s="49" t="str">
        <f aca="false">IFERROR(IF(N(K398)=0,"",1-K396/K398),"")</f>
        <v/>
      </c>
      <c r="L401" s="49" t="str">
        <f aca="false">IFERROR(IF(N(L398)=0,"",1-L396/L398),"")</f>
        <v/>
      </c>
      <c r="M401" s="49" t="str">
        <f aca="false">IFERROR(IF(N(M398)=0,"",1-M396/M398),"")</f>
        <v/>
      </c>
      <c r="N401" s="49" t="str">
        <f aca="false">IFERROR(IF(N(N398)=0,"",1-N396/N398),"")</f>
        <v/>
      </c>
      <c r="O401" s="99" t="str">
        <f aca="false">IFERROR(IF(N(O398)=0,"",1-O396/O398),"")</f>
        <v/>
      </c>
    </row>
    <row r="402" customFormat="false" ht="15" hidden="true" customHeight="false" outlineLevel="1" collapsed="false">
      <c r="A402" s="11" t="s">
        <v>2531</v>
      </c>
      <c r="B402" s="15" t="s">
        <v>2376</v>
      </c>
      <c r="C402" s="11" t="s">
        <v>508</v>
      </c>
      <c r="D402" s="48" t="str">
        <f aca="false">IFERROR(IF(OR(NOT(ISNUMBER(D396)),N(D241)=0),"",D242*D396/D241),"")</f>
        <v/>
      </c>
      <c r="E402" s="48" t="str">
        <f aca="false">IFERROR(IF(OR(NOT(ISNUMBER(E396)),N(E241)=0),"",E242*E396/E241),"")</f>
        <v/>
      </c>
      <c r="F402" s="48" t="str">
        <f aca="false">IFERROR(IF(OR(NOT(ISNUMBER(F396)),N(F241)=0),"",F242*F396/F241),"")</f>
        <v/>
      </c>
      <c r="G402" s="48" t="str">
        <f aca="false">IFERROR(IF(OR(NOT(ISNUMBER(G396)),N(G241)=0),"",G242*G396/G241),"")</f>
        <v/>
      </c>
      <c r="H402" s="48" t="str">
        <f aca="false">IFERROR(IF(OR(NOT(ISNUMBER(H396)),N(H241)=0),"",H242*H396/H241),"")</f>
        <v/>
      </c>
      <c r="I402" s="48" t="str">
        <f aca="false">IFERROR(IF(OR(NOT(ISNUMBER(I396)),N(I241)=0),"",I242*I396/I241),"")</f>
        <v/>
      </c>
      <c r="J402" s="48" t="str">
        <f aca="false">IFERROR(IF(OR(NOT(ISNUMBER(J396)),N(J241)=0),"",J242*J396/J241),"")</f>
        <v/>
      </c>
      <c r="K402" s="48" t="str">
        <f aca="false">IFERROR(IF(OR(NOT(ISNUMBER(K396)),N(K241)=0),"",K242*K396/K241),"")</f>
        <v/>
      </c>
      <c r="L402" s="48" t="str">
        <f aca="false">IFERROR(IF(OR(NOT(ISNUMBER(L396)),N(L241)=0),"",L242*L396/L241),"")</f>
        <v/>
      </c>
      <c r="M402" s="48" t="str">
        <f aca="false">IFERROR(IF(OR(NOT(ISNUMBER(M396)),N(M241)=0),"",M242*M396/M241),"")</f>
        <v/>
      </c>
      <c r="N402" s="48" t="str">
        <f aca="false">IFERROR(IF(OR(NOT(ISNUMBER(N396)),N(N241)=0),"",N242*N396/N241),"")</f>
        <v/>
      </c>
      <c r="O402" s="54" t="str">
        <f aca="false">IF(COUNT(D402:N402)=0,"",SUM(D402:N402))</f>
        <v/>
      </c>
    </row>
    <row r="403" customFormat="false" ht="15" hidden="true" customHeight="false" outlineLevel="1" collapsed="false">
      <c r="A403" s="11" t="s">
        <v>2532</v>
      </c>
      <c r="B403" s="15" t="s">
        <v>2378</v>
      </c>
      <c r="C403" s="11" t="s">
        <v>508</v>
      </c>
      <c r="D403" s="48" t="str">
        <f aca="false">IFERROR(IF(COUNT(D396,D402)=0,"",N(D396)+N(D402)),"")</f>
        <v/>
      </c>
      <c r="E403" s="48" t="str">
        <f aca="false">IFERROR(IF(COUNT(E396,E402)=0,"",N(E396)+N(E402)),"")</f>
        <v/>
      </c>
      <c r="F403" s="48" t="str">
        <f aca="false">IFERROR(IF(COUNT(F396,F402)=0,"",N(F396)+N(F402)),"")</f>
        <v/>
      </c>
      <c r="G403" s="48" t="str">
        <f aca="false">IFERROR(IF(COUNT(G396,G402)=0,"",N(G396)+N(G402)),"")</f>
        <v/>
      </c>
      <c r="H403" s="48" t="str">
        <f aca="false">IFERROR(IF(COUNT(H396,H402)=0,"",N(H396)+N(H402)),"")</f>
        <v/>
      </c>
      <c r="I403" s="48" t="str">
        <f aca="false">IFERROR(IF(COUNT(I396,I402)=0,"",N(I396)+N(I402)),"")</f>
        <v/>
      </c>
      <c r="J403" s="48" t="str">
        <f aca="false">IFERROR(IF(COUNT(J396,J402)=0,"",N(J396)+N(J402)),"")</f>
        <v/>
      </c>
      <c r="K403" s="48" t="str">
        <f aca="false">IFERROR(IF(COUNT(K396,K402)=0,"",N(K396)+N(K402)),"")</f>
        <v/>
      </c>
      <c r="L403" s="48" t="str">
        <f aca="false">IFERROR(IF(COUNT(L396,L402)=0,"",N(L396)+N(L402)),"")</f>
        <v/>
      </c>
      <c r="M403" s="48" t="str">
        <f aca="false">IFERROR(IF(COUNT(M396,M402)=0,"",N(M396)+N(M402)),"")</f>
        <v/>
      </c>
      <c r="N403" s="48" t="str">
        <f aca="false">IFERROR(IF(COUNT(N396,N402)=0,"",N(N396)+N(N402)),"")</f>
        <v/>
      </c>
      <c r="O403" s="54" t="str">
        <f aca="false">IF(COUNT(D403:N403)=0,"",SUM(D403:N403))</f>
        <v/>
      </c>
    </row>
    <row r="404" customFormat="false" ht="15" hidden="true" customHeight="false" outlineLevel="1" collapsed="false">
      <c r="A404" s="11" t="s">
        <v>2533</v>
      </c>
      <c r="B404" s="15" t="s">
        <v>2380</v>
      </c>
      <c r="C404" s="11" t="s">
        <v>748</v>
      </c>
      <c r="D404" s="50" t="str">
        <f aca="false">IFERROR(IF(OR(NOT(ISNUMBER(D403)),N(D397)=0),"",D403/D397),"")</f>
        <v/>
      </c>
      <c r="E404" s="50" t="str">
        <f aca="false">IFERROR(IF(OR(NOT(ISNUMBER(E403)),N(E397)=0),"",E403/E397),"")</f>
        <v/>
      </c>
      <c r="F404" s="50" t="str">
        <f aca="false">IFERROR(IF(OR(NOT(ISNUMBER(F403)),N(F397)=0),"",F403/F397),"")</f>
        <v/>
      </c>
      <c r="G404" s="50" t="str">
        <f aca="false">IFERROR(IF(OR(NOT(ISNUMBER(G403)),N(G397)=0),"",G403/G397),"")</f>
        <v/>
      </c>
      <c r="H404" s="50" t="str">
        <f aca="false">IFERROR(IF(OR(NOT(ISNUMBER(H403)),N(H397)=0),"",H403/H397),"")</f>
        <v/>
      </c>
      <c r="I404" s="50" t="str">
        <f aca="false">IFERROR(IF(OR(NOT(ISNUMBER(I403)),N(I397)=0),"",I403/I397),"")</f>
        <v/>
      </c>
      <c r="J404" s="50" t="str">
        <f aca="false">IFERROR(IF(OR(NOT(ISNUMBER(J403)),N(J397)=0),"",J403/J397),"")</f>
        <v/>
      </c>
      <c r="K404" s="50" t="str">
        <f aca="false">IFERROR(IF(OR(NOT(ISNUMBER(K403)),N(K397)=0),"",K403/K397),"")</f>
        <v/>
      </c>
      <c r="L404" s="50" t="str">
        <f aca="false">IFERROR(IF(OR(NOT(ISNUMBER(L403)),N(L397)=0),"",L403/L397),"")</f>
        <v/>
      </c>
      <c r="M404" s="50" t="str">
        <f aca="false">IFERROR(IF(OR(NOT(ISNUMBER(M403)),N(M397)=0),"",M403/M397),"")</f>
        <v/>
      </c>
      <c r="N404" s="50" t="str">
        <f aca="false">IFERROR(IF(OR(NOT(ISNUMBER(N403)),N(N397)=0),"",N403/N397),"")</f>
        <v/>
      </c>
      <c r="O404" s="68" t="str">
        <f aca="false">IFERROR(IF(OR(NOT(ISNUMBER(O403)),N(O397)=0),"",O403/O397),"")</f>
        <v/>
      </c>
    </row>
    <row r="405" customFormat="false" ht="15" hidden="true" customHeight="false" outlineLevel="1" collapsed="false">
      <c r="A405" s="11" t="s">
        <v>2534</v>
      </c>
      <c r="B405" s="53" t="str">
        <f aca="false">IF(INDEX(Prod_Nombre,19)="","Producto 19",INDEX(Prod_Nombre,19))&amp;" — costo directo"</f>
        <v>Producto 19 — costo directo</v>
      </c>
      <c r="C405" s="11" t="s">
        <v>508</v>
      </c>
      <c r="D405" s="37"/>
      <c r="E405" s="37"/>
      <c r="F405" s="37"/>
      <c r="G405" s="37"/>
      <c r="H405" s="37"/>
      <c r="I405" s="37"/>
      <c r="J405" s="37"/>
      <c r="K405" s="37"/>
      <c r="L405" s="37"/>
      <c r="M405" s="37"/>
      <c r="N405" s="37"/>
      <c r="O405" s="54" t="str">
        <f aca="false">IF(COUNT(D405:N405)=0,"",SUM(D405:N405))</f>
        <v/>
      </c>
    </row>
    <row r="406" customFormat="false" ht="15" hidden="true" customHeight="false" outlineLevel="1" collapsed="false">
      <c r="A406" s="11" t="s">
        <v>2535</v>
      </c>
      <c r="B406" s="15" t="s">
        <v>2366</v>
      </c>
      <c r="C406" s="11" t="s">
        <v>544</v>
      </c>
      <c r="D406" s="37"/>
      <c r="E406" s="37"/>
      <c r="F406" s="37"/>
      <c r="G406" s="37"/>
      <c r="H406" s="37"/>
      <c r="I406" s="37"/>
      <c r="J406" s="37"/>
      <c r="K406" s="37"/>
      <c r="L406" s="37"/>
      <c r="M406" s="37"/>
      <c r="N406" s="37"/>
      <c r="O406" s="54" t="str">
        <f aca="false">IF(COUNT(D406:N406)=0,"",SUM(D406:N406))</f>
        <v/>
      </c>
    </row>
    <row r="407" customFormat="false" ht="15" hidden="true" customHeight="false" outlineLevel="1" collapsed="false">
      <c r="A407" s="11" t="s">
        <v>2536</v>
      </c>
      <c r="B407" s="15" t="s">
        <v>2368</v>
      </c>
      <c r="C407" s="11" t="s">
        <v>508</v>
      </c>
      <c r="D407" s="37"/>
      <c r="E407" s="37"/>
      <c r="F407" s="37"/>
      <c r="G407" s="37"/>
      <c r="H407" s="37"/>
      <c r="I407" s="37"/>
      <c r="J407" s="37"/>
      <c r="K407" s="37"/>
      <c r="L407" s="37"/>
      <c r="M407" s="37"/>
      <c r="N407" s="37"/>
      <c r="O407" s="54" t="str">
        <f aca="false">IF(COUNT(D407:N407)=0,"",SUM(D407:N407))</f>
        <v/>
      </c>
    </row>
    <row r="408" customFormat="false" ht="15" hidden="true" customHeight="false" outlineLevel="1" collapsed="false">
      <c r="A408" s="11" t="s">
        <v>2537</v>
      </c>
      <c r="B408" s="15" t="s">
        <v>2370</v>
      </c>
      <c r="C408" s="11" t="s">
        <v>748</v>
      </c>
      <c r="D408" s="50" t="str">
        <f aca="false">IFERROR(IF(OR(NOT(ISNUMBER(D405)),N(D406)=0),"",D405/D406),"")</f>
        <v/>
      </c>
      <c r="E408" s="50" t="str">
        <f aca="false">IFERROR(IF(OR(NOT(ISNUMBER(E405)),N(E406)=0),"",E405/E406),"")</f>
        <v/>
      </c>
      <c r="F408" s="50" t="str">
        <f aca="false">IFERROR(IF(OR(NOT(ISNUMBER(F405)),N(F406)=0),"",F405/F406),"")</f>
        <v/>
      </c>
      <c r="G408" s="50" t="str">
        <f aca="false">IFERROR(IF(OR(NOT(ISNUMBER(G405)),N(G406)=0),"",G405/G406),"")</f>
        <v/>
      </c>
      <c r="H408" s="50" t="str">
        <f aca="false">IFERROR(IF(OR(NOT(ISNUMBER(H405)),N(H406)=0),"",H405/H406),"")</f>
        <v/>
      </c>
      <c r="I408" s="50" t="str">
        <f aca="false">IFERROR(IF(OR(NOT(ISNUMBER(I405)),N(I406)=0),"",I405/I406),"")</f>
        <v/>
      </c>
      <c r="J408" s="50" t="str">
        <f aca="false">IFERROR(IF(OR(NOT(ISNUMBER(J405)),N(J406)=0),"",J405/J406),"")</f>
        <v/>
      </c>
      <c r="K408" s="50" t="str">
        <f aca="false">IFERROR(IF(OR(NOT(ISNUMBER(K405)),N(K406)=0),"",K405/K406),"")</f>
        <v/>
      </c>
      <c r="L408" s="50" t="str">
        <f aca="false">IFERROR(IF(OR(NOT(ISNUMBER(L405)),N(L406)=0),"",L405/L406),"")</f>
        <v/>
      </c>
      <c r="M408" s="50" t="str">
        <f aca="false">IFERROR(IF(OR(NOT(ISNUMBER(M405)),N(M406)=0),"",M405/M406),"")</f>
        <v/>
      </c>
      <c r="N408" s="50" t="str">
        <f aca="false">IFERROR(IF(OR(NOT(ISNUMBER(N405)),N(N406)=0),"",N405/N406),"")</f>
        <v/>
      </c>
      <c r="O408" s="68" t="str">
        <f aca="false">IFERROR(IF(OR(NOT(ISNUMBER(O405)),N(O406)=0),"",O405/O406),"")</f>
        <v/>
      </c>
    </row>
    <row r="409" customFormat="false" ht="15" hidden="true" customHeight="false" outlineLevel="1" collapsed="false">
      <c r="A409" s="11" t="s">
        <v>2538</v>
      </c>
      <c r="B409" s="15" t="s">
        <v>2372</v>
      </c>
      <c r="C409" s="11" t="s">
        <v>748</v>
      </c>
      <c r="D409" s="50" t="str">
        <f aca="false">IFERROR(IF(N(D406)=0,"",(D407-D405)/D406),"")</f>
        <v/>
      </c>
      <c r="E409" s="50" t="str">
        <f aca="false">IFERROR(IF(N(E406)=0,"",(E407-E405)/E406),"")</f>
        <v/>
      </c>
      <c r="F409" s="50" t="str">
        <f aca="false">IFERROR(IF(N(F406)=0,"",(F407-F405)/F406),"")</f>
        <v/>
      </c>
      <c r="G409" s="50" t="str">
        <f aca="false">IFERROR(IF(N(G406)=0,"",(G407-G405)/G406),"")</f>
        <v/>
      </c>
      <c r="H409" s="50" t="str">
        <f aca="false">IFERROR(IF(N(H406)=0,"",(H407-H405)/H406),"")</f>
        <v/>
      </c>
      <c r="I409" s="50" t="str">
        <f aca="false">IFERROR(IF(N(I406)=0,"",(I407-I405)/I406),"")</f>
        <v/>
      </c>
      <c r="J409" s="50" t="str">
        <f aca="false">IFERROR(IF(N(J406)=0,"",(J407-J405)/J406),"")</f>
        <v/>
      </c>
      <c r="K409" s="50" t="str">
        <f aca="false">IFERROR(IF(N(K406)=0,"",(K407-K405)/K406),"")</f>
        <v/>
      </c>
      <c r="L409" s="50" t="str">
        <f aca="false">IFERROR(IF(N(L406)=0,"",(L407-L405)/L406),"")</f>
        <v/>
      </c>
      <c r="M409" s="50" t="str">
        <f aca="false">IFERROR(IF(N(M406)=0,"",(M407-M405)/M406),"")</f>
        <v/>
      </c>
      <c r="N409" s="50" t="str">
        <f aca="false">IFERROR(IF(N(N406)=0,"",(N407-N405)/N406),"")</f>
        <v/>
      </c>
      <c r="O409" s="68" t="str">
        <f aca="false">IFERROR(IF(N(O406)=0,"",(O407-O405)/O406),"")</f>
        <v/>
      </c>
    </row>
    <row r="410" customFormat="false" ht="15" hidden="true" customHeight="false" outlineLevel="1" collapsed="false">
      <c r="A410" s="11" t="s">
        <v>2539</v>
      </c>
      <c r="B410" s="15" t="s">
        <v>2374</v>
      </c>
      <c r="C410" s="11" t="s">
        <v>367</v>
      </c>
      <c r="D410" s="49" t="str">
        <f aca="false">IFERROR(IF(N(D407)=0,"",1-D405/D407),"")</f>
        <v/>
      </c>
      <c r="E410" s="49" t="str">
        <f aca="false">IFERROR(IF(N(E407)=0,"",1-E405/E407),"")</f>
        <v/>
      </c>
      <c r="F410" s="49" t="str">
        <f aca="false">IFERROR(IF(N(F407)=0,"",1-F405/F407),"")</f>
        <v/>
      </c>
      <c r="G410" s="49" t="str">
        <f aca="false">IFERROR(IF(N(G407)=0,"",1-G405/G407),"")</f>
        <v/>
      </c>
      <c r="H410" s="49" t="str">
        <f aca="false">IFERROR(IF(N(H407)=0,"",1-H405/H407),"")</f>
        <v/>
      </c>
      <c r="I410" s="49" t="str">
        <f aca="false">IFERROR(IF(N(I407)=0,"",1-I405/I407),"")</f>
        <v/>
      </c>
      <c r="J410" s="49" t="str">
        <f aca="false">IFERROR(IF(N(J407)=0,"",1-J405/J407),"")</f>
        <v/>
      </c>
      <c r="K410" s="49" t="str">
        <f aca="false">IFERROR(IF(N(K407)=0,"",1-K405/K407),"")</f>
        <v/>
      </c>
      <c r="L410" s="49" t="str">
        <f aca="false">IFERROR(IF(N(L407)=0,"",1-L405/L407),"")</f>
        <v/>
      </c>
      <c r="M410" s="49" t="str">
        <f aca="false">IFERROR(IF(N(M407)=0,"",1-M405/M407),"")</f>
        <v/>
      </c>
      <c r="N410" s="49" t="str">
        <f aca="false">IFERROR(IF(N(N407)=0,"",1-N405/N407),"")</f>
        <v/>
      </c>
      <c r="O410" s="99" t="str">
        <f aca="false">IFERROR(IF(N(O407)=0,"",1-O405/O407),"")</f>
        <v/>
      </c>
    </row>
    <row r="411" customFormat="false" ht="15" hidden="true" customHeight="false" outlineLevel="1" collapsed="false">
      <c r="A411" s="11" t="s">
        <v>2540</v>
      </c>
      <c r="B411" s="15" t="s">
        <v>2376</v>
      </c>
      <c r="C411" s="11" t="s">
        <v>508</v>
      </c>
      <c r="D411" s="48" t="str">
        <f aca="false">IFERROR(IF(OR(NOT(ISNUMBER(D405)),N(D241)=0),"",D242*D405/D241),"")</f>
        <v/>
      </c>
      <c r="E411" s="48" t="str">
        <f aca="false">IFERROR(IF(OR(NOT(ISNUMBER(E405)),N(E241)=0),"",E242*E405/E241),"")</f>
        <v/>
      </c>
      <c r="F411" s="48" t="str">
        <f aca="false">IFERROR(IF(OR(NOT(ISNUMBER(F405)),N(F241)=0),"",F242*F405/F241),"")</f>
        <v/>
      </c>
      <c r="G411" s="48" t="str">
        <f aca="false">IFERROR(IF(OR(NOT(ISNUMBER(G405)),N(G241)=0),"",G242*G405/G241),"")</f>
        <v/>
      </c>
      <c r="H411" s="48" t="str">
        <f aca="false">IFERROR(IF(OR(NOT(ISNUMBER(H405)),N(H241)=0),"",H242*H405/H241),"")</f>
        <v/>
      </c>
      <c r="I411" s="48" t="str">
        <f aca="false">IFERROR(IF(OR(NOT(ISNUMBER(I405)),N(I241)=0),"",I242*I405/I241),"")</f>
        <v/>
      </c>
      <c r="J411" s="48" t="str">
        <f aca="false">IFERROR(IF(OR(NOT(ISNUMBER(J405)),N(J241)=0),"",J242*J405/J241),"")</f>
        <v/>
      </c>
      <c r="K411" s="48" t="str">
        <f aca="false">IFERROR(IF(OR(NOT(ISNUMBER(K405)),N(K241)=0),"",K242*K405/K241),"")</f>
        <v/>
      </c>
      <c r="L411" s="48" t="str">
        <f aca="false">IFERROR(IF(OR(NOT(ISNUMBER(L405)),N(L241)=0),"",L242*L405/L241),"")</f>
        <v/>
      </c>
      <c r="M411" s="48" t="str">
        <f aca="false">IFERROR(IF(OR(NOT(ISNUMBER(M405)),N(M241)=0),"",M242*M405/M241),"")</f>
        <v/>
      </c>
      <c r="N411" s="48" t="str">
        <f aca="false">IFERROR(IF(OR(NOT(ISNUMBER(N405)),N(N241)=0),"",N242*N405/N241),"")</f>
        <v/>
      </c>
      <c r="O411" s="54" t="str">
        <f aca="false">IF(COUNT(D411:N411)=0,"",SUM(D411:N411))</f>
        <v/>
      </c>
    </row>
    <row r="412" customFormat="false" ht="15" hidden="true" customHeight="false" outlineLevel="1" collapsed="false">
      <c r="A412" s="11" t="s">
        <v>2541</v>
      </c>
      <c r="B412" s="15" t="s">
        <v>2378</v>
      </c>
      <c r="C412" s="11" t="s">
        <v>508</v>
      </c>
      <c r="D412" s="48" t="str">
        <f aca="false">IFERROR(IF(COUNT(D405,D411)=0,"",N(D405)+N(D411)),"")</f>
        <v/>
      </c>
      <c r="E412" s="48" t="str">
        <f aca="false">IFERROR(IF(COUNT(E405,E411)=0,"",N(E405)+N(E411)),"")</f>
        <v/>
      </c>
      <c r="F412" s="48" t="str">
        <f aca="false">IFERROR(IF(COUNT(F405,F411)=0,"",N(F405)+N(F411)),"")</f>
        <v/>
      </c>
      <c r="G412" s="48" t="str">
        <f aca="false">IFERROR(IF(COUNT(G405,G411)=0,"",N(G405)+N(G411)),"")</f>
        <v/>
      </c>
      <c r="H412" s="48" t="str">
        <f aca="false">IFERROR(IF(COUNT(H405,H411)=0,"",N(H405)+N(H411)),"")</f>
        <v/>
      </c>
      <c r="I412" s="48" t="str">
        <f aca="false">IFERROR(IF(COUNT(I405,I411)=0,"",N(I405)+N(I411)),"")</f>
        <v/>
      </c>
      <c r="J412" s="48" t="str">
        <f aca="false">IFERROR(IF(COUNT(J405,J411)=0,"",N(J405)+N(J411)),"")</f>
        <v/>
      </c>
      <c r="K412" s="48" t="str">
        <f aca="false">IFERROR(IF(COUNT(K405,K411)=0,"",N(K405)+N(K411)),"")</f>
        <v/>
      </c>
      <c r="L412" s="48" t="str">
        <f aca="false">IFERROR(IF(COUNT(L405,L411)=0,"",N(L405)+N(L411)),"")</f>
        <v/>
      </c>
      <c r="M412" s="48" t="str">
        <f aca="false">IFERROR(IF(COUNT(M405,M411)=0,"",N(M405)+N(M411)),"")</f>
        <v/>
      </c>
      <c r="N412" s="48" t="str">
        <f aca="false">IFERROR(IF(COUNT(N405,N411)=0,"",N(N405)+N(N411)),"")</f>
        <v/>
      </c>
      <c r="O412" s="54" t="str">
        <f aca="false">IF(COUNT(D412:N412)=0,"",SUM(D412:N412))</f>
        <v/>
      </c>
    </row>
    <row r="413" customFormat="false" ht="15" hidden="true" customHeight="false" outlineLevel="1" collapsed="false">
      <c r="A413" s="11" t="s">
        <v>2542</v>
      </c>
      <c r="B413" s="15" t="s">
        <v>2380</v>
      </c>
      <c r="C413" s="11" t="s">
        <v>748</v>
      </c>
      <c r="D413" s="50" t="str">
        <f aca="false">IFERROR(IF(OR(NOT(ISNUMBER(D412)),N(D406)=0),"",D412/D406),"")</f>
        <v/>
      </c>
      <c r="E413" s="50" t="str">
        <f aca="false">IFERROR(IF(OR(NOT(ISNUMBER(E412)),N(E406)=0),"",E412/E406),"")</f>
        <v/>
      </c>
      <c r="F413" s="50" t="str">
        <f aca="false">IFERROR(IF(OR(NOT(ISNUMBER(F412)),N(F406)=0),"",F412/F406),"")</f>
        <v/>
      </c>
      <c r="G413" s="50" t="str">
        <f aca="false">IFERROR(IF(OR(NOT(ISNUMBER(G412)),N(G406)=0),"",G412/G406),"")</f>
        <v/>
      </c>
      <c r="H413" s="50" t="str">
        <f aca="false">IFERROR(IF(OR(NOT(ISNUMBER(H412)),N(H406)=0),"",H412/H406),"")</f>
        <v/>
      </c>
      <c r="I413" s="50" t="str">
        <f aca="false">IFERROR(IF(OR(NOT(ISNUMBER(I412)),N(I406)=0),"",I412/I406),"")</f>
        <v/>
      </c>
      <c r="J413" s="50" t="str">
        <f aca="false">IFERROR(IF(OR(NOT(ISNUMBER(J412)),N(J406)=0),"",J412/J406),"")</f>
        <v/>
      </c>
      <c r="K413" s="50" t="str">
        <f aca="false">IFERROR(IF(OR(NOT(ISNUMBER(K412)),N(K406)=0),"",K412/K406),"")</f>
        <v/>
      </c>
      <c r="L413" s="50" t="str">
        <f aca="false">IFERROR(IF(OR(NOT(ISNUMBER(L412)),N(L406)=0),"",L412/L406),"")</f>
        <v/>
      </c>
      <c r="M413" s="50" t="str">
        <f aca="false">IFERROR(IF(OR(NOT(ISNUMBER(M412)),N(M406)=0),"",M412/M406),"")</f>
        <v/>
      </c>
      <c r="N413" s="50" t="str">
        <f aca="false">IFERROR(IF(OR(NOT(ISNUMBER(N412)),N(N406)=0),"",N412/N406),"")</f>
        <v/>
      </c>
      <c r="O413" s="68" t="str">
        <f aca="false">IFERROR(IF(OR(NOT(ISNUMBER(O412)),N(O406)=0),"",O412/O406),"")</f>
        <v/>
      </c>
    </row>
    <row r="414" customFormat="false" ht="15" hidden="true" customHeight="false" outlineLevel="1" collapsed="false">
      <c r="A414" s="11" t="s">
        <v>2543</v>
      </c>
      <c r="B414" s="53" t="str">
        <f aca="false">IF(INDEX(Prod_Nombre,20)="","Producto 20",INDEX(Prod_Nombre,20))&amp;" — costo directo"</f>
        <v>Producto 20 — costo directo</v>
      </c>
      <c r="C414" s="11" t="s">
        <v>508</v>
      </c>
      <c r="D414" s="37"/>
      <c r="E414" s="37"/>
      <c r="F414" s="37"/>
      <c r="G414" s="37"/>
      <c r="H414" s="37"/>
      <c r="I414" s="37"/>
      <c r="J414" s="37"/>
      <c r="K414" s="37"/>
      <c r="L414" s="37"/>
      <c r="M414" s="37"/>
      <c r="N414" s="37"/>
      <c r="O414" s="54" t="str">
        <f aca="false">IF(COUNT(D414:N414)=0,"",SUM(D414:N414))</f>
        <v/>
      </c>
    </row>
    <row r="415" customFormat="false" ht="15" hidden="true" customHeight="false" outlineLevel="1" collapsed="false">
      <c r="A415" s="11" t="s">
        <v>2544</v>
      </c>
      <c r="B415" s="15" t="s">
        <v>2366</v>
      </c>
      <c r="C415" s="11" t="s">
        <v>544</v>
      </c>
      <c r="D415" s="37"/>
      <c r="E415" s="37"/>
      <c r="F415" s="37"/>
      <c r="G415" s="37"/>
      <c r="H415" s="37"/>
      <c r="I415" s="37"/>
      <c r="J415" s="37"/>
      <c r="K415" s="37"/>
      <c r="L415" s="37"/>
      <c r="M415" s="37"/>
      <c r="N415" s="37"/>
      <c r="O415" s="54" t="str">
        <f aca="false">IF(COUNT(D415:N415)=0,"",SUM(D415:N415))</f>
        <v/>
      </c>
    </row>
    <row r="416" customFormat="false" ht="15" hidden="true" customHeight="false" outlineLevel="1" collapsed="false">
      <c r="A416" s="11" t="s">
        <v>2545</v>
      </c>
      <c r="B416" s="15" t="s">
        <v>2368</v>
      </c>
      <c r="C416" s="11" t="s">
        <v>508</v>
      </c>
      <c r="D416" s="37"/>
      <c r="E416" s="37"/>
      <c r="F416" s="37"/>
      <c r="G416" s="37"/>
      <c r="H416" s="37"/>
      <c r="I416" s="37"/>
      <c r="J416" s="37"/>
      <c r="K416" s="37"/>
      <c r="L416" s="37"/>
      <c r="M416" s="37"/>
      <c r="N416" s="37"/>
      <c r="O416" s="54" t="str">
        <f aca="false">IF(COUNT(D416:N416)=0,"",SUM(D416:N416))</f>
        <v/>
      </c>
    </row>
    <row r="417" customFormat="false" ht="15" hidden="true" customHeight="false" outlineLevel="1" collapsed="false">
      <c r="A417" s="11" t="s">
        <v>2546</v>
      </c>
      <c r="B417" s="15" t="s">
        <v>2370</v>
      </c>
      <c r="C417" s="11" t="s">
        <v>748</v>
      </c>
      <c r="D417" s="50" t="str">
        <f aca="false">IFERROR(IF(OR(NOT(ISNUMBER(D414)),N(D415)=0),"",D414/D415),"")</f>
        <v/>
      </c>
      <c r="E417" s="50" t="str">
        <f aca="false">IFERROR(IF(OR(NOT(ISNUMBER(E414)),N(E415)=0),"",E414/E415),"")</f>
        <v/>
      </c>
      <c r="F417" s="50" t="str">
        <f aca="false">IFERROR(IF(OR(NOT(ISNUMBER(F414)),N(F415)=0),"",F414/F415),"")</f>
        <v/>
      </c>
      <c r="G417" s="50" t="str">
        <f aca="false">IFERROR(IF(OR(NOT(ISNUMBER(G414)),N(G415)=0),"",G414/G415),"")</f>
        <v/>
      </c>
      <c r="H417" s="50" t="str">
        <f aca="false">IFERROR(IF(OR(NOT(ISNUMBER(H414)),N(H415)=0),"",H414/H415),"")</f>
        <v/>
      </c>
      <c r="I417" s="50" t="str">
        <f aca="false">IFERROR(IF(OR(NOT(ISNUMBER(I414)),N(I415)=0),"",I414/I415),"")</f>
        <v/>
      </c>
      <c r="J417" s="50" t="str">
        <f aca="false">IFERROR(IF(OR(NOT(ISNUMBER(J414)),N(J415)=0),"",J414/J415),"")</f>
        <v/>
      </c>
      <c r="K417" s="50" t="str">
        <f aca="false">IFERROR(IF(OR(NOT(ISNUMBER(K414)),N(K415)=0),"",K414/K415),"")</f>
        <v/>
      </c>
      <c r="L417" s="50" t="str">
        <f aca="false">IFERROR(IF(OR(NOT(ISNUMBER(L414)),N(L415)=0),"",L414/L415),"")</f>
        <v/>
      </c>
      <c r="M417" s="50" t="str">
        <f aca="false">IFERROR(IF(OR(NOT(ISNUMBER(M414)),N(M415)=0),"",M414/M415),"")</f>
        <v/>
      </c>
      <c r="N417" s="50" t="str">
        <f aca="false">IFERROR(IF(OR(NOT(ISNUMBER(N414)),N(N415)=0),"",N414/N415),"")</f>
        <v/>
      </c>
      <c r="O417" s="68" t="str">
        <f aca="false">IFERROR(IF(OR(NOT(ISNUMBER(O414)),N(O415)=0),"",O414/O415),"")</f>
        <v/>
      </c>
    </row>
    <row r="418" customFormat="false" ht="15" hidden="true" customHeight="false" outlineLevel="1" collapsed="false">
      <c r="A418" s="11" t="s">
        <v>2547</v>
      </c>
      <c r="B418" s="15" t="s">
        <v>2372</v>
      </c>
      <c r="C418" s="11" t="s">
        <v>748</v>
      </c>
      <c r="D418" s="50" t="str">
        <f aca="false">IFERROR(IF(N(D415)=0,"",(D416-D414)/D415),"")</f>
        <v/>
      </c>
      <c r="E418" s="50" t="str">
        <f aca="false">IFERROR(IF(N(E415)=0,"",(E416-E414)/E415),"")</f>
        <v/>
      </c>
      <c r="F418" s="50" t="str">
        <f aca="false">IFERROR(IF(N(F415)=0,"",(F416-F414)/F415),"")</f>
        <v/>
      </c>
      <c r="G418" s="50" t="str">
        <f aca="false">IFERROR(IF(N(G415)=0,"",(G416-G414)/G415),"")</f>
        <v/>
      </c>
      <c r="H418" s="50" t="str">
        <f aca="false">IFERROR(IF(N(H415)=0,"",(H416-H414)/H415),"")</f>
        <v/>
      </c>
      <c r="I418" s="50" t="str">
        <f aca="false">IFERROR(IF(N(I415)=0,"",(I416-I414)/I415),"")</f>
        <v/>
      </c>
      <c r="J418" s="50" t="str">
        <f aca="false">IFERROR(IF(N(J415)=0,"",(J416-J414)/J415),"")</f>
        <v/>
      </c>
      <c r="K418" s="50" t="str">
        <f aca="false">IFERROR(IF(N(K415)=0,"",(K416-K414)/K415),"")</f>
        <v/>
      </c>
      <c r="L418" s="50" t="str">
        <f aca="false">IFERROR(IF(N(L415)=0,"",(L416-L414)/L415),"")</f>
        <v/>
      </c>
      <c r="M418" s="50" t="str">
        <f aca="false">IFERROR(IF(N(M415)=0,"",(M416-M414)/M415),"")</f>
        <v/>
      </c>
      <c r="N418" s="50" t="str">
        <f aca="false">IFERROR(IF(N(N415)=0,"",(N416-N414)/N415),"")</f>
        <v/>
      </c>
      <c r="O418" s="68" t="str">
        <f aca="false">IFERROR(IF(N(O415)=0,"",(O416-O414)/O415),"")</f>
        <v/>
      </c>
    </row>
    <row r="419" customFormat="false" ht="15" hidden="true" customHeight="false" outlineLevel="1" collapsed="false">
      <c r="A419" s="11" t="s">
        <v>2548</v>
      </c>
      <c r="B419" s="15" t="s">
        <v>2374</v>
      </c>
      <c r="C419" s="11" t="s">
        <v>367</v>
      </c>
      <c r="D419" s="49" t="str">
        <f aca="false">IFERROR(IF(N(D416)=0,"",1-D414/D416),"")</f>
        <v/>
      </c>
      <c r="E419" s="49" t="str">
        <f aca="false">IFERROR(IF(N(E416)=0,"",1-E414/E416),"")</f>
        <v/>
      </c>
      <c r="F419" s="49" t="str">
        <f aca="false">IFERROR(IF(N(F416)=0,"",1-F414/F416),"")</f>
        <v/>
      </c>
      <c r="G419" s="49" t="str">
        <f aca="false">IFERROR(IF(N(G416)=0,"",1-G414/G416),"")</f>
        <v/>
      </c>
      <c r="H419" s="49" t="str">
        <f aca="false">IFERROR(IF(N(H416)=0,"",1-H414/H416),"")</f>
        <v/>
      </c>
      <c r="I419" s="49" t="str">
        <f aca="false">IFERROR(IF(N(I416)=0,"",1-I414/I416),"")</f>
        <v/>
      </c>
      <c r="J419" s="49" t="str">
        <f aca="false">IFERROR(IF(N(J416)=0,"",1-J414/J416),"")</f>
        <v/>
      </c>
      <c r="K419" s="49" t="str">
        <f aca="false">IFERROR(IF(N(K416)=0,"",1-K414/K416),"")</f>
        <v/>
      </c>
      <c r="L419" s="49" t="str">
        <f aca="false">IFERROR(IF(N(L416)=0,"",1-L414/L416),"")</f>
        <v/>
      </c>
      <c r="M419" s="49" t="str">
        <f aca="false">IFERROR(IF(N(M416)=0,"",1-M414/M416),"")</f>
        <v/>
      </c>
      <c r="N419" s="49" t="str">
        <f aca="false">IFERROR(IF(N(N416)=0,"",1-N414/N416),"")</f>
        <v/>
      </c>
      <c r="O419" s="99" t="str">
        <f aca="false">IFERROR(IF(N(O416)=0,"",1-O414/O416),"")</f>
        <v/>
      </c>
    </row>
    <row r="420" customFormat="false" ht="15" hidden="true" customHeight="false" outlineLevel="1" collapsed="false">
      <c r="A420" s="11" t="s">
        <v>2549</v>
      </c>
      <c r="B420" s="15" t="s">
        <v>2376</v>
      </c>
      <c r="C420" s="11" t="s">
        <v>508</v>
      </c>
      <c r="D420" s="48" t="str">
        <f aca="false">IFERROR(IF(OR(NOT(ISNUMBER(D414)),N(D241)=0),"",D242*D414/D241),"")</f>
        <v/>
      </c>
      <c r="E420" s="48" t="str">
        <f aca="false">IFERROR(IF(OR(NOT(ISNUMBER(E414)),N(E241)=0),"",E242*E414/E241),"")</f>
        <v/>
      </c>
      <c r="F420" s="48" t="str">
        <f aca="false">IFERROR(IF(OR(NOT(ISNUMBER(F414)),N(F241)=0),"",F242*F414/F241),"")</f>
        <v/>
      </c>
      <c r="G420" s="48" t="str">
        <f aca="false">IFERROR(IF(OR(NOT(ISNUMBER(G414)),N(G241)=0),"",G242*G414/G241),"")</f>
        <v/>
      </c>
      <c r="H420" s="48" t="str">
        <f aca="false">IFERROR(IF(OR(NOT(ISNUMBER(H414)),N(H241)=0),"",H242*H414/H241),"")</f>
        <v/>
      </c>
      <c r="I420" s="48" t="str">
        <f aca="false">IFERROR(IF(OR(NOT(ISNUMBER(I414)),N(I241)=0),"",I242*I414/I241),"")</f>
        <v/>
      </c>
      <c r="J420" s="48" t="str">
        <f aca="false">IFERROR(IF(OR(NOT(ISNUMBER(J414)),N(J241)=0),"",J242*J414/J241),"")</f>
        <v/>
      </c>
      <c r="K420" s="48" t="str">
        <f aca="false">IFERROR(IF(OR(NOT(ISNUMBER(K414)),N(K241)=0),"",K242*K414/K241),"")</f>
        <v/>
      </c>
      <c r="L420" s="48" t="str">
        <f aca="false">IFERROR(IF(OR(NOT(ISNUMBER(L414)),N(L241)=0),"",L242*L414/L241),"")</f>
        <v/>
      </c>
      <c r="M420" s="48" t="str">
        <f aca="false">IFERROR(IF(OR(NOT(ISNUMBER(M414)),N(M241)=0),"",M242*M414/M241),"")</f>
        <v/>
      </c>
      <c r="N420" s="48" t="str">
        <f aca="false">IFERROR(IF(OR(NOT(ISNUMBER(N414)),N(N241)=0),"",N242*N414/N241),"")</f>
        <v/>
      </c>
      <c r="O420" s="54" t="str">
        <f aca="false">IF(COUNT(D420:N420)=0,"",SUM(D420:N420))</f>
        <v/>
      </c>
    </row>
    <row r="421" customFormat="false" ht="15" hidden="true" customHeight="false" outlineLevel="1" collapsed="false">
      <c r="A421" s="11" t="s">
        <v>2550</v>
      </c>
      <c r="B421" s="15" t="s">
        <v>2378</v>
      </c>
      <c r="C421" s="11" t="s">
        <v>508</v>
      </c>
      <c r="D421" s="48" t="str">
        <f aca="false">IFERROR(IF(COUNT(D414,D420)=0,"",N(D414)+N(D420)),"")</f>
        <v/>
      </c>
      <c r="E421" s="48" t="str">
        <f aca="false">IFERROR(IF(COUNT(E414,E420)=0,"",N(E414)+N(E420)),"")</f>
        <v/>
      </c>
      <c r="F421" s="48" t="str">
        <f aca="false">IFERROR(IF(COUNT(F414,F420)=0,"",N(F414)+N(F420)),"")</f>
        <v/>
      </c>
      <c r="G421" s="48" t="str">
        <f aca="false">IFERROR(IF(COUNT(G414,G420)=0,"",N(G414)+N(G420)),"")</f>
        <v/>
      </c>
      <c r="H421" s="48" t="str">
        <f aca="false">IFERROR(IF(COUNT(H414,H420)=0,"",N(H414)+N(H420)),"")</f>
        <v/>
      </c>
      <c r="I421" s="48" t="str">
        <f aca="false">IFERROR(IF(COUNT(I414,I420)=0,"",N(I414)+N(I420)),"")</f>
        <v/>
      </c>
      <c r="J421" s="48" t="str">
        <f aca="false">IFERROR(IF(COUNT(J414,J420)=0,"",N(J414)+N(J420)),"")</f>
        <v/>
      </c>
      <c r="K421" s="48" t="str">
        <f aca="false">IFERROR(IF(COUNT(K414,K420)=0,"",N(K414)+N(K420)),"")</f>
        <v/>
      </c>
      <c r="L421" s="48" t="str">
        <f aca="false">IFERROR(IF(COUNT(L414,L420)=0,"",N(L414)+N(L420)),"")</f>
        <v/>
      </c>
      <c r="M421" s="48" t="str">
        <f aca="false">IFERROR(IF(COUNT(M414,M420)=0,"",N(M414)+N(M420)),"")</f>
        <v/>
      </c>
      <c r="N421" s="48" t="str">
        <f aca="false">IFERROR(IF(COUNT(N414,N420)=0,"",N(N414)+N(N420)),"")</f>
        <v/>
      </c>
      <c r="O421" s="54" t="str">
        <f aca="false">IF(COUNT(D421:N421)=0,"",SUM(D421:N421))</f>
        <v/>
      </c>
    </row>
    <row r="422" customFormat="false" ht="15" hidden="true" customHeight="false" outlineLevel="1" collapsed="false">
      <c r="A422" s="11" t="s">
        <v>2551</v>
      </c>
      <c r="B422" s="15" t="s">
        <v>2380</v>
      </c>
      <c r="C422" s="11" t="s">
        <v>748</v>
      </c>
      <c r="D422" s="50" t="str">
        <f aca="false">IFERROR(IF(OR(NOT(ISNUMBER(D421)),N(D415)=0),"",D421/D415),"")</f>
        <v/>
      </c>
      <c r="E422" s="50" t="str">
        <f aca="false">IFERROR(IF(OR(NOT(ISNUMBER(E421)),N(E415)=0),"",E421/E415),"")</f>
        <v/>
      </c>
      <c r="F422" s="50" t="str">
        <f aca="false">IFERROR(IF(OR(NOT(ISNUMBER(F421)),N(F415)=0),"",F421/F415),"")</f>
        <v/>
      </c>
      <c r="G422" s="50" t="str">
        <f aca="false">IFERROR(IF(OR(NOT(ISNUMBER(G421)),N(G415)=0),"",G421/G415),"")</f>
        <v/>
      </c>
      <c r="H422" s="50" t="str">
        <f aca="false">IFERROR(IF(OR(NOT(ISNUMBER(H421)),N(H415)=0),"",H421/H415),"")</f>
        <v/>
      </c>
      <c r="I422" s="50" t="str">
        <f aca="false">IFERROR(IF(OR(NOT(ISNUMBER(I421)),N(I415)=0),"",I421/I415),"")</f>
        <v/>
      </c>
      <c r="J422" s="50" t="str">
        <f aca="false">IFERROR(IF(OR(NOT(ISNUMBER(J421)),N(J415)=0),"",J421/J415),"")</f>
        <v/>
      </c>
      <c r="K422" s="50" t="str">
        <f aca="false">IFERROR(IF(OR(NOT(ISNUMBER(K421)),N(K415)=0),"",K421/K415),"")</f>
        <v/>
      </c>
      <c r="L422" s="50" t="str">
        <f aca="false">IFERROR(IF(OR(NOT(ISNUMBER(L421)),N(L415)=0),"",L421/L415),"")</f>
        <v/>
      </c>
      <c r="M422" s="50" t="str">
        <f aca="false">IFERROR(IF(OR(NOT(ISNUMBER(M421)),N(M415)=0),"",M421/M415),"")</f>
        <v/>
      </c>
      <c r="N422" s="50" t="str">
        <f aca="false">IFERROR(IF(OR(NOT(ISNUMBER(N421)),N(N415)=0),"",N421/N415),"")</f>
        <v/>
      </c>
      <c r="O422" s="68" t="str">
        <f aca="false">IFERROR(IF(OR(NOT(ISNUMBER(O421)),N(O415)=0),"",O421/O415),"")</f>
        <v/>
      </c>
    </row>
    <row r="423" customFormat="false" ht="15" hidden="true" customHeight="false" outlineLevel="1" collapsed="false">
      <c r="A423" s="11" t="s">
        <v>2552</v>
      </c>
      <c r="B423" s="53" t="str">
        <f aca="false">IF(INDEX(Prod_Nombre,21)="","Producto 21",INDEX(Prod_Nombre,21))&amp;" — costo directo"</f>
        <v>Producto 21 — costo directo</v>
      </c>
      <c r="C423" s="11" t="s">
        <v>508</v>
      </c>
      <c r="D423" s="37"/>
      <c r="E423" s="37"/>
      <c r="F423" s="37"/>
      <c r="G423" s="37"/>
      <c r="H423" s="37"/>
      <c r="I423" s="37"/>
      <c r="J423" s="37"/>
      <c r="K423" s="37"/>
      <c r="L423" s="37"/>
      <c r="M423" s="37"/>
      <c r="N423" s="37"/>
      <c r="O423" s="54" t="str">
        <f aca="false">IF(COUNT(D423:N423)=0,"",SUM(D423:N423))</f>
        <v/>
      </c>
    </row>
    <row r="424" customFormat="false" ht="15" hidden="true" customHeight="false" outlineLevel="1" collapsed="false">
      <c r="A424" s="11" t="s">
        <v>2553</v>
      </c>
      <c r="B424" s="15" t="s">
        <v>2366</v>
      </c>
      <c r="C424" s="11" t="s">
        <v>544</v>
      </c>
      <c r="D424" s="37"/>
      <c r="E424" s="37"/>
      <c r="F424" s="37"/>
      <c r="G424" s="37"/>
      <c r="H424" s="37"/>
      <c r="I424" s="37"/>
      <c r="J424" s="37"/>
      <c r="K424" s="37"/>
      <c r="L424" s="37"/>
      <c r="M424" s="37"/>
      <c r="N424" s="37"/>
      <c r="O424" s="54" t="str">
        <f aca="false">IF(COUNT(D424:N424)=0,"",SUM(D424:N424))</f>
        <v/>
      </c>
    </row>
    <row r="425" customFormat="false" ht="15" hidden="true" customHeight="false" outlineLevel="1" collapsed="false">
      <c r="A425" s="11" t="s">
        <v>2554</v>
      </c>
      <c r="B425" s="15" t="s">
        <v>2368</v>
      </c>
      <c r="C425" s="11" t="s">
        <v>508</v>
      </c>
      <c r="D425" s="37"/>
      <c r="E425" s="37"/>
      <c r="F425" s="37"/>
      <c r="G425" s="37"/>
      <c r="H425" s="37"/>
      <c r="I425" s="37"/>
      <c r="J425" s="37"/>
      <c r="K425" s="37"/>
      <c r="L425" s="37"/>
      <c r="M425" s="37"/>
      <c r="N425" s="37"/>
      <c r="O425" s="54" t="str">
        <f aca="false">IF(COUNT(D425:N425)=0,"",SUM(D425:N425))</f>
        <v/>
      </c>
    </row>
    <row r="426" customFormat="false" ht="15" hidden="true" customHeight="false" outlineLevel="1" collapsed="false">
      <c r="A426" s="11" t="s">
        <v>2555</v>
      </c>
      <c r="B426" s="15" t="s">
        <v>2370</v>
      </c>
      <c r="C426" s="11" t="s">
        <v>748</v>
      </c>
      <c r="D426" s="50" t="str">
        <f aca="false">IFERROR(IF(OR(NOT(ISNUMBER(D423)),N(D424)=0),"",D423/D424),"")</f>
        <v/>
      </c>
      <c r="E426" s="50" t="str">
        <f aca="false">IFERROR(IF(OR(NOT(ISNUMBER(E423)),N(E424)=0),"",E423/E424),"")</f>
        <v/>
      </c>
      <c r="F426" s="50" t="str">
        <f aca="false">IFERROR(IF(OR(NOT(ISNUMBER(F423)),N(F424)=0),"",F423/F424),"")</f>
        <v/>
      </c>
      <c r="G426" s="50" t="str">
        <f aca="false">IFERROR(IF(OR(NOT(ISNUMBER(G423)),N(G424)=0),"",G423/G424),"")</f>
        <v/>
      </c>
      <c r="H426" s="50" t="str">
        <f aca="false">IFERROR(IF(OR(NOT(ISNUMBER(H423)),N(H424)=0),"",H423/H424),"")</f>
        <v/>
      </c>
      <c r="I426" s="50" t="str">
        <f aca="false">IFERROR(IF(OR(NOT(ISNUMBER(I423)),N(I424)=0),"",I423/I424),"")</f>
        <v/>
      </c>
      <c r="J426" s="50" t="str">
        <f aca="false">IFERROR(IF(OR(NOT(ISNUMBER(J423)),N(J424)=0),"",J423/J424),"")</f>
        <v/>
      </c>
      <c r="K426" s="50" t="str">
        <f aca="false">IFERROR(IF(OR(NOT(ISNUMBER(K423)),N(K424)=0),"",K423/K424),"")</f>
        <v/>
      </c>
      <c r="L426" s="50" t="str">
        <f aca="false">IFERROR(IF(OR(NOT(ISNUMBER(L423)),N(L424)=0),"",L423/L424),"")</f>
        <v/>
      </c>
      <c r="M426" s="50" t="str">
        <f aca="false">IFERROR(IF(OR(NOT(ISNUMBER(M423)),N(M424)=0),"",M423/M424),"")</f>
        <v/>
      </c>
      <c r="N426" s="50" t="str">
        <f aca="false">IFERROR(IF(OR(NOT(ISNUMBER(N423)),N(N424)=0),"",N423/N424),"")</f>
        <v/>
      </c>
      <c r="O426" s="68" t="str">
        <f aca="false">IFERROR(IF(OR(NOT(ISNUMBER(O423)),N(O424)=0),"",O423/O424),"")</f>
        <v/>
      </c>
    </row>
    <row r="427" customFormat="false" ht="15" hidden="true" customHeight="false" outlineLevel="1" collapsed="false">
      <c r="A427" s="11" t="s">
        <v>2556</v>
      </c>
      <c r="B427" s="15" t="s">
        <v>2372</v>
      </c>
      <c r="C427" s="11" t="s">
        <v>748</v>
      </c>
      <c r="D427" s="50" t="str">
        <f aca="false">IFERROR(IF(N(D424)=0,"",(D425-D423)/D424),"")</f>
        <v/>
      </c>
      <c r="E427" s="50" t="str">
        <f aca="false">IFERROR(IF(N(E424)=0,"",(E425-E423)/E424),"")</f>
        <v/>
      </c>
      <c r="F427" s="50" t="str">
        <f aca="false">IFERROR(IF(N(F424)=0,"",(F425-F423)/F424),"")</f>
        <v/>
      </c>
      <c r="G427" s="50" t="str">
        <f aca="false">IFERROR(IF(N(G424)=0,"",(G425-G423)/G424),"")</f>
        <v/>
      </c>
      <c r="H427" s="50" t="str">
        <f aca="false">IFERROR(IF(N(H424)=0,"",(H425-H423)/H424),"")</f>
        <v/>
      </c>
      <c r="I427" s="50" t="str">
        <f aca="false">IFERROR(IF(N(I424)=0,"",(I425-I423)/I424),"")</f>
        <v/>
      </c>
      <c r="J427" s="50" t="str">
        <f aca="false">IFERROR(IF(N(J424)=0,"",(J425-J423)/J424),"")</f>
        <v/>
      </c>
      <c r="K427" s="50" t="str">
        <f aca="false">IFERROR(IF(N(K424)=0,"",(K425-K423)/K424),"")</f>
        <v/>
      </c>
      <c r="L427" s="50" t="str">
        <f aca="false">IFERROR(IF(N(L424)=0,"",(L425-L423)/L424),"")</f>
        <v/>
      </c>
      <c r="M427" s="50" t="str">
        <f aca="false">IFERROR(IF(N(M424)=0,"",(M425-M423)/M424),"")</f>
        <v/>
      </c>
      <c r="N427" s="50" t="str">
        <f aca="false">IFERROR(IF(N(N424)=0,"",(N425-N423)/N424),"")</f>
        <v/>
      </c>
      <c r="O427" s="68" t="str">
        <f aca="false">IFERROR(IF(N(O424)=0,"",(O425-O423)/O424),"")</f>
        <v/>
      </c>
    </row>
    <row r="428" customFormat="false" ht="15" hidden="true" customHeight="false" outlineLevel="1" collapsed="false">
      <c r="A428" s="11" t="s">
        <v>2557</v>
      </c>
      <c r="B428" s="15" t="s">
        <v>2374</v>
      </c>
      <c r="C428" s="11" t="s">
        <v>367</v>
      </c>
      <c r="D428" s="49" t="str">
        <f aca="false">IFERROR(IF(N(D425)=0,"",1-D423/D425),"")</f>
        <v/>
      </c>
      <c r="E428" s="49" t="str">
        <f aca="false">IFERROR(IF(N(E425)=0,"",1-E423/E425),"")</f>
        <v/>
      </c>
      <c r="F428" s="49" t="str">
        <f aca="false">IFERROR(IF(N(F425)=0,"",1-F423/F425),"")</f>
        <v/>
      </c>
      <c r="G428" s="49" t="str">
        <f aca="false">IFERROR(IF(N(G425)=0,"",1-G423/G425),"")</f>
        <v/>
      </c>
      <c r="H428" s="49" t="str">
        <f aca="false">IFERROR(IF(N(H425)=0,"",1-H423/H425),"")</f>
        <v/>
      </c>
      <c r="I428" s="49" t="str">
        <f aca="false">IFERROR(IF(N(I425)=0,"",1-I423/I425),"")</f>
        <v/>
      </c>
      <c r="J428" s="49" t="str">
        <f aca="false">IFERROR(IF(N(J425)=0,"",1-J423/J425),"")</f>
        <v/>
      </c>
      <c r="K428" s="49" t="str">
        <f aca="false">IFERROR(IF(N(K425)=0,"",1-K423/K425),"")</f>
        <v/>
      </c>
      <c r="L428" s="49" t="str">
        <f aca="false">IFERROR(IF(N(L425)=0,"",1-L423/L425),"")</f>
        <v/>
      </c>
      <c r="M428" s="49" t="str">
        <f aca="false">IFERROR(IF(N(M425)=0,"",1-M423/M425),"")</f>
        <v/>
      </c>
      <c r="N428" s="49" t="str">
        <f aca="false">IFERROR(IF(N(N425)=0,"",1-N423/N425),"")</f>
        <v/>
      </c>
      <c r="O428" s="99" t="str">
        <f aca="false">IFERROR(IF(N(O425)=0,"",1-O423/O425),"")</f>
        <v/>
      </c>
    </row>
    <row r="429" customFormat="false" ht="15" hidden="true" customHeight="false" outlineLevel="1" collapsed="false">
      <c r="A429" s="11" t="s">
        <v>2558</v>
      </c>
      <c r="B429" s="15" t="s">
        <v>2376</v>
      </c>
      <c r="C429" s="11" t="s">
        <v>508</v>
      </c>
      <c r="D429" s="48" t="str">
        <f aca="false">IFERROR(IF(OR(NOT(ISNUMBER(D423)),N(D241)=0),"",D242*D423/D241),"")</f>
        <v/>
      </c>
      <c r="E429" s="48" t="str">
        <f aca="false">IFERROR(IF(OR(NOT(ISNUMBER(E423)),N(E241)=0),"",E242*E423/E241),"")</f>
        <v/>
      </c>
      <c r="F429" s="48" t="str">
        <f aca="false">IFERROR(IF(OR(NOT(ISNUMBER(F423)),N(F241)=0),"",F242*F423/F241),"")</f>
        <v/>
      </c>
      <c r="G429" s="48" t="str">
        <f aca="false">IFERROR(IF(OR(NOT(ISNUMBER(G423)),N(G241)=0),"",G242*G423/G241),"")</f>
        <v/>
      </c>
      <c r="H429" s="48" t="str">
        <f aca="false">IFERROR(IF(OR(NOT(ISNUMBER(H423)),N(H241)=0),"",H242*H423/H241),"")</f>
        <v/>
      </c>
      <c r="I429" s="48" t="str">
        <f aca="false">IFERROR(IF(OR(NOT(ISNUMBER(I423)),N(I241)=0),"",I242*I423/I241),"")</f>
        <v/>
      </c>
      <c r="J429" s="48" t="str">
        <f aca="false">IFERROR(IF(OR(NOT(ISNUMBER(J423)),N(J241)=0),"",J242*J423/J241),"")</f>
        <v/>
      </c>
      <c r="K429" s="48" t="str">
        <f aca="false">IFERROR(IF(OR(NOT(ISNUMBER(K423)),N(K241)=0),"",K242*K423/K241),"")</f>
        <v/>
      </c>
      <c r="L429" s="48" t="str">
        <f aca="false">IFERROR(IF(OR(NOT(ISNUMBER(L423)),N(L241)=0),"",L242*L423/L241),"")</f>
        <v/>
      </c>
      <c r="M429" s="48" t="str">
        <f aca="false">IFERROR(IF(OR(NOT(ISNUMBER(M423)),N(M241)=0),"",M242*M423/M241),"")</f>
        <v/>
      </c>
      <c r="N429" s="48" t="str">
        <f aca="false">IFERROR(IF(OR(NOT(ISNUMBER(N423)),N(N241)=0),"",N242*N423/N241),"")</f>
        <v/>
      </c>
      <c r="O429" s="54" t="str">
        <f aca="false">IF(COUNT(D429:N429)=0,"",SUM(D429:N429))</f>
        <v/>
      </c>
    </row>
    <row r="430" customFormat="false" ht="15" hidden="true" customHeight="false" outlineLevel="1" collapsed="false">
      <c r="A430" s="11" t="s">
        <v>2559</v>
      </c>
      <c r="B430" s="15" t="s">
        <v>2378</v>
      </c>
      <c r="C430" s="11" t="s">
        <v>508</v>
      </c>
      <c r="D430" s="48" t="str">
        <f aca="false">IFERROR(IF(COUNT(D423,D429)=0,"",N(D423)+N(D429)),"")</f>
        <v/>
      </c>
      <c r="E430" s="48" t="str">
        <f aca="false">IFERROR(IF(COUNT(E423,E429)=0,"",N(E423)+N(E429)),"")</f>
        <v/>
      </c>
      <c r="F430" s="48" t="str">
        <f aca="false">IFERROR(IF(COUNT(F423,F429)=0,"",N(F423)+N(F429)),"")</f>
        <v/>
      </c>
      <c r="G430" s="48" t="str">
        <f aca="false">IFERROR(IF(COUNT(G423,G429)=0,"",N(G423)+N(G429)),"")</f>
        <v/>
      </c>
      <c r="H430" s="48" t="str">
        <f aca="false">IFERROR(IF(COUNT(H423,H429)=0,"",N(H423)+N(H429)),"")</f>
        <v/>
      </c>
      <c r="I430" s="48" t="str">
        <f aca="false">IFERROR(IF(COUNT(I423,I429)=0,"",N(I423)+N(I429)),"")</f>
        <v/>
      </c>
      <c r="J430" s="48" t="str">
        <f aca="false">IFERROR(IF(COUNT(J423,J429)=0,"",N(J423)+N(J429)),"")</f>
        <v/>
      </c>
      <c r="K430" s="48" t="str">
        <f aca="false">IFERROR(IF(COUNT(K423,K429)=0,"",N(K423)+N(K429)),"")</f>
        <v/>
      </c>
      <c r="L430" s="48" t="str">
        <f aca="false">IFERROR(IF(COUNT(L423,L429)=0,"",N(L423)+N(L429)),"")</f>
        <v/>
      </c>
      <c r="M430" s="48" t="str">
        <f aca="false">IFERROR(IF(COUNT(M423,M429)=0,"",N(M423)+N(M429)),"")</f>
        <v/>
      </c>
      <c r="N430" s="48" t="str">
        <f aca="false">IFERROR(IF(COUNT(N423,N429)=0,"",N(N423)+N(N429)),"")</f>
        <v/>
      </c>
      <c r="O430" s="54" t="str">
        <f aca="false">IF(COUNT(D430:N430)=0,"",SUM(D430:N430))</f>
        <v/>
      </c>
    </row>
    <row r="431" customFormat="false" ht="15" hidden="true" customHeight="false" outlineLevel="1" collapsed="false">
      <c r="A431" s="11" t="s">
        <v>2560</v>
      </c>
      <c r="B431" s="15" t="s">
        <v>2380</v>
      </c>
      <c r="C431" s="11" t="s">
        <v>748</v>
      </c>
      <c r="D431" s="50" t="str">
        <f aca="false">IFERROR(IF(OR(NOT(ISNUMBER(D430)),N(D424)=0),"",D430/D424),"")</f>
        <v/>
      </c>
      <c r="E431" s="50" t="str">
        <f aca="false">IFERROR(IF(OR(NOT(ISNUMBER(E430)),N(E424)=0),"",E430/E424),"")</f>
        <v/>
      </c>
      <c r="F431" s="50" t="str">
        <f aca="false">IFERROR(IF(OR(NOT(ISNUMBER(F430)),N(F424)=0),"",F430/F424),"")</f>
        <v/>
      </c>
      <c r="G431" s="50" t="str">
        <f aca="false">IFERROR(IF(OR(NOT(ISNUMBER(G430)),N(G424)=0),"",G430/G424),"")</f>
        <v/>
      </c>
      <c r="H431" s="50" t="str">
        <f aca="false">IFERROR(IF(OR(NOT(ISNUMBER(H430)),N(H424)=0),"",H430/H424),"")</f>
        <v/>
      </c>
      <c r="I431" s="50" t="str">
        <f aca="false">IFERROR(IF(OR(NOT(ISNUMBER(I430)),N(I424)=0),"",I430/I424),"")</f>
        <v/>
      </c>
      <c r="J431" s="50" t="str">
        <f aca="false">IFERROR(IF(OR(NOT(ISNUMBER(J430)),N(J424)=0),"",J430/J424),"")</f>
        <v/>
      </c>
      <c r="K431" s="50" t="str">
        <f aca="false">IFERROR(IF(OR(NOT(ISNUMBER(K430)),N(K424)=0),"",K430/K424),"")</f>
        <v/>
      </c>
      <c r="L431" s="50" t="str">
        <f aca="false">IFERROR(IF(OR(NOT(ISNUMBER(L430)),N(L424)=0),"",L430/L424),"")</f>
        <v/>
      </c>
      <c r="M431" s="50" t="str">
        <f aca="false">IFERROR(IF(OR(NOT(ISNUMBER(M430)),N(M424)=0),"",M430/M424),"")</f>
        <v/>
      </c>
      <c r="N431" s="50" t="str">
        <f aca="false">IFERROR(IF(OR(NOT(ISNUMBER(N430)),N(N424)=0),"",N430/N424),"")</f>
        <v/>
      </c>
      <c r="O431" s="68" t="str">
        <f aca="false">IFERROR(IF(OR(NOT(ISNUMBER(O430)),N(O424)=0),"",O430/O424),"")</f>
        <v/>
      </c>
    </row>
    <row r="432" customFormat="false" ht="15" hidden="true" customHeight="false" outlineLevel="1" collapsed="false">
      <c r="A432" s="11" t="s">
        <v>2561</v>
      </c>
      <c r="B432" s="53" t="str">
        <f aca="false">IF(INDEX(Prod_Nombre,22)="","Producto 22",INDEX(Prod_Nombre,22))&amp;" — costo directo"</f>
        <v>Producto 22 — costo directo</v>
      </c>
      <c r="C432" s="11" t="s">
        <v>508</v>
      </c>
      <c r="D432" s="37"/>
      <c r="E432" s="37"/>
      <c r="F432" s="37"/>
      <c r="G432" s="37"/>
      <c r="H432" s="37"/>
      <c r="I432" s="37"/>
      <c r="J432" s="37"/>
      <c r="K432" s="37"/>
      <c r="L432" s="37"/>
      <c r="M432" s="37"/>
      <c r="N432" s="37"/>
      <c r="O432" s="54" t="str">
        <f aca="false">IF(COUNT(D432:N432)=0,"",SUM(D432:N432))</f>
        <v/>
      </c>
    </row>
    <row r="433" customFormat="false" ht="15" hidden="true" customHeight="false" outlineLevel="1" collapsed="false">
      <c r="A433" s="11" t="s">
        <v>2562</v>
      </c>
      <c r="B433" s="15" t="s">
        <v>2366</v>
      </c>
      <c r="C433" s="11" t="s">
        <v>544</v>
      </c>
      <c r="D433" s="37"/>
      <c r="E433" s="37"/>
      <c r="F433" s="37"/>
      <c r="G433" s="37"/>
      <c r="H433" s="37"/>
      <c r="I433" s="37"/>
      <c r="J433" s="37"/>
      <c r="K433" s="37"/>
      <c r="L433" s="37"/>
      <c r="M433" s="37"/>
      <c r="N433" s="37"/>
      <c r="O433" s="54" t="str">
        <f aca="false">IF(COUNT(D433:N433)=0,"",SUM(D433:N433))</f>
        <v/>
      </c>
    </row>
    <row r="434" customFormat="false" ht="15" hidden="true" customHeight="false" outlineLevel="1" collapsed="false">
      <c r="A434" s="11" t="s">
        <v>2563</v>
      </c>
      <c r="B434" s="15" t="s">
        <v>2368</v>
      </c>
      <c r="C434" s="11" t="s">
        <v>508</v>
      </c>
      <c r="D434" s="37"/>
      <c r="E434" s="37"/>
      <c r="F434" s="37"/>
      <c r="G434" s="37"/>
      <c r="H434" s="37"/>
      <c r="I434" s="37"/>
      <c r="J434" s="37"/>
      <c r="K434" s="37"/>
      <c r="L434" s="37"/>
      <c r="M434" s="37"/>
      <c r="N434" s="37"/>
      <c r="O434" s="54" t="str">
        <f aca="false">IF(COUNT(D434:N434)=0,"",SUM(D434:N434))</f>
        <v/>
      </c>
    </row>
    <row r="435" customFormat="false" ht="15" hidden="true" customHeight="false" outlineLevel="1" collapsed="false">
      <c r="A435" s="11" t="s">
        <v>2564</v>
      </c>
      <c r="B435" s="15" t="s">
        <v>2370</v>
      </c>
      <c r="C435" s="11" t="s">
        <v>748</v>
      </c>
      <c r="D435" s="50" t="str">
        <f aca="false">IFERROR(IF(OR(NOT(ISNUMBER(D432)),N(D433)=0),"",D432/D433),"")</f>
        <v/>
      </c>
      <c r="E435" s="50" t="str">
        <f aca="false">IFERROR(IF(OR(NOT(ISNUMBER(E432)),N(E433)=0),"",E432/E433),"")</f>
        <v/>
      </c>
      <c r="F435" s="50" t="str">
        <f aca="false">IFERROR(IF(OR(NOT(ISNUMBER(F432)),N(F433)=0),"",F432/F433),"")</f>
        <v/>
      </c>
      <c r="G435" s="50" t="str">
        <f aca="false">IFERROR(IF(OR(NOT(ISNUMBER(G432)),N(G433)=0),"",G432/G433),"")</f>
        <v/>
      </c>
      <c r="H435" s="50" t="str">
        <f aca="false">IFERROR(IF(OR(NOT(ISNUMBER(H432)),N(H433)=0),"",H432/H433),"")</f>
        <v/>
      </c>
      <c r="I435" s="50" t="str">
        <f aca="false">IFERROR(IF(OR(NOT(ISNUMBER(I432)),N(I433)=0),"",I432/I433),"")</f>
        <v/>
      </c>
      <c r="J435" s="50" t="str">
        <f aca="false">IFERROR(IF(OR(NOT(ISNUMBER(J432)),N(J433)=0),"",J432/J433),"")</f>
        <v/>
      </c>
      <c r="K435" s="50" t="str">
        <f aca="false">IFERROR(IF(OR(NOT(ISNUMBER(K432)),N(K433)=0),"",K432/K433),"")</f>
        <v/>
      </c>
      <c r="L435" s="50" t="str">
        <f aca="false">IFERROR(IF(OR(NOT(ISNUMBER(L432)),N(L433)=0),"",L432/L433),"")</f>
        <v/>
      </c>
      <c r="M435" s="50" t="str">
        <f aca="false">IFERROR(IF(OR(NOT(ISNUMBER(M432)),N(M433)=0),"",M432/M433),"")</f>
        <v/>
      </c>
      <c r="N435" s="50" t="str">
        <f aca="false">IFERROR(IF(OR(NOT(ISNUMBER(N432)),N(N433)=0),"",N432/N433),"")</f>
        <v/>
      </c>
      <c r="O435" s="68" t="str">
        <f aca="false">IFERROR(IF(OR(NOT(ISNUMBER(O432)),N(O433)=0),"",O432/O433),"")</f>
        <v/>
      </c>
    </row>
    <row r="436" customFormat="false" ht="15" hidden="true" customHeight="false" outlineLevel="1" collapsed="false">
      <c r="A436" s="11" t="s">
        <v>2565</v>
      </c>
      <c r="B436" s="15" t="s">
        <v>2372</v>
      </c>
      <c r="C436" s="11" t="s">
        <v>748</v>
      </c>
      <c r="D436" s="50" t="str">
        <f aca="false">IFERROR(IF(N(D433)=0,"",(D434-D432)/D433),"")</f>
        <v/>
      </c>
      <c r="E436" s="50" t="str">
        <f aca="false">IFERROR(IF(N(E433)=0,"",(E434-E432)/E433),"")</f>
        <v/>
      </c>
      <c r="F436" s="50" t="str">
        <f aca="false">IFERROR(IF(N(F433)=0,"",(F434-F432)/F433),"")</f>
        <v/>
      </c>
      <c r="G436" s="50" t="str">
        <f aca="false">IFERROR(IF(N(G433)=0,"",(G434-G432)/G433),"")</f>
        <v/>
      </c>
      <c r="H436" s="50" t="str">
        <f aca="false">IFERROR(IF(N(H433)=0,"",(H434-H432)/H433),"")</f>
        <v/>
      </c>
      <c r="I436" s="50" t="str">
        <f aca="false">IFERROR(IF(N(I433)=0,"",(I434-I432)/I433),"")</f>
        <v/>
      </c>
      <c r="J436" s="50" t="str">
        <f aca="false">IFERROR(IF(N(J433)=0,"",(J434-J432)/J433),"")</f>
        <v/>
      </c>
      <c r="K436" s="50" t="str">
        <f aca="false">IFERROR(IF(N(K433)=0,"",(K434-K432)/K433),"")</f>
        <v/>
      </c>
      <c r="L436" s="50" t="str">
        <f aca="false">IFERROR(IF(N(L433)=0,"",(L434-L432)/L433),"")</f>
        <v/>
      </c>
      <c r="M436" s="50" t="str">
        <f aca="false">IFERROR(IF(N(M433)=0,"",(M434-M432)/M433),"")</f>
        <v/>
      </c>
      <c r="N436" s="50" t="str">
        <f aca="false">IFERROR(IF(N(N433)=0,"",(N434-N432)/N433),"")</f>
        <v/>
      </c>
      <c r="O436" s="68" t="str">
        <f aca="false">IFERROR(IF(N(O433)=0,"",(O434-O432)/O433),"")</f>
        <v/>
      </c>
    </row>
    <row r="437" customFormat="false" ht="15" hidden="true" customHeight="false" outlineLevel="1" collapsed="false">
      <c r="A437" s="11" t="s">
        <v>2566</v>
      </c>
      <c r="B437" s="15" t="s">
        <v>2374</v>
      </c>
      <c r="C437" s="11" t="s">
        <v>367</v>
      </c>
      <c r="D437" s="49" t="str">
        <f aca="false">IFERROR(IF(N(D434)=0,"",1-D432/D434),"")</f>
        <v/>
      </c>
      <c r="E437" s="49" t="str">
        <f aca="false">IFERROR(IF(N(E434)=0,"",1-E432/E434),"")</f>
        <v/>
      </c>
      <c r="F437" s="49" t="str">
        <f aca="false">IFERROR(IF(N(F434)=0,"",1-F432/F434),"")</f>
        <v/>
      </c>
      <c r="G437" s="49" t="str">
        <f aca="false">IFERROR(IF(N(G434)=0,"",1-G432/G434),"")</f>
        <v/>
      </c>
      <c r="H437" s="49" t="str">
        <f aca="false">IFERROR(IF(N(H434)=0,"",1-H432/H434),"")</f>
        <v/>
      </c>
      <c r="I437" s="49" t="str">
        <f aca="false">IFERROR(IF(N(I434)=0,"",1-I432/I434),"")</f>
        <v/>
      </c>
      <c r="J437" s="49" t="str">
        <f aca="false">IFERROR(IF(N(J434)=0,"",1-J432/J434),"")</f>
        <v/>
      </c>
      <c r="K437" s="49" t="str">
        <f aca="false">IFERROR(IF(N(K434)=0,"",1-K432/K434),"")</f>
        <v/>
      </c>
      <c r="L437" s="49" t="str">
        <f aca="false">IFERROR(IF(N(L434)=0,"",1-L432/L434),"")</f>
        <v/>
      </c>
      <c r="M437" s="49" t="str">
        <f aca="false">IFERROR(IF(N(M434)=0,"",1-M432/M434),"")</f>
        <v/>
      </c>
      <c r="N437" s="49" t="str">
        <f aca="false">IFERROR(IF(N(N434)=0,"",1-N432/N434),"")</f>
        <v/>
      </c>
      <c r="O437" s="99" t="str">
        <f aca="false">IFERROR(IF(N(O434)=0,"",1-O432/O434),"")</f>
        <v/>
      </c>
    </row>
    <row r="438" customFormat="false" ht="15" hidden="true" customHeight="false" outlineLevel="1" collapsed="false">
      <c r="A438" s="11" t="s">
        <v>2567</v>
      </c>
      <c r="B438" s="15" t="s">
        <v>2376</v>
      </c>
      <c r="C438" s="11" t="s">
        <v>508</v>
      </c>
      <c r="D438" s="48" t="str">
        <f aca="false">IFERROR(IF(OR(NOT(ISNUMBER(D432)),N(D241)=0),"",D242*D432/D241),"")</f>
        <v/>
      </c>
      <c r="E438" s="48" t="str">
        <f aca="false">IFERROR(IF(OR(NOT(ISNUMBER(E432)),N(E241)=0),"",E242*E432/E241),"")</f>
        <v/>
      </c>
      <c r="F438" s="48" t="str">
        <f aca="false">IFERROR(IF(OR(NOT(ISNUMBER(F432)),N(F241)=0),"",F242*F432/F241),"")</f>
        <v/>
      </c>
      <c r="G438" s="48" t="str">
        <f aca="false">IFERROR(IF(OR(NOT(ISNUMBER(G432)),N(G241)=0),"",G242*G432/G241),"")</f>
        <v/>
      </c>
      <c r="H438" s="48" t="str">
        <f aca="false">IFERROR(IF(OR(NOT(ISNUMBER(H432)),N(H241)=0),"",H242*H432/H241),"")</f>
        <v/>
      </c>
      <c r="I438" s="48" t="str">
        <f aca="false">IFERROR(IF(OR(NOT(ISNUMBER(I432)),N(I241)=0),"",I242*I432/I241),"")</f>
        <v/>
      </c>
      <c r="J438" s="48" t="str">
        <f aca="false">IFERROR(IF(OR(NOT(ISNUMBER(J432)),N(J241)=0),"",J242*J432/J241),"")</f>
        <v/>
      </c>
      <c r="K438" s="48" t="str">
        <f aca="false">IFERROR(IF(OR(NOT(ISNUMBER(K432)),N(K241)=0),"",K242*K432/K241),"")</f>
        <v/>
      </c>
      <c r="L438" s="48" t="str">
        <f aca="false">IFERROR(IF(OR(NOT(ISNUMBER(L432)),N(L241)=0),"",L242*L432/L241),"")</f>
        <v/>
      </c>
      <c r="M438" s="48" t="str">
        <f aca="false">IFERROR(IF(OR(NOT(ISNUMBER(M432)),N(M241)=0),"",M242*M432/M241),"")</f>
        <v/>
      </c>
      <c r="N438" s="48" t="str">
        <f aca="false">IFERROR(IF(OR(NOT(ISNUMBER(N432)),N(N241)=0),"",N242*N432/N241),"")</f>
        <v/>
      </c>
      <c r="O438" s="54" t="str">
        <f aca="false">IF(COUNT(D438:N438)=0,"",SUM(D438:N438))</f>
        <v/>
      </c>
    </row>
    <row r="439" customFormat="false" ht="15" hidden="true" customHeight="false" outlineLevel="1" collapsed="false">
      <c r="A439" s="11" t="s">
        <v>2568</v>
      </c>
      <c r="B439" s="15" t="s">
        <v>2378</v>
      </c>
      <c r="C439" s="11" t="s">
        <v>508</v>
      </c>
      <c r="D439" s="48" t="str">
        <f aca="false">IFERROR(IF(COUNT(D432,D438)=0,"",N(D432)+N(D438)),"")</f>
        <v/>
      </c>
      <c r="E439" s="48" t="str">
        <f aca="false">IFERROR(IF(COUNT(E432,E438)=0,"",N(E432)+N(E438)),"")</f>
        <v/>
      </c>
      <c r="F439" s="48" t="str">
        <f aca="false">IFERROR(IF(COUNT(F432,F438)=0,"",N(F432)+N(F438)),"")</f>
        <v/>
      </c>
      <c r="G439" s="48" t="str">
        <f aca="false">IFERROR(IF(COUNT(G432,G438)=0,"",N(G432)+N(G438)),"")</f>
        <v/>
      </c>
      <c r="H439" s="48" t="str">
        <f aca="false">IFERROR(IF(COUNT(H432,H438)=0,"",N(H432)+N(H438)),"")</f>
        <v/>
      </c>
      <c r="I439" s="48" t="str">
        <f aca="false">IFERROR(IF(COUNT(I432,I438)=0,"",N(I432)+N(I438)),"")</f>
        <v/>
      </c>
      <c r="J439" s="48" t="str">
        <f aca="false">IFERROR(IF(COUNT(J432,J438)=0,"",N(J432)+N(J438)),"")</f>
        <v/>
      </c>
      <c r="K439" s="48" t="str">
        <f aca="false">IFERROR(IF(COUNT(K432,K438)=0,"",N(K432)+N(K438)),"")</f>
        <v/>
      </c>
      <c r="L439" s="48" t="str">
        <f aca="false">IFERROR(IF(COUNT(L432,L438)=0,"",N(L432)+N(L438)),"")</f>
        <v/>
      </c>
      <c r="M439" s="48" t="str">
        <f aca="false">IFERROR(IF(COUNT(M432,M438)=0,"",N(M432)+N(M438)),"")</f>
        <v/>
      </c>
      <c r="N439" s="48" t="str">
        <f aca="false">IFERROR(IF(COUNT(N432,N438)=0,"",N(N432)+N(N438)),"")</f>
        <v/>
      </c>
      <c r="O439" s="54" t="str">
        <f aca="false">IF(COUNT(D439:N439)=0,"",SUM(D439:N439))</f>
        <v/>
      </c>
    </row>
    <row r="440" customFormat="false" ht="15" hidden="true" customHeight="false" outlineLevel="1" collapsed="false">
      <c r="A440" s="11" t="s">
        <v>2569</v>
      </c>
      <c r="B440" s="15" t="s">
        <v>2380</v>
      </c>
      <c r="C440" s="11" t="s">
        <v>748</v>
      </c>
      <c r="D440" s="50" t="str">
        <f aca="false">IFERROR(IF(OR(NOT(ISNUMBER(D439)),N(D433)=0),"",D439/D433),"")</f>
        <v/>
      </c>
      <c r="E440" s="50" t="str">
        <f aca="false">IFERROR(IF(OR(NOT(ISNUMBER(E439)),N(E433)=0),"",E439/E433),"")</f>
        <v/>
      </c>
      <c r="F440" s="50" t="str">
        <f aca="false">IFERROR(IF(OR(NOT(ISNUMBER(F439)),N(F433)=0),"",F439/F433),"")</f>
        <v/>
      </c>
      <c r="G440" s="50" t="str">
        <f aca="false">IFERROR(IF(OR(NOT(ISNUMBER(G439)),N(G433)=0),"",G439/G433),"")</f>
        <v/>
      </c>
      <c r="H440" s="50" t="str">
        <f aca="false">IFERROR(IF(OR(NOT(ISNUMBER(H439)),N(H433)=0),"",H439/H433),"")</f>
        <v/>
      </c>
      <c r="I440" s="50" t="str">
        <f aca="false">IFERROR(IF(OR(NOT(ISNUMBER(I439)),N(I433)=0),"",I439/I433),"")</f>
        <v/>
      </c>
      <c r="J440" s="50" t="str">
        <f aca="false">IFERROR(IF(OR(NOT(ISNUMBER(J439)),N(J433)=0),"",J439/J433),"")</f>
        <v/>
      </c>
      <c r="K440" s="50" t="str">
        <f aca="false">IFERROR(IF(OR(NOT(ISNUMBER(K439)),N(K433)=0),"",K439/K433),"")</f>
        <v/>
      </c>
      <c r="L440" s="50" t="str">
        <f aca="false">IFERROR(IF(OR(NOT(ISNUMBER(L439)),N(L433)=0),"",L439/L433),"")</f>
        <v/>
      </c>
      <c r="M440" s="50" t="str">
        <f aca="false">IFERROR(IF(OR(NOT(ISNUMBER(M439)),N(M433)=0),"",M439/M433),"")</f>
        <v/>
      </c>
      <c r="N440" s="50" t="str">
        <f aca="false">IFERROR(IF(OR(NOT(ISNUMBER(N439)),N(N433)=0),"",N439/N433),"")</f>
        <v/>
      </c>
      <c r="O440" s="68" t="str">
        <f aca="false">IFERROR(IF(OR(NOT(ISNUMBER(O439)),N(O433)=0),"",O439/O433),"")</f>
        <v/>
      </c>
    </row>
    <row r="441" customFormat="false" ht="15" hidden="true" customHeight="false" outlineLevel="1" collapsed="false">
      <c r="A441" s="11" t="s">
        <v>2570</v>
      </c>
      <c r="B441" s="53" t="str">
        <f aca="false">IF(INDEX(Prod_Nombre,23)="","Producto 23",INDEX(Prod_Nombre,23))&amp;" — costo directo"</f>
        <v>Producto 23 — costo directo</v>
      </c>
      <c r="C441" s="11" t="s">
        <v>508</v>
      </c>
      <c r="D441" s="37"/>
      <c r="E441" s="37"/>
      <c r="F441" s="37"/>
      <c r="G441" s="37"/>
      <c r="H441" s="37"/>
      <c r="I441" s="37"/>
      <c r="J441" s="37"/>
      <c r="K441" s="37"/>
      <c r="L441" s="37"/>
      <c r="M441" s="37"/>
      <c r="N441" s="37"/>
      <c r="O441" s="54" t="str">
        <f aca="false">IF(COUNT(D441:N441)=0,"",SUM(D441:N441))</f>
        <v/>
      </c>
    </row>
    <row r="442" customFormat="false" ht="15" hidden="true" customHeight="false" outlineLevel="1" collapsed="false">
      <c r="A442" s="11" t="s">
        <v>2571</v>
      </c>
      <c r="B442" s="15" t="s">
        <v>2366</v>
      </c>
      <c r="C442" s="11" t="s">
        <v>544</v>
      </c>
      <c r="D442" s="37"/>
      <c r="E442" s="37"/>
      <c r="F442" s="37"/>
      <c r="G442" s="37"/>
      <c r="H442" s="37"/>
      <c r="I442" s="37"/>
      <c r="J442" s="37"/>
      <c r="K442" s="37"/>
      <c r="L442" s="37"/>
      <c r="M442" s="37"/>
      <c r="N442" s="37"/>
      <c r="O442" s="54" t="str">
        <f aca="false">IF(COUNT(D442:N442)=0,"",SUM(D442:N442))</f>
        <v/>
      </c>
    </row>
    <row r="443" customFormat="false" ht="15" hidden="true" customHeight="false" outlineLevel="1" collapsed="false">
      <c r="A443" s="11" t="s">
        <v>2572</v>
      </c>
      <c r="B443" s="15" t="s">
        <v>2368</v>
      </c>
      <c r="C443" s="11" t="s">
        <v>508</v>
      </c>
      <c r="D443" s="37"/>
      <c r="E443" s="37"/>
      <c r="F443" s="37"/>
      <c r="G443" s="37"/>
      <c r="H443" s="37"/>
      <c r="I443" s="37"/>
      <c r="J443" s="37"/>
      <c r="K443" s="37"/>
      <c r="L443" s="37"/>
      <c r="M443" s="37"/>
      <c r="N443" s="37"/>
      <c r="O443" s="54" t="str">
        <f aca="false">IF(COUNT(D443:N443)=0,"",SUM(D443:N443))</f>
        <v/>
      </c>
    </row>
    <row r="444" customFormat="false" ht="15" hidden="true" customHeight="false" outlineLevel="1" collapsed="false">
      <c r="A444" s="11" t="s">
        <v>2573</v>
      </c>
      <c r="B444" s="15" t="s">
        <v>2370</v>
      </c>
      <c r="C444" s="11" t="s">
        <v>748</v>
      </c>
      <c r="D444" s="50" t="str">
        <f aca="false">IFERROR(IF(OR(NOT(ISNUMBER(D441)),N(D442)=0),"",D441/D442),"")</f>
        <v/>
      </c>
      <c r="E444" s="50" t="str">
        <f aca="false">IFERROR(IF(OR(NOT(ISNUMBER(E441)),N(E442)=0),"",E441/E442),"")</f>
        <v/>
      </c>
      <c r="F444" s="50" t="str">
        <f aca="false">IFERROR(IF(OR(NOT(ISNUMBER(F441)),N(F442)=0),"",F441/F442),"")</f>
        <v/>
      </c>
      <c r="G444" s="50" t="str">
        <f aca="false">IFERROR(IF(OR(NOT(ISNUMBER(G441)),N(G442)=0),"",G441/G442),"")</f>
        <v/>
      </c>
      <c r="H444" s="50" t="str">
        <f aca="false">IFERROR(IF(OR(NOT(ISNUMBER(H441)),N(H442)=0),"",H441/H442),"")</f>
        <v/>
      </c>
      <c r="I444" s="50" t="str">
        <f aca="false">IFERROR(IF(OR(NOT(ISNUMBER(I441)),N(I442)=0),"",I441/I442),"")</f>
        <v/>
      </c>
      <c r="J444" s="50" t="str">
        <f aca="false">IFERROR(IF(OR(NOT(ISNUMBER(J441)),N(J442)=0),"",J441/J442),"")</f>
        <v/>
      </c>
      <c r="K444" s="50" t="str">
        <f aca="false">IFERROR(IF(OR(NOT(ISNUMBER(K441)),N(K442)=0),"",K441/K442),"")</f>
        <v/>
      </c>
      <c r="L444" s="50" t="str">
        <f aca="false">IFERROR(IF(OR(NOT(ISNUMBER(L441)),N(L442)=0),"",L441/L442),"")</f>
        <v/>
      </c>
      <c r="M444" s="50" t="str">
        <f aca="false">IFERROR(IF(OR(NOT(ISNUMBER(M441)),N(M442)=0),"",M441/M442),"")</f>
        <v/>
      </c>
      <c r="N444" s="50" t="str">
        <f aca="false">IFERROR(IF(OR(NOT(ISNUMBER(N441)),N(N442)=0),"",N441/N442),"")</f>
        <v/>
      </c>
      <c r="O444" s="68" t="str">
        <f aca="false">IFERROR(IF(OR(NOT(ISNUMBER(O441)),N(O442)=0),"",O441/O442),"")</f>
        <v/>
      </c>
    </row>
    <row r="445" customFormat="false" ht="15" hidden="true" customHeight="false" outlineLevel="1" collapsed="false">
      <c r="A445" s="11" t="s">
        <v>2574</v>
      </c>
      <c r="B445" s="15" t="s">
        <v>2372</v>
      </c>
      <c r="C445" s="11" t="s">
        <v>748</v>
      </c>
      <c r="D445" s="50" t="str">
        <f aca="false">IFERROR(IF(N(D442)=0,"",(D443-D441)/D442),"")</f>
        <v/>
      </c>
      <c r="E445" s="50" t="str">
        <f aca="false">IFERROR(IF(N(E442)=0,"",(E443-E441)/E442),"")</f>
        <v/>
      </c>
      <c r="F445" s="50" t="str">
        <f aca="false">IFERROR(IF(N(F442)=0,"",(F443-F441)/F442),"")</f>
        <v/>
      </c>
      <c r="G445" s="50" t="str">
        <f aca="false">IFERROR(IF(N(G442)=0,"",(G443-G441)/G442),"")</f>
        <v/>
      </c>
      <c r="H445" s="50" t="str">
        <f aca="false">IFERROR(IF(N(H442)=0,"",(H443-H441)/H442),"")</f>
        <v/>
      </c>
      <c r="I445" s="50" t="str">
        <f aca="false">IFERROR(IF(N(I442)=0,"",(I443-I441)/I442),"")</f>
        <v/>
      </c>
      <c r="J445" s="50" t="str">
        <f aca="false">IFERROR(IF(N(J442)=0,"",(J443-J441)/J442),"")</f>
        <v/>
      </c>
      <c r="K445" s="50" t="str">
        <f aca="false">IFERROR(IF(N(K442)=0,"",(K443-K441)/K442),"")</f>
        <v/>
      </c>
      <c r="L445" s="50" t="str">
        <f aca="false">IFERROR(IF(N(L442)=0,"",(L443-L441)/L442),"")</f>
        <v/>
      </c>
      <c r="M445" s="50" t="str">
        <f aca="false">IFERROR(IF(N(M442)=0,"",(M443-M441)/M442),"")</f>
        <v/>
      </c>
      <c r="N445" s="50" t="str">
        <f aca="false">IFERROR(IF(N(N442)=0,"",(N443-N441)/N442),"")</f>
        <v/>
      </c>
      <c r="O445" s="68" t="str">
        <f aca="false">IFERROR(IF(N(O442)=0,"",(O443-O441)/O442),"")</f>
        <v/>
      </c>
    </row>
    <row r="446" customFormat="false" ht="15" hidden="true" customHeight="false" outlineLevel="1" collapsed="false">
      <c r="A446" s="11" t="s">
        <v>2575</v>
      </c>
      <c r="B446" s="15" t="s">
        <v>2374</v>
      </c>
      <c r="C446" s="11" t="s">
        <v>367</v>
      </c>
      <c r="D446" s="49" t="str">
        <f aca="false">IFERROR(IF(N(D443)=0,"",1-D441/D443),"")</f>
        <v/>
      </c>
      <c r="E446" s="49" t="str">
        <f aca="false">IFERROR(IF(N(E443)=0,"",1-E441/E443),"")</f>
        <v/>
      </c>
      <c r="F446" s="49" t="str">
        <f aca="false">IFERROR(IF(N(F443)=0,"",1-F441/F443),"")</f>
        <v/>
      </c>
      <c r="G446" s="49" t="str">
        <f aca="false">IFERROR(IF(N(G443)=0,"",1-G441/G443),"")</f>
        <v/>
      </c>
      <c r="H446" s="49" t="str">
        <f aca="false">IFERROR(IF(N(H443)=0,"",1-H441/H443),"")</f>
        <v/>
      </c>
      <c r="I446" s="49" t="str">
        <f aca="false">IFERROR(IF(N(I443)=0,"",1-I441/I443),"")</f>
        <v/>
      </c>
      <c r="J446" s="49" t="str">
        <f aca="false">IFERROR(IF(N(J443)=0,"",1-J441/J443),"")</f>
        <v/>
      </c>
      <c r="K446" s="49" t="str">
        <f aca="false">IFERROR(IF(N(K443)=0,"",1-K441/K443),"")</f>
        <v/>
      </c>
      <c r="L446" s="49" t="str">
        <f aca="false">IFERROR(IF(N(L443)=0,"",1-L441/L443),"")</f>
        <v/>
      </c>
      <c r="M446" s="49" t="str">
        <f aca="false">IFERROR(IF(N(M443)=0,"",1-M441/M443),"")</f>
        <v/>
      </c>
      <c r="N446" s="49" t="str">
        <f aca="false">IFERROR(IF(N(N443)=0,"",1-N441/N443),"")</f>
        <v/>
      </c>
      <c r="O446" s="99" t="str">
        <f aca="false">IFERROR(IF(N(O443)=0,"",1-O441/O443),"")</f>
        <v/>
      </c>
    </row>
    <row r="447" customFormat="false" ht="15" hidden="true" customHeight="false" outlineLevel="1" collapsed="false">
      <c r="A447" s="11" t="s">
        <v>2576</v>
      </c>
      <c r="B447" s="15" t="s">
        <v>2376</v>
      </c>
      <c r="C447" s="11" t="s">
        <v>508</v>
      </c>
      <c r="D447" s="48" t="str">
        <f aca="false">IFERROR(IF(OR(NOT(ISNUMBER(D441)),N(D241)=0),"",D242*D441/D241),"")</f>
        <v/>
      </c>
      <c r="E447" s="48" t="str">
        <f aca="false">IFERROR(IF(OR(NOT(ISNUMBER(E441)),N(E241)=0),"",E242*E441/E241),"")</f>
        <v/>
      </c>
      <c r="F447" s="48" t="str">
        <f aca="false">IFERROR(IF(OR(NOT(ISNUMBER(F441)),N(F241)=0),"",F242*F441/F241),"")</f>
        <v/>
      </c>
      <c r="G447" s="48" t="str">
        <f aca="false">IFERROR(IF(OR(NOT(ISNUMBER(G441)),N(G241)=0),"",G242*G441/G241),"")</f>
        <v/>
      </c>
      <c r="H447" s="48" t="str">
        <f aca="false">IFERROR(IF(OR(NOT(ISNUMBER(H441)),N(H241)=0),"",H242*H441/H241),"")</f>
        <v/>
      </c>
      <c r="I447" s="48" t="str">
        <f aca="false">IFERROR(IF(OR(NOT(ISNUMBER(I441)),N(I241)=0),"",I242*I441/I241),"")</f>
        <v/>
      </c>
      <c r="J447" s="48" t="str">
        <f aca="false">IFERROR(IF(OR(NOT(ISNUMBER(J441)),N(J241)=0),"",J242*J441/J241),"")</f>
        <v/>
      </c>
      <c r="K447" s="48" t="str">
        <f aca="false">IFERROR(IF(OR(NOT(ISNUMBER(K441)),N(K241)=0),"",K242*K441/K241),"")</f>
        <v/>
      </c>
      <c r="L447" s="48" t="str">
        <f aca="false">IFERROR(IF(OR(NOT(ISNUMBER(L441)),N(L241)=0),"",L242*L441/L241),"")</f>
        <v/>
      </c>
      <c r="M447" s="48" t="str">
        <f aca="false">IFERROR(IF(OR(NOT(ISNUMBER(M441)),N(M241)=0),"",M242*M441/M241),"")</f>
        <v/>
      </c>
      <c r="N447" s="48" t="str">
        <f aca="false">IFERROR(IF(OR(NOT(ISNUMBER(N441)),N(N241)=0),"",N242*N441/N241),"")</f>
        <v/>
      </c>
      <c r="O447" s="54" t="str">
        <f aca="false">IF(COUNT(D447:N447)=0,"",SUM(D447:N447))</f>
        <v/>
      </c>
    </row>
    <row r="448" customFormat="false" ht="15" hidden="true" customHeight="false" outlineLevel="1" collapsed="false">
      <c r="A448" s="11" t="s">
        <v>2577</v>
      </c>
      <c r="B448" s="15" t="s">
        <v>2378</v>
      </c>
      <c r="C448" s="11" t="s">
        <v>508</v>
      </c>
      <c r="D448" s="48" t="str">
        <f aca="false">IFERROR(IF(COUNT(D441,D447)=0,"",N(D441)+N(D447)),"")</f>
        <v/>
      </c>
      <c r="E448" s="48" t="str">
        <f aca="false">IFERROR(IF(COUNT(E441,E447)=0,"",N(E441)+N(E447)),"")</f>
        <v/>
      </c>
      <c r="F448" s="48" t="str">
        <f aca="false">IFERROR(IF(COUNT(F441,F447)=0,"",N(F441)+N(F447)),"")</f>
        <v/>
      </c>
      <c r="G448" s="48" t="str">
        <f aca="false">IFERROR(IF(COUNT(G441,G447)=0,"",N(G441)+N(G447)),"")</f>
        <v/>
      </c>
      <c r="H448" s="48" t="str">
        <f aca="false">IFERROR(IF(COUNT(H441,H447)=0,"",N(H441)+N(H447)),"")</f>
        <v/>
      </c>
      <c r="I448" s="48" t="str">
        <f aca="false">IFERROR(IF(COUNT(I441,I447)=0,"",N(I441)+N(I447)),"")</f>
        <v/>
      </c>
      <c r="J448" s="48" t="str">
        <f aca="false">IFERROR(IF(COUNT(J441,J447)=0,"",N(J441)+N(J447)),"")</f>
        <v/>
      </c>
      <c r="K448" s="48" t="str">
        <f aca="false">IFERROR(IF(COUNT(K441,K447)=0,"",N(K441)+N(K447)),"")</f>
        <v/>
      </c>
      <c r="L448" s="48" t="str">
        <f aca="false">IFERROR(IF(COUNT(L441,L447)=0,"",N(L441)+N(L447)),"")</f>
        <v/>
      </c>
      <c r="M448" s="48" t="str">
        <f aca="false">IFERROR(IF(COUNT(M441,M447)=0,"",N(M441)+N(M447)),"")</f>
        <v/>
      </c>
      <c r="N448" s="48" t="str">
        <f aca="false">IFERROR(IF(COUNT(N441,N447)=0,"",N(N441)+N(N447)),"")</f>
        <v/>
      </c>
      <c r="O448" s="54" t="str">
        <f aca="false">IF(COUNT(D448:N448)=0,"",SUM(D448:N448))</f>
        <v/>
      </c>
    </row>
    <row r="449" customFormat="false" ht="15" hidden="true" customHeight="false" outlineLevel="1" collapsed="false">
      <c r="A449" s="11" t="s">
        <v>2578</v>
      </c>
      <c r="B449" s="15" t="s">
        <v>2380</v>
      </c>
      <c r="C449" s="11" t="s">
        <v>748</v>
      </c>
      <c r="D449" s="50" t="str">
        <f aca="false">IFERROR(IF(OR(NOT(ISNUMBER(D448)),N(D442)=0),"",D448/D442),"")</f>
        <v/>
      </c>
      <c r="E449" s="50" t="str">
        <f aca="false">IFERROR(IF(OR(NOT(ISNUMBER(E448)),N(E442)=0),"",E448/E442),"")</f>
        <v/>
      </c>
      <c r="F449" s="50" t="str">
        <f aca="false">IFERROR(IF(OR(NOT(ISNUMBER(F448)),N(F442)=0),"",F448/F442),"")</f>
        <v/>
      </c>
      <c r="G449" s="50" t="str">
        <f aca="false">IFERROR(IF(OR(NOT(ISNUMBER(G448)),N(G442)=0),"",G448/G442),"")</f>
        <v/>
      </c>
      <c r="H449" s="50" t="str">
        <f aca="false">IFERROR(IF(OR(NOT(ISNUMBER(H448)),N(H442)=0),"",H448/H442),"")</f>
        <v/>
      </c>
      <c r="I449" s="50" t="str">
        <f aca="false">IFERROR(IF(OR(NOT(ISNUMBER(I448)),N(I442)=0),"",I448/I442),"")</f>
        <v/>
      </c>
      <c r="J449" s="50" t="str">
        <f aca="false">IFERROR(IF(OR(NOT(ISNUMBER(J448)),N(J442)=0),"",J448/J442),"")</f>
        <v/>
      </c>
      <c r="K449" s="50" t="str">
        <f aca="false">IFERROR(IF(OR(NOT(ISNUMBER(K448)),N(K442)=0),"",K448/K442),"")</f>
        <v/>
      </c>
      <c r="L449" s="50" t="str">
        <f aca="false">IFERROR(IF(OR(NOT(ISNUMBER(L448)),N(L442)=0),"",L448/L442),"")</f>
        <v/>
      </c>
      <c r="M449" s="50" t="str">
        <f aca="false">IFERROR(IF(OR(NOT(ISNUMBER(M448)),N(M442)=0),"",M448/M442),"")</f>
        <v/>
      </c>
      <c r="N449" s="50" t="str">
        <f aca="false">IFERROR(IF(OR(NOT(ISNUMBER(N448)),N(N442)=0),"",N448/N442),"")</f>
        <v/>
      </c>
      <c r="O449" s="68" t="str">
        <f aca="false">IFERROR(IF(OR(NOT(ISNUMBER(O448)),N(O442)=0),"",O448/O442),"")</f>
        <v/>
      </c>
    </row>
    <row r="450" customFormat="false" ht="15" hidden="true" customHeight="false" outlineLevel="1" collapsed="false">
      <c r="A450" s="11" t="s">
        <v>2579</v>
      </c>
      <c r="B450" s="53" t="str">
        <f aca="false">IF(INDEX(Prod_Nombre,24)="","Producto 24",INDEX(Prod_Nombre,24))&amp;" — costo directo"</f>
        <v>Producto 24 — costo directo</v>
      </c>
      <c r="C450" s="11" t="s">
        <v>508</v>
      </c>
      <c r="D450" s="37"/>
      <c r="E450" s="37"/>
      <c r="F450" s="37"/>
      <c r="G450" s="37"/>
      <c r="H450" s="37"/>
      <c r="I450" s="37"/>
      <c r="J450" s="37"/>
      <c r="K450" s="37"/>
      <c r="L450" s="37"/>
      <c r="M450" s="37"/>
      <c r="N450" s="37"/>
      <c r="O450" s="54" t="str">
        <f aca="false">IF(COUNT(D450:N450)=0,"",SUM(D450:N450))</f>
        <v/>
      </c>
    </row>
    <row r="451" customFormat="false" ht="15" hidden="true" customHeight="false" outlineLevel="1" collapsed="false">
      <c r="A451" s="11" t="s">
        <v>2580</v>
      </c>
      <c r="B451" s="15" t="s">
        <v>2366</v>
      </c>
      <c r="C451" s="11" t="s">
        <v>544</v>
      </c>
      <c r="D451" s="37"/>
      <c r="E451" s="37"/>
      <c r="F451" s="37"/>
      <c r="G451" s="37"/>
      <c r="H451" s="37"/>
      <c r="I451" s="37"/>
      <c r="J451" s="37"/>
      <c r="K451" s="37"/>
      <c r="L451" s="37"/>
      <c r="M451" s="37"/>
      <c r="N451" s="37"/>
      <c r="O451" s="54" t="str">
        <f aca="false">IF(COUNT(D451:N451)=0,"",SUM(D451:N451))</f>
        <v/>
      </c>
    </row>
    <row r="452" customFormat="false" ht="15" hidden="true" customHeight="false" outlineLevel="1" collapsed="false">
      <c r="A452" s="11" t="s">
        <v>2581</v>
      </c>
      <c r="B452" s="15" t="s">
        <v>2368</v>
      </c>
      <c r="C452" s="11" t="s">
        <v>508</v>
      </c>
      <c r="D452" s="37"/>
      <c r="E452" s="37"/>
      <c r="F452" s="37"/>
      <c r="G452" s="37"/>
      <c r="H452" s="37"/>
      <c r="I452" s="37"/>
      <c r="J452" s="37"/>
      <c r="K452" s="37"/>
      <c r="L452" s="37"/>
      <c r="M452" s="37"/>
      <c r="N452" s="37"/>
      <c r="O452" s="54" t="str">
        <f aca="false">IF(COUNT(D452:N452)=0,"",SUM(D452:N452))</f>
        <v/>
      </c>
    </row>
    <row r="453" customFormat="false" ht="15" hidden="true" customHeight="false" outlineLevel="1" collapsed="false">
      <c r="A453" s="11" t="s">
        <v>2582</v>
      </c>
      <c r="B453" s="15" t="s">
        <v>2370</v>
      </c>
      <c r="C453" s="11" t="s">
        <v>748</v>
      </c>
      <c r="D453" s="50" t="str">
        <f aca="false">IFERROR(IF(OR(NOT(ISNUMBER(D450)),N(D451)=0),"",D450/D451),"")</f>
        <v/>
      </c>
      <c r="E453" s="50" t="str">
        <f aca="false">IFERROR(IF(OR(NOT(ISNUMBER(E450)),N(E451)=0),"",E450/E451),"")</f>
        <v/>
      </c>
      <c r="F453" s="50" t="str">
        <f aca="false">IFERROR(IF(OR(NOT(ISNUMBER(F450)),N(F451)=0),"",F450/F451),"")</f>
        <v/>
      </c>
      <c r="G453" s="50" t="str">
        <f aca="false">IFERROR(IF(OR(NOT(ISNUMBER(G450)),N(G451)=0),"",G450/G451),"")</f>
        <v/>
      </c>
      <c r="H453" s="50" t="str">
        <f aca="false">IFERROR(IF(OR(NOT(ISNUMBER(H450)),N(H451)=0),"",H450/H451),"")</f>
        <v/>
      </c>
      <c r="I453" s="50" t="str">
        <f aca="false">IFERROR(IF(OR(NOT(ISNUMBER(I450)),N(I451)=0),"",I450/I451),"")</f>
        <v/>
      </c>
      <c r="J453" s="50" t="str">
        <f aca="false">IFERROR(IF(OR(NOT(ISNUMBER(J450)),N(J451)=0),"",J450/J451),"")</f>
        <v/>
      </c>
      <c r="K453" s="50" t="str">
        <f aca="false">IFERROR(IF(OR(NOT(ISNUMBER(K450)),N(K451)=0),"",K450/K451),"")</f>
        <v/>
      </c>
      <c r="L453" s="50" t="str">
        <f aca="false">IFERROR(IF(OR(NOT(ISNUMBER(L450)),N(L451)=0),"",L450/L451),"")</f>
        <v/>
      </c>
      <c r="M453" s="50" t="str">
        <f aca="false">IFERROR(IF(OR(NOT(ISNUMBER(M450)),N(M451)=0),"",M450/M451),"")</f>
        <v/>
      </c>
      <c r="N453" s="50" t="str">
        <f aca="false">IFERROR(IF(OR(NOT(ISNUMBER(N450)),N(N451)=0),"",N450/N451),"")</f>
        <v/>
      </c>
      <c r="O453" s="68" t="str">
        <f aca="false">IFERROR(IF(OR(NOT(ISNUMBER(O450)),N(O451)=0),"",O450/O451),"")</f>
        <v/>
      </c>
    </row>
    <row r="454" customFormat="false" ht="15" hidden="true" customHeight="false" outlineLevel="1" collapsed="false">
      <c r="A454" s="11" t="s">
        <v>2583</v>
      </c>
      <c r="B454" s="15" t="s">
        <v>2372</v>
      </c>
      <c r="C454" s="11" t="s">
        <v>748</v>
      </c>
      <c r="D454" s="50" t="str">
        <f aca="false">IFERROR(IF(N(D451)=0,"",(D452-D450)/D451),"")</f>
        <v/>
      </c>
      <c r="E454" s="50" t="str">
        <f aca="false">IFERROR(IF(N(E451)=0,"",(E452-E450)/E451),"")</f>
        <v/>
      </c>
      <c r="F454" s="50" t="str">
        <f aca="false">IFERROR(IF(N(F451)=0,"",(F452-F450)/F451),"")</f>
        <v/>
      </c>
      <c r="G454" s="50" t="str">
        <f aca="false">IFERROR(IF(N(G451)=0,"",(G452-G450)/G451),"")</f>
        <v/>
      </c>
      <c r="H454" s="50" t="str">
        <f aca="false">IFERROR(IF(N(H451)=0,"",(H452-H450)/H451),"")</f>
        <v/>
      </c>
      <c r="I454" s="50" t="str">
        <f aca="false">IFERROR(IF(N(I451)=0,"",(I452-I450)/I451),"")</f>
        <v/>
      </c>
      <c r="J454" s="50" t="str">
        <f aca="false">IFERROR(IF(N(J451)=0,"",(J452-J450)/J451),"")</f>
        <v/>
      </c>
      <c r="K454" s="50" t="str">
        <f aca="false">IFERROR(IF(N(K451)=0,"",(K452-K450)/K451),"")</f>
        <v/>
      </c>
      <c r="L454" s="50" t="str">
        <f aca="false">IFERROR(IF(N(L451)=0,"",(L452-L450)/L451),"")</f>
        <v/>
      </c>
      <c r="M454" s="50" t="str">
        <f aca="false">IFERROR(IF(N(M451)=0,"",(M452-M450)/M451),"")</f>
        <v/>
      </c>
      <c r="N454" s="50" t="str">
        <f aca="false">IFERROR(IF(N(N451)=0,"",(N452-N450)/N451),"")</f>
        <v/>
      </c>
      <c r="O454" s="68" t="str">
        <f aca="false">IFERROR(IF(N(O451)=0,"",(O452-O450)/O451),"")</f>
        <v/>
      </c>
    </row>
    <row r="455" customFormat="false" ht="15" hidden="true" customHeight="false" outlineLevel="1" collapsed="false">
      <c r="A455" s="11" t="s">
        <v>2584</v>
      </c>
      <c r="B455" s="15" t="s">
        <v>2374</v>
      </c>
      <c r="C455" s="11" t="s">
        <v>367</v>
      </c>
      <c r="D455" s="49" t="str">
        <f aca="false">IFERROR(IF(N(D452)=0,"",1-D450/D452),"")</f>
        <v/>
      </c>
      <c r="E455" s="49" t="str">
        <f aca="false">IFERROR(IF(N(E452)=0,"",1-E450/E452),"")</f>
        <v/>
      </c>
      <c r="F455" s="49" t="str">
        <f aca="false">IFERROR(IF(N(F452)=0,"",1-F450/F452),"")</f>
        <v/>
      </c>
      <c r="G455" s="49" t="str">
        <f aca="false">IFERROR(IF(N(G452)=0,"",1-G450/G452),"")</f>
        <v/>
      </c>
      <c r="H455" s="49" t="str">
        <f aca="false">IFERROR(IF(N(H452)=0,"",1-H450/H452),"")</f>
        <v/>
      </c>
      <c r="I455" s="49" t="str">
        <f aca="false">IFERROR(IF(N(I452)=0,"",1-I450/I452),"")</f>
        <v/>
      </c>
      <c r="J455" s="49" t="str">
        <f aca="false">IFERROR(IF(N(J452)=0,"",1-J450/J452),"")</f>
        <v/>
      </c>
      <c r="K455" s="49" t="str">
        <f aca="false">IFERROR(IF(N(K452)=0,"",1-K450/K452),"")</f>
        <v/>
      </c>
      <c r="L455" s="49" t="str">
        <f aca="false">IFERROR(IF(N(L452)=0,"",1-L450/L452),"")</f>
        <v/>
      </c>
      <c r="M455" s="49" t="str">
        <f aca="false">IFERROR(IF(N(M452)=0,"",1-M450/M452),"")</f>
        <v/>
      </c>
      <c r="N455" s="49" t="str">
        <f aca="false">IFERROR(IF(N(N452)=0,"",1-N450/N452),"")</f>
        <v/>
      </c>
      <c r="O455" s="99" t="str">
        <f aca="false">IFERROR(IF(N(O452)=0,"",1-O450/O452),"")</f>
        <v/>
      </c>
    </row>
    <row r="456" customFormat="false" ht="15" hidden="true" customHeight="false" outlineLevel="1" collapsed="false">
      <c r="A456" s="11" t="s">
        <v>2585</v>
      </c>
      <c r="B456" s="15" t="s">
        <v>2376</v>
      </c>
      <c r="C456" s="11" t="s">
        <v>508</v>
      </c>
      <c r="D456" s="48" t="str">
        <f aca="false">IFERROR(IF(OR(NOT(ISNUMBER(D450)),N(D241)=0),"",D242*D450/D241),"")</f>
        <v/>
      </c>
      <c r="E456" s="48" t="str">
        <f aca="false">IFERROR(IF(OR(NOT(ISNUMBER(E450)),N(E241)=0),"",E242*E450/E241),"")</f>
        <v/>
      </c>
      <c r="F456" s="48" t="str">
        <f aca="false">IFERROR(IF(OR(NOT(ISNUMBER(F450)),N(F241)=0),"",F242*F450/F241),"")</f>
        <v/>
      </c>
      <c r="G456" s="48" t="str">
        <f aca="false">IFERROR(IF(OR(NOT(ISNUMBER(G450)),N(G241)=0),"",G242*G450/G241),"")</f>
        <v/>
      </c>
      <c r="H456" s="48" t="str">
        <f aca="false">IFERROR(IF(OR(NOT(ISNUMBER(H450)),N(H241)=0),"",H242*H450/H241),"")</f>
        <v/>
      </c>
      <c r="I456" s="48" t="str">
        <f aca="false">IFERROR(IF(OR(NOT(ISNUMBER(I450)),N(I241)=0),"",I242*I450/I241),"")</f>
        <v/>
      </c>
      <c r="J456" s="48" t="str">
        <f aca="false">IFERROR(IF(OR(NOT(ISNUMBER(J450)),N(J241)=0),"",J242*J450/J241),"")</f>
        <v/>
      </c>
      <c r="K456" s="48" t="str">
        <f aca="false">IFERROR(IF(OR(NOT(ISNUMBER(K450)),N(K241)=0),"",K242*K450/K241),"")</f>
        <v/>
      </c>
      <c r="L456" s="48" t="str">
        <f aca="false">IFERROR(IF(OR(NOT(ISNUMBER(L450)),N(L241)=0),"",L242*L450/L241),"")</f>
        <v/>
      </c>
      <c r="M456" s="48" t="str">
        <f aca="false">IFERROR(IF(OR(NOT(ISNUMBER(M450)),N(M241)=0),"",M242*M450/M241),"")</f>
        <v/>
      </c>
      <c r="N456" s="48" t="str">
        <f aca="false">IFERROR(IF(OR(NOT(ISNUMBER(N450)),N(N241)=0),"",N242*N450/N241),"")</f>
        <v/>
      </c>
      <c r="O456" s="54" t="str">
        <f aca="false">IF(COUNT(D456:N456)=0,"",SUM(D456:N456))</f>
        <v/>
      </c>
    </row>
    <row r="457" customFormat="false" ht="15" hidden="true" customHeight="false" outlineLevel="1" collapsed="false">
      <c r="A457" s="11" t="s">
        <v>2586</v>
      </c>
      <c r="B457" s="15" t="s">
        <v>2378</v>
      </c>
      <c r="C457" s="11" t="s">
        <v>508</v>
      </c>
      <c r="D457" s="48" t="str">
        <f aca="false">IFERROR(IF(COUNT(D450,D456)=0,"",N(D450)+N(D456)),"")</f>
        <v/>
      </c>
      <c r="E457" s="48" t="str">
        <f aca="false">IFERROR(IF(COUNT(E450,E456)=0,"",N(E450)+N(E456)),"")</f>
        <v/>
      </c>
      <c r="F457" s="48" t="str">
        <f aca="false">IFERROR(IF(COUNT(F450,F456)=0,"",N(F450)+N(F456)),"")</f>
        <v/>
      </c>
      <c r="G457" s="48" t="str">
        <f aca="false">IFERROR(IF(COUNT(G450,G456)=0,"",N(G450)+N(G456)),"")</f>
        <v/>
      </c>
      <c r="H457" s="48" t="str">
        <f aca="false">IFERROR(IF(COUNT(H450,H456)=0,"",N(H450)+N(H456)),"")</f>
        <v/>
      </c>
      <c r="I457" s="48" t="str">
        <f aca="false">IFERROR(IF(COUNT(I450,I456)=0,"",N(I450)+N(I456)),"")</f>
        <v/>
      </c>
      <c r="J457" s="48" t="str">
        <f aca="false">IFERROR(IF(COUNT(J450,J456)=0,"",N(J450)+N(J456)),"")</f>
        <v/>
      </c>
      <c r="K457" s="48" t="str">
        <f aca="false">IFERROR(IF(COUNT(K450,K456)=0,"",N(K450)+N(K456)),"")</f>
        <v/>
      </c>
      <c r="L457" s="48" t="str">
        <f aca="false">IFERROR(IF(COUNT(L450,L456)=0,"",N(L450)+N(L456)),"")</f>
        <v/>
      </c>
      <c r="M457" s="48" t="str">
        <f aca="false">IFERROR(IF(COUNT(M450,M456)=0,"",N(M450)+N(M456)),"")</f>
        <v/>
      </c>
      <c r="N457" s="48" t="str">
        <f aca="false">IFERROR(IF(COUNT(N450,N456)=0,"",N(N450)+N(N456)),"")</f>
        <v/>
      </c>
      <c r="O457" s="54" t="str">
        <f aca="false">IF(COUNT(D457:N457)=0,"",SUM(D457:N457))</f>
        <v/>
      </c>
    </row>
    <row r="458" customFormat="false" ht="15" hidden="true" customHeight="false" outlineLevel="1" collapsed="false">
      <c r="A458" s="11" t="s">
        <v>2587</v>
      </c>
      <c r="B458" s="15" t="s">
        <v>2380</v>
      </c>
      <c r="C458" s="11" t="s">
        <v>748</v>
      </c>
      <c r="D458" s="50" t="str">
        <f aca="false">IFERROR(IF(OR(NOT(ISNUMBER(D457)),N(D451)=0),"",D457/D451),"")</f>
        <v/>
      </c>
      <c r="E458" s="50" t="str">
        <f aca="false">IFERROR(IF(OR(NOT(ISNUMBER(E457)),N(E451)=0),"",E457/E451),"")</f>
        <v/>
      </c>
      <c r="F458" s="50" t="str">
        <f aca="false">IFERROR(IF(OR(NOT(ISNUMBER(F457)),N(F451)=0),"",F457/F451),"")</f>
        <v/>
      </c>
      <c r="G458" s="50" t="str">
        <f aca="false">IFERROR(IF(OR(NOT(ISNUMBER(G457)),N(G451)=0),"",G457/G451),"")</f>
        <v/>
      </c>
      <c r="H458" s="50" t="str">
        <f aca="false">IFERROR(IF(OR(NOT(ISNUMBER(H457)),N(H451)=0),"",H457/H451),"")</f>
        <v/>
      </c>
      <c r="I458" s="50" t="str">
        <f aca="false">IFERROR(IF(OR(NOT(ISNUMBER(I457)),N(I451)=0),"",I457/I451),"")</f>
        <v/>
      </c>
      <c r="J458" s="50" t="str">
        <f aca="false">IFERROR(IF(OR(NOT(ISNUMBER(J457)),N(J451)=0),"",J457/J451),"")</f>
        <v/>
      </c>
      <c r="K458" s="50" t="str">
        <f aca="false">IFERROR(IF(OR(NOT(ISNUMBER(K457)),N(K451)=0),"",K457/K451),"")</f>
        <v/>
      </c>
      <c r="L458" s="50" t="str">
        <f aca="false">IFERROR(IF(OR(NOT(ISNUMBER(L457)),N(L451)=0),"",L457/L451),"")</f>
        <v/>
      </c>
      <c r="M458" s="50" t="str">
        <f aca="false">IFERROR(IF(OR(NOT(ISNUMBER(M457)),N(M451)=0),"",M457/M451),"")</f>
        <v/>
      </c>
      <c r="N458" s="50" t="str">
        <f aca="false">IFERROR(IF(OR(NOT(ISNUMBER(N457)),N(N451)=0),"",N457/N451),"")</f>
        <v/>
      </c>
      <c r="O458" s="68" t="str">
        <f aca="false">IFERROR(IF(OR(NOT(ISNUMBER(O457)),N(O451)=0),"",O457/O451),"")</f>
        <v/>
      </c>
    </row>
    <row r="459" customFormat="false" ht="15" hidden="true" customHeight="false" outlineLevel="1" collapsed="false">
      <c r="A459" s="11" t="s">
        <v>2588</v>
      </c>
      <c r="B459" s="53" t="str">
        <f aca="false">IF(INDEX(Prod_Nombre,25)="","Producto 25",INDEX(Prod_Nombre,25))&amp;" — costo directo"</f>
        <v>Producto 25 — costo directo</v>
      </c>
      <c r="C459" s="11" t="s">
        <v>508</v>
      </c>
      <c r="D459" s="37"/>
      <c r="E459" s="37"/>
      <c r="F459" s="37"/>
      <c r="G459" s="37"/>
      <c r="H459" s="37"/>
      <c r="I459" s="37"/>
      <c r="J459" s="37"/>
      <c r="K459" s="37"/>
      <c r="L459" s="37"/>
      <c r="M459" s="37"/>
      <c r="N459" s="37"/>
      <c r="O459" s="54" t="str">
        <f aca="false">IF(COUNT(D459:N459)=0,"",SUM(D459:N459))</f>
        <v/>
      </c>
    </row>
    <row r="460" customFormat="false" ht="15" hidden="true" customHeight="false" outlineLevel="1" collapsed="false">
      <c r="A460" s="11" t="s">
        <v>2589</v>
      </c>
      <c r="B460" s="15" t="s">
        <v>2366</v>
      </c>
      <c r="C460" s="11" t="s">
        <v>544</v>
      </c>
      <c r="D460" s="37"/>
      <c r="E460" s="37"/>
      <c r="F460" s="37"/>
      <c r="G460" s="37"/>
      <c r="H460" s="37"/>
      <c r="I460" s="37"/>
      <c r="J460" s="37"/>
      <c r="K460" s="37"/>
      <c r="L460" s="37"/>
      <c r="M460" s="37"/>
      <c r="N460" s="37"/>
      <c r="O460" s="54" t="str">
        <f aca="false">IF(COUNT(D460:N460)=0,"",SUM(D460:N460))</f>
        <v/>
      </c>
    </row>
    <row r="461" customFormat="false" ht="15" hidden="true" customHeight="false" outlineLevel="1" collapsed="false">
      <c r="A461" s="11" t="s">
        <v>2590</v>
      </c>
      <c r="B461" s="15" t="s">
        <v>2368</v>
      </c>
      <c r="C461" s="11" t="s">
        <v>508</v>
      </c>
      <c r="D461" s="37"/>
      <c r="E461" s="37"/>
      <c r="F461" s="37"/>
      <c r="G461" s="37"/>
      <c r="H461" s="37"/>
      <c r="I461" s="37"/>
      <c r="J461" s="37"/>
      <c r="K461" s="37"/>
      <c r="L461" s="37"/>
      <c r="M461" s="37"/>
      <c r="N461" s="37"/>
      <c r="O461" s="54" t="str">
        <f aca="false">IF(COUNT(D461:N461)=0,"",SUM(D461:N461))</f>
        <v/>
      </c>
    </row>
    <row r="462" customFormat="false" ht="15" hidden="true" customHeight="false" outlineLevel="1" collapsed="false">
      <c r="A462" s="11" t="s">
        <v>2591</v>
      </c>
      <c r="B462" s="15" t="s">
        <v>2370</v>
      </c>
      <c r="C462" s="11" t="s">
        <v>748</v>
      </c>
      <c r="D462" s="50" t="str">
        <f aca="false">IFERROR(IF(OR(NOT(ISNUMBER(D459)),N(D460)=0),"",D459/D460),"")</f>
        <v/>
      </c>
      <c r="E462" s="50" t="str">
        <f aca="false">IFERROR(IF(OR(NOT(ISNUMBER(E459)),N(E460)=0),"",E459/E460),"")</f>
        <v/>
      </c>
      <c r="F462" s="50" t="str">
        <f aca="false">IFERROR(IF(OR(NOT(ISNUMBER(F459)),N(F460)=0),"",F459/F460),"")</f>
        <v/>
      </c>
      <c r="G462" s="50" t="str">
        <f aca="false">IFERROR(IF(OR(NOT(ISNUMBER(G459)),N(G460)=0),"",G459/G460),"")</f>
        <v/>
      </c>
      <c r="H462" s="50" t="str">
        <f aca="false">IFERROR(IF(OR(NOT(ISNUMBER(H459)),N(H460)=0),"",H459/H460),"")</f>
        <v/>
      </c>
      <c r="I462" s="50" t="str">
        <f aca="false">IFERROR(IF(OR(NOT(ISNUMBER(I459)),N(I460)=0),"",I459/I460),"")</f>
        <v/>
      </c>
      <c r="J462" s="50" t="str">
        <f aca="false">IFERROR(IF(OR(NOT(ISNUMBER(J459)),N(J460)=0),"",J459/J460),"")</f>
        <v/>
      </c>
      <c r="K462" s="50" t="str">
        <f aca="false">IFERROR(IF(OR(NOT(ISNUMBER(K459)),N(K460)=0),"",K459/K460),"")</f>
        <v/>
      </c>
      <c r="L462" s="50" t="str">
        <f aca="false">IFERROR(IF(OR(NOT(ISNUMBER(L459)),N(L460)=0),"",L459/L460),"")</f>
        <v/>
      </c>
      <c r="M462" s="50" t="str">
        <f aca="false">IFERROR(IF(OR(NOT(ISNUMBER(M459)),N(M460)=0),"",M459/M460),"")</f>
        <v/>
      </c>
      <c r="N462" s="50" t="str">
        <f aca="false">IFERROR(IF(OR(NOT(ISNUMBER(N459)),N(N460)=0),"",N459/N460),"")</f>
        <v/>
      </c>
      <c r="O462" s="68" t="str">
        <f aca="false">IFERROR(IF(OR(NOT(ISNUMBER(O459)),N(O460)=0),"",O459/O460),"")</f>
        <v/>
      </c>
    </row>
    <row r="463" customFormat="false" ht="15" hidden="true" customHeight="false" outlineLevel="1" collapsed="false">
      <c r="A463" s="11" t="s">
        <v>2592</v>
      </c>
      <c r="B463" s="15" t="s">
        <v>2372</v>
      </c>
      <c r="C463" s="11" t="s">
        <v>748</v>
      </c>
      <c r="D463" s="50" t="str">
        <f aca="false">IFERROR(IF(N(D460)=0,"",(D461-D459)/D460),"")</f>
        <v/>
      </c>
      <c r="E463" s="50" t="str">
        <f aca="false">IFERROR(IF(N(E460)=0,"",(E461-E459)/E460),"")</f>
        <v/>
      </c>
      <c r="F463" s="50" t="str">
        <f aca="false">IFERROR(IF(N(F460)=0,"",(F461-F459)/F460),"")</f>
        <v/>
      </c>
      <c r="G463" s="50" t="str">
        <f aca="false">IFERROR(IF(N(G460)=0,"",(G461-G459)/G460),"")</f>
        <v/>
      </c>
      <c r="H463" s="50" t="str">
        <f aca="false">IFERROR(IF(N(H460)=0,"",(H461-H459)/H460),"")</f>
        <v/>
      </c>
      <c r="I463" s="50" t="str">
        <f aca="false">IFERROR(IF(N(I460)=0,"",(I461-I459)/I460),"")</f>
        <v/>
      </c>
      <c r="J463" s="50" t="str">
        <f aca="false">IFERROR(IF(N(J460)=0,"",(J461-J459)/J460),"")</f>
        <v/>
      </c>
      <c r="K463" s="50" t="str">
        <f aca="false">IFERROR(IF(N(K460)=0,"",(K461-K459)/K460),"")</f>
        <v/>
      </c>
      <c r="L463" s="50" t="str">
        <f aca="false">IFERROR(IF(N(L460)=0,"",(L461-L459)/L460),"")</f>
        <v/>
      </c>
      <c r="M463" s="50" t="str">
        <f aca="false">IFERROR(IF(N(M460)=0,"",(M461-M459)/M460),"")</f>
        <v/>
      </c>
      <c r="N463" s="50" t="str">
        <f aca="false">IFERROR(IF(N(N460)=0,"",(N461-N459)/N460),"")</f>
        <v/>
      </c>
      <c r="O463" s="68" t="str">
        <f aca="false">IFERROR(IF(N(O460)=0,"",(O461-O459)/O460),"")</f>
        <v/>
      </c>
    </row>
    <row r="464" customFormat="false" ht="15" hidden="true" customHeight="false" outlineLevel="1" collapsed="false">
      <c r="A464" s="11" t="s">
        <v>2593</v>
      </c>
      <c r="B464" s="15" t="s">
        <v>2374</v>
      </c>
      <c r="C464" s="11" t="s">
        <v>367</v>
      </c>
      <c r="D464" s="49" t="str">
        <f aca="false">IFERROR(IF(N(D461)=0,"",1-D459/D461),"")</f>
        <v/>
      </c>
      <c r="E464" s="49" t="str">
        <f aca="false">IFERROR(IF(N(E461)=0,"",1-E459/E461),"")</f>
        <v/>
      </c>
      <c r="F464" s="49" t="str">
        <f aca="false">IFERROR(IF(N(F461)=0,"",1-F459/F461),"")</f>
        <v/>
      </c>
      <c r="G464" s="49" t="str">
        <f aca="false">IFERROR(IF(N(G461)=0,"",1-G459/G461),"")</f>
        <v/>
      </c>
      <c r="H464" s="49" t="str">
        <f aca="false">IFERROR(IF(N(H461)=0,"",1-H459/H461),"")</f>
        <v/>
      </c>
      <c r="I464" s="49" t="str">
        <f aca="false">IFERROR(IF(N(I461)=0,"",1-I459/I461),"")</f>
        <v/>
      </c>
      <c r="J464" s="49" t="str">
        <f aca="false">IFERROR(IF(N(J461)=0,"",1-J459/J461),"")</f>
        <v/>
      </c>
      <c r="K464" s="49" t="str">
        <f aca="false">IFERROR(IF(N(K461)=0,"",1-K459/K461),"")</f>
        <v/>
      </c>
      <c r="L464" s="49" t="str">
        <f aca="false">IFERROR(IF(N(L461)=0,"",1-L459/L461),"")</f>
        <v/>
      </c>
      <c r="M464" s="49" t="str">
        <f aca="false">IFERROR(IF(N(M461)=0,"",1-M459/M461),"")</f>
        <v/>
      </c>
      <c r="N464" s="49" t="str">
        <f aca="false">IFERROR(IF(N(N461)=0,"",1-N459/N461),"")</f>
        <v/>
      </c>
      <c r="O464" s="99" t="str">
        <f aca="false">IFERROR(IF(N(O461)=0,"",1-O459/O461),"")</f>
        <v/>
      </c>
    </row>
    <row r="465" customFormat="false" ht="15" hidden="true" customHeight="false" outlineLevel="1" collapsed="false">
      <c r="A465" s="11" t="s">
        <v>2594</v>
      </c>
      <c r="B465" s="15" t="s">
        <v>2376</v>
      </c>
      <c r="C465" s="11" t="s">
        <v>508</v>
      </c>
      <c r="D465" s="48" t="str">
        <f aca="false">IFERROR(IF(OR(NOT(ISNUMBER(D459)),N(D241)=0),"",D242*D459/D241),"")</f>
        <v/>
      </c>
      <c r="E465" s="48" t="str">
        <f aca="false">IFERROR(IF(OR(NOT(ISNUMBER(E459)),N(E241)=0),"",E242*E459/E241),"")</f>
        <v/>
      </c>
      <c r="F465" s="48" t="str">
        <f aca="false">IFERROR(IF(OR(NOT(ISNUMBER(F459)),N(F241)=0),"",F242*F459/F241),"")</f>
        <v/>
      </c>
      <c r="G465" s="48" t="str">
        <f aca="false">IFERROR(IF(OR(NOT(ISNUMBER(G459)),N(G241)=0),"",G242*G459/G241),"")</f>
        <v/>
      </c>
      <c r="H465" s="48" t="str">
        <f aca="false">IFERROR(IF(OR(NOT(ISNUMBER(H459)),N(H241)=0),"",H242*H459/H241),"")</f>
        <v/>
      </c>
      <c r="I465" s="48" t="str">
        <f aca="false">IFERROR(IF(OR(NOT(ISNUMBER(I459)),N(I241)=0),"",I242*I459/I241),"")</f>
        <v/>
      </c>
      <c r="J465" s="48" t="str">
        <f aca="false">IFERROR(IF(OR(NOT(ISNUMBER(J459)),N(J241)=0),"",J242*J459/J241),"")</f>
        <v/>
      </c>
      <c r="K465" s="48" t="str">
        <f aca="false">IFERROR(IF(OR(NOT(ISNUMBER(K459)),N(K241)=0),"",K242*K459/K241),"")</f>
        <v/>
      </c>
      <c r="L465" s="48" t="str">
        <f aca="false">IFERROR(IF(OR(NOT(ISNUMBER(L459)),N(L241)=0),"",L242*L459/L241),"")</f>
        <v/>
      </c>
      <c r="M465" s="48" t="str">
        <f aca="false">IFERROR(IF(OR(NOT(ISNUMBER(M459)),N(M241)=0),"",M242*M459/M241),"")</f>
        <v/>
      </c>
      <c r="N465" s="48" t="str">
        <f aca="false">IFERROR(IF(OR(NOT(ISNUMBER(N459)),N(N241)=0),"",N242*N459/N241),"")</f>
        <v/>
      </c>
      <c r="O465" s="54" t="str">
        <f aca="false">IF(COUNT(D465:N465)=0,"",SUM(D465:N465))</f>
        <v/>
      </c>
    </row>
    <row r="466" customFormat="false" ht="15" hidden="true" customHeight="false" outlineLevel="1" collapsed="false">
      <c r="A466" s="11" t="s">
        <v>2595</v>
      </c>
      <c r="B466" s="15" t="s">
        <v>2378</v>
      </c>
      <c r="C466" s="11" t="s">
        <v>508</v>
      </c>
      <c r="D466" s="48" t="str">
        <f aca="false">IFERROR(IF(COUNT(D459,D465)=0,"",N(D459)+N(D465)),"")</f>
        <v/>
      </c>
      <c r="E466" s="48" t="str">
        <f aca="false">IFERROR(IF(COUNT(E459,E465)=0,"",N(E459)+N(E465)),"")</f>
        <v/>
      </c>
      <c r="F466" s="48" t="str">
        <f aca="false">IFERROR(IF(COUNT(F459,F465)=0,"",N(F459)+N(F465)),"")</f>
        <v/>
      </c>
      <c r="G466" s="48" t="str">
        <f aca="false">IFERROR(IF(COUNT(G459,G465)=0,"",N(G459)+N(G465)),"")</f>
        <v/>
      </c>
      <c r="H466" s="48" t="str">
        <f aca="false">IFERROR(IF(COUNT(H459,H465)=0,"",N(H459)+N(H465)),"")</f>
        <v/>
      </c>
      <c r="I466" s="48" t="str">
        <f aca="false">IFERROR(IF(COUNT(I459,I465)=0,"",N(I459)+N(I465)),"")</f>
        <v/>
      </c>
      <c r="J466" s="48" t="str">
        <f aca="false">IFERROR(IF(COUNT(J459,J465)=0,"",N(J459)+N(J465)),"")</f>
        <v/>
      </c>
      <c r="K466" s="48" t="str">
        <f aca="false">IFERROR(IF(COUNT(K459,K465)=0,"",N(K459)+N(K465)),"")</f>
        <v/>
      </c>
      <c r="L466" s="48" t="str">
        <f aca="false">IFERROR(IF(COUNT(L459,L465)=0,"",N(L459)+N(L465)),"")</f>
        <v/>
      </c>
      <c r="M466" s="48" t="str">
        <f aca="false">IFERROR(IF(COUNT(M459,M465)=0,"",N(M459)+N(M465)),"")</f>
        <v/>
      </c>
      <c r="N466" s="48" t="str">
        <f aca="false">IFERROR(IF(COUNT(N459,N465)=0,"",N(N459)+N(N465)),"")</f>
        <v/>
      </c>
      <c r="O466" s="54" t="str">
        <f aca="false">IF(COUNT(D466:N466)=0,"",SUM(D466:N466))</f>
        <v/>
      </c>
    </row>
    <row r="467" customFormat="false" ht="15" hidden="true" customHeight="false" outlineLevel="1" collapsed="false">
      <c r="A467" s="11" t="s">
        <v>2596</v>
      </c>
      <c r="B467" s="15" t="s">
        <v>2380</v>
      </c>
      <c r="C467" s="11" t="s">
        <v>748</v>
      </c>
      <c r="D467" s="50" t="str">
        <f aca="false">IFERROR(IF(OR(NOT(ISNUMBER(D466)),N(D460)=0),"",D466/D460),"")</f>
        <v/>
      </c>
      <c r="E467" s="50" t="str">
        <f aca="false">IFERROR(IF(OR(NOT(ISNUMBER(E466)),N(E460)=0),"",E466/E460),"")</f>
        <v/>
      </c>
      <c r="F467" s="50" t="str">
        <f aca="false">IFERROR(IF(OR(NOT(ISNUMBER(F466)),N(F460)=0),"",F466/F460),"")</f>
        <v/>
      </c>
      <c r="G467" s="50" t="str">
        <f aca="false">IFERROR(IF(OR(NOT(ISNUMBER(G466)),N(G460)=0),"",G466/G460),"")</f>
        <v/>
      </c>
      <c r="H467" s="50" t="str">
        <f aca="false">IFERROR(IF(OR(NOT(ISNUMBER(H466)),N(H460)=0),"",H466/H460),"")</f>
        <v/>
      </c>
      <c r="I467" s="50" t="str">
        <f aca="false">IFERROR(IF(OR(NOT(ISNUMBER(I466)),N(I460)=0),"",I466/I460),"")</f>
        <v/>
      </c>
      <c r="J467" s="50" t="str">
        <f aca="false">IFERROR(IF(OR(NOT(ISNUMBER(J466)),N(J460)=0),"",J466/J460),"")</f>
        <v/>
      </c>
      <c r="K467" s="50" t="str">
        <f aca="false">IFERROR(IF(OR(NOT(ISNUMBER(K466)),N(K460)=0),"",K466/K460),"")</f>
        <v/>
      </c>
      <c r="L467" s="50" t="str">
        <f aca="false">IFERROR(IF(OR(NOT(ISNUMBER(L466)),N(L460)=0),"",L466/L460),"")</f>
        <v/>
      </c>
      <c r="M467" s="50" t="str">
        <f aca="false">IFERROR(IF(OR(NOT(ISNUMBER(M466)),N(M460)=0),"",M466/M460),"")</f>
        <v/>
      </c>
      <c r="N467" s="50" t="str">
        <f aca="false">IFERROR(IF(OR(NOT(ISNUMBER(N466)),N(N460)=0),"",N466/N460),"")</f>
        <v/>
      </c>
      <c r="O467" s="68" t="str">
        <f aca="false">IFERROR(IF(OR(NOT(ISNUMBER(O466)),N(O460)=0),"",O466/O460),"")</f>
        <v/>
      </c>
    </row>
    <row r="469" customFormat="false" ht="15" hidden="false" customHeight="false" outlineLevel="0" collapsed="false">
      <c r="A469" s="101" t="s">
        <v>1994</v>
      </c>
      <c r="B469" s="102"/>
      <c r="C469" s="102"/>
      <c r="D469" s="102"/>
      <c r="E469" s="102"/>
      <c r="F469" s="102"/>
      <c r="G469" s="102"/>
      <c r="H469" s="102"/>
      <c r="I469" s="102"/>
      <c r="J469" s="102"/>
      <c r="K469" s="102"/>
      <c r="L469" s="102"/>
      <c r="M469" s="102"/>
      <c r="N469" s="102"/>
      <c r="O469" s="102"/>
      <c r="P469" s="102"/>
    </row>
    <row r="470" customFormat="false" ht="24" hidden="false" customHeight="true" outlineLevel="0" collapsed="false">
      <c r="A470" s="14"/>
      <c r="B470" s="14" t="s">
        <v>1530</v>
      </c>
      <c r="C470" s="14" t="s">
        <v>355</v>
      </c>
      <c r="D470" s="14" t="s">
        <v>1857</v>
      </c>
      <c r="E470" s="14" t="s">
        <v>452</v>
      </c>
      <c r="F470" s="14" t="s">
        <v>453</v>
      </c>
      <c r="G470" s="14" t="s">
        <v>454</v>
      </c>
      <c r="H470" s="14" t="s">
        <v>455</v>
      </c>
      <c r="I470" s="14" t="s">
        <v>456</v>
      </c>
      <c r="J470" s="14" t="s">
        <v>457</v>
      </c>
      <c r="K470" s="14" t="s">
        <v>458</v>
      </c>
      <c r="L470" s="14" t="s">
        <v>459</v>
      </c>
      <c r="M470" s="14" t="s">
        <v>460</v>
      </c>
      <c r="N470" s="14" t="s">
        <v>461</v>
      </c>
      <c r="O470" s="14" t="s">
        <v>549</v>
      </c>
      <c r="P470" s="14" t="s">
        <v>1822</v>
      </c>
    </row>
    <row r="471" customFormat="false" ht="15" hidden="false" customHeight="false" outlineLevel="0" collapsed="false">
      <c r="B471" s="11" t="s">
        <v>1993</v>
      </c>
      <c r="D471" s="86" t="str">
        <f aca="false">IF(OR(n_Fecha1="",IF(cu_P=1,P_Inicio,V_Inicio)=1),"",YEAR(n_Fecha1))</f>
        <v/>
      </c>
      <c r="E471" s="86" t="str">
        <f aca="false">IF(n_Fecha1="","",YEAR(EOMONTH(n_Fecha1,IF(cu_P=1,P_Inicio,V_Inicio)-1+0)))</f>
        <v/>
      </c>
      <c r="F471" s="86" t="str">
        <f aca="false">IF(n_Fecha1="","",YEAR(EOMONTH(n_Fecha1,IF(cu_P=1,P_Inicio,V_Inicio)-1+12)))</f>
        <v/>
      </c>
      <c r="G471" s="86" t="str">
        <f aca="false">IF(n_Fecha1="","",YEAR(EOMONTH(n_Fecha1,IF(cu_P=1,P_Inicio,V_Inicio)-1+24)))</f>
        <v/>
      </c>
      <c r="H471" s="86" t="str">
        <f aca="false">IF(n_Fecha1="","",YEAR(EOMONTH(n_Fecha1,IF(cu_P=1,P_Inicio,V_Inicio)-1+36)))</f>
        <v/>
      </c>
      <c r="I471" s="86" t="str">
        <f aca="false">IF(n_Fecha1="","",YEAR(EOMONTH(n_Fecha1,IF(cu_P=1,P_Inicio,V_Inicio)-1+48)))</f>
        <v/>
      </c>
      <c r="J471" s="86" t="str">
        <f aca="false">IF(n_Fecha1="","",YEAR(EOMONTH(n_Fecha1,IF(cu_P=1,P_Inicio,V_Inicio)-1+60)))</f>
        <v/>
      </c>
      <c r="K471" s="86" t="str">
        <f aca="false">IF(n_Fecha1="","",YEAR(EOMONTH(n_Fecha1,IF(cu_P=1,P_Inicio,V_Inicio)-1+72)))</f>
        <v/>
      </c>
      <c r="L471" s="86" t="str">
        <f aca="false">IF(n_Fecha1="","",YEAR(EOMONTH(n_Fecha1,IF(cu_P=1,P_Inicio,V_Inicio)-1+84)))</f>
        <v/>
      </c>
      <c r="M471" s="86" t="str">
        <f aca="false">IF(n_Fecha1="","",YEAR(EOMONTH(n_Fecha1,IF(cu_P=1,P_Inicio,V_Inicio)-1+96)))</f>
        <v/>
      </c>
      <c r="N471" s="86" t="str">
        <f aca="false">IF(n_Fecha1="","",YEAR(EOMONTH(n_Fecha1,IF(cu_P=1,P_Inicio,V_Inicio)-1+108)))</f>
        <v/>
      </c>
    </row>
    <row r="472" customFormat="false" ht="15" hidden="false" customHeight="false" outlineLevel="0" collapsed="false">
      <c r="A472" s="11" t="s">
        <v>2358</v>
      </c>
      <c r="B472" s="67" t="s">
        <v>2359</v>
      </c>
      <c r="C472" s="11" t="s">
        <v>508</v>
      </c>
      <c r="D472" s="54" t="str">
        <f aca="false">IF(OR(NOT(ISNUMBER(D8)),NOT(ISNUMBER(D240))),"",D8-D240)</f>
        <v/>
      </c>
      <c r="E472" s="54" t="n">
        <f aca="false">IF(OR(NOT(ISNUMBER(E8)),NOT(ISNUMBER(E240))),"",E8-E240)</f>
        <v>134646.135723948</v>
      </c>
      <c r="F472" s="54" t="n">
        <f aca="false">IF(OR(NOT(ISNUMBER(F8)),NOT(ISNUMBER(F240))),"",F8-F240)</f>
        <v>73053.6271938747</v>
      </c>
      <c r="G472" s="54" t="n">
        <f aca="false">IF(OR(NOT(ISNUMBER(G8)),NOT(ISNUMBER(G240))),"",G8-G240)</f>
        <v>84738.8115596697</v>
      </c>
      <c r="H472" s="54" t="n">
        <f aca="false">IF(OR(NOT(ISNUMBER(H8)),NOT(ISNUMBER(H240))),"",H8-H240)</f>
        <v>97582.6732381526</v>
      </c>
      <c r="I472" s="54" t="n">
        <f aca="false">IF(OR(NOT(ISNUMBER(I8)),NOT(ISNUMBER(I240))),"",I8-I240)</f>
        <v>110238.010717869</v>
      </c>
      <c r="J472" s="54" t="n">
        <f aca="false">IF(OR(NOT(ISNUMBER(J8)),NOT(ISNUMBER(J240))),"",J8-J240)</f>
        <v>108219.029769087</v>
      </c>
      <c r="K472" s="54" t="n">
        <f aca="false">IF(OR(NOT(ISNUMBER(K8)),NOT(ISNUMBER(K240))),"",K8-K240)</f>
        <v>130664.208693633</v>
      </c>
      <c r="L472" s="54" t="n">
        <f aca="false">IF(OR(NOT(ISNUMBER(L8)),NOT(ISNUMBER(L240))),"",L8-L240)</f>
        <v>141050.804706644</v>
      </c>
      <c r="M472" s="54" t="n">
        <f aca="false">IF(OR(NOT(ISNUMBER(M8)),NOT(ISNUMBER(M240))),"",M8-M240)</f>
        <v>151553.881657824</v>
      </c>
      <c r="N472" s="54" t="n">
        <f aca="false">IF(OR(NOT(ISNUMBER(N8)),NOT(ISNUMBER(N240))),"",N8-N240)</f>
        <v>162175.74034813</v>
      </c>
      <c r="O472" s="54" t="n">
        <f aca="false">IF(OR(NOT(ISNUMBER(O8)),NOT(ISNUMBER(O240))),"",O8-O240)</f>
        <v>1193922.92360883</v>
      </c>
      <c r="P472" s="11" t="str">
        <f aca="false">IF(COUNT(D472:N472)=0,"",IF(AND(MAX(D472:N472)&lt;2,MIN(D472:N472)&gt;-2),"Sin diferencia","Ver cuadro 10a."))</f>
        <v>Ver cuadro 10a.</v>
      </c>
    </row>
    <row r="473" customFormat="false" ht="15" hidden="false" customHeight="false" outlineLevel="0" collapsed="false">
      <c r="A473" s="11" t="s">
        <v>2360</v>
      </c>
      <c r="B473" s="15" t="s">
        <v>2361</v>
      </c>
      <c r="C473" s="11" t="s">
        <v>508</v>
      </c>
      <c r="D473" s="48" t="str">
        <f aca="false">IF(OR(NOT(ISNUMBER(D9)),NOT(ISNUMBER(D241))),"",D9-D241)</f>
        <v/>
      </c>
      <c r="E473" s="48" t="n">
        <f aca="false">IF(OR(NOT(ISNUMBER(E9)),NOT(ISNUMBER(E241))),"",E9-E241)</f>
        <v>25829.9960000003</v>
      </c>
      <c r="F473" s="48" t="n">
        <f aca="false">IF(OR(NOT(ISNUMBER(F9)),NOT(ISNUMBER(F241))),"",F9-F241)</f>
        <v>32775.4950000001</v>
      </c>
      <c r="G473" s="48" t="n">
        <f aca="false">IF(OR(NOT(ISNUMBER(G9)),NOT(ISNUMBER(G241))),"",G9-G241)</f>
        <v>47953.2740000002</v>
      </c>
      <c r="H473" s="48" t="n">
        <f aca="false">IF(OR(NOT(ISNUMBER(H9)),NOT(ISNUMBER(H241))),"",H9-H241)</f>
        <v>62767.5728500001</v>
      </c>
      <c r="I473" s="48" t="n">
        <f aca="false">IF(OR(NOT(ISNUMBER(I9)),NOT(ISNUMBER(I241))),"",I9-I241)</f>
        <v>71928.4286484998</v>
      </c>
      <c r="J473" s="48" t="n">
        <f aca="false">IF(OR(NOT(ISNUMBER(J9)),NOT(ISNUMBER(J241))),"",J9-J241)</f>
        <v>81181.7230049856</v>
      </c>
      <c r="K473" s="48" t="n">
        <f aca="false">IF(OR(NOT(ISNUMBER(K9)),NOT(ISNUMBER(K241))),"",K9-K241)</f>
        <v>90527.1603050344</v>
      </c>
      <c r="L473" s="48" t="n">
        <f aca="false">IF(OR(NOT(ISNUMBER(L9)),NOT(ISNUMBER(L241))),"",L9-L241)</f>
        <v>99966.4719780851</v>
      </c>
      <c r="M473" s="48" t="n">
        <f aca="false">IF(OR(NOT(ISNUMBER(M9)),NOT(ISNUMBER(M241))),"",M9-M241)</f>
        <v>109499.416767865</v>
      </c>
      <c r="N473" s="48" t="n">
        <f aca="false">IF(OR(NOT(ISNUMBER(N9)),NOT(ISNUMBER(N241))),"",N9-N241)</f>
        <v>119128.781005545</v>
      </c>
      <c r="O473" s="54" t="n">
        <f aca="false">IF(OR(NOT(ISNUMBER(O9)),NOT(ISNUMBER(O241))),"",O9-O241)</f>
        <v>741558.319560021</v>
      </c>
      <c r="P473" s="11" t="str">
        <f aca="false">IF(COUNT(D473:N473)=0,"",IF(AND(MAX(D473:N473)&lt;2,MIN(D473:N473)&gt;-2),"Sin diferencia","El cuadro 10b del plan asigna un flete total de 398.170 (gabinetes 22,19/u; cajas 1,89/u), menor que los 424.000 del cuadro 10a; el modelo usa el total del 10a (23,20 y 2,08 por unidad). En cajas, además C2."))</f>
        <v>El cuadro 10b del plan asigna un flete total de 398.170 (gabinetes 22,19/u; cajas 1,89/u), menor que los 424.000 del cuadro 10a; el modelo usa el total del 10a (23,20 y 2,08 por unidad). En cajas, además C2.</v>
      </c>
    </row>
    <row r="474" customFormat="false" ht="15" hidden="false" customHeight="false" outlineLevel="0" collapsed="false">
      <c r="A474" s="11" t="s">
        <v>2362</v>
      </c>
      <c r="B474" s="15" t="s">
        <v>2363</v>
      </c>
      <c r="C474" s="11" t="s">
        <v>508</v>
      </c>
      <c r="D474" s="48" t="str">
        <f aca="false">IF(OR(NOT(ISNUMBER(D10)),NOT(ISNUMBER(D242))),"",D10-D242)</f>
        <v/>
      </c>
      <c r="E474" s="48" t="n">
        <f aca="false">IF(OR(NOT(ISNUMBER(E10)),NOT(ISNUMBER(E242))),"",E10-E242)</f>
        <v>108816.139723947</v>
      </c>
      <c r="F474" s="48" t="n">
        <f aca="false">IF(OR(NOT(ISNUMBER(F10)),NOT(ISNUMBER(F242))),"",F10-F242)</f>
        <v>40278.1321938746</v>
      </c>
      <c r="G474" s="48" t="n">
        <f aca="false">IF(OR(NOT(ISNUMBER(G10)),NOT(ISNUMBER(G242))),"",G10-G242)</f>
        <v>36785.5375596695</v>
      </c>
      <c r="H474" s="48" t="n">
        <f aca="false">IF(OR(NOT(ISNUMBER(H10)),NOT(ISNUMBER(H242))),"",H10-H242)</f>
        <v>34815.1003881525</v>
      </c>
      <c r="I474" s="48" t="n">
        <f aca="false">IF(OR(NOT(ISNUMBER(I10)),NOT(ISNUMBER(I242))),"",I10-I242)</f>
        <v>38309.582069369</v>
      </c>
      <c r="J474" s="48" t="n">
        <f aca="false">IF(OR(NOT(ISNUMBER(J10)),NOT(ISNUMBER(J242))),"",J10-J242)</f>
        <v>27037.3067641016</v>
      </c>
      <c r="K474" s="48" t="n">
        <f aca="false">IF(OR(NOT(ISNUMBER(K10)),NOT(ISNUMBER(K242))),"",K10-K242)</f>
        <v>40137.0483885985</v>
      </c>
      <c r="L474" s="48" t="n">
        <f aca="false">IF(OR(NOT(ISNUMBER(L10)),NOT(ISNUMBER(L242))),"",L10-L242)</f>
        <v>41084.3327285592</v>
      </c>
      <c r="M474" s="48" t="n">
        <f aca="false">IF(OR(NOT(ISNUMBER(M10)),NOT(ISNUMBER(M242))),"",M10-M242)</f>
        <v>42054.4648899585</v>
      </c>
      <c r="N474" s="48" t="n">
        <f aca="false">IF(OR(NOT(ISNUMBER(N10)),NOT(ISNUMBER(N242))),"",N10-N242)</f>
        <v>43046.9593425849</v>
      </c>
      <c r="O474" s="54" t="n">
        <f aca="false">IF(OR(NOT(ISNUMBER(O10)),NOT(ISNUMBER(O242))),"",O10-O242)</f>
        <v>452364.604048815</v>
      </c>
      <c r="P474" s="11" t="str">
        <f aca="false">IF(COUNT(D474:N474)=0,"",IF(AND(MAX(D474:N474)&lt;2,MIN(D474:N474)&gt;-2),"Sin diferencia","C1, mantenimiento y depreciación, menos el flete que el cuadro 10b del plan no asigna."))</f>
        <v>C1, mantenimiento y depreciación, menos el flete que el cuadro 10b del plan no asigna.</v>
      </c>
    </row>
    <row r="475" customFormat="false" ht="15" hidden="false" customHeight="false" outlineLevel="0" collapsed="false">
      <c r="A475" s="11" t="s">
        <v>2364</v>
      </c>
      <c r="B475" s="53" t="str">
        <f aca="false">IF(INDEX(Prod_Nombre,1)="","Producto 1",INDEX(Prod_Nombre,1))&amp;" — costo directo"</f>
        <v>Gabinetes metálicos 153 kg — costo directo</v>
      </c>
      <c r="C475" s="11" t="s">
        <v>508</v>
      </c>
      <c r="D475" s="48" t="str">
        <f aca="false">IF(OR(NOT(ISNUMBER(D11)),NOT(ISNUMBER(D243))),"",D11-D243)</f>
        <v/>
      </c>
      <c r="E475" s="48" t="n">
        <f aca="false">IF(OR(NOT(ISNUMBER(E11)),NOT(ISNUMBER(E243))),"",E11-E243)</f>
        <v>12179.996</v>
      </c>
      <c r="F475" s="48" t="n">
        <f aca="false">IF(OR(NOT(ISNUMBER(F11)),NOT(ISNUMBER(F243))),"",F11-F243)</f>
        <v>15225.4950000001</v>
      </c>
      <c r="G475" s="48" t="n">
        <f aca="false">IF(OR(NOT(ISNUMBER(G11)),NOT(ISNUMBER(G243))),"",G11-G243)</f>
        <v>18270.764</v>
      </c>
      <c r="H475" s="48" t="n">
        <f aca="false">IF(OR(NOT(ISNUMBER(H11)),NOT(ISNUMBER(H243))),"",H11-H243)</f>
        <v>21315.9236500002</v>
      </c>
      <c r="I475" s="48" t="n">
        <f aca="false">IF(OR(NOT(ISNUMBER(I11)),NOT(ISNUMBER(I243))),"",I11-I243)</f>
        <v>21315.3429565001</v>
      </c>
      <c r="J475" s="48" t="n">
        <f aca="false">IF(OR(NOT(ISNUMBER(J11)),NOT(ISNUMBER(J243))),"",J11-J243)</f>
        <v>21315.5864560651</v>
      </c>
      <c r="K475" s="48" t="n">
        <f aca="false">IF(OR(NOT(ISNUMBER(K11)),NOT(ISNUMBER(K243))),"",K11-K243)</f>
        <v>21315.4423906254</v>
      </c>
      <c r="L475" s="48" t="n">
        <f aca="false">IF(OR(NOT(ISNUMBER(L11)),NOT(ISNUMBER(L243))),"",L11-L243)</f>
        <v>21315.716884532</v>
      </c>
      <c r="M475" s="48" t="n">
        <f aca="false">IF(OR(NOT(ISNUMBER(M11)),NOT(ISNUMBER(M243))),"",M11-M243)</f>
        <v>21315.2341233771</v>
      </c>
      <c r="N475" s="48" t="n">
        <f aca="false">IF(OR(NOT(ISNUMBER(N11)),NOT(ISNUMBER(N243))),"",N11-N243)</f>
        <v>21315.836534611</v>
      </c>
      <c r="O475" s="54" t="n">
        <f aca="false">IF(OR(NOT(ISNUMBER(O11)),NOT(ISNUMBER(O243))),"",O11-O243)</f>
        <v>194885.337995712</v>
      </c>
      <c r="P475" s="11" t="str">
        <f aca="false">IF(COUNT(D475:N475)=0,"",IF(AND(MAX(D475:N475)&lt;2,MIN(D475:N475)&gt;-2),"Sin diferencia","El cuadro 10b del plan asigna un flete total de 398.170 (gabinetes 22,19/u; cajas 1,89/u), menor que los 424.000 del cuadro 10a; el modelo usa el total del 10a (23,20 y 2,08 por unidad)."))</f>
        <v>El cuadro 10b del plan asigna un flete total de 398.170 (gabinetes 22,19/u; cajas 1,89/u), menor que los 424.000 del cuadro 10a; el modelo usa el total del 10a (23,20 y 2,08 por unidad).</v>
      </c>
    </row>
    <row r="476" customFormat="false" ht="15" hidden="false" customHeight="false" outlineLevel="0" collapsed="false">
      <c r="A476" s="11" t="s">
        <v>2365</v>
      </c>
      <c r="B476" s="15" t="s">
        <v>2366</v>
      </c>
      <c r="C476" s="11" t="s">
        <v>544</v>
      </c>
      <c r="D476" s="48" t="str">
        <f aca="false">IF(OR(NOT(ISNUMBER(D12)),NOT(ISNUMBER(D244))),"",D12-D244)</f>
        <v/>
      </c>
      <c r="E476" s="48" t="n">
        <f aca="false">IF(OR(NOT(ISNUMBER(E12)),NOT(ISNUMBER(E244))),"",E12-E244)</f>
        <v>0</v>
      </c>
      <c r="F476" s="48" t="n">
        <f aca="false">IF(OR(NOT(ISNUMBER(F12)),NOT(ISNUMBER(F244))),"",F12-F244)</f>
        <v>0</v>
      </c>
      <c r="G476" s="48" t="n">
        <f aca="false">IF(OR(NOT(ISNUMBER(G12)),NOT(ISNUMBER(G244))),"",G12-G244)</f>
        <v>0</v>
      </c>
      <c r="H476" s="48" t="n">
        <f aca="false">IF(OR(NOT(ISNUMBER(H12)),NOT(ISNUMBER(H244))),"",H12-H244)</f>
        <v>0</v>
      </c>
      <c r="I476" s="48" t="n">
        <f aca="false">IF(OR(NOT(ISNUMBER(I12)),NOT(ISNUMBER(I244))),"",I12-I244)</f>
        <v>0</v>
      </c>
      <c r="J476" s="48" t="n">
        <f aca="false">IF(OR(NOT(ISNUMBER(J12)),NOT(ISNUMBER(J244))),"",J12-J244)</f>
        <v>0</v>
      </c>
      <c r="K476" s="48" t="n">
        <f aca="false">IF(OR(NOT(ISNUMBER(K12)),NOT(ISNUMBER(K244))),"",K12-K244)</f>
        <v>0</v>
      </c>
      <c r="L476" s="48" t="n">
        <f aca="false">IF(OR(NOT(ISNUMBER(L12)),NOT(ISNUMBER(L244))),"",L12-L244)</f>
        <v>0</v>
      </c>
      <c r="M476" s="48" t="n">
        <f aca="false">IF(OR(NOT(ISNUMBER(M12)),NOT(ISNUMBER(M244))),"",M12-M244)</f>
        <v>0</v>
      </c>
      <c r="N476" s="48" t="n">
        <f aca="false">IF(OR(NOT(ISNUMBER(N12)),NOT(ISNUMBER(N244))),"",N12-N244)</f>
        <v>0</v>
      </c>
      <c r="O476" s="54" t="n">
        <f aca="false">IF(OR(NOT(ISNUMBER(O12)),NOT(ISNUMBER(O244))),"",O12-O244)</f>
        <v>0</v>
      </c>
      <c r="P476" s="11" t="str">
        <f aca="false">IF(COUNT(D476:N476)=0,"",IF(AND(MAX(D476:N476)&lt;2,MIN(D476:N476)&gt;-2),"Sin diferencia","Diferencia a explicar"))</f>
        <v>Sin diferencia</v>
      </c>
    </row>
    <row r="477" customFormat="false" ht="15" hidden="false" customHeight="false" outlineLevel="0" collapsed="false">
      <c r="A477" s="11" t="s">
        <v>2367</v>
      </c>
      <c r="B477" s="15" t="s">
        <v>2368</v>
      </c>
      <c r="C477" s="11" t="s">
        <v>508</v>
      </c>
      <c r="D477" s="48" t="str">
        <f aca="false">IF(OR(NOT(ISNUMBER(D13)),NOT(ISNUMBER(D245))),"",D13-D245)</f>
        <v/>
      </c>
      <c r="E477" s="48" t="n">
        <f aca="false">IF(OR(NOT(ISNUMBER(E13)),NOT(ISNUMBER(E245))),"",E13-E245)</f>
        <v>0</v>
      </c>
      <c r="F477" s="48" t="n">
        <f aca="false">IF(OR(NOT(ISNUMBER(F13)),NOT(ISNUMBER(F245))),"",F13-F245)</f>
        <v>0</v>
      </c>
      <c r="G477" s="48" t="n">
        <f aca="false">IF(OR(NOT(ISNUMBER(G13)),NOT(ISNUMBER(G245))),"",G13-G245)</f>
        <v>0</v>
      </c>
      <c r="H477" s="48" t="n">
        <f aca="false">IF(OR(NOT(ISNUMBER(H13)),NOT(ISNUMBER(H245))),"",H13-H245)</f>
        <v>-0.330000000074506</v>
      </c>
      <c r="I477" s="48" t="n">
        <f aca="false">IF(OR(NOT(ISNUMBER(I13)),NOT(ISNUMBER(I245))),"",I13-I245)</f>
        <v>-0.263299998827279</v>
      </c>
      <c r="J477" s="48" t="n">
        <f aca="false">IF(OR(NOT(ISNUMBER(J13)),NOT(ISNUMBER(J245))),"",J13-J245)</f>
        <v>-0.0159329995512962</v>
      </c>
      <c r="K477" s="48" t="n">
        <f aca="false">IF(OR(NOT(ISNUMBER(K13)),NOT(ISNUMBER(K245))),"",K13-K245)</f>
        <v>0.253907669335604</v>
      </c>
      <c r="L477" s="48" t="n">
        <f aca="false">IF(OR(NOT(ISNUMBER(L13)),NOT(ISNUMBER(L245))),"",L13-L245)</f>
        <v>0.446446746587753</v>
      </c>
      <c r="M477" s="48" t="n">
        <f aca="false">IF(OR(NOT(ISNUMBER(M13)),NOT(ISNUMBER(M245))),"",M13-M245)</f>
        <v>-0.47908878698945</v>
      </c>
      <c r="N477" s="48" t="n">
        <f aca="false">IF(OR(NOT(ISNUMBER(N13)),NOT(ISNUMBER(N245))),"",N13-N245)</f>
        <v>0.496120326220989</v>
      </c>
      <c r="O477" s="54" t="n">
        <f aca="false">IF(OR(NOT(ISNUMBER(O13)),NOT(ISNUMBER(O245))),"",O13-O245)</f>
        <v>0.108152955770493</v>
      </c>
      <c r="P477" s="11" t="str">
        <f aca="false">IF(COUNT(D477:N477)=0,"",IF(AND(MAX(D477:N477)&lt;2,MIN(D477:N477)&gt;-2),"Sin diferencia","Diferencia a explicar"))</f>
        <v>Sin diferencia</v>
      </c>
    </row>
    <row r="478" customFormat="false" ht="15" hidden="false" customHeight="false" outlineLevel="0" collapsed="false">
      <c r="A478" s="11" t="s">
        <v>2369</v>
      </c>
      <c r="B478" s="15" t="s">
        <v>2370</v>
      </c>
      <c r="C478" s="11" t="s">
        <v>748</v>
      </c>
      <c r="D478" s="50" t="str">
        <f aca="false">IF(OR(NOT(ISNUMBER(D14)),NOT(ISNUMBER(D246))),"",D14-D246)</f>
        <v/>
      </c>
      <c r="E478" s="50" t="n">
        <f aca="false">IF(OR(NOT(ISNUMBER(E14)),NOT(ISNUMBER(E246))),"",E14-E246)</f>
        <v>1.01499966666668</v>
      </c>
      <c r="F478" s="50" t="n">
        <f aca="false">IF(OR(NOT(ISNUMBER(F14)),NOT(ISNUMBER(F246))),"",F14-F246)</f>
        <v>1.01503300000002</v>
      </c>
      <c r="G478" s="50" t="n">
        <f aca="false">IF(OR(NOT(ISNUMBER(G14)),NOT(ISNUMBER(G246))),"",G14-G246)</f>
        <v>1.01504244444445</v>
      </c>
      <c r="H478" s="50" t="n">
        <f aca="false">IF(OR(NOT(ISNUMBER(H14)),NOT(ISNUMBER(H246))),"",H14-H246)</f>
        <v>1.01504398333336</v>
      </c>
      <c r="I478" s="50" t="n">
        <f aca="false">IF(OR(NOT(ISNUMBER(I14)),NOT(ISNUMBER(I246))),"",I14-I246)</f>
        <v>1.0150163312619</v>
      </c>
      <c r="J478" s="50" t="n">
        <f aca="false">IF(OR(NOT(ISNUMBER(J14)),NOT(ISNUMBER(J246))),"",J14-J246)</f>
        <v>1.01502792647929</v>
      </c>
      <c r="K478" s="50" t="n">
        <f aca="false">IF(OR(NOT(ISNUMBER(K14)),NOT(ISNUMBER(K246))),"",K14-K246)</f>
        <v>1.01502106622027</v>
      </c>
      <c r="L478" s="50" t="n">
        <f aca="false">IF(OR(NOT(ISNUMBER(L14)),NOT(ISNUMBER(L246))),"",L14-L246)</f>
        <v>1.01503413735867</v>
      </c>
      <c r="M478" s="50" t="n">
        <f aca="false">IF(OR(NOT(ISNUMBER(M14)),NOT(ISNUMBER(M246))),"",M14-M246)</f>
        <v>1.01501114873224</v>
      </c>
      <c r="N478" s="50" t="n">
        <f aca="false">IF(OR(NOT(ISNUMBER(N14)),NOT(ISNUMBER(N246))),"",N14-N246)</f>
        <v>1.01503983498148</v>
      </c>
      <c r="O478" s="68" t="n">
        <f aca="false">IF(OR(NOT(ISNUMBER(O14)),NOT(ISNUMBER(O246))),"",O14-O246)</f>
        <v>1.01502780206101</v>
      </c>
      <c r="P478" s="11" t="str">
        <f aca="false">IF(COUNT(D478:N478)=0,"",IF(AND(MAX(D478:N478)&lt;0.005,MIN(D478:N478)&gt;-0.005),"Sin diferencia","El cuadro 10b del plan asigna un flete total de 398.170 (gabinetes 22,19/u; cajas 1,89/u), menor que los 424.000 del cuadro 10a; el modelo usa el total del 10a (23,20 y 2,08 por unidad)."))</f>
        <v>El cuadro 10b del plan asigna un flete total de 398.170 (gabinetes 22,19/u; cajas 1,89/u), menor que los 424.000 del cuadro 10a; el modelo usa el total del 10a (23,20 y 2,08 por unidad).</v>
      </c>
    </row>
    <row r="479" customFormat="false" ht="15" hidden="false" customHeight="false" outlineLevel="0" collapsed="false">
      <c r="A479" s="11" t="s">
        <v>2371</v>
      </c>
      <c r="B479" s="15" t="s">
        <v>2372</v>
      </c>
      <c r="C479" s="11" t="s">
        <v>748</v>
      </c>
      <c r="D479" s="50" t="str">
        <f aca="false">IF(OR(NOT(ISNUMBER(D15)),NOT(ISNUMBER(D247))),"",D15-D247)</f>
        <v/>
      </c>
      <c r="E479" s="50" t="n">
        <f aca="false">IF(OR(NOT(ISNUMBER(E15)),NOT(ISNUMBER(E247))),"",E15-E247)</f>
        <v>-1.01499966666668</v>
      </c>
      <c r="F479" s="50" t="n">
        <f aca="false">IF(OR(NOT(ISNUMBER(F15)),NOT(ISNUMBER(F247))),"",F15-F247)</f>
        <v>-1.015033</v>
      </c>
      <c r="G479" s="50" t="n">
        <f aca="false">IF(OR(NOT(ISNUMBER(G15)),NOT(ISNUMBER(G247))),"",G15-G247)</f>
        <v>-1.01504244444439</v>
      </c>
      <c r="H479" s="50" t="n">
        <f aca="false">IF(OR(NOT(ISNUMBER(H15)),NOT(ISNUMBER(H247))),"",H15-H247)</f>
        <v>-1.01505969761907</v>
      </c>
      <c r="I479" s="50" t="n">
        <f aca="false">IF(OR(NOT(ISNUMBER(I15)),NOT(ISNUMBER(I247))),"",I15-I247)</f>
        <v>-1.0150288693571</v>
      </c>
      <c r="J479" s="50" t="n">
        <f aca="false">IF(OR(NOT(ISNUMBER(J15)),NOT(ISNUMBER(J247))),"",J15-J247)</f>
        <v>-1.01502868519356</v>
      </c>
      <c r="K479" s="50" t="n">
        <f aca="false">IF(OR(NOT(ISNUMBER(K15)),NOT(ISNUMBER(K247))),"",K15-K247)</f>
        <v>-1.01500897537885</v>
      </c>
      <c r="L479" s="50" t="n">
        <f aca="false">IF(OR(NOT(ISNUMBER(L15)),NOT(ISNUMBER(L247))),"",L15-L247)</f>
        <v>-1.01501287798979</v>
      </c>
      <c r="M479" s="50" t="n">
        <f aca="false">IF(OR(NOT(ISNUMBER(M15)),NOT(ISNUMBER(M247))),"",M15-M247)</f>
        <v>-1.01503396248401</v>
      </c>
      <c r="N479" s="50" t="n">
        <f aca="false">IF(OR(NOT(ISNUMBER(N15)),NOT(ISNUMBER(N247))),"",N15-N247)</f>
        <v>-1.01501621020404</v>
      </c>
      <c r="O479" s="68" t="n">
        <f aca="false">IF(OR(NOT(ISNUMBER(O15)),NOT(ISNUMBER(O247))),"",O15-O247)</f>
        <v>-1.01502723876435</v>
      </c>
      <c r="P479" s="11" t="str">
        <f aca="false">IF(COUNT(D479:N479)=0,"",IF(AND(MAX(D479:N479)&lt;0.005,MIN(D479:N479)&gt;-0.005),"Sin diferencia","Sigue al costo directo unitario."))</f>
        <v>Sigue al costo directo unitario.</v>
      </c>
    </row>
    <row r="480" customFormat="false" ht="15" hidden="false" customHeight="false" outlineLevel="0" collapsed="false">
      <c r="A480" s="11" t="s">
        <v>2373</v>
      </c>
      <c r="B480" s="15" t="s">
        <v>2374</v>
      </c>
      <c r="C480" s="11" t="s">
        <v>367</v>
      </c>
      <c r="D480" s="49" t="str">
        <f aca="false">IF(OR(NOT(ISNUMBER(D16)),NOT(ISNUMBER(D248))),"",D16-D248)</f>
        <v/>
      </c>
      <c r="E480" s="49" t="n">
        <f aca="false">IF(OR(NOT(ISNUMBER(E16)),NOT(ISNUMBER(E248))),"",E16-E248)</f>
        <v>-0.00375925802469135</v>
      </c>
      <c r="F480" s="49" t="n">
        <f aca="false">IF(OR(NOT(ISNUMBER(F16)),NOT(ISNUMBER(F248))),"",F16-F248)</f>
        <v>-0.00372215988265501</v>
      </c>
      <c r="G480" s="49" t="n">
        <f aca="false">IF(OR(NOT(ISNUMBER(G16)),NOT(ISNUMBER(G248))),"",G16-G248)</f>
        <v>-0.00368534110470076</v>
      </c>
      <c r="H480" s="49" t="n">
        <f aca="false">IF(OR(NOT(ISNUMBER(H16)),NOT(ISNUMBER(H248))),"",H16-H248)</f>
        <v>-0.00364889000224089</v>
      </c>
      <c r="I480" s="49" t="n">
        <f aca="false">IF(OR(NOT(ISNUMBER(I16)),NOT(ISNUMBER(I248))),"",I16-I248)</f>
        <v>-0.00361265746329242</v>
      </c>
      <c r="J480" s="49" t="n">
        <f aca="false">IF(OR(NOT(ISNUMBER(J16)),NOT(ISNUMBER(J248))),"",J16-J248)</f>
        <v>-0.00357690610325423</v>
      </c>
      <c r="K480" s="49" t="n">
        <f aca="false">IF(OR(NOT(ISNUMBER(K16)),NOT(ISNUMBER(K248))),"",K16-K248)</f>
        <v>-0.00354144227902864</v>
      </c>
      <c r="L480" s="49" t="n">
        <f aca="false">IF(OR(NOT(ISNUMBER(L16)),NOT(ISNUMBER(L248))),"",L16-L248)</f>
        <v>-0.00350640619058573</v>
      </c>
      <c r="M480" s="49" t="n">
        <f aca="false">IF(OR(NOT(ISNUMBER(M16)),NOT(ISNUMBER(M248))),"",M16-M248)</f>
        <v>-0.00347169406050407</v>
      </c>
      <c r="N480" s="49" t="n">
        <f aca="false">IF(OR(NOT(ISNUMBER(N16)),NOT(ISNUMBER(N248))),"",N16-N248)</f>
        <v>-0.00343733138095026</v>
      </c>
      <c r="O480" s="99" t="n">
        <f aca="false">IF(OR(NOT(ISNUMBER(O16)),NOT(ISNUMBER(O248))),"",O16-O248)</f>
        <v>-0.00358058961925856</v>
      </c>
      <c r="P480" s="11" t="str">
        <f aca="false">IF(COUNT(D480:N480)=0,"",IF(AND(MAX(D480:N480)&lt;0.0005,MIN(D480:N480)&gt;-0.0005),"Sin diferencia","Margen sobre el precio. El plan publica como «margen bruto %» el cociente costo ÷ precio (57,2% en el año 1)."))</f>
        <v>Margen sobre el precio. El plan publica como «margen bruto %» el cociente costo ÷ precio (57,2% en el año 1).</v>
      </c>
    </row>
    <row r="481" customFormat="false" ht="15" hidden="false" customHeight="false" outlineLevel="0" collapsed="false">
      <c r="A481" s="11" t="s">
        <v>2375</v>
      </c>
      <c r="B481" s="15" t="s">
        <v>2376</v>
      </c>
      <c r="C481" s="11" t="s">
        <v>508</v>
      </c>
      <c r="D481" s="48" t="str">
        <f aca="false">IF(OR(NOT(ISNUMBER(D17)),NOT(ISNUMBER(D249))),"",D17-D249)</f>
        <v/>
      </c>
      <c r="E481" s="48" t="n">
        <f aca="false">IF(OR(NOT(ISNUMBER(E17)),NOT(ISNUMBER(E249))),"",E17-E249)</f>
        <v>67160.0374530591</v>
      </c>
      <c r="F481" s="48" t="n">
        <f aca="false">IF(OR(NOT(ISNUMBER(F17)),NOT(ISNUMBER(F249))),"",F17-F249)</f>
        <v>22832.9117274738</v>
      </c>
      <c r="G481" s="48" t="n">
        <f aca="false">IF(OR(NOT(ISNUMBER(G17)),NOT(ISNUMBER(G249))),"",G17-G249)</f>
        <v>18193.9944928482</v>
      </c>
      <c r="H481" s="48" t="n">
        <f aca="false">IF(OR(NOT(ISNUMBER(H17)),NOT(ISNUMBER(H249))),"",H17-H249)</f>
        <v>15308.0387253293</v>
      </c>
      <c r="I481" s="48" t="n">
        <f aca="false">IF(OR(NOT(ISNUMBER(I17)),NOT(ISNUMBER(I249))),"",I17-I249)</f>
        <v>15527.3867235882</v>
      </c>
      <c r="J481" s="48" t="n">
        <f aca="false">IF(OR(NOT(ISNUMBER(J17)),NOT(ISNUMBER(J249))),"",J17-J249)</f>
        <v>6282.18031284562</v>
      </c>
      <c r="K481" s="48" t="n">
        <f aca="false">IF(OR(NOT(ISNUMBER(K17)),NOT(ISNUMBER(K249))),"",K17-K249)</f>
        <v>12627.0189852344</v>
      </c>
      <c r="L481" s="48" t="n">
        <f aca="false">IF(OR(NOT(ISNUMBER(L17)),NOT(ISNUMBER(L249))),"",L17-L249)</f>
        <v>11022.8324749926</v>
      </c>
      <c r="M481" s="48" t="n">
        <f aca="false">IF(OR(NOT(ISNUMBER(M17)),NOT(ISNUMBER(M249))),"",M17-M249)</f>
        <v>9399.15809588577</v>
      </c>
      <c r="N481" s="48" t="n">
        <f aca="false">IF(OR(NOT(ISNUMBER(N17)),NOT(ISNUMBER(N249))),"",N17-N249)</f>
        <v>7754.90269987122</v>
      </c>
      <c r="O481" s="54" t="n">
        <f aca="false">IF(OR(NOT(ISNUMBER(O17)),NOT(ISNUMBER(O249))),"",O17-O249)</f>
        <v>186108.461691128</v>
      </c>
      <c r="P481" s="11" t="str">
        <f aca="false">IF(COUNT(D481:N481)=0,"",IF(AND(MAX(D481:N481)&lt;2,MIN(D481:N481)&gt;-2),"Sin diferencia","Sigue a los otros costos y al costo directo."))</f>
        <v>Sigue a los otros costos y al costo directo.</v>
      </c>
    </row>
    <row r="482" customFormat="false" ht="15" hidden="false" customHeight="false" outlineLevel="0" collapsed="false">
      <c r="A482" s="11" t="s">
        <v>2377</v>
      </c>
      <c r="B482" s="15" t="s">
        <v>2378</v>
      </c>
      <c r="C482" s="11" t="s">
        <v>508</v>
      </c>
      <c r="D482" s="48" t="str">
        <f aca="false">IF(OR(NOT(ISNUMBER(D18)),NOT(ISNUMBER(D250))),"",D18-D250)</f>
        <v/>
      </c>
      <c r="E482" s="48" t="n">
        <f aca="false">IF(OR(NOT(ISNUMBER(E18)),NOT(ISNUMBER(E250))),"",E18-E250)</f>
        <v>79340.0334530594</v>
      </c>
      <c r="F482" s="48" t="n">
        <f aca="false">IF(OR(NOT(ISNUMBER(F18)),NOT(ISNUMBER(F250))),"",F18-F250)</f>
        <v>38058.4067274737</v>
      </c>
      <c r="G482" s="48" t="n">
        <f aca="false">IF(OR(NOT(ISNUMBER(G18)),NOT(ISNUMBER(G250))),"",G18-G250)</f>
        <v>36464.7584928479</v>
      </c>
      <c r="H482" s="48" t="n">
        <f aca="false">IF(OR(NOT(ISNUMBER(H18)),NOT(ISNUMBER(H250))),"",H18-H250)</f>
        <v>36623.9623753289</v>
      </c>
      <c r="I482" s="48" t="n">
        <f aca="false">IF(OR(NOT(ISNUMBER(I18)),NOT(ISNUMBER(I250))),"",I18-I250)</f>
        <v>36842.7296800884</v>
      </c>
      <c r="J482" s="48" t="n">
        <f aca="false">IF(OR(NOT(ISNUMBER(J18)),NOT(ISNUMBER(J250))),"",J18-J250)</f>
        <v>27597.76676891</v>
      </c>
      <c r="K482" s="48" t="n">
        <f aca="false">IF(OR(NOT(ISNUMBER(K18)),NOT(ISNUMBER(K250))),"",K18-K250)</f>
        <v>33942.4613758596</v>
      </c>
      <c r="L482" s="48" t="n">
        <f aca="false">IF(OR(NOT(ISNUMBER(L18)),NOT(ISNUMBER(L250))),"",L18-L250)</f>
        <v>32338.5493595246</v>
      </c>
      <c r="M482" s="48" t="n">
        <f aca="false">IF(OR(NOT(ISNUMBER(M18)),NOT(ISNUMBER(M250))),"",M18-M250)</f>
        <v>30714.3922192622</v>
      </c>
      <c r="N482" s="48" t="n">
        <f aca="false">IF(OR(NOT(ISNUMBER(N18)),NOT(ISNUMBER(N250))),"",N18-N250)</f>
        <v>29070.7392344819</v>
      </c>
      <c r="O482" s="54" t="n">
        <f aca="false">IF(OR(NOT(ISNUMBER(O18)),NOT(ISNUMBER(O250))),"",O18-O250)</f>
        <v>380993.799686842</v>
      </c>
      <c r="P482" s="11" t="str">
        <f aca="false">IF(COUNT(D482:N482)=0,"",IF(AND(MAX(D482:N482)&lt;2,MIN(D482:N482)&gt;-2),"Sin diferencia","Sigue a los costos totales."))</f>
        <v>Sigue a los costos totales.</v>
      </c>
    </row>
    <row r="483" customFormat="false" ht="15" hidden="false" customHeight="false" outlineLevel="0" collapsed="false">
      <c r="A483" s="11" t="s">
        <v>2379</v>
      </c>
      <c r="B483" s="15" t="s">
        <v>2380</v>
      </c>
      <c r="C483" s="11" t="s">
        <v>748</v>
      </c>
      <c r="D483" s="50" t="str">
        <f aca="false">IF(OR(NOT(ISNUMBER(D19)),NOT(ISNUMBER(D251))),"",D19-D251)</f>
        <v/>
      </c>
      <c r="E483" s="50" t="n">
        <f aca="false">IF(OR(NOT(ISNUMBER(E19)),NOT(ISNUMBER(E251))),"",E19-E251)</f>
        <v>6.61166945442162</v>
      </c>
      <c r="F483" s="50" t="n">
        <f aca="false">IF(OR(NOT(ISNUMBER(F19)),NOT(ISNUMBER(F251))),"",F19-F251)</f>
        <v>2.53722711516494</v>
      </c>
      <c r="G483" s="50" t="n">
        <f aca="false">IF(OR(NOT(ISNUMBER(G19)),NOT(ISNUMBER(G251))),"",G19-G251)</f>
        <v>2.02581991626931</v>
      </c>
      <c r="H483" s="50" t="n">
        <f aca="false">IF(OR(NOT(ISNUMBER(H19)),NOT(ISNUMBER(H251))),"",H19-H251)</f>
        <v>1.74399820834898</v>
      </c>
      <c r="I483" s="50" t="n">
        <f aca="false">IF(OR(NOT(ISNUMBER(I19)),NOT(ISNUMBER(I251))),"",I19-I251)</f>
        <v>1.7544156990518</v>
      </c>
      <c r="J483" s="50" t="n">
        <f aca="false">IF(OR(NOT(ISNUMBER(J19)),NOT(ISNUMBER(J251))),"",J19-J251)</f>
        <v>1.31417936994808</v>
      </c>
      <c r="K483" s="50" t="n">
        <f aca="false">IF(OR(NOT(ISNUMBER(K19)),NOT(ISNUMBER(K251))),"",K19-K251)</f>
        <v>1.61630768456476</v>
      </c>
      <c r="L483" s="50" t="n">
        <f aca="false">IF(OR(NOT(ISNUMBER(L19)),NOT(ISNUMBER(L251))),"",L19-L251)</f>
        <v>1.5399309218821</v>
      </c>
      <c r="M483" s="50" t="n">
        <f aca="false">IF(OR(NOT(ISNUMBER(M19)),NOT(ISNUMBER(M251))),"",M19-M251)</f>
        <v>1.46259010567914</v>
      </c>
      <c r="N483" s="50" t="n">
        <f aca="false">IF(OR(NOT(ISNUMBER(N19)),NOT(ISNUMBER(N251))),"",N19-N251)</f>
        <v>1.3843209159277</v>
      </c>
      <c r="O483" s="68" t="n">
        <f aca="false">IF(OR(NOT(ISNUMBER(O19)),NOT(ISNUMBER(O251))),"",O19-O251)</f>
        <v>1.98434270670231</v>
      </c>
      <c r="P483" s="11" t="str">
        <f aca="false">IF(COUNT(D483:N483)=0,"",IF(AND(MAX(D483:N483)&lt;0.005,MIN(D483:N483)&gt;-0.005),"Sin diferencia","Sigue a los costos totales."))</f>
        <v>Sigue a los costos totales.</v>
      </c>
    </row>
    <row r="484" customFormat="false" ht="15" hidden="false" customHeight="false" outlineLevel="0" collapsed="false">
      <c r="A484" s="11" t="s">
        <v>2381</v>
      </c>
      <c r="B484" s="53" t="str">
        <f aca="false">IF(INDEX(Prod_Nombre,2)="","Producto 2",INDEX(Prod_Nombre,2))&amp;" — costo directo"</f>
        <v>Cajas metálicas 13 kg — costo directo</v>
      </c>
      <c r="C484" s="11" t="s">
        <v>508</v>
      </c>
      <c r="D484" s="48" t="str">
        <f aca="false">IF(OR(NOT(ISNUMBER(D20)),NOT(ISNUMBER(D252))),"",D20-D252)</f>
        <v/>
      </c>
      <c r="E484" s="48" t="n">
        <f aca="false">IF(OR(NOT(ISNUMBER(E20)),NOT(ISNUMBER(E252))),"",E20-E252)</f>
        <v>13650</v>
      </c>
      <c r="F484" s="48" t="n">
        <f aca="false">IF(OR(NOT(ISNUMBER(F20)),NOT(ISNUMBER(F252))),"",F20-F252)</f>
        <v>17550</v>
      </c>
      <c r="G484" s="48" t="n">
        <f aca="false">IF(OR(NOT(ISNUMBER(G20)),NOT(ISNUMBER(G252))),"",G20-G252)</f>
        <v>29682.51</v>
      </c>
      <c r="H484" s="48" t="n">
        <f aca="false">IF(OR(NOT(ISNUMBER(H20)),NOT(ISNUMBER(H252))),"",H20-H252)</f>
        <v>41451.6491999999</v>
      </c>
      <c r="I484" s="48" t="n">
        <f aca="false">IF(OR(NOT(ISNUMBER(I20)),NOT(ISNUMBER(I252))),"",I20-I252)</f>
        <v>50613.0856920001</v>
      </c>
      <c r="J484" s="48" t="n">
        <f aca="false">IF(OR(NOT(ISNUMBER(J20)),NOT(ISNUMBER(J252))),"",J20-J252)</f>
        <v>59866.1365489201</v>
      </c>
      <c r="K484" s="48" t="n">
        <f aca="false">IF(OR(NOT(ISNUMBER(K20)),NOT(ISNUMBER(K252))),"",K20-K252)</f>
        <v>69211.717914409</v>
      </c>
      <c r="L484" s="48" t="n">
        <f aca="false">IF(OR(NOT(ISNUMBER(L20)),NOT(ISNUMBER(L252))),"",L20-L252)</f>
        <v>78650.7550935531</v>
      </c>
      <c r="M484" s="48" t="n">
        <f aca="false">IF(OR(NOT(ISNUMBER(M20)),NOT(ISNUMBER(M252))),"",M20-M252)</f>
        <v>88184.1826444888</v>
      </c>
      <c r="N484" s="48" t="n">
        <f aca="false">IF(OR(NOT(ISNUMBER(N20)),NOT(ISNUMBER(N252))),"",N20-N252)</f>
        <v>97812.9444709336</v>
      </c>
      <c r="O484" s="54" t="n">
        <f aca="false">IF(OR(NOT(ISNUMBER(O20)),NOT(ISNUMBER(O252))),"",O20-O252)</f>
        <v>546672.981564306</v>
      </c>
      <c r="P484" s="11" t="str">
        <f aca="false">IF(COUNT(D484:N484)=0,"",IF(AND(MAX(D484:N484)&lt;2,MIN(D484:N484)&gt;-2),"Sin diferencia","El cuadro 10b del plan asigna un flete total de 398.170 (gabinetes 22,19/u; cajas 1,89/u), menor que los 424.000 del cuadro 10a; el modelo usa el total del 10a (23,20 y 2,08 por unidad). Además C2 desde el año 3."))</f>
        <v>El cuadro 10b del plan asigna un flete total de 398.170 (gabinetes 22,19/u; cajas 1,89/u), menor que los 424.000 del cuadro 10a; el modelo usa el total del 10a (23,20 y 2,08 por unidad). Además C2 desde el año 3.</v>
      </c>
    </row>
    <row r="485" customFormat="false" ht="15" hidden="false" customHeight="false" outlineLevel="0" collapsed="false">
      <c r="A485" s="11" t="s">
        <v>2382</v>
      </c>
      <c r="B485" s="15" t="s">
        <v>2366</v>
      </c>
      <c r="C485" s="11" t="s">
        <v>544</v>
      </c>
      <c r="D485" s="48" t="str">
        <f aca="false">IF(OR(NOT(ISNUMBER(D21)),NOT(ISNUMBER(D253))),"",D21-D253)</f>
        <v/>
      </c>
      <c r="E485" s="48" t="n">
        <f aca="false">IF(OR(NOT(ISNUMBER(E21)),NOT(ISNUMBER(E253))),"",E21-E253)</f>
        <v>0</v>
      </c>
      <c r="F485" s="48" t="n">
        <f aca="false">IF(OR(NOT(ISNUMBER(F21)),NOT(ISNUMBER(F253))),"",F21-F253)</f>
        <v>0</v>
      </c>
      <c r="G485" s="48" t="n">
        <f aca="false">IF(OR(NOT(ISNUMBER(G21)),NOT(ISNUMBER(G253))),"",G21-G253)</f>
        <v>0</v>
      </c>
      <c r="H485" s="48" t="n">
        <f aca="false">IF(OR(NOT(ISNUMBER(H21)),NOT(ISNUMBER(H253))),"",H21-H253)</f>
        <v>0</v>
      </c>
      <c r="I485" s="48" t="n">
        <f aca="false">IF(OR(NOT(ISNUMBER(I21)),NOT(ISNUMBER(I253))),"",I21-I253)</f>
        <v>0</v>
      </c>
      <c r="J485" s="48" t="n">
        <f aca="false">IF(OR(NOT(ISNUMBER(J21)),NOT(ISNUMBER(J253))),"",J21-J253)</f>
        <v>0</v>
      </c>
      <c r="K485" s="48" t="n">
        <f aca="false">IF(OR(NOT(ISNUMBER(K21)),NOT(ISNUMBER(K253))),"",K21-K253)</f>
        <v>0</v>
      </c>
      <c r="L485" s="48" t="n">
        <f aca="false">IF(OR(NOT(ISNUMBER(L21)),NOT(ISNUMBER(L253))),"",L21-L253)</f>
        <v>0</v>
      </c>
      <c r="M485" s="48" t="n">
        <f aca="false">IF(OR(NOT(ISNUMBER(M21)),NOT(ISNUMBER(M253))),"",M21-M253)</f>
        <v>0</v>
      </c>
      <c r="N485" s="48" t="n">
        <f aca="false">IF(OR(NOT(ISNUMBER(N21)),NOT(ISNUMBER(N253))),"",N21-N253)</f>
        <v>0</v>
      </c>
      <c r="O485" s="54" t="n">
        <f aca="false">IF(OR(NOT(ISNUMBER(O21)),NOT(ISNUMBER(O253))),"",O21-O253)</f>
        <v>0</v>
      </c>
      <c r="P485" s="11" t="str">
        <f aca="false">IF(COUNT(D485:N485)=0,"",IF(AND(MAX(D485:N485)&lt;2,MIN(D485:N485)&gt;-2),"Sin diferencia","Diferencia a explicar"))</f>
        <v>Sin diferencia</v>
      </c>
    </row>
    <row r="486" customFormat="false" ht="15" hidden="false" customHeight="false" outlineLevel="0" collapsed="false">
      <c r="A486" s="11" t="s">
        <v>2383</v>
      </c>
      <c r="B486" s="15" t="s">
        <v>2368</v>
      </c>
      <c r="C486" s="11" t="s">
        <v>508</v>
      </c>
      <c r="D486" s="48" t="str">
        <f aca="false">IF(OR(NOT(ISNUMBER(D22)),NOT(ISNUMBER(D254))),"",D22-D254)</f>
        <v/>
      </c>
      <c r="E486" s="48" t="n">
        <f aca="false">IF(OR(NOT(ISNUMBER(E22)),NOT(ISNUMBER(E254))),"",E22-E254)</f>
        <v>0</v>
      </c>
      <c r="F486" s="48" t="n">
        <f aca="false">IF(OR(NOT(ISNUMBER(F22)),NOT(ISNUMBER(F254))),"",F22-F254)</f>
        <v>0</v>
      </c>
      <c r="G486" s="48" t="n">
        <f aca="false">IF(OR(NOT(ISNUMBER(G22)),NOT(ISNUMBER(G254))),"",G22-G254)</f>
        <v>0</v>
      </c>
      <c r="H486" s="48" t="n">
        <f aca="false">IF(OR(NOT(ISNUMBER(H22)),NOT(ISNUMBER(H254))),"",H22-H254)</f>
        <v>-0.240000000223517</v>
      </c>
      <c r="I486" s="48" t="n">
        <f aca="false">IF(OR(NOT(ISNUMBER(I22)),NOT(ISNUMBER(I254))),"",I22-I254)</f>
        <v>0.0676000001840293</v>
      </c>
      <c r="J486" s="48" t="n">
        <f aca="false">IF(OR(NOT(ISNUMBER(J22)),NOT(ISNUMBER(J254))),"",J22-J254)</f>
        <v>-0.261724000331014</v>
      </c>
      <c r="K486" s="48" t="n">
        <f aca="false">IF(OR(NOT(ISNUMBER(K22)),NOT(ISNUMBER(K254))),"",K22-K254)</f>
        <v>-0.384341239929199</v>
      </c>
      <c r="L486" s="48" t="n">
        <f aca="false">IF(OR(NOT(ISNUMBER(L22)),NOT(ISNUMBER(L254))),"",L22-L254)</f>
        <v>-0.42818465270102</v>
      </c>
      <c r="M486" s="48" t="n">
        <f aca="false">IF(OR(NOT(ISNUMBER(M22)),NOT(ISNUMBER(M254))),"",M22-M254)</f>
        <v>-0.492466499563307</v>
      </c>
      <c r="N486" s="48" t="n">
        <f aca="false">IF(OR(NOT(ISNUMBER(N22)),NOT(ISNUMBER(N254))),"",N22-N254)</f>
        <v>0.352608836255968</v>
      </c>
      <c r="O486" s="54" t="n">
        <f aca="false">IF(OR(NOT(ISNUMBER(O22)),NOT(ISNUMBER(O254))),"",O22-O254)</f>
        <v>-1.3865075558424</v>
      </c>
      <c r="P486" s="11" t="str">
        <f aca="false">IF(COUNT(D486:N486)=0,"",IF(AND(MAX(D486:N486)&lt;2,MIN(D486:N486)&gt;-2),"Sin diferencia","Diferencia a explicar"))</f>
        <v>Sin diferencia</v>
      </c>
    </row>
    <row r="487" customFormat="false" ht="15" hidden="false" customHeight="false" outlineLevel="0" collapsed="false">
      <c r="A487" s="11" t="s">
        <v>2384</v>
      </c>
      <c r="B487" s="15" t="s">
        <v>2370</v>
      </c>
      <c r="C487" s="11" t="s">
        <v>748</v>
      </c>
      <c r="D487" s="50" t="str">
        <f aca="false">IF(OR(NOT(ISNUMBER(D23)),NOT(ISNUMBER(D255))),"",D23-D255)</f>
        <v/>
      </c>
      <c r="E487" s="50" t="n">
        <f aca="false">IF(OR(NOT(ISNUMBER(E23)),NOT(ISNUMBER(E255))),"",E23-E255)</f>
        <v>0.195</v>
      </c>
      <c r="F487" s="50" t="n">
        <f aca="false">IF(OR(NOT(ISNUMBER(F23)),NOT(ISNUMBER(F255))),"",F23-F255)</f>
        <v>0.194999999999999</v>
      </c>
      <c r="G487" s="50" t="n">
        <f aca="false">IF(OR(NOT(ISNUMBER(G23)),NOT(ISNUMBER(G255))),"",G23-G255)</f>
        <v>0.269841</v>
      </c>
      <c r="H487" s="50" t="n">
        <f aca="false">IF(OR(NOT(ISNUMBER(H23)),NOT(ISNUMBER(H255))),"",H23-H255)</f>
        <v>0.345430409999999</v>
      </c>
      <c r="I487" s="50" t="n">
        <f aca="false">IF(OR(NOT(ISNUMBER(I23)),NOT(ISNUMBER(I255))),"",I23-I255)</f>
        <v>0.421775714100001</v>
      </c>
      <c r="J487" s="50" t="n">
        <f aca="false">IF(OR(NOT(ISNUMBER(J23)),NOT(ISNUMBER(J255))),"",J23-J255)</f>
        <v>0.498884471241</v>
      </c>
      <c r="K487" s="50" t="n">
        <f aca="false">IF(OR(NOT(ISNUMBER(K23)),NOT(ISNUMBER(K255))),"",K23-K255)</f>
        <v>0.576764315953408</v>
      </c>
      <c r="L487" s="50" t="n">
        <f aca="false">IF(OR(NOT(ISNUMBER(L23)),NOT(ISNUMBER(L255))),"",L23-L255)</f>
        <v>0.655422959112942</v>
      </c>
      <c r="M487" s="50" t="n">
        <f aca="false">IF(OR(NOT(ISNUMBER(M23)),NOT(ISNUMBER(M255))),"",M23-M255)</f>
        <v>0.734868188704072</v>
      </c>
      <c r="N487" s="50" t="n">
        <f aca="false">IF(OR(NOT(ISNUMBER(N23)),NOT(ISNUMBER(N255))),"",N23-N255)</f>
        <v>0.815107870591113</v>
      </c>
      <c r="O487" s="68" t="n">
        <f aca="false">IF(OR(NOT(ISNUMBER(O23)),NOT(ISNUMBER(O255))),"",O23-O255)</f>
        <v>0.492498181589465</v>
      </c>
      <c r="P487" s="11" t="str">
        <f aca="false">IF(COUNT(D487:N487)=0,"",IF(AND(MAX(D487:N487)&lt;0.005,MIN(D487:N487)&gt;-0.005),"Sin diferencia","El cuadro 10b del plan asigna un flete total de 398.170 (gabinetes 22,19/u; cajas 1,89/u), menor que los 424.000 del cuadro 10a; el modelo usa el total del 10a (23,20 y 2,08 por unidad). Además C2 desde el año 3."))</f>
        <v>El cuadro 10b del plan asigna un flete total de 398.170 (gabinetes 22,19/u; cajas 1,89/u), menor que los 424.000 del cuadro 10a; el modelo usa el total del 10a (23,20 y 2,08 por unidad). Además C2 desde el año 3.</v>
      </c>
    </row>
    <row r="488" customFormat="false" ht="15" hidden="false" customHeight="false" outlineLevel="0" collapsed="false">
      <c r="A488" s="11" t="s">
        <v>2385</v>
      </c>
      <c r="B488" s="15" t="s">
        <v>2372</v>
      </c>
      <c r="C488" s="11" t="s">
        <v>748</v>
      </c>
      <c r="D488" s="50" t="str">
        <f aca="false">IF(OR(NOT(ISNUMBER(D24)),NOT(ISNUMBER(D256))),"",D24-D256)</f>
        <v/>
      </c>
      <c r="E488" s="50" t="n">
        <f aca="false">IF(OR(NOT(ISNUMBER(E24)),NOT(ISNUMBER(E256))),"",E24-E256)</f>
        <v>-0.195</v>
      </c>
      <c r="F488" s="50" t="n">
        <f aca="false">IF(OR(NOT(ISNUMBER(F24)),NOT(ISNUMBER(F256))),"",F24-F256)</f>
        <v>-0.195</v>
      </c>
      <c r="G488" s="50" t="n">
        <f aca="false">IF(OR(NOT(ISNUMBER(G24)),NOT(ISNUMBER(G256))),"",G24-G256)</f>
        <v>-0.269841</v>
      </c>
      <c r="H488" s="50" t="n">
        <f aca="false">IF(OR(NOT(ISNUMBER(H24)),NOT(ISNUMBER(H256))),"",H24-H256)</f>
        <v>-0.345432410000001</v>
      </c>
      <c r="I488" s="50" t="n">
        <f aca="false">IF(OR(NOT(ISNUMBER(I24)),NOT(ISNUMBER(I256))),"",I24-I256)</f>
        <v>-0.421775150766667</v>
      </c>
      <c r="J488" s="50" t="n">
        <f aca="false">IF(OR(NOT(ISNUMBER(J24)),NOT(ISNUMBER(J256))),"",J24-J256)</f>
        <v>-0.498886652274337</v>
      </c>
      <c r="K488" s="50" t="n">
        <f aca="false">IF(OR(NOT(ISNUMBER(K24)),NOT(ISNUMBER(K256))),"",K24-K256)</f>
        <v>-0.576767518797075</v>
      </c>
      <c r="L488" s="50" t="n">
        <f aca="false">IF(OR(NOT(ISNUMBER(L24)),NOT(ISNUMBER(L256))),"",L24-L256)</f>
        <v>-0.655426527318381</v>
      </c>
      <c r="M488" s="50" t="n">
        <f aca="false">IF(OR(NOT(ISNUMBER(M24)),NOT(ISNUMBER(M256))),"",M24-M256)</f>
        <v>-0.73487229259157</v>
      </c>
      <c r="N488" s="50" t="n">
        <f aca="false">IF(OR(NOT(ISNUMBER(N24)),NOT(ISNUMBER(N256))),"",N24-N256)</f>
        <v>-0.815104932184145</v>
      </c>
      <c r="O488" s="68" t="n">
        <f aca="false">IF(OR(NOT(ISNUMBER(O24)),NOT(ISNUMBER(O256))),"",O24-O256)</f>
        <v>-0.492499430695371</v>
      </c>
      <c r="P488" s="11" t="str">
        <f aca="false">IF(COUNT(D488:N488)=0,"",IF(AND(MAX(D488:N488)&lt;0.005,MIN(D488:N488)&gt;-0.005),"Sin diferencia","Sigue al costo directo unitario."))</f>
        <v>Sigue al costo directo unitario.</v>
      </c>
    </row>
    <row r="489" customFormat="false" ht="15" hidden="false" customHeight="false" outlineLevel="0" collapsed="false">
      <c r="A489" s="11" t="s">
        <v>2386</v>
      </c>
      <c r="B489" s="15" t="s">
        <v>2374</v>
      </c>
      <c r="C489" s="11" t="s">
        <v>367</v>
      </c>
      <c r="D489" s="49" t="str">
        <f aca="false">IF(OR(NOT(ISNUMBER(D25)),NOT(ISNUMBER(D257))),"",D25-D257)</f>
        <v/>
      </c>
      <c r="E489" s="49" t="n">
        <f aca="false">IF(OR(NOT(ISNUMBER(E25)),NOT(ISNUMBER(E257))),"",E25-E257)</f>
        <v>-0.00847826086956527</v>
      </c>
      <c r="F489" s="49" t="n">
        <f aca="false">IF(OR(NOT(ISNUMBER(F25)),NOT(ISNUMBER(F257))),"",F25-F257)</f>
        <v>-0.00839431769263888</v>
      </c>
      <c r="G489" s="49" t="n">
        <f aca="false">IF(OR(NOT(ISNUMBER(G25)),NOT(ISNUMBER(G257))),"",G25-G257)</f>
        <v>-0.0115010463594788</v>
      </c>
      <c r="H489" s="49" t="n">
        <f aca="false">IF(OR(NOT(ISNUMBER(H25)),NOT(ISNUMBER(H257))),"",H25-H257)</f>
        <v>-0.0145770682980062</v>
      </c>
      <c r="I489" s="49" t="n">
        <f aca="false">IF(OR(NOT(ISNUMBER(I25)),NOT(ISNUMBER(I257))),"",I25-I257)</f>
        <v>-0.017622514551685</v>
      </c>
      <c r="J489" s="49" t="n">
        <f aca="false">IF(OR(NOT(ISNUMBER(J25)),NOT(ISNUMBER(J257))),"",J25-J257)</f>
        <v>-0.0206379449133084</v>
      </c>
      <c r="K489" s="49" t="n">
        <f aca="false">IF(OR(NOT(ISNUMBER(K25)),NOT(ISNUMBER(K257))),"",K25-K257)</f>
        <v>-0.0236234744943017</v>
      </c>
      <c r="L489" s="49" t="n">
        <f aca="false">IF(OR(NOT(ISNUMBER(L25)),NOT(ISNUMBER(L257))),"",L25-L257)</f>
        <v>-0.0265794275819337</v>
      </c>
      <c r="M489" s="49" t="n">
        <f aca="false">IF(OR(NOT(ISNUMBER(M25)),NOT(ISNUMBER(M257))),"",M25-M257)</f>
        <v>-0.029506117642137</v>
      </c>
      <c r="N489" s="49" t="n">
        <f aca="false">IF(OR(NOT(ISNUMBER(N25)),NOT(ISNUMBER(N257))),"",N25-N257)</f>
        <v>-0.0324036521262225</v>
      </c>
      <c r="O489" s="99" t="n">
        <f aca="false">IF(OR(NOT(ISNUMBER(O25)),NOT(ISNUMBER(O257))),"",O25-O257)</f>
        <v>-0.020402705426709</v>
      </c>
      <c r="P489" s="11" t="str">
        <f aca="false">IF(COUNT(D489:N489)=0,"",IF(AND(MAX(D489:N489)&lt;0.0005,MIN(D489:N489)&gt;-0.0005),"Sin diferencia","Margen sobre el precio. El plan publica como «margen bruto %» el cociente costo ÷ precio (64,3% en el año 1)."))</f>
        <v>Margen sobre el precio. El plan publica como «margen bruto %» el cociente costo ÷ precio (64,3% en el año 1).</v>
      </c>
    </row>
    <row r="490" customFormat="false" ht="15" hidden="false" customHeight="false" outlineLevel="0" collapsed="false">
      <c r="A490" s="11" t="s">
        <v>2387</v>
      </c>
      <c r="B490" s="15" t="s">
        <v>2376</v>
      </c>
      <c r="C490" s="11" t="s">
        <v>508</v>
      </c>
      <c r="D490" s="48" t="str">
        <f aca="false">IF(OR(NOT(ISNUMBER(D26)),NOT(ISNUMBER(D258))),"",D26-D258)</f>
        <v/>
      </c>
      <c r="E490" s="48" t="n">
        <f aca="false">IF(OR(NOT(ISNUMBER(E26)),NOT(ISNUMBER(E258))),"",E26-E258)</f>
        <v>41656.1022708881</v>
      </c>
      <c r="F490" s="48" t="n">
        <f aca="false">IF(OR(NOT(ISNUMBER(F26)),NOT(ISNUMBER(F258))),"",F26-F258)</f>
        <v>17445.2204664006</v>
      </c>
      <c r="G490" s="48" t="n">
        <f aca="false">IF(OR(NOT(ISNUMBER(G26)),NOT(ISNUMBER(G258))),"",G26-G258)</f>
        <v>18591.5430668212</v>
      </c>
      <c r="H490" s="48" t="n">
        <f aca="false">IF(OR(NOT(ISNUMBER(H26)),NOT(ISNUMBER(H258))),"",H26-H258)</f>
        <v>19507.0616628232</v>
      </c>
      <c r="I490" s="48" t="n">
        <f aca="false">IF(OR(NOT(ISNUMBER(I26)),NOT(ISNUMBER(I258))),"",I26-I258)</f>
        <v>22782.1953457813</v>
      </c>
      <c r="J490" s="48" t="n">
        <f aca="false">IF(OR(NOT(ISNUMBER(J26)),NOT(ISNUMBER(J258))),"",J26-J258)</f>
        <v>20755.1264512559</v>
      </c>
      <c r="K490" s="48" t="n">
        <f aca="false">IF(OR(NOT(ISNUMBER(K26)),NOT(ISNUMBER(K258))),"",K26-K258)</f>
        <v>27510.0294033641</v>
      </c>
      <c r="L490" s="48" t="n">
        <f aca="false">IF(OR(NOT(ISNUMBER(L26)),NOT(ISNUMBER(L258))),"",L26-L258)</f>
        <v>30061.5002535667</v>
      </c>
      <c r="M490" s="48" t="n">
        <f aca="false">IF(OR(NOT(ISNUMBER(M26)),NOT(ISNUMBER(M258))),"",M26-M258)</f>
        <v>32655.3067940729</v>
      </c>
      <c r="N490" s="48" t="n">
        <f aca="false">IF(OR(NOT(ISNUMBER(N26)),NOT(ISNUMBER(N258))),"",N26-N258)</f>
        <v>35292.0566427136</v>
      </c>
      <c r="O490" s="54" t="n">
        <f aca="false">IF(OR(NOT(ISNUMBER(O26)),NOT(ISNUMBER(O258))),"",O26-O258)</f>
        <v>266256.142357687</v>
      </c>
      <c r="P490" s="11" t="str">
        <f aca="false">IF(COUNT(D490:N490)=0,"",IF(AND(MAX(D490:N490)&lt;2,MIN(D490:N490)&gt;-2),"Sin diferencia","Sigue a los otros costos y al costo directo."))</f>
        <v>Sigue a los otros costos y al costo directo.</v>
      </c>
    </row>
    <row r="491" customFormat="false" ht="15" hidden="false" customHeight="false" outlineLevel="0" collapsed="false">
      <c r="A491" s="11" t="s">
        <v>2388</v>
      </c>
      <c r="B491" s="15" t="s">
        <v>2378</v>
      </c>
      <c r="C491" s="11" t="s">
        <v>508</v>
      </c>
      <c r="D491" s="48" t="str">
        <f aca="false">IF(OR(NOT(ISNUMBER(D27)),NOT(ISNUMBER(D259))),"",D27-D259)</f>
        <v/>
      </c>
      <c r="E491" s="48" t="n">
        <f aca="false">IF(OR(NOT(ISNUMBER(E27)),NOT(ISNUMBER(E259))),"",E27-E259)</f>
        <v>55306.1022708879</v>
      </c>
      <c r="F491" s="48" t="n">
        <f aca="false">IF(OR(NOT(ISNUMBER(F27)),NOT(ISNUMBER(F259))),"",F27-F259)</f>
        <v>34995.2204664007</v>
      </c>
      <c r="G491" s="48" t="n">
        <f aca="false">IF(OR(NOT(ISNUMBER(G27)),NOT(ISNUMBER(G259))),"",G27-G259)</f>
        <v>48274.0530668213</v>
      </c>
      <c r="H491" s="48" t="n">
        <f aca="false">IF(OR(NOT(ISNUMBER(H27)),NOT(ISNUMBER(H259))),"",H27-H259)</f>
        <v>60958.7108628233</v>
      </c>
      <c r="I491" s="48" t="n">
        <f aca="false">IF(OR(NOT(ISNUMBER(I27)),NOT(ISNUMBER(I259))),"",I27-I259)</f>
        <v>73395.2810377814</v>
      </c>
      <c r="J491" s="48" t="n">
        <f aca="false">IF(OR(NOT(ISNUMBER(J27)),NOT(ISNUMBER(J259))),"",J27-J259)</f>
        <v>80621.2630001758</v>
      </c>
      <c r="K491" s="48" t="n">
        <f aca="false">IF(OR(NOT(ISNUMBER(K27)),NOT(ISNUMBER(K259))),"",K27-K259)</f>
        <v>96721.7473177733</v>
      </c>
      <c r="L491" s="48" t="n">
        <f aca="false">IF(OR(NOT(ISNUMBER(L27)),NOT(ISNUMBER(L259))),"",L27-L259)</f>
        <v>108712.25534712</v>
      </c>
      <c r="M491" s="48" t="n">
        <f aca="false">IF(OR(NOT(ISNUMBER(M27)),NOT(ISNUMBER(M259))),"",M27-M259)</f>
        <v>120839.489438561</v>
      </c>
      <c r="N491" s="48" t="n">
        <f aca="false">IF(OR(NOT(ISNUMBER(N27)),NOT(ISNUMBER(N259))),"",N27-N259)</f>
        <v>133105.001113648</v>
      </c>
      <c r="O491" s="54" t="n">
        <f aca="false">IF(OR(NOT(ISNUMBER(O27)),NOT(ISNUMBER(O259))),"",O27-O259)</f>
        <v>812929.123921994</v>
      </c>
      <c r="P491" s="11" t="str">
        <f aca="false">IF(COUNT(D491:N491)=0,"",IF(AND(MAX(D491:N491)&lt;2,MIN(D491:N491)&gt;-2),"Sin diferencia","Sigue a los costos totales."))</f>
        <v>Sigue a los costos totales.</v>
      </c>
    </row>
    <row r="492" customFormat="false" ht="15" hidden="false" customHeight="false" outlineLevel="0" collapsed="false">
      <c r="A492" s="11" t="s">
        <v>2389</v>
      </c>
      <c r="B492" s="15" t="s">
        <v>2380</v>
      </c>
      <c r="C492" s="11" t="s">
        <v>748</v>
      </c>
      <c r="D492" s="50" t="str">
        <f aca="false">IF(OR(NOT(ISNUMBER(D28)),NOT(ISNUMBER(D260))),"",D28-D260)</f>
        <v/>
      </c>
      <c r="E492" s="50" t="n">
        <f aca="false">IF(OR(NOT(ISNUMBER(E28)),NOT(ISNUMBER(E260))),"",E28-E260)</f>
        <v>0.7900871752984</v>
      </c>
      <c r="F492" s="50" t="n">
        <f aca="false">IF(OR(NOT(ISNUMBER(F28)),NOT(ISNUMBER(F260))),"",F28-F260)</f>
        <v>0.388835782960008</v>
      </c>
      <c r="G492" s="50" t="n">
        <f aca="false">IF(OR(NOT(ISNUMBER(G28)),NOT(ISNUMBER(G260))),"",G28-G260)</f>
        <v>0.438855027880194</v>
      </c>
      <c r="H492" s="50" t="n">
        <f aca="false">IF(OR(NOT(ISNUMBER(H28)),NOT(ISNUMBER(H260))),"",H28-H260)</f>
        <v>0.507989257190193</v>
      </c>
      <c r="I492" s="50" t="n">
        <f aca="false">IF(OR(NOT(ISNUMBER(I28)),NOT(ISNUMBER(I260))),"",I28-I260)</f>
        <v>0.611627341981514</v>
      </c>
      <c r="J492" s="50" t="n">
        <f aca="false">IF(OR(NOT(ISNUMBER(J28)),NOT(ISNUMBER(J260))),"",J28-J260)</f>
        <v>0.671843858334796</v>
      </c>
      <c r="K492" s="50" t="n">
        <f aca="false">IF(OR(NOT(ISNUMBER(K28)),NOT(ISNUMBER(K260))),"",K28-K260)</f>
        <v>0.806014560981442</v>
      </c>
      <c r="L492" s="50" t="n">
        <f aca="false">IF(OR(NOT(ISNUMBER(L28)),NOT(ISNUMBER(L260))),"",L28-L260)</f>
        <v>0.905935461226001</v>
      </c>
      <c r="M492" s="50" t="n">
        <f aca="false">IF(OR(NOT(ISNUMBER(M28)),NOT(ISNUMBER(M260))),"",M28-M260)</f>
        <v>1.00699574532134</v>
      </c>
      <c r="N492" s="50" t="n">
        <f aca="false">IF(OR(NOT(ISNUMBER(N28)),NOT(ISNUMBER(N260))),"",N28-N260)</f>
        <v>1.10920834261373</v>
      </c>
      <c r="O492" s="68" t="n">
        <f aca="false">IF(OR(NOT(ISNUMBER(O28)),NOT(ISNUMBER(O260))),"",O28-O260)</f>
        <v>0.732368580109903</v>
      </c>
      <c r="P492" s="11" t="str">
        <f aca="false">IF(COUNT(D492:N492)=0,"",IF(AND(MAX(D492:N492)&lt;0.005,MIN(D492:N492)&gt;-0.005),"Sin diferencia","Sigue a los costos totales."))</f>
        <v>Sigue a los costos totales.</v>
      </c>
    </row>
    <row r="493" customFormat="false" ht="15" hidden="true" customHeight="false" outlineLevel="1" collapsed="false">
      <c r="A493" s="11" t="s">
        <v>2390</v>
      </c>
      <c r="B493" s="53" t="str">
        <f aca="false">IF(INDEX(Prod_Nombre,3)="","Producto 3",INDEX(Prod_Nombre,3))&amp;" — costo directo"</f>
        <v>Producto 3 — costo directo</v>
      </c>
      <c r="C493" s="11" t="s">
        <v>508</v>
      </c>
      <c r="D493" s="48" t="str">
        <f aca="false">IF(OR(NOT(ISNUMBER(D29)),NOT(ISNUMBER(D261))),"",D29-D261)</f>
        <v/>
      </c>
      <c r="E493" s="48" t="str">
        <f aca="false">IF(OR(NOT(ISNUMBER(E29)),NOT(ISNUMBER(E261))),"",E29-E261)</f>
        <v/>
      </c>
      <c r="F493" s="48" t="str">
        <f aca="false">IF(OR(NOT(ISNUMBER(F29)),NOT(ISNUMBER(F261))),"",F29-F261)</f>
        <v/>
      </c>
      <c r="G493" s="48" t="str">
        <f aca="false">IF(OR(NOT(ISNUMBER(G29)),NOT(ISNUMBER(G261))),"",G29-G261)</f>
        <v/>
      </c>
      <c r="H493" s="48" t="str">
        <f aca="false">IF(OR(NOT(ISNUMBER(H29)),NOT(ISNUMBER(H261))),"",H29-H261)</f>
        <v/>
      </c>
      <c r="I493" s="48" t="str">
        <f aca="false">IF(OR(NOT(ISNUMBER(I29)),NOT(ISNUMBER(I261))),"",I29-I261)</f>
        <v/>
      </c>
      <c r="J493" s="48" t="str">
        <f aca="false">IF(OR(NOT(ISNUMBER(J29)),NOT(ISNUMBER(J261))),"",J29-J261)</f>
        <v/>
      </c>
      <c r="K493" s="48" t="str">
        <f aca="false">IF(OR(NOT(ISNUMBER(K29)),NOT(ISNUMBER(K261))),"",K29-K261)</f>
        <v/>
      </c>
      <c r="L493" s="48" t="str">
        <f aca="false">IF(OR(NOT(ISNUMBER(L29)),NOT(ISNUMBER(L261))),"",L29-L261)</f>
        <v/>
      </c>
      <c r="M493" s="48" t="str">
        <f aca="false">IF(OR(NOT(ISNUMBER(M29)),NOT(ISNUMBER(M261))),"",M29-M261)</f>
        <v/>
      </c>
      <c r="N493" s="48" t="str">
        <f aca="false">IF(OR(NOT(ISNUMBER(N29)),NOT(ISNUMBER(N261))),"",N29-N261)</f>
        <v/>
      </c>
      <c r="O493" s="54" t="str">
        <f aca="false">IF(OR(NOT(ISNUMBER(O29)),NOT(ISNUMBER(O261))),"",O29-O261)</f>
        <v/>
      </c>
      <c r="P493" s="11" t="str">
        <f aca="false">IF(COUNT(D493:N493)=0,"",IF(AND(MAX(D493:N493)&lt;2,MIN(D493:N493)&gt;-2),"Sin diferencia","Diferencia a explicar"))</f>
        <v/>
      </c>
    </row>
    <row r="494" customFormat="false" ht="15" hidden="true" customHeight="false" outlineLevel="1" collapsed="false">
      <c r="A494" s="11" t="s">
        <v>2391</v>
      </c>
      <c r="B494" s="15" t="s">
        <v>2366</v>
      </c>
      <c r="C494" s="11" t="s">
        <v>544</v>
      </c>
      <c r="D494" s="48" t="str">
        <f aca="false">IF(OR(NOT(ISNUMBER(D30)),NOT(ISNUMBER(D262))),"",D30-D262)</f>
        <v/>
      </c>
      <c r="E494" s="48" t="str">
        <f aca="false">IF(OR(NOT(ISNUMBER(E30)),NOT(ISNUMBER(E262))),"",E30-E262)</f>
        <v/>
      </c>
      <c r="F494" s="48" t="str">
        <f aca="false">IF(OR(NOT(ISNUMBER(F30)),NOT(ISNUMBER(F262))),"",F30-F262)</f>
        <v/>
      </c>
      <c r="G494" s="48" t="str">
        <f aca="false">IF(OR(NOT(ISNUMBER(G30)),NOT(ISNUMBER(G262))),"",G30-G262)</f>
        <v/>
      </c>
      <c r="H494" s="48" t="str">
        <f aca="false">IF(OR(NOT(ISNUMBER(H30)),NOT(ISNUMBER(H262))),"",H30-H262)</f>
        <v/>
      </c>
      <c r="I494" s="48" t="str">
        <f aca="false">IF(OR(NOT(ISNUMBER(I30)),NOT(ISNUMBER(I262))),"",I30-I262)</f>
        <v/>
      </c>
      <c r="J494" s="48" t="str">
        <f aca="false">IF(OR(NOT(ISNUMBER(J30)),NOT(ISNUMBER(J262))),"",J30-J262)</f>
        <v/>
      </c>
      <c r="K494" s="48" t="str">
        <f aca="false">IF(OR(NOT(ISNUMBER(K30)),NOT(ISNUMBER(K262))),"",K30-K262)</f>
        <v/>
      </c>
      <c r="L494" s="48" t="str">
        <f aca="false">IF(OR(NOT(ISNUMBER(L30)),NOT(ISNUMBER(L262))),"",L30-L262)</f>
        <v/>
      </c>
      <c r="M494" s="48" t="str">
        <f aca="false">IF(OR(NOT(ISNUMBER(M30)),NOT(ISNUMBER(M262))),"",M30-M262)</f>
        <v/>
      </c>
      <c r="N494" s="48" t="str">
        <f aca="false">IF(OR(NOT(ISNUMBER(N30)),NOT(ISNUMBER(N262))),"",N30-N262)</f>
        <v/>
      </c>
      <c r="O494" s="54" t="str">
        <f aca="false">IF(OR(NOT(ISNUMBER(O30)),NOT(ISNUMBER(O262))),"",O30-O262)</f>
        <v/>
      </c>
      <c r="P494" s="11" t="str">
        <f aca="false">IF(COUNT(D494:N494)=0,"",IF(AND(MAX(D494:N494)&lt;2,MIN(D494:N494)&gt;-2),"Sin diferencia","Diferencia a explicar"))</f>
        <v/>
      </c>
    </row>
    <row r="495" customFormat="false" ht="15" hidden="true" customHeight="false" outlineLevel="1" collapsed="false">
      <c r="A495" s="11" t="s">
        <v>2392</v>
      </c>
      <c r="B495" s="15" t="s">
        <v>2368</v>
      </c>
      <c r="C495" s="11" t="s">
        <v>508</v>
      </c>
      <c r="D495" s="48" t="str">
        <f aca="false">IF(OR(NOT(ISNUMBER(D31)),NOT(ISNUMBER(D263))),"",D31-D263)</f>
        <v/>
      </c>
      <c r="E495" s="48" t="str">
        <f aca="false">IF(OR(NOT(ISNUMBER(E31)),NOT(ISNUMBER(E263))),"",E31-E263)</f>
        <v/>
      </c>
      <c r="F495" s="48" t="str">
        <f aca="false">IF(OR(NOT(ISNUMBER(F31)),NOT(ISNUMBER(F263))),"",F31-F263)</f>
        <v/>
      </c>
      <c r="G495" s="48" t="str">
        <f aca="false">IF(OR(NOT(ISNUMBER(G31)),NOT(ISNUMBER(G263))),"",G31-G263)</f>
        <v/>
      </c>
      <c r="H495" s="48" t="str">
        <f aca="false">IF(OR(NOT(ISNUMBER(H31)),NOT(ISNUMBER(H263))),"",H31-H263)</f>
        <v/>
      </c>
      <c r="I495" s="48" t="str">
        <f aca="false">IF(OR(NOT(ISNUMBER(I31)),NOT(ISNUMBER(I263))),"",I31-I263)</f>
        <v/>
      </c>
      <c r="J495" s="48" t="str">
        <f aca="false">IF(OR(NOT(ISNUMBER(J31)),NOT(ISNUMBER(J263))),"",J31-J263)</f>
        <v/>
      </c>
      <c r="K495" s="48" t="str">
        <f aca="false">IF(OR(NOT(ISNUMBER(K31)),NOT(ISNUMBER(K263))),"",K31-K263)</f>
        <v/>
      </c>
      <c r="L495" s="48" t="str">
        <f aca="false">IF(OR(NOT(ISNUMBER(L31)),NOT(ISNUMBER(L263))),"",L31-L263)</f>
        <v/>
      </c>
      <c r="M495" s="48" t="str">
        <f aca="false">IF(OR(NOT(ISNUMBER(M31)),NOT(ISNUMBER(M263))),"",M31-M263)</f>
        <v/>
      </c>
      <c r="N495" s="48" t="str">
        <f aca="false">IF(OR(NOT(ISNUMBER(N31)),NOT(ISNUMBER(N263))),"",N31-N263)</f>
        <v/>
      </c>
      <c r="O495" s="54" t="str">
        <f aca="false">IF(OR(NOT(ISNUMBER(O31)),NOT(ISNUMBER(O263))),"",O31-O263)</f>
        <v/>
      </c>
      <c r="P495" s="11" t="str">
        <f aca="false">IF(COUNT(D495:N495)=0,"",IF(AND(MAX(D495:N495)&lt;2,MIN(D495:N495)&gt;-2),"Sin diferencia","Diferencia a explicar"))</f>
        <v/>
      </c>
    </row>
    <row r="496" customFormat="false" ht="15" hidden="true" customHeight="false" outlineLevel="1" collapsed="false">
      <c r="A496" s="11" t="s">
        <v>2393</v>
      </c>
      <c r="B496" s="15" t="s">
        <v>2370</v>
      </c>
      <c r="C496" s="11" t="s">
        <v>748</v>
      </c>
      <c r="D496" s="50" t="str">
        <f aca="false">IF(OR(NOT(ISNUMBER(D32)),NOT(ISNUMBER(D264))),"",D32-D264)</f>
        <v/>
      </c>
      <c r="E496" s="50" t="str">
        <f aca="false">IF(OR(NOT(ISNUMBER(E32)),NOT(ISNUMBER(E264))),"",E32-E264)</f>
        <v/>
      </c>
      <c r="F496" s="50" t="str">
        <f aca="false">IF(OR(NOT(ISNUMBER(F32)),NOT(ISNUMBER(F264))),"",F32-F264)</f>
        <v/>
      </c>
      <c r="G496" s="50" t="str">
        <f aca="false">IF(OR(NOT(ISNUMBER(G32)),NOT(ISNUMBER(G264))),"",G32-G264)</f>
        <v/>
      </c>
      <c r="H496" s="50" t="str">
        <f aca="false">IF(OR(NOT(ISNUMBER(H32)),NOT(ISNUMBER(H264))),"",H32-H264)</f>
        <v/>
      </c>
      <c r="I496" s="50" t="str">
        <f aca="false">IF(OR(NOT(ISNUMBER(I32)),NOT(ISNUMBER(I264))),"",I32-I264)</f>
        <v/>
      </c>
      <c r="J496" s="50" t="str">
        <f aca="false">IF(OR(NOT(ISNUMBER(J32)),NOT(ISNUMBER(J264))),"",J32-J264)</f>
        <v/>
      </c>
      <c r="K496" s="50" t="str">
        <f aca="false">IF(OR(NOT(ISNUMBER(K32)),NOT(ISNUMBER(K264))),"",K32-K264)</f>
        <v/>
      </c>
      <c r="L496" s="50" t="str">
        <f aca="false">IF(OR(NOT(ISNUMBER(L32)),NOT(ISNUMBER(L264))),"",L32-L264)</f>
        <v/>
      </c>
      <c r="M496" s="50" t="str">
        <f aca="false">IF(OR(NOT(ISNUMBER(M32)),NOT(ISNUMBER(M264))),"",M32-M264)</f>
        <v/>
      </c>
      <c r="N496" s="50" t="str">
        <f aca="false">IF(OR(NOT(ISNUMBER(N32)),NOT(ISNUMBER(N264))),"",N32-N264)</f>
        <v/>
      </c>
      <c r="O496" s="68" t="str">
        <f aca="false">IF(OR(NOT(ISNUMBER(O32)),NOT(ISNUMBER(O264))),"",O32-O264)</f>
        <v/>
      </c>
      <c r="P496" s="11" t="str">
        <f aca="false">IF(COUNT(D496:N496)=0,"",IF(AND(MAX(D496:N496)&lt;0.005,MIN(D496:N496)&gt;-0.005),"Sin diferencia","Diferencia a explicar"))</f>
        <v/>
      </c>
    </row>
    <row r="497" customFormat="false" ht="15" hidden="true" customHeight="false" outlineLevel="1" collapsed="false">
      <c r="A497" s="11" t="s">
        <v>2394</v>
      </c>
      <c r="B497" s="15" t="s">
        <v>2372</v>
      </c>
      <c r="C497" s="11" t="s">
        <v>748</v>
      </c>
      <c r="D497" s="50" t="str">
        <f aca="false">IF(OR(NOT(ISNUMBER(D33)),NOT(ISNUMBER(D265))),"",D33-D265)</f>
        <v/>
      </c>
      <c r="E497" s="50" t="str">
        <f aca="false">IF(OR(NOT(ISNUMBER(E33)),NOT(ISNUMBER(E265))),"",E33-E265)</f>
        <v/>
      </c>
      <c r="F497" s="50" t="str">
        <f aca="false">IF(OR(NOT(ISNUMBER(F33)),NOT(ISNUMBER(F265))),"",F33-F265)</f>
        <v/>
      </c>
      <c r="G497" s="50" t="str">
        <f aca="false">IF(OR(NOT(ISNUMBER(G33)),NOT(ISNUMBER(G265))),"",G33-G265)</f>
        <v/>
      </c>
      <c r="H497" s="50" t="str">
        <f aca="false">IF(OR(NOT(ISNUMBER(H33)),NOT(ISNUMBER(H265))),"",H33-H265)</f>
        <v/>
      </c>
      <c r="I497" s="50" t="str">
        <f aca="false">IF(OR(NOT(ISNUMBER(I33)),NOT(ISNUMBER(I265))),"",I33-I265)</f>
        <v/>
      </c>
      <c r="J497" s="50" t="str">
        <f aca="false">IF(OR(NOT(ISNUMBER(J33)),NOT(ISNUMBER(J265))),"",J33-J265)</f>
        <v/>
      </c>
      <c r="K497" s="50" t="str">
        <f aca="false">IF(OR(NOT(ISNUMBER(K33)),NOT(ISNUMBER(K265))),"",K33-K265)</f>
        <v/>
      </c>
      <c r="L497" s="50" t="str">
        <f aca="false">IF(OR(NOT(ISNUMBER(L33)),NOT(ISNUMBER(L265))),"",L33-L265)</f>
        <v/>
      </c>
      <c r="M497" s="50" t="str">
        <f aca="false">IF(OR(NOT(ISNUMBER(M33)),NOT(ISNUMBER(M265))),"",M33-M265)</f>
        <v/>
      </c>
      <c r="N497" s="50" t="str">
        <f aca="false">IF(OR(NOT(ISNUMBER(N33)),NOT(ISNUMBER(N265))),"",N33-N265)</f>
        <v/>
      </c>
      <c r="O497" s="68" t="str">
        <f aca="false">IF(OR(NOT(ISNUMBER(O33)),NOT(ISNUMBER(O265))),"",O33-O265)</f>
        <v/>
      </c>
      <c r="P497" s="11" t="str">
        <f aca="false">IF(COUNT(D497:N497)=0,"",IF(AND(MAX(D497:N497)&lt;0.005,MIN(D497:N497)&gt;-0.005),"Sin diferencia","Diferencia a explicar"))</f>
        <v/>
      </c>
    </row>
    <row r="498" customFormat="false" ht="15" hidden="true" customHeight="false" outlineLevel="1" collapsed="false">
      <c r="A498" s="11" t="s">
        <v>2395</v>
      </c>
      <c r="B498" s="15" t="s">
        <v>2374</v>
      </c>
      <c r="C498" s="11" t="s">
        <v>367</v>
      </c>
      <c r="D498" s="49" t="str">
        <f aca="false">IF(OR(NOT(ISNUMBER(D34)),NOT(ISNUMBER(D266))),"",D34-D266)</f>
        <v/>
      </c>
      <c r="E498" s="49" t="str">
        <f aca="false">IF(OR(NOT(ISNUMBER(E34)),NOT(ISNUMBER(E266))),"",E34-E266)</f>
        <v/>
      </c>
      <c r="F498" s="49" t="str">
        <f aca="false">IF(OR(NOT(ISNUMBER(F34)),NOT(ISNUMBER(F266))),"",F34-F266)</f>
        <v/>
      </c>
      <c r="G498" s="49" t="str">
        <f aca="false">IF(OR(NOT(ISNUMBER(G34)),NOT(ISNUMBER(G266))),"",G34-G266)</f>
        <v/>
      </c>
      <c r="H498" s="49" t="str">
        <f aca="false">IF(OR(NOT(ISNUMBER(H34)),NOT(ISNUMBER(H266))),"",H34-H266)</f>
        <v/>
      </c>
      <c r="I498" s="49" t="str">
        <f aca="false">IF(OR(NOT(ISNUMBER(I34)),NOT(ISNUMBER(I266))),"",I34-I266)</f>
        <v/>
      </c>
      <c r="J498" s="49" t="str">
        <f aca="false">IF(OR(NOT(ISNUMBER(J34)),NOT(ISNUMBER(J266))),"",J34-J266)</f>
        <v/>
      </c>
      <c r="K498" s="49" t="str">
        <f aca="false">IF(OR(NOT(ISNUMBER(K34)),NOT(ISNUMBER(K266))),"",K34-K266)</f>
        <v/>
      </c>
      <c r="L498" s="49" t="str">
        <f aca="false">IF(OR(NOT(ISNUMBER(L34)),NOT(ISNUMBER(L266))),"",L34-L266)</f>
        <v/>
      </c>
      <c r="M498" s="49" t="str">
        <f aca="false">IF(OR(NOT(ISNUMBER(M34)),NOT(ISNUMBER(M266))),"",M34-M266)</f>
        <v/>
      </c>
      <c r="N498" s="49" t="str">
        <f aca="false">IF(OR(NOT(ISNUMBER(N34)),NOT(ISNUMBER(N266))),"",N34-N266)</f>
        <v/>
      </c>
      <c r="O498" s="99" t="str">
        <f aca="false">IF(OR(NOT(ISNUMBER(O34)),NOT(ISNUMBER(O266))),"",O34-O266)</f>
        <v/>
      </c>
      <c r="P498" s="11" t="str">
        <f aca="false">IF(COUNT(D498:N498)=0,"",IF(AND(MAX(D498:N498)&lt;0.0005,MIN(D498:N498)&gt;-0.0005),"Sin diferencia","Diferencia a explicar"))</f>
        <v/>
      </c>
    </row>
    <row r="499" customFormat="false" ht="15" hidden="true" customHeight="false" outlineLevel="1" collapsed="false">
      <c r="A499" s="11" t="s">
        <v>2396</v>
      </c>
      <c r="B499" s="15" t="s">
        <v>2376</v>
      </c>
      <c r="C499" s="11" t="s">
        <v>508</v>
      </c>
      <c r="D499" s="48" t="str">
        <f aca="false">IF(OR(NOT(ISNUMBER(D35)),NOT(ISNUMBER(D267))),"",D35-D267)</f>
        <v/>
      </c>
      <c r="E499" s="48" t="str">
        <f aca="false">IF(OR(NOT(ISNUMBER(E35)),NOT(ISNUMBER(E267))),"",E35-E267)</f>
        <v/>
      </c>
      <c r="F499" s="48" t="str">
        <f aca="false">IF(OR(NOT(ISNUMBER(F35)),NOT(ISNUMBER(F267))),"",F35-F267)</f>
        <v/>
      </c>
      <c r="G499" s="48" t="str">
        <f aca="false">IF(OR(NOT(ISNUMBER(G35)),NOT(ISNUMBER(G267))),"",G35-G267)</f>
        <v/>
      </c>
      <c r="H499" s="48" t="str">
        <f aca="false">IF(OR(NOT(ISNUMBER(H35)),NOT(ISNUMBER(H267))),"",H35-H267)</f>
        <v/>
      </c>
      <c r="I499" s="48" t="str">
        <f aca="false">IF(OR(NOT(ISNUMBER(I35)),NOT(ISNUMBER(I267))),"",I35-I267)</f>
        <v/>
      </c>
      <c r="J499" s="48" t="str">
        <f aca="false">IF(OR(NOT(ISNUMBER(J35)),NOT(ISNUMBER(J267))),"",J35-J267)</f>
        <v/>
      </c>
      <c r="K499" s="48" t="str">
        <f aca="false">IF(OR(NOT(ISNUMBER(K35)),NOT(ISNUMBER(K267))),"",K35-K267)</f>
        <v/>
      </c>
      <c r="L499" s="48" t="str">
        <f aca="false">IF(OR(NOT(ISNUMBER(L35)),NOT(ISNUMBER(L267))),"",L35-L267)</f>
        <v/>
      </c>
      <c r="M499" s="48" t="str">
        <f aca="false">IF(OR(NOT(ISNUMBER(M35)),NOT(ISNUMBER(M267))),"",M35-M267)</f>
        <v/>
      </c>
      <c r="N499" s="48" t="str">
        <f aca="false">IF(OR(NOT(ISNUMBER(N35)),NOT(ISNUMBER(N267))),"",N35-N267)</f>
        <v/>
      </c>
      <c r="O499" s="54" t="str">
        <f aca="false">IF(OR(NOT(ISNUMBER(O35)),NOT(ISNUMBER(O267))),"",O35-O267)</f>
        <v/>
      </c>
      <c r="P499" s="11" t="str">
        <f aca="false">IF(COUNT(D499:N499)=0,"",IF(AND(MAX(D499:N499)&lt;2,MIN(D499:N499)&gt;-2),"Sin diferencia","Diferencia a explicar"))</f>
        <v/>
      </c>
    </row>
    <row r="500" customFormat="false" ht="15" hidden="true" customHeight="false" outlineLevel="1" collapsed="false">
      <c r="A500" s="11" t="s">
        <v>2397</v>
      </c>
      <c r="B500" s="15" t="s">
        <v>2378</v>
      </c>
      <c r="C500" s="11" t="s">
        <v>508</v>
      </c>
      <c r="D500" s="48" t="str">
        <f aca="false">IF(OR(NOT(ISNUMBER(D36)),NOT(ISNUMBER(D268))),"",D36-D268)</f>
        <v/>
      </c>
      <c r="E500" s="48" t="str">
        <f aca="false">IF(OR(NOT(ISNUMBER(E36)),NOT(ISNUMBER(E268))),"",E36-E268)</f>
        <v/>
      </c>
      <c r="F500" s="48" t="str">
        <f aca="false">IF(OR(NOT(ISNUMBER(F36)),NOT(ISNUMBER(F268))),"",F36-F268)</f>
        <v/>
      </c>
      <c r="G500" s="48" t="str">
        <f aca="false">IF(OR(NOT(ISNUMBER(G36)),NOT(ISNUMBER(G268))),"",G36-G268)</f>
        <v/>
      </c>
      <c r="H500" s="48" t="str">
        <f aca="false">IF(OR(NOT(ISNUMBER(H36)),NOT(ISNUMBER(H268))),"",H36-H268)</f>
        <v/>
      </c>
      <c r="I500" s="48" t="str">
        <f aca="false">IF(OR(NOT(ISNUMBER(I36)),NOT(ISNUMBER(I268))),"",I36-I268)</f>
        <v/>
      </c>
      <c r="J500" s="48" t="str">
        <f aca="false">IF(OR(NOT(ISNUMBER(J36)),NOT(ISNUMBER(J268))),"",J36-J268)</f>
        <v/>
      </c>
      <c r="K500" s="48" t="str">
        <f aca="false">IF(OR(NOT(ISNUMBER(K36)),NOT(ISNUMBER(K268))),"",K36-K268)</f>
        <v/>
      </c>
      <c r="L500" s="48" t="str">
        <f aca="false">IF(OR(NOT(ISNUMBER(L36)),NOT(ISNUMBER(L268))),"",L36-L268)</f>
        <v/>
      </c>
      <c r="M500" s="48" t="str">
        <f aca="false">IF(OR(NOT(ISNUMBER(M36)),NOT(ISNUMBER(M268))),"",M36-M268)</f>
        <v/>
      </c>
      <c r="N500" s="48" t="str">
        <f aca="false">IF(OR(NOT(ISNUMBER(N36)),NOT(ISNUMBER(N268))),"",N36-N268)</f>
        <v/>
      </c>
      <c r="O500" s="54" t="str">
        <f aca="false">IF(OR(NOT(ISNUMBER(O36)),NOT(ISNUMBER(O268))),"",O36-O268)</f>
        <v/>
      </c>
      <c r="P500" s="11" t="str">
        <f aca="false">IF(COUNT(D500:N500)=0,"",IF(AND(MAX(D500:N500)&lt;2,MIN(D500:N500)&gt;-2),"Sin diferencia","Diferencia a explicar"))</f>
        <v/>
      </c>
    </row>
    <row r="501" customFormat="false" ht="15" hidden="true" customHeight="false" outlineLevel="1" collapsed="false">
      <c r="A501" s="11" t="s">
        <v>2398</v>
      </c>
      <c r="B501" s="15" t="s">
        <v>2380</v>
      </c>
      <c r="C501" s="11" t="s">
        <v>748</v>
      </c>
      <c r="D501" s="50" t="str">
        <f aca="false">IF(OR(NOT(ISNUMBER(D37)),NOT(ISNUMBER(D269))),"",D37-D269)</f>
        <v/>
      </c>
      <c r="E501" s="50" t="str">
        <f aca="false">IF(OR(NOT(ISNUMBER(E37)),NOT(ISNUMBER(E269))),"",E37-E269)</f>
        <v/>
      </c>
      <c r="F501" s="50" t="str">
        <f aca="false">IF(OR(NOT(ISNUMBER(F37)),NOT(ISNUMBER(F269))),"",F37-F269)</f>
        <v/>
      </c>
      <c r="G501" s="50" t="str">
        <f aca="false">IF(OR(NOT(ISNUMBER(G37)),NOT(ISNUMBER(G269))),"",G37-G269)</f>
        <v/>
      </c>
      <c r="H501" s="50" t="str">
        <f aca="false">IF(OR(NOT(ISNUMBER(H37)),NOT(ISNUMBER(H269))),"",H37-H269)</f>
        <v/>
      </c>
      <c r="I501" s="50" t="str">
        <f aca="false">IF(OR(NOT(ISNUMBER(I37)),NOT(ISNUMBER(I269))),"",I37-I269)</f>
        <v/>
      </c>
      <c r="J501" s="50" t="str">
        <f aca="false">IF(OR(NOT(ISNUMBER(J37)),NOT(ISNUMBER(J269))),"",J37-J269)</f>
        <v/>
      </c>
      <c r="K501" s="50" t="str">
        <f aca="false">IF(OR(NOT(ISNUMBER(K37)),NOT(ISNUMBER(K269))),"",K37-K269)</f>
        <v/>
      </c>
      <c r="L501" s="50" t="str">
        <f aca="false">IF(OR(NOT(ISNUMBER(L37)),NOT(ISNUMBER(L269))),"",L37-L269)</f>
        <v/>
      </c>
      <c r="M501" s="50" t="str">
        <f aca="false">IF(OR(NOT(ISNUMBER(M37)),NOT(ISNUMBER(M269))),"",M37-M269)</f>
        <v/>
      </c>
      <c r="N501" s="50" t="str">
        <f aca="false">IF(OR(NOT(ISNUMBER(N37)),NOT(ISNUMBER(N269))),"",N37-N269)</f>
        <v/>
      </c>
      <c r="O501" s="68" t="str">
        <f aca="false">IF(OR(NOT(ISNUMBER(O37)),NOT(ISNUMBER(O269))),"",O37-O269)</f>
        <v/>
      </c>
      <c r="P501" s="11" t="str">
        <f aca="false">IF(COUNT(D501:N501)=0,"",IF(AND(MAX(D501:N501)&lt;0.005,MIN(D501:N501)&gt;-0.005),"Sin diferencia","Diferencia a explicar"))</f>
        <v/>
      </c>
    </row>
    <row r="502" customFormat="false" ht="15" hidden="true" customHeight="false" outlineLevel="1" collapsed="false">
      <c r="A502" s="11" t="s">
        <v>2399</v>
      </c>
      <c r="B502" s="53" t="str">
        <f aca="false">IF(INDEX(Prod_Nombre,4)="","Producto 4",INDEX(Prod_Nombre,4))&amp;" — costo directo"</f>
        <v>Producto 4 — costo directo</v>
      </c>
      <c r="C502" s="11" t="s">
        <v>508</v>
      </c>
      <c r="D502" s="48" t="str">
        <f aca="false">IF(OR(NOT(ISNUMBER(D38)),NOT(ISNUMBER(D270))),"",D38-D270)</f>
        <v/>
      </c>
      <c r="E502" s="48" t="str">
        <f aca="false">IF(OR(NOT(ISNUMBER(E38)),NOT(ISNUMBER(E270))),"",E38-E270)</f>
        <v/>
      </c>
      <c r="F502" s="48" t="str">
        <f aca="false">IF(OR(NOT(ISNUMBER(F38)),NOT(ISNUMBER(F270))),"",F38-F270)</f>
        <v/>
      </c>
      <c r="G502" s="48" t="str">
        <f aca="false">IF(OR(NOT(ISNUMBER(G38)),NOT(ISNUMBER(G270))),"",G38-G270)</f>
        <v/>
      </c>
      <c r="H502" s="48" t="str">
        <f aca="false">IF(OR(NOT(ISNUMBER(H38)),NOT(ISNUMBER(H270))),"",H38-H270)</f>
        <v/>
      </c>
      <c r="I502" s="48" t="str">
        <f aca="false">IF(OR(NOT(ISNUMBER(I38)),NOT(ISNUMBER(I270))),"",I38-I270)</f>
        <v/>
      </c>
      <c r="J502" s="48" t="str">
        <f aca="false">IF(OR(NOT(ISNUMBER(J38)),NOT(ISNUMBER(J270))),"",J38-J270)</f>
        <v/>
      </c>
      <c r="K502" s="48" t="str">
        <f aca="false">IF(OR(NOT(ISNUMBER(K38)),NOT(ISNUMBER(K270))),"",K38-K270)</f>
        <v/>
      </c>
      <c r="L502" s="48" t="str">
        <f aca="false">IF(OR(NOT(ISNUMBER(L38)),NOT(ISNUMBER(L270))),"",L38-L270)</f>
        <v/>
      </c>
      <c r="M502" s="48" t="str">
        <f aca="false">IF(OR(NOT(ISNUMBER(M38)),NOT(ISNUMBER(M270))),"",M38-M270)</f>
        <v/>
      </c>
      <c r="N502" s="48" t="str">
        <f aca="false">IF(OR(NOT(ISNUMBER(N38)),NOT(ISNUMBER(N270))),"",N38-N270)</f>
        <v/>
      </c>
      <c r="O502" s="54" t="str">
        <f aca="false">IF(OR(NOT(ISNUMBER(O38)),NOT(ISNUMBER(O270))),"",O38-O270)</f>
        <v/>
      </c>
      <c r="P502" s="11" t="str">
        <f aca="false">IF(COUNT(D502:N502)=0,"",IF(AND(MAX(D502:N502)&lt;2,MIN(D502:N502)&gt;-2),"Sin diferencia","Diferencia a explicar"))</f>
        <v/>
      </c>
    </row>
    <row r="503" customFormat="false" ht="15" hidden="true" customHeight="false" outlineLevel="1" collapsed="false">
      <c r="A503" s="11" t="s">
        <v>2400</v>
      </c>
      <c r="B503" s="15" t="s">
        <v>2366</v>
      </c>
      <c r="C503" s="11" t="s">
        <v>544</v>
      </c>
      <c r="D503" s="48" t="str">
        <f aca="false">IF(OR(NOT(ISNUMBER(D39)),NOT(ISNUMBER(D271))),"",D39-D271)</f>
        <v/>
      </c>
      <c r="E503" s="48" t="str">
        <f aca="false">IF(OR(NOT(ISNUMBER(E39)),NOT(ISNUMBER(E271))),"",E39-E271)</f>
        <v/>
      </c>
      <c r="F503" s="48" t="str">
        <f aca="false">IF(OR(NOT(ISNUMBER(F39)),NOT(ISNUMBER(F271))),"",F39-F271)</f>
        <v/>
      </c>
      <c r="G503" s="48" t="str">
        <f aca="false">IF(OR(NOT(ISNUMBER(G39)),NOT(ISNUMBER(G271))),"",G39-G271)</f>
        <v/>
      </c>
      <c r="H503" s="48" t="str">
        <f aca="false">IF(OR(NOT(ISNUMBER(H39)),NOT(ISNUMBER(H271))),"",H39-H271)</f>
        <v/>
      </c>
      <c r="I503" s="48" t="str">
        <f aca="false">IF(OR(NOT(ISNUMBER(I39)),NOT(ISNUMBER(I271))),"",I39-I271)</f>
        <v/>
      </c>
      <c r="J503" s="48" t="str">
        <f aca="false">IF(OR(NOT(ISNUMBER(J39)),NOT(ISNUMBER(J271))),"",J39-J271)</f>
        <v/>
      </c>
      <c r="K503" s="48" t="str">
        <f aca="false">IF(OR(NOT(ISNUMBER(K39)),NOT(ISNUMBER(K271))),"",K39-K271)</f>
        <v/>
      </c>
      <c r="L503" s="48" t="str">
        <f aca="false">IF(OR(NOT(ISNUMBER(L39)),NOT(ISNUMBER(L271))),"",L39-L271)</f>
        <v/>
      </c>
      <c r="M503" s="48" t="str">
        <f aca="false">IF(OR(NOT(ISNUMBER(M39)),NOT(ISNUMBER(M271))),"",M39-M271)</f>
        <v/>
      </c>
      <c r="N503" s="48" t="str">
        <f aca="false">IF(OR(NOT(ISNUMBER(N39)),NOT(ISNUMBER(N271))),"",N39-N271)</f>
        <v/>
      </c>
      <c r="O503" s="54" t="str">
        <f aca="false">IF(OR(NOT(ISNUMBER(O39)),NOT(ISNUMBER(O271))),"",O39-O271)</f>
        <v/>
      </c>
      <c r="P503" s="11" t="str">
        <f aca="false">IF(COUNT(D503:N503)=0,"",IF(AND(MAX(D503:N503)&lt;2,MIN(D503:N503)&gt;-2),"Sin diferencia","Diferencia a explicar"))</f>
        <v/>
      </c>
    </row>
    <row r="504" customFormat="false" ht="15" hidden="true" customHeight="false" outlineLevel="1" collapsed="false">
      <c r="A504" s="11" t="s">
        <v>2401</v>
      </c>
      <c r="B504" s="15" t="s">
        <v>2368</v>
      </c>
      <c r="C504" s="11" t="s">
        <v>508</v>
      </c>
      <c r="D504" s="48" t="str">
        <f aca="false">IF(OR(NOT(ISNUMBER(D40)),NOT(ISNUMBER(D272))),"",D40-D272)</f>
        <v/>
      </c>
      <c r="E504" s="48" t="str">
        <f aca="false">IF(OR(NOT(ISNUMBER(E40)),NOT(ISNUMBER(E272))),"",E40-E272)</f>
        <v/>
      </c>
      <c r="F504" s="48" t="str">
        <f aca="false">IF(OR(NOT(ISNUMBER(F40)),NOT(ISNUMBER(F272))),"",F40-F272)</f>
        <v/>
      </c>
      <c r="G504" s="48" t="str">
        <f aca="false">IF(OR(NOT(ISNUMBER(G40)),NOT(ISNUMBER(G272))),"",G40-G272)</f>
        <v/>
      </c>
      <c r="H504" s="48" t="str">
        <f aca="false">IF(OR(NOT(ISNUMBER(H40)),NOT(ISNUMBER(H272))),"",H40-H272)</f>
        <v/>
      </c>
      <c r="I504" s="48" t="str">
        <f aca="false">IF(OR(NOT(ISNUMBER(I40)),NOT(ISNUMBER(I272))),"",I40-I272)</f>
        <v/>
      </c>
      <c r="J504" s="48" t="str">
        <f aca="false">IF(OR(NOT(ISNUMBER(J40)),NOT(ISNUMBER(J272))),"",J40-J272)</f>
        <v/>
      </c>
      <c r="K504" s="48" t="str">
        <f aca="false">IF(OR(NOT(ISNUMBER(K40)),NOT(ISNUMBER(K272))),"",K40-K272)</f>
        <v/>
      </c>
      <c r="L504" s="48" t="str">
        <f aca="false">IF(OR(NOT(ISNUMBER(L40)),NOT(ISNUMBER(L272))),"",L40-L272)</f>
        <v/>
      </c>
      <c r="M504" s="48" t="str">
        <f aca="false">IF(OR(NOT(ISNUMBER(M40)),NOT(ISNUMBER(M272))),"",M40-M272)</f>
        <v/>
      </c>
      <c r="N504" s="48" t="str">
        <f aca="false">IF(OR(NOT(ISNUMBER(N40)),NOT(ISNUMBER(N272))),"",N40-N272)</f>
        <v/>
      </c>
      <c r="O504" s="54" t="str">
        <f aca="false">IF(OR(NOT(ISNUMBER(O40)),NOT(ISNUMBER(O272))),"",O40-O272)</f>
        <v/>
      </c>
      <c r="P504" s="11" t="str">
        <f aca="false">IF(COUNT(D504:N504)=0,"",IF(AND(MAX(D504:N504)&lt;2,MIN(D504:N504)&gt;-2),"Sin diferencia","Diferencia a explicar"))</f>
        <v/>
      </c>
    </row>
    <row r="505" customFormat="false" ht="15" hidden="true" customHeight="false" outlineLevel="1" collapsed="false">
      <c r="A505" s="11" t="s">
        <v>2402</v>
      </c>
      <c r="B505" s="15" t="s">
        <v>2370</v>
      </c>
      <c r="C505" s="11" t="s">
        <v>748</v>
      </c>
      <c r="D505" s="50" t="str">
        <f aca="false">IF(OR(NOT(ISNUMBER(D41)),NOT(ISNUMBER(D273))),"",D41-D273)</f>
        <v/>
      </c>
      <c r="E505" s="50" t="str">
        <f aca="false">IF(OR(NOT(ISNUMBER(E41)),NOT(ISNUMBER(E273))),"",E41-E273)</f>
        <v/>
      </c>
      <c r="F505" s="50" t="str">
        <f aca="false">IF(OR(NOT(ISNUMBER(F41)),NOT(ISNUMBER(F273))),"",F41-F273)</f>
        <v/>
      </c>
      <c r="G505" s="50" t="str">
        <f aca="false">IF(OR(NOT(ISNUMBER(G41)),NOT(ISNUMBER(G273))),"",G41-G273)</f>
        <v/>
      </c>
      <c r="H505" s="50" t="str">
        <f aca="false">IF(OR(NOT(ISNUMBER(H41)),NOT(ISNUMBER(H273))),"",H41-H273)</f>
        <v/>
      </c>
      <c r="I505" s="50" t="str">
        <f aca="false">IF(OR(NOT(ISNUMBER(I41)),NOT(ISNUMBER(I273))),"",I41-I273)</f>
        <v/>
      </c>
      <c r="J505" s="50" t="str">
        <f aca="false">IF(OR(NOT(ISNUMBER(J41)),NOT(ISNUMBER(J273))),"",J41-J273)</f>
        <v/>
      </c>
      <c r="K505" s="50" t="str">
        <f aca="false">IF(OR(NOT(ISNUMBER(K41)),NOT(ISNUMBER(K273))),"",K41-K273)</f>
        <v/>
      </c>
      <c r="L505" s="50" t="str">
        <f aca="false">IF(OR(NOT(ISNUMBER(L41)),NOT(ISNUMBER(L273))),"",L41-L273)</f>
        <v/>
      </c>
      <c r="M505" s="50" t="str">
        <f aca="false">IF(OR(NOT(ISNUMBER(M41)),NOT(ISNUMBER(M273))),"",M41-M273)</f>
        <v/>
      </c>
      <c r="N505" s="50" t="str">
        <f aca="false">IF(OR(NOT(ISNUMBER(N41)),NOT(ISNUMBER(N273))),"",N41-N273)</f>
        <v/>
      </c>
      <c r="O505" s="68" t="str">
        <f aca="false">IF(OR(NOT(ISNUMBER(O41)),NOT(ISNUMBER(O273))),"",O41-O273)</f>
        <v/>
      </c>
      <c r="P505" s="11" t="str">
        <f aca="false">IF(COUNT(D505:N505)=0,"",IF(AND(MAX(D505:N505)&lt;0.005,MIN(D505:N505)&gt;-0.005),"Sin diferencia","Diferencia a explicar"))</f>
        <v/>
      </c>
    </row>
    <row r="506" customFormat="false" ht="15" hidden="true" customHeight="false" outlineLevel="1" collapsed="false">
      <c r="A506" s="11" t="s">
        <v>2403</v>
      </c>
      <c r="B506" s="15" t="s">
        <v>2372</v>
      </c>
      <c r="C506" s="11" t="s">
        <v>748</v>
      </c>
      <c r="D506" s="50" t="str">
        <f aca="false">IF(OR(NOT(ISNUMBER(D42)),NOT(ISNUMBER(D274))),"",D42-D274)</f>
        <v/>
      </c>
      <c r="E506" s="50" t="str">
        <f aca="false">IF(OR(NOT(ISNUMBER(E42)),NOT(ISNUMBER(E274))),"",E42-E274)</f>
        <v/>
      </c>
      <c r="F506" s="50" t="str">
        <f aca="false">IF(OR(NOT(ISNUMBER(F42)),NOT(ISNUMBER(F274))),"",F42-F274)</f>
        <v/>
      </c>
      <c r="G506" s="50" t="str">
        <f aca="false">IF(OR(NOT(ISNUMBER(G42)),NOT(ISNUMBER(G274))),"",G42-G274)</f>
        <v/>
      </c>
      <c r="H506" s="50" t="str">
        <f aca="false">IF(OR(NOT(ISNUMBER(H42)),NOT(ISNUMBER(H274))),"",H42-H274)</f>
        <v/>
      </c>
      <c r="I506" s="50" t="str">
        <f aca="false">IF(OR(NOT(ISNUMBER(I42)),NOT(ISNUMBER(I274))),"",I42-I274)</f>
        <v/>
      </c>
      <c r="J506" s="50" t="str">
        <f aca="false">IF(OR(NOT(ISNUMBER(J42)),NOT(ISNUMBER(J274))),"",J42-J274)</f>
        <v/>
      </c>
      <c r="K506" s="50" t="str">
        <f aca="false">IF(OR(NOT(ISNUMBER(K42)),NOT(ISNUMBER(K274))),"",K42-K274)</f>
        <v/>
      </c>
      <c r="L506" s="50" t="str">
        <f aca="false">IF(OR(NOT(ISNUMBER(L42)),NOT(ISNUMBER(L274))),"",L42-L274)</f>
        <v/>
      </c>
      <c r="M506" s="50" t="str">
        <f aca="false">IF(OR(NOT(ISNUMBER(M42)),NOT(ISNUMBER(M274))),"",M42-M274)</f>
        <v/>
      </c>
      <c r="N506" s="50" t="str">
        <f aca="false">IF(OR(NOT(ISNUMBER(N42)),NOT(ISNUMBER(N274))),"",N42-N274)</f>
        <v/>
      </c>
      <c r="O506" s="68" t="str">
        <f aca="false">IF(OR(NOT(ISNUMBER(O42)),NOT(ISNUMBER(O274))),"",O42-O274)</f>
        <v/>
      </c>
      <c r="P506" s="11" t="str">
        <f aca="false">IF(COUNT(D506:N506)=0,"",IF(AND(MAX(D506:N506)&lt;0.005,MIN(D506:N506)&gt;-0.005),"Sin diferencia","Diferencia a explicar"))</f>
        <v/>
      </c>
    </row>
    <row r="507" customFormat="false" ht="15" hidden="true" customHeight="false" outlineLevel="1" collapsed="false">
      <c r="A507" s="11" t="s">
        <v>2404</v>
      </c>
      <c r="B507" s="15" t="s">
        <v>2374</v>
      </c>
      <c r="C507" s="11" t="s">
        <v>367</v>
      </c>
      <c r="D507" s="49" t="str">
        <f aca="false">IF(OR(NOT(ISNUMBER(D43)),NOT(ISNUMBER(D275))),"",D43-D275)</f>
        <v/>
      </c>
      <c r="E507" s="49" t="str">
        <f aca="false">IF(OR(NOT(ISNUMBER(E43)),NOT(ISNUMBER(E275))),"",E43-E275)</f>
        <v/>
      </c>
      <c r="F507" s="49" t="str">
        <f aca="false">IF(OR(NOT(ISNUMBER(F43)),NOT(ISNUMBER(F275))),"",F43-F275)</f>
        <v/>
      </c>
      <c r="G507" s="49" t="str">
        <f aca="false">IF(OR(NOT(ISNUMBER(G43)),NOT(ISNUMBER(G275))),"",G43-G275)</f>
        <v/>
      </c>
      <c r="H507" s="49" t="str">
        <f aca="false">IF(OR(NOT(ISNUMBER(H43)),NOT(ISNUMBER(H275))),"",H43-H275)</f>
        <v/>
      </c>
      <c r="I507" s="49" t="str">
        <f aca="false">IF(OR(NOT(ISNUMBER(I43)),NOT(ISNUMBER(I275))),"",I43-I275)</f>
        <v/>
      </c>
      <c r="J507" s="49" t="str">
        <f aca="false">IF(OR(NOT(ISNUMBER(J43)),NOT(ISNUMBER(J275))),"",J43-J275)</f>
        <v/>
      </c>
      <c r="K507" s="49" t="str">
        <f aca="false">IF(OR(NOT(ISNUMBER(K43)),NOT(ISNUMBER(K275))),"",K43-K275)</f>
        <v/>
      </c>
      <c r="L507" s="49" t="str">
        <f aca="false">IF(OR(NOT(ISNUMBER(L43)),NOT(ISNUMBER(L275))),"",L43-L275)</f>
        <v/>
      </c>
      <c r="M507" s="49" t="str">
        <f aca="false">IF(OR(NOT(ISNUMBER(M43)),NOT(ISNUMBER(M275))),"",M43-M275)</f>
        <v/>
      </c>
      <c r="N507" s="49" t="str">
        <f aca="false">IF(OR(NOT(ISNUMBER(N43)),NOT(ISNUMBER(N275))),"",N43-N275)</f>
        <v/>
      </c>
      <c r="O507" s="99" t="str">
        <f aca="false">IF(OR(NOT(ISNUMBER(O43)),NOT(ISNUMBER(O275))),"",O43-O275)</f>
        <v/>
      </c>
      <c r="P507" s="11" t="str">
        <f aca="false">IF(COUNT(D507:N507)=0,"",IF(AND(MAX(D507:N507)&lt;0.0005,MIN(D507:N507)&gt;-0.0005),"Sin diferencia","Diferencia a explicar"))</f>
        <v/>
      </c>
    </row>
    <row r="508" customFormat="false" ht="15" hidden="true" customHeight="false" outlineLevel="1" collapsed="false">
      <c r="A508" s="11" t="s">
        <v>2405</v>
      </c>
      <c r="B508" s="15" t="s">
        <v>2376</v>
      </c>
      <c r="C508" s="11" t="s">
        <v>508</v>
      </c>
      <c r="D508" s="48" t="str">
        <f aca="false">IF(OR(NOT(ISNUMBER(D44)),NOT(ISNUMBER(D276))),"",D44-D276)</f>
        <v/>
      </c>
      <c r="E508" s="48" t="str">
        <f aca="false">IF(OR(NOT(ISNUMBER(E44)),NOT(ISNUMBER(E276))),"",E44-E276)</f>
        <v/>
      </c>
      <c r="F508" s="48" t="str">
        <f aca="false">IF(OR(NOT(ISNUMBER(F44)),NOT(ISNUMBER(F276))),"",F44-F276)</f>
        <v/>
      </c>
      <c r="G508" s="48" t="str">
        <f aca="false">IF(OR(NOT(ISNUMBER(G44)),NOT(ISNUMBER(G276))),"",G44-G276)</f>
        <v/>
      </c>
      <c r="H508" s="48" t="str">
        <f aca="false">IF(OR(NOT(ISNUMBER(H44)),NOT(ISNUMBER(H276))),"",H44-H276)</f>
        <v/>
      </c>
      <c r="I508" s="48" t="str">
        <f aca="false">IF(OR(NOT(ISNUMBER(I44)),NOT(ISNUMBER(I276))),"",I44-I276)</f>
        <v/>
      </c>
      <c r="J508" s="48" t="str">
        <f aca="false">IF(OR(NOT(ISNUMBER(J44)),NOT(ISNUMBER(J276))),"",J44-J276)</f>
        <v/>
      </c>
      <c r="K508" s="48" t="str">
        <f aca="false">IF(OR(NOT(ISNUMBER(K44)),NOT(ISNUMBER(K276))),"",K44-K276)</f>
        <v/>
      </c>
      <c r="L508" s="48" t="str">
        <f aca="false">IF(OR(NOT(ISNUMBER(L44)),NOT(ISNUMBER(L276))),"",L44-L276)</f>
        <v/>
      </c>
      <c r="M508" s="48" t="str">
        <f aca="false">IF(OR(NOT(ISNUMBER(M44)),NOT(ISNUMBER(M276))),"",M44-M276)</f>
        <v/>
      </c>
      <c r="N508" s="48" t="str">
        <f aca="false">IF(OR(NOT(ISNUMBER(N44)),NOT(ISNUMBER(N276))),"",N44-N276)</f>
        <v/>
      </c>
      <c r="O508" s="54" t="str">
        <f aca="false">IF(OR(NOT(ISNUMBER(O44)),NOT(ISNUMBER(O276))),"",O44-O276)</f>
        <v/>
      </c>
      <c r="P508" s="11" t="str">
        <f aca="false">IF(COUNT(D508:N508)=0,"",IF(AND(MAX(D508:N508)&lt;2,MIN(D508:N508)&gt;-2),"Sin diferencia","Diferencia a explicar"))</f>
        <v/>
      </c>
    </row>
    <row r="509" customFormat="false" ht="15" hidden="true" customHeight="false" outlineLevel="1" collapsed="false">
      <c r="A509" s="11" t="s">
        <v>2406</v>
      </c>
      <c r="B509" s="15" t="s">
        <v>2378</v>
      </c>
      <c r="C509" s="11" t="s">
        <v>508</v>
      </c>
      <c r="D509" s="48" t="str">
        <f aca="false">IF(OR(NOT(ISNUMBER(D45)),NOT(ISNUMBER(D277))),"",D45-D277)</f>
        <v/>
      </c>
      <c r="E509" s="48" t="str">
        <f aca="false">IF(OR(NOT(ISNUMBER(E45)),NOT(ISNUMBER(E277))),"",E45-E277)</f>
        <v/>
      </c>
      <c r="F509" s="48" t="str">
        <f aca="false">IF(OR(NOT(ISNUMBER(F45)),NOT(ISNUMBER(F277))),"",F45-F277)</f>
        <v/>
      </c>
      <c r="G509" s="48" t="str">
        <f aca="false">IF(OR(NOT(ISNUMBER(G45)),NOT(ISNUMBER(G277))),"",G45-G277)</f>
        <v/>
      </c>
      <c r="H509" s="48" t="str">
        <f aca="false">IF(OR(NOT(ISNUMBER(H45)),NOT(ISNUMBER(H277))),"",H45-H277)</f>
        <v/>
      </c>
      <c r="I509" s="48" t="str">
        <f aca="false">IF(OR(NOT(ISNUMBER(I45)),NOT(ISNUMBER(I277))),"",I45-I277)</f>
        <v/>
      </c>
      <c r="J509" s="48" t="str">
        <f aca="false">IF(OR(NOT(ISNUMBER(J45)),NOT(ISNUMBER(J277))),"",J45-J277)</f>
        <v/>
      </c>
      <c r="K509" s="48" t="str">
        <f aca="false">IF(OR(NOT(ISNUMBER(K45)),NOT(ISNUMBER(K277))),"",K45-K277)</f>
        <v/>
      </c>
      <c r="L509" s="48" t="str">
        <f aca="false">IF(OR(NOT(ISNUMBER(L45)),NOT(ISNUMBER(L277))),"",L45-L277)</f>
        <v/>
      </c>
      <c r="M509" s="48" t="str">
        <f aca="false">IF(OR(NOT(ISNUMBER(M45)),NOT(ISNUMBER(M277))),"",M45-M277)</f>
        <v/>
      </c>
      <c r="N509" s="48" t="str">
        <f aca="false">IF(OR(NOT(ISNUMBER(N45)),NOT(ISNUMBER(N277))),"",N45-N277)</f>
        <v/>
      </c>
      <c r="O509" s="54" t="str">
        <f aca="false">IF(OR(NOT(ISNUMBER(O45)),NOT(ISNUMBER(O277))),"",O45-O277)</f>
        <v/>
      </c>
      <c r="P509" s="11" t="str">
        <f aca="false">IF(COUNT(D509:N509)=0,"",IF(AND(MAX(D509:N509)&lt;2,MIN(D509:N509)&gt;-2),"Sin diferencia","Diferencia a explicar"))</f>
        <v/>
      </c>
    </row>
    <row r="510" customFormat="false" ht="15" hidden="true" customHeight="false" outlineLevel="1" collapsed="false">
      <c r="A510" s="11" t="s">
        <v>2407</v>
      </c>
      <c r="B510" s="15" t="s">
        <v>2380</v>
      </c>
      <c r="C510" s="11" t="s">
        <v>748</v>
      </c>
      <c r="D510" s="50" t="str">
        <f aca="false">IF(OR(NOT(ISNUMBER(D46)),NOT(ISNUMBER(D278))),"",D46-D278)</f>
        <v/>
      </c>
      <c r="E510" s="50" t="str">
        <f aca="false">IF(OR(NOT(ISNUMBER(E46)),NOT(ISNUMBER(E278))),"",E46-E278)</f>
        <v/>
      </c>
      <c r="F510" s="50" t="str">
        <f aca="false">IF(OR(NOT(ISNUMBER(F46)),NOT(ISNUMBER(F278))),"",F46-F278)</f>
        <v/>
      </c>
      <c r="G510" s="50" t="str">
        <f aca="false">IF(OR(NOT(ISNUMBER(G46)),NOT(ISNUMBER(G278))),"",G46-G278)</f>
        <v/>
      </c>
      <c r="H510" s="50" t="str">
        <f aca="false">IF(OR(NOT(ISNUMBER(H46)),NOT(ISNUMBER(H278))),"",H46-H278)</f>
        <v/>
      </c>
      <c r="I510" s="50" t="str">
        <f aca="false">IF(OR(NOT(ISNUMBER(I46)),NOT(ISNUMBER(I278))),"",I46-I278)</f>
        <v/>
      </c>
      <c r="J510" s="50" t="str">
        <f aca="false">IF(OR(NOT(ISNUMBER(J46)),NOT(ISNUMBER(J278))),"",J46-J278)</f>
        <v/>
      </c>
      <c r="K510" s="50" t="str">
        <f aca="false">IF(OR(NOT(ISNUMBER(K46)),NOT(ISNUMBER(K278))),"",K46-K278)</f>
        <v/>
      </c>
      <c r="L510" s="50" t="str">
        <f aca="false">IF(OR(NOT(ISNUMBER(L46)),NOT(ISNUMBER(L278))),"",L46-L278)</f>
        <v/>
      </c>
      <c r="M510" s="50" t="str">
        <f aca="false">IF(OR(NOT(ISNUMBER(M46)),NOT(ISNUMBER(M278))),"",M46-M278)</f>
        <v/>
      </c>
      <c r="N510" s="50" t="str">
        <f aca="false">IF(OR(NOT(ISNUMBER(N46)),NOT(ISNUMBER(N278))),"",N46-N278)</f>
        <v/>
      </c>
      <c r="O510" s="68" t="str">
        <f aca="false">IF(OR(NOT(ISNUMBER(O46)),NOT(ISNUMBER(O278))),"",O46-O278)</f>
        <v/>
      </c>
      <c r="P510" s="11" t="str">
        <f aca="false">IF(COUNT(D510:N510)=0,"",IF(AND(MAX(D510:N510)&lt;0.005,MIN(D510:N510)&gt;-0.005),"Sin diferencia","Diferencia a explicar"))</f>
        <v/>
      </c>
    </row>
    <row r="511" customFormat="false" ht="15" hidden="true" customHeight="false" outlineLevel="1" collapsed="false">
      <c r="A511" s="11" t="s">
        <v>2408</v>
      </c>
      <c r="B511" s="53" t="str">
        <f aca="false">IF(INDEX(Prod_Nombre,5)="","Producto 5",INDEX(Prod_Nombre,5))&amp;" — costo directo"</f>
        <v>Producto 5 — costo directo</v>
      </c>
      <c r="C511" s="11" t="s">
        <v>508</v>
      </c>
      <c r="D511" s="48" t="str">
        <f aca="false">IF(OR(NOT(ISNUMBER(D47)),NOT(ISNUMBER(D279))),"",D47-D279)</f>
        <v/>
      </c>
      <c r="E511" s="48" t="str">
        <f aca="false">IF(OR(NOT(ISNUMBER(E47)),NOT(ISNUMBER(E279))),"",E47-E279)</f>
        <v/>
      </c>
      <c r="F511" s="48" t="str">
        <f aca="false">IF(OR(NOT(ISNUMBER(F47)),NOT(ISNUMBER(F279))),"",F47-F279)</f>
        <v/>
      </c>
      <c r="G511" s="48" t="str">
        <f aca="false">IF(OR(NOT(ISNUMBER(G47)),NOT(ISNUMBER(G279))),"",G47-G279)</f>
        <v/>
      </c>
      <c r="H511" s="48" t="str">
        <f aca="false">IF(OR(NOT(ISNUMBER(H47)),NOT(ISNUMBER(H279))),"",H47-H279)</f>
        <v/>
      </c>
      <c r="I511" s="48" t="str">
        <f aca="false">IF(OR(NOT(ISNUMBER(I47)),NOT(ISNUMBER(I279))),"",I47-I279)</f>
        <v/>
      </c>
      <c r="J511" s="48" t="str">
        <f aca="false">IF(OR(NOT(ISNUMBER(J47)),NOT(ISNUMBER(J279))),"",J47-J279)</f>
        <v/>
      </c>
      <c r="K511" s="48" t="str">
        <f aca="false">IF(OR(NOT(ISNUMBER(K47)),NOT(ISNUMBER(K279))),"",K47-K279)</f>
        <v/>
      </c>
      <c r="L511" s="48" t="str">
        <f aca="false">IF(OR(NOT(ISNUMBER(L47)),NOT(ISNUMBER(L279))),"",L47-L279)</f>
        <v/>
      </c>
      <c r="M511" s="48" t="str">
        <f aca="false">IF(OR(NOT(ISNUMBER(M47)),NOT(ISNUMBER(M279))),"",M47-M279)</f>
        <v/>
      </c>
      <c r="N511" s="48" t="str">
        <f aca="false">IF(OR(NOT(ISNUMBER(N47)),NOT(ISNUMBER(N279))),"",N47-N279)</f>
        <v/>
      </c>
      <c r="O511" s="54" t="str">
        <f aca="false">IF(OR(NOT(ISNUMBER(O47)),NOT(ISNUMBER(O279))),"",O47-O279)</f>
        <v/>
      </c>
      <c r="P511" s="11" t="str">
        <f aca="false">IF(COUNT(D511:N511)=0,"",IF(AND(MAX(D511:N511)&lt;2,MIN(D511:N511)&gt;-2),"Sin diferencia","Diferencia a explicar"))</f>
        <v/>
      </c>
    </row>
    <row r="512" customFormat="false" ht="15" hidden="true" customHeight="false" outlineLevel="1" collapsed="false">
      <c r="A512" s="11" t="s">
        <v>2409</v>
      </c>
      <c r="B512" s="15" t="s">
        <v>2366</v>
      </c>
      <c r="C512" s="11" t="s">
        <v>544</v>
      </c>
      <c r="D512" s="48" t="str">
        <f aca="false">IF(OR(NOT(ISNUMBER(D48)),NOT(ISNUMBER(D280))),"",D48-D280)</f>
        <v/>
      </c>
      <c r="E512" s="48" t="str">
        <f aca="false">IF(OR(NOT(ISNUMBER(E48)),NOT(ISNUMBER(E280))),"",E48-E280)</f>
        <v/>
      </c>
      <c r="F512" s="48" t="str">
        <f aca="false">IF(OR(NOT(ISNUMBER(F48)),NOT(ISNUMBER(F280))),"",F48-F280)</f>
        <v/>
      </c>
      <c r="G512" s="48" t="str">
        <f aca="false">IF(OR(NOT(ISNUMBER(G48)),NOT(ISNUMBER(G280))),"",G48-G280)</f>
        <v/>
      </c>
      <c r="H512" s="48" t="str">
        <f aca="false">IF(OR(NOT(ISNUMBER(H48)),NOT(ISNUMBER(H280))),"",H48-H280)</f>
        <v/>
      </c>
      <c r="I512" s="48" t="str">
        <f aca="false">IF(OR(NOT(ISNUMBER(I48)),NOT(ISNUMBER(I280))),"",I48-I280)</f>
        <v/>
      </c>
      <c r="J512" s="48" t="str">
        <f aca="false">IF(OR(NOT(ISNUMBER(J48)),NOT(ISNUMBER(J280))),"",J48-J280)</f>
        <v/>
      </c>
      <c r="K512" s="48" t="str">
        <f aca="false">IF(OR(NOT(ISNUMBER(K48)),NOT(ISNUMBER(K280))),"",K48-K280)</f>
        <v/>
      </c>
      <c r="L512" s="48" t="str">
        <f aca="false">IF(OR(NOT(ISNUMBER(L48)),NOT(ISNUMBER(L280))),"",L48-L280)</f>
        <v/>
      </c>
      <c r="M512" s="48" t="str">
        <f aca="false">IF(OR(NOT(ISNUMBER(M48)),NOT(ISNUMBER(M280))),"",M48-M280)</f>
        <v/>
      </c>
      <c r="N512" s="48" t="str">
        <f aca="false">IF(OR(NOT(ISNUMBER(N48)),NOT(ISNUMBER(N280))),"",N48-N280)</f>
        <v/>
      </c>
      <c r="O512" s="54" t="str">
        <f aca="false">IF(OR(NOT(ISNUMBER(O48)),NOT(ISNUMBER(O280))),"",O48-O280)</f>
        <v/>
      </c>
      <c r="P512" s="11" t="str">
        <f aca="false">IF(COUNT(D512:N512)=0,"",IF(AND(MAX(D512:N512)&lt;2,MIN(D512:N512)&gt;-2),"Sin diferencia","Diferencia a explicar"))</f>
        <v/>
      </c>
    </row>
    <row r="513" customFormat="false" ht="15" hidden="true" customHeight="false" outlineLevel="1" collapsed="false">
      <c r="A513" s="11" t="s">
        <v>2410</v>
      </c>
      <c r="B513" s="15" t="s">
        <v>2368</v>
      </c>
      <c r="C513" s="11" t="s">
        <v>508</v>
      </c>
      <c r="D513" s="48" t="str">
        <f aca="false">IF(OR(NOT(ISNUMBER(D49)),NOT(ISNUMBER(D281))),"",D49-D281)</f>
        <v/>
      </c>
      <c r="E513" s="48" t="str">
        <f aca="false">IF(OR(NOT(ISNUMBER(E49)),NOT(ISNUMBER(E281))),"",E49-E281)</f>
        <v/>
      </c>
      <c r="F513" s="48" t="str">
        <f aca="false">IF(OR(NOT(ISNUMBER(F49)),NOT(ISNUMBER(F281))),"",F49-F281)</f>
        <v/>
      </c>
      <c r="G513" s="48" t="str">
        <f aca="false">IF(OR(NOT(ISNUMBER(G49)),NOT(ISNUMBER(G281))),"",G49-G281)</f>
        <v/>
      </c>
      <c r="H513" s="48" t="str">
        <f aca="false">IF(OR(NOT(ISNUMBER(H49)),NOT(ISNUMBER(H281))),"",H49-H281)</f>
        <v/>
      </c>
      <c r="I513" s="48" t="str">
        <f aca="false">IF(OR(NOT(ISNUMBER(I49)),NOT(ISNUMBER(I281))),"",I49-I281)</f>
        <v/>
      </c>
      <c r="J513" s="48" t="str">
        <f aca="false">IF(OR(NOT(ISNUMBER(J49)),NOT(ISNUMBER(J281))),"",J49-J281)</f>
        <v/>
      </c>
      <c r="K513" s="48" t="str">
        <f aca="false">IF(OR(NOT(ISNUMBER(K49)),NOT(ISNUMBER(K281))),"",K49-K281)</f>
        <v/>
      </c>
      <c r="L513" s="48" t="str">
        <f aca="false">IF(OR(NOT(ISNUMBER(L49)),NOT(ISNUMBER(L281))),"",L49-L281)</f>
        <v/>
      </c>
      <c r="M513" s="48" t="str">
        <f aca="false">IF(OR(NOT(ISNUMBER(M49)),NOT(ISNUMBER(M281))),"",M49-M281)</f>
        <v/>
      </c>
      <c r="N513" s="48" t="str">
        <f aca="false">IF(OR(NOT(ISNUMBER(N49)),NOT(ISNUMBER(N281))),"",N49-N281)</f>
        <v/>
      </c>
      <c r="O513" s="54" t="str">
        <f aca="false">IF(OR(NOT(ISNUMBER(O49)),NOT(ISNUMBER(O281))),"",O49-O281)</f>
        <v/>
      </c>
      <c r="P513" s="11" t="str">
        <f aca="false">IF(COUNT(D513:N513)=0,"",IF(AND(MAX(D513:N513)&lt;2,MIN(D513:N513)&gt;-2),"Sin diferencia","Diferencia a explicar"))</f>
        <v/>
      </c>
    </row>
    <row r="514" customFormat="false" ht="15" hidden="true" customHeight="false" outlineLevel="1" collapsed="false">
      <c r="A514" s="11" t="s">
        <v>2411</v>
      </c>
      <c r="B514" s="15" t="s">
        <v>2370</v>
      </c>
      <c r="C514" s="11" t="s">
        <v>748</v>
      </c>
      <c r="D514" s="50" t="str">
        <f aca="false">IF(OR(NOT(ISNUMBER(D50)),NOT(ISNUMBER(D282))),"",D50-D282)</f>
        <v/>
      </c>
      <c r="E514" s="50" t="str">
        <f aca="false">IF(OR(NOT(ISNUMBER(E50)),NOT(ISNUMBER(E282))),"",E50-E282)</f>
        <v/>
      </c>
      <c r="F514" s="50" t="str">
        <f aca="false">IF(OR(NOT(ISNUMBER(F50)),NOT(ISNUMBER(F282))),"",F50-F282)</f>
        <v/>
      </c>
      <c r="G514" s="50" t="str">
        <f aca="false">IF(OR(NOT(ISNUMBER(G50)),NOT(ISNUMBER(G282))),"",G50-G282)</f>
        <v/>
      </c>
      <c r="H514" s="50" t="str">
        <f aca="false">IF(OR(NOT(ISNUMBER(H50)),NOT(ISNUMBER(H282))),"",H50-H282)</f>
        <v/>
      </c>
      <c r="I514" s="50" t="str">
        <f aca="false">IF(OR(NOT(ISNUMBER(I50)),NOT(ISNUMBER(I282))),"",I50-I282)</f>
        <v/>
      </c>
      <c r="J514" s="50" t="str">
        <f aca="false">IF(OR(NOT(ISNUMBER(J50)),NOT(ISNUMBER(J282))),"",J50-J282)</f>
        <v/>
      </c>
      <c r="K514" s="50" t="str">
        <f aca="false">IF(OR(NOT(ISNUMBER(K50)),NOT(ISNUMBER(K282))),"",K50-K282)</f>
        <v/>
      </c>
      <c r="L514" s="50" t="str">
        <f aca="false">IF(OR(NOT(ISNUMBER(L50)),NOT(ISNUMBER(L282))),"",L50-L282)</f>
        <v/>
      </c>
      <c r="M514" s="50" t="str">
        <f aca="false">IF(OR(NOT(ISNUMBER(M50)),NOT(ISNUMBER(M282))),"",M50-M282)</f>
        <v/>
      </c>
      <c r="N514" s="50" t="str">
        <f aca="false">IF(OR(NOT(ISNUMBER(N50)),NOT(ISNUMBER(N282))),"",N50-N282)</f>
        <v/>
      </c>
      <c r="O514" s="68" t="str">
        <f aca="false">IF(OR(NOT(ISNUMBER(O50)),NOT(ISNUMBER(O282))),"",O50-O282)</f>
        <v/>
      </c>
      <c r="P514" s="11" t="str">
        <f aca="false">IF(COUNT(D514:N514)=0,"",IF(AND(MAX(D514:N514)&lt;0.005,MIN(D514:N514)&gt;-0.005),"Sin diferencia","Diferencia a explicar"))</f>
        <v/>
      </c>
    </row>
    <row r="515" customFormat="false" ht="15" hidden="true" customHeight="false" outlineLevel="1" collapsed="false">
      <c r="A515" s="11" t="s">
        <v>2412</v>
      </c>
      <c r="B515" s="15" t="s">
        <v>2372</v>
      </c>
      <c r="C515" s="11" t="s">
        <v>748</v>
      </c>
      <c r="D515" s="50" t="str">
        <f aca="false">IF(OR(NOT(ISNUMBER(D51)),NOT(ISNUMBER(D283))),"",D51-D283)</f>
        <v/>
      </c>
      <c r="E515" s="50" t="str">
        <f aca="false">IF(OR(NOT(ISNUMBER(E51)),NOT(ISNUMBER(E283))),"",E51-E283)</f>
        <v/>
      </c>
      <c r="F515" s="50" t="str">
        <f aca="false">IF(OR(NOT(ISNUMBER(F51)),NOT(ISNUMBER(F283))),"",F51-F283)</f>
        <v/>
      </c>
      <c r="G515" s="50" t="str">
        <f aca="false">IF(OR(NOT(ISNUMBER(G51)),NOT(ISNUMBER(G283))),"",G51-G283)</f>
        <v/>
      </c>
      <c r="H515" s="50" t="str">
        <f aca="false">IF(OR(NOT(ISNUMBER(H51)),NOT(ISNUMBER(H283))),"",H51-H283)</f>
        <v/>
      </c>
      <c r="I515" s="50" t="str">
        <f aca="false">IF(OR(NOT(ISNUMBER(I51)),NOT(ISNUMBER(I283))),"",I51-I283)</f>
        <v/>
      </c>
      <c r="J515" s="50" t="str">
        <f aca="false">IF(OR(NOT(ISNUMBER(J51)),NOT(ISNUMBER(J283))),"",J51-J283)</f>
        <v/>
      </c>
      <c r="K515" s="50" t="str">
        <f aca="false">IF(OR(NOT(ISNUMBER(K51)),NOT(ISNUMBER(K283))),"",K51-K283)</f>
        <v/>
      </c>
      <c r="L515" s="50" t="str">
        <f aca="false">IF(OR(NOT(ISNUMBER(L51)),NOT(ISNUMBER(L283))),"",L51-L283)</f>
        <v/>
      </c>
      <c r="M515" s="50" t="str">
        <f aca="false">IF(OR(NOT(ISNUMBER(M51)),NOT(ISNUMBER(M283))),"",M51-M283)</f>
        <v/>
      </c>
      <c r="N515" s="50" t="str">
        <f aca="false">IF(OR(NOT(ISNUMBER(N51)),NOT(ISNUMBER(N283))),"",N51-N283)</f>
        <v/>
      </c>
      <c r="O515" s="68" t="str">
        <f aca="false">IF(OR(NOT(ISNUMBER(O51)),NOT(ISNUMBER(O283))),"",O51-O283)</f>
        <v/>
      </c>
      <c r="P515" s="11" t="str">
        <f aca="false">IF(COUNT(D515:N515)=0,"",IF(AND(MAX(D515:N515)&lt;0.005,MIN(D515:N515)&gt;-0.005),"Sin diferencia","Diferencia a explicar"))</f>
        <v/>
      </c>
    </row>
    <row r="516" customFormat="false" ht="15" hidden="true" customHeight="false" outlineLevel="1" collapsed="false">
      <c r="A516" s="11" t="s">
        <v>2413</v>
      </c>
      <c r="B516" s="15" t="s">
        <v>2374</v>
      </c>
      <c r="C516" s="11" t="s">
        <v>367</v>
      </c>
      <c r="D516" s="49" t="str">
        <f aca="false">IF(OR(NOT(ISNUMBER(D52)),NOT(ISNUMBER(D284))),"",D52-D284)</f>
        <v/>
      </c>
      <c r="E516" s="49" t="str">
        <f aca="false">IF(OR(NOT(ISNUMBER(E52)),NOT(ISNUMBER(E284))),"",E52-E284)</f>
        <v/>
      </c>
      <c r="F516" s="49" t="str">
        <f aca="false">IF(OR(NOT(ISNUMBER(F52)),NOT(ISNUMBER(F284))),"",F52-F284)</f>
        <v/>
      </c>
      <c r="G516" s="49" t="str">
        <f aca="false">IF(OR(NOT(ISNUMBER(G52)),NOT(ISNUMBER(G284))),"",G52-G284)</f>
        <v/>
      </c>
      <c r="H516" s="49" t="str">
        <f aca="false">IF(OR(NOT(ISNUMBER(H52)),NOT(ISNUMBER(H284))),"",H52-H284)</f>
        <v/>
      </c>
      <c r="I516" s="49" t="str">
        <f aca="false">IF(OR(NOT(ISNUMBER(I52)),NOT(ISNUMBER(I284))),"",I52-I284)</f>
        <v/>
      </c>
      <c r="J516" s="49" t="str">
        <f aca="false">IF(OR(NOT(ISNUMBER(J52)),NOT(ISNUMBER(J284))),"",J52-J284)</f>
        <v/>
      </c>
      <c r="K516" s="49" t="str">
        <f aca="false">IF(OR(NOT(ISNUMBER(K52)),NOT(ISNUMBER(K284))),"",K52-K284)</f>
        <v/>
      </c>
      <c r="L516" s="49" t="str">
        <f aca="false">IF(OR(NOT(ISNUMBER(L52)),NOT(ISNUMBER(L284))),"",L52-L284)</f>
        <v/>
      </c>
      <c r="M516" s="49" t="str">
        <f aca="false">IF(OR(NOT(ISNUMBER(M52)),NOT(ISNUMBER(M284))),"",M52-M284)</f>
        <v/>
      </c>
      <c r="N516" s="49" t="str">
        <f aca="false">IF(OR(NOT(ISNUMBER(N52)),NOT(ISNUMBER(N284))),"",N52-N284)</f>
        <v/>
      </c>
      <c r="O516" s="99" t="str">
        <f aca="false">IF(OR(NOT(ISNUMBER(O52)),NOT(ISNUMBER(O284))),"",O52-O284)</f>
        <v/>
      </c>
      <c r="P516" s="11" t="str">
        <f aca="false">IF(COUNT(D516:N516)=0,"",IF(AND(MAX(D516:N516)&lt;0.0005,MIN(D516:N516)&gt;-0.0005),"Sin diferencia","Diferencia a explicar"))</f>
        <v/>
      </c>
    </row>
    <row r="517" customFormat="false" ht="15" hidden="true" customHeight="false" outlineLevel="1" collapsed="false">
      <c r="A517" s="11" t="s">
        <v>2414</v>
      </c>
      <c r="B517" s="15" t="s">
        <v>2376</v>
      </c>
      <c r="C517" s="11" t="s">
        <v>508</v>
      </c>
      <c r="D517" s="48" t="str">
        <f aca="false">IF(OR(NOT(ISNUMBER(D53)),NOT(ISNUMBER(D285))),"",D53-D285)</f>
        <v/>
      </c>
      <c r="E517" s="48" t="str">
        <f aca="false">IF(OR(NOT(ISNUMBER(E53)),NOT(ISNUMBER(E285))),"",E53-E285)</f>
        <v/>
      </c>
      <c r="F517" s="48" t="str">
        <f aca="false">IF(OR(NOT(ISNUMBER(F53)),NOT(ISNUMBER(F285))),"",F53-F285)</f>
        <v/>
      </c>
      <c r="G517" s="48" t="str">
        <f aca="false">IF(OR(NOT(ISNUMBER(G53)),NOT(ISNUMBER(G285))),"",G53-G285)</f>
        <v/>
      </c>
      <c r="H517" s="48" t="str">
        <f aca="false">IF(OR(NOT(ISNUMBER(H53)),NOT(ISNUMBER(H285))),"",H53-H285)</f>
        <v/>
      </c>
      <c r="I517" s="48" t="str">
        <f aca="false">IF(OR(NOT(ISNUMBER(I53)),NOT(ISNUMBER(I285))),"",I53-I285)</f>
        <v/>
      </c>
      <c r="J517" s="48" t="str">
        <f aca="false">IF(OR(NOT(ISNUMBER(J53)),NOT(ISNUMBER(J285))),"",J53-J285)</f>
        <v/>
      </c>
      <c r="K517" s="48" t="str">
        <f aca="false">IF(OR(NOT(ISNUMBER(K53)),NOT(ISNUMBER(K285))),"",K53-K285)</f>
        <v/>
      </c>
      <c r="L517" s="48" t="str">
        <f aca="false">IF(OR(NOT(ISNUMBER(L53)),NOT(ISNUMBER(L285))),"",L53-L285)</f>
        <v/>
      </c>
      <c r="M517" s="48" t="str">
        <f aca="false">IF(OR(NOT(ISNUMBER(M53)),NOT(ISNUMBER(M285))),"",M53-M285)</f>
        <v/>
      </c>
      <c r="N517" s="48" t="str">
        <f aca="false">IF(OR(NOT(ISNUMBER(N53)),NOT(ISNUMBER(N285))),"",N53-N285)</f>
        <v/>
      </c>
      <c r="O517" s="54" t="str">
        <f aca="false">IF(OR(NOT(ISNUMBER(O53)),NOT(ISNUMBER(O285))),"",O53-O285)</f>
        <v/>
      </c>
      <c r="P517" s="11" t="str">
        <f aca="false">IF(COUNT(D517:N517)=0,"",IF(AND(MAX(D517:N517)&lt;2,MIN(D517:N517)&gt;-2),"Sin diferencia","Diferencia a explicar"))</f>
        <v/>
      </c>
    </row>
    <row r="518" customFormat="false" ht="15" hidden="true" customHeight="false" outlineLevel="1" collapsed="false">
      <c r="A518" s="11" t="s">
        <v>2415</v>
      </c>
      <c r="B518" s="15" t="s">
        <v>2378</v>
      </c>
      <c r="C518" s="11" t="s">
        <v>508</v>
      </c>
      <c r="D518" s="48" t="str">
        <f aca="false">IF(OR(NOT(ISNUMBER(D54)),NOT(ISNUMBER(D286))),"",D54-D286)</f>
        <v/>
      </c>
      <c r="E518" s="48" t="str">
        <f aca="false">IF(OR(NOT(ISNUMBER(E54)),NOT(ISNUMBER(E286))),"",E54-E286)</f>
        <v/>
      </c>
      <c r="F518" s="48" t="str">
        <f aca="false">IF(OR(NOT(ISNUMBER(F54)),NOT(ISNUMBER(F286))),"",F54-F286)</f>
        <v/>
      </c>
      <c r="G518" s="48" t="str">
        <f aca="false">IF(OR(NOT(ISNUMBER(G54)),NOT(ISNUMBER(G286))),"",G54-G286)</f>
        <v/>
      </c>
      <c r="H518" s="48" t="str">
        <f aca="false">IF(OR(NOT(ISNUMBER(H54)),NOT(ISNUMBER(H286))),"",H54-H286)</f>
        <v/>
      </c>
      <c r="I518" s="48" t="str">
        <f aca="false">IF(OR(NOT(ISNUMBER(I54)),NOT(ISNUMBER(I286))),"",I54-I286)</f>
        <v/>
      </c>
      <c r="J518" s="48" t="str">
        <f aca="false">IF(OR(NOT(ISNUMBER(J54)),NOT(ISNUMBER(J286))),"",J54-J286)</f>
        <v/>
      </c>
      <c r="K518" s="48" t="str">
        <f aca="false">IF(OR(NOT(ISNUMBER(K54)),NOT(ISNUMBER(K286))),"",K54-K286)</f>
        <v/>
      </c>
      <c r="L518" s="48" t="str">
        <f aca="false">IF(OR(NOT(ISNUMBER(L54)),NOT(ISNUMBER(L286))),"",L54-L286)</f>
        <v/>
      </c>
      <c r="M518" s="48" t="str">
        <f aca="false">IF(OR(NOT(ISNUMBER(M54)),NOT(ISNUMBER(M286))),"",M54-M286)</f>
        <v/>
      </c>
      <c r="N518" s="48" t="str">
        <f aca="false">IF(OR(NOT(ISNUMBER(N54)),NOT(ISNUMBER(N286))),"",N54-N286)</f>
        <v/>
      </c>
      <c r="O518" s="54" t="str">
        <f aca="false">IF(OR(NOT(ISNUMBER(O54)),NOT(ISNUMBER(O286))),"",O54-O286)</f>
        <v/>
      </c>
      <c r="P518" s="11" t="str">
        <f aca="false">IF(COUNT(D518:N518)=0,"",IF(AND(MAX(D518:N518)&lt;2,MIN(D518:N518)&gt;-2),"Sin diferencia","Diferencia a explicar"))</f>
        <v/>
      </c>
    </row>
    <row r="519" customFormat="false" ht="15" hidden="true" customHeight="false" outlineLevel="1" collapsed="false">
      <c r="A519" s="11" t="s">
        <v>2416</v>
      </c>
      <c r="B519" s="15" t="s">
        <v>2380</v>
      </c>
      <c r="C519" s="11" t="s">
        <v>748</v>
      </c>
      <c r="D519" s="50" t="str">
        <f aca="false">IF(OR(NOT(ISNUMBER(D55)),NOT(ISNUMBER(D287))),"",D55-D287)</f>
        <v/>
      </c>
      <c r="E519" s="50" t="str">
        <f aca="false">IF(OR(NOT(ISNUMBER(E55)),NOT(ISNUMBER(E287))),"",E55-E287)</f>
        <v/>
      </c>
      <c r="F519" s="50" t="str">
        <f aca="false">IF(OR(NOT(ISNUMBER(F55)),NOT(ISNUMBER(F287))),"",F55-F287)</f>
        <v/>
      </c>
      <c r="G519" s="50" t="str">
        <f aca="false">IF(OR(NOT(ISNUMBER(G55)),NOT(ISNUMBER(G287))),"",G55-G287)</f>
        <v/>
      </c>
      <c r="H519" s="50" t="str">
        <f aca="false">IF(OR(NOT(ISNUMBER(H55)),NOT(ISNUMBER(H287))),"",H55-H287)</f>
        <v/>
      </c>
      <c r="I519" s="50" t="str">
        <f aca="false">IF(OR(NOT(ISNUMBER(I55)),NOT(ISNUMBER(I287))),"",I55-I287)</f>
        <v/>
      </c>
      <c r="J519" s="50" t="str">
        <f aca="false">IF(OR(NOT(ISNUMBER(J55)),NOT(ISNUMBER(J287))),"",J55-J287)</f>
        <v/>
      </c>
      <c r="K519" s="50" t="str">
        <f aca="false">IF(OR(NOT(ISNUMBER(K55)),NOT(ISNUMBER(K287))),"",K55-K287)</f>
        <v/>
      </c>
      <c r="L519" s="50" t="str">
        <f aca="false">IF(OR(NOT(ISNUMBER(L55)),NOT(ISNUMBER(L287))),"",L55-L287)</f>
        <v/>
      </c>
      <c r="M519" s="50" t="str">
        <f aca="false">IF(OR(NOT(ISNUMBER(M55)),NOT(ISNUMBER(M287))),"",M55-M287)</f>
        <v/>
      </c>
      <c r="N519" s="50" t="str">
        <f aca="false">IF(OR(NOT(ISNUMBER(N55)),NOT(ISNUMBER(N287))),"",N55-N287)</f>
        <v/>
      </c>
      <c r="O519" s="68" t="str">
        <f aca="false">IF(OR(NOT(ISNUMBER(O55)),NOT(ISNUMBER(O287))),"",O55-O287)</f>
        <v/>
      </c>
      <c r="P519" s="11" t="str">
        <f aca="false">IF(COUNT(D519:N519)=0,"",IF(AND(MAX(D519:N519)&lt;0.005,MIN(D519:N519)&gt;-0.005),"Sin diferencia","Diferencia a explicar"))</f>
        <v/>
      </c>
    </row>
    <row r="520" customFormat="false" ht="15" hidden="true" customHeight="false" outlineLevel="1" collapsed="false">
      <c r="A520" s="11" t="s">
        <v>2417</v>
      </c>
      <c r="B520" s="53" t="str">
        <f aca="false">IF(INDEX(Prod_Nombre,6)="","Producto 6",INDEX(Prod_Nombre,6))&amp;" — costo directo"</f>
        <v>Producto 6 — costo directo</v>
      </c>
      <c r="C520" s="11" t="s">
        <v>508</v>
      </c>
      <c r="D520" s="48" t="str">
        <f aca="false">IF(OR(NOT(ISNUMBER(D56)),NOT(ISNUMBER(D288))),"",D56-D288)</f>
        <v/>
      </c>
      <c r="E520" s="48" t="str">
        <f aca="false">IF(OR(NOT(ISNUMBER(E56)),NOT(ISNUMBER(E288))),"",E56-E288)</f>
        <v/>
      </c>
      <c r="F520" s="48" t="str">
        <f aca="false">IF(OR(NOT(ISNUMBER(F56)),NOT(ISNUMBER(F288))),"",F56-F288)</f>
        <v/>
      </c>
      <c r="G520" s="48" t="str">
        <f aca="false">IF(OR(NOT(ISNUMBER(G56)),NOT(ISNUMBER(G288))),"",G56-G288)</f>
        <v/>
      </c>
      <c r="H520" s="48" t="str">
        <f aca="false">IF(OR(NOT(ISNUMBER(H56)),NOT(ISNUMBER(H288))),"",H56-H288)</f>
        <v/>
      </c>
      <c r="I520" s="48" t="str">
        <f aca="false">IF(OR(NOT(ISNUMBER(I56)),NOT(ISNUMBER(I288))),"",I56-I288)</f>
        <v/>
      </c>
      <c r="J520" s="48" t="str">
        <f aca="false">IF(OR(NOT(ISNUMBER(J56)),NOT(ISNUMBER(J288))),"",J56-J288)</f>
        <v/>
      </c>
      <c r="K520" s="48" t="str">
        <f aca="false">IF(OR(NOT(ISNUMBER(K56)),NOT(ISNUMBER(K288))),"",K56-K288)</f>
        <v/>
      </c>
      <c r="L520" s="48" t="str">
        <f aca="false">IF(OR(NOT(ISNUMBER(L56)),NOT(ISNUMBER(L288))),"",L56-L288)</f>
        <v/>
      </c>
      <c r="M520" s="48" t="str">
        <f aca="false">IF(OR(NOT(ISNUMBER(M56)),NOT(ISNUMBER(M288))),"",M56-M288)</f>
        <v/>
      </c>
      <c r="N520" s="48" t="str">
        <f aca="false">IF(OR(NOT(ISNUMBER(N56)),NOT(ISNUMBER(N288))),"",N56-N288)</f>
        <v/>
      </c>
      <c r="O520" s="54" t="str">
        <f aca="false">IF(OR(NOT(ISNUMBER(O56)),NOT(ISNUMBER(O288))),"",O56-O288)</f>
        <v/>
      </c>
      <c r="P520" s="11" t="str">
        <f aca="false">IF(COUNT(D520:N520)=0,"",IF(AND(MAX(D520:N520)&lt;2,MIN(D520:N520)&gt;-2),"Sin diferencia","Diferencia a explicar"))</f>
        <v/>
      </c>
    </row>
    <row r="521" customFormat="false" ht="15" hidden="true" customHeight="false" outlineLevel="1" collapsed="false">
      <c r="A521" s="11" t="s">
        <v>2418</v>
      </c>
      <c r="B521" s="15" t="s">
        <v>2366</v>
      </c>
      <c r="C521" s="11" t="s">
        <v>544</v>
      </c>
      <c r="D521" s="48" t="str">
        <f aca="false">IF(OR(NOT(ISNUMBER(D57)),NOT(ISNUMBER(D289))),"",D57-D289)</f>
        <v/>
      </c>
      <c r="E521" s="48" t="str">
        <f aca="false">IF(OR(NOT(ISNUMBER(E57)),NOT(ISNUMBER(E289))),"",E57-E289)</f>
        <v/>
      </c>
      <c r="F521" s="48" t="str">
        <f aca="false">IF(OR(NOT(ISNUMBER(F57)),NOT(ISNUMBER(F289))),"",F57-F289)</f>
        <v/>
      </c>
      <c r="G521" s="48" t="str">
        <f aca="false">IF(OR(NOT(ISNUMBER(G57)),NOT(ISNUMBER(G289))),"",G57-G289)</f>
        <v/>
      </c>
      <c r="H521" s="48" t="str">
        <f aca="false">IF(OR(NOT(ISNUMBER(H57)),NOT(ISNUMBER(H289))),"",H57-H289)</f>
        <v/>
      </c>
      <c r="I521" s="48" t="str">
        <f aca="false">IF(OR(NOT(ISNUMBER(I57)),NOT(ISNUMBER(I289))),"",I57-I289)</f>
        <v/>
      </c>
      <c r="J521" s="48" t="str">
        <f aca="false">IF(OR(NOT(ISNUMBER(J57)),NOT(ISNUMBER(J289))),"",J57-J289)</f>
        <v/>
      </c>
      <c r="K521" s="48" t="str">
        <f aca="false">IF(OR(NOT(ISNUMBER(K57)),NOT(ISNUMBER(K289))),"",K57-K289)</f>
        <v/>
      </c>
      <c r="L521" s="48" t="str">
        <f aca="false">IF(OR(NOT(ISNUMBER(L57)),NOT(ISNUMBER(L289))),"",L57-L289)</f>
        <v/>
      </c>
      <c r="M521" s="48" t="str">
        <f aca="false">IF(OR(NOT(ISNUMBER(M57)),NOT(ISNUMBER(M289))),"",M57-M289)</f>
        <v/>
      </c>
      <c r="N521" s="48" t="str">
        <f aca="false">IF(OR(NOT(ISNUMBER(N57)),NOT(ISNUMBER(N289))),"",N57-N289)</f>
        <v/>
      </c>
      <c r="O521" s="54" t="str">
        <f aca="false">IF(OR(NOT(ISNUMBER(O57)),NOT(ISNUMBER(O289))),"",O57-O289)</f>
        <v/>
      </c>
      <c r="P521" s="11" t="str">
        <f aca="false">IF(COUNT(D521:N521)=0,"",IF(AND(MAX(D521:N521)&lt;2,MIN(D521:N521)&gt;-2),"Sin diferencia","Diferencia a explicar"))</f>
        <v/>
      </c>
    </row>
    <row r="522" customFormat="false" ht="15" hidden="true" customHeight="false" outlineLevel="1" collapsed="false">
      <c r="A522" s="11" t="s">
        <v>2419</v>
      </c>
      <c r="B522" s="15" t="s">
        <v>2368</v>
      </c>
      <c r="C522" s="11" t="s">
        <v>508</v>
      </c>
      <c r="D522" s="48" t="str">
        <f aca="false">IF(OR(NOT(ISNUMBER(D58)),NOT(ISNUMBER(D290))),"",D58-D290)</f>
        <v/>
      </c>
      <c r="E522" s="48" t="str">
        <f aca="false">IF(OR(NOT(ISNUMBER(E58)),NOT(ISNUMBER(E290))),"",E58-E290)</f>
        <v/>
      </c>
      <c r="F522" s="48" t="str">
        <f aca="false">IF(OR(NOT(ISNUMBER(F58)),NOT(ISNUMBER(F290))),"",F58-F290)</f>
        <v/>
      </c>
      <c r="G522" s="48" t="str">
        <f aca="false">IF(OR(NOT(ISNUMBER(G58)),NOT(ISNUMBER(G290))),"",G58-G290)</f>
        <v/>
      </c>
      <c r="H522" s="48" t="str">
        <f aca="false">IF(OR(NOT(ISNUMBER(H58)),NOT(ISNUMBER(H290))),"",H58-H290)</f>
        <v/>
      </c>
      <c r="I522" s="48" t="str">
        <f aca="false">IF(OR(NOT(ISNUMBER(I58)),NOT(ISNUMBER(I290))),"",I58-I290)</f>
        <v/>
      </c>
      <c r="J522" s="48" t="str">
        <f aca="false">IF(OR(NOT(ISNUMBER(J58)),NOT(ISNUMBER(J290))),"",J58-J290)</f>
        <v/>
      </c>
      <c r="K522" s="48" t="str">
        <f aca="false">IF(OR(NOT(ISNUMBER(K58)),NOT(ISNUMBER(K290))),"",K58-K290)</f>
        <v/>
      </c>
      <c r="L522" s="48" t="str">
        <f aca="false">IF(OR(NOT(ISNUMBER(L58)),NOT(ISNUMBER(L290))),"",L58-L290)</f>
        <v/>
      </c>
      <c r="M522" s="48" t="str">
        <f aca="false">IF(OR(NOT(ISNUMBER(M58)),NOT(ISNUMBER(M290))),"",M58-M290)</f>
        <v/>
      </c>
      <c r="N522" s="48" t="str">
        <f aca="false">IF(OR(NOT(ISNUMBER(N58)),NOT(ISNUMBER(N290))),"",N58-N290)</f>
        <v/>
      </c>
      <c r="O522" s="54" t="str">
        <f aca="false">IF(OR(NOT(ISNUMBER(O58)),NOT(ISNUMBER(O290))),"",O58-O290)</f>
        <v/>
      </c>
      <c r="P522" s="11" t="str">
        <f aca="false">IF(COUNT(D522:N522)=0,"",IF(AND(MAX(D522:N522)&lt;2,MIN(D522:N522)&gt;-2),"Sin diferencia","Diferencia a explicar"))</f>
        <v/>
      </c>
    </row>
    <row r="523" customFormat="false" ht="15" hidden="true" customHeight="false" outlineLevel="1" collapsed="false">
      <c r="A523" s="11" t="s">
        <v>2420</v>
      </c>
      <c r="B523" s="15" t="s">
        <v>2370</v>
      </c>
      <c r="C523" s="11" t="s">
        <v>748</v>
      </c>
      <c r="D523" s="50" t="str">
        <f aca="false">IF(OR(NOT(ISNUMBER(D59)),NOT(ISNUMBER(D291))),"",D59-D291)</f>
        <v/>
      </c>
      <c r="E523" s="50" t="str">
        <f aca="false">IF(OR(NOT(ISNUMBER(E59)),NOT(ISNUMBER(E291))),"",E59-E291)</f>
        <v/>
      </c>
      <c r="F523" s="50" t="str">
        <f aca="false">IF(OR(NOT(ISNUMBER(F59)),NOT(ISNUMBER(F291))),"",F59-F291)</f>
        <v/>
      </c>
      <c r="G523" s="50" t="str">
        <f aca="false">IF(OR(NOT(ISNUMBER(G59)),NOT(ISNUMBER(G291))),"",G59-G291)</f>
        <v/>
      </c>
      <c r="H523" s="50" t="str">
        <f aca="false">IF(OR(NOT(ISNUMBER(H59)),NOT(ISNUMBER(H291))),"",H59-H291)</f>
        <v/>
      </c>
      <c r="I523" s="50" t="str">
        <f aca="false">IF(OR(NOT(ISNUMBER(I59)),NOT(ISNUMBER(I291))),"",I59-I291)</f>
        <v/>
      </c>
      <c r="J523" s="50" t="str">
        <f aca="false">IF(OR(NOT(ISNUMBER(J59)),NOT(ISNUMBER(J291))),"",J59-J291)</f>
        <v/>
      </c>
      <c r="K523" s="50" t="str">
        <f aca="false">IF(OR(NOT(ISNUMBER(K59)),NOT(ISNUMBER(K291))),"",K59-K291)</f>
        <v/>
      </c>
      <c r="L523" s="50" t="str">
        <f aca="false">IF(OR(NOT(ISNUMBER(L59)),NOT(ISNUMBER(L291))),"",L59-L291)</f>
        <v/>
      </c>
      <c r="M523" s="50" t="str">
        <f aca="false">IF(OR(NOT(ISNUMBER(M59)),NOT(ISNUMBER(M291))),"",M59-M291)</f>
        <v/>
      </c>
      <c r="N523" s="50" t="str">
        <f aca="false">IF(OR(NOT(ISNUMBER(N59)),NOT(ISNUMBER(N291))),"",N59-N291)</f>
        <v/>
      </c>
      <c r="O523" s="68" t="str">
        <f aca="false">IF(OR(NOT(ISNUMBER(O59)),NOT(ISNUMBER(O291))),"",O59-O291)</f>
        <v/>
      </c>
      <c r="P523" s="11" t="str">
        <f aca="false">IF(COUNT(D523:N523)=0,"",IF(AND(MAX(D523:N523)&lt;0.005,MIN(D523:N523)&gt;-0.005),"Sin diferencia","Diferencia a explicar"))</f>
        <v/>
      </c>
    </row>
    <row r="524" customFormat="false" ht="15" hidden="true" customHeight="false" outlineLevel="1" collapsed="false">
      <c r="A524" s="11" t="s">
        <v>2421</v>
      </c>
      <c r="B524" s="15" t="s">
        <v>2372</v>
      </c>
      <c r="C524" s="11" t="s">
        <v>748</v>
      </c>
      <c r="D524" s="50" t="str">
        <f aca="false">IF(OR(NOT(ISNUMBER(D60)),NOT(ISNUMBER(D292))),"",D60-D292)</f>
        <v/>
      </c>
      <c r="E524" s="50" t="str">
        <f aca="false">IF(OR(NOT(ISNUMBER(E60)),NOT(ISNUMBER(E292))),"",E60-E292)</f>
        <v/>
      </c>
      <c r="F524" s="50" t="str">
        <f aca="false">IF(OR(NOT(ISNUMBER(F60)),NOT(ISNUMBER(F292))),"",F60-F292)</f>
        <v/>
      </c>
      <c r="G524" s="50" t="str">
        <f aca="false">IF(OR(NOT(ISNUMBER(G60)),NOT(ISNUMBER(G292))),"",G60-G292)</f>
        <v/>
      </c>
      <c r="H524" s="50" t="str">
        <f aca="false">IF(OR(NOT(ISNUMBER(H60)),NOT(ISNUMBER(H292))),"",H60-H292)</f>
        <v/>
      </c>
      <c r="I524" s="50" t="str">
        <f aca="false">IF(OR(NOT(ISNUMBER(I60)),NOT(ISNUMBER(I292))),"",I60-I292)</f>
        <v/>
      </c>
      <c r="J524" s="50" t="str">
        <f aca="false">IF(OR(NOT(ISNUMBER(J60)),NOT(ISNUMBER(J292))),"",J60-J292)</f>
        <v/>
      </c>
      <c r="K524" s="50" t="str">
        <f aca="false">IF(OR(NOT(ISNUMBER(K60)),NOT(ISNUMBER(K292))),"",K60-K292)</f>
        <v/>
      </c>
      <c r="L524" s="50" t="str">
        <f aca="false">IF(OR(NOT(ISNUMBER(L60)),NOT(ISNUMBER(L292))),"",L60-L292)</f>
        <v/>
      </c>
      <c r="M524" s="50" t="str">
        <f aca="false">IF(OR(NOT(ISNUMBER(M60)),NOT(ISNUMBER(M292))),"",M60-M292)</f>
        <v/>
      </c>
      <c r="N524" s="50" t="str">
        <f aca="false">IF(OR(NOT(ISNUMBER(N60)),NOT(ISNUMBER(N292))),"",N60-N292)</f>
        <v/>
      </c>
      <c r="O524" s="68" t="str">
        <f aca="false">IF(OR(NOT(ISNUMBER(O60)),NOT(ISNUMBER(O292))),"",O60-O292)</f>
        <v/>
      </c>
      <c r="P524" s="11" t="str">
        <f aca="false">IF(COUNT(D524:N524)=0,"",IF(AND(MAX(D524:N524)&lt;0.005,MIN(D524:N524)&gt;-0.005),"Sin diferencia","Diferencia a explicar"))</f>
        <v/>
      </c>
    </row>
    <row r="525" customFormat="false" ht="15" hidden="true" customHeight="false" outlineLevel="1" collapsed="false">
      <c r="A525" s="11" t="s">
        <v>2422</v>
      </c>
      <c r="B525" s="15" t="s">
        <v>2374</v>
      </c>
      <c r="C525" s="11" t="s">
        <v>367</v>
      </c>
      <c r="D525" s="49" t="str">
        <f aca="false">IF(OR(NOT(ISNUMBER(D61)),NOT(ISNUMBER(D293))),"",D61-D293)</f>
        <v/>
      </c>
      <c r="E525" s="49" t="str">
        <f aca="false">IF(OR(NOT(ISNUMBER(E61)),NOT(ISNUMBER(E293))),"",E61-E293)</f>
        <v/>
      </c>
      <c r="F525" s="49" t="str">
        <f aca="false">IF(OR(NOT(ISNUMBER(F61)),NOT(ISNUMBER(F293))),"",F61-F293)</f>
        <v/>
      </c>
      <c r="G525" s="49" t="str">
        <f aca="false">IF(OR(NOT(ISNUMBER(G61)),NOT(ISNUMBER(G293))),"",G61-G293)</f>
        <v/>
      </c>
      <c r="H525" s="49" t="str">
        <f aca="false">IF(OR(NOT(ISNUMBER(H61)),NOT(ISNUMBER(H293))),"",H61-H293)</f>
        <v/>
      </c>
      <c r="I525" s="49" t="str">
        <f aca="false">IF(OR(NOT(ISNUMBER(I61)),NOT(ISNUMBER(I293))),"",I61-I293)</f>
        <v/>
      </c>
      <c r="J525" s="49" t="str">
        <f aca="false">IF(OR(NOT(ISNUMBER(J61)),NOT(ISNUMBER(J293))),"",J61-J293)</f>
        <v/>
      </c>
      <c r="K525" s="49" t="str">
        <f aca="false">IF(OR(NOT(ISNUMBER(K61)),NOT(ISNUMBER(K293))),"",K61-K293)</f>
        <v/>
      </c>
      <c r="L525" s="49" t="str">
        <f aca="false">IF(OR(NOT(ISNUMBER(L61)),NOT(ISNUMBER(L293))),"",L61-L293)</f>
        <v/>
      </c>
      <c r="M525" s="49" t="str">
        <f aca="false">IF(OR(NOT(ISNUMBER(M61)),NOT(ISNUMBER(M293))),"",M61-M293)</f>
        <v/>
      </c>
      <c r="N525" s="49" t="str">
        <f aca="false">IF(OR(NOT(ISNUMBER(N61)),NOT(ISNUMBER(N293))),"",N61-N293)</f>
        <v/>
      </c>
      <c r="O525" s="99" t="str">
        <f aca="false">IF(OR(NOT(ISNUMBER(O61)),NOT(ISNUMBER(O293))),"",O61-O293)</f>
        <v/>
      </c>
      <c r="P525" s="11" t="str">
        <f aca="false">IF(COUNT(D525:N525)=0,"",IF(AND(MAX(D525:N525)&lt;0.0005,MIN(D525:N525)&gt;-0.0005),"Sin diferencia","Diferencia a explicar"))</f>
        <v/>
      </c>
    </row>
    <row r="526" customFormat="false" ht="15" hidden="true" customHeight="false" outlineLevel="1" collapsed="false">
      <c r="A526" s="11" t="s">
        <v>2423</v>
      </c>
      <c r="B526" s="15" t="s">
        <v>2376</v>
      </c>
      <c r="C526" s="11" t="s">
        <v>508</v>
      </c>
      <c r="D526" s="48" t="str">
        <f aca="false">IF(OR(NOT(ISNUMBER(D62)),NOT(ISNUMBER(D294))),"",D62-D294)</f>
        <v/>
      </c>
      <c r="E526" s="48" t="str">
        <f aca="false">IF(OR(NOT(ISNUMBER(E62)),NOT(ISNUMBER(E294))),"",E62-E294)</f>
        <v/>
      </c>
      <c r="F526" s="48" t="str">
        <f aca="false">IF(OR(NOT(ISNUMBER(F62)),NOT(ISNUMBER(F294))),"",F62-F294)</f>
        <v/>
      </c>
      <c r="G526" s="48" t="str">
        <f aca="false">IF(OR(NOT(ISNUMBER(G62)),NOT(ISNUMBER(G294))),"",G62-G294)</f>
        <v/>
      </c>
      <c r="H526" s="48" t="str">
        <f aca="false">IF(OR(NOT(ISNUMBER(H62)),NOT(ISNUMBER(H294))),"",H62-H294)</f>
        <v/>
      </c>
      <c r="I526" s="48" t="str">
        <f aca="false">IF(OR(NOT(ISNUMBER(I62)),NOT(ISNUMBER(I294))),"",I62-I294)</f>
        <v/>
      </c>
      <c r="J526" s="48" t="str">
        <f aca="false">IF(OR(NOT(ISNUMBER(J62)),NOT(ISNUMBER(J294))),"",J62-J294)</f>
        <v/>
      </c>
      <c r="K526" s="48" t="str">
        <f aca="false">IF(OR(NOT(ISNUMBER(K62)),NOT(ISNUMBER(K294))),"",K62-K294)</f>
        <v/>
      </c>
      <c r="L526" s="48" t="str">
        <f aca="false">IF(OR(NOT(ISNUMBER(L62)),NOT(ISNUMBER(L294))),"",L62-L294)</f>
        <v/>
      </c>
      <c r="M526" s="48" t="str">
        <f aca="false">IF(OR(NOT(ISNUMBER(M62)),NOT(ISNUMBER(M294))),"",M62-M294)</f>
        <v/>
      </c>
      <c r="N526" s="48" t="str">
        <f aca="false">IF(OR(NOT(ISNUMBER(N62)),NOT(ISNUMBER(N294))),"",N62-N294)</f>
        <v/>
      </c>
      <c r="O526" s="54" t="str">
        <f aca="false">IF(OR(NOT(ISNUMBER(O62)),NOT(ISNUMBER(O294))),"",O62-O294)</f>
        <v/>
      </c>
      <c r="P526" s="11" t="str">
        <f aca="false">IF(COUNT(D526:N526)=0,"",IF(AND(MAX(D526:N526)&lt;2,MIN(D526:N526)&gt;-2),"Sin diferencia","Diferencia a explicar"))</f>
        <v/>
      </c>
    </row>
    <row r="527" customFormat="false" ht="15" hidden="true" customHeight="false" outlineLevel="1" collapsed="false">
      <c r="A527" s="11" t="s">
        <v>2424</v>
      </c>
      <c r="B527" s="15" t="s">
        <v>2378</v>
      </c>
      <c r="C527" s="11" t="s">
        <v>508</v>
      </c>
      <c r="D527" s="48" t="str">
        <f aca="false">IF(OR(NOT(ISNUMBER(D63)),NOT(ISNUMBER(D295))),"",D63-D295)</f>
        <v/>
      </c>
      <c r="E527" s="48" t="str">
        <f aca="false">IF(OR(NOT(ISNUMBER(E63)),NOT(ISNUMBER(E295))),"",E63-E295)</f>
        <v/>
      </c>
      <c r="F527" s="48" t="str">
        <f aca="false">IF(OR(NOT(ISNUMBER(F63)),NOT(ISNUMBER(F295))),"",F63-F295)</f>
        <v/>
      </c>
      <c r="G527" s="48" t="str">
        <f aca="false">IF(OR(NOT(ISNUMBER(G63)),NOT(ISNUMBER(G295))),"",G63-G295)</f>
        <v/>
      </c>
      <c r="H527" s="48" t="str">
        <f aca="false">IF(OR(NOT(ISNUMBER(H63)),NOT(ISNUMBER(H295))),"",H63-H295)</f>
        <v/>
      </c>
      <c r="I527" s="48" t="str">
        <f aca="false">IF(OR(NOT(ISNUMBER(I63)),NOT(ISNUMBER(I295))),"",I63-I295)</f>
        <v/>
      </c>
      <c r="J527" s="48" t="str">
        <f aca="false">IF(OR(NOT(ISNUMBER(J63)),NOT(ISNUMBER(J295))),"",J63-J295)</f>
        <v/>
      </c>
      <c r="K527" s="48" t="str">
        <f aca="false">IF(OR(NOT(ISNUMBER(K63)),NOT(ISNUMBER(K295))),"",K63-K295)</f>
        <v/>
      </c>
      <c r="L527" s="48" t="str">
        <f aca="false">IF(OR(NOT(ISNUMBER(L63)),NOT(ISNUMBER(L295))),"",L63-L295)</f>
        <v/>
      </c>
      <c r="M527" s="48" t="str">
        <f aca="false">IF(OR(NOT(ISNUMBER(M63)),NOT(ISNUMBER(M295))),"",M63-M295)</f>
        <v/>
      </c>
      <c r="N527" s="48" t="str">
        <f aca="false">IF(OR(NOT(ISNUMBER(N63)),NOT(ISNUMBER(N295))),"",N63-N295)</f>
        <v/>
      </c>
      <c r="O527" s="54" t="str">
        <f aca="false">IF(OR(NOT(ISNUMBER(O63)),NOT(ISNUMBER(O295))),"",O63-O295)</f>
        <v/>
      </c>
      <c r="P527" s="11" t="str">
        <f aca="false">IF(COUNT(D527:N527)=0,"",IF(AND(MAX(D527:N527)&lt;2,MIN(D527:N527)&gt;-2),"Sin diferencia","Diferencia a explicar"))</f>
        <v/>
      </c>
    </row>
    <row r="528" customFormat="false" ht="15" hidden="true" customHeight="false" outlineLevel="1" collapsed="false">
      <c r="A528" s="11" t="s">
        <v>2425</v>
      </c>
      <c r="B528" s="15" t="s">
        <v>2380</v>
      </c>
      <c r="C528" s="11" t="s">
        <v>748</v>
      </c>
      <c r="D528" s="50" t="str">
        <f aca="false">IF(OR(NOT(ISNUMBER(D64)),NOT(ISNUMBER(D296))),"",D64-D296)</f>
        <v/>
      </c>
      <c r="E528" s="50" t="str">
        <f aca="false">IF(OR(NOT(ISNUMBER(E64)),NOT(ISNUMBER(E296))),"",E64-E296)</f>
        <v/>
      </c>
      <c r="F528" s="50" t="str">
        <f aca="false">IF(OR(NOT(ISNUMBER(F64)),NOT(ISNUMBER(F296))),"",F64-F296)</f>
        <v/>
      </c>
      <c r="G528" s="50" t="str">
        <f aca="false">IF(OR(NOT(ISNUMBER(G64)),NOT(ISNUMBER(G296))),"",G64-G296)</f>
        <v/>
      </c>
      <c r="H528" s="50" t="str">
        <f aca="false">IF(OR(NOT(ISNUMBER(H64)),NOT(ISNUMBER(H296))),"",H64-H296)</f>
        <v/>
      </c>
      <c r="I528" s="50" t="str">
        <f aca="false">IF(OR(NOT(ISNUMBER(I64)),NOT(ISNUMBER(I296))),"",I64-I296)</f>
        <v/>
      </c>
      <c r="J528" s="50" t="str">
        <f aca="false">IF(OR(NOT(ISNUMBER(J64)),NOT(ISNUMBER(J296))),"",J64-J296)</f>
        <v/>
      </c>
      <c r="K528" s="50" t="str">
        <f aca="false">IF(OR(NOT(ISNUMBER(K64)),NOT(ISNUMBER(K296))),"",K64-K296)</f>
        <v/>
      </c>
      <c r="L528" s="50" t="str">
        <f aca="false">IF(OR(NOT(ISNUMBER(L64)),NOT(ISNUMBER(L296))),"",L64-L296)</f>
        <v/>
      </c>
      <c r="M528" s="50" t="str">
        <f aca="false">IF(OR(NOT(ISNUMBER(M64)),NOT(ISNUMBER(M296))),"",M64-M296)</f>
        <v/>
      </c>
      <c r="N528" s="50" t="str">
        <f aca="false">IF(OR(NOT(ISNUMBER(N64)),NOT(ISNUMBER(N296))),"",N64-N296)</f>
        <v/>
      </c>
      <c r="O528" s="68" t="str">
        <f aca="false">IF(OR(NOT(ISNUMBER(O64)),NOT(ISNUMBER(O296))),"",O64-O296)</f>
        <v/>
      </c>
      <c r="P528" s="11" t="str">
        <f aca="false">IF(COUNT(D528:N528)=0,"",IF(AND(MAX(D528:N528)&lt;0.005,MIN(D528:N528)&gt;-0.005),"Sin diferencia","Diferencia a explicar"))</f>
        <v/>
      </c>
    </row>
    <row r="529" customFormat="false" ht="15" hidden="true" customHeight="false" outlineLevel="1" collapsed="false">
      <c r="A529" s="11" t="s">
        <v>2426</v>
      </c>
      <c r="B529" s="53" t="str">
        <f aca="false">IF(INDEX(Prod_Nombre,7)="","Producto 7",INDEX(Prod_Nombre,7))&amp;" — costo directo"</f>
        <v>Producto 7 — costo directo</v>
      </c>
      <c r="C529" s="11" t="s">
        <v>508</v>
      </c>
      <c r="D529" s="48" t="str">
        <f aca="false">IF(OR(NOT(ISNUMBER(D65)),NOT(ISNUMBER(D297))),"",D65-D297)</f>
        <v/>
      </c>
      <c r="E529" s="48" t="str">
        <f aca="false">IF(OR(NOT(ISNUMBER(E65)),NOT(ISNUMBER(E297))),"",E65-E297)</f>
        <v/>
      </c>
      <c r="F529" s="48" t="str">
        <f aca="false">IF(OR(NOT(ISNUMBER(F65)),NOT(ISNUMBER(F297))),"",F65-F297)</f>
        <v/>
      </c>
      <c r="G529" s="48" t="str">
        <f aca="false">IF(OR(NOT(ISNUMBER(G65)),NOT(ISNUMBER(G297))),"",G65-G297)</f>
        <v/>
      </c>
      <c r="H529" s="48" t="str">
        <f aca="false">IF(OR(NOT(ISNUMBER(H65)),NOT(ISNUMBER(H297))),"",H65-H297)</f>
        <v/>
      </c>
      <c r="I529" s="48" t="str">
        <f aca="false">IF(OR(NOT(ISNUMBER(I65)),NOT(ISNUMBER(I297))),"",I65-I297)</f>
        <v/>
      </c>
      <c r="J529" s="48" t="str">
        <f aca="false">IF(OR(NOT(ISNUMBER(J65)),NOT(ISNUMBER(J297))),"",J65-J297)</f>
        <v/>
      </c>
      <c r="K529" s="48" t="str">
        <f aca="false">IF(OR(NOT(ISNUMBER(K65)),NOT(ISNUMBER(K297))),"",K65-K297)</f>
        <v/>
      </c>
      <c r="L529" s="48" t="str">
        <f aca="false">IF(OR(NOT(ISNUMBER(L65)),NOT(ISNUMBER(L297))),"",L65-L297)</f>
        <v/>
      </c>
      <c r="M529" s="48" t="str">
        <f aca="false">IF(OR(NOT(ISNUMBER(M65)),NOT(ISNUMBER(M297))),"",M65-M297)</f>
        <v/>
      </c>
      <c r="N529" s="48" t="str">
        <f aca="false">IF(OR(NOT(ISNUMBER(N65)),NOT(ISNUMBER(N297))),"",N65-N297)</f>
        <v/>
      </c>
      <c r="O529" s="54" t="str">
        <f aca="false">IF(OR(NOT(ISNUMBER(O65)),NOT(ISNUMBER(O297))),"",O65-O297)</f>
        <v/>
      </c>
      <c r="P529" s="11" t="str">
        <f aca="false">IF(COUNT(D529:N529)=0,"",IF(AND(MAX(D529:N529)&lt;2,MIN(D529:N529)&gt;-2),"Sin diferencia","Diferencia a explicar"))</f>
        <v/>
      </c>
    </row>
    <row r="530" customFormat="false" ht="15" hidden="true" customHeight="false" outlineLevel="1" collapsed="false">
      <c r="A530" s="11" t="s">
        <v>2427</v>
      </c>
      <c r="B530" s="15" t="s">
        <v>2366</v>
      </c>
      <c r="C530" s="11" t="s">
        <v>544</v>
      </c>
      <c r="D530" s="48" t="str">
        <f aca="false">IF(OR(NOT(ISNUMBER(D66)),NOT(ISNUMBER(D298))),"",D66-D298)</f>
        <v/>
      </c>
      <c r="E530" s="48" t="str">
        <f aca="false">IF(OR(NOT(ISNUMBER(E66)),NOT(ISNUMBER(E298))),"",E66-E298)</f>
        <v/>
      </c>
      <c r="F530" s="48" t="str">
        <f aca="false">IF(OR(NOT(ISNUMBER(F66)),NOT(ISNUMBER(F298))),"",F66-F298)</f>
        <v/>
      </c>
      <c r="G530" s="48" t="str">
        <f aca="false">IF(OR(NOT(ISNUMBER(G66)),NOT(ISNUMBER(G298))),"",G66-G298)</f>
        <v/>
      </c>
      <c r="H530" s="48" t="str">
        <f aca="false">IF(OR(NOT(ISNUMBER(H66)),NOT(ISNUMBER(H298))),"",H66-H298)</f>
        <v/>
      </c>
      <c r="I530" s="48" t="str">
        <f aca="false">IF(OR(NOT(ISNUMBER(I66)),NOT(ISNUMBER(I298))),"",I66-I298)</f>
        <v/>
      </c>
      <c r="J530" s="48" t="str">
        <f aca="false">IF(OR(NOT(ISNUMBER(J66)),NOT(ISNUMBER(J298))),"",J66-J298)</f>
        <v/>
      </c>
      <c r="K530" s="48" t="str">
        <f aca="false">IF(OR(NOT(ISNUMBER(K66)),NOT(ISNUMBER(K298))),"",K66-K298)</f>
        <v/>
      </c>
      <c r="L530" s="48" t="str">
        <f aca="false">IF(OR(NOT(ISNUMBER(L66)),NOT(ISNUMBER(L298))),"",L66-L298)</f>
        <v/>
      </c>
      <c r="M530" s="48" t="str">
        <f aca="false">IF(OR(NOT(ISNUMBER(M66)),NOT(ISNUMBER(M298))),"",M66-M298)</f>
        <v/>
      </c>
      <c r="N530" s="48" t="str">
        <f aca="false">IF(OR(NOT(ISNUMBER(N66)),NOT(ISNUMBER(N298))),"",N66-N298)</f>
        <v/>
      </c>
      <c r="O530" s="54" t="str">
        <f aca="false">IF(OR(NOT(ISNUMBER(O66)),NOT(ISNUMBER(O298))),"",O66-O298)</f>
        <v/>
      </c>
      <c r="P530" s="11" t="str">
        <f aca="false">IF(COUNT(D530:N530)=0,"",IF(AND(MAX(D530:N530)&lt;2,MIN(D530:N530)&gt;-2),"Sin diferencia","Diferencia a explicar"))</f>
        <v/>
      </c>
    </row>
    <row r="531" customFormat="false" ht="15" hidden="true" customHeight="false" outlineLevel="1" collapsed="false">
      <c r="A531" s="11" t="s">
        <v>2428</v>
      </c>
      <c r="B531" s="15" t="s">
        <v>2368</v>
      </c>
      <c r="C531" s="11" t="s">
        <v>508</v>
      </c>
      <c r="D531" s="48" t="str">
        <f aca="false">IF(OR(NOT(ISNUMBER(D67)),NOT(ISNUMBER(D299))),"",D67-D299)</f>
        <v/>
      </c>
      <c r="E531" s="48" t="str">
        <f aca="false">IF(OR(NOT(ISNUMBER(E67)),NOT(ISNUMBER(E299))),"",E67-E299)</f>
        <v/>
      </c>
      <c r="F531" s="48" t="str">
        <f aca="false">IF(OR(NOT(ISNUMBER(F67)),NOT(ISNUMBER(F299))),"",F67-F299)</f>
        <v/>
      </c>
      <c r="G531" s="48" t="str">
        <f aca="false">IF(OR(NOT(ISNUMBER(G67)),NOT(ISNUMBER(G299))),"",G67-G299)</f>
        <v/>
      </c>
      <c r="H531" s="48" t="str">
        <f aca="false">IF(OR(NOT(ISNUMBER(H67)),NOT(ISNUMBER(H299))),"",H67-H299)</f>
        <v/>
      </c>
      <c r="I531" s="48" t="str">
        <f aca="false">IF(OR(NOT(ISNUMBER(I67)),NOT(ISNUMBER(I299))),"",I67-I299)</f>
        <v/>
      </c>
      <c r="J531" s="48" t="str">
        <f aca="false">IF(OR(NOT(ISNUMBER(J67)),NOT(ISNUMBER(J299))),"",J67-J299)</f>
        <v/>
      </c>
      <c r="K531" s="48" t="str">
        <f aca="false">IF(OR(NOT(ISNUMBER(K67)),NOT(ISNUMBER(K299))),"",K67-K299)</f>
        <v/>
      </c>
      <c r="L531" s="48" t="str">
        <f aca="false">IF(OR(NOT(ISNUMBER(L67)),NOT(ISNUMBER(L299))),"",L67-L299)</f>
        <v/>
      </c>
      <c r="M531" s="48" t="str">
        <f aca="false">IF(OR(NOT(ISNUMBER(M67)),NOT(ISNUMBER(M299))),"",M67-M299)</f>
        <v/>
      </c>
      <c r="N531" s="48" t="str">
        <f aca="false">IF(OR(NOT(ISNUMBER(N67)),NOT(ISNUMBER(N299))),"",N67-N299)</f>
        <v/>
      </c>
      <c r="O531" s="54" t="str">
        <f aca="false">IF(OR(NOT(ISNUMBER(O67)),NOT(ISNUMBER(O299))),"",O67-O299)</f>
        <v/>
      </c>
      <c r="P531" s="11" t="str">
        <f aca="false">IF(COUNT(D531:N531)=0,"",IF(AND(MAX(D531:N531)&lt;2,MIN(D531:N531)&gt;-2),"Sin diferencia","Diferencia a explicar"))</f>
        <v/>
      </c>
    </row>
    <row r="532" customFormat="false" ht="15" hidden="true" customHeight="false" outlineLevel="1" collapsed="false">
      <c r="A532" s="11" t="s">
        <v>2429</v>
      </c>
      <c r="B532" s="15" t="s">
        <v>2370</v>
      </c>
      <c r="C532" s="11" t="s">
        <v>748</v>
      </c>
      <c r="D532" s="50" t="str">
        <f aca="false">IF(OR(NOT(ISNUMBER(D68)),NOT(ISNUMBER(D300))),"",D68-D300)</f>
        <v/>
      </c>
      <c r="E532" s="50" t="str">
        <f aca="false">IF(OR(NOT(ISNUMBER(E68)),NOT(ISNUMBER(E300))),"",E68-E300)</f>
        <v/>
      </c>
      <c r="F532" s="50" t="str">
        <f aca="false">IF(OR(NOT(ISNUMBER(F68)),NOT(ISNUMBER(F300))),"",F68-F300)</f>
        <v/>
      </c>
      <c r="G532" s="50" t="str">
        <f aca="false">IF(OR(NOT(ISNUMBER(G68)),NOT(ISNUMBER(G300))),"",G68-G300)</f>
        <v/>
      </c>
      <c r="H532" s="50" t="str">
        <f aca="false">IF(OR(NOT(ISNUMBER(H68)),NOT(ISNUMBER(H300))),"",H68-H300)</f>
        <v/>
      </c>
      <c r="I532" s="50" t="str">
        <f aca="false">IF(OR(NOT(ISNUMBER(I68)),NOT(ISNUMBER(I300))),"",I68-I300)</f>
        <v/>
      </c>
      <c r="J532" s="50" t="str">
        <f aca="false">IF(OR(NOT(ISNUMBER(J68)),NOT(ISNUMBER(J300))),"",J68-J300)</f>
        <v/>
      </c>
      <c r="K532" s="50" t="str">
        <f aca="false">IF(OR(NOT(ISNUMBER(K68)),NOT(ISNUMBER(K300))),"",K68-K300)</f>
        <v/>
      </c>
      <c r="L532" s="50" t="str">
        <f aca="false">IF(OR(NOT(ISNUMBER(L68)),NOT(ISNUMBER(L300))),"",L68-L300)</f>
        <v/>
      </c>
      <c r="M532" s="50" t="str">
        <f aca="false">IF(OR(NOT(ISNUMBER(M68)),NOT(ISNUMBER(M300))),"",M68-M300)</f>
        <v/>
      </c>
      <c r="N532" s="50" t="str">
        <f aca="false">IF(OR(NOT(ISNUMBER(N68)),NOT(ISNUMBER(N300))),"",N68-N300)</f>
        <v/>
      </c>
      <c r="O532" s="68" t="str">
        <f aca="false">IF(OR(NOT(ISNUMBER(O68)),NOT(ISNUMBER(O300))),"",O68-O300)</f>
        <v/>
      </c>
      <c r="P532" s="11" t="str">
        <f aca="false">IF(COUNT(D532:N532)=0,"",IF(AND(MAX(D532:N532)&lt;0.005,MIN(D532:N532)&gt;-0.005),"Sin diferencia","Diferencia a explicar"))</f>
        <v/>
      </c>
    </row>
    <row r="533" customFormat="false" ht="15" hidden="true" customHeight="false" outlineLevel="1" collapsed="false">
      <c r="A533" s="11" t="s">
        <v>2430</v>
      </c>
      <c r="B533" s="15" t="s">
        <v>2372</v>
      </c>
      <c r="C533" s="11" t="s">
        <v>748</v>
      </c>
      <c r="D533" s="50" t="str">
        <f aca="false">IF(OR(NOT(ISNUMBER(D69)),NOT(ISNUMBER(D301))),"",D69-D301)</f>
        <v/>
      </c>
      <c r="E533" s="50" t="str">
        <f aca="false">IF(OR(NOT(ISNUMBER(E69)),NOT(ISNUMBER(E301))),"",E69-E301)</f>
        <v/>
      </c>
      <c r="F533" s="50" t="str">
        <f aca="false">IF(OR(NOT(ISNUMBER(F69)),NOT(ISNUMBER(F301))),"",F69-F301)</f>
        <v/>
      </c>
      <c r="G533" s="50" t="str">
        <f aca="false">IF(OR(NOT(ISNUMBER(G69)),NOT(ISNUMBER(G301))),"",G69-G301)</f>
        <v/>
      </c>
      <c r="H533" s="50" t="str">
        <f aca="false">IF(OR(NOT(ISNUMBER(H69)),NOT(ISNUMBER(H301))),"",H69-H301)</f>
        <v/>
      </c>
      <c r="I533" s="50" t="str">
        <f aca="false">IF(OR(NOT(ISNUMBER(I69)),NOT(ISNUMBER(I301))),"",I69-I301)</f>
        <v/>
      </c>
      <c r="J533" s="50" t="str">
        <f aca="false">IF(OR(NOT(ISNUMBER(J69)),NOT(ISNUMBER(J301))),"",J69-J301)</f>
        <v/>
      </c>
      <c r="K533" s="50" t="str">
        <f aca="false">IF(OR(NOT(ISNUMBER(K69)),NOT(ISNUMBER(K301))),"",K69-K301)</f>
        <v/>
      </c>
      <c r="L533" s="50" t="str">
        <f aca="false">IF(OR(NOT(ISNUMBER(L69)),NOT(ISNUMBER(L301))),"",L69-L301)</f>
        <v/>
      </c>
      <c r="M533" s="50" t="str">
        <f aca="false">IF(OR(NOT(ISNUMBER(M69)),NOT(ISNUMBER(M301))),"",M69-M301)</f>
        <v/>
      </c>
      <c r="N533" s="50" t="str">
        <f aca="false">IF(OR(NOT(ISNUMBER(N69)),NOT(ISNUMBER(N301))),"",N69-N301)</f>
        <v/>
      </c>
      <c r="O533" s="68" t="str">
        <f aca="false">IF(OR(NOT(ISNUMBER(O69)),NOT(ISNUMBER(O301))),"",O69-O301)</f>
        <v/>
      </c>
      <c r="P533" s="11" t="str">
        <f aca="false">IF(COUNT(D533:N533)=0,"",IF(AND(MAX(D533:N533)&lt;0.005,MIN(D533:N533)&gt;-0.005),"Sin diferencia","Diferencia a explicar"))</f>
        <v/>
      </c>
    </row>
    <row r="534" customFormat="false" ht="15" hidden="true" customHeight="false" outlineLevel="1" collapsed="false">
      <c r="A534" s="11" t="s">
        <v>2431</v>
      </c>
      <c r="B534" s="15" t="s">
        <v>2374</v>
      </c>
      <c r="C534" s="11" t="s">
        <v>367</v>
      </c>
      <c r="D534" s="49" t="str">
        <f aca="false">IF(OR(NOT(ISNUMBER(D70)),NOT(ISNUMBER(D302))),"",D70-D302)</f>
        <v/>
      </c>
      <c r="E534" s="49" t="str">
        <f aca="false">IF(OR(NOT(ISNUMBER(E70)),NOT(ISNUMBER(E302))),"",E70-E302)</f>
        <v/>
      </c>
      <c r="F534" s="49" t="str">
        <f aca="false">IF(OR(NOT(ISNUMBER(F70)),NOT(ISNUMBER(F302))),"",F70-F302)</f>
        <v/>
      </c>
      <c r="G534" s="49" t="str">
        <f aca="false">IF(OR(NOT(ISNUMBER(G70)),NOT(ISNUMBER(G302))),"",G70-G302)</f>
        <v/>
      </c>
      <c r="H534" s="49" t="str">
        <f aca="false">IF(OR(NOT(ISNUMBER(H70)),NOT(ISNUMBER(H302))),"",H70-H302)</f>
        <v/>
      </c>
      <c r="I534" s="49" t="str">
        <f aca="false">IF(OR(NOT(ISNUMBER(I70)),NOT(ISNUMBER(I302))),"",I70-I302)</f>
        <v/>
      </c>
      <c r="J534" s="49" t="str">
        <f aca="false">IF(OR(NOT(ISNUMBER(J70)),NOT(ISNUMBER(J302))),"",J70-J302)</f>
        <v/>
      </c>
      <c r="K534" s="49" t="str">
        <f aca="false">IF(OR(NOT(ISNUMBER(K70)),NOT(ISNUMBER(K302))),"",K70-K302)</f>
        <v/>
      </c>
      <c r="L534" s="49" t="str">
        <f aca="false">IF(OR(NOT(ISNUMBER(L70)),NOT(ISNUMBER(L302))),"",L70-L302)</f>
        <v/>
      </c>
      <c r="M534" s="49" t="str">
        <f aca="false">IF(OR(NOT(ISNUMBER(M70)),NOT(ISNUMBER(M302))),"",M70-M302)</f>
        <v/>
      </c>
      <c r="N534" s="49" t="str">
        <f aca="false">IF(OR(NOT(ISNUMBER(N70)),NOT(ISNUMBER(N302))),"",N70-N302)</f>
        <v/>
      </c>
      <c r="O534" s="99" t="str">
        <f aca="false">IF(OR(NOT(ISNUMBER(O70)),NOT(ISNUMBER(O302))),"",O70-O302)</f>
        <v/>
      </c>
      <c r="P534" s="11" t="str">
        <f aca="false">IF(COUNT(D534:N534)=0,"",IF(AND(MAX(D534:N534)&lt;0.0005,MIN(D534:N534)&gt;-0.0005),"Sin diferencia","Diferencia a explicar"))</f>
        <v/>
      </c>
    </row>
    <row r="535" customFormat="false" ht="15" hidden="true" customHeight="false" outlineLevel="1" collapsed="false">
      <c r="A535" s="11" t="s">
        <v>2432</v>
      </c>
      <c r="B535" s="15" t="s">
        <v>2376</v>
      </c>
      <c r="C535" s="11" t="s">
        <v>508</v>
      </c>
      <c r="D535" s="48" t="str">
        <f aca="false">IF(OR(NOT(ISNUMBER(D71)),NOT(ISNUMBER(D303))),"",D71-D303)</f>
        <v/>
      </c>
      <c r="E535" s="48" t="str">
        <f aca="false">IF(OR(NOT(ISNUMBER(E71)),NOT(ISNUMBER(E303))),"",E71-E303)</f>
        <v/>
      </c>
      <c r="F535" s="48" t="str">
        <f aca="false">IF(OR(NOT(ISNUMBER(F71)),NOT(ISNUMBER(F303))),"",F71-F303)</f>
        <v/>
      </c>
      <c r="G535" s="48" t="str">
        <f aca="false">IF(OR(NOT(ISNUMBER(G71)),NOT(ISNUMBER(G303))),"",G71-G303)</f>
        <v/>
      </c>
      <c r="H535" s="48" t="str">
        <f aca="false">IF(OR(NOT(ISNUMBER(H71)),NOT(ISNUMBER(H303))),"",H71-H303)</f>
        <v/>
      </c>
      <c r="I535" s="48" t="str">
        <f aca="false">IF(OR(NOT(ISNUMBER(I71)),NOT(ISNUMBER(I303))),"",I71-I303)</f>
        <v/>
      </c>
      <c r="J535" s="48" t="str">
        <f aca="false">IF(OR(NOT(ISNUMBER(J71)),NOT(ISNUMBER(J303))),"",J71-J303)</f>
        <v/>
      </c>
      <c r="K535" s="48" t="str">
        <f aca="false">IF(OR(NOT(ISNUMBER(K71)),NOT(ISNUMBER(K303))),"",K71-K303)</f>
        <v/>
      </c>
      <c r="L535" s="48" t="str">
        <f aca="false">IF(OR(NOT(ISNUMBER(L71)),NOT(ISNUMBER(L303))),"",L71-L303)</f>
        <v/>
      </c>
      <c r="M535" s="48" t="str">
        <f aca="false">IF(OR(NOT(ISNUMBER(M71)),NOT(ISNUMBER(M303))),"",M71-M303)</f>
        <v/>
      </c>
      <c r="N535" s="48" t="str">
        <f aca="false">IF(OR(NOT(ISNUMBER(N71)),NOT(ISNUMBER(N303))),"",N71-N303)</f>
        <v/>
      </c>
      <c r="O535" s="54" t="str">
        <f aca="false">IF(OR(NOT(ISNUMBER(O71)),NOT(ISNUMBER(O303))),"",O71-O303)</f>
        <v/>
      </c>
      <c r="P535" s="11" t="str">
        <f aca="false">IF(COUNT(D535:N535)=0,"",IF(AND(MAX(D535:N535)&lt;2,MIN(D535:N535)&gt;-2),"Sin diferencia","Diferencia a explicar"))</f>
        <v/>
      </c>
    </row>
    <row r="536" customFormat="false" ht="15" hidden="true" customHeight="false" outlineLevel="1" collapsed="false">
      <c r="A536" s="11" t="s">
        <v>2433</v>
      </c>
      <c r="B536" s="15" t="s">
        <v>2378</v>
      </c>
      <c r="C536" s="11" t="s">
        <v>508</v>
      </c>
      <c r="D536" s="48" t="str">
        <f aca="false">IF(OR(NOT(ISNUMBER(D72)),NOT(ISNUMBER(D304))),"",D72-D304)</f>
        <v/>
      </c>
      <c r="E536" s="48" t="str">
        <f aca="false">IF(OR(NOT(ISNUMBER(E72)),NOT(ISNUMBER(E304))),"",E72-E304)</f>
        <v/>
      </c>
      <c r="F536" s="48" t="str">
        <f aca="false">IF(OR(NOT(ISNUMBER(F72)),NOT(ISNUMBER(F304))),"",F72-F304)</f>
        <v/>
      </c>
      <c r="G536" s="48" t="str">
        <f aca="false">IF(OR(NOT(ISNUMBER(G72)),NOT(ISNUMBER(G304))),"",G72-G304)</f>
        <v/>
      </c>
      <c r="H536" s="48" t="str">
        <f aca="false">IF(OR(NOT(ISNUMBER(H72)),NOT(ISNUMBER(H304))),"",H72-H304)</f>
        <v/>
      </c>
      <c r="I536" s="48" t="str">
        <f aca="false">IF(OR(NOT(ISNUMBER(I72)),NOT(ISNUMBER(I304))),"",I72-I304)</f>
        <v/>
      </c>
      <c r="J536" s="48" t="str">
        <f aca="false">IF(OR(NOT(ISNUMBER(J72)),NOT(ISNUMBER(J304))),"",J72-J304)</f>
        <v/>
      </c>
      <c r="K536" s="48" t="str">
        <f aca="false">IF(OR(NOT(ISNUMBER(K72)),NOT(ISNUMBER(K304))),"",K72-K304)</f>
        <v/>
      </c>
      <c r="L536" s="48" t="str">
        <f aca="false">IF(OR(NOT(ISNUMBER(L72)),NOT(ISNUMBER(L304))),"",L72-L304)</f>
        <v/>
      </c>
      <c r="M536" s="48" t="str">
        <f aca="false">IF(OR(NOT(ISNUMBER(M72)),NOT(ISNUMBER(M304))),"",M72-M304)</f>
        <v/>
      </c>
      <c r="N536" s="48" t="str">
        <f aca="false">IF(OR(NOT(ISNUMBER(N72)),NOT(ISNUMBER(N304))),"",N72-N304)</f>
        <v/>
      </c>
      <c r="O536" s="54" t="str">
        <f aca="false">IF(OR(NOT(ISNUMBER(O72)),NOT(ISNUMBER(O304))),"",O72-O304)</f>
        <v/>
      </c>
      <c r="P536" s="11" t="str">
        <f aca="false">IF(COUNT(D536:N536)=0,"",IF(AND(MAX(D536:N536)&lt;2,MIN(D536:N536)&gt;-2),"Sin diferencia","Diferencia a explicar"))</f>
        <v/>
      </c>
    </row>
    <row r="537" customFormat="false" ht="15" hidden="true" customHeight="false" outlineLevel="1" collapsed="false">
      <c r="A537" s="11" t="s">
        <v>2434</v>
      </c>
      <c r="B537" s="15" t="s">
        <v>2380</v>
      </c>
      <c r="C537" s="11" t="s">
        <v>748</v>
      </c>
      <c r="D537" s="50" t="str">
        <f aca="false">IF(OR(NOT(ISNUMBER(D73)),NOT(ISNUMBER(D305))),"",D73-D305)</f>
        <v/>
      </c>
      <c r="E537" s="50" t="str">
        <f aca="false">IF(OR(NOT(ISNUMBER(E73)),NOT(ISNUMBER(E305))),"",E73-E305)</f>
        <v/>
      </c>
      <c r="F537" s="50" t="str">
        <f aca="false">IF(OR(NOT(ISNUMBER(F73)),NOT(ISNUMBER(F305))),"",F73-F305)</f>
        <v/>
      </c>
      <c r="G537" s="50" t="str">
        <f aca="false">IF(OR(NOT(ISNUMBER(G73)),NOT(ISNUMBER(G305))),"",G73-G305)</f>
        <v/>
      </c>
      <c r="H537" s="50" t="str">
        <f aca="false">IF(OR(NOT(ISNUMBER(H73)),NOT(ISNUMBER(H305))),"",H73-H305)</f>
        <v/>
      </c>
      <c r="I537" s="50" t="str">
        <f aca="false">IF(OR(NOT(ISNUMBER(I73)),NOT(ISNUMBER(I305))),"",I73-I305)</f>
        <v/>
      </c>
      <c r="J537" s="50" t="str">
        <f aca="false">IF(OR(NOT(ISNUMBER(J73)),NOT(ISNUMBER(J305))),"",J73-J305)</f>
        <v/>
      </c>
      <c r="K537" s="50" t="str">
        <f aca="false">IF(OR(NOT(ISNUMBER(K73)),NOT(ISNUMBER(K305))),"",K73-K305)</f>
        <v/>
      </c>
      <c r="L537" s="50" t="str">
        <f aca="false">IF(OR(NOT(ISNUMBER(L73)),NOT(ISNUMBER(L305))),"",L73-L305)</f>
        <v/>
      </c>
      <c r="M537" s="50" t="str">
        <f aca="false">IF(OR(NOT(ISNUMBER(M73)),NOT(ISNUMBER(M305))),"",M73-M305)</f>
        <v/>
      </c>
      <c r="N537" s="50" t="str">
        <f aca="false">IF(OR(NOT(ISNUMBER(N73)),NOT(ISNUMBER(N305))),"",N73-N305)</f>
        <v/>
      </c>
      <c r="O537" s="68" t="str">
        <f aca="false">IF(OR(NOT(ISNUMBER(O73)),NOT(ISNUMBER(O305))),"",O73-O305)</f>
        <v/>
      </c>
      <c r="P537" s="11" t="str">
        <f aca="false">IF(COUNT(D537:N537)=0,"",IF(AND(MAX(D537:N537)&lt;0.005,MIN(D537:N537)&gt;-0.005),"Sin diferencia","Diferencia a explicar"))</f>
        <v/>
      </c>
    </row>
    <row r="538" customFormat="false" ht="15" hidden="true" customHeight="false" outlineLevel="1" collapsed="false">
      <c r="A538" s="11" t="s">
        <v>2435</v>
      </c>
      <c r="B538" s="53" t="str">
        <f aca="false">IF(INDEX(Prod_Nombre,8)="","Producto 8",INDEX(Prod_Nombre,8))&amp;" — costo directo"</f>
        <v>Producto 8 — costo directo</v>
      </c>
      <c r="C538" s="11" t="s">
        <v>508</v>
      </c>
      <c r="D538" s="48" t="str">
        <f aca="false">IF(OR(NOT(ISNUMBER(D74)),NOT(ISNUMBER(D306))),"",D74-D306)</f>
        <v/>
      </c>
      <c r="E538" s="48" t="str">
        <f aca="false">IF(OR(NOT(ISNUMBER(E74)),NOT(ISNUMBER(E306))),"",E74-E306)</f>
        <v/>
      </c>
      <c r="F538" s="48" t="str">
        <f aca="false">IF(OR(NOT(ISNUMBER(F74)),NOT(ISNUMBER(F306))),"",F74-F306)</f>
        <v/>
      </c>
      <c r="G538" s="48" t="str">
        <f aca="false">IF(OR(NOT(ISNUMBER(G74)),NOT(ISNUMBER(G306))),"",G74-G306)</f>
        <v/>
      </c>
      <c r="H538" s="48" t="str">
        <f aca="false">IF(OR(NOT(ISNUMBER(H74)),NOT(ISNUMBER(H306))),"",H74-H306)</f>
        <v/>
      </c>
      <c r="I538" s="48" t="str">
        <f aca="false">IF(OR(NOT(ISNUMBER(I74)),NOT(ISNUMBER(I306))),"",I74-I306)</f>
        <v/>
      </c>
      <c r="J538" s="48" t="str">
        <f aca="false">IF(OR(NOT(ISNUMBER(J74)),NOT(ISNUMBER(J306))),"",J74-J306)</f>
        <v/>
      </c>
      <c r="K538" s="48" t="str">
        <f aca="false">IF(OR(NOT(ISNUMBER(K74)),NOT(ISNUMBER(K306))),"",K74-K306)</f>
        <v/>
      </c>
      <c r="L538" s="48" t="str">
        <f aca="false">IF(OR(NOT(ISNUMBER(L74)),NOT(ISNUMBER(L306))),"",L74-L306)</f>
        <v/>
      </c>
      <c r="M538" s="48" t="str">
        <f aca="false">IF(OR(NOT(ISNUMBER(M74)),NOT(ISNUMBER(M306))),"",M74-M306)</f>
        <v/>
      </c>
      <c r="N538" s="48" t="str">
        <f aca="false">IF(OR(NOT(ISNUMBER(N74)),NOT(ISNUMBER(N306))),"",N74-N306)</f>
        <v/>
      </c>
      <c r="O538" s="54" t="str">
        <f aca="false">IF(OR(NOT(ISNUMBER(O74)),NOT(ISNUMBER(O306))),"",O74-O306)</f>
        <v/>
      </c>
      <c r="P538" s="11" t="str">
        <f aca="false">IF(COUNT(D538:N538)=0,"",IF(AND(MAX(D538:N538)&lt;2,MIN(D538:N538)&gt;-2),"Sin diferencia","Diferencia a explicar"))</f>
        <v/>
      </c>
    </row>
    <row r="539" customFormat="false" ht="15" hidden="true" customHeight="false" outlineLevel="1" collapsed="false">
      <c r="A539" s="11" t="s">
        <v>2436</v>
      </c>
      <c r="B539" s="15" t="s">
        <v>2366</v>
      </c>
      <c r="C539" s="11" t="s">
        <v>544</v>
      </c>
      <c r="D539" s="48" t="str">
        <f aca="false">IF(OR(NOT(ISNUMBER(D75)),NOT(ISNUMBER(D307))),"",D75-D307)</f>
        <v/>
      </c>
      <c r="E539" s="48" t="str">
        <f aca="false">IF(OR(NOT(ISNUMBER(E75)),NOT(ISNUMBER(E307))),"",E75-E307)</f>
        <v/>
      </c>
      <c r="F539" s="48" t="str">
        <f aca="false">IF(OR(NOT(ISNUMBER(F75)),NOT(ISNUMBER(F307))),"",F75-F307)</f>
        <v/>
      </c>
      <c r="G539" s="48" t="str">
        <f aca="false">IF(OR(NOT(ISNUMBER(G75)),NOT(ISNUMBER(G307))),"",G75-G307)</f>
        <v/>
      </c>
      <c r="H539" s="48" t="str">
        <f aca="false">IF(OR(NOT(ISNUMBER(H75)),NOT(ISNUMBER(H307))),"",H75-H307)</f>
        <v/>
      </c>
      <c r="I539" s="48" t="str">
        <f aca="false">IF(OR(NOT(ISNUMBER(I75)),NOT(ISNUMBER(I307))),"",I75-I307)</f>
        <v/>
      </c>
      <c r="J539" s="48" t="str">
        <f aca="false">IF(OR(NOT(ISNUMBER(J75)),NOT(ISNUMBER(J307))),"",J75-J307)</f>
        <v/>
      </c>
      <c r="K539" s="48" t="str">
        <f aca="false">IF(OR(NOT(ISNUMBER(K75)),NOT(ISNUMBER(K307))),"",K75-K307)</f>
        <v/>
      </c>
      <c r="L539" s="48" t="str">
        <f aca="false">IF(OR(NOT(ISNUMBER(L75)),NOT(ISNUMBER(L307))),"",L75-L307)</f>
        <v/>
      </c>
      <c r="M539" s="48" t="str">
        <f aca="false">IF(OR(NOT(ISNUMBER(M75)),NOT(ISNUMBER(M307))),"",M75-M307)</f>
        <v/>
      </c>
      <c r="N539" s="48" t="str">
        <f aca="false">IF(OR(NOT(ISNUMBER(N75)),NOT(ISNUMBER(N307))),"",N75-N307)</f>
        <v/>
      </c>
      <c r="O539" s="54" t="str">
        <f aca="false">IF(OR(NOT(ISNUMBER(O75)),NOT(ISNUMBER(O307))),"",O75-O307)</f>
        <v/>
      </c>
      <c r="P539" s="11" t="str">
        <f aca="false">IF(COUNT(D539:N539)=0,"",IF(AND(MAX(D539:N539)&lt;2,MIN(D539:N539)&gt;-2),"Sin diferencia","Diferencia a explicar"))</f>
        <v/>
      </c>
    </row>
    <row r="540" customFormat="false" ht="15" hidden="true" customHeight="false" outlineLevel="1" collapsed="false">
      <c r="A540" s="11" t="s">
        <v>2437</v>
      </c>
      <c r="B540" s="15" t="s">
        <v>2368</v>
      </c>
      <c r="C540" s="11" t="s">
        <v>508</v>
      </c>
      <c r="D540" s="48" t="str">
        <f aca="false">IF(OR(NOT(ISNUMBER(D76)),NOT(ISNUMBER(D308))),"",D76-D308)</f>
        <v/>
      </c>
      <c r="E540" s="48" t="str">
        <f aca="false">IF(OR(NOT(ISNUMBER(E76)),NOT(ISNUMBER(E308))),"",E76-E308)</f>
        <v/>
      </c>
      <c r="F540" s="48" t="str">
        <f aca="false">IF(OR(NOT(ISNUMBER(F76)),NOT(ISNUMBER(F308))),"",F76-F308)</f>
        <v/>
      </c>
      <c r="G540" s="48" t="str">
        <f aca="false">IF(OR(NOT(ISNUMBER(G76)),NOT(ISNUMBER(G308))),"",G76-G308)</f>
        <v/>
      </c>
      <c r="H540" s="48" t="str">
        <f aca="false">IF(OR(NOT(ISNUMBER(H76)),NOT(ISNUMBER(H308))),"",H76-H308)</f>
        <v/>
      </c>
      <c r="I540" s="48" t="str">
        <f aca="false">IF(OR(NOT(ISNUMBER(I76)),NOT(ISNUMBER(I308))),"",I76-I308)</f>
        <v/>
      </c>
      <c r="J540" s="48" t="str">
        <f aca="false">IF(OR(NOT(ISNUMBER(J76)),NOT(ISNUMBER(J308))),"",J76-J308)</f>
        <v/>
      </c>
      <c r="K540" s="48" t="str">
        <f aca="false">IF(OR(NOT(ISNUMBER(K76)),NOT(ISNUMBER(K308))),"",K76-K308)</f>
        <v/>
      </c>
      <c r="L540" s="48" t="str">
        <f aca="false">IF(OR(NOT(ISNUMBER(L76)),NOT(ISNUMBER(L308))),"",L76-L308)</f>
        <v/>
      </c>
      <c r="M540" s="48" t="str">
        <f aca="false">IF(OR(NOT(ISNUMBER(M76)),NOT(ISNUMBER(M308))),"",M76-M308)</f>
        <v/>
      </c>
      <c r="N540" s="48" t="str">
        <f aca="false">IF(OR(NOT(ISNUMBER(N76)),NOT(ISNUMBER(N308))),"",N76-N308)</f>
        <v/>
      </c>
      <c r="O540" s="54" t="str">
        <f aca="false">IF(OR(NOT(ISNUMBER(O76)),NOT(ISNUMBER(O308))),"",O76-O308)</f>
        <v/>
      </c>
      <c r="P540" s="11" t="str">
        <f aca="false">IF(COUNT(D540:N540)=0,"",IF(AND(MAX(D540:N540)&lt;2,MIN(D540:N540)&gt;-2),"Sin diferencia","Diferencia a explicar"))</f>
        <v/>
      </c>
    </row>
    <row r="541" customFormat="false" ht="15" hidden="true" customHeight="false" outlineLevel="1" collapsed="false">
      <c r="A541" s="11" t="s">
        <v>2438</v>
      </c>
      <c r="B541" s="15" t="s">
        <v>2370</v>
      </c>
      <c r="C541" s="11" t="s">
        <v>748</v>
      </c>
      <c r="D541" s="50" t="str">
        <f aca="false">IF(OR(NOT(ISNUMBER(D77)),NOT(ISNUMBER(D309))),"",D77-D309)</f>
        <v/>
      </c>
      <c r="E541" s="50" t="str">
        <f aca="false">IF(OR(NOT(ISNUMBER(E77)),NOT(ISNUMBER(E309))),"",E77-E309)</f>
        <v/>
      </c>
      <c r="F541" s="50" t="str">
        <f aca="false">IF(OR(NOT(ISNUMBER(F77)),NOT(ISNUMBER(F309))),"",F77-F309)</f>
        <v/>
      </c>
      <c r="G541" s="50" t="str">
        <f aca="false">IF(OR(NOT(ISNUMBER(G77)),NOT(ISNUMBER(G309))),"",G77-G309)</f>
        <v/>
      </c>
      <c r="H541" s="50" t="str">
        <f aca="false">IF(OR(NOT(ISNUMBER(H77)),NOT(ISNUMBER(H309))),"",H77-H309)</f>
        <v/>
      </c>
      <c r="I541" s="50" t="str">
        <f aca="false">IF(OR(NOT(ISNUMBER(I77)),NOT(ISNUMBER(I309))),"",I77-I309)</f>
        <v/>
      </c>
      <c r="J541" s="50" t="str">
        <f aca="false">IF(OR(NOT(ISNUMBER(J77)),NOT(ISNUMBER(J309))),"",J77-J309)</f>
        <v/>
      </c>
      <c r="K541" s="50" t="str">
        <f aca="false">IF(OR(NOT(ISNUMBER(K77)),NOT(ISNUMBER(K309))),"",K77-K309)</f>
        <v/>
      </c>
      <c r="L541" s="50" t="str">
        <f aca="false">IF(OR(NOT(ISNUMBER(L77)),NOT(ISNUMBER(L309))),"",L77-L309)</f>
        <v/>
      </c>
      <c r="M541" s="50" t="str">
        <f aca="false">IF(OR(NOT(ISNUMBER(M77)),NOT(ISNUMBER(M309))),"",M77-M309)</f>
        <v/>
      </c>
      <c r="N541" s="50" t="str">
        <f aca="false">IF(OR(NOT(ISNUMBER(N77)),NOT(ISNUMBER(N309))),"",N77-N309)</f>
        <v/>
      </c>
      <c r="O541" s="68" t="str">
        <f aca="false">IF(OR(NOT(ISNUMBER(O77)),NOT(ISNUMBER(O309))),"",O77-O309)</f>
        <v/>
      </c>
      <c r="P541" s="11" t="str">
        <f aca="false">IF(COUNT(D541:N541)=0,"",IF(AND(MAX(D541:N541)&lt;0.005,MIN(D541:N541)&gt;-0.005),"Sin diferencia","Diferencia a explicar"))</f>
        <v/>
      </c>
    </row>
    <row r="542" customFormat="false" ht="15" hidden="true" customHeight="false" outlineLevel="1" collapsed="false">
      <c r="A542" s="11" t="s">
        <v>2439</v>
      </c>
      <c r="B542" s="15" t="s">
        <v>2372</v>
      </c>
      <c r="C542" s="11" t="s">
        <v>748</v>
      </c>
      <c r="D542" s="50" t="str">
        <f aca="false">IF(OR(NOT(ISNUMBER(D78)),NOT(ISNUMBER(D310))),"",D78-D310)</f>
        <v/>
      </c>
      <c r="E542" s="50" t="str">
        <f aca="false">IF(OR(NOT(ISNUMBER(E78)),NOT(ISNUMBER(E310))),"",E78-E310)</f>
        <v/>
      </c>
      <c r="F542" s="50" t="str">
        <f aca="false">IF(OR(NOT(ISNUMBER(F78)),NOT(ISNUMBER(F310))),"",F78-F310)</f>
        <v/>
      </c>
      <c r="G542" s="50" t="str">
        <f aca="false">IF(OR(NOT(ISNUMBER(G78)),NOT(ISNUMBER(G310))),"",G78-G310)</f>
        <v/>
      </c>
      <c r="H542" s="50" t="str">
        <f aca="false">IF(OR(NOT(ISNUMBER(H78)),NOT(ISNUMBER(H310))),"",H78-H310)</f>
        <v/>
      </c>
      <c r="I542" s="50" t="str">
        <f aca="false">IF(OR(NOT(ISNUMBER(I78)),NOT(ISNUMBER(I310))),"",I78-I310)</f>
        <v/>
      </c>
      <c r="J542" s="50" t="str">
        <f aca="false">IF(OR(NOT(ISNUMBER(J78)),NOT(ISNUMBER(J310))),"",J78-J310)</f>
        <v/>
      </c>
      <c r="K542" s="50" t="str">
        <f aca="false">IF(OR(NOT(ISNUMBER(K78)),NOT(ISNUMBER(K310))),"",K78-K310)</f>
        <v/>
      </c>
      <c r="L542" s="50" t="str">
        <f aca="false">IF(OR(NOT(ISNUMBER(L78)),NOT(ISNUMBER(L310))),"",L78-L310)</f>
        <v/>
      </c>
      <c r="M542" s="50" t="str">
        <f aca="false">IF(OR(NOT(ISNUMBER(M78)),NOT(ISNUMBER(M310))),"",M78-M310)</f>
        <v/>
      </c>
      <c r="N542" s="50" t="str">
        <f aca="false">IF(OR(NOT(ISNUMBER(N78)),NOT(ISNUMBER(N310))),"",N78-N310)</f>
        <v/>
      </c>
      <c r="O542" s="68" t="str">
        <f aca="false">IF(OR(NOT(ISNUMBER(O78)),NOT(ISNUMBER(O310))),"",O78-O310)</f>
        <v/>
      </c>
      <c r="P542" s="11" t="str">
        <f aca="false">IF(COUNT(D542:N542)=0,"",IF(AND(MAX(D542:N542)&lt;0.005,MIN(D542:N542)&gt;-0.005),"Sin diferencia","Diferencia a explicar"))</f>
        <v/>
      </c>
    </row>
    <row r="543" customFormat="false" ht="15" hidden="true" customHeight="false" outlineLevel="1" collapsed="false">
      <c r="A543" s="11" t="s">
        <v>2440</v>
      </c>
      <c r="B543" s="15" t="s">
        <v>2374</v>
      </c>
      <c r="C543" s="11" t="s">
        <v>367</v>
      </c>
      <c r="D543" s="49" t="str">
        <f aca="false">IF(OR(NOT(ISNUMBER(D79)),NOT(ISNUMBER(D311))),"",D79-D311)</f>
        <v/>
      </c>
      <c r="E543" s="49" t="str">
        <f aca="false">IF(OR(NOT(ISNUMBER(E79)),NOT(ISNUMBER(E311))),"",E79-E311)</f>
        <v/>
      </c>
      <c r="F543" s="49" t="str">
        <f aca="false">IF(OR(NOT(ISNUMBER(F79)),NOT(ISNUMBER(F311))),"",F79-F311)</f>
        <v/>
      </c>
      <c r="G543" s="49" t="str">
        <f aca="false">IF(OR(NOT(ISNUMBER(G79)),NOT(ISNUMBER(G311))),"",G79-G311)</f>
        <v/>
      </c>
      <c r="H543" s="49" t="str">
        <f aca="false">IF(OR(NOT(ISNUMBER(H79)),NOT(ISNUMBER(H311))),"",H79-H311)</f>
        <v/>
      </c>
      <c r="I543" s="49" t="str">
        <f aca="false">IF(OR(NOT(ISNUMBER(I79)),NOT(ISNUMBER(I311))),"",I79-I311)</f>
        <v/>
      </c>
      <c r="J543" s="49" t="str">
        <f aca="false">IF(OR(NOT(ISNUMBER(J79)),NOT(ISNUMBER(J311))),"",J79-J311)</f>
        <v/>
      </c>
      <c r="K543" s="49" t="str">
        <f aca="false">IF(OR(NOT(ISNUMBER(K79)),NOT(ISNUMBER(K311))),"",K79-K311)</f>
        <v/>
      </c>
      <c r="L543" s="49" t="str">
        <f aca="false">IF(OR(NOT(ISNUMBER(L79)),NOT(ISNUMBER(L311))),"",L79-L311)</f>
        <v/>
      </c>
      <c r="M543" s="49" t="str">
        <f aca="false">IF(OR(NOT(ISNUMBER(M79)),NOT(ISNUMBER(M311))),"",M79-M311)</f>
        <v/>
      </c>
      <c r="N543" s="49" t="str">
        <f aca="false">IF(OR(NOT(ISNUMBER(N79)),NOT(ISNUMBER(N311))),"",N79-N311)</f>
        <v/>
      </c>
      <c r="O543" s="99" t="str">
        <f aca="false">IF(OR(NOT(ISNUMBER(O79)),NOT(ISNUMBER(O311))),"",O79-O311)</f>
        <v/>
      </c>
      <c r="P543" s="11" t="str">
        <f aca="false">IF(COUNT(D543:N543)=0,"",IF(AND(MAX(D543:N543)&lt;0.0005,MIN(D543:N543)&gt;-0.0005),"Sin diferencia","Diferencia a explicar"))</f>
        <v/>
      </c>
    </row>
    <row r="544" customFormat="false" ht="15" hidden="true" customHeight="false" outlineLevel="1" collapsed="false">
      <c r="A544" s="11" t="s">
        <v>2441</v>
      </c>
      <c r="B544" s="15" t="s">
        <v>2376</v>
      </c>
      <c r="C544" s="11" t="s">
        <v>508</v>
      </c>
      <c r="D544" s="48" t="str">
        <f aca="false">IF(OR(NOT(ISNUMBER(D80)),NOT(ISNUMBER(D312))),"",D80-D312)</f>
        <v/>
      </c>
      <c r="E544" s="48" t="str">
        <f aca="false">IF(OR(NOT(ISNUMBER(E80)),NOT(ISNUMBER(E312))),"",E80-E312)</f>
        <v/>
      </c>
      <c r="F544" s="48" t="str">
        <f aca="false">IF(OR(NOT(ISNUMBER(F80)),NOT(ISNUMBER(F312))),"",F80-F312)</f>
        <v/>
      </c>
      <c r="G544" s="48" t="str">
        <f aca="false">IF(OR(NOT(ISNUMBER(G80)),NOT(ISNUMBER(G312))),"",G80-G312)</f>
        <v/>
      </c>
      <c r="H544" s="48" t="str">
        <f aca="false">IF(OR(NOT(ISNUMBER(H80)),NOT(ISNUMBER(H312))),"",H80-H312)</f>
        <v/>
      </c>
      <c r="I544" s="48" t="str">
        <f aca="false">IF(OR(NOT(ISNUMBER(I80)),NOT(ISNUMBER(I312))),"",I80-I312)</f>
        <v/>
      </c>
      <c r="J544" s="48" t="str">
        <f aca="false">IF(OR(NOT(ISNUMBER(J80)),NOT(ISNUMBER(J312))),"",J80-J312)</f>
        <v/>
      </c>
      <c r="K544" s="48" t="str">
        <f aca="false">IF(OR(NOT(ISNUMBER(K80)),NOT(ISNUMBER(K312))),"",K80-K312)</f>
        <v/>
      </c>
      <c r="L544" s="48" t="str">
        <f aca="false">IF(OR(NOT(ISNUMBER(L80)),NOT(ISNUMBER(L312))),"",L80-L312)</f>
        <v/>
      </c>
      <c r="M544" s="48" t="str">
        <f aca="false">IF(OR(NOT(ISNUMBER(M80)),NOT(ISNUMBER(M312))),"",M80-M312)</f>
        <v/>
      </c>
      <c r="N544" s="48" t="str">
        <f aca="false">IF(OR(NOT(ISNUMBER(N80)),NOT(ISNUMBER(N312))),"",N80-N312)</f>
        <v/>
      </c>
      <c r="O544" s="54" t="str">
        <f aca="false">IF(OR(NOT(ISNUMBER(O80)),NOT(ISNUMBER(O312))),"",O80-O312)</f>
        <v/>
      </c>
      <c r="P544" s="11" t="str">
        <f aca="false">IF(COUNT(D544:N544)=0,"",IF(AND(MAX(D544:N544)&lt;2,MIN(D544:N544)&gt;-2),"Sin diferencia","Diferencia a explicar"))</f>
        <v/>
      </c>
    </row>
    <row r="545" customFormat="false" ht="15" hidden="true" customHeight="false" outlineLevel="1" collapsed="false">
      <c r="A545" s="11" t="s">
        <v>2442</v>
      </c>
      <c r="B545" s="15" t="s">
        <v>2378</v>
      </c>
      <c r="C545" s="11" t="s">
        <v>508</v>
      </c>
      <c r="D545" s="48" t="str">
        <f aca="false">IF(OR(NOT(ISNUMBER(D81)),NOT(ISNUMBER(D313))),"",D81-D313)</f>
        <v/>
      </c>
      <c r="E545" s="48" t="str">
        <f aca="false">IF(OR(NOT(ISNUMBER(E81)),NOT(ISNUMBER(E313))),"",E81-E313)</f>
        <v/>
      </c>
      <c r="F545" s="48" t="str">
        <f aca="false">IF(OR(NOT(ISNUMBER(F81)),NOT(ISNUMBER(F313))),"",F81-F313)</f>
        <v/>
      </c>
      <c r="G545" s="48" t="str">
        <f aca="false">IF(OR(NOT(ISNUMBER(G81)),NOT(ISNUMBER(G313))),"",G81-G313)</f>
        <v/>
      </c>
      <c r="H545" s="48" t="str">
        <f aca="false">IF(OR(NOT(ISNUMBER(H81)),NOT(ISNUMBER(H313))),"",H81-H313)</f>
        <v/>
      </c>
      <c r="I545" s="48" t="str">
        <f aca="false">IF(OR(NOT(ISNUMBER(I81)),NOT(ISNUMBER(I313))),"",I81-I313)</f>
        <v/>
      </c>
      <c r="J545" s="48" t="str">
        <f aca="false">IF(OR(NOT(ISNUMBER(J81)),NOT(ISNUMBER(J313))),"",J81-J313)</f>
        <v/>
      </c>
      <c r="K545" s="48" t="str">
        <f aca="false">IF(OR(NOT(ISNUMBER(K81)),NOT(ISNUMBER(K313))),"",K81-K313)</f>
        <v/>
      </c>
      <c r="L545" s="48" t="str">
        <f aca="false">IF(OR(NOT(ISNUMBER(L81)),NOT(ISNUMBER(L313))),"",L81-L313)</f>
        <v/>
      </c>
      <c r="M545" s="48" t="str">
        <f aca="false">IF(OR(NOT(ISNUMBER(M81)),NOT(ISNUMBER(M313))),"",M81-M313)</f>
        <v/>
      </c>
      <c r="N545" s="48" t="str">
        <f aca="false">IF(OR(NOT(ISNUMBER(N81)),NOT(ISNUMBER(N313))),"",N81-N313)</f>
        <v/>
      </c>
      <c r="O545" s="54" t="str">
        <f aca="false">IF(OR(NOT(ISNUMBER(O81)),NOT(ISNUMBER(O313))),"",O81-O313)</f>
        <v/>
      </c>
      <c r="P545" s="11" t="str">
        <f aca="false">IF(COUNT(D545:N545)=0,"",IF(AND(MAX(D545:N545)&lt;2,MIN(D545:N545)&gt;-2),"Sin diferencia","Diferencia a explicar"))</f>
        <v/>
      </c>
    </row>
    <row r="546" customFormat="false" ht="15" hidden="true" customHeight="false" outlineLevel="1" collapsed="false">
      <c r="A546" s="11" t="s">
        <v>2443</v>
      </c>
      <c r="B546" s="15" t="s">
        <v>2380</v>
      </c>
      <c r="C546" s="11" t="s">
        <v>748</v>
      </c>
      <c r="D546" s="50" t="str">
        <f aca="false">IF(OR(NOT(ISNUMBER(D82)),NOT(ISNUMBER(D314))),"",D82-D314)</f>
        <v/>
      </c>
      <c r="E546" s="50" t="str">
        <f aca="false">IF(OR(NOT(ISNUMBER(E82)),NOT(ISNUMBER(E314))),"",E82-E314)</f>
        <v/>
      </c>
      <c r="F546" s="50" t="str">
        <f aca="false">IF(OR(NOT(ISNUMBER(F82)),NOT(ISNUMBER(F314))),"",F82-F314)</f>
        <v/>
      </c>
      <c r="G546" s="50" t="str">
        <f aca="false">IF(OR(NOT(ISNUMBER(G82)),NOT(ISNUMBER(G314))),"",G82-G314)</f>
        <v/>
      </c>
      <c r="H546" s="50" t="str">
        <f aca="false">IF(OR(NOT(ISNUMBER(H82)),NOT(ISNUMBER(H314))),"",H82-H314)</f>
        <v/>
      </c>
      <c r="I546" s="50" t="str">
        <f aca="false">IF(OR(NOT(ISNUMBER(I82)),NOT(ISNUMBER(I314))),"",I82-I314)</f>
        <v/>
      </c>
      <c r="J546" s="50" t="str">
        <f aca="false">IF(OR(NOT(ISNUMBER(J82)),NOT(ISNUMBER(J314))),"",J82-J314)</f>
        <v/>
      </c>
      <c r="K546" s="50" t="str">
        <f aca="false">IF(OR(NOT(ISNUMBER(K82)),NOT(ISNUMBER(K314))),"",K82-K314)</f>
        <v/>
      </c>
      <c r="L546" s="50" t="str">
        <f aca="false">IF(OR(NOT(ISNUMBER(L82)),NOT(ISNUMBER(L314))),"",L82-L314)</f>
        <v/>
      </c>
      <c r="M546" s="50" t="str">
        <f aca="false">IF(OR(NOT(ISNUMBER(M82)),NOT(ISNUMBER(M314))),"",M82-M314)</f>
        <v/>
      </c>
      <c r="N546" s="50" t="str">
        <f aca="false">IF(OR(NOT(ISNUMBER(N82)),NOT(ISNUMBER(N314))),"",N82-N314)</f>
        <v/>
      </c>
      <c r="O546" s="68" t="str">
        <f aca="false">IF(OR(NOT(ISNUMBER(O82)),NOT(ISNUMBER(O314))),"",O82-O314)</f>
        <v/>
      </c>
      <c r="P546" s="11" t="str">
        <f aca="false">IF(COUNT(D546:N546)=0,"",IF(AND(MAX(D546:N546)&lt;0.005,MIN(D546:N546)&gt;-0.005),"Sin diferencia","Diferencia a explicar"))</f>
        <v/>
      </c>
    </row>
    <row r="547" customFormat="false" ht="15" hidden="true" customHeight="false" outlineLevel="1" collapsed="false">
      <c r="A547" s="11" t="s">
        <v>2444</v>
      </c>
      <c r="B547" s="53" t="str">
        <f aca="false">IF(INDEX(Prod_Nombre,9)="","Producto 9",INDEX(Prod_Nombre,9))&amp;" — costo directo"</f>
        <v>Producto 9 — costo directo</v>
      </c>
      <c r="C547" s="11" t="s">
        <v>508</v>
      </c>
      <c r="D547" s="48" t="str">
        <f aca="false">IF(OR(NOT(ISNUMBER(D83)),NOT(ISNUMBER(D315))),"",D83-D315)</f>
        <v/>
      </c>
      <c r="E547" s="48" t="str">
        <f aca="false">IF(OR(NOT(ISNUMBER(E83)),NOT(ISNUMBER(E315))),"",E83-E315)</f>
        <v/>
      </c>
      <c r="F547" s="48" t="str">
        <f aca="false">IF(OR(NOT(ISNUMBER(F83)),NOT(ISNUMBER(F315))),"",F83-F315)</f>
        <v/>
      </c>
      <c r="G547" s="48" t="str">
        <f aca="false">IF(OR(NOT(ISNUMBER(G83)),NOT(ISNUMBER(G315))),"",G83-G315)</f>
        <v/>
      </c>
      <c r="H547" s="48" t="str">
        <f aca="false">IF(OR(NOT(ISNUMBER(H83)),NOT(ISNUMBER(H315))),"",H83-H315)</f>
        <v/>
      </c>
      <c r="I547" s="48" t="str">
        <f aca="false">IF(OR(NOT(ISNUMBER(I83)),NOT(ISNUMBER(I315))),"",I83-I315)</f>
        <v/>
      </c>
      <c r="J547" s="48" t="str">
        <f aca="false">IF(OR(NOT(ISNUMBER(J83)),NOT(ISNUMBER(J315))),"",J83-J315)</f>
        <v/>
      </c>
      <c r="K547" s="48" t="str">
        <f aca="false">IF(OR(NOT(ISNUMBER(K83)),NOT(ISNUMBER(K315))),"",K83-K315)</f>
        <v/>
      </c>
      <c r="L547" s="48" t="str">
        <f aca="false">IF(OR(NOT(ISNUMBER(L83)),NOT(ISNUMBER(L315))),"",L83-L315)</f>
        <v/>
      </c>
      <c r="M547" s="48" t="str">
        <f aca="false">IF(OR(NOT(ISNUMBER(M83)),NOT(ISNUMBER(M315))),"",M83-M315)</f>
        <v/>
      </c>
      <c r="N547" s="48" t="str">
        <f aca="false">IF(OR(NOT(ISNUMBER(N83)),NOT(ISNUMBER(N315))),"",N83-N315)</f>
        <v/>
      </c>
      <c r="O547" s="54" t="str">
        <f aca="false">IF(OR(NOT(ISNUMBER(O83)),NOT(ISNUMBER(O315))),"",O83-O315)</f>
        <v/>
      </c>
      <c r="P547" s="11" t="str">
        <f aca="false">IF(COUNT(D547:N547)=0,"",IF(AND(MAX(D547:N547)&lt;2,MIN(D547:N547)&gt;-2),"Sin diferencia","Diferencia a explicar"))</f>
        <v/>
      </c>
    </row>
    <row r="548" customFormat="false" ht="15" hidden="true" customHeight="false" outlineLevel="1" collapsed="false">
      <c r="A548" s="11" t="s">
        <v>2445</v>
      </c>
      <c r="B548" s="15" t="s">
        <v>2366</v>
      </c>
      <c r="C548" s="11" t="s">
        <v>544</v>
      </c>
      <c r="D548" s="48" t="str">
        <f aca="false">IF(OR(NOT(ISNUMBER(D84)),NOT(ISNUMBER(D316))),"",D84-D316)</f>
        <v/>
      </c>
      <c r="E548" s="48" t="str">
        <f aca="false">IF(OR(NOT(ISNUMBER(E84)),NOT(ISNUMBER(E316))),"",E84-E316)</f>
        <v/>
      </c>
      <c r="F548" s="48" t="str">
        <f aca="false">IF(OR(NOT(ISNUMBER(F84)),NOT(ISNUMBER(F316))),"",F84-F316)</f>
        <v/>
      </c>
      <c r="G548" s="48" t="str">
        <f aca="false">IF(OR(NOT(ISNUMBER(G84)),NOT(ISNUMBER(G316))),"",G84-G316)</f>
        <v/>
      </c>
      <c r="H548" s="48" t="str">
        <f aca="false">IF(OR(NOT(ISNUMBER(H84)),NOT(ISNUMBER(H316))),"",H84-H316)</f>
        <v/>
      </c>
      <c r="I548" s="48" t="str">
        <f aca="false">IF(OR(NOT(ISNUMBER(I84)),NOT(ISNUMBER(I316))),"",I84-I316)</f>
        <v/>
      </c>
      <c r="J548" s="48" t="str">
        <f aca="false">IF(OR(NOT(ISNUMBER(J84)),NOT(ISNUMBER(J316))),"",J84-J316)</f>
        <v/>
      </c>
      <c r="K548" s="48" t="str">
        <f aca="false">IF(OR(NOT(ISNUMBER(K84)),NOT(ISNUMBER(K316))),"",K84-K316)</f>
        <v/>
      </c>
      <c r="L548" s="48" t="str">
        <f aca="false">IF(OR(NOT(ISNUMBER(L84)),NOT(ISNUMBER(L316))),"",L84-L316)</f>
        <v/>
      </c>
      <c r="M548" s="48" t="str">
        <f aca="false">IF(OR(NOT(ISNUMBER(M84)),NOT(ISNUMBER(M316))),"",M84-M316)</f>
        <v/>
      </c>
      <c r="N548" s="48" t="str">
        <f aca="false">IF(OR(NOT(ISNUMBER(N84)),NOT(ISNUMBER(N316))),"",N84-N316)</f>
        <v/>
      </c>
      <c r="O548" s="54" t="str">
        <f aca="false">IF(OR(NOT(ISNUMBER(O84)),NOT(ISNUMBER(O316))),"",O84-O316)</f>
        <v/>
      </c>
      <c r="P548" s="11" t="str">
        <f aca="false">IF(COUNT(D548:N548)=0,"",IF(AND(MAX(D548:N548)&lt;2,MIN(D548:N548)&gt;-2),"Sin diferencia","Diferencia a explicar"))</f>
        <v/>
      </c>
    </row>
    <row r="549" customFormat="false" ht="15" hidden="true" customHeight="false" outlineLevel="1" collapsed="false">
      <c r="A549" s="11" t="s">
        <v>2446</v>
      </c>
      <c r="B549" s="15" t="s">
        <v>2368</v>
      </c>
      <c r="C549" s="11" t="s">
        <v>508</v>
      </c>
      <c r="D549" s="48" t="str">
        <f aca="false">IF(OR(NOT(ISNUMBER(D85)),NOT(ISNUMBER(D317))),"",D85-D317)</f>
        <v/>
      </c>
      <c r="E549" s="48" t="str">
        <f aca="false">IF(OR(NOT(ISNUMBER(E85)),NOT(ISNUMBER(E317))),"",E85-E317)</f>
        <v/>
      </c>
      <c r="F549" s="48" t="str">
        <f aca="false">IF(OR(NOT(ISNUMBER(F85)),NOT(ISNUMBER(F317))),"",F85-F317)</f>
        <v/>
      </c>
      <c r="G549" s="48" t="str">
        <f aca="false">IF(OR(NOT(ISNUMBER(G85)),NOT(ISNUMBER(G317))),"",G85-G317)</f>
        <v/>
      </c>
      <c r="H549" s="48" t="str">
        <f aca="false">IF(OR(NOT(ISNUMBER(H85)),NOT(ISNUMBER(H317))),"",H85-H317)</f>
        <v/>
      </c>
      <c r="I549" s="48" t="str">
        <f aca="false">IF(OR(NOT(ISNUMBER(I85)),NOT(ISNUMBER(I317))),"",I85-I317)</f>
        <v/>
      </c>
      <c r="J549" s="48" t="str">
        <f aca="false">IF(OR(NOT(ISNUMBER(J85)),NOT(ISNUMBER(J317))),"",J85-J317)</f>
        <v/>
      </c>
      <c r="K549" s="48" t="str">
        <f aca="false">IF(OR(NOT(ISNUMBER(K85)),NOT(ISNUMBER(K317))),"",K85-K317)</f>
        <v/>
      </c>
      <c r="L549" s="48" t="str">
        <f aca="false">IF(OR(NOT(ISNUMBER(L85)),NOT(ISNUMBER(L317))),"",L85-L317)</f>
        <v/>
      </c>
      <c r="M549" s="48" t="str">
        <f aca="false">IF(OR(NOT(ISNUMBER(M85)),NOT(ISNUMBER(M317))),"",M85-M317)</f>
        <v/>
      </c>
      <c r="N549" s="48" t="str">
        <f aca="false">IF(OR(NOT(ISNUMBER(N85)),NOT(ISNUMBER(N317))),"",N85-N317)</f>
        <v/>
      </c>
      <c r="O549" s="54" t="str">
        <f aca="false">IF(OR(NOT(ISNUMBER(O85)),NOT(ISNUMBER(O317))),"",O85-O317)</f>
        <v/>
      </c>
      <c r="P549" s="11" t="str">
        <f aca="false">IF(COUNT(D549:N549)=0,"",IF(AND(MAX(D549:N549)&lt;2,MIN(D549:N549)&gt;-2),"Sin diferencia","Diferencia a explicar"))</f>
        <v/>
      </c>
    </row>
    <row r="550" customFormat="false" ht="15" hidden="true" customHeight="false" outlineLevel="1" collapsed="false">
      <c r="A550" s="11" t="s">
        <v>2447</v>
      </c>
      <c r="B550" s="15" t="s">
        <v>2370</v>
      </c>
      <c r="C550" s="11" t="s">
        <v>748</v>
      </c>
      <c r="D550" s="50" t="str">
        <f aca="false">IF(OR(NOT(ISNUMBER(D86)),NOT(ISNUMBER(D318))),"",D86-D318)</f>
        <v/>
      </c>
      <c r="E550" s="50" t="str">
        <f aca="false">IF(OR(NOT(ISNUMBER(E86)),NOT(ISNUMBER(E318))),"",E86-E318)</f>
        <v/>
      </c>
      <c r="F550" s="50" t="str">
        <f aca="false">IF(OR(NOT(ISNUMBER(F86)),NOT(ISNUMBER(F318))),"",F86-F318)</f>
        <v/>
      </c>
      <c r="G550" s="50" t="str">
        <f aca="false">IF(OR(NOT(ISNUMBER(G86)),NOT(ISNUMBER(G318))),"",G86-G318)</f>
        <v/>
      </c>
      <c r="H550" s="50" t="str">
        <f aca="false">IF(OR(NOT(ISNUMBER(H86)),NOT(ISNUMBER(H318))),"",H86-H318)</f>
        <v/>
      </c>
      <c r="I550" s="50" t="str">
        <f aca="false">IF(OR(NOT(ISNUMBER(I86)),NOT(ISNUMBER(I318))),"",I86-I318)</f>
        <v/>
      </c>
      <c r="J550" s="50" t="str">
        <f aca="false">IF(OR(NOT(ISNUMBER(J86)),NOT(ISNUMBER(J318))),"",J86-J318)</f>
        <v/>
      </c>
      <c r="K550" s="50" t="str">
        <f aca="false">IF(OR(NOT(ISNUMBER(K86)),NOT(ISNUMBER(K318))),"",K86-K318)</f>
        <v/>
      </c>
      <c r="L550" s="50" t="str">
        <f aca="false">IF(OR(NOT(ISNUMBER(L86)),NOT(ISNUMBER(L318))),"",L86-L318)</f>
        <v/>
      </c>
      <c r="M550" s="50" t="str">
        <f aca="false">IF(OR(NOT(ISNUMBER(M86)),NOT(ISNUMBER(M318))),"",M86-M318)</f>
        <v/>
      </c>
      <c r="N550" s="50" t="str">
        <f aca="false">IF(OR(NOT(ISNUMBER(N86)),NOT(ISNUMBER(N318))),"",N86-N318)</f>
        <v/>
      </c>
      <c r="O550" s="68" t="str">
        <f aca="false">IF(OR(NOT(ISNUMBER(O86)),NOT(ISNUMBER(O318))),"",O86-O318)</f>
        <v/>
      </c>
      <c r="P550" s="11" t="str">
        <f aca="false">IF(COUNT(D550:N550)=0,"",IF(AND(MAX(D550:N550)&lt;0.005,MIN(D550:N550)&gt;-0.005),"Sin diferencia","Diferencia a explicar"))</f>
        <v/>
      </c>
    </row>
    <row r="551" customFormat="false" ht="15" hidden="true" customHeight="false" outlineLevel="1" collapsed="false">
      <c r="A551" s="11" t="s">
        <v>2448</v>
      </c>
      <c r="B551" s="15" t="s">
        <v>2372</v>
      </c>
      <c r="C551" s="11" t="s">
        <v>748</v>
      </c>
      <c r="D551" s="50" t="str">
        <f aca="false">IF(OR(NOT(ISNUMBER(D87)),NOT(ISNUMBER(D319))),"",D87-D319)</f>
        <v/>
      </c>
      <c r="E551" s="50" t="str">
        <f aca="false">IF(OR(NOT(ISNUMBER(E87)),NOT(ISNUMBER(E319))),"",E87-E319)</f>
        <v/>
      </c>
      <c r="F551" s="50" t="str">
        <f aca="false">IF(OR(NOT(ISNUMBER(F87)),NOT(ISNUMBER(F319))),"",F87-F319)</f>
        <v/>
      </c>
      <c r="G551" s="50" t="str">
        <f aca="false">IF(OR(NOT(ISNUMBER(G87)),NOT(ISNUMBER(G319))),"",G87-G319)</f>
        <v/>
      </c>
      <c r="H551" s="50" t="str">
        <f aca="false">IF(OR(NOT(ISNUMBER(H87)),NOT(ISNUMBER(H319))),"",H87-H319)</f>
        <v/>
      </c>
      <c r="I551" s="50" t="str">
        <f aca="false">IF(OR(NOT(ISNUMBER(I87)),NOT(ISNUMBER(I319))),"",I87-I319)</f>
        <v/>
      </c>
      <c r="J551" s="50" t="str">
        <f aca="false">IF(OR(NOT(ISNUMBER(J87)),NOT(ISNUMBER(J319))),"",J87-J319)</f>
        <v/>
      </c>
      <c r="K551" s="50" t="str">
        <f aca="false">IF(OR(NOT(ISNUMBER(K87)),NOT(ISNUMBER(K319))),"",K87-K319)</f>
        <v/>
      </c>
      <c r="L551" s="50" t="str">
        <f aca="false">IF(OR(NOT(ISNUMBER(L87)),NOT(ISNUMBER(L319))),"",L87-L319)</f>
        <v/>
      </c>
      <c r="M551" s="50" t="str">
        <f aca="false">IF(OR(NOT(ISNUMBER(M87)),NOT(ISNUMBER(M319))),"",M87-M319)</f>
        <v/>
      </c>
      <c r="N551" s="50" t="str">
        <f aca="false">IF(OR(NOT(ISNUMBER(N87)),NOT(ISNUMBER(N319))),"",N87-N319)</f>
        <v/>
      </c>
      <c r="O551" s="68" t="str">
        <f aca="false">IF(OR(NOT(ISNUMBER(O87)),NOT(ISNUMBER(O319))),"",O87-O319)</f>
        <v/>
      </c>
      <c r="P551" s="11" t="str">
        <f aca="false">IF(COUNT(D551:N551)=0,"",IF(AND(MAX(D551:N551)&lt;0.005,MIN(D551:N551)&gt;-0.005),"Sin diferencia","Diferencia a explicar"))</f>
        <v/>
      </c>
    </row>
    <row r="552" customFormat="false" ht="15" hidden="true" customHeight="false" outlineLevel="1" collapsed="false">
      <c r="A552" s="11" t="s">
        <v>2449</v>
      </c>
      <c r="B552" s="15" t="s">
        <v>2374</v>
      </c>
      <c r="C552" s="11" t="s">
        <v>367</v>
      </c>
      <c r="D552" s="49" t="str">
        <f aca="false">IF(OR(NOT(ISNUMBER(D88)),NOT(ISNUMBER(D320))),"",D88-D320)</f>
        <v/>
      </c>
      <c r="E552" s="49" t="str">
        <f aca="false">IF(OR(NOT(ISNUMBER(E88)),NOT(ISNUMBER(E320))),"",E88-E320)</f>
        <v/>
      </c>
      <c r="F552" s="49" t="str">
        <f aca="false">IF(OR(NOT(ISNUMBER(F88)),NOT(ISNUMBER(F320))),"",F88-F320)</f>
        <v/>
      </c>
      <c r="G552" s="49" t="str">
        <f aca="false">IF(OR(NOT(ISNUMBER(G88)),NOT(ISNUMBER(G320))),"",G88-G320)</f>
        <v/>
      </c>
      <c r="H552" s="49" t="str">
        <f aca="false">IF(OR(NOT(ISNUMBER(H88)),NOT(ISNUMBER(H320))),"",H88-H320)</f>
        <v/>
      </c>
      <c r="I552" s="49" t="str">
        <f aca="false">IF(OR(NOT(ISNUMBER(I88)),NOT(ISNUMBER(I320))),"",I88-I320)</f>
        <v/>
      </c>
      <c r="J552" s="49" t="str">
        <f aca="false">IF(OR(NOT(ISNUMBER(J88)),NOT(ISNUMBER(J320))),"",J88-J320)</f>
        <v/>
      </c>
      <c r="K552" s="49" t="str">
        <f aca="false">IF(OR(NOT(ISNUMBER(K88)),NOT(ISNUMBER(K320))),"",K88-K320)</f>
        <v/>
      </c>
      <c r="L552" s="49" t="str">
        <f aca="false">IF(OR(NOT(ISNUMBER(L88)),NOT(ISNUMBER(L320))),"",L88-L320)</f>
        <v/>
      </c>
      <c r="M552" s="49" t="str">
        <f aca="false">IF(OR(NOT(ISNUMBER(M88)),NOT(ISNUMBER(M320))),"",M88-M320)</f>
        <v/>
      </c>
      <c r="N552" s="49" t="str">
        <f aca="false">IF(OR(NOT(ISNUMBER(N88)),NOT(ISNUMBER(N320))),"",N88-N320)</f>
        <v/>
      </c>
      <c r="O552" s="99" t="str">
        <f aca="false">IF(OR(NOT(ISNUMBER(O88)),NOT(ISNUMBER(O320))),"",O88-O320)</f>
        <v/>
      </c>
      <c r="P552" s="11" t="str">
        <f aca="false">IF(COUNT(D552:N552)=0,"",IF(AND(MAX(D552:N552)&lt;0.0005,MIN(D552:N552)&gt;-0.0005),"Sin diferencia","Diferencia a explicar"))</f>
        <v/>
      </c>
    </row>
    <row r="553" customFormat="false" ht="15" hidden="true" customHeight="false" outlineLevel="1" collapsed="false">
      <c r="A553" s="11" t="s">
        <v>2450</v>
      </c>
      <c r="B553" s="15" t="s">
        <v>2376</v>
      </c>
      <c r="C553" s="11" t="s">
        <v>508</v>
      </c>
      <c r="D553" s="48" t="str">
        <f aca="false">IF(OR(NOT(ISNUMBER(D89)),NOT(ISNUMBER(D321))),"",D89-D321)</f>
        <v/>
      </c>
      <c r="E553" s="48" t="str">
        <f aca="false">IF(OR(NOT(ISNUMBER(E89)),NOT(ISNUMBER(E321))),"",E89-E321)</f>
        <v/>
      </c>
      <c r="F553" s="48" t="str">
        <f aca="false">IF(OR(NOT(ISNUMBER(F89)),NOT(ISNUMBER(F321))),"",F89-F321)</f>
        <v/>
      </c>
      <c r="G553" s="48" t="str">
        <f aca="false">IF(OR(NOT(ISNUMBER(G89)),NOT(ISNUMBER(G321))),"",G89-G321)</f>
        <v/>
      </c>
      <c r="H553" s="48" t="str">
        <f aca="false">IF(OR(NOT(ISNUMBER(H89)),NOT(ISNUMBER(H321))),"",H89-H321)</f>
        <v/>
      </c>
      <c r="I553" s="48" t="str">
        <f aca="false">IF(OR(NOT(ISNUMBER(I89)),NOT(ISNUMBER(I321))),"",I89-I321)</f>
        <v/>
      </c>
      <c r="J553" s="48" t="str">
        <f aca="false">IF(OR(NOT(ISNUMBER(J89)),NOT(ISNUMBER(J321))),"",J89-J321)</f>
        <v/>
      </c>
      <c r="K553" s="48" t="str">
        <f aca="false">IF(OR(NOT(ISNUMBER(K89)),NOT(ISNUMBER(K321))),"",K89-K321)</f>
        <v/>
      </c>
      <c r="L553" s="48" t="str">
        <f aca="false">IF(OR(NOT(ISNUMBER(L89)),NOT(ISNUMBER(L321))),"",L89-L321)</f>
        <v/>
      </c>
      <c r="M553" s="48" t="str">
        <f aca="false">IF(OR(NOT(ISNUMBER(M89)),NOT(ISNUMBER(M321))),"",M89-M321)</f>
        <v/>
      </c>
      <c r="N553" s="48" t="str">
        <f aca="false">IF(OR(NOT(ISNUMBER(N89)),NOT(ISNUMBER(N321))),"",N89-N321)</f>
        <v/>
      </c>
      <c r="O553" s="54" t="str">
        <f aca="false">IF(OR(NOT(ISNUMBER(O89)),NOT(ISNUMBER(O321))),"",O89-O321)</f>
        <v/>
      </c>
      <c r="P553" s="11" t="str">
        <f aca="false">IF(COUNT(D553:N553)=0,"",IF(AND(MAX(D553:N553)&lt;2,MIN(D553:N553)&gt;-2),"Sin diferencia","Diferencia a explicar"))</f>
        <v/>
      </c>
    </row>
    <row r="554" customFormat="false" ht="15" hidden="true" customHeight="false" outlineLevel="1" collapsed="false">
      <c r="A554" s="11" t="s">
        <v>2451</v>
      </c>
      <c r="B554" s="15" t="s">
        <v>2378</v>
      </c>
      <c r="C554" s="11" t="s">
        <v>508</v>
      </c>
      <c r="D554" s="48" t="str">
        <f aca="false">IF(OR(NOT(ISNUMBER(D90)),NOT(ISNUMBER(D322))),"",D90-D322)</f>
        <v/>
      </c>
      <c r="E554" s="48" t="str">
        <f aca="false">IF(OR(NOT(ISNUMBER(E90)),NOT(ISNUMBER(E322))),"",E90-E322)</f>
        <v/>
      </c>
      <c r="F554" s="48" t="str">
        <f aca="false">IF(OR(NOT(ISNUMBER(F90)),NOT(ISNUMBER(F322))),"",F90-F322)</f>
        <v/>
      </c>
      <c r="G554" s="48" t="str">
        <f aca="false">IF(OR(NOT(ISNUMBER(G90)),NOT(ISNUMBER(G322))),"",G90-G322)</f>
        <v/>
      </c>
      <c r="H554" s="48" t="str">
        <f aca="false">IF(OR(NOT(ISNUMBER(H90)),NOT(ISNUMBER(H322))),"",H90-H322)</f>
        <v/>
      </c>
      <c r="I554" s="48" t="str">
        <f aca="false">IF(OR(NOT(ISNUMBER(I90)),NOT(ISNUMBER(I322))),"",I90-I322)</f>
        <v/>
      </c>
      <c r="J554" s="48" t="str">
        <f aca="false">IF(OR(NOT(ISNUMBER(J90)),NOT(ISNUMBER(J322))),"",J90-J322)</f>
        <v/>
      </c>
      <c r="K554" s="48" t="str">
        <f aca="false">IF(OR(NOT(ISNUMBER(K90)),NOT(ISNUMBER(K322))),"",K90-K322)</f>
        <v/>
      </c>
      <c r="L554" s="48" t="str">
        <f aca="false">IF(OR(NOT(ISNUMBER(L90)),NOT(ISNUMBER(L322))),"",L90-L322)</f>
        <v/>
      </c>
      <c r="M554" s="48" t="str">
        <f aca="false">IF(OR(NOT(ISNUMBER(M90)),NOT(ISNUMBER(M322))),"",M90-M322)</f>
        <v/>
      </c>
      <c r="N554" s="48" t="str">
        <f aca="false">IF(OR(NOT(ISNUMBER(N90)),NOT(ISNUMBER(N322))),"",N90-N322)</f>
        <v/>
      </c>
      <c r="O554" s="54" t="str">
        <f aca="false">IF(OR(NOT(ISNUMBER(O90)),NOT(ISNUMBER(O322))),"",O90-O322)</f>
        <v/>
      </c>
      <c r="P554" s="11" t="str">
        <f aca="false">IF(COUNT(D554:N554)=0,"",IF(AND(MAX(D554:N554)&lt;2,MIN(D554:N554)&gt;-2),"Sin diferencia","Diferencia a explicar"))</f>
        <v/>
      </c>
    </row>
    <row r="555" customFormat="false" ht="15" hidden="true" customHeight="false" outlineLevel="1" collapsed="false">
      <c r="A555" s="11" t="s">
        <v>2452</v>
      </c>
      <c r="B555" s="15" t="s">
        <v>2380</v>
      </c>
      <c r="C555" s="11" t="s">
        <v>748</v>
      </c>
      <c r="D555" s="50" t="str">
        <f aca="false">IF(OR(NOT(ISNUMBER(D91)),NOT(ISNUMBER(D323))),"",D91-D323)</f>
        <v/>
      </c>
      <c r="E555" s="50" t="str">
        <f aca="false">IF(OR(NOT(ISNUMBER(E91)),NOT(ISNUMBER(E323))),"",E91-E323)</f>
        <v/>
      </c>
      <c r="F555" s="50" t="str">
        <f aca="false">IF(OR(NOT(ISNUMBER(F91)),NOT(ISNUMBER(F323))),"",F91-F323)</f>
        <v/>
      </c>
      <c r="G555" s="50" t="str">
        <f aca="false">IF(OR(NOT(ISNUMBER(G91)),NOT(ISNUMBER(G323))),"",G91-G323)</f>
        <v/>
      </c>
      <c r="H555" s="50" t="str">
        <f aca="false">IF(OR(NOT(ISNUMBER(H91)),NOT(ISNUMBER(H323))),"",H91-H323)</f>
        <v/>
      </c>
      <c r="I555" s="50" t="str">
        <f aca="false">IF(OR(NOT(ISNUMBER(I91)),NOT(ISNUMBER(I323))),"",I91-I323)</f>
        <v/>
      </c>
      <c r="J555" s="50" t="str">
        <f aca="false">IF(OR(NOT(ISNUMBER(J91)),NOT(ISNUMBER(J323))),"",J91-J323)</f>
        <v/>
      </c>
      <c r="K555" s="50" t="str">
        <f aca="false">IF(OR(NOT(ISNUMBER(K91)),NOT(ISNUMBER(K323))),"",K91-K323)</f>
        <v/>
      </c>
      <c r="L555" s="50" t="str">
        <f aca="false">IF(OR(NOT(ISNUMBER(L91)),NOT(ISNUMBER(L323))),"",L91-L323)</f>
        <v/>
      </c>
      <c r="M555" s="50" t="str">
        <f aca="false">IF(OR(NOT(ISNUMBER(M91)),NOT(ISNUMBER(M323))),"",M91-M323)</f>
        <v/>
      </c>
      <c r="N555" s="50" t="str">
        <f aca="false">IF(OR(NOT(ISNUMBER(N91)),NOT(ISNUMBER(N323))),"",N91-N323)</f>
        <v/>
      </c>
      <c r="O555" s="68" t="str">
        <f aca="false">IF(OR(NOT(ISNUMBER(O91)),NOT(ISNUMBER(O323))),"",O91-O323)</f>
        <v/>
      </c>
      <c r="P555" s="11" t="str">
        <f aca="false">IF(COUNT(D555:N555)=0,"",IF(AND(MAX(D555:N555)&lt;0.005,MIN(D555:N555)&gt;-0.005),"Sin diferencia","Diferencia a explicar"))</f>
        <v/>
      </c>
    </row>
    <row r="556" customFormat="false" ht="15" hidden="true" customHeight="false" outlineLevel="1" collapsed="false">
      <c r="A556" s="11" t="s">
        <v>2453</v>
      </c>
      <c r="B556" s="53" t="str">
        <f aca="false">IF(INDEX(Prod_Nombre,10)="","Producto 10",INDEX(Prod_Nombre,10))&amp;" — costo directo"</f>
        <v>Producto 10 — costo directo</v>
      </c>
      <c r="C556" s="11" t="s">
        <v>508</v>
      </c>
      <c r="D556" s="48" t="str">
        <f aca="false">IF(OR(NOT(ISNUMBER(D92)),NOT(ISNUMBER(D324))),"",D92-D324)</f>
        <v/>
      </c>
      <c r="E556" s="48" t="str">
        <f aca="false">IF(OR(NOT(ISNUMBER(E92)),NOT(ISNUMBER(E324))),"",E92-E324)</f>
        <v/>
      </c>
      <c r="F556" s="48" t="str">
        <f aca="false">IF(OR(NOT(ISNUMBER(F92)),NOT(ISNUMBER(F324))),"",F92-F324)</f>
        <v/>
      </c>
      <c r="G556" s="48" t="str">
        <f aca="false">IF(OR(NOT(ISNUMBER(G92)),NOT(ISNUMBER(G324))),"",G92-G324)</f>
        <v/>
      </c>
      <c r="H556" s="48" t="str">
        <f aca="false">IF(OR(NOT(ISNUMBER(H92)),NOT(ISNUMBER(H324))),"",H92-H324)</f>
        <v/>
      </c>
      <c r="I556" s="48" t="str">
        <f aca="false">IF(OR(NOT(ISNUMBER(I92)),NOT(ISNUMBER(I324))),"",I92-I324)</f>
        <v/>
      </c>
      <c r="J556" s="48" t="str">
        <f aca="false">IF(OR(NOT(ISNUMBER(J92)),NOT(ISNUMBER(J324))),"",J92-J324)</f>
        <v/>
      </c>
      <c r="K556" s="48" t="str">
        <f aca="false">IF(OR(NOT(ISNUMBER(K92)),NOT(ISNUMBER(K324))),"",K92-K324)</f>
        <v/>
      </c>
      <c r="L556" s="48" t="str">
        <f aca="false">IF(OR(NOT(ISNUMBER(L92)),NOT(ISNUMBER(L324))),"",L92-L324)</f>
        <v/>
      </c>
      <c r="M556" s="48" t="str">
        <f aca="false">IF(OR(NOT(ISNUMBER(M92)),NOT(ISNUMBER(M324))),"",M92-M324)</f>
        <v/>
      </c>
      <c r="N556" s="48" t="str">
        <f aca="false">IF(OR(NOT(ISNUMBER(N92)),NOT(ISNUMBER(N324))),"",N92-N324)</f>
        <v/>
      </c>
      <c r="O556" s="54" t="str">
        <f aca="false">IF(OR(NOT(ISNUMBER(O92)),NOT(ISNUMBER(O324))),"",O92-O324)</f>
        <v/>
      </c>
      <c r="P556" s="11" t="str">
        <f aca="false">IF(COUNT(D556:N556)=0,"",IF(AND(MAX(D556:N556)&lt;2,MIN(D556:N556)&gt;-2),"Sin diferencia","Diferencia a explicar"))</f>
        <v/>
      </c>
    </row>
    <row r="557" customFormat="false" ht="15" hidden="true" customHeight="false" outlineLevel="1" collapsed="false">
      <c r="A557" s="11" t="s">
        <v>2454</v>
      </c>
      <c r="B557" s="15" t="s">
        <v>2366</v>
      </c>
      <c r="C557" s="11" t="s">
        <v>544</v>
      </c>
      <c r="D557" s="48" t="str">
        <f aca="false">IF(OR(NOT(ISNUMBER(D93)),NOT(ISNUMBER(D325))),"",D93-D325)</f>
        <v/>
      </c>
      <c r="E557" s="48" t="str">
        <f aca="false">IF(OR(NOT(ISNUMBER(E93)),NOT(ISNUMBER(E325))),"",E93-E325)</f>
        <v/>
      </c>
      <c r="F557" s="48" t="str">
        <f aca="false">IF(OR(NOT(ISNUMBER(F93)),NOT(ISNUMBER(F325))),"",F93-F325)</f>
        <v/>
      </c>
      <c r="G557" s="48" t="str">
        <f aca="false">IF(OR(NOT(ISNUMBER(G93)),NOT(ISNUMBER(G325))),"",G93-G325)</f>
        <v/>
      </c>
      <c r="H557" s="48" t="str">
        <f aca="false">IF(OR(NOT(ISNUMBER(H93)),NOT(ISNUMBER(H325))),"",H93-H325)</f>
        <v/>
      </c>
      <c r="I557" s="48" t="str">
        <f aca="false">IF(OR(NOT(ISNUMBER(I93)),NOT(ISNUMBER(I325))),"",I93-I325)</f>
        <v/>
      </c>
      <c r="J557" s="48" t="str">
        <f aca="false">IF(OR(NOT(ISNUMBER(J93)),NOT(ISNUMBER(J325))),"",J93-J325)</f>
        <v/>
      </c>
      <c r="K557" s="48" t="str">
        <f aca="false">IF(OR(NOT(ISNUMBER(K93)),NOT(ISNUMBER(K325))),"",K93-K325)</f>
        <v/>
      </c>
      <c r="L557" s="48" t="str">
        <f aca="false">IF(OR(NOT(ISNUMBER(L93)),NOT(ISNUMBER(L325))),"",L93-L325)</f>
        <v/>
      </c>
      <c r="M557" s="48" t="str">
        <f aca="false">IF(OR(NOT(ISNUMBER(M93)),NOT(ISNUMBER(M325))),"",M93-M325)</f>
        <v/>
      </c>
      <c r="N557" s="48" t="str">
        <f aca="false">IF(OR(NOT(ISNUMBER(N93)),NOT(ISNUMBER(N325))),"",N93-N325)</f>
        <v/>
      </c>
      <c r="O557" s="54" t="str">
        <f aca="false">IF(OR(NOT(ISNUMBER(O93)),NOT(ISNUMBER(O325))),"",O93-O325)</f>
        <v/>
      </c>
      <c r="P557" s="11" t="str">
        <f aca="false">IF(COUNT(D557:N557)=0,"",IF(AND(MAX(D557:N557)&lt;2,MIN(D557:N557)&gt;-2),"Sin diferencia","Diferencia a explicar"))</f>
        <v/>
      </c>
    </row>
    <row r="558" customFormat="false" ht="15" hidden="true" customHeight="false" outlineLevel="1" collapsed="false">
      <c r="A558" s="11" t="s">
        <v>2455</v>
      </c>
      <c r="B558" s="15" t="s">
        <v>2368</v>
      </c>
      <c r="C558" s="11" t="s">
        <v>508</v>
      </c>
      <c r="D558" s="48" t="str">
        <f aca="false">IF(OR(NOT(ISNUMBER(D94)),NOT(ISNUMBER(D326))),"",D94-D326)</f>
        <v/>
      </c>
      <c r="E558" s="48" t="str">
        <f aca="false">IF(OR(NOT(ISNUMBER(E94)),NOT(ISNUMBER(E326))),"",E94-E326)</f>
        <v/>
      </c>
      <c r="F558" s="48" t="str">
        <f aca="false">IF(OR(NOT(ISNUMBER(F94)),NOT(ISNUMBER(F326))),"",F94-F326)</f>
        <v/>
      </c>
      <c r="G558" s="48" t="str">
        <f aca="false">IF(OR(NOT(ISNUMBER(G94)),NOT(ISNUMBER(G326))),"",G94-G326)</f>
        <v/>
      </c>
      <c r="H558" s="48" t="str">
        <f aca="false">IF(OR(NOT(ISNUMBER(H94)),NOT(ISNUMBER(H326))),"",H94-H326)</f>
        <v/>
      </c>
      <c r="I558" s="48" t="str">
        <f aca="false">IF(OR(NOT(ISNUMBER(I94)),NOT(ISNUMBER(I326))),"",I94-I326)</f>
        <v/>
      </c>
      <c r="J558" s="48" t="str">
        <f aca="false">IF(OR(NOT(ISNUMBER(J94)),NOT(ISNUMBER(J326))),"",J94-J326)</f>
        <v/>
      </c>
      <c r="K558" s="48" t="str">
        <f aca="false">IF(OR(NOT(ISNUMBER(K94)),NOT(ISNUMBER(K326))),"",K94-K326)</f>
        <v/>
      </c>
      <c r="L558" s="48" t="str">
        <f aca="false">IF(OR(NOT(ISNUMBER(L94)),NOT(ISNUMBER(L326))),"",L94-L326)</f>
        <v/>
      </c>
      <c r="M558" s="48" t="str">
        <f aca="false">IF(OR(NOT(ISNUMBER(M94)),NOT(ISNUMBER(M326))),"",M94-M326)</f>
        <v/>
      </c>
      <c r="N558" s="48" t="str">
        <f aca="false">IF(OR(NOT(ISNUMBER(N94)),NOT(ISNUMBER(N326))),"",N94-N326)</f>
        <v/>
      </c>
      <c r="O558" s="54" t="str">
        <f aca="false">IF(OR(NOT(ISNUMBER(O94)),NOT(ISNUMBER(O326))),"",O94-O326)</f>
        <v/>
      </c>
      <c r="P558" s="11" t="str">
        <f aca="false">IF(COUNT(D558:N558)=0,"",IF(AND(MAX(D558:N558)&lt;2,MIN(D558:N558)&gt;-2),"Sin diferencia","Diferencia a explicar"))</f>
        <v/>
      </c>
    </row>
    <row r="559" customFormat="false" ht="15" hidden="true" customHeight="false" outlineLevel="1" collapsed="false">
      <c r="A559" s="11" t="s">
        <v>2456</v>
      </c>
      <c r="B559" s="15" t="s">
        <v>2370</v>
      </c>
      <c r="C559" s="11" t="s">
        <v>748</v>
      </c>
      <c r="D559" s="50" t="str">
        <f aca="false">IF(OR(NOT(ISNUMBER(D95)),NOT(ISNUMBER(D327))),"",D95-D327)</f>
        <v/>
      </c>
      <c r="E559" s="50" t="str">
        <f aca="false">IF(OR(NOT(ISNUMBER(E95)),NOT(ISNUMBER(E327))),"",E95-E327)</f>
        <v/>
      </c>
      <c r="F559" s="50" t="str">
        <f aca="false">IF(OR(NOT(ISNUMBER(F95)),NOT(ISNUMBER(F327))),"",F95-F327)</f>
        <v/>
      </c>
      <c r="G559" s="50" t="str">
        <f aca="false">IF(OR(NOT(ISNUMBER(G95)),NOT(ISNUMBER(G327))),"",G95-G327)</f>
        <v/>
      </c>
      <c r="H559" s="50" t="str">
        <f aca="false">IF(OR(NOT(ISNUMBER(H95)),NOT(ISNUMBER(H327))),"",H95-H327)</f>
        <v/>
      </c>
      <c r="I559" s="50" t="str">
        <f aca="false">IF(OR(NOT(ISNUMBER(I95)),NOT(ISNUMBER(I327))),"",I95-I327)</f>
        <v/>
      </c>
      <c r="J559" s="50" t="str">
        <f aca="false">IF(OR(NOT(ISNUMBER(J95)),NOT(ISNUMBER(J327))),"",J95-J327)</f>
        <v/>
      </c>
      <c r="K559" s="50" t="str">
        <f aca="false">IF(OR(NOT(ISNUMBER(K95)),NOT(ISNUMBER(K327))),"",K95-K327)</f>
        <v/>
      </c>
      <c r="L559" s="50" t="str">
        <f aca="false">IF(OR(NOT(ISNUMBER(L95)),NOT(ISNUMBER(L327))),"",L95-L327)</f>
        <v/>
      </c>
      <c r="M559" s="50" t="str">
        <f aca="false">IF(OR(NOT(ISNUMBER(M95)),NOT(ISNUMBER(M327))),"",M95-M327)</f>
        <v/>
      </c>
      <c r="N559" s="50" t="str">
        <f aca="false">IF(OR(NOT(ISNUMBER(N95)),NOT(ISNUMBER(N327))),"",N95-N327)</f>
        <v/>
      </c>
      <c r="O559" s="68" t="str">
        <f aca="false">IF(OR(NOT(ISNUMBER(O95)),NOT(ISNUMBER(O327))),"",O95-O327)</f>
        <v/>
      </c>
      <c r="P559" s="11" t="str">
        <f aca="false">IF(COUNT(D559:N559)=0,"",IF(AND(MAX(D559:N559)&lt;0.005,MIN(D559:N559)&gt;-0.005),"Sin diferencia","Diferencia a explicar"))</f>
        <v/>
      </c>
    </row>
    <row r="560" customFormat="false" ht="15" hidden="true" customHeight="false" outlineLevel="1" collapsed="false">
      <c r="A560" s="11" t="s">
        <v>2457</v>
      </c>
      <c r="B560" s="15" t="s">
        <v>2372</v>
      </c>
      <c r="C560" s="11" t="s">
        <v>748</v>
      </c>
      <c r="D560" s="50" t="str">
        <f aca="false">IF(OR(NOT(ISNUMBER(D96)),NOT(ISNUMBER(D328))),"",D96-D328)</f>
        <v/>
      </c>
      <c r="E560" s="50" t="str">
        <f aca="false">IF(OR(NOT(ISNUMBER(E96)),NOT(ISNUMBER(E328))),"",E96-E328)</f>
        <v/>
      </c>
      <c r="F560" s="50" t="str">
        <f aca="false">IF(OR(NOT(ISNUMBER(F96)),NOT(ISNUMBER(F328))),"",F96-F328)</f>
        <v/>
      </c>
      <c r="G560" s="50" t="str">
        <f aca="false">IF(OR(NOT(ISNUMBER(G96)),NOT(ISNUMBER(G328))),"",G96-G328)</f>
        <v/>
      </c>
      <c r="H560" s="50" t="str">
        <f aca="false">IF(OR(NOT(ISNUMBER(H96)),NOT(ISNUMBER(H328))),"",H96-H328)</f>
        <v/>
      </c>
      <c r="I560" s="50" t="str">
        <f aca="false">IF(OR(NOT(ISNUMBER(I96)),NOT(ISNUMBER(I328))),"",I96-I328)</f>
        <v/>
      </c>
      <c r="J560" s="50" t="str">
        <f aca="false">IF(OR(NOT(ISNUMBER(J96)),NOT(ISNUMBER(J328))),"",J96-J328)</f>
        <v/>
      </c>
      <c r="K560" s="50" t="str">
        <f aca="false">IF(OR(NOT(ISNUMBER(K96)),NOT(ISNUMBER(K328))),"",K96-K328)</f>
        <v/>
      </c>
      <c r="L560" s="50" t="str">
        <f aca="false">IF(OR(NOT(ISNUMBER(L96)),NOT(ISNUMBER(L328))),"",L96-L328)</f>
        <v/>
      </c>
      <c r="M560" s="50" t="str">
        <f aca="false">IF(OR(NOT(ISNUMBER(M96)),NOT(ISNUMBER(M328))),"",M96-M328)</f>
        <v/>
      </c>
      <c r="N560" s="50" t="str">
        <f aca="false">IF(OR(NOT(ISNUMBER(N96)),NOT(ISNUMBER(N328))),"",N96-N328)</f>
        <v/>
      </c>
      <c r="O560" s="68" t="str">
        <f aca="false">IF(OR(NOT(ISNUMBER(O96)),NOT(ISNUMBER(O328))),"",O96-O328)</f>
        <v/>
      </c>
      <c r="P560" s="11" t="str">
        <f aca="false">IF(COUNT(D560:N560)=0,"",IF(AND(MAX(D560:N560)&lt;0.005,MIN(D560:N560)&gt;-0.005),"Sin diferencia","Diferencia a explicar"))</f>
        <v/>
      </c>
    </row>
    <row r="561" customFormat="false" ht="15" hidden="true" customHeight="false" outlineLevel="1" collapsed="false">
      <c r="A561" s="11" t="s">
        <v>2458</v>
      </c>
      <c r="B561" s="15" t="s">
        <v>2374</v>
      </c>
      <c r="C561" s="11" t="s">
        <v>367</v>
      </c>
      <c r="D561" s="49" t="str">
        <f aca="false">IF(OR(NOT(ISNUMBER(D97)),NOT(ISNUMBER(D329))),"",D97-D329)</f>
        <v/>
      </c>
      <c r="E561" s="49" t="str">
        <f aca="false">IF(OR(NOT(ISNUMBER(E97)),NOT(ISNUMBER(E329))),"",E97-E329)</f>
        <v/>
      </c>
      <c r="F561" s="49" t="str">
        <f aca="false">IF(OR(NOT(ISNUMBER(F97)),NOT(ISNUMBER(F329))),"",F97-F329)</f>
        <v/>
      </c>
      <c r="G561" s="49" t="str">
        <f aca="false">IF(OR(NOT(ISNUMBER(G97)),NOT(ISNUMBER(G329))),"",G97-G329)</f>
        <v/>
      </c>
      <c r="H561" s="49" t="str">
        <f aca="false">IF(OR(NOT(ISNUMBER(H97)),NOT(ISNUMBER(H329))),"",H97-H329)</f>
        <v/>
      </c>
      <c r="I561" s="49" t="str">
        <f aca="false">IF(OR(NOT(ISNUMBER(I97)),NOT(ISNUMBER(I329))),"",I97-I329)</f>
        <v/>
      </c>
      <c r="J561" s="49" t="str">
        <f aca="false">IF(OR(NOT(ISNUMBER(J97)),NOT(ISNUMBER(J329))),"",J97-J329)</f>
        <v/>
      </c>
      <c r="K561" s="49" t="str">
        <f aca="false">IF(OR(NOT(ISNUMBER(K97)),NOT(ISNUMBER(K329))),"",K97-K329)</f>
        <v/>
      </c>
      <c r="L561" s="49" t="str">
        <f aca="false">IF(OR(NOT(ISNUMBER(L97)),NOT(ISNUMBER(L329))),"",L97-L329)</f>
        <v/>
      </c>
      <c r="M561" s="49" t="str">
        <f aca="false">IF(OR(NOT(ISNUMBER(M97)),NOT(ISNUMBER(M329))),"",M97-M329)</f>
        <v/>
      </c>
      <c r="N561" s="49" t="str">
        <f aca="false">IF(OR(NOT(ISNUMBER(N97)),NOT(ISNUMBER(N329))),"",N97-N329)</f>
        <v/>
      </c>
      <c r="O561" s="99" t="str">
        <f aca="false">IF(OR(NOT(ISNUMBER(O97)),NOT(ISNUMBER(O329))),"",O97-O329)</f>
        <v/>
      </c>
      <c r="P561" s="11" t="str">
        <f aca="false">IF(COUNT(D561:N561)=0,"",IF(AND(MAX(D561:N561)&lt;0.0005,MIN(D561:N561)&gt;-0.0005),"Sin diferencia","Diferencia a explicar"))</f>
        <v/>
      </c>
    </row>
    <row r="562" customFormat="false" ht="15" hidden="true" customHeight="false" outlineLevel="1" collapsed="false">
      <c r="A562" s="11" t="s">
        <v>2459</v>
      </c>
      <c r="B562" s="15" t="s">
        <v>2376</v>
      </c>
      <c r="C562" s="11" t="s">
        <v>508</v>
      </c>
      <c r="D562" s="48" t="str">
        <f aca="false">IF(OR(NOT(ISNUMBER(D98)),NOT(ISNUMBER(D330))),"",D98-D330)</f>
        <v/>
      </c>
      <c r="E562" s="48" t="str">
        <f aca="false">IF(OR(NOT(ISNUMBER(E98)),NOT(ISNUMBER(E330))),"",E98-E330)</f>
        <v/>
      </c>
      <c r="F562" s="48" t="str">
        <f aca="false">IF(OR(NOT(ISNUMBER(F98)),NOT(ISNUMBER(F330))),"",F98-F330)</f>
        <v/>
      </c>
      <c r="G562" s="48" t="str">
        <f aca="false">IF(OR(NOT(ISNUMBER(G98)),NOT(ISNUMBER(G330))),"",G98-G330)</f>
        <v/>
      </c>
      <c r="H562" s="48" t="str">
        <f aca="false">IF(OR(NOT(ISNUMBER(H98)),NOT(ISNUMBER(H330))),"",H98-H330)</f>
        <v/>
      </c>
      <c r="I562" s="48" t="str">
        <f aca="false">IF(OR(NOT(ISNUMBER(I98)),NOT(ISNUMBER(I330))),"",I98-I330)</f>
        <v/>
      </c>
      <c r="J562" s="48" t="str">
        <f aca="false">IF(OR(NOT(ISNUMBER(J98)),NOT(ISNUMBER(J330))),"",J98-J330)</f>
        <v/>
      </c>
      <c r="K562" s="48" t="str">
        <f aca="false">IF(OR(NOT(ISNUMBER(K98)),NOT(ISNUMBER(K330))),"",K98-K330)</f>
        <v/>
      </c>
      <c r="L562" s="48" t="str">
        <f aca="false">IF(OR(NOT(ISNUMBER(L98)),NOT(ISNUMBER(L330))),"",L98-L330)</f>
        <v/>
      </c>
      <c r="M562" s="48" t="str">
        <f aca="false">IF(OR(NOT(ISNUMBER(M98)),NOT(ISNUMBER(M330))),"",M98-M330)</f>
        <v/>
      </c>
      <c r="N562" s="48" t="str">
        <f aca="false">IF(OR(NOT(ISNUMBER(N98)),NOT(ISNUMBER(N330))),"",N98-N330)</f>
        <v/>
      </c>
      <c r="O562" s="54" t="str">
        <f aca="false">IF(OR(NOT(ISNUMBER(O98)),NOT(ISNUMBER(O330))),"",O98-O330)</f>
        <v/>
      </c>
      <c r="P562" s="11" t="str">
        <f aca="false">IF(COUNT(D562:N562)=0,"",IF(AND(MAX(D562:N562)&lt;2,MIN(D562:N562)&gt;-2),"Sin diferencia","Diferencia a explicar"))</f>
        <v/>
      </c>
    </row>
    <row r="563" customFormat="false" ht="15" hidden="true" customHeight="false" outlineLevel="1" collapsed="false">
      <c r="A563" s="11" t="s">
        <v>2460</v>
      </c>
      <c r="B563" s="15" t="s">
        <v>2378</v>
      </c>
      <c r="C563" s="11" t="s">
        <v>508</v>
      </c>
      <c r="D563" s="48" t="str">
        <f aca="false">IF(OR(NOT(ISNUMBER(D99)),NOT(ISNUMBER(D331))),"",D99-D331)</f>
        <v/>
      </c>
      <c r="E563" s="48" t="str">
        <f aca="false">IF(OR(NOT(ISNUMBER(E99)),NOT(ISNUMBER(E331))),"",E99-E331)</f>
        <v/>
      </c>
      <c r="F563" s="48" t="str">
        <f aca="false">IF(OR(NOT(ISNUMBER(F99)),NOT(ISNUMBER(F331))),"",F99-F331)</f>
        <v/>
      </c>
      <c r="G563" s="48" t="str">
        <f aca="false">IF(OR(NOT(ISNUMBER(G99)),NOT(ISNUMBER(G331))),"",G99-G331)</f>
        <v/>
      </c>
      <c r="H563" s="48" t="str">
        <f aca="false">IF(OR(NOT(ISNUMBER(H99)),NOT(ISNUMBER(H331))),"",H99-H331)</f>
        <v/>
      </c>
      <c r="I563" s="48" t="str">
        <f aca="false">IF(OR(NOT(ISNUMBER(I99)),NOT(ISNUMBER(I331))),"",I99-I331)</f>
        <v/>
      </c>
      <c r="J563" s="48" t="str">
        <f aca="false">IF(OR(NOT(ISNUMBER(J99)),NOT(ISNUMBER(J331))),"",J99-J331)</f>
        <v/>
      </c>
      <c r="K563" s="48" t="str">
        <f aca="false">IF(OR(NOT(ISNUMBER(K99)),NOT(ISNUMBER(K331))),"",K99-K331)</f>
        <v/>
      </c>
      <c r="L563" s="48" t="str">
        <f aca="false">IF(OR(NOT(ISNUMBER(L99)),NOT(ISNUMBER(L331))),"",L99-L331)</f>
        <v/>
      </c>
      <c r="M563" s="48" t="str">
        <f aca="false">IF(OR(NOT(ISNUMBER(M99)),NOT(ISNUMBER(M331))),"",M99-M331)</f>
        <v/>
      </c>
      <c r="N563" s="48" t="str">
        <f aca="false">IF(OR(NOT(ISNUMBER(N99)),NOT(ISNUMBER(N331))),"",N99-N331)</f>
        <v/>
      </c>
      <c r="O563" s="54" t="str">
        <f aca="false">IF(OR(NOT(ISNUMBER(O99)),NOT(ISNUMBER(O331))),"",O99-O331)</f>
        <v/>
      </c>
      <c r="P563" s="11" t="str">
        <f aca="false">IF(COUNT(D563:N563)=0,"",IF(AND(MAX(D563:N563)&lt;2,MIN(D563:N563)&gt;-2),"Sin diferencia","Diferencia a explicar"))</f>
        <v/>
      </c>
    </row>
    <row r="564" customFormat="false" ht="15" hidden="true" customHeight="false" outlineLevel="1" collapsed="false">
      <c r="A564" s="11" t="s">
        <v>2461</v>
      </c>
      <c r="B564" s="15" t="s">
        <v>2380</v>
      </c>
      <c r="C564" s="11" t="s">
        <v>748</v>
      </c>
      <c r="D564" s="50" t="str">
        <f aca="false">IF(OR(NOT(ISNUMBER(D100)),NOT(ISNUMBER(D332))),"",D100-D332)</f>
        <v/>
      </c>
      <c r="E564" s="50" t="str">
        <f aca="false">IF(OR(NOT(ISNUMBER(E100)),NOT(ISNUMBER(E332))),"",E100-E332)</f>
        <v/>
      </c>
      <c r="F564" s="50" t="str">
        <f aca="false">IF(OR(NOT(ISNUMBER(F100)),NOT(ISNUMBER(F332))),"",F100-F332)</f>
        <v/>
      </c>
      <c r="G564" s="50" t="str">
        <f aca="false">IF(OR(NOT(ISNUMBER(G100)),NOT(ISNUMBER(G332))),"",G100-G332)</f>
        <v/>
      </c>
      <c r="H564" s="50" t="str">
        <f aca="false">IF(OR(NOT(ISNUMBER(H100)),NOT(ISNUMBER(H332))),"",H100-H332)</f>
        <v/>
      </c>
      <c r="I564" s="50" t="str">
        <f aca="false">IF(OR(NOT(ISNUMBER(I100)),NOT(ISNUMBER(I332))),"",I100-I332)</f>
        <v/>
      </c>
      <c r="J564" s="50" t="str">
        <f aca="false">IF(OR(NOT(ISNUMBER(J100)),NOT(ISNUMBER(J332))),"",J100-J332)</f>
        <v/>
      </c>
      <c r="K564" s="50" t="str">
        <f aca="false">IF(OR(NOT(ISNUMBER(K100)),NOT(ISNUMBER(K332))),"",K100-K332)</f>
        <v/>
      </c>
      <c r="L564" s="50" t="str">
        <f aca="false">IF(OR(NOT(ISNUMBER(L100)),NOT(ISNUMBER(L332))),"",L100-L332)</f>
        <v/>
      </c>
      <c r="M564" s="50" t="str">
        <f aca="false">IF(OR(NOT(ISNUMBER(M100)),NOT(ISNUMBER(M332))),"",M100-M332)</f>
        <v/>
      </c>
      <c r="N564" s="50" t="str">
        <f aca="false">IF(OR(NOT(ISNUMBER(N100)),NOT(ISNUMBER(N332))),"",N100-N332)</f>
        <v/>
      </c>
      <c r="O564" s="68" t="str">
        <f aca="false">IF(OR(NOT(ISNUMBER(O100)),NOT(ISNUMBER(O332))),"",O100-O332)</f>
        <v/>
      </c>
      <c r="P564" s="11" t="str">
        <f aca="false">IF(COUNT(D564:N564)=0,"",IF(AND(MAX(D564:N564)&lt;0.005,MIN(D564:N564)&gt;-0.005),"Sin diferencia","Diferencia a explicar"))</f>
        <v/>
      </c>
    </row>
    <row r="565" customFormat="false" ht="15" hidden="true" customHeight="false" outlineLevel="1" collapsed="false">
      <c r="A565" s="11" t="s">
        <v>2462</v>
      </c>
      <c r="B565" s="53" t="str">
        <f aca="false">IF(INDEX(Prod_Nombre,11)="","Producto 11",INDEX(Prod_Nombre,11))&amp;" — costo directo"</f>
        <v>Producto 11 — costo directo</v>
      </c>
      <c r="C565" s="11" t="s">
        <v>508</v>
      </c>
      <c r="D565" s="48" t="str">
        <f aca="false">IF(OR(NOT(ISNUMBER(D101)),NOT(ISNUMBER(D333))),"",D101-D333)</f>
        <v/>
      </c>
      <c r="E565" s="48" t="str">
        <f aca="false">IF(OR(NOT(ISNUMBER(E101)),NOT(ISNUMBER(E333))),"",E101-E333)</f>
        <v/>
      </c>
      <c r="F565" s="48" t="str">
        <f aca="false">IF(OR(NOT(ISNUMBER(F101)),NOT(ISNUMBER(F333))),"",F101-F333)</f>
        <v/>
      </c>
      <c r="G565" s="48" t="str">
        <f aca="false">IF(OR(NOT(ISNUMBER(G101)),NOT(ISNUMBER(G333))),"",G101-G333)</f>
        <v/>
      </c>
      <c r="H565" s="48" t="str">
        <f aca="false">IF(OR(NOT(ISNUMBER(H101)),NOT(ISNUMBER(H333))),"",H101-H333)</f>
        <v/>
      </c>
      <c r="I565" s="48" t="str">
        <f aca="false">IF(OR(NOT(ISNUMBER(I101)),NOT(ISNUMBER(I333))),"",I101-I333)</f>
        <v/>
      </c>
      <c r="J565" s="48" t="str">
        <f aca="false">IF(OR(NOT(ISNUMBER(J101)),NOT(ISNUMBER(J333))),"",J101-J333)</f>
        <v/>
      </c>
      <c r="K565" s="48" t="str">
        <f aca="false">IF(OR(NOT(ISNUMBER(K101)),NOT(ISNUMBER(K333))),"",K101-K333)</f>
        <v/>
      </c>
      <c r="L565" s="48" t="str">
        <f aca="false">IF(OR(NOT(ISNUMBER(L101)),NOT(ISNUMBER(L333))),"",L101-L333)</f>
        <v/>
      </c>
      <c r="M565" s="48" t="str">
        <f aca="false">IF(OR(NOT(ISNUMBER(M101)),NOT(ISNUMBER(M333))),"",M101-M333)</f>
        <v/>
      </c>
      <c r="N565" s="48" t="str">
        <f aca="false">IF(OR(NOT(ISNUMBER(N101)),NOT(ISNUMBER(N333))),"",N101-N333)</f>
        <v/>
      </c>
      <c r="O565" s="54" t="str">
        <f aca="false">IF(OR(NOT(ISNUMBER(O101)),NOT(ISNUMBER(O333))),"",O101-O333)</f>
        <v/>
      </c>
      <c r="P565" s="11" t="str">
        <f aca="false">IF(COUNT(D565:N565)=0,"",IF(AND(MAX(D565:N565)&lt;2,MIN(D565:N565)&gt;-2),"Sin diferencia","Diferencia a explicar"))</f>
        <v/>
      </c>
    </row>
    <row r="566" customFormat="false" ht="15" hidden="true" customHeight="false" outlineLevel="1" collapsed="false">
      <c r="A566" s="11" t="s">
        <v>2463</v>
      </c>
      <c r="B566" s="15" t="s">
        <v>2366</v>
      </c>
      <c r="C566" s="11" t="s">
        <v>544</v>
      </c>
      <c r="D566" s="48" t="str">
        <f aca="false">IF(OR(NOT(ISNUMBER(D102)),NOT(ISNUMBER(D334))),"",D102-D334)</f>
        <v/>
      </c>
      <c r="E566" s="48" t="str">
        <f aca="false">IF(OR(NOT(ISNUMBER(E102)),NOT(ISNUMBER(E334))),"",E102-E334)</f>
        <v/>
      </c>
      <c r="F566" s="48" t="str">
        <f aca="false">IF(OR(NOT(ISNUMBER(F102)),NOT(ISNUMBER(F334))),"",F102-F334)</f>
        <v/>
      </c>
      <c r="G566" s="48" t="str">
        <f aca="false">IF(OR(NOT(ISNUMBER(G102)),NOT(ISNUMBER(G334))),"",G102-G334)</f>
        <v/>
      </c>
      <c r="H566" s="48" t="str">
        <f aca="false">IF(OR(NOT(ISNUMBER(H102)),NOT(ISNUMBER(H334))),"",H102-H334)</f>
        <v/>
      </c>
      <c r="I566" s="48" t="str">
        <f aca="false">IF(OR(NOT(ISNUMBER(I102)),NOT(ISNUMBER(I334))),"",I102-I334)</f>
        <v/>
      </c>
      <c r="J566" s="48" t="str">
        <f aca="false">IF(OR(NOT(ISNUMBER(J102)),NOT(ISNUMBER(J334))),"",J102-J334)</f>
        <v/>
      </c>
      <c r="K566" s="48" t="str">
        <f aca="false">IF(OR(NOT(ISNUMBER(K102)),NOT(ISNUMBER(K334))),"",K102-K334)</f>
        <v/>
      </c>
      <c r="L566" s="48" t="str">
        <f aca="false">IF(OR(NOT(ISNUMBER(L102)),NOT(ISNUMBER(L334))),"",L102-L334)</f>
        <v/>
      </c>
      <c r="M566" s="48" t="str">
        <f aca="false">IF(OR(NOT(ISNUMBER(M102)),NOT(ISNUMBER(M334))),"",M102-M334)</f>
        <v/>
      </c>
      <c r="N566" s="48" t="str">
        <f aca="false">IF(OR(NOT(ISNUMBER(N102)),NOT(ISNUMBER(N334))),"",N102-N334)</f>
        <v/>
      </c>
      <c r="O566" s="54" t="str">
        <f aca="false">IF(OR(NOT(ISNUMBER(O102)),NOT(ISNUMBER(O334))),"",O102-O334)</f>
        <v/>
      </c>
      <c r="P566" s="11" t="str">
        <f aca="false">IF(COUNT(D566:N566)=0,"",IF(AND(MAX(D566:N566)&lt;2,MIN(D566:N566)&gt;-2),"Sin diferencia","Diferencia a explicar"))</f>
        <v/>
      </c>
    </row>
    <row r="567" customFormat="false" ht="15" hidden="true" customHeight="false" outlineLevel="1" collapsed="false">
      <c r="A567" s="11" t="s">
        <v>2464</v>
      </c>
      <c r="B567" s="15" t="s">
        <v>2368</v>
      </c>
      <c r="C567" s="11" t="s">
        <v>508</v>
      </c>
      <c r="D567" s="48" t="str">
        <f aca="false">IF(OR(NOT(ISNUMBER(D103)),NOT(ISNUMBER(D335))),"",D103-D335)</f>
        <v/>
      </c>
      <c r="E567" s="48" t="str">
        <f aca="false">IF(OR(NOT(ISNUMBER(E103)),NOT(ISNUMBER(E335))),"",E103-E335)</f>
        <v/>
      </c>
      <c r="F567" s="48" t="str">
        <f aca="false">IF(OR(NOT(ISNUMBER(F103)),NOT(ISNUMBER(F335))),"",F103-F335)</f>
        <v/>
      </c>
      <c r="G567" s="48" t="str">
        <f aca="false">IF(OR(NOT(ISNUMBER(G103)),NOT(ISNUMBER(G335))),"",G103-G335)</f>
        <v/>
      </c>
      <c r="H567" s="48" t="str">
        <f aca="false">IF(OR(NOT(ISNUMBER(H103)),NOT(ISNUMBER(H335))),"",H103-H335)</f>
        <v/>
      </c>
      <c r="I567" s="48" t="str">
        <f aca="false">IF(OR(NOT(ISNUMBER(I103)),NOT(ISNUMBER(I335))),"",I103-I335)</f>
        <v/>
      </c>
      <c r="J567" s="48" t="str">
        <f aca="false">IF(OR(NOT(ISNUMBER(J103)),NOT(ISNUMBER(J335))),"",J103-J335)</f>
        <v/>
      </c>
      <c r="K567" s="48" t="str">
        <f aca="false">IF(OR(NOT(ISNUMBER(K103)),NOT(ISNUMBER(K335))),"",K103-K335)</f>
        <v/>
      </c>
      <c r="L567" s="48" t="str">
        <f aca="false">IF(OR(NOT(ISNUMBER(L103)),NOT(ISNUMBER(L335))),"",L103-L335)</f>
        <v/>
      </c>
      <c r="M567" s="48" t="str">
        <f aca="false">IF(OR(NOT(ISNUMBER(M103)),NOT(ISNUMBER(M335))),"",M103-M335)</f>
        <v/>
      </c>
      <c r="N567" s="48" t="str">
        <f aca="false">IF(OR(NOT(ISNUMBER(N103)),NOT(ISNUMBER(N335))),"",N103-N335)</f>
        <v/>
      </c>
      <c r="O567" s="54" t="str">
        <f aca="false">IF(OR(NOT(ISNUMBER(O103)),NOT(ISNUMBER(O335))),"",O103-O335)</f>
        <v/>
      </c>
      <c r="P567" s="11" t="str">
        <f aca="false">IF(COUNT(D567:N567)=0,"",IF(AND(MAX(D567:N567)&lt;2,MIN(D567:N567)&gt;-2),"Sin diferencia","Diferencia a explicar"))</f>
        <v/>
      </c>
    </row>
    <row r="568" customFormat="false" ht="15" hidden="true" customHeight="false" outlineLevel="1" collapsed="false">
      <c r="A568" s="11" t="s">
        <v>2465</v>
      </c>
      <c r="B568" s="15" t="s">
        <v>2370</v>
      </c>
      <c r="C568" s="11" t="s">
        <v>748</v>
      </c>
      <c r="D568" s="50" t="str">
        <f aca="false">IF(OR(NOT(ISNUMBER(D104)),NOT(ISNUMBER(D336))),"",D104-D336)</f>
        <v/>
      </c>
      <c r="E568" s="50" t="str">
        <f aca="false">IF(OR(NOT(ISNUMBER(E104)),NOT(ISNUMBER(E336))),"",E104-E336)</f>
        <v/>
      </c>
      <c r="F568" s="50" t="str">
        <f aca="false">IF(OR(NOT(ISNUMBER(F104)),NOT(ISNUMBER(F336))),"",F104-F336)</f>
        <v/>
      </c>
      <c r="G568" s="50" t="str">
        <f aca="false">IF(OR(NOT(ISNUMBER(G104)),NOT(ISNUMBER(G336))),"",G104-G336)</f>
        <v/>
      </c>
      <c r="H568" s="50" t="str">
        <f aca="false">IF(OR(NOT(ISNUMBER(H104)),NOT(ISNUMBER(H336))),"",H104-H336)</f>
        <v/>
      </c>
      <c r="I568" s="50" t="str">
        <f aca="false">IF(OR(NOT(ISNUMBER(I104)),NOT(ISNUMBER(I336))),"",I104-I336)</f>
        <v/>
      </c>
      <c r="J568" s="50" t="str">
        <f aca="false">IF(OR(NOT(ISNUMBER(J104)),NOT(ISNUMBER(J336))),"",J104-J336)</f>
        <v/>
      </c>
      <c r="K568" s="50" t="str">
        <f aca="false">IF(OR(NOT(ISNUMBER(K104)),NOT(ISNUMBER(K336))),"",K104-K336)</f>
        <v/>
      </c>
      <c r="L568" s="50" t="str">
        <f aca="false">IF(OR(NOT(ISNUMBER(L104)),NOT(ISNUMBER(L336))),"",L104-L336)</f>
        <v/>
      </c>
      <c r="M568" s="50" t="str">
        <f aca="false">IF(OR(NOT(ISNUMBER(M104)),NOT(ISNUMBER(M336))),"",M104-M336)</f>
        <v/>
      </c>
      <c r="N568" s="50" t="str">
        <f aca="false">IF(OR(NOT(ISNUMBER(N104)),NOT(ISNUMBER(N336))),"",N104-N336)</f>
        <v/>
      </c>
      <c r="O568" s="68" t="str">
        <f aca="false">IF(OR(NOT(ISNUMBER(O104)),NOT(ISNUMBER(O336))),"",O104-O336)</f>
        <v/>
      </c>
      <c r="P568" s="11" t="str">
        <f aca="false">IF(COUNT(D568:N568)=0,"",IF(AND(MAX(D568:N568)&lt;0.005,MIN(D568:N568)&gt;-0.005),"Sin diferencia","Diferencia a explicar"))</f>
        <v/>
      </c>
    </row>
    <row r="569" customFormat="false" ht="15" hidden="true" customHeight="false" outlineLevel="1" collapsed="false">
      <c r="A569" s="11" t="s">
        <v>2466</v>
      </c>
      <c r="B569" s="15" t="s">
        <v>2372</v>
      </c>
      <c r="C569" s="11" t="s">
        <v>748</v>
      </c>
      <c r="D569" s="50" t="str">
        <f aca="false">IF(OR(NOT(ISNUMBER(D105)),NOT(ISNUMBER(D337))),"",D105-D337)</f>
        <v/>
      </c>
      <c r="E569" s="50" t="str">
        <f aca="false">IF(OR(NOT(ISNUMBER(E105)),NOT(ISNUMBER(E337))),"",E105-E337)</f>
        <v/>
      </c>
      <c r="F569" s="50" t="str">
        <f aca="false">IF(OR(NOT(ISNUMBER(F105)),NOT(ISNUMBER(F337))),"",F105-F337)</f>
        <v/>
      </c>
      <c r="G569" s="50" t="str">
        <f aca="false">IF(OR(NOT(ISNUMBER(G105)),NOT(ISNUMBER(G337))),"",G105-G337)</f>
        <v/>
      </c>
      <c r="H569" s="50" t="str">
        <f aca="false">IF(OR(NOT(ISNUMBER(H105)),NOT(ISNUMBER(H337))),"",H105-H337)</f>
        <v/>
      </c>
      <c r="I569" s="50" t="str">
        <f aca="false">IF(OR(NOT(ISNUMBER(I105)),NOT(ISNUMBER(I337))),"",I105-I337)</f>
        <v/>
      </c>
      <c r="J569" s="50" t="str">
        <f aca="false">IF(OR(NOT(ISNUMBER(J105)),NOT(ISNUMBER(J337))),"",J105-J337)</f>
        <v/>
      </c>
      <c r="K569" s="50" t="str">
        <f aca="false">IF(OR(NOT(ISNUMBER(K105)),NOT(ISNUMBER(K337))),"",K105-K337)</f>
        <v/>
      </c>
      <c r="L569" s="50" t="str">
        <f aca="false">IF(OR(NOT(ISNUMBER(L105)),NOT(ISNUMBER(L337))),"",L105-L337)</f>
        <v/>
      </c>
      <c r="M569" s="50" t="str">
        <f aca="false">IF(OR(NOT(ISNUMBER(M105)),NOT(ISNUMBER(M337))),"",M105-M337)</f>
        <v/>
      </c>
      <c r="N569" s="50" t="str">
        <f aca="false">IF(OR(NOT(ISNUMBER(N105)),NOT(ISNUMBER(N337))),"",N105-N337)</f>
        <v/>
      </c>
      <c r="O569" s="68" t="str">
        <f aca="false">IF(OR(NOT(ISNUMBER(O105)),NOT(ISNUMBER(O337))),"",O105-O337)</f>
        <v/>
      </c>
      <c r="P569" s="11" t="str">
        <f aca="false">IF(COUNT(D569:N569)=0,"",IF(AND(MAX(D569:N569)&lt;0.005,MIN(D569:N569)&gt;-0.005),"Sin diferencia","Diferencia a explicar"))</f>
        <v/>
      </c>
    </row>
    <row r="570" customFormat="false" ht="15" hidden="true" customHeight="false" outlineLevel="1" collapsed="false">
      <c r="A570" s="11" t="s">
        <v>2467</v>
      </c>
      <c r="B570" s="15" t="s">
        <v>2374</v>
      </c>
      <c r="C570" s="11" t="s">
        <v>367</v>
      </c>
      <c r="D570" s="49" t="str">
        <f aca="false">IF(OR(NOT(ISNUMBER(D106)),NOT(ISNUMBER(D338))),"",D106-D338)</f>
        <v/>
      </c>
      <c r="E570" s="49" t="str">
        <f aca="false">IF(OR(NOT(ISNUMBER(E106)),NOT(ISNUMBER(E338))),"",E106-E338)</f>
        <v/>
      </c>
      <c r="F570" s="49" t="str">
        <f aca="false">IF(OR(NOT(ISNUMBER(F106)),NOT(ISNUMBER(F338))),"",F106-F338)</f>
        <v/>
      </c>
      <c r="G570" s="49" t="str">
        <f aca="false">IF(OR(NOT(ISNUMBER(G106)),NOT(ISNUMBER(G338))),"",G106-G338)</f>
        <v/>
      </c>
      <c r="H570" s="49" t="str">
        <f aca="false">IF(OR(NOT(ISNUMBER(H106)),NOT(ISNUMBER(H338))),"",H106-H338)</f>
        <v/>
      </c>
      <c r="I570" s="49" t="str">
        <f aca="false">IF(OR(NOT(ISNUMBER(I106)),NOT(ISNUMBER(I338))),"",I106-I338)</f>
        <v/>
      </c>
      <c r="J570" s="49" t="str">
        <f aca="false">IF(OR(NOT(ISNUMBER(J106)),NOT(ISNUMBER(J338))),"",J106-J338)</f>
        <v/>
      </c>
      <c r="K570" s="49" t="str">
        <f aca="false">IF(OR(NOT(ISNUMBER(K106)),NOT(ISNUMBER(K338))),"",K106-K338)</f>
        <v/>
      </c>
      <c r="L570" s="49" t="str">
        <f aca="false">IF(OR(NOT(ISNUMBER(L106)),NOT(ISNUMBER(L338))),"",L106-L338)</f>
        <v/>
      </c>
      <c r="M570" s="49" t="str">
        <f aca="false">IF(OR(NOT(ISNUMBER(M106)),NOT(ISNUMBER(M338))),"",M106-M338)</f>
        <v/>
      </c>
      <c r="N570" s="49" t="str">
        <f aca="false">IF(OR(NOT(ISNUMBER(N106)),NOT(ISNUMBER(N338))),"",N106-N338)</f>
        <v/>
      </c>
      <c r="O570" s="99" t="str">
        <f aca="false">IF(OR(NOT(ISNUMBER(O106)),NOT(ISNUMBER(O338))),"",O106-O338)</f>
        <v/>
      </c>
      <c r="P570" s="11" t="str">
        <f aca="false">IF(COUNT(D570:N570)=0,"",IF(AND(MAX(D570:N570)&lt;0.0005,MIN(D570:N570)&gt;-0.0005),"Sin diferencia","Diferencia a explicar"))</f>
        <v/>
      </c>
    </row>
    <row r="571" customFormat="false" ht="15" hidden="true" customHeight="false" outlineLevel="1" collapsed="false">
      <c r="A571" s="11" t="s">
        <v>2468</v>
      </c>
      <c r="B571" s="15" t="s">
        <v>2376</v>
      </c>
      <c r="C571" s="11" t="s">
        <v>508</v>
      </c>
      <c r="D571" s="48" t="str">
        <f aca="false">IF(OR(NOT(ISNUMBER(D107)),NOT(ISNUMBER(D339))),"",D107-D339)</f>
        <v/>
      </c>
      <c r="E571" s="48" t="str">
        <f aca="false">IF(OR(NOT(ISNUMBER(E107)),NOT(ISNUMBER(E339))),"",E107-E339)</f>
        <v/>
      </c>
      <c r="F571" s="48" t="str">
        <f aca="false">IF(OR(NOT(ISNUMBER(F107)),NOT(ISNUMBER(F339))),"",F107-F339)</f>
        <v/>
      </c>
      <c r="G571" s="48" t="str">
        <f aca="false">IF(OR(NOT(ISNUMBER(G107)),NOT(ISNUMBER(G339))),"",G107-G339)</f>
        <v/>
      </c>
      <c r="H571" s="48" t="str">
        <f aca="false">IF(OR(NOT(ISNUMBER(H107)),NOT(ISNUMBER(H339))),"",H107-H339)</f>
        <v/>
      </c>
      <c r="I571" s="48" t="str">
        <f aca="false">IF(OR(NOT(ISNUMBER(I107)),NOT(ISNUMBER(I339))),"",I107-I339)</f>
        <v/>
      </c>
      <c r="J571" s="48" t="str">
        <f aca="false">IF(OR(NOT(ISNUMBER(J107)),NOT(ISNUMBER(J339))),"",J107-J339)</f>
        <v/>
      </c>
      <c r="K571" s="48" t="str">
        <f aca="false">IF(OR(NOT(ISNUMBER(K107)),NOT(ISNUMBER(K339))),"",K107-K339)</f>
        <v/>
      </c>
      <c r="L571" s="48" t="str">
        <f aca="false">IF(OR(NOT(ISNUMBER(L107)),NOT(ISNUMBER(L339))),"",L107-L339)</f>
        <v/>
      </c>
      <c r="M571" s="48" t="str">
        <f aca="false">IF(OR(NOT(ISNUMBER(M107)),NOT(ISNUMBER(M339))),"",M107-M339)</f>
        <v/>
      </c>
      <c r="N571" s="48" t="str">
        <f aca="false">IF(OR(NOT(ISNUMBER(N107)),NOT(ISNUMBER(N339))),"",N107-N339)</f>
        <v/>
      </c>
      <c r="O571" s="54" t="str">
        <f aca="false">IF(OR(NOT(ISNUMBER(O107)),NOT(ISNUMBER(O339))),"",O107-O339)</f>
        <v/>
      </c>
      <c r="P571" s="11" t="str">
        <f aca="false">IF(COUNT(D571:N571)=0,"",IF(AND(MAX(D571:N571)&lt;2,MIN(D571:N571)&gt;-2),"Sin diferencia","Diferencia a explicar"))</f>
        <v/>
      </c>
    </row>
    <row r="572" customFormat="false" ht="15" hidden="true" customHeight="false" outlineLevel="1" collapsed="false">
      <c r="A572" s="11" t="s">
        <v>2469</v>
      </c>
      <c r="B572" s="15" t="s">
        <v>2378</v>
      </c>
      <c r="C572" s="11" t="s">
        <v>508</v>
      </c>
      <c r="D572" s="48" t="str">
        <f aca="false">IF(OR(NOT(ISNUMBER(D108)),NOT(ISNUMBER(D340))),"",D108-D340)</f>
        <v/>
      </c>
      <c r="E572" s="48" t="str">
        <f aca="false">IF(OR(NOT(ISNUMBER(E108)),NOT(ISNUMBER(E340))),"",E108-E340)</f>
        <v/>
      </c>
      <c r="F572" s="48" t="str">
        <f aca="false">IF(OR(NOT(ISNUMBER(F108)),NOT(ISNUMBER(F340))),"",F108-F340)</f>
        <v/>
      </c>
      <c r="G572" s="48" t="str">
        <f aca="false">IF(OR(NOT(ISNUMBER(G108)),NOT(ISNUMBER(G340))),"",G108-G340)</f>
        <v/>
      </c>
      <c r="H572" s="48" t="str">
        <f aca="false">IF(OR(NOT(ISNUMBER(H108)),NOT(ISNUMBER(H340))),"",H108-H340)</f>
        <v/>
      </c>
      <c r="I572" s="48" t="str">
        <f aca="false">IF(OR(NOT(ISNUMBER(I108)),NOT(ISNUMBER(I340))),"",I108-I340)</f>
        <v/>
      </c>
      <c r="J572" s="48" t="str">
        <f aca="false">IF(OR(NOT(ISNUMBER(J108)),NOT(ISNUMBER(J340))),"",J108-J340)</f>
        <v/>
      </c>
      <c r="K572" s="48" t="str">
        <f aca="false">IF(OR(NOT(ISNUMBER(K108)),NOT(ISNUMBER(K340))),"",K108-K340)</f>
        <v/>
      </c>
      <c r="L572" s="48" t="str">
        <f aca="false">IF(OR(NOT(ISNUMBER(L108)),NOT(ISNUMBER(L340))),"",L108-L340)</f>
        <v/>
      </c>
      <c r="M572" s="48" t="str">
        <f aca="false">IF(OR(NOT(ISNUMBER(M108)),NOT(ISNUMBER(M340))),"",M108-M340)</f>
        <v/>
      </c>
      <c r="N572" s="48" t="str">
        <f aca="false">IF(OR(NOT(ISNUMBER(N108)),NOT(ISNUMBER(N340))),"",N108-N340)</f>
        <v/>
      </c>
      <c r="O572" s="54" t="str">
        <f aca="false">IF(OR(NOT(ISNUMBER(O108)),NOT(ISNUMBER(O340))),"",O108-O340)</f>
        <v/>
      </c>
      <c r="P572" s="11" t="str">
        <f aca="false">IF(COUNT(D572:N572)=0,"",IF(AND(MAX(D572:N572)&lt;2,MIN(D572:N572)&gt;-2),"Sin diferencia","Diferencia a explicar"))</f>
        <v/>
      </c>
    </row>
    <row r="573" customFormat="false" ht="15" hidden="true" customHeight="false" outlineLevel="1" collapsed="false">
      <c r="A573" s="11" t="s">
        <v>2470</v>
      </c>
      <c r="B573" s="15" t="s">
        <v>2380</v>
      </c>
      <c r="C573" s="11" t="s">
        <v>748</v>
      </c>
      <c r="D573" s="50" t="str">
        <f aca="false">IF(OR(NOT(ISNUMBER(D109)),NOT(ISNUMBER(D341))),"",D109-D341)</f>
        <v/>
      </c>
      <c r="E573" s="50" t="str">
        <f aca="false">IF(OR(NOT(ISNUMBER(E109)),NOT(ISNUMBER(E341))),"",E109-E341)</f>
        <v/>
      </c>
      <c r="F573" s="50" t="str">
        <f aca="false">IF(OR(NOT(ISNUMBER(F109)),NOT(ISNUMBER(F341))),"",F109-F341)</f>
        <v/>
      </c>
      <c r="G573" s="50" t="str">
        <f aca="false">IF(OR(NOT(ISNUMBER(G109)),NOT(ISNUMBER(G341))),"",G109-G341)</f>
        <v/>
      </c>
      <c r="H573" s="50" t="str">
        <f aca="false">IF(OR(NOT(ISNUMBER(H109)),NOT(ISNUMBER(H341))),"",H109-H341)</f>
        <v/>
      </c>
      <c r="I573" s="50" t="str">
        <f aca="false">IF(OR(NOT(ISNUMBER(I109)),NOT(ISNUMBER(I341))),"",I109-I341)</f>
        <v/>
      </c>
      <c r="J573" s="50" t="str">
        <f aca="false">IF(OR(NOT(ISNUMBER(J109)),NOT(ISNUMBER(J341))),"",J109-J341)</f>
        <v/>
      </c>
      <c r="K573" s="50" t="str">
        <f aca="false">IF(OR(NOT(ISNUMBER(K109)),NOT(ISNUMBER(K341))),"",K109-K341)</f>
        <v/>
      </c>
      <c r="L573" s="50" t="str">
        <f aca="false">IF(OR(NOT(ISNUMBER(L109)),NOT(ISNUMBER(L341))),"",L109-L341)</f>
        <v/>
      </c>
      <c r="M573" s="50" t="str">
        <f aca="false">IF(OR(NOT(ISNUMBER(M109)),NOT(ISNUMBER(M341))),"",M109-M341)</f>
        <v/>
      </c>
      <c r="N573" s="50" t="str">
        <f aca="false">IF(OR(NOT(ISNUMBER(N109)),NOT(ISNUMBER(N341))),"",N109-N341)</f>
        <v/>
      </c>
      <c r="O573" s="68" t="str">
        <f aca="false">IF(OR(NOT(ISNUMBER(O109)),NOT(ISNUMBER(O341))),"",O109-O341)</f>
        <v/>
      </c>
      <c r="P573" s="11" t="str">
        <f aca="false">IF(COUNT(D573:N573)=0,"",IF(AND(MAX(D573:N573)&lt;0.005,MIN(D573:N573)&gt;-0.005),"Sin diferencia","Diferencia a explicar"))</f>
        <v/>
      </c>
    </row>
    <row r="574" customFormat="false" ht="15" hidden="true" customHeight="false" outlineLevel="1" collapsed="false">
      <c r="A574" s="11" t="s">
        <v>2471</v>
      </c>
      <c r="B574" s="53" t="str">
        <f aca="false">IF(INDEX(Prod_Nombre,12)="","Producto 12",INDEX(Prod_Nombre,12))&amp;" — costo directo"</f>
        <v>Producto 12 — costo directo</v>
      </c>
      <c r="C574" s="11" t="s">
        <v>508</v>
      </c>
      <c r="D574" s="48" t="str">
        <f aca="false">IF(OR(NOT(ISNUMBER(D110)),NOT(ISNUMBER(D342))),"",D110-D342)</f>
        <v/>
      </c>
      <c r="E574" s="48" t="str">
        <f aca="false">IF(OR(NOT(ISNUMBER(E110)),NOT(ISNUMBER(E342))),"",E110-E342)</f>
        <v/>
      </c>
      <c r="F574" s="48" t="str">
        <f aca="false">IF(OR(NOT(ISNUMBER(F110)),NOT(ISNUMBER(F342))),"",F110-F342)</f>
        <v/>
      </c>
      <c r="G574" s="48" t="str">
        <f aca="false">IF(OR(NOT(ISNUMBER(G110)),NOT(ISNUMBER(G342))),"",G110-G342)</f>
        <v/>
      </c>
      <c r="H574" s="48" t="str">
        <f aca="false">IF(OR(NOT(ISNUMBER(H110)),NOT(ISNUMBER(H342))),"",H110-H342)</f>
        <v/>
      </c>
      <c r="I574" s="48" t="str">
        <f aca="false">IF(OR(NOT(ISNUMBER(I110)),NOT(ISNUMBER(I342))),"",I110-I342)</f>
        <v/>
      </c>
      <c r="J574" s="48" t="str">
        <f aca="false">IF(OR(NOT(ISNUMBER(J110)),NOT(ISNUMBER(J342))),"",J110-J342)</f>
        <v/>
      </c>
      <c r="K574" s="48" t="str">
        <f aca="false">IF(OR(NOT(ISNUMBER(K110)),NOT(ISNUMBER(K342))),"",K110-K342)</f>
        <v/>
      </c>
      <c r="L574" s="48" t="str">
        <f aca="false">IF(OR(NOT(ISNUMBER(L110)),NOT(ISNUMBER(L342))),"",L110-L342)</f>
        <v/>
      </c>
      <c r="M574" s="48" t="str">
        <f aca="false">IF(OR(NOT(ISNUMBER(M110)),NOT(ISNUMBER(M342))),"",M110-M342)</f>
        <v/>
      </c>
      <c r="N574" s="48" t="str">
        <f aca="false">IF(OR(NOT(ISNUMBER(N110)),NOT(ISNUMBER(N342))),"",N110-N342)</f>
        <v/>
      </c>
      <c r="O574" s="54" t="str">
        <f aca="false">IF(OR(NOT(ISNUMBER(O110)),NOT(ISNUMBER(O342))),"",O110-O342)</f>
        <v/>
      </c>
      <c r="P574" s="11" t="str">
        <f aca="false">IF(COUNT(D574:N574)=0,"",IF(AND(MAX(D574:N574)&lt;2,MIN(D574:N574)&gt;-2),"Sin diferencia","Diferencia a explicar"))</f>
        <v/>
      </c>
    </row>
    <row r="575" customFormat="false" ht="15" hidden="true" customHeight="false" outlineLevel="1" collapsed="false">
      <c r="A575" s="11" t="s">
        <v>2472</v>
      </c>
      <c r="B575" s="15" t="s">
        <v>2366</v>
      </c>
      <c r="C575" s="11" t="s">
        <v>544</v>
      </c>
      <c r="D575" s="48" t="str">
        <f aca="false">IF(OR(NOT(ISNUMBER(D111)),NOT(ISNUMBER(D343))),"",D111-D343)</f>
        <v/>
      </c>
      <c r="E575" s="48" t="str">
        <f aca="false">IF(OR(NOT(ISNUMBER(E111)),NOT(ISNUMBER(E343))),"",E111-E343)</f>
        <v/>
      </c>
      <c r="F575" s="48" t="str">
        <f aca="false">IF(OR(NOT(ISNUMBER(F111)),NOT(ISNUMBER(F343))),"",F111-F343)</f>
        <v/>
      </c>
      <c r="G575" s="48" t="str">
        <f aca="false">IF(OR(NOT(ISNUMBER(G111)),NOT(ISNUMBER(G343))),"",G111-G343)</f>
        <v/>
      </c>
      <c r="H575" s="48" t="str">
        <f aca="false">IF(OR(NOT(ISNUMBER(H111)),NOT(ISNUMBER(H343))),"",H111-H343)</f>
        <v/>
      </c>
      <c r="I575" s="48" t="str">
        <f aca="false">IF(OR(NOT(ISNUMBER(I111)),NOT(ISNUMBER(I343))),"",I111-I343)</f>
        <v/>
      </c>
      <c r="J575" s="48" t="str">
        <f aca="false">IF(OR(NOT(ISNUMBER(J111)),NOT(ISNUMBER(J343))),"",J111-J343)</f>
        <v/>
      </c>
      <c r="K575" s="48" t="str">
        <f aca="false">IF(OR(NOT(ISNUMBER(K111)),NOT(ISNUMBER(K343))),"",K111-K343)</f>
        <v/>
      </c>
      <c r="L575" s="48" t="str">
        <f aca="false">IF(OR(NOT(ISNUMBER(L111)),NOT(ISNUMBER(L343))),"",L111-L343)</f>
        <v/>
      </c>
      <c r="M575" s="48" t="str">
        <f aca="false">IF(OR(NOT(ISNUMBER(M111)),NOT(ISNUMBER(M343))),"",M111-M343)</f>
        <v/>
      </c>
      <c r="N575" s="48" t="str">
        <f aca="false">IF(OR(NOT(ISNUMBER(N111)),NOT(ISNUMBER(N343))),"",N111-N343)</f>
        <v/>
      </c>
      <c r="O575" s="54" t="str">
        <f aca="false">IF(OR(NOT(ISNUMBER(O111)),NOT(ISNUMBER(O343))),"",O111-O343)</f>
        <v/>
      </c>
      <c r="P575" s="11" t="str">
        <f aca="false">IF(COUNT(D575:N575)=0,"",IF(AND(MAX(D575:N575)&lt;2,MIN(D575:N575)&gt;-2),"Sin diferencia","Diferencia a explicar"))</f>
        <v/>
      </c>
    </row>
    <row r="576" customFormat="false" ht="15" hidden="true" customHeight="false" outlineLevel="1" collapsed="false">
      <c r="A576" s="11" t="s">
        <v>2473</v>
      </c>
      <c r="B576" s="15" t="s">
        <v>2368</v>
      </c>
      <c r="C576" s="11" t="s">
        <v>508</v>
      </c>
      <c r="D576" s="48" t="str">
        <f aca="false">IF(OR(NOT(ISNUMBER(D112)),NOT(ISNUMBER(D344))),"",D112-D344)</f>
        <v/>
      </c>
      <c r="E576" s="48" t="str">
        <f aca="false">IF(OR(NOT(ISNUMBER(E112)),NOT(ISNUMBER(E344))),"",E112-E344)</f>
        <v/>
      </c>
      <c r="F576" s="48" t="str">
        <f aca="false">IF(OR(NOT(ISNUMBER(F112)),NOT(ISNUMBER(F344))),"",F112-F344)</f>
        <v/>
      </c>
      <c r="G576" s="48" t="str">
        <f aca="false">IF(OR(NOT(ISNUMBER(G112)),NOT(ISNUMBER(G344))),"",G112-G344)</f>
        <v/>
      </c>
      <c r="H576" s="48" t="str">
        <f aca="false">IF(OR(NOT(ISNUMBER(H112)),NOT(ISNUMBER(H344))),"",H112-H344)</f>
        <v/>
      </c>
      <c r="I576" s="48" t="str">
        <f aca="false">IF(OR(NOT(ISNUMBER(I112)),NOT(ISNUMBER(I344))),"",I112-I344)</f>
        <v/>
      </c>
      <c r="J576" s="48" t="str">
        <f aca="false">IF(OR(NOT(ISNUMBER(J112)),NOT(ISNUMBER(J344))),"",J112-J344)</f>
        <v/>
      </c>
      <c r="K576" s="48" t="str">
        <f aca="false">IF(OR(NOT(ISNUMBER(K112)),NOT(ISNUMBER(K344))),"",K112-K344)</f>
        <v/>
      </c>
      <c r="L576" s="48" t="str">
        <f aca="false">IF(OR(NOT(ISNUMBER(L112)),NOT(ISNUMBER(L344))),"",L112-L344)</f>
        <v/>
      </c>
      <c r="M576" s="48" t="str">
        <f aca="false">IF(OR(NOT(ISNUMBER(M112)),NOT(ISNUMBER(M344))),"",M112-M344)</f>
        <v/>
      </c>
      <c r="N576" s="48" t="str">
        <f aca="false">IF(OR(NOT(ISNUMBER(N112)),NOT(ISNUMBER(N344))),"",N112-N344)</f>
        <v/>
      </c>
      <c r="O576" s="54" t="str">
        <f aca="false">IF(OR(NOT(ISNUMBER(O112)),NOT(ISNUMBER(O344))),"",O112-O344)</f>
        <v/>
      </c>
      <c r="P576" s="11" t="str">
        <f aca="false">IF(COUNT(D576:N576)=0,"",IF(AND(MAX(D576:N576)&lt;2,MIN(D576:N576)&gt;-2),"Sin diferencia","Diferencia a explicar"))</f>
        <v/>
      </c>
    </row>
    <row r="577" customFormat="false" ht="15" hidden="true" customHeight="false" outlineLevel="1" collapsed="false">
      <c r="A577" s="11" t="s">
        <v>2474</v>
      </c>
      <c r="B577" s="15" t="s">
        <v>2370</v>
      </c>
      <c r="C577" s="11" t="s">
        <v>748</v>
      </c>
      <c r="D577" s="50" t="str">
        <f aca="false">IF(OR(NOT(ISNUMBER(D113)),NOT(ISNUMBER(D345))),"",D113-D345)</f>
        <v/>
      </c>
      <c r="E577" s="50" t="str">
        <f aca="false">IF(OR(NOT(ISNUMBER(E113)),NOT(ISNUMBER(E345))),"",E113-E345)</f>
        <v/>
      </c>
      <c r="F577" s="50" t="str">
        <f aca="false">IF(OR(NOT(ISNUMBER(F113)),NOT(ISNUMBER(F345))),"",F113-F345)</f>
        <v/>
      </c>
      <c r="G577" s="50" t="str">
        <f aca="false">IF(OR(NOT(ISNUMBER(G113)),NOT(ISNUMBER(G345))),"",G113-G345)</f>
        <v/>
      </c>
      <c r="H577" s="50" t="str">
        <f aca="false">IF(OR(NOT(ISNUMBER(H113)),NOT(ISNUMBER(H345))),"",H113-H345)</f>
        <v/>
      </c>
      <c r="I577" s="50" t="str">
        <f aca="false">IF(OR(NOT(ISNUMBER(I113)),NOT(ISNUMBER(I345))),"",I113-I345)</f>
        <v/>
      </c>
      <c r="J577" s="50" t="str">
        <f aca="false">IF(OR(NOT(ISNUMBER(J113)),NOT(ISNUMBER(J345))),"",J113-J345)</f>
        <v/>
      </c>
      <c r="K577" s="50" t="str">
        <f aca="false">IF(OR(NOT(ISNUMBER(K113)),NOT(ISNUMBER(K345))),"",K113-K345)</f>
        <v/>
      </c>
      <c r="L577" s="50" t="str">
        <f aca="false">IF(OR(NOT(ISNUMBER(L113)),NOT(ISNUMBER(L345))),"",L113-L345)</f>
        <v/>
      </c>
      <c r="M577" s="50" t="str">
        <f aca="false">IF(OR(NOT(ISNUMBER(M113)),NOT(ISNUMBER(M345))),"",M113-M345)</f>
        <v/>
      </c>
      <c r="N577" s="50" t="str">
        <f aca="false">IF(OR(NOT(ISNUMBER(N113)),NOT(ISNUMBER(N345))),"",N113-N345)</f>
        <v/>
      </c>
      <c r="O577" s="68" t="str">
        <f aca="false">IF(OR(NOT(ISNUMBER(O113)),NOT(ISNUMBER(O345))),"",O113-O345)</f>
        <v/>
      </c>
      <c r="P577" s="11" t="str">
        <f aca="false">IF(COUNT(D577:N577)=0,"",IF(AND(MAX(D577:N577)&lt;0.005,MIN(D577:N577)&gt;-0.005),"Sin diferencia","Diferencia a explicar"))</f>
        <v/>
      </c>
    </row>
    <row r="578" customFormat="false" ht="15" hidden="true" customHeight="false" outlineLevel="1" collapsed="false">
      <c r="A578" s="11" t="s">
        <v>2475</v>
      </c>
      <c r="B578" s="15" t="s">
        <v>2372</v>
      </c>
      <c r="C578" s="11" t="s">
        <v>748</v>
      </c>
      <c r="D578" s="50" t="str">
        <f aca="false">IF(OR(NOT(ISNUMBER(D114)),NOT(ISNUMBER(D346))),"",D114-D346)</f>
        <v/>
      </c>
      <c r="E578" s="50" t="str">
        <f aca="false">IF(OR(NOT(ISNUMBER(E114)),NOT(ISNUMBER(E346))),"",E114-E346)</f>
        <v/>
      </c>
      <c r="F578" s="50" t="str">
        <f aca="false">IF(OR(NOT(ISNUMBER(F114)),NOT(ISNUMBER(F346))),"",F114-F346)</f>
        <v/>
      </c>
      <c r="G578" s="50" t="str">
        <f aca="false">IF(OR(NOT(ISNUMBER(G114)),NOT(ISNUMBER(G346))),"",G114-G346)</f>
        <v/>
      </c>
      <c r="H578" s="50" t="str">
        <f aca="false">IF(OR(NOT(ISNUMBER(H114)),NOT(ISNUMBER(H346))),"",H114-H346)</f>
        <v/>
      </c>
      <c r="I578" s="50" t="str">
        <f aca="false">IF(OR(NOT(ISNUMBER(I114)),NOT(ISNUMBER(I346))),"",I114-I346)</f>
        <v/>
      </c>
      <c r="J578" s="50" t="str">
        <f aca="false">IF(OR(NOT(ISNUMBER(J114)),NOT(ISNUMBER(J346))),"",J114-J346)</f>
        <v/>
      </c>
      <c r="K578" s="50" t="str">
        <f aca="false">IF(OR(NOT(ISNUMBER(K114)),NOT(ISNUMBER(K346))),"",K114-K346)</f>
        <v/>
      </c>
      <c r="L578" s="50" t="str">
        <f aca="false">IF(OR(NOT(ISNUMBER(L114)),NOT(ISNUMBER(L346))),"",L114-L346)</f>
        <v/>
      </c>
      <c r="M578" s="50" t="str">
        <f aca="false">IF(OR(NOT(ISNUMBER(M114)),NOT(ISNUMBER(M346))),"",M114-M346)</f>
        <v/>
      </c>
      <c r="N578" s="50" t="str">
        <f aca="false">IF(OR(NOT(ISNUMBER(N114)),NOT(ISNUMBER(N346))),"",N114-N346)</f>
        <v/>
      </c>
      <c r="O578" s="68" t="str">
        <f aca="false">IF(OR(NOT(ISNUMBER(O114)),NOT(ISNUMBER(O346))),"",O114-O346)</f>
        <v/>
      </c>
      <c r="P578" s="11" t="str">
        <f aca="false">IF(COUNT(D578:N578)=0,"",IF(AND(MAX(D578:N578)&lt;0.005,MIN(D578:N578)&gt;-0.005),"Sin diferencia","Diferencia a explicar"))</f>
        <v/>
      </c>
    </row>
    <row r="579" customFormat="false" ht="15" hidden="true" customHeight="false" outlineLevel="1" collapsed="false">
      <c r="A579" s="11" t="s">
        <v>2476</v>
      </c>
      <c r="B579" s="15" t="s">
        <v>2374</v>
      </c>
      <c r="C579" s="11" t="s">
        <v>367</v>
      </c>
      <c r="D579" s="49" t="str">
        <f aca="false">IF(OR(NOT(ISNUMBER(D115)),NOT(ISNUMBER(D347))),"",D115-D347)</f>
        <v/>
      </c>
      <c r="E579" s="49" t="str">
        <f aca="false">IF(OR(NOT(ISNUMBER(E115)),NOT(ISNUMBER(E347))),"",E115-E347)</f>
        <v/>
      </c>
      <c r="F579" s="49" t="str">
        <f aca="false">IF(OR(NOT(ISNUMBER(F115)),NOT(ISNUMBER(F347))),"",F115-F347)</f>
        <v/>
      </c>
      <c r="G579" s="49" t="str">
        <f aca="false">IF(OR(NOT(ISNUMBER(G115)),NOT(ISNUMBER(G347))),"",G115-G347)</f>
        <v/>
      </c>
      <c r="H579" s="49" t="str">
        <f aca="false">IF(OR(NOT(ISNUMBER(H115)),NOT(ISNUMBER(H347))),"",H115-H347)</f>
        <v/>
      </c>
      <c r="I579" s="49" t="str">
        <f aca="false">IF(OR(NOT(ISNUMBER(I115)),NOT(ISNUMBER(I347))),"",I115-I347)</f>
        <v/>
      </c>
      <c r="J579" s="49" t="str">
        <f aca="false">IF(OR(NOT(ISNUMBER(J115)),NOT(ISNUMBER(J347))),"",J115-J347)</f>
        <v/>
      </c>
      <c r="K579" s="49" t="str">
        <f aca="false">IF(OR(NOT(ISNUMBER(K115)),NOT(ISNUMBER(K347))),"",K115-K347)</f>
        <v/>
      </c>
      <c r="L579" s="49" t="str">
        <f aca="false">IF(OR(NOT(ISNUMBER(L115)),NOT(ISNUMBER(L347))),"",L115-L347)</f>
        <v/>
      </c>
      <c r="M579" s="49" t="str">
        <f aca="false">IF(OR(NOT(ISNUMBER(M115)),NOT(ISNUMBER(M347))),"",M115-M347)</f>
        <v/>
      </c>
      <c r="N579" s="49" t="str">
        <f aca="false">IF(OR(NOT(ISNUMBER(N115)),NOT(ISNUMBER(N347))),"",N115-N347)</f>
        <v/>
      </c>
      <c r="O579" s="99" t="str">
        <f aca="false">IF(OR(NOT(ISNUMBER(O115)),NOT(ISNUMBER(O347))),"",O115-O347)</f>
        <v/>
      </c>
      <c r="P579" s="11" t="str">
        <f aca="false">IF(COUNT(D579:N579)=0,"",IF(AND(MAX(D579:N579)&lt;0.0005,MIN(D579:N579)&gt;-0.0005),"Sin diferencia","Diferencia a explicar"))</f>
        <v/>
      </c>
    </row>
    <row r="580" customFormat="false" ht="15" hidden="true" customHeight="false" outlineLevel="1" collapsed="false">
      <c r="A580" s="11" t="s">
        <v>2477</v>
      </c>
      <c r="B580" s="15" t="s">
        <v>2376</v>
      </c>
      <c r="C580" s="11" t="s">
        <v>508</v>
      </c>
      <c r="D580" s="48" t="str">
        <f aca="false">IF(OR(NOT(ISNUMBER(D116)),NOT(ISNUMBER(D348))),"",D116-D348)</f>
        <v/>
      </c>
      <c r="E580" s="48" t="str">
        <f aca="false">IF(OR(NOT(ISNUMBER(E116)),NOT(ISNUMBER(E348))),"",E116-E348)</f>
        <v/>
      </c>
      <c r="F580" s="48" t="str">
        <f aca="false">IF(OR(NOT(ISNUMBER(F116)),NOT(ISNUMBER(F348))),"",F116-F348)</f>
        <v/>
      </c>
      <c r="G580" s="48" t="str">
        <f aca="false">IF(OR(NOT(ISNUMBER(G116)),NOT(ISNUMBER(G348))),"",G116-G348)</f>
        <v/>
      </c>
      <c r="H580" s="48" t="str">
        <f aca="false">IF(OR(NOT(ISNUMBER(H116)),NOT(ISNUMBER(H348))),"",H116-H348)</f>
        <v/>
      </c>
      <c r="I580" s="48" t="str">
        <f aca="false">IF(OR(NOT(ISNUMBER(I116)),NOT(ISNUMBER(I348))),"",I116-I348)</f>
        <v/>
      </c>
      <c r="J580" s="48" t="str">
        <f aca="false">IF(OR(NOT(ISNUMBER(J116)),NOT(ISNUMBER(J348))),"",J116-J348)</f>
        <v/>
      </c>
      <c r="K580" s="48" t="str">
        <f aca="false">IF(OR(NOT(ISNUMBER(K116)),NOT(ISNUMBER(K348))),"",K116-K348)</f>
        <v/>
      </c>
      <c r="L580" s="48" t="str">
        <f aca="false">IF(OR(NOT(ISNUMBER(L116)),NOT(ISNUMBER(L348))),"",L116-L348)</f>
        <v/>
      </c>
      <c r="M580" s="48" t="str">
        <f aca="false">IF(OR(NOT(ISNUMBER(M116)),NOT(ISNUMBER(M348))),"",M116-M348)</f>
        <v/>
      </c>
      <c r="N580" s="48" t="str">
        <f aca="false">IF(OR(NOT(ISNUMBER(N116)),NOT(ISNUMBER(N348))),"",N116-N348)</f>
        <v/>
      </c>
      <c r="O580" s="54" t="str">
        <f aca="false">IF(OR(NOT(ISNUMBER(O116)),NOT(ISNUMBER(O348))),"",O116-O348)</f>
        <v/>
      </c>
      <c r="P580" s="11" t="str">
        <f aca="false">IF(COUNT(D580:N580)=0,"",IF(AND(MAX(D580:N580)&lt;2,MIN(D580:N580)&gt;-2),"Sin diferencia","Diferencia a explicar"))</f>
        <v/>
      </c>
    </row>
    <row r="581" customFormat="false" ht="15" hidden="true" customHeight="false" outlineLevel="1" collapsed="false">
      <c r="A581" s="11" t="s">
        <v>2478</v>
      </c>
      <c r="B581" s="15" t="s">
        <v>2378</v>
      </c>
      <c r="C581" s="11" t="s">
        <v>508</v>
      </c>
      <c r="D581" s="48" t="str">
        <f aca="false">IF(OR(NOT(ISNUMBER(D117)),NOT(ISNUMBER(D349))),"",D117-D349)</f>
        <v/>
      </c>
      <c r="E581" s="48" t="str">
        <f aca="false">IF(OR(NOT(ISNUMBER(E117)),NOT(ISNUMBER(E349))),"",E117-E349)</f>
        <v/>
      </c>
      <c r="F581" s="48" t="str">
        <f aca="false">IF(OR(NOT(ISNUMBER(F117)),NOT(ISNUMBER(F349))),"",F117-F349)</f>
        <v/>
      </c>
      <c r="G581" s="48" t="str">
        <f aca="false">IF(OR(NOT(ISNUMBER(G117)),NOT(ISNUMBER(G349))),"",G117-G349)</f>
        <v/>
      </c>
      <c r="H581" s="48" t="str">
        <f aca="false">IF(OR(NOT(ISNUMBER(H117)),NOT(ISNUMBER(H349))),"",H117-H349)</f>
        <v/>
      </c>
      <c r="I581" s="48" t="str">
        <f aca="false">IF(OR(NOT(ISNUMBER(I117)),NOT(ISNUMBER(I349))),"",I117-I349)</f>
        <v/>
      </c>
      <c r="J581" s="48" t="str">
        <f aca="false">IF(OR(NOT(ISNUMBER(J117)),NOT(ISNUMBER(J349))),"",J117-J349)</f>
        <v/>
      </c>
      <c r="K581" s="48" t="str">
        <f aca="false">IF(OR(NOT(ISNUMBER(K117)),NOT(ISNUMBER(K349))),"",K117-K349)</f>
        <v/>
      </c>
      <c r="L581" s="48" t="str">
        <f aca="false">IF(OR(NOT(ISNUMBER(L117)),NOT(ISNUMBER(L349))),"",L117-L349)</f>
        <v/>
      </c>
      <c r="M581" s="48" t="str">
        <f aca="false">IF(OR(NOT(ISNUMBER(M117)),NOT(ISNUMBER(M349))),"",M117-M349)</f>
        <v/>
      </c>
      <c r="N581" s="48" t="str">
        <f aca="false">IF(OR(NOT(ISNUMBER(N117)),NOT(ISNUMBER(N349))),"",N117-N349)</f>
        <v/>
      </c>
      <c r="O581" s="54" t="str">
        <f aca="false">IF(OR(NOT(ISNUMBER(O117)),NOT(ISNUMBER(O349))),"",O117-O349)</f>
        <v/>
      </c>
      <c r="P581" s="11" t="str">
        <f aca="false">IF(COUNT(D581:N581)=0,"",IF(AND(MAX(D581:N581)&lt;2,MIN(D581:N581)&gt;-2),"Sin diferencia","Diferencia a explicar"))</f>
        <v/>
      </c>
    </row>
    <row r="582" customFormat="false" ht="15" hidden="true" customHeight="false" outlineLevel="1" collapsed="false">
      <c r="A582" s="11" t="s">
        <v>2479</v>
      </c>
      <c r="B582" s="15" t="s">
        <v>2380</v>
      </c>
      <c r="C582" s="11" t="s">
        <v>748</v>
      </c>
      <c r="D582" s="50" t="str">
        <f aca="false">IF(OR(NOT(ISNUMBER(D118)),NOT(ISNUMBER(D350))),"",D118-D350)</f>
        <v/>
      </c>
      <c r="E582" s="50" t="str">
        <f aca="false">IF(OR(NOT(ISNUMBER(E118)),NOT(ISNUMBER(E350))),"",E118-E350)</f>
        <v/>
      </c>
      <c r="F582" s="50" t="str">
        <f aca="false">IF(OR(NOT(ISNUMBER(F118)),NOT(ISNUMBER(F350))),"",F118-F350)</f>
        <v/>
      </c>
      <c r="G582" s="50" t="str">
        <f aca="false">IF(OR(NOT(ISNUMBER(G118)),NOT(ISNUMBER(G350))),"",G118-G350)</f>
        <v/>
      </c>
      <c r="H582" s="50" t="str">
        <f aca="false">IF(OR(NOT(ISNUMBER(H118)),NOT(ISNUMBER(H350))),"",H118-H350)</f>
        <v/>
      </c>
      <c r="I582" s="50" t="str">
        <f aca="false">IF(OR(NOT(ISNUMBER(I118)),NOT(ISNUMBER(I350))),"",I118-I350)</f>
        <v/>
      </c>
      <c r="J582" s="50" t="str">
        <f aca="false">IF(OR(NOT(ISNUMBER(J118)),NOT(ISNUMBER(J350))),"",J118-J350)</f>
        <v/>
      </c>
      <c r="K582" s="50" t="str">
        <f aca="false">IF(OR(NOT(ISNUMBER(K118)),NOT(ISNUMBER(K350))),"",K118-K350)</f>
        <v/>
      </c>
      <c r="L582" s="50" t="str">
        <f aca="false">IF(OR(NOT(ISNUMBER(L118)),NOT(ISNUMBER(L350))),"",L118-L350)</f>
        <v/>
      </c>
      <c r="M582" s="50" t="str">
        <f aca="false">IF(OR(NOT(ISNUMBER(M118)),NOT(ISNUMBER(M350))),"",M118-M350)</f>
        <v/>
      </c>
      <c r="N582" s="50" t="str">
        <f aca="false">IF(OR(NOT(ISNUMBER(N118)),NOT(ISNUMBER(N350))),"",N118-N350)</f>
        <v/>
      </c>
      <c r="O582" s="68" t="str">
        <f aca="false">IF(OR(NOT(ISNUMBER(O118)),NOT(ISNUMBER(O350))),"",O118-O350)</f>
        <v/>
      </c>
      <c r="P582" s="11" t="str">
        <f aca="false">IF(COUNT(D582:N582)=0,"",IF(AND(MAX(D582:N582)&lt;0.005,MIN(D582:N582)&gt;-0.005),"Sin diferencia","Diferencia a explicar"))</f>
        <v/>
      </c>
    </row>
    <row r="583" customFormat="false" ht="15" hidden="true" customHeight="false" outlineLevel="1" collapsed="false">
      <c r="A583" s="11" t="s">
        <v>2480</v>
      </c>
      <c r="B583" s="53" t="str">
        <f aca="false">IF(INDEX(Prod_Nombre,13)="","Producto 13",INDEX(Prod_Nombre,13))&amp;" — costo directo"</f>
        <v>Producto 13 — costo directo</v>
      </c>
      <c r="C583" s="11" t="s">
        <v>508</v>
      </c>
      <c r="D583" s="48" t="str">
        <f aca="false">IF(OR(NOT(ISNUMBER(D119)),NOT(ISNUMBER(D351))),"",D119-D351)</f>
        <v/>
      </c>
      <c r="E583" s="48" t="str">
        <f aca="false">IF(OR(NOT(ISNUMBER(E119)),NOT(ISNUMBER(E351))),"",E119-E351)</f>
        <v/>
      </c>
      <c r="F583" s="48" t="str">
        <f aca="false">IF(OR(NOT(ISNUMBER(F119)),NOT(ISNUMBER(F351))),"",F119-F351)</f>
        <v/>
      </c>
      <c r="G583" s="48" t="str">
        <f aca="false">IF(OR(NOT(ISNUMBER(G119)),NOT(ISNUMBER(G351))),"",G119-G351)</f>
        <v/>
      </c>
      <c r="H583" s="48" t="str">
        <f aca="false">IF(OR(NOT(ISNUMBER(H119)),NOT(ISNUMBER(H351))),"",H119-H351)</f>
        <v/>
      </c>
      <c r="I583" s="48" t="str">
        <f aca="false">IF(OR(NOT(ISNUMBER(I119)),NOT(ISNUMBER(I351))),"",I119-I351)</f>
        <v/>
      </c>
      <c r="J583" s="48" t="str">
        <f aca="false">IF(OR(NOT(ISNUMBER(J119)),NOT(ISNUMBER(J351))),"",J119-J351)</f>
        <v/>
      </c>
      <c r="K583" s="48" t="str">
        <f aca="false">IF(OR(NOT(ISNUMBER(K119)),NOT(ISNUMBER(K351))),"",K119-K351)</f>
        <v/>
      </c>
      <c r="L583" s="48" t="str">
        <f aca="false">IF(OR(NOT(ISNUMBER(L119)),NOT(ISNUMBER(L351))),"",L119-L351)</f>
        <v/>
      </c>
      <c r="M583" s="48" t="str">
        <f aca="false">IF(OR(NOT(ISNUMBER(M119)),NOT(ISNUMBER(M351))),"",M119-M351)</f>
        <v/>
      </c>
      <c r="N583" s="48" t="str">
        <f aca="false">IF(OR(NOT(ISNUMBER(N119)),NOT(ISNUMBER(N351))),"",N119-N351)</f>
        <v/>
      </c>
      <c r="O583" s="54" t="str">
        <f aca="false">IF(OR(NOT(ISNUMBER(O119)),NOT(ISNUMBER(O351))),"",O119-O351)</f>
        <v/>
      </c>
      <c r="P583" s="11" t="str">
        <f aca="false">IF(COUNT(D583:N583)=0,"",IF(AND(MAX(D583:N583)&lt;2,MIN(D583:N583)&gt;-2),"Sin diferencia","Diferencia a explicar"))</f>
        <v/>
      </c>
    </row>
    <row r="584" customFormat="false" ht="15" hidden="true" customHeight="false" outlineLevel="1" collapsed="false">
      <c r="A584" s="11" t="s">
        <v>2481</v>
      </c>
      <c r="B584" s="15" t="s">
        <v>2366</v>
      </c>
      <c r="C584" s="11" t="s">
        <v>544</v>
      </c>
      <c r="D584" s="48" t="str">
        <f aca="false">IF(OR(NOT(ISNUMBER(D120)),NOT(ISNUMBER(D352))),"",D120-D352)</f>
        <v/>
      </c>
      <c r="E584" s="48" t="str">
        <f aca="false">IF(OR(NOT(ISNUMBER(E120)),NOT(ISNUMBER(E352))),"",E120-E352)</f>
        <v/>
      </c>
      <c r="F584" s="48" t="str">
        <f aca="false">IF(OR(NOT(ISNUMBER(F120)),NOT(ISNUMBER(F352))),"",F120-F352)</f>
        <v/>
      </c>
      <c r="G584" s="48" t="str">
        <f aca="false">IF(OR(NOT(ISNUMBER(G120)),NOT(ISNUMBER(G352))),"",G120-G352)</f>
        <v/>
      </c>
      <c r="H584" s="48" t="str">
        <f aca="false">IF(OR(NOT(ISNUMBER(H120)),NOT(ISNUMBER(H352))),"",H120-H352)</f>
        <v/>
      </c>
      <c r="I584" s="48" t="str">
        <f aca="false">IF(OR(NOT(ISNUMBER(I120)),NOT(ISNUMBER(I352))),"",I120-I352)</f>
        <v/>
      </c>
      <c r="J584" s="48" t="str">
        <f aca="false">IF(OR(NOT(ISNUMBER(J120)),NOT(ISNUMBER(J352))),"",J120-J352)</f>
        <v/>
      </c>
      <c r="K584" s="48" t="str">
        <f aca="false">IF(OR(NOT(ISNUMBER(K120)),NOT(ISNUMBER(K352))),"",K120-K352)</f>
        <v/>
      </c>
      <c r="L584" s="48" t="str">
        <f aca="false">IF(OR(NOT(ISNUMBER(L120)),NOT(ISNUMBER(L352))),"",L120-L352)</f>
        <v/>
      </c>
      <c r="M584" s="48" t="str">
        <f aca="false">IF(OR(NOT(ISNUMBER(M120)),NOT(ISNUMBER(M352))),"",M120-M352)</f>
        <v/>
      </c>
      <c r="N584" s="48" t="str">
        <f aca="false">IF(OR(NOT(ISNUMBER(N120)),NOT(ISNUMBER(N352))),"",N120-N352)</f>
        <v/>
      </c>
      <c r="O584" s="54" t="str">
        <f aca="false">IF(OR(NOT(ISNUMBER(O120)),NOT(ISNUMBER(O352))),"",O120-O352)</f>
        <v/>
      </c>
      <c r="P584" s="11" t="str">
        <f aca="false">IF(COUNT(D584:N584)=0,"",IF(AND(MAX(D584:N584)&lt;2,MIN(D584:N584)&gt;-2),"Sin diferencia","Diferencia a explicar"))</f>
        <v/>
      </c>
    </row>
    <row r="585" customFormat="false" ht="15" hidden="true" customHeight="false" outlineLevel="1" collapsed="false">
      <c r="A585" s="11" t="s">
        <v>2482</v>
      </c>
      <c r="B585" s="15" t="s">
        <v>2368</v>
      </c>
      <c r="C585" s="11" t="s">
        <v>508</v>
      </c>
      <c r="D585" s="48" t="str">
        <f aca="false">IF(OR(NOT(ISNUMBER(D121)),NOT(ISNUMBER(D353))),"",D121-D353)</f>
        <v/>
      </c>
      <c r="E585" s="48" t="str">
        <f aca="false">IF(OR(NOT(ISNUMBER(E121)),NOT(ISNUMBER(E353))),"",E121-E353)</f>
        <v/>
      </c>
      <c r="F585" s="48" t="str">
        <f aca="false">IF(OR(NOT(ISNUMBER(F121)),NOT(ISNUMBER(F353))),"",F121-F353)</f>
        <v/>
      </c>
      <c r="G585" s="48" t="str">
        <f aca="false">IF(OR(NOT(ISNUMBER(G121)),NOT(ISNUMBER(G353))),"",G121-G353)</f>
        <v/>
      </c>
      <c r="H585" s="48" t="str">
        <f aca="false">IF(OR(NOT(ISNUMBER(H121)),NOT(ISNUMBER(H353))),"",H121-H353)</f>
        <v/>
      </c>
      <c r="I585" s="48" t="str">
        <f aca="false">IF(OR(NOT(ISNUMBER(I121)),NOT(ISNUMBER(I353))),"",I121-I353)</f>
        <v/>
      </c>
      <c r="J585" s="48" t="str">
        <f aca="false">IF(OR(NOT(ISNUMBER(J121)),NOT(ISNUMBER(J353))),"",J121-J353)</f>
        <v/>
      </c>
      <c r="K585" s="48" t="str">
        <f aca="false">IF(OR(NOT(ISNUMBER(K121)),NOT(ISNUMBER(K353))),"",K121-K353)</f>
        <v/>
      </c>
      <c r="L585" s="48" t="str">
        <f aca="false">IF(OR(NOT(ISNUMBER(L121)),NOT(ISNUMBER(L353))),"",L121-L353)</f>
        <v/>
      </c>
      <c r="M585" s="48" t="str">
        <f aca="false">IF(OR(NOT(ISNUMBER(M121)),NOT(ISNUMBER(M353))),"",M121-M353)</f>
        <v/>
      </c>
      <c r="N585" s="48" t="str">
        <f aca="false">IF(OR(NOT(ISNUMBER(N121)),NOT(ISNUMBER(N353))),"",N121-N353)</f>
        <v/>
      </c>
      <c r="O585" s="54" t="str">
        <f aca="false">IF(OR(NOT(ISNUMBER(O121)),NOT(ISNUMBER(O353))),"",O121-O353)</f>
        <v/>
      </c>
      <c r="P585" s="11" t="str">
        <f aca="false">IF(COUNT(D585:N585)=0,"",IF(AND(MAX(D585:N585)&lt;2,MIN(D585:N585)&gt;-2),"Sin diferencia","Diferencia a explicar"))</f>
        <v/>
      </c>
    </row>
    <row r="586" customFormat="false" ht="15" hidden="true" customHeight="false" outlineLevel="1" collapsed="false">
      <c r="A586" s="11" t="s">
        <v>2483</v>
      </c>
      <c r="B586" s="15" t="s">
        <v>2370</v>
      </c>
      <c r="C586" s="11" t="s">
        <v>748</v>
      </c>
      <c r="D586" s="50" t="str">
        <f aca="false">IF(OR(NOT(ISNUMBER(D122)),NOT(ISNUMBER(D354))),"",D122-D354)</f>
        <v/>
      </c>
      <c r="E586" s="50" t="str">
        <f aca="false">IF(OR(NOT(ISNUMBER(E122)),NOT(ISNUMBER(E354))),"",E122-E354)</f>
        <v/>
      </c>
      <c r="F586" s="50" t="str">
        <f aca="false">IF(OR(NOT(ISNUMBER(F122)),NOT(ISNUMBER(F354))),"",F122-F354)</f>
        <v/>
      </c>
      <c r="G586" s="50" t="str">
        <f aca="false">IF(OR(NOT(ISNUMBER(G122)),NOT(ISNUMBER(G354))),"",G122-G354)</f>
        <v/>
      </c>
      <c r="H586" s="50" t="str">
        <f aca="false">IF(OR(NOT(ISNUMBER(H122)),NOT(ISNUMBER(H354))),"",H122-H354)</f>
        <v/>
      </c>
      <c r="I586" s="50" t="str">
        <f aca="false">IF(OR(NOT(ISNUMBER(I122)),NOT(ISNUMBER(I354))),"",I122-I354)</f>
        <v/>
      </c>
      <c r="J586" s="50" t="str">
        <f aca="false">IF(OR(NOT(ISNUMBER(J122)),NOT(ISNUMBER(J354))),"",J122-J354)</f>
        <v/>
      </c>
      <c r="K586" s="50" t="str">
        <f aca="false">IF(OR(NOT(ISNUMBER(K122)),NOT(ISNUMBER(K354))),"",K122-K354)</f>
        <v/>
      </c>
      <c r="L586" s="50" t="str">
        <f aca="false">IF(OR(NOT(ISNUMBER(L122)),NOT(ISNUMBER(L354))),"",L122-L354)</f>
        <v/>
      </c>
      <c r="M586" s="50" t="str">
        <f aca="false">IF(OR(NOT(ISNUMBER(M122)),NOT(ISNUMBER(M354))),"",M122-M354)</f>
        <v/>
      </c>
      <c r="N586" s="50" t="str">
        <f aca="false">IF(OR(NOT(ISNUMBER(N122)),NOT(ISNUMBER(N354))),"",N122-N354)</f>
        <v/>
      </c>
      <c r="O586" s="68" t="str">
        <f aca="false">IF(OR(NOT(ISNUMBER(O122)),NOT(ISNUMBER(O354))),"",O122-O354)</f>
        <v/>
      </c>
      <c r="P586" s="11" t="str">
        <f aca="false">IF(COUNT(D586:N586)=0,"",IF(AND(MAX(D586:N586)&lt;0.005,MIN(D586:N586)&gt;-0.005),"Sin diferencia","Diferencia a explicar"))</f>
        <v/>
      </c>
    </row>
    <row r="587" customFormat="false" ht="15" hidden="true" customHeight="false" outlineLevel="1" collapsed="false">
      <c r="A587" s="11" t="s">
        <v>2484</v>
      </c>
      <c r="B587" s="15" t="s">
        <v>2372</v>
      </c>
      <c r="C587" s="11" t="s">
        <v>748</v>
      </c>
      <c r="D587" s="50" t="str">
        <f aca="false">IF(OR(NOT(ISNUMBER(D123)),NOT(ISNUMBER(D355))),"",D123-D355)</f>
        <v/>
      </c>
      <c r="E587" s="50" t="str">
        <f aca="false">IF(OR(NOT(ISNUMBER(E123)),NOT(ISNUMBER(E355))),"",E123-E355)</f>
        <v/>
      </c>
      <c r="F587" s="50" t="str">
        <f aca="false">IF(OR(NOT(ISNUMBER(F123)),NOT(ISNUMBER(F355))),"",F123-F355)</f>
        <v/>
      </c>
      <c r="G587" s="50" t="str">
        <f aca="false">IF(OR(NOT(ISNUMBER(G123)),NOT(ISNUMBER(G355))),"",G123-G355)</f>
        <v/>
      </c>
      <c r="H587" s="50" t="str">
        <f aca="false">IF(OR(NOT(ISNUMBER(H123)),NOT(ISNUMBER(H355))),"",H123-H355)</f>
        <v/>
      </c>
      <c r="I587" s="50" t="str">
        <f aca="false">IF(OR(NOT(ISNUMBER(I123)),NOT(ISNUMBER(I355))),"",I123-I355)</f>
        <v/>
      </c>
      <c r="J587" s="50" t="str">
        <f aca="false">IF(OR(NOT(ISNUMBER(J123)),NOT(ISNUMBER(J355))),"",J123-J355)</f>
        <v/>
      </c>
      <c r="K587" s="50" t="str">
        <f aca="false">IF(OR(NOT(ISNUMBER(K123)),NOT(ISNUMBER(K355))),"",K123-K355)</f>
        <v/>
      </c>
      <c r="L587" s="50" t="str">
        <f aca="false">IF(OR(NOT(ISNUMBER(L123)),NOT(ISNUMBER(L355))),"",L123-L355)</f>
        <v/>
      </c>
      <c r="M587" s="50" t="str">
        <f aca="false">IF(OR(NOT(ISNUMBER(M123)),NOT(ISNUMBER(M355))),"",M123-M355)</f>
        <v/>
      </c>
      <c r="N587" s="50" t="str">
        <f aca="false">IF(OR(NOT(ISNUMBER(N123)),NOT(ISNUMBER(N355))),"",N123-N355)</f>
        <v/>
      </c>
      <c r="O587" s="68" t="str">
        <f aca="false">IF(OR(NOT(ISNUMBER(O123)),NOT(ISNUMBER(O355))),"",O123-O355)</f>
        <v/>
      </c>
      <c r="P587" s="11" t="str">
        <f aca="false">IF(COUNT(D587:N587)=0,"",IF(AND(MAX(D587:N587)&lt;0.005,MIN(D587:N587)&gt;-0.005),"Sin diferencia","Diferencia a explicar"))</f>
        <v/>
      </c>
    </row>
    <row r="588" customFormat="false" ht="15" hidden="true" customHeight="false" outlineLevel="1" collapsed="false">
      <c r="A588" s="11" t="s">
        <v>2485</v>
      </c>
      <c r="B588" s="15" t="s">
        <v>2374</v>
      </c>
      <c r="C588" s="11" t="s">
        <v>367</v>
      </c>
      <c r="D588" s="49" t="str">
        <f aca="false">IF(OR(NOT(ISNUMBER(D124)),NOT(ISNUMBER(D356))),"",D124-D356)</f>
        <v/>
      </c>
      <c r="E588" s="49" t="str">
        <f aca="false">IF(OR(NOT(ISNUMBER(E124)),NOT(ISNUMBER(E356))),"",E124-E356)</f>
        <v/>
      </c>
      <c r="F588" s="49" t="str">
        <f aca="false">IF(OR(NOT(ISNUMBER(F124)),NOT(ISNUMBER(F356))),"",F124-F356)</f>
        <v/>
      </c>
      <c r="G588" s="49" t="str">
        <f aca="false">IF(OR(NOT(ISNUMBER(G124)),NOT(ISNUMBER(G356))),"",G124-G356)</f>
        <v/>
      </c>
      <c r="H588" s="49" t="str">
        <f aca="false">IF(OR(NOT(ISNUMBER(H124)),NOT(ISNUMBER(H356))),"",H124-H356)</f>
        <v/>
      </c>
      <c r="I588" s="49" t="str">
        <f aca="false">IF(OR(NOT(ISNUMBER(I124)),NOT(ISNUMBER(I356))),"",I124-I356)</f>
        <v/>
      </c>
      <c r="J588" s="49" t="str">
        <f aca="false">IF(OR(NOT(ISNUMBER(J124)),NOT(ISNUMBER(J356))),"",J124-J356)</f>
        <v/>
      </c>
      <c r="K588" s="49" t="str">
        <f aca="false">IF(OR(NOT(ISNUMBER(K124)),NOT(ISNUMBER(K356))),"",K124-K356)</f>
        <v/>
      </c>
      <c r="L588" s="49" t="str">
        <f aca="false">IF(OR(NOT(ISNUMBER(L124)),NOT(ISNUMBER(L356))),"",L124-L356)</f>
        <v/>
      </c>
      <c r="M588" s="49" t="str">
        <f aca="false">IF(OR(NOT(ISNUMBER(M124)),NOT(ISNUMBER(M356))),"",M124-M356)</f>
        <v/>
      </c>
      <c r="N588" s="49" t="str">
        <f aca="false">IF(OR(NOT(ISNUMBER(N124)),NOT(ISNUMBER(N356))),"",N124-N356)</f>
        <v/>
      </c>
      <c r="O588" s="99" t="str">
        <f aca="false">IF(OR(NOT(ISNUMBER(O124)),NOT(ISNUMBER(O356))),"",O124-O356)</f>
        <v/>
      </c>
      <c r="P588" s="11" t="str">
        <f aca="false">IF(COUNT(D588:N588)=0,"",IF(AND(MAX(D588:N588)&lt;0.0005,MIN(D588:N588)&gt;-0.0005),"Sin diferencia","Diferencia a explicar"))</f>
        <v/>
      </c>
    </row>
    <row r="589" customFormat="false" ht="15" hidden="true" customHeight="false" outlineLevel="1" collapsed="false">
      <c r="A589" s="11" t="s">
        <v>2486</v>
      </c>
      <c r="B589" s="15" t="s">
        <v>2376</v>
      </c>
      <c r="C589" s="11" t="s">
        <v>508</v>
      </c>
      <c r="D589" s="48" t="str">
        <f aca="false">IF(OR(NOT(ISNUMBER(D125)),NOT(ISNUMBER(D357))),"",D125-D357)</f>
        <v/>
      </c>
      <c r="E589" s="48" t="str">
        <f aca="false">IF(OR(NOT(ISNUMBER(E125)),NOT(ISNUMBER(E357))),"",E125-E357)</f>
        <v/>
      </c>
      <c r="F589" s="48" t="str">
        <f aca="false">IF(OR(NOT(ISNUMBER(F125)),NOT(ISNUMBER(F357))),"",F125-F357)</f>
        <v/>
      </c>
      <c r="G589" s="48" t="str">
        <f aca="false">IF(OR(NOT(ISNUMBER(G125)),NOT(ISNUMBER(G357))),"",G125-G357)</f>
        <v/>
      </c>
      <c r="H589" s="48" t="str">
        <f aca="false">IF(OR(NOT(ISNUMBER(H125)),NOT(ISNUMBER(H357))),"",H125-H357)</f>
        <v/>
      </c>
      <c r="I589" s="48" t="str">
        <f aca="false">IF(OR(NOT(ISNUMBER(I125)),NOT(ISNUMBER(I357))),"",I125-I357)</f>
        <v/>
      </c>
      <c r="J589" s="48" t="str">
        <f aca="false">IF(OR(NOT(ISNUMBER(J125)),NOT(ISNUMBER(J357))),"",J125-J357)</f>
        <v/>
      </c>
      <c r="K589" s="48" t="str">
        <f aca="false">IF(OR(NOT(ISNUMBER(K125)),NOT(ISNUMBER(K357))),"",K125-K357)</f>
        <v/>
      </c>
      <c r="L589" s="48" t="str">
        <f aca="false">IF(OR(NOT(ISNUMBER(L125)),NOT(ISNUMBER(L357))),"",L125-L357)</f>
        <v/>
      </c>
      <c r="M589" s="48" t="str">
        <f aca="false">IF(OR(NOT(ISNUMBER(M125)),NOT(ISNUMBER(M357))),"",M125-M357)</f>
        <v/>
      </c>
      <c r="N589" s="48" t="str">
        <f aca="false">IF(OR(NOT(ISNUMBER(N125)),NOT(ISNUMBER(N357))),"",N125-N357)</f>
        <v/>
      </c>
      <c r="O589" s="54" t="str">
        <f aca="false">IF(OR(NOT(ISNUMBER(O125)),NOT(ISNUMBER(O357))),"",O125-O357)</f>
        <v/>
      </c>
      <c r="P589" s="11" t="str">
        <f aca="false">IF(COUNT(D589:N589)=0,"",IF(AND(MAX(D589:N589)&lt;2,MIN(D589:N589)&gt;-2),"Sin diferencia","Diferencia a explicar"))</f>
        <v/>
      </c>
    </row>
    <row r="590" customFormat="false" ht="15" hidden="true" customHeight="false" outlineLevel="1" collapsed="false">
      <c r="A590" s="11" t="s">
        <v>2487</v>
      </c>
      <c r="B590" s="15" t="s">
        <v>2378</v>
      </c>
      <c r="C590" s="11" t="s">
        <v>508</v>
      </c>
      <c r="D590" s="48" t="str">
        <f aca="false">IF(OR(NOT(ISNUMBER(D126)),NOT(ISNUMBER(D358))),"",D126-D358)</f>
        <v/>
      </c>
      <c r="E590" s="48" t="str">
        <f aca="false">IF(OR(NOT(ISNUMBER(E126)),NOT(ISNUMBER(E358))),"",E126-E358)</f>
        <v/>
      </c>
      <c r="F590" s="48" t="str">
        <f aca="false">IF(OR(NOT(ISNUMBER(F126)),NOT(ISNUMBER(F358))),"",F126-F358)</f>
        <v/>
      </c>
      <c r="G590" s="48" t="str">
        <f aca="false">IF(OR(NOT(ISNUMBER(G126)),NOT(ISNUMBER(G358))),"",G126-G358)</f>
        <v/>
      </c>
      <c r="H590" s="48" t="str">
        <f aca="false">IF(OR(NOT(ISNUMBER(H126)),NOT(ISNUMBER(H358))),"",H126-H358)</f>
        <v/>
      </c>
      <c r="I590" s="48" t="str">
        <f aca="false">IF(OR(NOT(ISNUMBER(I126)),NOT(ISNUMBER(I358))),"",I126-I358)</f>
        <v/>
      </c>
      <c r="J590" s="48" t="str">
        <f aca="false">IF(OR(NOT(ISNUMBER(J126)),NOT(ISNUMBER(J358))),"",J126-J358)</f>
        <v/>
      </c>
      <c r="K590" s="48" t="str">
        <f aca="false">IF(OR(NOT(ISNUMBER(K126)),NOT(ISNUMBER(K358))),"",K126-K358)</f>
        <v/>
      </c>
      <c r="L590" s="48" t="str">
        <f aca="false">IF(OR(NOT(ISNUMBER(L126)),NOT(ISNUMBER(L358))),"",L126-L358)</f>
        <v/>
      </c>
      <c r="M590" s="48" t="str">
        <f aca="false">IF(OR(NOT(ISNUMBER(M126)),NOT(ISNUMBER(M358))),"",M126-M358)</f>
        <v/>
      </c>
      <c r="N590" s="48" t="str">
        <f aca="false">IF(OR(NOT(ISNUMBER(N126)),NOT(ISNUMBER(N358))),"",N126-N358)</f>
        <v/>
      </c>
      <c r="O590" s="54" t="str">
        <f aca="false">IF(OR(NOT(ISNUMBER(O126)),NOT(ISNUMBER(O358))),"",O126-O358)</f>
        <v/>
      </c>
      <c r="P590" s="11" t="str">
        <f aca="false">IF(COUNT(D590:N590)=0,"",IF(AND(MAX(D590:N590)&lt;2,MIN(D590:N590)&gt;-2),"Sin diferencia","Diferencia a explicar"))</f>
        <v/>
      </c>
    </row>
    <row r="591" customFormat="false" ht="15" hidden="true" customHeight="false" outlineLevel="1" collapsed="false">
      <c r="A591" s="11" t="s">
        <v>2488</v>
      </c>
      <c r="B591" s="15" t="s">
        <v>2380</v>
      </c>
      <c r="C591" s="11" t="s">
        <v>748</v>
      </c>
      <c r="D591" s="50" t="str">
        <f aca="false">IF(OR(NOT(ISNUMBER(D127)),NOT(ISNUMBER(D359))),"",D127-D359)</f>
        <v/>
      </c>
      <c r="E591" s="50" t="str">
        <f aca="false">IF(OR(NOT(ISNUMBER(E127)),NOT(ISNUMBER(E359))),"",E127-E359)</f>
        <v/>
      </c>
      <c r="F591" s="50" t="str">
        <f aca="false">IF(OR(NOT(ISNUMBER(F127)),NOT(ISNUMBER(F359))),"",F127-F359)</f>
        <v/>
      </c>
      <c r="G591" s="50" t="str">
        <f aca="false">IF(OR(NOT(ISNUMBER(G127)),NOT(ISNUMBER(G359))),"",G127-G359)</f>
        <v/>
      </c>
      <c r="H591" s="50" t="str">
        <f aca="false">IF(OR(NOT(ISNUMBER(H127)),NOT(ISNUMBER(H359))),"",H127-H359)</f>
        <v/>
      </c>
      <c r="I591" s="50" t="str">
        <f aca="false">IF(OR(NOT(ISNUMBER(I127)),NOT(ISNUMBER(I359))),"",I127-I359)</f>
        <v/>
      </c>
      <c r="J591" s="50" t="str">
        <f aca="false">IF(OR(NOT(ISNUMBER(J127)),NOT(ISNUMBER(J359))),"",J127-J359)</f>
        <v/>
      </c>
      <c r="K591" s="50" t="str">
        <f aca="false">IF(OR(NOT(ISNUMBER(K127)),NOT(ISNUMBER(K359))),"",K127-K359)</f>
        <v/>
      </c>
      <c r="L591" s="50" t="str">
        <f aca="false">IF(OR(NOT(ISNUMBER(L127)),NOT(ISNUMBER(L359))),"",L127-L359)</f>
        <v/>
      </c>
      <c r="M591" s="50" t="str">
        <f aca="false">IF(OR(NOT(ISNUMBER(M127)),NOT(ISNUMBER(M359))),"",M127-M359)</f>
        <v/>
      </c>
      <c r="N591" s="50" t="str">
        <f aca="false">IF(OR(NOT(ISNUMBER(N127)),NOT(ISNUMBER(N359))),"",N127-N359)</f>
        <v/>
      </c>
      <c r="O591" s="68" t="str">
        <f aca="false">IF(OR(NOT(ISNUMBER(O127)),NOT(ISNUMBER(O359))),"",O127-O359)</f>
        <v/>
      </c>
      <c r="P591" s="11" t="str">
        <f aca="false">IF(COUNT(D591:N591)=0,"",IF(AND(MAX(D591:N591)&lt;0.005,MIN(D591:N591)&gt;-0.005),"Sin diferencia","Diferencia a explicar"))</f>
        <v/>
      </c>
    </row>
    <row r="592" customFormat="false" ht="15" hidden="true" customHeight="false" outlineLevel="1" collapsed="false">
      <c r="A592" s="11" t="s">
        <v>2489</v>
      </c>
      <c r="B592" s="53" t="str">
        <f aca="false">IF(INDEX(Prod_Nombre,14)="","Producto 14",INDEX(Prod_Nombre,14))&amp;" — costo directo"</f>
        <v>Producto 14 — costo directo</v>
      </c>
      <c r="C592" s="11" t="s">
        <v>508</v>
      </c>
      <c r="D592" s="48" t="str">
        <f aca="false">IF(OR(NOT(ISNUMBER(D128)),NOT(ISNUMBER(D360))),"",D128-D360)</f>
        <v/>
      </c>
      <c r="E592" s="48" t="str">
        <f aca="false">IF(OR(NOT(ISNUMBER(E128)),NOT(ISNUMBER(E360))),"",E128-E360)</f>
        <v/>
      </c>
      <c r="F592" s="48" t="str">
        <f aca="false">IF(OR(NOT(ISNUMBER(F128)),NOT(ISNUMBER(F360))),"",F128-F360)</f>
        <v/>
      </c>
      <c r="G592" s="48" t="str">
        <f aca="false">IF(OR(NOT(ISNUMBER(G128)),NOT(ISNUMBER(G360))),"",G128-G360)</f>
        <v/>
      </c>
      <c r="H592" s="48" t="str">
        <f aca="false">IF(OR(NOT(ISNUMBER(H128)),NOT(ISNUMBER(H360))),"",H128-H360)</f>
        <v/>
      </c>
      <c r="I592" s="48" t="str">
        <f aca="false">IF(OR(NOT(ISNUMBER(I128)),NOT(ISNUMBER(I360))),"",I128-I360)</f>
        <v/>
      </c>
      <c r="J592" s="48" t="str">
        <f aca="false">IF(OR(NOT(ISNUMBER(J128)),NOT(ISNUMBER(J360))),"",J128-J360)</f>
        <v/>
      </c>
      <c r="K592" s="48" t="str">
        <f aca="false">IF(OR(NOT(ISNUMBER(K128)),NOT(ISNUMBER(K360))),"",K128-K360)</f>
        <v/>
      </c>
      <c r="L592" s="48" t="str">
        <f aca="false">IF(OR(NOT(ISNUMBER(L128)),NOT(ISNUMBER(L360))),"",L128-L360)</f>
        <v/>
      </c>
      <c r="M592" s="48" t="str">
        <f aca="false">IF(OR(NOT(ISNUMBER(M128)),NOT(ISNUMBER(M360))),"",M128-M360)</f>
        <v/>
      </c>
      <c r="N592" s="48" t="str">
        <f aca="false">IF(OR(NOT(ISNUMBER(N128)),NOT(ISNUMBER(N360))),"",N128-N360)</f>
        <v/>
      </c>
      <c r="O592" s="54" t="str">
        <f aca="false">IF(OR(NOT(ISNUMBER(O128)),NOT(ISNUMBER(O360))),"",O128-O360)</f>
        <v/>
      </c>
      <c r="P592" s="11" t="str">
        <f aca="false">IF(COUNT(D592:N592)=0,"",IF(AND(MAX(D592:N592)&lt;2,MIN(D592:N592)&gt;-2),"Sin diferencia","Diferencia a explicar"))</f>
        <v/>
      </c>
    </row>
    <row r="593" customFormat="false" ht="15" hidden="true" customHeight="false" outlineLevel="1" collapsed="false">
      <c r="A593" s="11" t="s">
        <v>2490</v>
      </c>
      <c r="B593" s="15" t="s">
        <v>2366</v>
      </c>
      <c r="C593" s="11" t="s">
        <v>544</v>
      </c>
      <c r="D593" s="48" t="str">
        <f aca="false">IF(OR(NOT(ISNUMBER(D129)),NOT(ISNUMBER(D361))),"",D129-D361)</f>
        <v/>
      </c>
      <c r="E593" s="48" t="str">
        <f aca="false">IF(OR(NOT(ISNUMBER(E129)),NOT(ISNUMBER(E361))),"",E129-E361)</f>
        <v/>
      </c>
      <c r="F593" s="48" t="str">
        <f aca="false">IF(OR(NOT(ISNUMBER(F129)),NOT(ISNUMBER(F361))),"",F129-F361)</f>
        <v/>
      </c>
      <c r="G593" s="48" t="str">
        <f aca="false">IF(OR(NOT(ISNUMBER(G129)),NOT(ISNUMBER(G361))),"",G129-G361)</f>
        <v/>
      </c>
      <c r="H593" s="48" t="str">
        <f aca="false">IF(OR(NOT(ISNUMBER(H129)),NOT(ISNUMBER(H361))),"",H129-H361)</f>
        <v/>
      </c>
      <c r="I593" s="48" t="str">
        <f aca="false">IF(OR(NOT(ISNUMBER(I129)),NOT(ISNUMBER(I361))),"",I129-I361)</f>
        <v/>
      </c>
      <c r="J593" s="48" t="str">
        <f aca="false">IF(OR(NOT(ISNUMBER(J129)),NOT(ISNUMBER(J361))),"",J129-J361)</f>
        <v/>
      </c>
      <c r="K593" s="48" t="str">
        <f aca="false">IF(OR(NOT(ISNUMBER(K129)),NOT(ISNUMBER(K361))),"",K129-K361)</f>
        <v/>
      </c>
      <c r="L593" s="48" t="str">
        <f aca="false">IF(OR(NOT(ISNUMBER(L129)),NOT(ISNUMBER(L361))),"",L129-L361)</f>
        <v/>
      </c>
      <c r="M593" s="48" t="str">
        <f aca="false">IF(OR(NOT(ISNUMBER(M129)),NOT(ISNUMBER(M361))),"",M129-M361)</f>
        <v/>
      </c>
      <c r="N593" s="48" t="str">
        <f aca="false">IF(OR(NOT(ISNUMBER(N129)),NOT(ISNUMBER(N361))),"",N129-N361)</f>
        <v/>
      </c>
      <c r="O593" s="54" t="str">
        <f aca="false">IF(OR(NOT(ISNUMBER(O129)),NOT(ISNUMBER(O361))),"",O129-O361)</f>
        <v/>
      </c>
      <c r="P593" s="11" t="str">
        <f aca="false">IF(COUNT(D593:N593)=0,"",IF(AND(MAX(D593:N593)&lt;2,MIN(D593:N593)&gt;-2),"Sin diferencia","Diferencia a explicar"))</f>
        <v/>
      </c>
    </row>
    <row r="594" customFormat="false" ht="15" hidden="true" customHeight="false" outlineLevel="1" collapsed="false">
      <c r="A594" s="11" t="s">
        <v>2491</v>
      </c>
      <c r="B594" s="15" t="s">
        <v>2368</v>
      </c>
      <c r="C594" s="11" t="s">
        <v>508</v>
      </c>
      <c r="D594" s="48" t="str">
        <f aca="false">IF(OR(NOT(ISNUMBER(D130)),NOT(ISNUMBER(D362))),"",D130-D362)</f>
        <v/>
      </c>
      <c r="E594" s="48" t="str">
        <f aca="false">IF(OR(NOT(ISNUMBER(E130)),NOT(ISNUMBER(E362))),"",E130-E362)</f>
        <v/>
      </c>
      <c r="F594" s="48" t="str">
        <f aca="false">IF(OR(NOT(ISNUMBER(F130)),NOT(ISNUMBER(F362))),"",F130-F362)</f>
        <v/>
      </c>
      <c r="G594" s="48" t="str">
        <f aca="false">IF(OR(NOT(ISNUMBER(G130)),NOT(ISNUMBER(G362))),"",G130-G362)</f>
        <v/>
      </c>
      <c r="H594" s="48" t="str">
        <f aca="false">IF(OR(NOT(ISNUMBER(H130)),NOT(ISNUMBER(H362))),"",H130-H362)</f>
        <v/>
      </c>
      <c r="I594" s="48" t="str">
        <f aca="false">IF(OR(NOT(ISNUMBER(I130)),NOT(ISNUMBER(I362))),"",I130-I362)</f>
        <v/>
      </c>
      <c r="J594" s="48" t="str">
        <f aca="false">IF(OR(NOT(ISNUMBER(J130)),NOT(ISNUMBER(J362))),"",J130-J362)</f>
        <v/>
      </c>
      <c r="K594" s="48" t="str">
        <f aca="false">IF(OR(NOT(ISNUMBER(K130)),NOT(ISNUMBER(K362))),"",K130-K362)</f>
        <v/>
      </c>
      <c r="L594" s="48" t="str">
        <f aca="false">IF(OR(NOT(ISNUMBER(L130)),NOT(ISNUMBER(L362))),"",L130-L362)</f>
        <v/>
      </c>
      <c r="M594" s="48" t="str">
        <f aca="false">IF(OR(NOT(ISNUMBER(M130)),NOT(ISNUMBER(M362))),"",M130-M362)</f>
        <v/>
      </c>
      <c r="N594" s="48" t="str">
        <f aca="false">IF(OR(NOT(ISNUMBER(N130)),NOT(ISNUMBER(N362))),"",N130-N362)</f>
        <v/>
      </c>
      <c r="O594" s="54" t="str">
        <f aca="false">IF(OR(NOT(ISNUMBER(O130)),NOT(ISNUMBER(O362))),"",O130-O362)</f>
        <v/>
      </c>
      <c r="P594" s="11" t="str">
        <f aca="false">IF(COUNT(D594:N594)=0,"",IF(AND(MAX(D594:N594)&lt;2,MIN(D594:N594)&gt;-2),"Sin diferencia","Diferencia a explicar"))</f>
        <v/>
      </c>
    </row>
    <row r="595" customFormat="false" ht="15" hidden="true" customHeight="false" outlineLevel="1" collapsed="false">
      <c r="A595" s="11" t="s">
        <v>2492</v>
      </c>
      <c r="B595" s="15" t="s">
        <v>2370</v>
      </c>
      <c r="C595" s="11" t="s">
        <v>748</v>
      </c>
      <c r="D595" s="50" t="str">
        <f aca="false">IF(OR(NOT(ISNUMBER(D131)),NOT(ISNUMBER(D363))),"",D131-D363)</f>
        <v/>
      </c>
      <c r="E595" s="50" t="str">
        <f aca="false">IF(OR(NOT(ISNUMBER(E131)),NOT(ISNUMBER(E363))),"",E131-E363)</f>
        <v/>
      </c>
      <c r="F595" s="50" t="str">
        <f aca="false">IF(OR(NOT(ISNUMBER(F131)),NOT(ISNUMBER(F363))),"",F131-F363)</f>
        <v/>
      </c>
      <c r="G595" s="50" t="str">
        <f aca="false">IF(OR(NOT(ISNUMBER(G131)),NOT(ISNUMBER(G363))),"",G131-G363)</f>
        <v/>
      </c>
      <c r="H595" s="50" t="str">
        <f aca="false">IF(OR(NOT(ISNUMBER(H131)),NOT(ISNUMBER(H363))),"",H131-H363)</f>
        <v/>
      </c>
      <c r="I595" s="50" t="str">
        <f aca="false">IF(OR(NOT(ISNUMBER(I131)),NOT(ISNUMBER(I363))),"",I131-I363)</f>
        <v/>
      </c>
      <c r="J595" s="50" t="str">
        <f aca="false">IF(OR(NOT(ISNUMBER(J131)),NOT(ISNUMBER(J363))),"",J131-J363)</f>
        <v/>
      </c>
      <c r="K595" s="50" t="str">
        <f aca="false">IF(OR(NOT(ISNUMBER(K131)),NOT(ISNUMBER(K363))),"",K131-K363)</f>
        <v/>
      </c>
      <c r="L595" s="50" t="str">
        <f aca="false">IF(OR(NOT(ISNUMBER(L131)),NOT(ISNUMBER(L363))),"",L131-L363)</f>
        <v/>
      </c>
      <c r="M595" s="50" t="str">
        <f aca="false">IF(OR(NOT(ISNUMBER(M131)),NOT(ISNUMBER(M363))),"",M131-M363)</f>
        <v/>
      </c>
      <c r="N595" s="50" t="str">
        <f aca="false">IF(OR(NOT(ISNUMBER(N131)),NOT(ISNUMBER(N363))),"",N131-N363)</f>
        <v/>
      </c>
      <c r="O595" s="68" t="str">
        <f aca="false">IF(OR(NOT(ISNUMBER(O131)),NOT(ISNUMBER(O363))),"",O131-O363)</f>
        <v/>
      </c>
      <c r="P595" s="11" t="str">
        <f aca="false">IF(COUNT(D595:N595)=0,"",IF(AND(MAX(D595:N595)&lt;0.005,MIN(D595:N595)&gt;-0.005),"Sin diferencia","Diferencia a explicar"))</f>
        <v/>
      </c>
    </row>
    <row r="596" customFormat="false" ht="15" hidden="true" customHeight="false" outlineLevel="1" collapsed="false">
      <c r="A596" s="11" t="s">
        <v>2493</v>
      </c>
      <c r="B596" s="15" t="s">
        <v>2372</v>
      </c>
      <c r="C596" s="11" t="s">
        <v>748</v>
      </c>
      <c r="D596" s="50" t="str">
        <f aca="false">IF(OR(NOT(ISNUMBER(D132)),NOT(ISNUMBER(D364))),"",D132-D364)</f>
        <v/>
      </c>
      <c r="E596" s="50" t="str">
        <f aca="false">IF(OR(NOT(ISNUMBER(E132)),NOT(ISNUMBER(E364))),"",E132-E364)</f>
        <v/>
      </c>
      <c r="F596" s="50" t="str">
        <f aca="false">IF(OR(NOT(ISNUMBER(F132)),NOT(ISNUMBER(F364))),"",F132-F364)</f>
        <v/>
      </c>
      <c r="G596" s="50" t="str">
        <f aca="false">IF(OR(NOT(ISNUMBER(G132)),NOT(ISNUMBER(G364))),"",G132-G364)</f>
        <v/>
      </c>
      <c r="H596" s="50" t="str">
        <f aca="false">IF(OR(NOT(ISNUMBER(H132)),NOT(ISNUMBER(H364))),"",H132-H364)</f>
        <v/>
      </c>
      <c r="I596" s="50" t="str">
        <f aca="false">IF(OR(NOT(ISNUMBER(I132)),NOT(ISNUMBER(I364))),"",I132-I364)</f>
        <v/>
      </c>
      <c r="J596" s="50" t="str">
        <f aca="false">IF(OR(NOT(ISNUMBER(J132)),NOT(ISNUMBER(J364))),"",J132-J364)</f>
        <v/>
      </c>
      <c r="K596" s="50" t="str">
        <f aca="false">IF(OR(NOT(ISNUMBER(K132)),NOT(ISNUMBER(K364))),"",K132-K364)</f>
        <v/>
      </c>
      <c r="L596" s="50" t="str">
        <f aca="false">IF(OR(NOT(ISNUMBER(L132)),NOT(ISNUMBER(L364))),"",L132-L364)</f>
        <v/>
      </c>
      <c r="M596" s="50" t="str">
        <f aca="false">IF(OR(NOT(ISNUMBER(M132)),NOT(ISNUMBER(M364))),"",M132-M364)</f>
        <v/>
      </c>
      <c r="N596" s="50" t="str">
        <f aca="false">IF(OR(NOT(ISNUMBER(N132)),NOT(ISNUMBER(N364))),"",N132-N364)</f>
        <v/>
      </c>
      <c r="O596" s="68" t="str">
        <f aca="false">IF(OR(NOT(ISNUMBER(O132)),NOT(ISNUMBER(O364))),"",O132-O364)</f>
        <v/>
      </c>
      <c r="P596" s="11" t="str">
        <f aca="false">IF(COUNT(D596:N596)=0,"",IF(AND(MAX(D596:N596)&lt;0.005,MIN(D596:N596)&gt;-0.005),"Sin diferencia","Diferencia a explicar"))</f>
        <v/>
      </c>
    </row>
    <row r="597" customFormat="false" ht="15" hidden="true" customHeight="false" outlineLevel="1" collapsed="false">
      <c r="A597" s="11" t="s">
        <v>2494</v>
      </c>
      <c r="B597" s="15" t="s">
        <v>2374</v>
      </c>
      <c r="C597" s="11" t="s">
        <v>367</v>
      </c>
      <c r="D597" s="49" t="str">
        <f aca="false">IF(OR(NOT(ISNUMBER(D133)),NOT(ISNUMBER(D365))),"",D133-D365)</f>
        <v/>
      </c>
      <c r="E597" s="49" t="str">
        <f aca="false">IF(OR(NOT(ISNUMBER(E133)),NOT(ISNUMBER(E365))),"",E133-E365)</f>
        <v/>
      </c>
      <c r="F597" s="49" t="str">
        <f aca="false">IF(OR(NOT(ISNUMBER(F133)),NOT(ISNUMBER(F365))),"",F133-F365)</f>
        <v/>
      </c>
      <c r="G597" s="49" t="str">
        <f aca="false">IF(OR(NOT(ISNUMBER(G133)),NOT(ISNUMBER(G365))),"",G133-G365)</f>
        <v/>
      </c>
      <c r="H597" s="49" t="str">
        <f aca="false">IF(OR(NOT(ISNUMBER(H133)),NOT(ISNUMBER(H365))),"",H133-H365)</f>
        <v/>
      </c>
      <c r="I597" s="49" t="str">
        <f aca="false">IF(OR(NOT(ISNUMBER(I133)),NOT(ISNUMBER(I365))),"",I133-I365)</f>
        <v/>
      </c>
      <c r="J597" s="49" t="str">
        <f aca="false">IF(OR(NOT(ISNUMBER(J133)),NOT(ISNUMBER(J365))),"",J133-J365)</f>
        <v/>
      </c>
      <c r="K597" s="49" t="str">
        <f aca="false">IF(OR(NOT(ISNUMBER(K133)),NOT(ISNUMBER(K365))),"",K133-K365)</f>
        <v/>
      </c>
      <c r="L597" s="49" t="str">
        <f aca="false">IF(OR(NOT(ISNUMBER(L133)),NOT(ISNUMBER(L365))),"",L133-L365)</f>
        <v/>
      </c>
      <c r="M597" s="49" t="str">
        <f aca="false">IF(OR(NOT(ISNUMBER(M133)),NOT(ISNUMBER(M365))),"",M133-M365)</f>
        <v/>
      </c>
      <c r="N597" s="49" t="str">
        <f aca="false">IF(OR(NOT(ISNUMBER(N133)),NOT(ISNUMBER(N365))),"",N133-N365)</f>
        <v/>
      </c>
      <c r="O597" s="99" t="str">
        <f aca="false">IF(OR(NOT(ISNUMBER(O133)),NOT(ISNUMBER(O365))),"",O133-O365)</f>
        <v/>
      </c>
      <c r="P597" s="11" t="str">
        <f aca="false">IF(COUNT(D597:N597)=0,"",IF(AND(MAX(D597:N597)&lt;0.0005,MIN(D597:N597)&gt;-0.0005),"Sin diferencia","Diferencia a explicar"))</f>
        <v/>
      </c>
    </row>
    <row r="598" customFormat="false" ht="15" hidden="true" customHeight="false" outlineLevel="1" collapsed="false">
      <c r="A598" s="11" t="s">
        <v>2495</v>
      </c>
      <c r="B598" s="15" t="s">
        <v>2376</v>
      </c>
      <c r="C598" s="11" t="s">
        <v>508</v>
      </c>
      <c r="D598" s="48" t="str">
        <f aca="false">IF(OR(NOT(ISNUMBER(D134)),NOT(ISNUMBER(D366))),"",D134-D366)</f>
        <v/>
      </c>
      <c r="E598" s="48" t="str">
        <f aca="false">IF(OR(NOT(ISNUMBER(E134)),NOT(ISNUMBER(E366))),"",E134-E366)</f>
        <v/>
      </c>
      <c r="F598" s="48" t="str">
        <f aca="false">IF(OR(NOT(ISNUMBER(F134)),NOT(ISNUMBER(F366))),"",F134-F366)</f>
        <v/>
      </c>
      <c r="G598" s="48" t="str">
        <f aca="false">IF(OR(NOT(ISNUMBER(G134)),NOT(ISNUMBER(G366))),"",G134-G366)</f>
        <v/>
      </c>
      <c r="H598" s="48" t="str">
        <f aca="false">IF(OR(NOT(ISNUMBER(H134)),NOT(ISNUMBER(H366))),"",H134-H366)</f>
        <v/>
      </c>
      <c r="I598" s="48" t="str">
        <f aca="false">IF(OR(NOT(ISNUMBER(I134)),NOT(ISNUMBER(I366))),"",I134-I366)</f>
        <v/>
      </c>
      <c r="J598" s="48" t="str">
        <f aca="false">IF(OR(NOT(ISNUMBER(J134)),NOT(ISNUMBER(J366))),"",J134-J366)</f>
        <v/>
      </c>
      <c r="K598" s="48" t="str">
        <f aca="false">IF(OR(NOT(ISNUMBER(K134)),NOT(ISNUMBER(K366))),"",K134-K366)</f>
        <v/>
      </c>
      <c r="L598" s="48" t="str">
        <f aca="false">IF(OR(NOT(ISNUMBER(L134)),NOT(ISNUMBER(L366))),"",L134-L366)</f>
        <v/>
      </c>
      <c r="M598" s="48" t="str">
        <f aca="false">IF(OR(NOT(ISNUMBER(M134)),NOT(ISNUMBER(M366))),"",M134-M366)</f>
        <v/>
      </c>
      <c r="N598" s="48" t="str">
        <f aca="false">IF(OR(NOT(ISNUMBER(N134)),NOT(ISNUMBER(N366))),"",N134-N366)</f>
        <v/>
      </c>
      <c r="O598" s="54" t="str">
        <f aca="false">IF(OR(NOT(ISNUMBER(O134)),NOT(ISNUMBER(O366))),"",O134-O366)</f>
        <v/>
      </c>
      <c r="P598" s="11" t="str">
        <f aca="false">IF(COUNT(D598:N598)=0,"",IF(AND(MAX(D598:N598)&lt;2,MIN(D598:N598)&gt;-2),"Sin diferencia","Diferencia a explicar"))</f>
        <v/>
      </c>
    </row>
    <row r="599" customFormat="false" ht="15" hidden="true" customHeight="false" outlineLevel="1" collapsed="false">
      <c r="A599" s="11" t="s">
        <v>2496</v>
      </c>
      <c r="B599" s="15" t="s">
        <v>2378</v>
      </c>
      <c r="C599" s="11" t="s">
        <v>508</v>
      </c>
      <c r="D599" s="48" t="str">
        <f aca="false">IF(OR(NOT(ISNUMBER(D135)),NOT(ISNUMBER(D367))),"",D135-D367)</f>
        <v/>
      </c>
      <c r="E599" s="48" t="str">
        <f aca="false">IF(OR(NOT(ISNUMBER(E135)),NOT(ISNUMBER(E367))),"",E135-E367)</f>
        <v/>
      </c>
      <c r="F599" s="48" t="str">
        <f aca="false">IF(OR(NOT(ISNUMBER(F135)),NOT(ISNUMBER(F367))),"",F135-F367)</f>
        <v/>
      </c>
      <c r="G599" s="48" t="str">
        <f aca="false">IF(OR(NOT(ISNUMBER(G135)),NOT(ISNUMBER(G367))),"",G135-G367)</f>
        <v/>
      </c>
      <c r="H599" s="48" t="str">
        <f aca="false">IF(OR(NOT(ISNUMBER(H135)),NOT(ISNUMBER(H367))),"",H135-H367)</f>
        <v/>
      </c>
      <c r="I599" s="48" t="str">
        <f aca="false">IF(OR(NOT(ISNUMBER(I135)),NOT(ISNUMBER(I367))),"",I135-I367)</f>
        <v/>
      </c>
      <c r="J599" s="48" t="str">
        <f aca="false">IF(OR(NOT(ISNUMBER(J135)),NOT(ISNUMBER(J367))),"",J135-J367)</f>
        <v/>
      </c>
      <c r="K599" s="48" t="str">
        <f aca="false">IF(OR(NOT(ISNUMBER(K135)),NOT(ISNUMBER(K367))),"",K135-K367)</f>
        <v/>
      </c>
      <c r="L599" s="48" t="str">
        <f aca="false">IF(OR(NOT(ISNUMBER(L135)),NOT(ISNUMBER(L367))),"",L135-L367)</f>
        <v/>
      </c>
      <c r="M599" s="48" t="str">
        <f aca="false">IF(OR(NOT(ISNUMBER(M135)),NOT(ISNUMBER(M367))),"",M135-M367)</f>
        <v/>
      </c>
      <c r="N599" s="48" t="str">
        <f aca="false">IF(OR(NOT(ISNUMBER(N135)),NOT(ISNUMBER(N367))),"",N135-N367)</f>
        <v/>
      </c>
      <c r="O599" s="54" t="str">
        <f aca="false">IF(OR(NOT(ISNUMBER(O135)),NOT(ISNUMBER(O367))),"",O135-O367)</f>
        <v/>
      </c>
      <c r="P599" s="11" t="str">
        <f aca="false">IF(COUNT(D599:N599)=0,"",IF(AND(MAX(D599:N599)&lt;2,MIN(D599:N599)&gt;-2),"Sin diferencia","Diferencia a explicar"))</f>
        <v/>
      </c>
    </row>
    <row r="600" customFormat="false" ht="15" hidden="true" customHeight="false" outlineLevel="1" collapsed="false">
      <c r="A600" s="11" t="s">
        <v>2497</v>
      </c>
      <c r="B600" s="15" t="s">
        <v>2380</v>
      </c>
      <c r="C600" s="11" t="s">
        <v>748</v>
      </c>
      <c r="D600" s="50" t="str">
        <f aca="false">IF(OR(NOT(ISNUMBER(D136)),NOT(ISNUMBER(D368))),"",D136-D368)</f>
        <v/>
      </c>
      <c r="E600" s="50" t="str">
        <f aca="false">IF(OR(NOT(ISNUMBER(E136)),NOT(ISNUMBER(E368))),"",E136-E368)</f>
        <v/>
      </c>
      <c r="F600" s="50" t="str">
        <f aca="false">IF(OR(NOT(ISNUMBER(F136)),NOT(ISNUMBER(F368))),"",F136-F368)</f>
        <v/>
      </c>
      <c r="G600" s="50" t="str">
        <f aca="false">IF(OR(NOT(ISNUMBER(G136)),NOT(ISNUMBER(G368))),"",G136-G368)</f>
        <v/>
      </c>
      <c r="H600" s="50" t="str">
        <f aca="false">IF(OR(NOT(ISNUMBER(H136)),NOT(ISNUMBER(H368))),"",H136-H368)</f>
        <v/>
      </c>
      <c r="I600" s="50" t="str">
        <f aca="false">IF(OR(NOT(ISNUMBER(I136)),NOT(ISNUMBER(I368))),"",I136-I368)</f>
        <v/>
      </c>
      <c r="J600" s="50" t="str">
        <f aca="false">IF(OR(NOT(ISNUMBER(J136)),NOT(ISNUMBER(J368))),"",J136-J368)</f>
        <v/>
      </c>
      <c r="K600" s="50" t="str">
        <f aca="false">IF(OR(NOT(ISNUMBER(K136)),NOT(ISNUMBER(K368))),"",K136-K368)</f>
        <v/>
      </c>
      <c r="L600" s="50" t="str">
        <f aca="false">IF(OR(NOT(ISNUMBER(L136)),NOT(ISNUMBER(L368))),"",L136-L368)</f>
        <v/>
      </c>
      <c r="M600" s="50" t="str">
        <f aca="false">IF(OR(NOT(ISNUMBER(M136)),NOT(ISNUMBER(M368))),"",M136-M368)</f>
        <v/>
      </c>
      <c r="N600" s="50" t="str">
        <f aca="false">IF(OR(NOT(ISNUMBER(N136)),NOT(ISNUMBER(N368))),"",N136-N368)</f>
        <v/>
      </c>
      <c r="O600" s="68" t="str">
        <f aca="false">IF(OR(NOT(ISNUMBER(O136)),NOT(ISNUMBER(O368))),"",O136-O368)</f>
        <v/>
      </c>
      <c r="P600" s="11" t="str">
        <f aca="false">IF(COUNT(D600:N600)=0,"",IF(AND(MAX(D600:N600)&lt;0.005,MIN(D600:N600)&gt;-0.005),"Sin diferencia","Diferencia a explicar"))</f>
        <v/>
      </c>
    </row>
    <row r="601" customFormat="false" ht="15" hidden="true" customHeight="false" outlineLevel="1" collapsed="false">
      <c r="A601" s="11" t="s">
        <v>2498</v>
      </c>
      <c r="B601" s="53" t="str">
        <f aca="false">IF(INDEX(Prod_Nombre,15)="","Producto 15",INDEX(Prod_Nombre,15))&amp;" — costo directo"</f>
        <v>Producto 15 — costo directo</v>
      </c>
      <c r="C601" s="11" t="s">
        <v>508</v>
      </c>
      <c r="D601" s="48" t="str">
        <f aca="false">IF(OR(NOT(ISNUMBER(D137)),NOT(ISNUMBER(D369))),"",D137-D369)</f>
        <v/>
      </c>
      <c r="E601" s="48" t="str">
        <f aca="false">IF(OR(NOT(ISNUMBER(E137)),NOT(ISNUMBER(E369))),"",E137-E369)</f>
        <v/>
      </c>
      <c r="F601" s="48" t="str">
        <f aca="false">IF(OR(NOT(ISNUMBER(F137)),NOT(ISNUMBER(F369))),"",F137-F369)</f>
        <v/>
      </c>
      <c r="G601" s="48" t="str">
        <f aca="false">IF(OR(NOT(ISNUMBER(G137)),NOT(ISNUMBER(G369))),"",G137-G369)</f>
        <v/>
      </c>
      <c r="H601" s="48" t="str">
        <f aca="false">IF(OR(NOT(ISNUMBER(H137)),NOT(ISNUMBER(H369))),"",H137-H369)</f>
        <v/>
      </c>
      <c r="I601" s="48" t="str">
        <f aca="false">IF(OR(NOT(ISNUMBER(I137)),NOT(ISNUMBER(I369))),"",I137-I369)</f>
        <v/>
      </c>
      <c r="J601" s="48" t="str">
        <f aca="false">IF(OR(NOT(ISNUMBER(J137)),NOT(ISNUMBER(J369))),"",J137-J369)</f>
        <v/>
      </c>
      <c r="K601" s="48" t="str">
        <f aca="false">IF(OR(NOT(ISNUMBER(K137)),NOT(ISNUMBER(K369))),"",K137-K369)</f>
        <v/>
      </c>
      <c r="L601" s="48" t="str">
        <f aca="false">IF(OR(NOT(ISNUMBER(L137)),NOT(ISNUMBER(L369))),"",L137-L369)</f>
        <v/>
      </c>
      <c r="M601" s="48" t="str">
        <f aca="false">IF(OR(NOT(ISNUMBER(M137)),NOT(ISNUMBER(M369))),"",M137-M369)</f>
        <v/>
      </c>
      <c r="N601" s="48" t="str">
        <f aca="false">IF(OR(NOT(ISNUMBER(N137)),NOT(ISNUMBER(N369))),"",N137-N369)</f>
        <v/>
      </c>
      <c r="O601" s="54" t="str">
        <f aca="false">IF(OR(NOT(ISNUMBER(O137)),NOT(ISNUMBER(O369))),"",O137-O369)</f>
        <v/>
      </c>
      <c r="P601" s="11" t="str">
        <f aca="false">IF(COUNT(D601:N601)=0,"",IF(AND(MAX(D601:N601)&lt;2,MIN(D601:N601)&gt;-2),"Sin diferencia","Diferencia a explicar"))</f>
        <v/>
      </c>
    </row>
    <row r="602" customFormat="false" ht="15" hidden="true" customHeight="false" outlineLevel="1" collapsed="false">
      <c r="A602" s="11" t="s">
        <v>2499</v>
      </c>
      <c r="B602" s="15" t="s">
        <v>2366</v>
      </c>
      <c r="C602" s="11" t="s">
        <v>544</v>
      </c>
      <c r="D602" s="48" t="str">
        <f aca="false">IF(OR(NOT(ISNUMBER(D138)),NOT(ISNUMBER(D370))),"",D138-D370)</f>
        <v/>
      </c>
      <c r="E602" s="48" t="str">
        <f aca="false">IF(OR(NOT(ISNUMBER(E138)),NOT(ISNUMBER(E370))),"",E138-E370)</f>
        <v/>
      </c>
      <c r="F602" s="48" t="str">
        <f aca="false">IF(OR(NOT(ISNUMBER(F138)),NOT(ISNUMBER(F370))),"",F138-F370)</f>
        <v/>
      </c>
      <c r="G602" s="48" t="str">
        <f aca="false">IF(OR(NOT(ISNUMBER(G138)),NOT(ISNUMBER(G370))),"",G138-G370)</f>
        <v/>
      </c>
      <c r="H602" s="48" t="str">
        <f aca="false">IF(OR(NOT(ISNUMBER(H138)),NOT(ISNUMBER(H370))),"",H138-H370)</f>
        <v/>
      </c>
      <c r="I602" s="48" t="str">
        <f aca="false">IF(OR(NOT(ISNUMBER(I138)),NOT(ISNUMBER(I370))),"",I138-I370)</f>
        <v/>
      </c>
      <c r="J602" s="48" t="str">
        <f aca="false">IF(OR(NOT(ISNUMBER(J138)),NOT(ISNUMBER(J370))),"",J138-J370)</f>
        <v/>
      </c>
      <c r="K602" s="48" t="str">
        <f aca="false">IF(OR(NOT(ISNUMBER(K138)),NOT(ISNUMBER(K370))),"",K138-K370)</f>
        <v/>
      </c>
      <c r="L602" s="48" t="str">
        <f aca="false">IF(OR(NOT(ISNUMBER(L138)),NOT(ISNUMBER(L370))),"",L138-L370)</f>
        <v/>
      </c>
      <c r="M602" s="48" t="str">
        <f aca="false">IF(OR(NOT(ISNUMBER(M138)),NOT(ISNUMBER(M370))),"",M138-M370)</f>
        <v/>
      </c>
      <c r="N602" s="48" t="str">
        <f aca="false">IF(OR(NOT(ISNUMBER(N138)),NOT(ISNUMBER(N370))),"",N138-N370)</f>
        <v/>
      </c>
      <c r="O602" s="54" t="str">
        <f aca="false">IF(OR(NOT(ISNUMBER(O138)),NOT(ISNUMBER(O370))),"",O138-O370)</f>
        <v/>
      </c>
      <c r="P602" s="11" t="str">
        <f aca="false">IF(COUNT(D602:N602)=0,"",IF(AND(MAX(D602:N602)&lt;2,MIN(D602:N602)&gt;-2),"Sin diferencia","Diferencia a explicar"))</f>
        <v/>
      </c>
    </row>
    <row r="603" customFormat="false" ht="15" hidden="true" customHeight="false" outlineLevel="1" collapsed="false">
      <c r="A603" s="11" t="s">
        <v>2500</v>
      </c>
      <c r="B603" s="15" t="s">
        <v>2368</v>
      </c>
      <c r="C603" s="11" t="s">
        <v>508</v>
      </c>
      <c r="D603" s="48" t="str">
        <f aca="false">IF(OR(NOT(ISNUMBER(D139)),NOT(ISNUMBER(D371))),"",D139-D371)</f>
        <v/>
      </c>
      <c r="E603" s="48" t="str">
        <f aca="false">IF(OR(NOT(ISNUMBER(E139)),NOT(ISNUMBER(E371))),"",E139-E371)</f>
        <v/>
      </c>
      <c r="F603" s="48" t="str">
        <f aca="false">IF(OR(NOT(ISNUMBER(F139)),NOT(ISNUMBER(F371))),"",F139-F371)</f>
        <v/>
      </c>
      <c r="G603" s="48" t="str">
        <f aca="false">IF(OR(NOT(ISNUMBER(G139)),NOT(ISNUMBER(G371))),"",G139-G371)</f>
        <v/>
      </c>
      <c r="H603" s="48" t="str">
        <f aca="false">IF(OR(NOT(ISNUMBER(H139)),NOT(ISNUMBER(H371))),"",H139-H371)</f>
        <v/>
      </c>
      <c r="I603" s="48" t="str">
        <f aca="false">IF(OR(NOT(ISNUMBER(I139)),NOT(ISNUMBER(I371))),"",I139-I371)</f>
        <v/>
      </c>
      <c r="J603" s="48" t="str">
        <f aca="false">IF(OR(NOT(ISNUMBER(J139)),NOT(ISNUMBER(J371))),"",J139-J371)</f>
        <v/>
      </c>
      <c r="K603" s="48" t="str">
        <f aca="false">IF(OR(NOT(ISNUMBER(K139)),NOT(ISNUMBER(K371))),"",K139-K371)</f>
        <v/>
      </c>
      <c r="L603" s="48" t="str">
        <f aca="false">IF(OR(NOT(ISNUMBER(L139)),NOT(ISNUMBER(L371))),"",L139-L371)</f>
        <v/>
      </c>
      <c r="M603" s="48" t="str">
        <f aca="false">IF(OR(NOT(ISNUMBER(M139)),NOT(ISNUMBER(M371))),"",M139-M371)</f>
        <v/>
      </c>
      <c r="N603" s="48" t="str">
        <f aca="false">IF(OR(NOT(ISNUMBER(N139)),NOT(ISNUMBER(N371))),"",N139-N371)</f>
        <v/>
      </c>
      <c r="O603" s="54" t="str">
        <f aca="false">IF(OR(NOT(ISNUMBER(O139)),NOT(ISNUMBER(O371))),"",O139-O371)</f>
        <v/>
      </c>
      <c r="P603" s="11" t="str">
        <f aca="false">IF(COUNT(D603:N603)=0,"",IF(AND(MAX(D603:N603)&lt;2,MIN(D603:N603)&gt;-2),"Sin diferencia","Diferencia a explicar"))</f>
        <v/>
      </c>
    </row>
    <row r="604" customFormat="false" ht="15" hidden="true" customHeight="false" outlineLevel="1" collapsed="false">
      <c r="A604" s="11" t="s">
        <v>2501</v>
      </c>
      <c r="B604" s="15" t="s">
        <v>2370</v>
      </c>
      <c r="C604" s="11" t="s">
        <v>748</v>
      </c>
      <c r="D604" s="50" t="str">
        <f aca="false">IF(OR(NOT(ISNUMBER(D140)),NOT(ISNUMBER(D372))),"",D140-D372)</f>
        <v/>
      </c>
      <c r="E604" s="50" t="str">
        <f aca="false">IF(OR(NOT(ISNUMBER(E140)),NOT(ISNUMBER(E372))),"",E140-E372)</f>
        <v/>
      </c>
      <c r="F604" s="50" t="str">
        <f aca="false">IF(OR(NOT(ISNUMBER(F140)),NOT(ISNUMBER(F372))),"",F140-F372)</f>
        <v/>
      </c>
      <c r="G604" s="50" t="str">
        <f aca="false">IF(OR(NOT(ISNUMBER(G140)),NOT(ISNUMBER(G372))),"",G140-G372)</f>
        <v/>
      </c>
      <c r="H604" s="50" t="str">
        <f aca="false">IF(OR(NOT(ISNUMBER(H140)),NOT(ISNUMBER(H372))),"",H140-H372)</f>
        <v/>
      </c>
      <c r="I604" s="50" t="str">
        <f aca="false">IF(OR(NOT(ISNUMBER(I140)),NOT(ISNUMBER(I372))),"",I140-I372)</f>
        <v/>
      </c>
      <c r="J604" s="50" t="str">
        <f aca="false">IF(OR(NOT(ISNUMBER(J140)),NOT(ISNUMBER(J372))),"",J140-J372)</f>
        <v/>
      </c>
      <c r="K604" s="50" t="str">
        <f aca="false">IF(OR(NOT(ISNUMBER(K140)),NOT(ISNUMBER(K372))),"",K140-K372)</f>
        <v/>
      </c>
      <c r="L604" s="50" t="str">
        <f aca="false">IF(OR(NOT(ISNUMBER(L140)),NOT(ISNUMBER(L372))),"",L140-L372)</f>
        <v/>
      </c>
      <c r="M604" s="50" t="str">
        <f aca="false">IF(OR(NOT(ISNUMBER(M140)),NOT(ISNUMBER(M372))),"",M140-M372)</f>
        <v/>
      </c>
      <c r="N604" s="50" t="str">
        <f aca="false">IF(OR(NOT(ISNUMBER(N140)),NOT(ISNUMBER(N372))),"",N140-N372)</f>
        <v/>
      </c>
      <c r="O604" s="68" t="str">
        <f aca="false">IF(OR(NOT(ISNUMBER(O140)),NOT(ISNUMBER(O372))),"",O140-O372)</f>
        <v/>
      </c>
      <c r="P604" s="11" t="str">
        <f aca="false">IF(COUNT(D604:N604)=0,"",IF(AND(MAX(D604:N604)&lt;0.005,MIN(D604:N604)&gt;-0.005),"Sin diferencia","Diferencia a explicar"))</f>
        <v/>
      </c>
    </row>
    <row r="605" customFormat="false" ht="15" hidden="true" customHeight="false" outlineLevel="1" collapsed="false">
      <c r="A605" s="11" t="s">
        <v>2502</v>
      </c>
      <c r="B605" s="15" t="s">
        <v>2372</v>
      </c>
      <c r="C605" s="11" t="s">
        <v>748</v>
      </c>
      <c r="D605" s="50" t="str">
        <f aca="false">IF(OR(NOT(ISNUMBER(D141)),NOT(ISNUMBER(D373))),"",D141-D373)</f>
        <v/>
      </c>
      <c r="E605" s="50" t="str">
        <f aca="false">IF(OR(NOT(ISNUMBER(E141)),NOT(ISNUMBER(E373))),"",E141-E373)</f>
        <v/>
      </c>
      <c r="F605" s="50" t="str">
        <f aca="false">IF(OR(NOT(ISNUMBER(F141)),NOT(ISNUMBER(F373))),"",F141-F373)</f>
        <v/>
      </c>
      <c r="G605" s="50" t="str">
        <f aca="false">IF(OR(NOT(ISNUMBER(G141)),NOT(ISNUMBER(G373))),"",G141-G373)</f>
        <v/>
      </c>
      <c r="H605" s="50" t="str">
        <f aca="false">IF(OR(NOT(ISNUMBER(H141)),NOT(ISNUMBER(H373))),"",H141-H373)</f>
        <v/>
      </c>
      <c r="I605" s="50" t="str">
        <f aca="false">IF(OR(NOT(ISNUMBER(I141)),NOT(ISNUMBER(I373))),"",I141-I373)</f>
        <v/>
      </c>
      <c r="J605" s="50" t="str">
        <f aca="false">IF(OR(NOT(ISNUMBER(J141)),NOT(ISNUMBER(J373))),"",J141-J373)</f>
        <v/>
      </c>
      <c r="K605" s="50" t="str">
        <f aca="false">IF(OR(NOT(ISNUMBER(K141)),NOT(ISNUMBER(K373))),"",K141-K373)</f>
        <v/>
      </c>
      <c r="L605" s="50" t="str">
        <f aca="false">IF(OR(NOT(ISNUMBER(L141)),NOT(ISNUMBER(L373))),"",L141-L373)</f>
        <v/>
      </c>
      <c r="M605" s="50" t="str">
        <f aca="false">IF(OR(NOT(ISNUMBER(M141)),NOT(ISNUMBER(M373))),"",M141-M373)</f>
        <v/>
      </c>
      <c r="N605" s="50" t="str">
        <f aca="false">IF(OR(NOT(ISNUMBER(N141)),NOT(ISNUMBER(N373))),"",N141-N373)</f>
        <v/>
      </c>
      <c r="O605" s="68" t="str">
        <f aca="false">IF(OR(NOT(ISNUMBER(O141)),NOT(ISNUMBER(O373))),"",O141-O373)</f>
        <v/>
      </c>
      <c r="P605" s="11" t="str">
        <f aca="false">IF(COUNT(D605:N605)=0,"",IF(AND(MAX(D605:N605)&lt;0.005,MIN(D605:N605)&gt;-0.005),"Sin diferencia","Diferencia a explicar"))</f>
        <v/>
      </c>
    </row>
    <row r="606" customFormat="false" ht="15" hidden="true" customHeight="false" outlineLevel="1" collapsed="false">
      <c r="A606" s="11" t="s">
        <v>2503</v>
      </c>
      <c r="B606" s="15" t="s">
        <v>2374</v>
      </c>
      <c r="C606" s="11" t="s">
        <v>367</v>
      </c>
      <c r="D606" s="49" t="str">
        <f aca="false">IF(OR(NOT(ISNUMBER(D142)),NOT(ISNUMBER(D374))),"",D142-D374)</f>
        <v/>
      </c>
      <c r="E606" s="49" t="str">
        <f aca="false">IF(OR(NOT(ISNUMBER(E142)),NOT(ISNUMBER(E374))),"",E142-E374)</f>
        <v/>
      </c>
      <c r="F606" s="49" t="str">
        <f aca="false">IF(OR(NOT(ISNUMBER(F142)),NOT(ISNUMBER(F374))),"",F142-F374)</f>
        <v/>
      </c>
      <c r="G606" s="49" t="str">
        <f aca="false">IF(OR(NOT(ISNUMBER(G142)),NOT(ISNUMBER(G374))),"",G142-G374)</f>
        <v/>
      </c>
      <c r="H606" s="49" t="str">
        <f aca="false">IF(OR(NOT(ISNUMBER(H142)),NOT(ISNUMBER(H374))),"",H142-H374)</f>
        <v/>
      </c>
      <c r="I606" s="49" t="str">
        <f aca="false">IF(OR(NOT(ISNUMBER(I142)),NOT(ISNUMBER(I374))),"",I142-I374)</f>
        <v/>
      </c>
      <c r="J606" s="49" t="str">
        <f aca="false">IF(OR(NOT(ISNUMBER(J142)),NOT(ISNUMBER(J374))),"",J142-J374)</f>
        <v/>
      </c>
      <c r="K606" s="49" t="str">
        <f aca="false">IF(OR(NOT(ISNUMBER(K142)),NOT(ISNUMBER(K374))),"",K142-K374)</f>
        <v/>
      </c>
      <c r="L606" s="49" t="str">
        <f aca="false">IF(OR(NOT(ISNUMBER(L142)),NOT(ISNUMBER(L374))),"",L142-L374)</f>
        <v/>
      </c>
      <c r="M606" s="49" t="str">
        <f aca="false">IF(OR(NOT(ISNUMBER(M142)),NOT(ISNUMBER(M374))),"",M142-M374)</f>
        <v/>
      </c>
      <c r="N606" s="49" t="str">
        <f aca="false">IF(OR(NOT(ISNUMBER(N142)),NOT(ISNUMBER(N374))),"",N142-N374)</f>
        <v/>
      </c>
      <c r="O606" s="99" t="str">
        <f aca="false">IF(OR(NOT(ISNUMBER(O142)),NOT(ISNUMBER(O374))),"",O142-O374)</f>
        <v/>
      </c>
      <c r="P606" s="11" t="str">
        <f aca="false">IF(COUNT(D606:N606)=0,"",IF(AND(MAX(D606:N606)&lt;0.0005,MIN(D606:N606)&gt;-0.0005),"Sin diferencia","Diferencia a explicar"))</f>
        <v/>
      </c>
    </row>
    <row r="607" customFormat="false" ht="15" hidden="true" customHeight="false" outlineLevel="1" collapsed="false">
      <c r="A607" s="11" t="s">
        <v>2504</v>
      </c>
      <c r="B607" s="15" t="s">
        <v>2376</v>
      </c>
      <c r="C607" s="11" t="s">
        <v>508</v>
      </c>
      <c r="D607" s="48" t="str">
        <f aca="false">IF(OR(NOT(ISNUMBER(D143)),NOT(ISNUMBER(D375))),"",D143-D375)</f>
        <v/>
      </c>
      <c r="E607" s="48" t="str">
        <f aca="false">IF(OR(NOT(ISNUMBER(E143)),NOT(ISNUMBER(E375))),"",E143-E375)</f>
        <v/>
      </c>
      <c r="F607" s="48" t="str">
        <f aca="false">IF(OR(NOT(ISNUMBER(F143)),NOT(ISNUMBER(F375))),"",F143-F375)</f>
        <v/>
      </c>
      <c r="G607" s="48" t="str">
        <f aca="false">IF(OR(NOT(ISNUMBER(G143)),NOT(ISNUMBER(G375))),"",G143-G375)</f>
        <v/>
      </c>
      <c r="H607" s="48" t="str">
        <f aca="false">IF(OR(NOT(ISNUMBER(H143)),NOT(ISNUMBER(H375))),"",H143-H375)</f>
        <v/>
      </c>
      <c r="I607" s="48" t="str">
        <f aca="false">IF(OR(NOT(ISNUMBER(I143)),NOT(ISNUMBER(I375))),"",I143-I375)</f>
        <v/>
      </c>
      <c r="J607" s="48" t="str">
        <f aca="false">IF(OR(NOT(ISNUMBER(J143)),NOT(ISNUMBER(J375))),"",J143-J375)</f>
        <v/>
      </c>
      <c r="K607" s="48" t="str">
        <f aca="false">IF(OR(NOT(ISNUMBER(K143)),NOT(ISNUMBER(K375))),"",K143-K375)</f>
        <v/>
      </c>
      <c r="L607" s="48" t="str">
        <f aca="false">IF(OR(NOT(ISNUMBER(L143)),NOT(ISNUMBER(L375))),"",L143-L375)</f>
        <v/>
      </c>
      <c r="M607" s="48" t="str">
        <f aca="false">IF(OR(NOT(ISNUMBER(M143)),NOT(ISNUMBER(M375))),"",M143-M375)</f>
        <v/>
      </c>
      <c r="N607" s="48" t="str">
        <f aca="false">IF(OR(NOT(ISNUMBER(N143)),NOT(ISNUMBER(N375))),"",N143-N375)</f>
        <v/>
      </c>
      <c r="O607" s="54" t="str">
        <f aca="false">IF(OR(NOT(ISNUMBER(O143)),NOT(ISNUMBER(O375))),"",O143-O375)</f>
        <v/>
      </c>
      <c r="P607" s="11" t="str">
        <f aca="false">IF(COUNT(D607:N607)=0,"",IF(AND(MAX(D607:N607)&lt;2,MIN(D607:N607)&gt;-2),"Sin diferencia","Diferencia a explicar"))</f>
        <v/>
      </c>
    </row>
    <row r="608" customFormat="false" ht="15" hidden="true" customHeight="false" outlineLevel="1" collapsed="false">
      <c r="A608" s="11" t="s">
        <v>2505</v>
      </c>
      <c r="B608" s="15" t="s">
        <v>2378</v>
      </c>
      <c r="C608" s="11" t="s">
        <v>508</v>
      </c>
      <c r="D608" s="48" t="str">
        <f aca="false">IF(OR(NOT(ISNUMBER(D144)),NOT(ISNUMBER(D376))),"",D144-D376)</f>
        <v/>
      </c>
      <c r="E608" s="48" t="str">
        <f aca="false">IF(OR(NOT(ISNUMBER(E144)),NOT(ISNUMBER(E376))),"",E144-E376)</f>
        <v/>
      </c>
      <c r="F608" s="48" t="str">
        <f aca="false">IF(OR(NOT(ISNUMBER(F144)),NOT(ISNUMBER(F376))),"",F144-F376)</f>
        <v/>
      </c>
      <c r="G608" s="48" t="str">
        <f aca="false">IF(OR(NOT(ISNUMBER(G144)),NOT(ISNUMBER(G376))),"",G144-G376)</f>
        <v/>
      </c>
      <c r="H608" s="48" t="str">
        <f aca="false">IF(OR(NOT(ISNUMBER(H144)),NOT(ISNUMBER(H376))),"",H144-H376)</f>
        <v/>
      </c>
      <c r="I608" s="48" t="str">
        <f aca="false">IF(OR(NOT(ISNUMBER(I144)),NOT(ISNUMBER(I376))),"",I144-I376)</f>
        <v/>
      </c>
      <c r="J608" s="48" t="str">
        <f aca="false">IF(OR(NOT(ISNUMBER(J144)),NOT(ISNUMBER(J376))),"",J144-J376)</f>
        <v/>
      </c>
      <c r="K608" s="48" t="str">
        <f aca="false">IF(OR(NOT(ISNUMBER(K144)),NOT(ISNUMBER(K376))),"",K144-K376)</f>
        <v/>
      </c>
      <c r="L608" s="48" t="str">
        <f aca="false">IF(OR(NOT(ISNUMBER(L144)),NOT(ISNUMBER(L376))),"",L144-L376)</f>
        <v/>
      </c>
      <c r="M608" s="48" t="str">
        <f aca="false">IF(OR(NOT(ISNUMBER(M144)),NOT(ISNUMBER(M376))),"",M144-M376)</f>
        <v/>
      </c>
      <c r="N608" s="48" t="str">
        <f aca="false">IF(OR(NOT(ISNUMBER(N144)),NOT(ISNUMBER(N376))),"",N144-N376)</f>
        <v/>
      </c>
      <c r="O608" s="54" t="str">
        <f aca="false">IF(OR(NOT(ISNUMBER(O144)),NOT(ISNUMBER(O376))),"",O144-O376)</f>
        <v/>
      </c>
      <c r="P608" s="11" t="str">
        <f aca="false">IF(COUNT(D608:N608)=0,"",IF(AND(MAX(D608:N608)&lt;2,MIN(D608:N608)&gt;-2),"Sin diferencia","Diferencia a explicar"))</f>
        <v/>
      </c>
    </row>
    <row r="609" customFormat="false" ht="15" hidden="true" customHeight="false" outlineLevel="1" collapsed="false">
      <c r="A609" s="11" t="s">
        <v>2506</v>
      </c>
      <c r="B609" s="15" t="s">
        <v>2380</v>
      </c>
      <c r="C609" s="11" t="s">
        <v>748</v>
      </c>
      <c r="D609" s="50" t="str">
        <f aca="false">IF(OR(NOT(ISNUMBER(D145)),NOT(ISNUMBER(D377))),"",D145-D377)</f>
        <v/>
      </c>
      <c r="E609" s="50" t="str">
        <f aca="false">IF(OR(NOT(ISNUMBER(E145)),NOT(ISNUMBER(E377))),"",E145-E377)</f>
        <v/>
      </c>
      <c r="F609" s="50" t="str">
        <f aca="false">IF(OR(NOT(ISNUMBER(F145)),NOT(ISNUMBER(F377))),"",F145-F377)</f>
        <v/>
      </c>
      <c r="G609" s="50" t="str">
        <f aca="false">IF(OR(NOT(ISNUMBER(G145)),NOT(ISNUMBER(G377))),"",G145-G377)</f>
        <v/>
      </c>
      <c r="H609" s="50" t="str">
        <f aca="false">IF(OR(NOT(ISNUMBER(H145)),NOT(ISNUMBER(H377))),"",H145-H377)</f>
        <v/>
      </c>
      <c r="I609" s="50" t="str">
        <f aca="false">IF(OR(NOT(ISNUMBER(I145)),NOT(ISNUMBER(I377))),"",I145-I377)</f>
        <v/>
      </c>
      <c r="J609" s="50" t="str">
        <f aca="false">IF(OR(NOT(ISNUMBER(J145)),NOT(ISNUMBER(J377))),"",J145-J377)</f>
        <v/>
      </c>
      <c r="K609" s="50" t="str">
        <f aca="false">IF(OR(NOT(ISNUMBER(K145)),NOT(ISNUMBER(K377))),"",K145-K377)</f>
        <v/>
      </c>
      <c r="L609" s="50" t="str">
        <f aca="false">IF(OR(NOT(ISNUMBER(L145)),NOT(ISNUMBER(L377))),"",L145-L377)</f>
        <v/>
      </c>
      <c r="M609" s="50" t="str">
        <f aca="false">IF(OR(NOT(ISNUMBER(M145)),NOT(ISNUMBER(M377))),"",M145-M377)</f>
        <v/>
      </c>
      <c r="N609" s="50" t="str">
        <f aca="false">IF(OR(NOT(ISNUMBER(N145)),NOT(ISNUMBER(N377))),"",N145-N377)</f>
        <v/>
      </c>
      <c r="O609" s="68" t="str">
        <f aca="false">IF(OR(NOT(ISNUMBER(O145)),NOT(ISNUMBER(O377))),"",O145-O377)</f>
        <v/>
      </c>
      <c r="P609" s="11" t="str">
        <f aca="false">IF(COUNT(D609:N609)=0,"",IF(AND(MAX(D609:N609)&lt;0.005,MIN(D609:N609)&gt;-0.005),"Sin diferencia","Diferencia a explicar"))</f>
        <v/>
      </c>
    </row>
    <row r="610" customFormat="false" ht="15" hidden="true" customHeight="false" outlineLevel="1" collapsed="false">
      <c r="A610" s="11" t="s">
        <v>2507</v>
      </c>
      <c r="B610" s="53" t="str">
        <f aca="false">IF(INDEX(Prod_Nombre,16)="","Producto 16",INDEX(Prod_Nombre,16))&amp;" — costo directo"</f>
        <v>Producto 16 — costo directo</v>
      </c>
      <c r="C610" s="11" t="s">
        <v>508</v>
      </c>
      <c r="D610" s="48" t="str">
        <f aca="false">IF(OR(NOT(ISNUMBER(D146)),NOT(ISNUMBER(D378))),"",D146-D378)</f>
        <v/>
      </c>
      <c r="E610" s="48" t="str">
        <f aca="false">IF(OR(NOT(ISNUMBER(E146)),NOT(ISNUMBER(E378))),"",E146-E378)</f>
        <v/>
      </c>
      <c r="F610" s="48" t="str">
        <f aca="false">IF(OR(NOT(ISNUMBER(F146)),NOT(ISNUMBER(F378))),"",F146-F378)</f>
        <v/>
      </c>
      <c r="G610" s="48" t="str">
        <f aca="false">IF(OR(NOT(ISNUMBER(G146)),NOT(ISNUMBER(G378))),"",G146-G378)</f>
        <v/>
      </c>
      <c r="H610" s="48" t="str">
        <f aca="false">IF(OR(NOT(ISNUMBER(H146)),NOT(ISNUMBER(H378))),"",H146-H378)</f>
        <v/>
      </c>
      <c r="I610" s="48" t="str">
        <f aca="false">IF(OR(NOT(ISNUMBER(I146)),NOT(ISNUMBER(I378))),"",I146-I378)</f>
        <v/>
      </c>
      <c r="J610" s="48" t="str">
        <f aca="false">IF(OR(NOT(ISNUMBER(J146)),NOT(ISNUMBER(J378))),"",J146-J378)</f>
        <v/>
      </c>
      <c r="K610" s="48" t="str">
        <f aca="false">IF(OR(NOT(ISNUMBER(K146)),NOT(ISNUMBER(K378))),"",K146-K378)</f>
        <v/>
      </c>
      <c r="L610" s="48" t="str">
        <f aca="false">IF(OR(NOT(ISNUMBER(L146)),NOT(ISNUMBER(L378))),"",L146-L378)</f>
        <v/>
      </c>
      <c r="M610" s="48" t="str">
        <f aca="false">IF(OR(NOT(ISNUMBER(M146)),NOT(ISNUMBER(M378))),"",M146-M378)</f>
        <v/>
      </c>
      <c r="N610" s="48" t="str">
        <f aca="false">IF(OR(NOT(ISNUMBER(N146)),NOT(ISNUMBER(N378))),"",N146-N378)</f>
        <v/>
      </c>
      <c r="O610" s="54" t="str">
        <f aca="false">IF(OR(NOT(ISNUMBER(O146)),NOT(ISNUMBER(O378))),"",O146-O378)</f>
        <v/>
      </c>
      <c r="P610" s="11" t="str">
        <f aca="false">IF(COUNT(D610:N610)=0,"",IF(AND(MAX(D610:N610)&lt;2,MIN(D610:N610)&gt;-2),"Sin diferencia","Diferencia a explicar"))</f>
        <v/>
      </c>
    </row>
    <row r="611" customFormat="false" ht="15" hidden="true" customHeight="false" outlineLevel="1" collapsed="false">
      <c r="A611" s="11" t="s">
        <v>2508</v>
      </c>
      <c r="B611" s="15" t="s">
        <v>2366</v>
      </c>
      <c r="C611" s="11" t="s">
        <v>544</v>
      </c>
      <c r="D611" s="48" t="str">
        <f aca="false">IF(OR(NOT(ISNUMBER(D147)),NOT(ISNUMBER(D379))),"",D147-D379)</f>
        <v/>
      </c>
      <c r="E611" s="48" t="str">
        <f aca="false">IF(OR(NOT(ISNUMBER(E147)),NOT(ISNUMBER(E379))),"",E147-E379)</f>
        <v/>
      </c>
      <c r="F611" s="48" t="str">
        <f aca="false">IF(OR(NOT(ISNUMBER(F147)),NOT(ISNUMBER(F379))),"",F147-F379)</f>
        <v/>
      </c>
      <c r="G611" s="48" t="str">
        <f aca="false">IF(OR(NOT(ISNUMBER(G147)),NOT(ISNUMBER(G379))),"",G147-G379)</f>
        <v/>
      </c>
      <c r="H611" s="48" t="str">
        <f aca="false">IF(OR(NOT(ISNUMBER(H147)),NOT(ISNUMBER(H379))),"",H147-H379)</f>
        <v/>
      </c>
      <c r="I611" s="48" t="str">
        <f aca="false">IF(OR(NOT(ISNUMBER(I147)),NOT(ISNUMBER(I379))),"",I147-I379)</f>
        <v/>
      </c>
      <c r="J611" s="48" t="str">
        <f aca="false">IF(OR(NOT(ISNUMBER(J147)),NOT(ISNUMBER(J379))),"",J147-J379)</f>
        <v/>
      </c>
      <c r="K611" s="48" t="str">
        <f aca="false">IF(OR(NOT(ISNUMBER(K147)),NOT(ISNUMBER(K379))),"",K147-K379)</f>
        <v/>
      </c>
      <c r="L611" s="48" t="str">
        <f aca="false">IF(OR(NOT(ISNUMBER(L147)),NOT(ISNUMBER(L379))),"",L147-L379)</f>
        <v/>
      </c>
      <c r="M611" s="48" t="str">
        <f aca="false">IF(OR(NOT(ISNUMBER(M147)),NOT(ISNUMBER(M379))),"",M147-M379)</f>
        <v/>
      </c>
      <c r="N611" s="48" t="str">
        <f aca="false">IF(OR(NOT(ISNUMBER(N147)),NOT(ISNUMBER(N379))),"",N147-N379)</f>
        <v/>
      </c>
      <c r="O611" s="54" t="str">
        <f aca="false">IF(OR(NOT(ISNUMBER(O147)),NOT(ISNUMBER(O379))),"",O147-O379)</f>
        <v/>
      </c>
      <c r="P611" s="11" t="str">
        <f aca="false">IF(COUNT(D611:N611)=0,"",IF(AND(MAX(D611:N611)&lt;2,MIN(D611:N611)&gt;-2),"Sin diferencia","Diferencia a explicar"))</f>
        <v/>
      </c>
    </row>
    <row r="612" customFormat="false" ht="15" hidden="true" customHeight="false" outlineLevel="1" collapsed="false">
      <c r="A612" s="11" t="s">
        <v>2509</v>
      </c>
      <c r="B612" s="15" t="s">
        <v>2368</v>
      </c>
      <c r="C612" s="11" t="s">
        <v>508</v>
      </c>
      <c r="D612" s="48" t="str">
        <f aca="false">IF(OR(NOT(ISNUMBER(D148)),NOT(ISNUMBER(D380))),"",D148-D380)</f>
        <v/>
      </c>
      <c r="E612" s="48" t="str">
        <f aca="false">IF(OR(NOT(ISNUMBER(E148)),NOT(ISNUMBER(E380))),"",E148-E380)</f>
        <v/>
      </c>
      <c r="F612" s="48" t="str">
        <f aca="false">IF(OR(NOT(ISNUMBER(F148)),NOT(ISNUMBER(F380))),"",F148-F380)</f>
        <v/>
      </c>
      <c r="G612" s="48" t="str">
        <f aca="false">IF(OR(NOT(ISNUMBER(G148)),NOT(ISNUMBER(G380))),"",G148-G380)</f>
        <v/>
      </c>
      <c r="H612" s="48" t="str">
        <f aca="false">IF(OR(NOT(ISNUMBER(H148)),NOT(ISNUMBER(H380))),"",H148-H380)</f>
        <v/>
      </c>
      <c r="I612" s="48" t="str">
        <f aca="false">IF(OR(NOT(ISNUMBER(I148)),NOT(ISNUMBER(I380))),"",I148-I380)</f>
        <v/>
      </c>
      <c r="J612" s="48" t="str">
        <f aca="false">IF(OR(NOT(ISNUMBER(J148)),NOT(ISNUMBER(J380))),"",J148-J380)</f>
        <v/>
      </c>
      <c r="K612" s="48" t="str">
        <f aca="false">IF(OR(NOT(ISNUMBER(K148)),NOT(ISNUMBER(K380))),"",K148-K380)</f>
        <v/>
      </c>
      <c r="L612" s="48" t="str">
        <f aca="false">IF(OR(NOT(ISNUMBER(L148)),NOT(ISNUMBER(L380))),"",L148-L380)</f>
        <v/>
      </c>
      <c r="M612" s="48" t="str">
        <f aca="false">IF(OR(NOT(ISNUMBER(M148)),NOT(ISNUMBER(M380))),"",M148-M380)</f>
        <v/>
      </c>
      <c r="N612" s="48" t="str">
        <f aca="false">IF(OR(NOT(ISNUMBER(N148)),NOT(ISNUMBER(N380))),"",N148-N380)</f>
        <v/>
      </c>
      <c r="O612" s="54" t="str">
        <f aca="false">IF(OR(NOT(ISNUMBER(O148)),NOT(ISNUMBER(O380))),"",O148-O380)</f>
        <v/>
      </c>
      <c r="P612" s="11" t="str">
        <f aca="false">IF(COUNT(D612:N612)=0,"",IF(AND(MAX(D612:N612)&lt;2,MIN(D612:N612)&gt;-2),"Sin diferencia","Diferencia a explicar"))</f>
        <v/>
      </c>
    </row>
    <row r="613" customFormat="false" ht="15" hidden="true" customHeight="false" outlineLevel="1" collapsed="false">
      <c r="A613" s="11" t="s">
        <v>2510</v>
      </c>
      <c r="B613" s="15" t="s">
        <v>2370</v>
      </c>
      <c r="C613" s="11" t="s">
        <v>748</v>
      </c>
      <c r="D613" s="50" t="str">
        <f aca="false">IF(OR(NOT(ISNUMBER(D149)),NOT(ISNUMBER(D381))),"",D149-D381)</f>
        <v/>
      </c>
      <c r="E613" s="50" t="str">
        <f aca="false">IF(OR(NOT(ISNUMBER(E149)),NOT(ISNUMBER(E381))),"",E149-E381)</f>
        <v/>
      </c>
      <c r="F613" s="50" t="str">
        <f aca="false">IF(OR(NOT(ISNUMBER(F149)),NOT(ISNUMBER(F381))),"",F149-F381)</f>
        <v/>
      </c>
      <c r="G613" s="50" t="str">
        <f aca="false">IF(OR(NOT(ISNUMBER(G149)),NOT(ISNUMBER(G381))),"",G149-G381)</f>
        <v/>
      </c>
      <c r="H613" s="50" t="str">
        <f aca="false">IF(OR(NOT(ISNUMBER(H149)),NOT(ISNUMBER(H381))),"",H149-H381)</f>
        <v/>
      </c>
      <c r="I613" s="50" t="str">
        <f aca="false">IF(OR(NOT(ISNUMBER(I149)),NOT(ISNUMBER(I381))),"",I149-I381)</f>
        <v/>
      </c>
      <c r="J613" s="50" t="str">
        <f aca="false">IF(OR(NOT(ISNUMBER(J149)),NOT(ISNUMBER(J381))),"",J149-J381)</f>
        <v/>
      </c>
      <c r="K613" s="50" t="str">
        <f aca="false">IF(OR(NOT(ISNUMBER(K149)),NOT(ISNUMBER(K381))),"",K149-K381)</f>
        <v/>
      </c>
      <c r="L613" s="50" t="str">
        <f aca="false">IF(OR(NOT(ISNUMBER(L149)),NOT(ISNUMBER(L381))),"",L149-L381)</f>
        <v/>
      </c>
      <c r="M613" s="50" t="str">
        <f aca="false">IF(OR(NOT(ISNUMBER(M149)),NOT(ISNUMBER(M381))),"",M149-M381)</f>
        <v/>
      </c>
      <c r="N613" s="50" t="str">
        <f aca="false">IF(OR(NOT(ISNUMBER(N149)),NOT(ISNUMBER(N381))),"",N149-N381)</f>
        <v/>
      </c>
      <c r="O613" s="68" t="str">
        <f aca="false">IF(OR(NOT(ISNUMBER(O149)),NOT(ISNUMBER(O381))),"",O149-O381)</f>
        <v/>
      </c>
      <c r="P613" s="11" t="str">
        <f aca="false">IF(COUNT(D613:N613)=0,"",IF(AND(MAX(D613:N613)&lt;0.005,MIN(D613:N613)&gt;-0.005),"Sin diferencia","Diferencia a explicar"))</f>
        <v/>
      </c>
    </row>
    <row r="614" customFormat="false" ht="15" hidden="true" customHeight="false" outlineLevel="1" collapsed="false">
      <c r="A614" s="11" t="s">
        <v>2511</v>
      </c>
      <c r="B614" s="15" t="s">
        <v>2372</v>
      </c>
      <c r="C614" s="11" t="s">
        <v>748</v>
      </c>
      <c r="D614" s="50" t="str">
        <f aca="false">IF(OR(NOT(ISNUMBER(D150)),NOT(ISNUMBER(D382))),"",D150-D382)</f>
        <v/>
      </c>
      <c r="E614" s="50" t="str">
        <f aca="false">IF(OR(NOT(ISNUMBER(E150)),NOT(ISNUMBER(E382))),"",E150-E382)</f>
        <v/>
      </c>
      <c r="F614" s="50" t="str">
        <f aca="false">IF(OR(NOT(ISNUMBER(F150)),NOT(ISNUMBER(F382))),"",F150-F382)</f>
        <v/>
      </c>
      <c r="G614" s="50" t="str">
        <f aca="false">IF(OR(NOT(ISNUMBER(G150)),NOT(ISNUMBER(G382))),"",G150-G382)</f>
        <v/>
      </c>
      <c r="H614" s="50" t="str">
        <f aca="false">IF(OR(NOT(ISNUMBER(H150)),NOT(ISNUMBER(H382))),"",H150-H382)</f>
        <v/>
      </c>
      <c r="I614" s="50" t="str">
        <f aca="false">IF(OR(NOT(ISNUMBER(I150)),NOT(ISNUMBER(I382))),"",I150-I382)</f>
        <v/>
      </c>
      <c r="J614" s="50" t="str">
        <f aca="false">IF(OR(NOT(ISNUMBER(J150)),NOT(ISNUMBER(J382))),"",J150-J382)</f>
        <v/>
      </c>
      <c r="K614" s="50" t="str">
        <f aca="false">IF(OR(NOT(ISNUMBER(K150)),NOT(ISNUMBER(K382))),"",K150-K382)</f>
        <v/>
      </c>
      <c r="L614" s="50" t="str">
        <f aca="false">IF(OR(NOT(ISNUMBER(L150)),NOT(ISNUMBER(L382))),"",L150-L382)</f>
        <v/>
      </c>
      <c r="M614" s="50" t="str">
        <f aca="false">IF(OR(NOT(ISNUMBER(M150)),NOT(ISNUMBER(M382))),"",M150-M382)</f>
        <v/>
      </c>
      <c r="N614" s="50" t="str">
        <f aca="false">IF(OR(NOT(ISNUMBER(N150)),NOT(ISNUMBER(N382))),"",N150-N382)</f>
        <v/>
      </c>
      <c r="O614" s="68" t="str">
        <f aca="false">IF(OR(NOT(ISNUMBER(O150)),NOT(ISNUMBER(O382))),"",O150-O382)</f>
        <v/>
      </c>
      <c r="P614" s="11" t="str">
        <f aca="false">IF(COUNT(D614:N614)=0,"",IF(AND(MAX(D614:N614)&lt;0.005,MIN(D614:N614)&gt;-0.005),"Sin diferencia","Diferencia a explicar"))</f>
        <v/>
      </c>
    </row>
    <row r="615" customFormat="false" ht="15" hidden="true" customHeight="false" outlineLevel="1" collapsed="false">
      <c r="A615" s="11" t="s">
        <v>2512</v>
      </c>
      <c r="B615" s="15" t="s">
        <v>2374</v>
      </c>
      <c r="C615" s="11" t="s">
        <v>367</v>
      </c>
      <c r="D615" s="49" t="str">
        <f aca="false">IF(OR(NOT(ISNUMBER(D151)),NOT(ISNUMBER(D383))),"",D151-D383)</f>
        <v/>
      </c>
      <c r="E615" s="49" t="str">
        <f aca="false">IF(OR(NOT(ISNUMBER(E151)),NOT(ISNUMBER(E383))),"",E151-E383)</f>
        <v/>
      </c>
      <c r="F615" s="49" t="str">
        <f aca="false">IF(OR(NOT(ISNUMBER(F151)),NOT(ISNUMBER(F383))),"",F151-F383)</f>
        <v/>
      </c>
      <c r="G615" s="49" t="str">
        <f aca="false">IF(OR(NOT(ISNUMBER(G151)),NOT(ISNUMBER(G383))),"",G151-G383)</f>
        <v/>
      </c>
      <c r="H615" s="49" t="str">
        <f aca="false">IF(OR(NOT(ISNUMBER(H151)),NOT(ISNUMBER(H383))),"",H151-H383)</f>
        <v/>
      </c>
      <c r="I615" s="49" t="str">
        <f aca="false">IF(OR(NOT(ISNUMBER(I151)),NOT(ISNUMBER(I383))),"",I151-I383)</f>
        <v/>
      </c>
      <c r="J615" s="49" t="str">
        <f aca="false">IF(OR(NOT(ISNUMBER(J151)),NOT(ISNUMBER(J383))),"",J151-J383)</f>
        <v/>
      </c>
      <c r="K615" s="49" t="str">
        <f aca="false">IF(OR(NOT(ISNUMBER(K151)),NOT(ISNUMBER(K383))),"",K151-K383)</f>
        <v/>
      </c>
      <c r="L615" s="49" t="str">
        <f aca="false">IF(OR(NOT(ISNUMBER(L151)),NOT(ISNUMBER(L383))),"",L151-L383)</f>
        <v/>
      </c>
      <c r="M615" s="49" t="str">
        <f aca="false">IF(OR(NOT(ISNUMBER(M151)),NOT(ISNUMBER(M383))),"",M151-M383)</f>
        <v/>
      </c>
      <c r="N615" s="49" t="str">
        <f aca="false">IF(OR(NOT(ISNUMBER(N151)),NOT(ISNUMBER(N383))),"",N151-N383)</f>
        <v/>
      </c>
      <c r="O615" s="99" t="str">
        <f aca="false">IF(OR(NOT(ISNUMBER(O151)),NOT(ISNUMBER(O383))),"",O151-O383)</f>
        <v/>
      </c>
      <c r="P615" s="11" t="str">
        <f aca="false">IF(COUNT(D615:N615)=0,"",IF(AND(MAX(D615:N615)&lt;0.0005,MIN(D615:N615)&gt;-0.0005),"Sin diferencia","Diferencia a explicar"))</f>
        <v/>
      </c>
    </row>
    <row r="616" customFormat="false" ht="15" hidden="true" customHeight="false" outlineLevel="1" collapsed="false">
      <c r="A616" s="11" t="s">
        <v>2513</v>
      </c>
      <c r="B616" s="15" t="s">
        <v>2376</v>
      </c>
      <c r="C616" s="11" t="s">
        <v>508</v>
      </c>
      <c r="D616" s="48" t="str">
        <f aca="false">IF(OR(NOT(ISNUMBER(D152)),NOT(ISNUMBER(D384))),"",D152-D384)</f>
        <v/>
      </c>
      <c r="E616" s="48" t="str">
        <f aca="false">IF(OR(NOT(ISNUMBER(E152)),NOT(ISNUMBER(E384))),"",E152-E384)</f>
        <v/>
      </c>
      <c r="F616" s="48" t="str">
        <f aca="false">IF(OR(NOT(ISNUMBER(F152)),NOT(ISNUMBER(F384))),"",F152-F384)</f>
        <v/>
      </c>
      <c r="G616" s="48" t="str">
        <f aca="false">IF(OR(NOT(ISNUMBER(G152)),NOT(ISNUMBER(G384))),"",G152-G384)</f>
        <v/>
      </c>
      <c r="H616" s="48" t="str">
        <f aca="false">IF(OR(NOT(ISNUMBER(H152)),NOT(ISNUMBER(H384))),"",H152-H384)</f>
        <v/>
      </c>
      <c r="I616" s="48" t="str">
        <f aca="false">IF(OR(NOT(ISNUMBER(I152)),NOT(ISNUMBER(I384))),"",I152-I384)</f>
        <v/>
      </c>
      <c r="J616" s="48" t="str">
        <f aca="false">IF(OR(NOT(ISNUMBER(J152)),NOT(ISNUMBER(J384))),"",J152-J384)</f>
        <v/>
      </c>
      <c r="K616" s="48" t="str">
        <f aca="false">IF(OR(NOT(ISNUMBER(K152)),NOT(ISNUMBER(K384))),"",K152-K384)</f>
        <v/>
      </c>
      <c r="L616" s="48" t="str">
        <f aca="false">IF(OR(NOT(ISNUMBER(L152)),NOT(ISNUMBER(L384))),"",L152-L384)</f>
        <v/>
      </c>
      <c r="M616" s="48" t="str">
        <f aca="false">IF(OR(NOT(ISNUMBER(M152)),NOT(ISNUMBER(M384))),"",M152-M384)</f>
        <v/>
      </c>
      <c r="N616" s="48" t="str">
        <f aca="false">IF(OR(NOT(ISNUMBER(N152)),NOT(ISNUMBER(N384))),"",N152-N384)</f>
        <v/>
      </c>
      <c r="O616" s="54" t="str">
        <f aca="false">IF(OR(NOT(ISNUMBER(O152)),NOT(ISNUMBER(O384))),"",O152-O384)</f>
        <v/>
      </c>
      <c r="P616" s="11" t="str">
        <f aca="false">IF(COUNT(D616:N616)=0,"",IF(AND(MAX(D616:N616)&lt;2,MIN(D616:N616)&gt;-2),"Sin diferencia","Diferencia a explicar"))</f>
        <v/>
      </c>
    </row>
    <row r="617" customFormat="false" ht="15" hidden="true" customHeight="false" outlineLevel="1" collapsed="false">
      <c r="A617" s="11" t="s">
        <v>2514</v>
      </c>
      <c r="B617" s="15" t="s">
        <v>2378</v>
      </c>
      <c r="C617" s="11" t="s">
        <v>508</v>
      </c>
      <c r="D617" s="48" t="str">
        <f aca="false">IF(OR(NOT(ISNUMBER(D153)),NOT(ISNUMBER(D385))),"",D153-D385)</f>
        <v/>
      </c>
      <c r="E617" s="48" t="str">
        <f aca="false">IF(OR(NOT(ISNUMBER(E153)),NOT(ISNUMBER(E385))),"",E153-E385)</f>
        <v/>
      </c>
      <c r="F617" s="48" t="str">
        <f aca="false">IF(OR(NOT(ISNUMBER(F153)),NOT(ISNUMBER(F385))),"",F153-F385)</f>
        <v/>
      </c>
      <c r="G617" s="48" t="str">
        <f aca="false">IF(OR(NOT(ISNUMBER(G153)),NOT(ISNUMBER(G385))),"",G153-G385)</f>
        <v/>
      </c>
      <c r="H617" s="48" t="str">
        <f aca="false">IF(OR(NOT(ISNUMBER(H153)),NOT(ISNUMBER(H385))),"",H153-H385)</f>
        <v/>
      </c>
      <c r="I617" s="48" t="str">
        <f aca="false">IF(OR(NOT(ISNUMBER(I153)),NOT(ISNUMBER(I385))),"",I153-I385)</f>
        <v/>
      </c>
      <c r="J617" s="48" t="str">
        <f aca="false">IF(OR(NOT(ISNUMBER(J153)),NOT(ISNUMBER(J385))),"",J153-J385)</f>
        <v/>
      </c>
      <c r="K617" s="48" t="str">
        <f aca="false">IF(OR(NOT(ISNUMBER(K153)),NOT(ISNUMBER(K385))),"",K153-K385)</f>
        <v/>
      </c>
      <c r="L617" s="48" t="str">
        <f aca="false">IF(OR(NOT(ISNUMBER(L153)),NOT(ISNUMBER(L385))),"",L153-L385)</f>
        <v/>
      </c>
      <c r="M617" s="48" t="str">
        <f aca="false">IF(OR(NOT(ISNUMBER(M153)),NOT(ISNUMBER(M385))),"",M153-M385)</f>
        <v/>
      </c>
      <c r="N617" s="48" t="str">
        <f aca="false">IF(OR(NOT(ISNUMBER(N153)),NOT(ISNUMBER(N385))),"",N153-N385)</f>
        <v/>
      </c>
      <c r="O617" s="54" t="str">
        <f aca="false">IF(OR(NOT(ISNUMBER(O153)),NOT(ISNUMBER(O385))),"",O153-O385)</f>
        <v/>
      </c>
      <c r="P617" s="11" t="str">
        <f aca="false">IF(COUNT(D617:N617)=0,"",IF(AND(MAX(D617:N617)&lt;2,MIN(D617:N617)&gt;-2),"Sin diferencia","Diferencia a explicar"))</f>
        <v/>
      </c>
    </row>
    <row r="618" customFormat="false" ht="15" hidden="true" customHeight="false" outlineLevel="1" collapsed="false">
      <c r="A618" s="11" t="s">
        <v>2515</v>
      </c>
      <c r="B618" s="15" t="s">
        <v>2380</v>
      </c>
      <c r="C618" s="11" t="s">
        <v>748</v>
      </c>
      <c r="D618" s="50" t="str">
        <f aca="false">IF(OR(NOT(ISNUMBER(D154)),NOT(ISNUMBER(D386))),"",D154-D386)</f>
        <v/>
      </c>
      <c r="E618" s="50" t="str">
        <f aca="false">IF(OR(NOT(ISNUMBER(E154)),NOT(ISNUMBER(E386))),"",E154-E386)</f>
        <v/>
      </c>
      <c r="F618" s="50" t="str">
        <f aca="false">IF(OR(NOT(ISNUMBER(F154)),NOT(ISNUMBER(F386))),"",F154-F386)</f>
        <v/>
      </c>
      <c r="G618" s="50" t="str">
        <f aca="false">IF(OR(NOT(ISNUMBER(G154)),NOT(ISNUMBER(G386))),"",G154-G386)</f>
        <v/>
      </c>
      <c r="H618" s="50" t="str">
        <f aca="false">IF(OR(NOT(ISNUMBER(H154)),NOT(ISNUMBER(H386))),"",H154-H386)</f>
        <v/>
      </c>
      <c r="I618" s="50" t="str">
        <f aca="false">IF(OR(NOT(ISNUMBER(I154)),NOT(ISNUMBER(I386))),"",I154-I386)</f>
        <v/>
      </c>
      <c r="J618" s="50" t="str">
        <f aca="false">IF(OR(NOT(ISNUMBER(J154)),NOT(ISNUMBER(J386))),"",J154-J386)</f>
        <v/>
      </c>
      <c r="K618" s="50" t="str">
        <f aca="false">IF(OR(NOT(ISNUMBER(K154)),NOT(ISNUMBER(K386))),"",K154-K386)</f>
        <v/>
      </c>
      <c r="L618" s="50" t="str">
        <f aca="false">IF(OR(NOT(ISNUMBER(L154)),NOT(ISNUMBER(L386))),"",L154-L386)</f>
        <v/>
      </c>
      <c r="M618" s="50" t="str">
        <f aca="false">IF(OR(NOT(ISNUMBER(M154)),NOT(ISNUMBER(M386))),"",M154-M386)</f>
        <v/>
      </c>
      <c r="N618" s="50" t="str">
        <f aca="false">IF(OR(NOT(ISNUMBER(N154)),NOT(ISNUMBER(N386))),"",N154-N386)</f>
        <v/>
      </c>
      <c r="O618" s="68" t="str">
        <f aca="false">IF(OR(NOT(ISNUMBER(O154)),NOT(ISNUMBER(O386))),"",O154-O386)</f>
        <v/>
      </c>
      <c r="P618" s="11" t="str">
        <f aca="false">IF(COUNT(D618:N618)=0,"",IF(AND(MAX(D618:N618)&lt;0.005,MIN(D618:N618)&gt;-0.005),"Sin diferencia","Diferencia a explicar"))</f>
        <v/>
      </c>
    </row>
    <row r="619" customFormat="false" ht="15" hidden="true" customHeight="false" outlineLevel="1" collapsed="false">
      <c r="A619" s="11" t="s">
        <v>2516</v>
      </c>
      <c r="B619" s="53" t="str">
        <f aca="false">IF(INDEX(Prod_Nombre,17)="","Producto 17",INDEX(Prod_Nombre,17))&amp;" — costo directo"</f>
        <v>Producto 17 — costo directo</v>
      </c>
      <c r="C619" s="11" t="s">
        <v>508</v>
      </c>
      <c r="D619" s="48" t="str">
        <f aca="false">IF(OR(NOT(ISNUMBER(D155)),NOT(ISNUMBER(D387))),"",D155-D387)</f>
        <v/>
      </c>
      <c r="E619" s="48" t="str">
        <f aca="false">IF(OR(NOT(ISNUMBER(E155)),NOT(ISNUMBER(E387))),"",E155-E387)</f>
        <v/>
      </c>
      <c r="F619" s="48" t="str">
        <f aca="false">IF(OR(NOT(ISNUMBER(F155)),NOT(ISNUMBER(F387))),"",F155-F387)</f>
        <v/>
      </c>
      <c r="G619" s="48" t="str">
        <f aca="false">IF(OR(NOT(ISNUMBER(G155)),NOT(ISNUMBER(G387))),"",G155-G387)</f>
        <v/>
      </c>
      <c r="H619" s="48" t="str">
        <f aca="false">IF(OR(NOT(ISNUMBER(H155)),NOT(ISNUMBER(H387))),"",H155-H387)</f>
        <v/>
      </c>
      <c r="I619" s="48" t="str">
        <f aca="false">IF(OR(NOT(ISNUMBER(I155)),NOT(ISNUMBER(I387))),"",I155-I387)</f>
        <v/>
      </c>
      <c r="J619" s="48" t="str">
        <f aca="false">IF(OR(NOT(ISNUMBER(J155)),NOT(ISNUMBER(J387))),"",J155-J387)</f>
        <v/>
      </c>
      <c r="K619" s="48" t="str">
        <f aca="false">IF(OR(NOT(ISNUMBER(K155)),NOT(ISNUMBER(K387))),"",K155-K387)</f>
        <v/>
      </c>
      <c r="L619" s="48" t="str">
        <f aca="false">IF(OR(NOT(ISNUMBER(L155)),NOT(ISNUMBER(L387))),"",L155-L387)</f>
        <v/>
      </c>
      <c r="M619" s="48" t="str">
        <f aca="false">IF(OR(NOT(ISNUMBER(M155)),NOT(ISNUMBER(M387))),"",M155-M387)</f>
        <v/>
      </c>
      <c r="N619" s="48" t="str">
        <f aca="false">IF(OR(NOT(ISNUMBER(N155)),NOT(ISNUMBER(N387))),"",N155-N387)</f>
        <v/>
      </c>
      <c r="O619" s="54" t="str">
        <f aca="false">IF(OR(NOT(ISNUMBER(O155)),NOT(ISNUMBER(O387))),"",O155-O387)</f>
        <v/>
      </c>
      <c r="P619" s="11" t="str">
        <f aca="false">IF(COUNT(D619:N619)=0,"",IF(AND(MAX(D619:N619)&lt;2,MIN(D619:N619)&gt;-2),"Sin diferencia","Diferencia a explicar"))</f>
        <v/>
      </c>
    </row>
    <row r="620" customFormat="false" ht="15" hidden="true" customHeight="false" outlineLevel="1" collapsed="false">
      <c r="A620" s="11" t="s">
        <v>2517</v>
      </c>
      <c r="B620" s="15" t="s">
        <v>2366</v>
      </c>
      <c r="C620" s="11" t="s">
        <v>544</v>
      </c>
      <c r="D620" s="48" t="str">
        <f aca="false">IF(OR(NOT(ISNUMBER(D156)),NOT(ISNUMBER(D388))),"",D156-D388)</f>
        <v/>
      </c>
      <c r="E620" s="48" t="str">
        <f aca="false">IF(OR(NOT(ISNUMBER(E156)),NOT(ISNUMBER(E388))),"",E156-E388)</f>
        <v/>
      </c>
      <c r="F620" s="48" t="str">
        <f aca="false">IF(OR(NOT(ISNUMBER(F156)),NOT(ISNUMBER(F388))),"",F156-F388)</f>
        <v/>
      </c>
      <c r="G620" s="48" t="str">
        <f aca="false">IF(OR(NOT(ISNUMBER(G156)),NOT(ISNUMBER(G388))),"",G156-G388)</f>
        <v/>
      </c>
      <c r="H620" s="48" t="str">
        <f aca="false">IF(OR(NOT(ISNUMBER(H156)),NOT(ISNUMBER(H388))),"",H156-H388)</f>
        <v/>
      </c>
      <c r="I620" s="48" t="str">
        <f aca="false">IF(OR(NOT(ISNUMBER(I156)),NOT(ISNUMBER(I388))),"",I156-I388)</f>
        <v/>
      </c>
      <c r="J620" s="48" t="str">
        <f aca="false">IF(OR(NOT(ISNUMBER(J156)),NOT(ISNUMBER(J388))),"",J156-J388)</f>
        <v/>
      </c>
      <c r="K620" s="48" t="str">
        <f aca="false">IF(OR(NOT(ISNUMBER(K156)),NOT(ISNUMBER(K388))),"",K156-K388)</f>
        <v/>
      </c>
      <c r="L620" s="48" t="str">
        <f aca="false">IF(OR(NOT(ISNUMBER(L156)),NOT(ISNUMBER(L388))),"",L156-L388)</f>
        <v/>
      </c>
      <c r="M620" s="48" t="str">
        <f aca="false">IF(OR(NOT(ISNUMBER(M156)),NOT(ISNUMBER(M388))),"",M156-M388)</f>
        <v/>
      </c>
      <c r="N620" s="48" t="str">
        <f aca="false">IF(OR(NOT(ISNUMBER(N156)),NOT(ISNUMBER(N388))),"",N156-N388)</f>
        <v/>
      </c>
      <c r="O620" s="54" t="str">
        <f aca="false">IF(OR(NOT(ISNUMBER(O156)),NOT(ISNUMBER(O388))),"",O156-O388)</f>
        <v/>
      </c>
      <c r="P620" s="11" t="str">
        <f aca="false">IF(COUNT(D620:N620)=0,"",IF(AND(MAX(D620:N620)&lt;2,MIN(D620:N620)&gt;-2),"Sin diferencia","Diferencia a explicar"))</f>
        <v/>
      </c>
    </row>
    <row r="621" customFormat="false" ht="15" hidden="true" customHeight="false" outlineLevel="1" collapsed="false">
      <c r="A621" s="11" t="s">
        <v>2518</v>
      </c>
      <c r="B621" s="15" t="s">
        <v>2368</v>
      </c>
      <c r="C621" s="11" t="s">
        <v>508</v>
      </c>
      <c r="D621" s="48" t="str">
        <f aca="false">IF(OR(NOT(ISNUMBER(D157)),NOT(ISNUMBER(D389))),"",D157-D389)</f>
        <v/>
      </c>
      <c r="E621" s="48" t="str">
        <f aca="false">IF(OR(NOT(ISNUMBER(E157)),NOT(ISNUMBER(E389))),"",E157-E389)</f>
        <v/>
      </c>
      <c r="F621" s="48" t="str">
        <f aca="false">IF(OR(NOT(ISNUMBER(F157)),NOT(ISNUMBER(F389))),"",F157-F389)</f>
        <v/>
      </c>
      <c r="G621" s="48" t="str">
        <f aca="false">IF(OR(NOT(ISNUMBER(G157)),NOT(ISNUMBER(G389))),"",G157-G389)</f>
        <v/>
      </c>
      <c r="H621" s="48" t="str">
        <f aca="false">IF(OR(NOT(ISNUMBER(H157)),NOT(ISNUMBER(H389))),"",H157-H389)</f>
        <v/>
      </c>
      <c r="I621" s="48" t="str">
        <f aca="false">IF(OR(NOT(ISNUMBER(I157)),NOT(ISNUMBER(I389))),"",I157-I389)</f>
        <v/>
      </c>
      <c r="J621" s="48" t="str">
        <f aca="false">IF(OR(NOT(ISNUMBER(J157)),NOT(ISNUMBER(J389))),"",J157-J389)</f>
        <v/>
      </c>
      <c r="K621" s="48" t="str">
        <f aca="false">IF(OR(NOT(ISNUMBER(K157)),NOT(ISNUMBER(K389))),"",K157-K389)</f>
        <v/>
      </c>
      <c r="L621" s="48" t="str">
        <f aca="false">IF(OR(NOT(ISNUMBER(L157)),NOT(ISNUMBER(L389))),"",L157-L389)</f>
        <v/>
      </c>
      <c r="M621" s="48" t="str">
        <f aca="false">IF(OR(NOT(ISNUMBER(M157)),NOT(ISNUMBER(M389))),"",M157-M389)</f>
        <v/>
      </c>
      <c r="N621" s="48" t="str">
        <f aca="false">IF(OR(NOT(ISNUMBER(N157)),NOT(ISNUMBER(N389))),"",N157-N389)</f>
        <v/>
      </c>
      <c r="O621" s="54" t="str">
        <f aca="false">IF(OR(NOT(ISNUMBER(O157)),NOT(ISNUMBER(O389))),"",O157-O389)</f>
        <v/>
      </c>
      <c r="P621" s="11" t="str">
        <f aca="false">IF(COUNT(D621:N621)=0,"",IF(AND(MAX(D621:N621)&lt;2,MIN(D621:N621)&gt;-2),"Sin diferencia","Diferencia a explicar"))</f>
        <v/>
      </c>
    </row>
    <row r="622" customFormat="false" ht="15" hidden="true" customHeight="false" outlineLevel="1" collapsed="false">
      <c r="A622" s="11" t="s">
        <v>2519</v>
      </c>
      <c r="B622" s="15" t="s">
        <v>2370</v>
      </c>
      <c r="C622" s="11" t="s">
        <v>748</v>
      </c>
      <c r="D622" s="50" t="str">
        <f aca="false">IF(OR(NOT(ISNUMBER(D158)),NOT(ISNUMBER(D390))),"",D158-D390)</f>
        <v/>
      </c>
      <c r="E622" s="50" t="str">
        <f aca="false">IF(OR(NOT(ISNUMBER(E158)),NOT(ISNUMBER(E390))),"",E158-E390)</f>
        <v/>
      </c>
      <c r="F622" s="50" t="str">
        <f aca="false">IF(OR(NOT(ISNUMBER(F158)),NOT(ISNUMBER(F390))),"",F158-F390)</f>
        <v/>
      </c>
      <c r="G622" s="50" t="str">
        <f aca="false">IF(OR(NOT(ISNUMBER(G158)),NOT(ISNUMBER(G390))),"",G158-G390)</f>
        <v/>
      </c>
      <c r="H622" s="50" t="str">
        <f aca="false">IF(OR(NOT(ISNUMBER(H158)),NOT(ISNUMBER(H390))),"",H158-H390)</f>
        <v/>
      </c>
      <c r="I622" s="50" t="str">
        <f aca="false">IF(OR(NOT(ISNUMBER(I158)),NOT(ISNUMBER(I390))),"",I158-I390)</f>
        <v/>
      </c>
      <c r="J622" s="50" t="str">
        <f aca="false">IF(OR(NOT(ISNUMBER(J158)),NOT(ISNUMBER(J390))),"",J158-J390)</f>
        <v/>
      </c>
      <c r="K622" s="50" t="str">
        <f aca="false">IF(OR(NOT(ISNUMBER(K158)),NOT(ISNUMBER(K390))),"",K158-K390)</f>
        <v/>
      </c>
      <c r="L622" s="50" t="str">
        <f aca="false">IF(OR(NOT(ISNUMBER(L158)),NOT(ISNUMBER(L390))),"",L158-L390)</f>
        <v/>
      </c>
      <c r="M622" s="50" t="str">
        <f aca="false">IF(OR(NOT(ISNUMBER(M158)),NOT(ISNUMBER(M390))),"",M158-M390)</f>
        <v/>
      </c>
      <c r="N622" s="50" t="str">
        <f aca="false">IF(OR(NOT(ISNUMBER(N158)),NOT(ISNUMBER(N390))),"",N158-N390)</f>
        <v/>
      </c>
      <c r="O622" s="68" t="str">
        <f aca="false">IF(OR(NOT(ISNUMBER(O158)),NOT(ISNUMBER(O390))),"",O158-O390)</f>
        <v/>
      </c>
      <c r="P622" s="11" t="str">
        <f aca="false">IF(COUNT(D622:N622)=0,"",IF(AND(MAX(D622:N622)&lt;0.005,MIN(D622:N622)&gt;-0.005),"Sin diferencia","Diferencia a explicar"))</f>
        <v/>
      </c>
    </row>
    <row r="623" customFormat="false" ht="15" hidden="true" customHeight="false" outlineLevel="1" collapsed="false">
      <c r="A623" s="11" t="s">
        <v>2520</v>
      </c>
      <c r="B623" s="15" t="s">
        <v>2372</v>
      </c>
      <c r="C623" s="11" t="s">
        <v>748</v>
      </c>
      <c r="D623" s="50" t="str">
        <f aca="false">IF(OR(NOT(ISNUMBER(D159)),NOT(ISNUMBER(D391))),"",D159-D391)</f>
        <v/>
      </c>
      <c r="E623" s="50" t="str">
        <f aca="false">IF(OR(NOT(ISNUMBER(E159)),NOT(ISNUMBER(E391))),"",E159-E391)</f>
        <v/>
      </c>
      <c r="F623" s="50" t="str">
        <f aca="false">IF(OR(NOT(ISNUMBER(F159)),NOT(ISNUMBER(F391))),"",F159-F391)</f>
        <v/>
      </c>
      <c r="G623" s="50" t="str">
        <f aca="false">IF(OR(NOT(ISNUMBER(G159)),NOT(ISNUMBER(G391))),"",G159-G391)</f>
        <v/>
      </c>
      <c r="H623" s="50" t="str">
        <f aca="false">IF(OR(NOT(ISNUMBER(H159)),NOT(ISNUMBER(H391))),"",H159-H391)</f>
        <v/>
      </c>
      <c r="I623" s="50" t="str">
        <f aca="false">IF(OR(NOT(ISNUMBER(I159)),NOT(ISNUMBER(I391))),"",I159-I391)</f>
        <v/>
      </c>
      <c r="J623" s="50" t="str">
        <f aca="false">IF(OR(NOT(ISNUMBER(J159)),NOT(ISNUMBER(J391))),"",J159-J391)</f>
        <v/>
      </c>
      <c r="K623" s="50" t="str">
        <f aca="false">IF(OR(NOT(ISNUMBER(K159)),NOT(ISNUMBER(K391))),"",K159-K391)</f>
        <v/>
      </c>
      <c r="L623" s="50" t="str">
        <f aca="false">IF(OR(NOT(ISNUMBER(L159)),NOT(ISNUMBER(L391))),"",L159-L391)</f>
        <v/>
      </c>
      <c r="M623" s="50" t="str">
        <f aca="false">IF(OR(NOT(ISNUMBER(M159)),NOT(ISNUMBER(M391))),"",M159-M391)</f>
        <v/>
      </c>
      <c r="N623" s="50" t="str">
        <f aca="false">IF(OR(NOT(ISNUMBER(N159)),NOT(ISNUMBER(N391))),"",N159-N391)</f>
        <v/>
      </c>
      <c r="O623" s="68" t="str">
        <f aca="false">IF(OR(NOT(ISNUMBER(O159)),NOT(ISNUMBER(O391))),"",O159-O391)</f>
        <v/>
      </c>
      <c r="P623" s="11" t="str">
        <f aca="false">IF(COUNT(D623:N623)=0,"",IF(AND(MAX(D623:N623)&lt;0.005,MIN(D623:N623)&gt;-0.005),"Sin diferencia","Diferencia a explicar"))</f>
        <v/>
      </c>
    </row>
    <row r="624" customFormat="false" ht="15" hidden="true" customHeight="false" outlineLevel="1" collapsed="false">
      <c r="A624" s="11" t="s">
        <v>2521</v>
      </c>
      <c r="B624" s="15" t="s">
        <v>2374</v>
      </c>
      <c r="C624" s="11" t="s">
        <v>367</v>
      </c>
      <c r="D624" s="49" t="str">
        <f aca="false">IF(OR(NOT(ISNUMBER(D160)),NOT(ISNUMBER(D392))),"",D160-D392)</f>
        <v/>
      </c>
      <c r="E624" s="49" t="str">
        <f aca="false">IF(OR(NOT(ISNUMBER(E160)),NOT(ISNUMBER(E392))),"",E160-E392)</f>
        <v/>
      </c>
      <c r="F624" s="49" t="str">
        <f aca="false">IF(OR(NOT(ISNUMBER(F160)),NOT(ISNUMBER(F392))),"",F160-F392)</f>
        <v/>
      </c>
      <c r="G624" s="49" t="str">
        <f aca="false">IF(OR(NOT(ISNUMBER(G160)),NOT(ISNUMBER(G392))),"",G160-G392)</f>
        <v/>
      </c>
      <c r="H624" s="49" t="str">
        <f aca="false">IF(OR(NOT(ISNUMBER(H160)),NOT(ISNUMBER(H392))),"",H160-H392)</f>
        <v/>
      </c>
      <c r="I624" s="49" t="str">
        <f aca="false">IF(OR(NOT(ISNUMBER(I160)),NOT(ISNUMBER(I392))),"",I160-I392)</f>
        <v/>
      </c>
      <c r="J624" s="49" t="str">
        <f aca="false">IF(OR(NOT(ISNUMBER(J160)),NOT(ISNUMBER(J392))),"",J160-J392)</f>
        <v/>
      </c>
      <c r="K624" s="49" t="str">
        <f aca="false">IF(OR(NOT(ISNUMBER(K160)),NOT(ISNUMBER(K392))),"",K160-K392)</f>
        <v/>
      </c>
      <c r="L624" s="49" t="str">
        <f aca="false">IF(OR(NOT(ISNUMBER(L160)),NOT(ISNUMBER(L392))),"",L160-L392)</f>
        <v/>
      </c>
      <c r="M624" s="49" t="str">
        <f aca="false">IF(OR(NOT(ISNUMBER(M160)),NOT(ISNUMBER(M392))),"",M160-M392)</f>
        <v/>
      </c>
      <c r="N624" s="49" t="str">
        <f aca="false">IF(OR(NOT(ISNUMBER(N160)),NOT(ISNUMBER(N392))),"",N160-N392)</f>
        <v/>
      </c>
      <c r="O624" s="99" t="str">
        <f aca="false">IF(OR(NOT(ISNUMBER(O160)),NOT(ISNUMBER(O392))),"",O160-O392)</f>
        <v/>
      </c>
      <c r="P624" s="11" t="str">
        <f aca="false">IF(COUNT(D624:N624)=0,"",IF(AND(MAX(D624:N624)&lt;0.0005,MIN(D624:N624)&gt;-0.0005),"Sin diferencia","Diferencia a explicar"))</f>
        <v/>
      </c>
    </row>
    <row r="625" customFormat="false" ht="15" hidden="true" customHeight="false" outlineLevel="1" collapsed="false">
      <c r="A625" s="11" t="s">
        <v>2522</v>
      </c>
      <c r="B625" s="15" t="s">
        <v>2376</v>
      </c>
      <c r="C625" s="11" t="s">
        <v>508</v>
      </c>
      <c r="D625" s="48" t="str">
        <f aca="false">IF(OR(NOT(ISNUMBER(D161)),NOT(ISNUMBER(D393))),"",D161-D393)</f>
        <v/>
      </c>
      <c r="E625" s="48" t="str">
        <f aca="false">IF(OR(NOT(ISNUMBER(E161)),NOT(ISNUMBER(E393))),"",E161-E393)</f>
        <v/>
      </c>
      <c r="F625" s="48" t="str">
        <f aca="false">IF(OR(NOT(ISNUMBER(F161)),NOT(ISNUMBER(F393))),"",F161-F393)</f>
        <v/>
      </c>
      <c r="G625" s="48" t="str">
        <f aca="false">IF(OR(NOT(ISNUMBER(G161)),NOT(ISNUMBER(G393))),"",G161-G393)</f>
        <v/>
      </c>
      <c r="H625" s="48" t="str">
        <f aca="false">IF(OR(NOT(ISNUMBER(H161)),NOT(ISNUMBER(H393))),"",H161-H393)</f>
        <v/>
      </c>
      <c r="I625" s="48" t="str">
        <f aca="false">IF(OR(NOT(ISNUMBER(I161)),NOT(ISNUMBER(I393))),"",I161-I393)</f>
        <v/>
      </c>
      <c r="J625" s="48" t="str">
        <f aca="false">IF(OR(NOT(ISNUMBER(J161)),NOT(ISNUMBER(J393))),"",J161-J393)</f>
        <v/>
      </c>
      <c r="K625" s="48" t="str">
        <f aca="false">IF(OR(NOT(ISNUMBER(K161)),NOT(ISNUMBER(K393))),"",K161-K393)</f>
        <v/>
      </c>
      <c r="L625" s="48" t="str">
        <f aca="false">IF(OR(NOT(ISNUMBER(L161)),NOT(ISNUMBER(L393))),"",L161-L393)</f>
        <v/>
      </c>
      <c r="M625" s="48" t="str">
        <f aca="false">IF(OR(NOT(ISNUMBER(M161)),NOT(ISNUMBER(M393))),"",M161-M393)</f>
        <v/>
      </c>
      <c r="N625" s="48" t="str">
        <f aca="false">IF(OR(NOT(ISNUMBER(N161)),NOT(ISNUMBER(N393))),"",N161-N393)</f>
        <v/>
      </c>
      <c r="O625" s="54" t="str">
        <f aca="false">IF(OR(NOT(ISNUMBER(O161)),NOT(ISNUMBER(O393))),"",O161-O393)</f>
        <v/>
      </c>
      <c r="P625" s="11" t="str">
        <f aca="false">IF(COUNT(D625:N625)=0,"",IF(AND(MAX(D625:N625)&lt;2,MIN(D625:N625)&gt;-2),"Sin diferencia","Diferencia a explicar"))</f>
        <v/>
      </c>
    </row>
    <row r="626" customFormat="false" ht="15" hidden="true" customHeight="false" outlineLevel="1" collapsed="false">
      <c r="A626" s="11" t="s">
        <v>2523</v>
      </c>
      <c r="B626" s="15" t="s">
        <v>2378</v>
      </c>
      <c r="C626" s="11" t="s">
        <v>508</v>
      </c>
      <c r="D626" s="48" t="str">
        <f aca="false">IF(OR(NOT(ISNUMBER(D162)),NOT(ISNUMBER(D394))),"",D162-D394)</f>
        <v/>
      </c>
      <c r="E626" s="48" t="str">
        <f aca="false">IF(OR(NOT(ISNUMBER(E162)),NOT(ISNUMBER(E394))),"",E162-E394)</f>
        <v/>
      </c>
      <c r="F626" s="48" t="str">
        <f aca="false">IF(OR(NOT(ISNUMBER(F162)),NOT(ISNUMBER(F394))),"",F162-F394)</f>
        <v/>
      </c>
      <c r="G626" s="48" t="str">
        <f aca="false">IF(OR(NOT(ISNUMBER(G162)),NOT(ISNUMBER(G394))),"",G162-G394)</f>
        <v/>
      </c>
      <c r="H626" s="48" t="str">
        <f aca="false">IF(OR(NOT(ISNUMBER(H162)),NOT(ISNUMBER(H394))),"",H162-H394)</f>
        <v/>
      </c>
      <c r="I626" s="48" t="str">
        <f aca="false">IF(OR(NOT(ISNUMBER(I162)),NOT(ISNUMBER(I394))),"",I162-I394)</f>
        <v/>
      </c>
      <c r="J626" s="48" t="str">
        <f aca="false">IF(OR(NOT(ISNUMBER(J162)),NOT(ISNUMBER(J394))),"",J162-J394)</f>
        <v/>
      </c>
      <c r="K626" s="48" t="str">
        <f aca="false">IF(OR(NOT(ISNUMBER(K162)),NOT(ISNUMBER(K394))),"",K162-K394)</f>
        <v/>
      </c>
      <c r="L626" s="48" t="str">
        <f aca="false">IF(OR(NOT(ISNUMBER(L162)),NOT(ISNUMBER(L394))),"",L162-L394)</f>
        <v/>
      </c>
      <c r="M626" s="48" t="str">
        <f aca="false">IF(OR(NOT(ISNUMBER(M162)),NOT(ISNUMBER(M394))),"",M162-M394)</f>
        <v/>
      </c>
      <c r="N626" s="48" t="str">
        <f aca="false">IF(OR(NOT(ISNUMBER(N162)),NOT(ISNUMBER(N394))),"",N162-N394)</f>
        <v/>
      </c>
      <c r="O626" s="54" t="str">
        <f aca="false">IF(OR(NOT(ISNUMBER(O162)),NOT(ISNUMBER(O394))),"",O162-O394)</f>
        <v/>
      </c>
      <c r="P626" s="11" t="str">
        <f aca="false">IF(COUNT(D626:N626)=0,"",IF(AND(MAX(D626:N626)&lt;2,MIN(D626:N626)&gt;-2),"Sin diferencia","Diferencia a explicar"))</f>
        <v/>
      </c>
    </row>
    <row r="627" customFormat="false" ht="15" hidden="true" customHeight="false" outlineLevel="1" collapsed="false">
      <c r="A627" s="11" t="s">
        <v>2524</v>
      </c>
      <c r="B627" s="15" t="s">
        <v>2380</v>
      </c>
      <c r="C627" s="11" t="s">
        <v>748</v>
      </c>
      <c r="D627" s="50" t="str">
        <f aca="false">IF(OR(NOT(ISNUMBER(D163)),NOT(ISNUMBER(D395))),"",D163-D395)</f>
        <v/>
      </c>
      <c r="E627" s="50" t="str">
        <f aca="false">IF(OR(NOT(ISNUMBER(E163)),NOT(ISNUMBER(E395))),"",E163-E395)</f>
        <v/>
      </c>
      <c r="F627" s="50" t="str">
        <f aca="false">IF(OR(NOT(ISNUMBER(F163)),NOT(ISNUMBER(F395))),"",F163-F395)</f>
        <v/>
      </c>
      <c r="G627" s="50" t="str">
        <f aca="false">IF(OR(NOT(ISNUMBER(G163)),NOT(ISNUMBER(G395))),"",G163-G395)</f>
        <v/>
      </c>
      <c r="H627" s="50" t="str">
        <f aca="false">IF(OR(NOT(ISNUMBER(H163)),NOT(ISNUMBER(H395))),"",H163-H395)</f>
        <v/>
      </c>
      <c r="I627" s="50" t="str">
        <f aca="false">IF(OR(NOT(ISNUMBER(I163)),NOT(ISNUMBER(I395))),"",I163-I395)</f>
        <v/>
      </c>
      <c r="J627" s="50" t="str">
        <f aca="false">IF(OR(NOT(ISNUMBER(J163)),NOT(ISNUMBER(J395))),"",J163-J395)</f>
        <v/>
      </c>
      <c r="K627" s="50" t="str">
        <f aca="false">IF(OR(NOT(ISNUMBER(K163)),NOT(ISNUMBER(K395))),"",K163-K395)</f>
        <v/>
      </c>
      <c r="L627" s="50" t="str">
        <f aca="false">IF(OR(NOT(ISNUMBER(L163)),NOT(ISNUMBER(L395))),"",L163-L395)</f>
        <v/>
      </c>
      <c r="M627" s="50" t="str">
        <f aca="false">IF(OR(NOT(ISNUMBER(M163)),NOT(ISNUMBER(M395))),"",M163-M395)</f>
        <v/>
      </c>
      <c r="N627" s="50" t="str">
        <f aca="false">IF(OR(NOT(ISNUMBER(N163)),NOT(ISNUMBER(N395))),"",N163-N395)</f>
        <v/>
      </c>
      <c r="O627" s="68" t="str">
        <f aca="false">IF(OR(NOT(ISNUMBER(O163)),NOT(ISNUMBER(O395))),"",O163-O395)</f>
        <v/>
      </c>
      <c r="P627" s="11" t="str">
        <f aca="false">IF(COUNT(D627:N627)=0,"",IF(AND(MAX(D627:N627)&lt;0.005,MIN(D627:N627)&gt;-0.005),"Sin diferencia","Diferencia a explicar"))</f>
        <v/>
      </c>
    </row>
    <row r="628" customFormat="false" ht="15" hidden="true" customHeight="false" outlineLevel="1" collapsed="false">
      <c r="A628" s="11" t="s">
        <v>2525</v>
      </c>
      <c r="B628" s="53" t="str">
        <f aca="false">IF(INDEX(Prod_Nombre,18)="","Producto 18",INDEX(Prod_Nombre,18))&amp;" — costo directo"</f>
        <v>Producto 18 — costo directo</v>
      </c>
      <c r="C628" s="11" t="s">
        <v>508</v>
      </c>
      <c r="D628" s="48" t="str">
        <f aca="false">IF(OR(NOT(ISNUMBER(D164)),NOT(ISNUMBER(D396))),"",D164-D396)</f>
        <v/>
      </c>
      <c r="E628" s="48" t="str">
        <f aca="false">IF(OR(NOT(ISNUMBER(E164)),NOT(ISNUMBER(E396))),"",E164-E396)</f>
        <v/>
      </c>
      <c r="F628" s="48" t="str">
        <f aca="false">IF(OR(NOT(ISNUMBER(F164)),NOT(ISNUMBER(F396))),"",F164-F396)</f>
        <v/>
      </c>
      <c r="G628" s="48" t="str">
        <f aca="false">IF(OR(NOT(ISNUMBER(G164)),NOT(ISNUMBER(G396))),"",G164-G396)</f>
        <v/>
      </c>
      <c r="H628" s="48" t="str">
        <f aca="false">IF(OR(NOT(ISNUMBER(H164)),NOT(ISNUMBER(H396))),"",H164-H396)</f>
        <v/>
      </c>
      <c r="I628" s="48" t="str">
        <f aca="false">IF(OR(NOT(ISNUMBER(I164)),NOT(ISNUMBER(I396))),"",I164-I396)</f>
        <v/>
      </c>
      <c r="J628" s="48" t="str">
        <f aca="false">IF(OR(NOT(ISNUMBER(J164)),NOT(ISNUMBER(J396))),"",J164-J396)</f>
        <v/>
      </c>
      <c r="K628" s="48" t="str">
        <f aca="false">IF(OR(NOT(ISNUMBER(K164)),NOT(ISNUMBER(K396))),"",K164-K396)</f>
        <v/>
      </c>
      <c r="L628" s="48" t="str">
        <f aca="false">IF(OR(NOT(ISNUMBER(L164)),NOT(ISNUMBER(L396))),"",L164-L396)</f>
        <v/>
      </c>
      <c r="M628" s="48" t="str">
        <f aca="false">IF(OR(NOT(ISNUMBER(M164)),NOT(ISNUMBER(M396))),"",M164-M396)</f>
        <v/>
      </c>
      <c r="N628" s="48" t="str">
        <f aca="false">IF(OR(NOT(ISNUMBER(N164)),NOT(ISNUMBER(N396))),"",N164-N396)</f>
        <v/>
      </c>
      <c r="O628" s="54" t="str">
        <f aca="false">IF(OR(NOT(ISNUMBER(O164)),NOT(ISNUMBER(O396))),"",O164-O396)</f>
        <v/>
      </c>
      <c r="P628" s="11" t="str">
        <f aca="false">IF(COUNT(D628:N628)=0,"",IF(AND(MAX(D628:N628)&lt;2,MIN(D628:N628)&gt;-2),"Sin diferencia","Diferencia a explicar"))</f>
        <v/>
      </c>
    </row>
    <row r="629" customFormat="false" ht="15" hidden="true" customHeight="false" outlineLevel="1" collapsed="false">
      <c r="A629" s="11" t="s">
        <v>2526</v>
      </c>
      <c r="B629" s="15" t="s">
        <v>2366</v>
      </c>
      <c r="C629" s="11" t="s">
        <v>544</v>
      </c>
      <c r="D629" s="48" t="str">
        <f aca="false">IF(OR(NOT(ISNUMBER(D165)),NOT(ISNUMBER(D397))),"",D165-D397)</f>
        <v/>
      </c>
      <c r="E629" s="48" t="str">
        <f aca="false">IF(OR(NOT(ISNUMBER(E165)),NOT(ISNUMBER(E397))),"",E165-E397)</f>
        <v/>
      </c>
      <c r="F629" s="48" t="str">
        <f aca="false">IF(OR(NOT(ISNUMBER(F165)),NOT(ISNUMBER(F397))),"",F165-F397)</f>
        <v/>
      </c>
      <c r="G629" s="48" t="str">
        <f aca="false">IF(OR(NOT(ISNUMBER(G165)),NOT(ISNUMBER(G397))),"",G165-G397)</f>
        <v/>
      </c>
      <c r="H629" s="48" t="str">
        <f aca="false">IF(OR(NOT(ISNUMBER(H165)),NOT(ISNUMBER(H397))),"",H165-H397)</f>
        <v/>
      </c>
      <c r="I629" s="48" t="str">
        <f aca="false">IF(OR(NOT(ISNUMBER(I165)),NOT(ISNUMBER(I397))),"",I165-I397)</f>
        <v/>
      </c>
      <c r="J629" s="48" t="str">
        <f aca="false">IF(OR(NOT(ISNUMBER(J165)),NOT(ISNUMBER(J397))),"",J165-J397)</f>
        <v/>
      </c>
      <c r="K629" s="48" t="str">
        <f aca="false">IF(OR(NOT(ISNUMBER(K165)),NOT(ISNUMBER(K397))),"",K165-K397)</f>
        <v/>
      </c>
      <c r="L629" s="48" t="str">
        <f aca="false">IF(OR(NOT(ISNUMBER(L165)),NOT(ISNUMBER(L397))),"",L165-L397)</f>
        <v/>
      </c>
      <c r="M629" s="48" t="str">
        <f aca="false">IF(OR(NOT(ISNUMBER(M165)),NOT(ISNUMBER(M397))),"",M165-M397)</f>
        <v/>
      </c>
      <c r="N629" s="48" t="str">
        <f aca="false">IF(OR(NOT(ISNUMBER(N165)),NOT(ISNUMBER(N397))),"",N165-N397)</f>
        <v/>
      </c>
      <c r="O629" s="54" t="str">
        <f aca="false">IF(OR(NOT(ISNUMBER(O165)),NOT(ISNUMBER(O397))),"",O165-O397)</f>
        <v/>
      </c>
      <c r="P629" s="11" t="str">
        <f aca="false">IF(COUNT(D629:N629)=0,"",IF(AND(MAX(D629:N629)&lt;2,MIN(D629:N629)&gt;-2),"Sin diferencia","Diferencia a explicar"))</f>
        <v/>
      </c>
    </row>
    <row r="630" customFormat="false" ht="15" hidden="true" customHeight="false" outlineLevel="1" collapsed="false">
      <c r="A630" s="11" t="s">
        <v>2527</v>
      </c>
      <c r="B630" s="15" t="s">
        <v>2368</v>
      </c>
      <c r="C630" s="11" t="s">
        <v>508</v>
      </c>
      <c r="D630" s="48" t="str">
        <f aca="false">IF(OR(NOT(ISNUMBER(D166)),NOT(ISNUMBER(D398))),"",D166-D398)</f>
        <v/>
      </c>
      <c r="E630" s="48" t="str">
        <f aca="false">IF(OR(NOT(ISNUMBER(E166)),NOT(ISNUMBER(E398))),"",E166-E398)</f>
        <v/>
      </c>
      <c r="F630" s="48" t="str">
        <f aca="false">IF(OR(NOT(ISNUMBER(F166)),NOT(ISNUMBER(F398))),"",F166-F398)</f>
        <v/>
      </c>
      <c r="G630" s="48" t="str">
        <f aca="false">IF(OR(NOT(ISNUMBER(G166)),NOT(ISNUMBER(G398))),"",G166-G398)</f>
        <v/>
      </c>
      <c r="H630" s="48" t="str">
        <f aca="false">IF(OR(NOT(ISNUMBER(H166)),NOT(ISNUMBER(H398))),"",H166-H398)</f>
        <v/>
      </c>
      <c r="I630" s="48" t="str">
        <f aca="false">IF(OR(NOT(ISNUMBER(I166)),NOT(ISNUMBER(I398))),"",I166-I398)</f>
        <v/>
      </c>
      <c r="J630" s="48" t="str">
        <f aca="false">IF(OR(NOT(ISNUMBER(J166)),NOT(ISNUMBER(J398))),"",J166-J398)</f>
        <v/>
      </c>
      <c r="K630" s="48" t="str">
        <f aca="false">IF(OR(NOT(ISNUMBER(K166)),NOT(ISNUMBER(K398))),"",K166-K398)</f>
        <v/>
      </c>
      <c r="L630" s="48" t="str">
        <f aca="false">IF(OR(NOT(ISNUMBER(L166)),NOT(ISNUMBER(L398))),"",L166-L398)</f>
        <v/>
      </c>
      <c r="M630" s="48" t="str">
        <f aca="false">IF(OR(NOT(ISNUMBER(M166)),NOT(ISNUMBER(M398))),"",M166-M398)</f>
        <v/>
      </c>
      <c r="N630" s="48" t="str">
        <f aca="false">IF(OR(NOT(ISNUMBER(N166)),NOT(ISNUMBER(N398))),"",N166-N398)</f>
        <v/>
      </c>
      <c r="O630" s="54" t="str">
        <f aca="false">IF(OR(NOT(ISNUMBER(O166)),NOT(ISNUMBER(O398))),"",O166-O398)</f>
        <v/>
      </c>
      <c r="P630" s="11" t="str">
        <f aca="false">IF(COUNT(D630:N630)=0,"",IF(AND(MAX(D630:N630)&lt;2,MIN(D630:N630)&gt;-2),"Sin diferencia","Diferencia a explicar"))</f>
        <v/>
      </c>
    </row>
    <row r="631" customFormat="false" ht="15" hidden="true" customHeight="false" outlineLevel="1" collapsed="false">
      <c r="A631" s="11" t="s">
        <v>2528</v>
      </c>
      <c r="B631" s="15" t="s">
        <v>2370</v>
      </c>
      <c r="C631" s="11" t="s">
        <v>748</v>
      </c>
      <c r="D631" s="50" t="str">
        <f aca="false">IF(OR(NOT(ISNUMBER(D167)),NOT(ISNUMBER(D399))),"",D167-D399)</f>
        <v/>
      </c>
      <c r="E631" s="50" t="str">
        <f aca="false">IF(OR(NOT(ISNUMBER(E167)),NOT(ISNUMBER(E399))),"",E167-E399)</f>
        <v/>
      </c>
      <c r="F631" s="50" t="str">
        <f aca="false">IF(OR(NOT(ISNUMBER(F167)),NOT(ISNUMBER(F399))),"",F167-F399)</f>
        <v/>
      </c>
      <c r="G631" s="50" t="str">
        <f aca="false">IF(OR(NOT(ISNUMBER(G167)),NOT(ISNUMBER(G399))),"",G167-G399)</f>
        <v/>
      </c>
      <c r="H631" s="50" t="str">
        <f aca="false">IF(OR(NOT(ISNUMBER(H167)),NOT(ISNUMBER(H399))),"",H167-H399)</f>
        <v/>
      </c>
      <c r="I631" s="50" t="str">
        <f aca="false">IF(OR(NOT(ISNUMBER(I167)),NOT(ISNUMBER(I399))),"",I167-I399)</f>
        <v/>
      </c>
      <c r="J631" s="50" t="str">
        <f aca="false">IF(OR(NOT(ISNUMBER(J167)),NOT(ISNUMBER(J399))),"",J167-J399)</f>
        <v/>
      </c>
      <c r="K631" s="50" t="str">
        <f aca="false">IF(OR(NOT(ISNUMBER(K167)),NOT(ISNUMBER(K399))),"",K167-K399)</f>
        <v/>
      </c>
      <c r="L631" s="50" t="str">
        <f aca="false">IF(OR(NOT(ISNUMBER(L167)),NOT(ISNUMBER(L399))),"",L167-L399)</f>
        <v/>
      </c>
      <c r="M631" s="50" t="str">
        <f aca="false">IF(OR(NOT(ISNUMBER(M167)),NOT(ISNUMBER(M399))),"",M167-M399)</f>
        <v/>
      </c>
      <c r="N631" s="50" t="str">
        <f aca="false">IF(OR(NOT(ISNUMBER(N167)),NOT(ISNUMBER(N399))),"",N167-N399)</f>
        <v/>
      </c>
      <c r="O631" s="68" t="str">
        <f aca="false">IF(OR(NOT(ISNUMBER(O167)),NOT(ISNUMBER(O399))),"",O167-O399)</f>
        <v/>
      </c>
      <c r="P631" s="11" t="str">
        <f aca="false">IF(COUNT(D631:N631)=0,"",IF(AND(MAX(D631:N631)&lt;0.005,MIN(D631:N631)&gt;-0.005),"Sin diferencia","Diferencia a explicar"))</f>
        <v/>
      </c>
    </row>
    <row r="632" customFormat="false" ht="15" hidden="true" customHeight="false" outlineLevel="1" collapsed="false">
      <c r="A632" s="11" t="s">
        <v>2529</v>
      </c>
      <c r="B632" s="15" t="s">
        <v>2372</v>
      </c>
      <c r="C632" s="11" t="s">
        <v>748</v>
      </c>
      <c r="D632" s="50" t="str">
        <f aca="false">IF(OR(NOT(ISNUMBER(D168)),NOT(ISNUMBER(D400))),"",D168-D400)</f>
        <v/>
      </c>
      <c r="E632" s="50" t="str">
        <f aca="false">IF(OR(NOT(ISNUMBER(E168)),NOT(ISNUMBER(E400))),"",E168-E400)</f>
        <v/>
      </c>
      <c r="F632" s="50" t="str">
        <f aca="false">IF(OR(NOT(ISNUMBER(F168)),NOT(ISNUMBER(F400))),"",F168-F400)</f>
        <v/>
      </c>
      <c r="G632" s="50" t="str">
        <f aca="false">IF(OR(NOT(ISNUMBER(G168)),NOT(ISNUMBER(G400))),"",G168-G400)</f>
        <v/>
      </c>
      <c r="H632" s="50" t="str">
        <f aca="false">IF(OR(NOT(ISNUMBER(H168)),NOT(ISNUMBER(H400))),"",H168-H400)</f>
        <v/>
      </c>
      <c r="I632" s="50" t="str">
        <f aca="false">IF(OR(NOT(ISNUMBER(I168)),NOT(ISNUMBER(I400))),"",I168-I400)</f>
        <v/>
      </c>
      <c r="J632" s="50" t="str">
        <f aca="false">IF(OR(NOT(ISNUMBER(J168)),NOT(ISNUMBER(J400))),"",J168-J400)</f>
        <v/>
      </c>
      <c r="K632" s="50" t="str">
        <f aca="false">IF(OR(NOT(ISNUMBER(K168)),NOT(ISNUMBER(K400))),"",K168-K400)</f>
        <v/>
      </c>
      <c r="L632" s="50" t="str">
        <f aca="false">IF(OR(NOT(ISNUMBER(L168)),NOT(ISNUMBER(L400))),"",L168-L400)</f>
        <v/>
      </c>
      <c r="M632" s="50" t="str">
        <f aca="false">IF(OR(NOT(ISNUMBER(M168)),NOT(ISNUMBER(M400))),"",M168-M400)</f>
        <v/>
      </c>
      <c r="N632" s="50" t="str">
        <f aca="false">IF(OR(NOT(ISNUMBER(N168)),NOT(ISNUMBER(N400))),"",N168-N400)</f>
        <v/>
      </c>
      <c r="O632" s="68" t="str">
        <f aca="false">IF(OR(NOT(ISNUMBER(O168)),NOT(ISNUMBER(O400))),"",O168-O400)</f>
        <v/>
      </c>
      <c r="P632" s="11" t="str">
        <f aca="false">IF(COUNT(D632:N632)=0,"",IF(AND(MAX(D632:N632)&lt;0.005,MIN(D632:N632)&gt;-0.005),"Sin diferencia","Diferencia a explicar"))</f>
        <v/>
      </c>
    </row>
    <row r="633" customFormat="false" ht="15" hidden="true" customHeight="false" outlineLevel="1" collapsed="false">
      <c r="A633" s="11" t="s">
        <v>2530</v>
      </c>
      <c r="B633" s="15" t="s">
        <v>2374</v>
      </c>
      <c r="C633" s="11" t="s">
        <v>367</v>
      </c>
      <c r="D633" s="49" t="str">
        <f aca="false">IF(OR(NOT(ISNUMBER(D169)),NOT(ISNUMBER(D401))),"",D169-D401)</f>
        <v/>
      </c>
      <c r="E633" s="49" t="str">
        <f aca="false">IF(OR(NOT(ISNUMBER(E169)),NOT(ISNUMBER(E401))),"",E169-E401)</f>
        <v/>
      </c>
      <c r="F633" s="49" t="str">
        <f aca="false">IF(OR(NOT(ISNUMBER(F169)),NOT(ISNUMBER(F401))),"",F169-F401)</f>
        <v/>
      </c>
      <c r="G633" s="49" t="str">
        <f aca="false">IF(OR(NOT(ISNUMBER(G169)),NOT(ISNUMBER(G401))),"",G169-G401)</f>
        <v/>
      </c>
      <c r="H633" s="49" t="str">
        <f aca="false">IF(OR(NOT(ISNUMBER(H169)),NOT(ISNUMBER(H401))),"",H169-H401)</f>
        <v/>
      </c>
      <c r="I633" s="49" t="str">
        <f aca="false">IF(OR(NOT(ISNUMBER(I169)),NOT(ISNUMBER(I401))),"",I169-I401)</f>
        <v/>
      </c>
      <c r="J633" s="49" t="str">
        <f aca="false">IF(OR(NOT(ISNUMBER(J169)),NOT(ISNUMBER(J401))),"",J169-J401)</f>
        <v/>
      </c>
      <c r="K633" s="49" t="str">
        <f aca="false">IF(OR(NOT(ISNUMBER(K169)),NOT(ISNUMBER(K401))),"",K169-K401)</f>
        <v/>
      </c>
      <c r="L633" s="49" t="str">
        <f aca="false">IF(OR(NOT(ISNUMBER(L169)),NOT(ISNUMBER(L401))),"",L169-L401)</f>
        <v/>
      </c>
      <c r="M633" s="49" t="str">
        <f aca="false">IF(OR(NOT(ISNUMBER(M169)),NOT(ISNUMBER(M401))),"",M169-M401)</f>
        <v/>
      </c>
      <c r="N633" s="49" t="str">
        <f aca="false">IF(OR(NOT(ISNUMBER(N169)),NOT(ISNUMBER(N401))),"",N169-N401)</f>
        <v/>
      </c>
      <c r="O633" s="99" t="str">
        <f aca="false">IF(OR(NOT(ISNUMBER(O169)),NOT(ISNUMBER(O401))),"",O169-O401)</f>
        <v/>
      </c>
      <c r="P633" s="11" t="str">
        <f aca="false">IF(COUNT(D633:N633)=0,"",IF(AND(MAX(D633:N633)&lt;0.0005,MIN(D633:N633)&gt;-0.0005),"Sin diferencia","Diferencia a explicar"))</f>
        <v/>
      </c>
    </row>
    <row r="634" customFormat="false" ht="15" hidden="true" customHeight="false" outlineLevel="1" collapsed="false">
      <c r="A634" s="11" t="s">
        <v>2531</v>
      </c>
      <c r="B634" s="15" t="s">
        <v>2376</v>
      </c>
      <c r="C634" s="11" t="s">
        <v>508</v>
      </c>
      <c r="D634" s="48" t="str">
        <f aca="false">IF(OR(NOT(ISNUMBER(D170)),NOT(ISNUMBER(D402))),"",D170-D402)</f>
        <v/>
      </c>
      <c r="E634" s="48" t="str">
        <f aca="false">IF(OR(NOT(ISNUMBER(E170)),NOT(ISNUMBER(E402))),"",E170-E402)</f>
        <v/>
      </c>
      <c r="F634" s="48" t="str">
        <f aca="false">IF(OR(NOT(ISNUMBER(F170)),NOT(ISNUMBER(F402))),"",F170-F402)</f>
        <v/>
      </c>
      <c r="G634" s="48" t="str">
        <f aca="false">IF(OR(NOT(ISNUMBER(G170)),NOT(ISNUMBER(G402))),"",G170-G402)</f>
        <v/>
      </c>
      <c r="H634" s="48" t="str">
        <f aca="false">IF(OR(NOT(ISNUMBER(H170)),NOT(ISNUMBER(H402))),"",H170-H402)</f>
        <v/>
      </c>
      <c r="I634" s="48" t="str">
        <f aca="false">IF(OR(NOT(ISNUMBER(I170)),NOT(ISNUMBER(I402))),"",I170-I402)</f>
        <v/>
      </c>
      <c r="J634" s="48" t="str">
        <f aca="false">IF(OR(NOT(ISNUMBER(J170)),NOT(ISNUMBER(J402))),"",J170-J402)</f>
        <v/>
      </c>
      <c r="K634" s="48" t="str">
        <f aca="false">IF(OR(NOT(ISNUMBER(K170)),NOT(ISNUMBER(K402))),"",K170-K402)</f>
        <v/>
      </c>
      <c r="L634" s="48" t="str">
        <f aca="false">IF(OR(NOT(ISNUMBER(L170)),NOT(ISNUMBER(L402))),"",L170-L402)</f>
        <v/>
      </c>
      <c r="M634" s="48" t="str">
        <f aca="false">IF(OR(NOT(ISNUMBER(M170)),NOT(ISNUMBER(M402))),"",M170-M402)</f>
        <v/>
      </c>
      <c r="N634" s="48" t="str">
        <f aca="false">IF(OR(NOT(ISNUMBER(N170)),NOT(ISNUMBER(N402))),"",N170-N402)</f>
        <v/>
      </c>
      <c r="O634" s="54" t="str">
        <f aca="false">IF(OR(NOT(ISNUMBER(O170)),NOT(ISNUMBER(O402))),"",O170-O402)</f>
        <v/>
      </c>
      <c r="P634" s="11" t="str">
        <f aca="false">IF(COUNT(D634:N634)=0,"",IF(AND(MAX(D634:N634)&lt;2,MIN(D634:N634)&gt;-2),"Sin diferencia","Diferencia a explicar"))</f>
        <v/>
      </c>
    </row>
    <row r="635" customFormat="false" ht="15" hidden="true" customHeight="false" outlineLevel="1" collapsed="false">
      <c r="A635" s="11" t="s">
        <v>2532</v>
      </c>
      <c r="B635" s="15" t="s">
        <v>2378</v>
      </c>
      <c r="C635" s="11" t="s">
        <v>508</v>
      </c>
      <c r="D635" s="48" t="str">
        <f aca="false">IF(OR(NOT(ISNUMBER(D171)),NOT(ISNUMBER(D403))),"",D171-D403)</f>
        <v/>
      </c>
      <c r="E635" s="48" t="str">
        <f aca="false">IF(OR(NOT(ISNUMBER(E171)),NOT(ISNUMBER(E403))),"",E171-E403)</f>
        <v/>
      </c>
      <c r="F635" s="48" t="str">
        <f aca="false">IF(OR(NOT(ISNUMBER(F171)),NOT(ISNUMBER(F403))),"",F171-F403)</f>
        <v/>
      </c>
      <c r="G635" s="48" t="str">
        <f aca="false">IF(OR(NOT(ISNUMBER(G171)),NOT(ISNUMBER(G403))),"",G171-G403)</f>
        <v/>
      </c>
      <c r="H635" s="48" t="str">
        <f aca="false">IF(OR(NOT(ISNUMBER(H171)),NOT(ISNUMBER(H403))),"",H171-H403)</f>
        <v/>
      </c>
      <c r="I635" s="48" t="str">
        <f aca="false">IF(OR(NOT(ISNUMBER(I171)),NOT(ISNUMBER(I403))),"",I171-I403)</f>
        <v/>
      </c>
      <c r="J635" s="48" t="str">
        <f aca="false">IF(OR(NOT(ISNUMBER(J171)),NOT(ISNUMBER(J403))),"",J171-J403)</f>
        <v/>
      </c>
      <c r="K635" s="48" t="str">
        <f aca="false">IF(OR(NOT(ISNUMBER(K171)),NOT(ISNUMBER(K403))),"",K171-K403)</f>
        <v/>
      </c>
      <c r="L635" s="48" t="str">
        <f aca="false">IF(OR(NOT(ISNUMBER(L171)),NOT(ISNUMBER(L403))),"",L171-L403)</f>
        <v/>
      </c>
      <c r="M635" s="48" t="str">
        <f aca="false">IF(OR(NOT(ISNUMBER(M171)),NOT(ISNUMBER(M403))),"",M171-M403)</f>
        <v/>
      </c>
      <c r="N635" s="48" t="str">
        <f aca="false">IF(OR(NOT(ISNUMBER(N171)),NOT(ISNUMBER(N403))),"",N171-N403)</f>
        <v/>
      </c>
      <c r="O635" s="54" t="str">
        <f aca="false">IF(OR(NOT(ISNUMBER(O171)),NOT(ISNUMBER(O403))),"",O171-O403)</f>
        <v/>
      </c>
      <c r="P635" s="11" t="str">
        <f aca="false">IF(COUNT(D635:N635)=0,"",IF(AND(MAX(D635:N635)&lt;2,MIN(D635:N635)&gt;-2),"Sin diferencia","Diferencia a explicar"))</f>
        <v/>
      </c>
    </row>
    <row r="636" customFormat="false" ht="15" hidden="true" customHeight="false" outlineLevel="1" collapsed="false">
      <c r="A636" s="11" t="s">
        <v>2533</v>
      </c>
      <c r="B636" s="15" t="s">
        <v>2380</v>
      </c>
      <c r="C636" s="11" t="s">
        <v>748</v>
      </c>
      <c r="D636" s="50" t="str">
        <f aca="false">IF(OR(NOT(ISNUMBER(D172)),NOT(ISNUMBER(D404))),"",D172-D404)</f>
        <v/>
      </c>
      <c r="E636" s="50" t="str">
        <f aca="false">IF(OR(NOT(ISNUMBER(E172)),NOT(ISNUMBER(E404))),"",E172-E404)</f>
        <v/>
      </c>
      <c r="F636" s="50" t="str">
        <f aca="false">IF(OR(NOT(ISNUMBER(F172)),NOT(ISNUMBER(F404))),"",F172-F404)</f>
        <v/>
      </c>
      <c r="G636" s="50" t="str">
        <f aca="false">IF(OR(NOT(ISNUMBER(G172)),NOT(ISNUMBER(G404))),"",G172-G404)</f>
        <v/>
      </c>
      <c r="H636" s="50" t="str">
        <f aca="false">IF(OR(NOT(ISNUMBER(H172)),NOT(ISNUMBER(H404))),"",H172-H404)</f>
        <v/>
      </c>
      <c r="I636" s="50" t="str">
        <f aca="false">IF(OR(NOT(ISNUMBER(I172)),NOT(ISNUMBER(I404))),"",I172-I404)</f>
        <v/>
      </c>
      <c r="J636" s="50" t="str">
        <f aca="false">IF(OR(NOT(ISNUMBER(J172)),NOT(ISNUMBER(J404))),"",J172-J404)</f>
        <v/>
      </c>
      <c r="K636" s="50" t="str">
        <f aca="false">IF(OR(NOT(ISNUMBER(K172)),NOT(ISNUMBER(K404))),"",K172-K404)</f>
        <v/>
      </c>
      <c r="L636" s="50" t="str">
        <f aca="false">IF(OR(NOT(ISNUMBER(L172)),NOT(ISNUMBER(L404))),"",L172-L404)</f>
        <v/>
      </c>
      <c r="M636" s="50" t="str">
        <f aca="false">IF(OR(NOT(ISNUMBER(M172)),NOT(ISNUMBER(M404))),"",M172-M404)</f>
        <v/>
      </c>
      <c r="N636" s="50" t="str">
        <f aca="false">IF(OR(NOT(ISNUMBER(N172)),NOT(ISNUMBER(N404))),"",N172-N404)</f>
        <v/>
      </c>
      <c r="O636" s="68" t="str">
        <f aca="false">IF(OR(NOT(ISNUMBER(O172)),NOT(ISNUMBER(O404))),"",O172-O404)</f>
        <v/>
      </c>
      <c r="P636" s="11" t="str">
        <f aca="false">IF(COUNT(D636:N636)=0,"",IF(AND(MAX(D636:N636)&lt;0.005,MIN(D636:N636)&gt;-0.005),"Sin diferencia","Diferencia a explicar"))</f>
        <v/>
      </c>
    </row>
    <row r="637" customFormat="false" ht="15" hidden="true" customHeight="false" outlineLevel="1" collapsed="false">
      <c r="A637" s="11" t="s">
        <v>2534</v>
      </c>
      <c r="B637" s="53" t="str">
        <f aca="false">IF(INDEX(Prod_Nombre,19)="","Producto 19",INDEX(Prod_Nombre,19))&amp;" — costo directo"</f>
        <v>Producto 19 — costo directo</v>
      </c>
      <c r="C637" s="11" t="s">
        <v>508</v>
      </c>
      <c r="D637" s="48" t="str">
        <f aca="false">IF(OR(NOT(ISNUMBER(D173)),NOT(ISNUMBER(D405))),"",D173-D405)</f>
        <v/>
      </c>
      <c r="E637" s="48" t="str">
        <f aca="false">IF(OR(NOT(ISNUMBER(E173)),NOT(ISNUMBER(E405))),"",E173-E405)</f>
        <v/>
      </c>
      <c r="F637" s="48" t="str">
        <f aca="false">IF(OR(NOT(ISNUMBER(F173)),NOT(ISNUMBER(F405))),"",F173-F405)</f>
        <v/>
      </c>
      <c r="G637" s="48" t="str">
        <f aca="false">IF(OR(NOT(ISNUMBER(G173)),NOT(ISNUMBER(G405))),"",G173-G405)</f>
        <v/>
      </c>
      <c r="H637" s="48" t="str">
        <f aca="false">IF(OR(NOT(ISNUMBER(H173)),NOT(ISNUMBER(H405))),"",H173-H405)</f>
        <v/>
      </c>
      <c r="I637" s="48" t="str">
        <f aca="false">IF(OR(NOT(ISNUMBER(I173)),NOT(ISNUMBER(I405))),"",I173-I405)</f>
        <v/>
      </c>
      <c r="J637" s="48" t="str">
        <f aca="false">IF(OR(NOT(ISNUMBER(J173)),NOT(ISNUMBER(J405))),"",J173-J405)</f>
        <v/>
      </c>
      <c r="K637" s="48" t="str">
        <f aca="false">IF(OR(NOT(ISNUMBER(K173)),NOT(ISNUMBER(K405))),"",K173-K405)</f>
        <v/>
      </c>
      <c r="L637" s="48" t="str">
        <f aca="false">IF(OR(NOT(ISNUMBER(L173)),NOT(ISNUMBER(L405))),"",L173-L405)</f>
        <v/>
      </c>
      <c r="M637" s="48" t="str">
        <f aca="false">IF(OR(NOT(ISNUMBER(M173)),NOT(ISNUMBER(M405))),"",M173-M405)</f>
        <v/>
      </c>
      <c r="N637" s="48" t="str">
        <f aca="false">IF(OR(NOT(ISNUMBER(N173)),NOT(ISNUMBER(N405))),"",N173-N405)</f>
        <v/>
      </c>
      <c r="O637" s="54" t="str">
        <f aca="false">IF(OR(NOT(ISNUMBER(O173)),NOT(ISNUMBER(O405))),"",O173-O405)</f>
        <v/>
      </c>
      <c r="P637" s="11" t="str">
        <f aca="false">IF(COUNT(D637:N637)=0,"",IF(AND(MAX(D637:N637)&lt;2,MIN(D637:N637)&gt;-2),"Sin diferencia","Diferencia a explicar"))</f>
        <v/>
      </c>
    </row>
    <row r="638" customFormat="false" ht="15" hidden="true" customHeight="false" outlineLevel="1" collapsed="false">
      <c r="A638" s="11" t="s">
        <v>2535</v>
      </c>
      <c r="B638" s="15" t="s">
        <v>2366</v>
      </c>
      <c r="C638" s="11" t="s">
        <v>544</v>
      </c>
      <c r="D638" s="48" t="str">
        <f aca="false">IF(OR(NOT(ISNUMBER(D174)),NOT(ISNUMBER(D406))),"",D174-D406)</f>
        <v/>
      </c>
      <c r="E638" s="48" t="str">
        <f aca="false">IF(OR(NOT(ISNUMBER(E174)),NOT(ISNUMBER(E406))),"",E174-E406)</f>
        <v/>
      </c>
      <c r="F638" s="48" t="str">
        <f aca="false">IF(OR(NOT(ISNUMBER(F174)),NOT(ISNUMBER(F406))),"",F174-F406)</f>
        <v/>
      </c>
      <c r="G638" s="48" t="str">
        <f aca="false">IF(OR(NOT(ISNUMBER(G174)),NOT(ISNUMBER(G406))),"",G174-G406)</f>
        <v/>
      </c>
      <c r="H638" s="48" t="str">
        <f aca="false">IF(OR(NOT(ISNUMBER(H174)),NOT(ISNUMBER(H406))),"",H174-H406)</f>
        <v/>
      </c>
      <c r="I638" s="48" t="str">
        <f aca="false">IF(OR(NOT(ISNUMBER(I174)),NOT(ISNUMBER(I406))),"",I174-I406)</f>
        <v/>
      </c>
      <c r="J638" s="48" t="str">
        <f aca="false">IF(OR(NOT(ISNUMBER(J174)),NOT(ISNUMBER(J406))),"",J174-J406)</f>
        <v/>
      </c>
      <c r="K638" s="48" t="str">
        <f aca="false">IF(OR(NOT(ISNUMBER(K174)),NOT(ISNUMBER(K406))),"",K174-K406)</f>
        <v/>
      </c>
      <c r="L638" s="48" t="str">
        <f aca="false">IF(OR(NOT(ISNUMBER(L174)),NOT(ISNUMBER(L406))),"",L174-L406)</f>
        <v/>
      </c>
      <c r="M638" s="48" t="str">
        <f aca="false">IF(OR(NOT(ISNUMBER(M174)),NOT(ISNUMBER(M406))),"",M174-M406)</f>
        <v/>
      </c>
      <c r="N638" s="48" t="str">
        <f aca="false">IF(OR(NOT(ISNUMBER(N174)),NOT(ISNUMBER(N406))),"",N174-N406)</f>
        <v/>
      </c>
      <c r="O638" s="54" t="str">
        <f aca="false">IF(OR(NOT(ISNUMBER(O174)),NOT(ISNUMBER(O406))),"",O174-O406)</f>
        <v/>
      </c>
      <c r="P638" s="11" t="str">
        <f aca="false">IF(COUNT(D638:N638)=0,"",IF(AND(MAX(D638:N638)&lt;2,MIN(D638:N638)&gt;-2),"Sin diferencia","Diferencia a explicar"))</f>
        <v/>
      </c>
    </row>
    <row r="639" customFormat="false" ht="15" hidden="true" customHeight="false" outlineLevel="1" collapsed="false">
      <c r="A639" s="11" t="s">
        <v>2536</v>
      </c>
      <c r="B639" s="15" t="s">
        <v>2368</v>
      </c>
      <c r="C639" s="11" t="s">
        <v>508</v>
      </c>
      <c r="D639" s="48" t="str">
        <f aca="false">IF(OR(NOT(ISNUMBER(D175)),NOT(ISNUMBER(D407))),"",D175-D407)</f>
        <v/>
      </c>
      <c r="E639" s="48" t="str">
        <f aca="false">IF(OR(NOT(ISNUMBER(E175)),NOT(ISNUMBER(E407))),"",E175-E407)</f>
        <v/>
      </c>
      <c r="F639" s="48" t="str">
        <f aca="false">IF(OR(NOT(ISNUMBER(F175)),NOT(ISNUMBER(F407))),"",F175-F407)</f>
        <v/>
      </c>
      <c r="G639" s="48" t="str">
        <f aca="false">IF(OR(NOT(ISNUMBER(G175)),NOT(ISNUMBER(G407))),"",G175-G407)</f>
        <v/>
      </c>
      <c r="H639" s="48" t="str">
        <f aca="false">IF(OR(NOT(ISNUMBER(H175)),NOT(ISNUMBER(H407))),"",H175-H407)</f>
        <v/>
      </c>
      <c r="I639" s="48" t="str">
        <f aca="false">IF(OR(NOT(ISNUMBER(I175)),NOT(ISNUMBER(I407))),"",I175-I407)</f>
        <v/>
      </c>
      <c r="J639" s="48" t="str">
        <f aca="false">IF(OR(NOT(ISNUMBER(J175)),NOT(ISNUMBER(J407))),"",J175-J407)</f>
        <v/>
      </c>
      <c r="K639" s="48" t="str">
        <f aca="false">IF(OR(NOT(ISNUMBER(K175)),NOT(ISNUMBER(K407))),"",K175-K407)</f>
        <v/>
      </c>
      <c r="L639" s="48" t="str">
        <f aca="false">IF(OR(NOT(ISNUMBER(L175)),NOT(ISNUMBER(L407))),"",L175-L407)</f>
        <v/>
      </c>
      <c r="M639" s="48" t="str">
        <f aca="false">IF(OR(NOT(ISNUMBER(M175)),NOT(ISNUMBER(M407))),"",M175-M407)</f>
        <v/>
      </c>
      <c r="N639" s="48" t="str">
        <f aca="false">IF(OR(NOT(ISNUMBER(N175)),NOT(ISNUMBER(N407))),"",N175-N407)</f>
        <v/>
      </c>
      <c r="O639" s="54" t="str">
        <f aca="false">IF(OR(NOT(ISNUMBER(O175)),NOT(ISNUMBER(O407))),"",O175-O407)</f>
        <v/>
      </c>
      <c r="P639" s="11" t="str">
        <f aca="false">IF(COUNT(D639:N639)=0,"",IF(AND(MAX(D639:N639)&lt;2,MIN(D639:N639)&gt;-2),"Sin diferencia","Diferencia a explicar"))</f>
        <v/>
      </c>
    </row>
    <row r="640" customFormat="false" ht="15" hidden="true" customHeight="false" outlineLevel="1" collapsed="false">
      <c r="A640" s="11" t="s">
        <v>2537</v>
      </c>
      <c r="B640" s="15" t="s">
        <v>2370</v>
      </c>
      <c r="C640" s="11" t="s">
        <v>748</v>
      </c>
      <c r="D640" s="50" t="str">
        <f aca="false">IF(OR(NOT(ISNUMBER(D176)),NOT(ISNUMBER(D408))),"",D176-D408)</f>
        <v/>
      </c>
      <c r="E640" s="50" t="str">
        <f aca="false">IF(OR(NOT(ISNUMBER(E176)),NOT(ISNUMBER(E408))),"",E176-E408)</f>
        <v/>
      </c>
      <c r="F640" s="50" t="str">
        <f aca="false">IF(OR(NOT(ISNUMBER(F176)),NOT(ISNUMBER(F408))),"",F176-F408)</f>
        <v/>
      </c>
      <c r="G640" s="50" t="str">
        <f aca="false">IF(OR(NOT(ISNUMBER(G176)),NOT(ISNUMBER(G408))),"",G176-G408)</f>
        <v/>
      </c>
      <c r="H640" s="50" t="str">
        <f aca="false">IF(OR(NOT(ISNUMBER(H176)),NOT(ISNUMBER(H408))),"",H176-H408)</f>
        <v/>
      </c>
      <c r="I640" s="50" t="str">
        <f aca="false">IF(OR(NOT(ISNUMBER(I176)),NOT(ISNUMBER(I408))),"",I176-I408)</f>
        <v/>
      </c>
      <c r="J640" s="50" t="str">
        <f aca="false">IF(OR(NOT(ISNUMBER(J176)),NOT(ISNUMBER(J408))),"",J176-J408)</f>
        <v/>
      </c>
      <c r="K640" s="50" t="str">
        <f aca="false">IF(OR(NOT(ISNUMBER(K176)),NOT(ISNUMBER(K408))),"",K176-K408)</f>
        <v/>
      </c>
      <c r="L640" s="50" t="str">
        <f aca="false">IF(OR(NOT(ISNUMBER(L176)),NOT(ISNUMBER(L408))),"",L176-L408)</f>
        <v/>
      </c>
      <c r="M640" s="50" t="str">
        <f aca="false">IF(OR(NOT(ISNUMBER(M176)),NOT(ISNUMBER(M408))),"",M176-M408)</f>
        <v/>
      </c>
      <c r="N640" s="50" t="str">
        <f aca="false">IF(OR(NOT(ISNUMBER(N176)),NOT(ISNUMBER(N408))),"",N176-N408)</f>
        <v/>
      </c>
      <c r="O640" s="68" t="str">
        <f aca="false">IF(OR(NOT(ISNUMBER(O176)),NOT(ISNUMBER(O408))),"",O176-O408)</f>
        <v/>
      </c>
      <c r="P640" s="11" t="str">
        <f aca="false">IF(COUNT(D640:N640)=0,"",IF(AND(MAX(D640:N640)&lt;0.005,MIN(D640:N640)&gt;-0.005),"Sin diferencia","Diferencia a explicar"))</f>
        <v/>
      </c>
    </row>
    <row r="641" customFormat="false" ht="15" hidden="true" customHeight="false" outlineLevel="1" collapsed="false">
      <c r="A641" s="11" t="s">
        <v>2538</v>
      </c>
      <c r="B641" s="15" t="s">
        <v>2372</v>
      </c>
      <c r="C641" s="11" t="s">
        <v>748</v>
      </c>
      <c r="D641" s="50" t="str">
        <f aca="false">IF(OR(NOT(ISNUMBER(D177)),NOT(ISNUMBER(D409))),"",D177-D409)</f>
        <v/>
      </c>
      <c r="E641" s="50" t="str">
        <f aca="false">IF(OR(NOT(ISNUMBER(E177)),NOT(ISNUMBER(E409))),"",E177-E409)</f>
        <v/>
      </c>
      <c r="F641" s="50" t="str">
        <f aca="false">IF(OR(NOT(ISNUMBER(F177)),NOT(ISNUMBER(F409))),"",F177-F409)</f>
        <v/>
      </c>
      <c r="G641" s="50" t="str">
        <f aca="false">IF(OR(NOT(ISNUMBER(G177)),NOT(ISNUMBER(G409))),"",G177-G409)</f>
        <v/>
      </c>
      <c r="H641" s="50" t="str">
        <f aca="false">IF(OR(NOT(ISNUMBER(H177)),NOT(ISNUMBER(H409))),"",H177-H409)</f>
        <v/>
      </c>
      <c r="I641" s="50" t="str">
        <f aca="false">IF(OR(NOT(ISNUMBER(I177)),NOT(ISNUMBER(I409))),"",I177-I409)</f>
        <v/>
      </c>
      <c r="J641" s="50" t="str">
        <f aca="false">IF(OR(NOT(ISNUMBER(J177)),NOT(ISNUMBER(J409))),"",J177-J409)</f>
        <v/>
      </c>
      <c r="K641" s="50" t="str">
        <f aca="false">IF(OR(NOT(ISNUMBER(K177)),NOT(ISNUMBER(K409))),"",K177-K409)</f>
        <v/>
      </c>
      <c r="L641" s="50" t="str">
        <f aca="false">IF(OR(NOT(ISNUMBER(L177)),NOT(ISNUMBER(L409))),"",L177-L409)</f>
        <v/>
      </c>
      <c r="M641" s="50" t="str">
        <f aca="false">IF(OR(NOT(ISNUMBER(M177)),NOT(ISNUMBER(M409))),"",M177-M409)</f>
        <v/>
      </c>
      <c r="N641" s="50" t="str">
        <f aca="false">IF(OR(NOT(ISNUMBER(N177)),NOT(ISNUMBER(N409))),"",N177-N409)</f>
        <v/>
      </c>
      <c r="O641" s="68" t="str">
        <f aca="false">IF(OR(NOT(ISNUMBER(O177)),NOT(ISNUMBER(O409))),"",O177-O409)</f>
        <v/>
      </c>
      <c r="P641" s="11" t="str">
        <f aca="false">IF(COUNT(D641:N641)=0,"",IF(AND(MAX(D641:N641)&lt;0.005,MIN(D641:N641)&gt;-0.005),"Sin diferencia","Diferencia a explicar"))</f>
        <v/>
      </c>
    </row>
    <row r="642" customFormat="false" ht="15" hidden="true" customHeight="false" outlineLevel="1" collapsed="false">
      <c r="A642" s="11" t="s">
        <v>2539</v>
      </c>
      <c r="B642" s="15" t="s">
        <v>2374</v>
      </c>
      <c r="C642" s="11" t="s">
        <v>367</v>
      </c>
      <c r="D642" s="49" t="str">
        <f aca="false">IF(OR(NOT(ISNUMBER(D178)),NOT(ISNUMBER(D410))),"",D178-D410)</f>
        <v/>
      </c>
      <c r="E642" s="49" t="str">
        <f aca="false">IF(OR(NOT(ISNUMBER(E178)),NOT(ISNUMBER(E410))),"",E178-E410)</f>
        <v/>
      </c>
      <c r="F642" s="49" t="str">
        <f aca="false">IF(OR(NOT(ISNUMBER(F178)),NOT(ISNUMBER(F410))),"",F178-F410)</f>
        <v/>
      </c>
      <c r="G642" s="49" t="str">
        <f aca="false">IF(OR(NOT(ISNUMBER(G178)),NOT(ISNUMBER(G410))),"",G178-G410)</f>
        <v/>
      </c>
      <c r="H642" s="49" t="str">
        <f aca="false">IF(OR(NOT(ISNUMBER(H178)),NOT(ISNUMBER(H410))),"",H178-H410)</f>
        <v/>
      </c>
      <c r="I642" s="49" t="str">
        <f aca="false">IF(OR(NOT(ISNUMBER(I178)),NOT(ISNUMBER(I410))),"",I178-I410)</f>
        <v/>
      </c>
      <c r="J642" s="49" t="str">
        <f aca="false">IF(OR(NOT(ISNUMBER(J178)),NOT(ISNUMBER(J410))),"",J178-J410)</f>
        <v/>
      </c>
      <c r="K642" s="49" t="str">
        <f aca="false">IF(OR(NOT(ISNUMBER(K178)),NOT(ISNUMBER(K410))),"",K178-K410)</f>
        <v/>
      </c>
      <c r="L642" s="49" t="str">
        <f aca="false">IF(OR(NOT(ISNUMBER(L178)),NOT(ISNUMBER(L410))),"",L178-L410)</f>
        <v/>
      </c>
      <c r="M642" s="49" t="str">
        <f aca="false">IF(OR(NOT(ISNUMBER(M178)),NOT(ISNUMBER(M410))),"",M178-M410)</f>
        <v/>
      </c>
      <c r="N642" s="49" t="str">
        <f aca="false">IF(OR(NOT(ISNUMBER(N178)),NOT(ISNUMBER(N410))),"",N178-N410)</f>
        <v/>
      </c>
      <c r="O642" s="99" t="str">
        <f aca="false">IF(OR(NOT(ISNUMBER(O178)),NOT(ISNUMBER(O410))),"",O178-O410)</f>
        <v/>
      </c>
      <c r="P642" s="11" t="str">
        <f aca="false">IF(COUNT(D642:N642)=0,"",IF(AND(MAX(D642:N642)&lt;0.0005,MIN(D642:N642)&gt;-0.0005),"Sin diferencia","Diferencia a explicar"))</f>
        <v/>
      </c>
    </row>
    <row r="643" customFormat="false" ht="15" hidden="true" customHeight="false" outlineLevel="1" collapsed="false">
      <c r="A643" s="11" t="s">
        <v>2540</v>
      </c>
      <c r="B643" s="15" t="s">
        <v>2376</v>
      </c>
      <c r="C643" s="11" t="s">
        <v>508</v>
      </c>
      <c r="D643" s="48" t="str">
        <f aca="false">IF(OR(NOT(ISNUMBER(D179)),NOT(ISNUMBER(D411))),"",D179-D411)</f>
        <v/>
      </c>
      <c r="E643" s="48" t="str">
        <f aca="false">IF(OR(NOT(ISNUMBER(E179)),NOT(ISNUMBER(E411))),"",E179-E411)</f>
        <v/>
      </c>
      <c r="F643" s="48" t="str">
        <f aca="false">IF(OR(NOT(ISNUMBER(F179)),NOT(ISNUMBER(F411))),"",F179-F411)</f>
        <v/>
      </c>
      <c r="G643" s="48" t="str">
        <f aca="false">IF(OR(NOT(ISNUMBER(G179)),NOT(ISNUMBER(G411))),"",G179-G411)</f>
        <v/>
      </c>
      <c r="H643" s="48" t="str">
        <f aca="false">IF(OR(NOT(ISNUMBER(H179)),NOT(ISNUMBER(H411))),"",H179-H411)</f>
        <v/>
      </c>
      <c r="I643" s="48" t="str">
        <f aca="false">IF(OR(NOT(ISNUMBER(I179)),NOT(ISNUMBER(I411))),"",I179-I411)</f>
        <v/>
      </c>
      <c r="J643" s="48" t="str">
        <f aca="false">IF(OR(NOT(ISNUMBER(J179)),NOT(ISNUMBER(J411))),"",J179-J411)</f>
        <v/>
      </c>
      <c r="K643" s="48" t="str">
        <f aca="false">IF(OR(NOT(ISNUMBER(K179)),NOT(ISNUMBER(K411))),"",K179-K411)</f>
        <v/>
      </c>
      <c r="L643" s="48" t="str">
        <f aca="false">IF(OR(NOT(ISNUMBER(L179)),NOT(ISNUMBER(L411))),"",L179-L411)</f>
        <v/>
      </c>
      <c r="M643" s="48" t="str">
        <f aca="false">IF(OR(NOT(ISNUMBER(M179)),NOT(ISNUMBER(M411))),"",M179-M411)</f>
        <v/>
      </c>
      <c r="N643" s="48" t="str">
        <f aca="false">IF(OR(NOT(ISNUMBER(N179)),NOT(ISNUMBER(N411))),"",N179-N411)</f>
        <v/>
      </c>
      <c r="O643" s="54" t="str">
        <f aca="false">IF(OR(NOT(ISNUMBER(O179)),NOT(ISNUMBER(O411))),"",O179-O411)</f>
        <v/>
      </c>
      <c r="P643" s="11" t="str">
        <f aca="false">IF(COUNT(D643:N643)=0,"",IF(AND(MAX(D643:N643)&lt;2,MIN(D643:N643)&gt;-2),"Sin diferencia","Diferencia a explicar"))</f>
        <v/>
      </c>
    </row>
    <row r="644" customFormat="false" ht="15" hidden="true" customHeight="false" outlineLevel="1" collapsed="false">
      <c r="A644" s="11" t="s">
        <v>2541</v>
      </c>
      <c r="B644" s="15" t="s">
        <v>2378</v>
      </c>
      <c r="C644" s="11" t="s">
        <v>508</v>
      </c>
      <c r="D644" s="48" t="str">
        <f aca="false">IF(OR(NOT(ISNUMBER(D180)),NOT(ISNUMBER(D412))),"",D180-D412)</f>
        <v/>
      </c>
      <c r="E644" s="48" t="str">
        <f aca="false">IF(OR(NOT(ISNUMBER(E180)),NOT(ISNUMBER(E412))),"",E180-E412)</f>
        <v/>
      </c>
      <c r="F644" s="48" t="str">
        <f aca="false">IF(OR(NOT(ISNUMBER(F180)),NOT(ISNUMBER(F412))),"",F180-F412)</f>
        <v/>
      </c>
      <c r="G644" s="48" t="str">
        <f aca="false">IF(OR(NOT(ISNUMBER(G180)),NOT(ISNUMBER(G412))),"",G180-G412)</f>
        <v/>
      </c>
      <c r="H644" s="48" t="str">
        <f aca="false">IF(OR(NOT(ISNUMBER(H180)),NOT(ISNUMBER(H412))),"",H180-H412)</f>
        <v/>
      </c>
      <c r="I644" s="48" t="str">
        <f aca="false">IF(OR(NOT(ISNUMBER(I180)),NOT(ISNUMBER(I412))),"",I180-I412)</f>
        <v/>
      </c>
      <c r="J644" s="48" t="str">
        <f aca="false">IF(OR(NOT(ISNUMBER(J180)),NOT(ISNUMBER(J412))),"",J180-J412)</f>
        <v/>
      </c>
      <c r="K644" s="48" t="str">
        <f aca="false">IF(OR(NOT(ISNUMBER(K180)),NOT(ISNUMBER(K412))),"",K180-K412)</f>
        <v/>
      </c>
      <c r="L644" s="48" t="str">
        <f aca="false">IF(OR(NOT(ISNUMBER(L180)),NOT(ISNUMBER(L412))),"",L180-L412)</f>
        <v/>
      </c>
      <c r="M644" s="48" t="str">
        <f aca="false">IF(OR(NOT(ISNUMBER(M180)),NOT(ISNUMBER(M412))),"",M180-M412)</f>
        <v/>
      </c>
      <c r="N644" s="48" t="str">
        <f aca="false">IF(OR(NOT(ISNUMBER(N180)),NOT(ISNUMBER(N412))),"",N180-N412)</f>
        <v/>
      </c>
      <c r="O644" s="54" t="str">
        <f aca="false">IF(OR(NOT(ISNUMBER(O180)),NOT(ISNUMBER(O412))),"",O180-O412)</f>
        <v/>
      </c>
      <c r="P644" s="11" t="str">
        <f aca="false">IF(COUNT(D644:N644)=0,"",IF(AND(MAX(D644:N644)&lt;2,MIN(D644:N644)&gt;-2),"Sin diferencia","Diferencia a explicar"))</f>
        <v/>
      </c>
    </row>
    <row r="645" customFormat="false" ht="15" hidden="true" customHeight="false" outlineLevel="1" collapsed="false">
      <c r="A645" s="11" t="s">
        <v>2542</v>
      </c>
      <c r="B645" s="15" t="s">
        <v>2380</v>
      </c>
      <c r="C645" s="11" t="s">
        <v>748</v>
      </c>
      <c r="D645" s="50" t="str">
        <f aca="false">IF(OR(NOT(ISNUMBER(D181)),NOT(ISNUMBER(D413))),"",D181-D413)</f>
        <v/>
      </c>
      <c r="E645" s="50" t="str">
        <f aca="false">IF(OR(NOT(ISNUMBER(E181)),NOT(ISNUMBER(E413))),"",E181-E413)</f>
        <v/>
      </c>
      <c r="F645" s="50" t="str">
        <f aca="false">IF(OR(NOT(ISNUMBER(F181)),NOT(ISNUMBER(F413))),"",F181-F413)</f>
        <v/>
      </c>
      <c r="G645" s="50" t="str">
        <f aca="false">IF(OR(NOT(ISNUMBER(G181)),NOT(ISNUMBER(G413))),"",G181-G413)</f>
        <v/>
      </c>
      <c r="H645" s="50" t="str">
        <f aca="false">IF(OR(NOT(ISNUMBER(H181)),NOT(ISNUMBER(H413))),"",H181-H413)</f>
        <v/>
      </c>
      <c r="I645" s="50" t="str">
        <f aca="false">IF(OR(NOT(ISNUMBER(I181)),NOT(ISNUMBER(I413))),"",I181-I413)</f>
        <v/>
      </c>
      <c r="J645" s="50" t="str">
        <f aca="false">IF(OR(NOT(ISNUMBER(J181)),NOT(ISNUMBER(J413))),"",J181-J413)</f>
        <v/>
      </c>
      <c r="K645" s="50" t="str">
        <f aca="false">IF(OR(NOT(ISNUMBER(K181)),NOT(ISNUMBER(K413))),"",K181-K413)</f>
        <v/>
      </c>
      <c r="L645" s="50" t="str">
        <f aca="false">IF(OR(NOT(ISNUMBER(L181)),NOT(ISNUMBER(L413))),"",L181-L413)</f>
        <v/>
      </c>
      <c r="M645" s="50" t="str">
        <f aca="false">IF(OR(NOT(ISNUMBER(M181)),NOT(ISNUMBER(M413))),"",M181-M413)</f>
        <v/>
      </c>
      <c r="N645" s="50" t="str">
        <f aca="false">IF(OR(NOT(ISNUMBER(N181)),NOT(ISNUMBER(N413))),"",N181-N413)</f>
        <v/>
      </c>
      <c r="O645" s="68" t="str">
        <f aca="false">IF(OR(NOT(ISNUMBER(O181)),NOT(ISNUMBER(O413))),"",O181-O413)</f>
        <v/>
      </c>
      <c r="P645" s="11" t="str">
        <f aca="false">IF(COUNT(D645:N645)=0,"",IF(AND(MAX(D645:N645)&lt;0.005,MIN(D645:N645)&gt;-0.005),"Sin diferencia","Diferencia a explicar"))</f>
        <v/>
      </c>
    </row>
    <row r="646" customFormat="false" ht="15" hidden="true" customHeight="false" outlineLevel="1" collapsed="false">
      <c r="A646" s="11" t="s">
        <v>2543</v>
      </c>
      <c r="B646" s="53" t="str">
        <f aca="false">IF(INDEX(Prod_Nombre,20)="","Producto 20",INDEX(Prod_Nombre,20))&amp;" — costo directo"</f>
        <v>Producto 20 — costo directo</v>
      </c>
      <c r="C646" s="11" t="s">
        <v>508</v>
      </c>
      <c r="D646" s="48" t="str">
        <f aca="false">IF(OR(NOT(ISNUMBER(D182)),NOT(ISNUMBER(D414))),"",D182-D414)</f>
        <v/>
      </c>
      <c r="E646" s="48" t="str">
        <f aca="false">IF(OR(NOT(ISNUMBER(E182)),NOT(ISNUMBER(E414))),"",E182-E414)</f>
        <v/>
      </c>
      <c r="F646" s="48" t="str">
        <f aca="false">IF(OR(NOT(ISNUMBER(F182)),NOT(ISNUMBER(F414))),"",F182-F414)</f>
        <v/>
      </c>
      <c r="G646" s="48" t="str">
        <f aca="false">IF(OR(NOT(ISNUMBER(G182)),NOT(ISNUMBER(G414))),"",G182-G414)</f>
        <v/>
      </c>
      <c r="H646" s="48" t="str">
        <f aca="false">IF(OR(NOT(ISNUMBER(H182)),NOT(ISNUMBER(H414))),"",H182-H414)</f>
        <v/>
      </c>
      <c r="I646" s="48" t="str">
        <f aca="false">IF(OR(NOT(ISNUMBER(I182)),NOT(ISNUMBER(I414))),"",I182-I414)</f>
        <v/>
      </c>
      <c r="J646" s="48" t="str">
        <f aca="false">IF(OR(NOT(ISNUMBER(J182)),NOT(ISNUMBER(J414))),"",J182-J414)</f>
        <v/>
      </c>
      <c r="K646" s="48" t="str">
        <f aca="false">IF(OR(NOT(ISNUMBER(K182)),NOT(ISNUMBER(K414))),"",K182-K414)</f>
        <v/>
      </c>
      <c r="L646" s="48" t="str">
        <f aca="false">IF(OR(NOT(ISNUMBER(L182)),NOT(ISNUMBER(L414))),"",L182-L414)</f>
        <v/>
      </c>
      <c r="M646" s="48" t="str">
        <f aca="false">IF(OR(NOT(ISNUMBER(M182)),NOT(ISNUMBER(M414))),"",M182-M414)</f>
        <v/>
      </c>
      <c r="N646" s="48" t="str">
        <f aca="false">IF(OR(NOT(ISNUMBER(N182)),NOT(ISNUMBER(N414))),"",N182-N414)</f>
        <v/>
      </c>
      <c r="O646" s="54" t="str">
        <f aca="false">IF(OR(NOT(ISNUMBER(O182)),NOT(ISNUMBER(O414))),"",O182-O414)</f>
        <v/>
      </c>
      <c r="P646" s="11" t="str">
        <f aca="false">IF(COUNT(D646:N646)=0,"",IF(AND(MAX(D646:N646)&lt;2,MIN(D646:N646)&gt;-2),"Sin diferencia","Diferencia a explicar"))</f>
        <v/>
      </c>
    </row>
    <row r="647" customFormat="false" ht="15" hidden="true" customHeight="false" outlineLevel="1" collapsed="false">
      <c r="A647" s="11" t="s">
        <v>2544</v>
      </c>
      <c r="B647" s="15" t="s">
        <v>2366</v>
      </c>
      <c r="C647" s="11" t="s">
        <v>544</v>
      </c>
      <c r="D647" s="48" t="str">
        <f aca="false">IF(OR(NOT(ISNUMBER(D183)),NOT(ISNUMBER(D415))),"",D183-D415)</f>
        <v/>
      </c>
      <c r="E647" s="48" t="str">
        <f aca="false">IF(OR(NOT(ISNUMBER(E183)),NOT(ISNUMBER(E415))),"",E183-E415)</f>
        <v/>
      </c>
      <c r="F647" s="48" t="str">
        <f aca="false">IF(OR(NOT(ISNUMBER(F183)),NOT(ISNUMBER(F415))),"",F183-F415)</f>
        <v/>
      </c>
      <c r="G647" s="48" t="str">
        <f aca="false">IF(OR(NOT(ISNUMBER(G183)),NOT(ISNUMBER(G415))),"",G183-G415)</f>
        <v/>
      </c>
      <c r="H647" s="48" t="str">
        <f aca="false">IF(OR(NOT(ISNUMBER(H183)),NOT(ISNUMBER(H415))),"",H183-H415)</f>
        <v/>
      </c>
      <c r="I647" s="48" t="str">
        <f aca="false">IF(OR(NOT(ISNUMBER(I183)),NOT(ISNUMBER(I415))),"",I183-I415)</f>
        <v/>
      </c>
      <c r="J647" s="48" t="str">
        <f aca="false">IF(OR(NOT(ISNUMBER(J183)),NOT(ISNUMBER(J415))),"",J183-J415)</f>
        <v/>
      </c>
      <c r="K647" s="48" t="str">
        <f aca="false">IF(OR(NOT(ISNUMBER(K183)),NOT(ISNUMBER(K415))),"",K183-K415)</f>
        <v/>
      </c>
      <c r="L647" s="48" t="str">
        <f aca="false">IF(OR(NOT(ISNUMBER(L183)),NOT(ISNUMBER(L415))),"",L183-L415)</f>
        <v/>
      </c>
      <c r="M647" s="48" t="str">
        <f aca="false">IF(OR(NOT(ISNUMBER(M183)),NOT(ISNUMBER(M415))),"",M183-M415)</f>
        <v/>
      </c>
      <c r="N647" s="48" t="str">
        <f aca="false">IF(OR(NOT(ISNUMBER(N183)),NOT(ISNUMBER(N415))),"",N183-N415)</f>
        <v/>
      </c>
      <c r="O647" s="54" t="str">
        <f aca="false">IF(OR(NOT(ISNUMBER(O183)),NOT(ISNUMBER(O415))),"",O183-O415)</f>
        <v/>
      </c>
      <c r="P647" s="11" t="str">
        <f aca="false">IF(COUNT(D647:N647)=0,"",IF(AND(MAX(D647:N647)&lt;2,MIN(D647:N647)&gt;-2),"Sin diferencia","Diferencia a explicar"))</f>
        <v/>
      </c>
    </row>
    <row r="648" customFormat="false" ht="15" hidden="true" customHeight="false" outlineLevel="1" collapsed="false">
      <c r="A648" s="11" t="s">
        <v>2545</v>
      </c>
      <c r="B648" s="15" t="s">
        <v>2368</v>
      </c>
      <c r="C648" s="11" t="s">
        <v>508</v>
      </c>
      <c r="D648" s="48" t="str">
        <f aca="false">IF(OR(NOT(ISNUMBER(D184)),NOT(ISNUMBER(D416))),"",D184-D416)</f>
        <v/>
      </c>
      <c r="E648" s="48" t="str">
        <f aca="false">IF(OR(NOT(ISNUMBER(E184)),NOT(ISNUMBER(E416))),"",E184-E416)</f>
        <v/>
      </c>
      <c r="F648" s="48" t="str">
        <f aca="false">IF(OR(NOT(ISNUMBER(F184)),NOT(ISNUMBER(F416))),"",F184-F416)</f>
        <v/>
      </c>
      <c r="G648" s="48" t="str">
        <f aca="false">IF(OR(NOT(ISNUMBER(G184)),NOT(ISNUMBER(G416))),"",G184-G416)</f>
        <v/>
      </c>
      <c r="H648" s="48" t="str">
        <f aca="false">IF(OR(NOT(ISNUMBER(H184)),NOT(ISNUMBER(H416))),"",H184-H416)</f>
        <v/>
      </c>
      <c r="I648" s="48" t="str">
        <f aca="false">IF(OR(NOT(ISNUMBER(I184)),NOT(ISNUMBER(I416))),"",I184-I416)</f>
        <v/>
      </c>
      <c r="J648" s="48" t="str">
        <f aca="false">IF(OR(NOT(ISNUMBER(J184)),NOT(ISNUMBER(J416))),"",J184-J416)</f>
        <v/>
      </c>
      <c r="K648" s="48" t="str">
        <f aca="false">IF(OR(NOT(ISNUMBER(K184)),NOT(ISNUMBER(K416))),"",K184-K416)</f>
        <v/>
      </c>
      <c r="L648" s="48" t="str">
        <f aca="false">IF(OR(NOT(ISNUMBER(L184)),NOT(ISNUMBER(L416))),"",L184-L416)</f>
        <v/>
      </c>
      <c r="M648" s="48" t="str">
        <f aca="false">IF(OR(NOT(ISNUMBER(M184)),NOT(ISNUMBER(M416))),"",M184-M416)</f>
        <v/>
      </c>
      <c r="N648" s="48" t="str">
        <f aca="false">IF(OR(NOT(ISNUMBER(N184)),NOT(ISNUMBER(N416))),"",N184-N416)</f>
        <v/>
      </c>
      <c r="O648" s="54" t="str">
        <f aca="false">IF(OR(NOT(ISNUMBER(O184)),NOT(ISNUMBER(O416))),"",O184-O416)</f>
        <v/>
      </c>
      <c r="P648" s="11" t="str">
        <f aca="false">IF(COUNT(D648:N648)=0,"",IF(AND(MAX(D648:N648)&lt;2,MIN(D648:N648)&gt;-2),"Sin diferencia","Diferencia a explicar"))</f>
        <v/>
      </c>
    </row>
    <row r="649" customFormat="false" ht="15" hidden="true" customHeight="false" outlineLevel="1" collapsed="false">
      <c r="A649" s="11" t="s">
        <v>2546</v>
      </c>
      <c r="B649" s="15" t="s">
        <v>2370</v>
      </c>
      <c r="C649" s="11" t="s">
        <v>748</v>
      </c>
      <c r="D649" s="50" t="str">
        <f aca="false">IF(OR(NOT(ISNUMBER(D185)),NOT(ISNUMBER(D417))),"",D185-D417)</f>
        <v/>
      </c>
      <c r="E649" s="50" t="str">
        <f aca="false">IF(OR(NOT(ISNUMBER(E185)),NOT(ISNUMBER(E417))),"",E185-E417)</f>
        <v/>
      </c>
      <c r="F649" s="50" t="str">
        <f aca="false">IF(OR(NOT(ISNUMBER(F185)),NOT(ISNUMBER(F417))),"",F185-F417)</f>
        <v/>
      </c>
      <c r="G649" s="50" t="str">
        <f aca="false">IF(OR(NOT(ISNUMBER(G185)),NOT(ISNUMBER(G417))),"",G185-G417)</f>
        <v/>
      </c>
      <c r="H649" s="50" t="str">
        <f aca="false">IF(OR(NOT(ISNUMBER(H185)),NOT(ISNUMBER(H417))),"",H185-H417)</f>
        <v/>
      </c>
      <c r="I649" s="50" t="str">
        <f aca="false">IF(OR(NOT(ISNUMBER(I185)),NOT(ISNUMBER(I417))),"",I185-I417)</f>
        <v/>
      </c>
      <c r="J649" s="50" t="str">
        <f aca="false">IF(OR(NOT(ISNUMBER(J185)),NOT(ISNUMBER(J417))),"",J185-J417)</f>
        <v/>
      </c>
      <c r="K649" s="50" t="str">
        <f aca="false">IF(OR(NOT(ISNUMBER(K185)),NOT(ISNUMBER(K417))),"",K185-K417)</f>
        <v/>
      </c>
      <c r="L649" s="50" t="str">
        <f aca="false">IF(OR(NOT(ISNUMBER(L185)),NOT(ISNUMBER(L417))),"",L185-L417)</f>
        <v/>
      </c>
      <c r="M649" s="50" t="str">
        <f aca="false">IF(OR(NOT(ISNUMBER(M185)),NOT(ISNUMBER(M417))),"",M185-M417)</f>
        <v/>
      </c>
      <c r="N649" s="50" t="str">
        <f aca="false">IF(OR(NOT(ISNUMBER(N185)),NOT(ISNUMBER(N417))),"",N185-N417)</f>
        <v/>
      </c>
      <c r="O649" s="68" t="str">
        <f aca="false">IF(OR(NOT(ISNUMBER(O185)),NOT(ISNUMBER(O417))),"",O185-O417)</f>
        <v/>
      </c>
      <c r="P649" s="11" t="str">
        <f aca="false">IF(COUNT(D649:N649)=0,"",IF(AND(MAX(D649:N649)&lt;0.005,MIN(D649:N649)&gt;-0.005),"Sin diferencia","Diferencia a explicar"))</f>
        <v/>
      </c>
    </row>
    <row r="650" customFormat="false" ht="15" hidden="true" customHeight="false" outlineLevel="1" collapsed="false">
      <c r="A650" s="11" t="s">
        <v>2547</v>
      </c>
      <c r="B650" s="15" t="s">
        <v>2372</v>
      </c>
      <c r="C650" s="11" t="s">
        <v>748</v>
      </c>
      <c r="D650" s="50" t="str">
        <f aca="false">IF(OR(NOT(ISNUMBER(D186)),NOT(ISNUMBER(D418))),"",D186-D418)</f>
        <v/>
      </c>
      <c r="E650" s="50" t="str">
        <f aca="false">IF(OR(NOT(ISNUMBER(E186)),NOT(ISNUMBER(E418))),"",E186-E418)</f>
        <v/>
      </c>
      <c r="F650" s="50" t="str">
        <f aca="false">IF(OR(NOT(ISNUMBER(F186)),NOT(ISNUMBER(F418))),"",F186-F418)</f>
        <v/>
      </c>
      <c r="G650" s="50" t="str">
        <f aca="false">IF(OR(NOT(ISNUMBER(G186)),NOT(ISNUMBER(G418))),"",G186-G418)</f>
        <v/>
      </c>
      <c r="H650" s="50" t="str">
        <f aca="false">IF(OR(NOT(ISNUMBER(H186)),NOT(ISNUMBER(H418))),"",H186-H418)</f>
        <v/>
      </c>
      <c r="I650" s="50" t="str">
        <f aca="false">IF(OR(NOT(ISNUMBER(I186)),NOT(ISNUMBER(I418))),"",I186-I418)</f>
        <v/>
      </c>
      <c r="J650" s="50" t="str">
        <f aca="false">IF(OR(NOT(ISNUMBER(J186)),NOT(ISNUMBER(J418))),"",J186-J418)</f>
        <v/>
      </c>
      <c r="K650" s="50" t="str">
        <f aca="false">IF(OR(NOT(ISNUMBER(K186)),NOT(ISNUMBER(K418))),"",K186-K418)</f>
        <v/>
      </c>
      <c r="L650" s="50" t="str">
        <f aca="false">IF(OR(NOT(ISNUMBER(L186)),NOT(ISNUMBER(L418))),"",L186-L418)</f>
        <v/>
      </c>
      <c r="M650" s="50" t="str">
        <f aca="false">IF(OR(NOT(ISNUMBER(M186)),NOT(ISNUMBER(M418))),"",M186-M418)</f>
        <v/>
      </c>
      <c r="N650" s="50" t="str">
        <f aca="false">IF(OR(NOT(ISNUMBER(N186)),NOT(ISNUMBER(N418))),"",N186-N418)</f>
        <v/>
      </c>
      <c r="O650" s="68" t="str">
        <f aca="false">IF(OR(NOT(ISNUMBER(O186)),NOT(ISNUMBER(O418))),"",O186-O418)</f>
        <v/>
      </c>
      <c r="P650" s="11" t="str">
        <f aca="false">IF(COUNT(D650:N650)=0,"",IF(AND(MAX(D650:N650)&lt;0.005,MIN(D650:N650)&gt;-0.005),"Sin diferencia","Diferencia a explicar"))</f>
        <v/>
      </c>
    </row>
    <row r="651" customFormat="false" ht="15" hidden="true" customHeight="false" outlineLevel="1" collapsed="false">
      <c r="A651" s="11" t="s">
        <v>2548</v>
      </c>
      <c r="B651" s="15" t="s">
        <v>2374</v>
      </c>
      <c r="C651" s="11" t="s">
        <v>367</v>
      </c>
      <c r="D651" s="49" t="str">
        <f aca="false">IF(OR(NOT(ISNUMBER(D187)),NOT(ISNUMBER(D419))),"",D187-D419)</f>
        <v/>
      </c>
      <c r="E651" s="49" t="str">
        <f aca="false">IF(OR(NOT(ISNUMBER(E187)),NOT(ISNUMBER(E419))),"",E187-E419)</f>
        <v/>
      </c>
      <c r="F651" s="49" t="str">
        <f aca="false">IF(OR(NOT(ISNUMBER(F187)),NOT(ISNUMBER(F419))),"",F187-F419)</f>
        <v/>
      </c>
      <c r="G651" s="49" t="str">
        <f aca="false">IF(OR(NOT(ISNUMBER(G187)),NOT(ISNUMBER(G419))),"",G187-G419)</f>
        <v/>
      </c>
      <c r="H651" s="49" t="str">
        <f aca="false">IF(OR(NOT(ISNUMBER(H187)),NOT(ISNUMBER(H419))),"",H187-H419)</f>
        <v/>
      </c>
      <c r="I651" s="49" t="str">
        <f aca="false">IF(OR(NOT(ISNUMBER(I187)),NOT(ISNUMBER(I419))),"",I187-I419)</f>
        <v/>
      </c>
      <c r="J651" s="49" t="str">
        <f aca="false">IF(OR(NOT(ISNUMBER(J187)),NOT(ISNUMBER(J419))),"",J187-J419)</f>
        <v/>
      </c>
      <c r="K651" s="49" t="str">
        <f aca="false">IF(OR(NOT(ISNUMBER(K187)),NOT(ISNUMBER(K419))),"",K187-K419)</f>
        <v/>
      </c>
      <c r="L651" s="49" t="str">
        <f aca="false">IF(OR(NOT(ISNUMBER(L187)),NOT(ISNUMBER(L419))),"",L187-L419)</f>
        <v/>
      </c>
      <c r="M651" s="49" t="str">
        <f aca="false">IF(OR(NOT(ISNUMBER(M187)),NOT(ISNUMBER(M419))),"",M187-M419)</f>
        <v/>
      </c>
      <c r="N651" s="49" t="str">
        <f aca="false">IF(OR(NOT(ISNUMBER(N187)),NOT(ISNUMBER(N419))),"",N187-N419)</f>
        <v/>
      </c>
      <c r="O651" s="99" t="str">
        <f aca="false">IF(OR(NOT(ISNUMBER(O187)),NOT(ISNUMBER(O419))),"",O187-O419)</f>
        <v/>
      </c>
      <c r="P651" s="11" t="str">
        <f aca="false">IF(COUNT(D651:N651)=0,"",IF(AND(MAX(D651:N651)&lt;0.0005,MIN(D651:N651)&gt;-0.0005),"Sin diferencia","Diferencia a explicar"))</f>
        <v/>
      </c>
    </row>
    <row r="652" customFormat="false" ht="15" hidden="true" customHeight="false" outlineLevel="1" collapsed="false">
      <c r="A652" s="11" t="s">
        <v>2549</v>
      </c>
      <c r="B652" s="15" t="s">
        <v>2376</v>
      </c>
      <c r="C652" s="11" t="s">
        <v>508</v>
      </c>
      <c r="D652" s="48" t="str">
        <f aca="false">IF(OR(NOT(ISNUMBER(D188)),NOT(ISNUMBER(D420))),"",D188-D420)</f>
        <v/>
      </c>
      <c r="E652" s="48" t="str">
        <f aca="false">IF(OR(NOT(ISNUMBER(E188)),NOT(ISNUMBER(E420))),"",E188-E420)</f>
        <v/>
      </c>
      <c r="F652" s="48" t="str">
        <f aca="false">IF(OR(NOT(ISNUMBER(F188)),NOT(ISNUMBER(F420))),"",F188-F420)</f>
        <v/>
      </c>
      <c r="G652" s="48" t="str">
        <f aca="false">IF(OR(NOT(ISNUMBER(G188)),NOT(ISNUMBER(G420))),"",G188-G420)</f>
        <v/>
      </c>
      <c r="H652" s="48" t="str">
        <f aca="false">IF(OR(NOT(ISNUMBER(H188)),NOT(ISNUMBER(H420))),"",H188-H420)</f>
        <v/>
      </c>
      <c r="I652" s="48" t="str">
        <f aca="false">IF(OR(NOT(ISNUMBER(I188)),NOT(ISNUMBER(I420))),"",I188-I420)</f>
        <v/>
      </c>
      <c r="J652" s="48" t="str">
        <f aca="false">IF(OR(NOT(ISNUMBER(J188)),NOT(ISNUMBER(J420))),"",J188-J420)</f>
        <v/>
      </c>
      <c r="K652" s="48" t="str">
        <f aca="false">IF(OR(NOT(ISNUMBER(K188)),NOT(ISNUMBER(K420))),"",K188-K420)</f>
        <v/>
      </c>
      <c r="L652" s="48" t="str">
        <f aca="false">IF(OR(NOT(ISNUMBER(L188)),NOT(ISNUMBER(L420))),"",L188-L420)</f>
        <v/>
      </c>
      <c r="M652" s="48" t="str">
        <f aca="false">IF(OR(NOT(ISNUMBER(M188)),NOT(ISNUMBER(M420))),"",M188-M420)</f>
        <v/>
      </c>
      <c r="N652" s="48" t="str">
        <f aca="false">IF(OR(NOT(ISNUMBER(N188)),NOT(ISNUMBER(N420))),"",N188-N420)</f>
        <v/>
      </c>
      <c r="O652" s="54" t="str">
        <f aca="false">IF(OR(NOT(ISNUMBER(O188)),NOT(ISNUMBER(O420))),"",O188-O420)</f>
        <v/>
      </c>
      <c r="P652" s="11" t="str">
        <f aca="false">IF(COUNT(D652:N652)=0,"",IF(AND(MAX(D652:N652)&lt;2,MIN(D652:N652)&gt;-2),"Sin diferencia","Diferencia a explicar"))</f>
        <v/>
      </c>
    </row>
    <row r="653" customFormat="false" ht="15" hidden="true" customHeight="false" outlineLevel="1" collapsed="false">
      <c r="A653" s="11" t="s">
        <v>2550</v>
      </c>
      <c r="B653" s="15" t="s">
        <v>2378</v>
      </c>
      <c r="C653" s="11" t="s">
        <v>508</v>
      </c>
      <c r="D653" s="48" t="str">
        <f aca="false">IF(OR(NOT(ISNUMBER(D189)),NOT(ISNUMBER(D421))),"",D189-D421)</f>
        <v/>
      </c>
      <c r="E653" s="48" t="str">
        <f aca="false">IF(OR(NOT(ISNUMBER(E189)),NOT(ISNUMBER(E421))),"",E189-E421)</f>
        <v/>
      </c>
      <c r="F653" s="48" t="str">
        <f aca="false">IF(OR(NOT(ISNUMBER(F189)),NOT(ISNUMBER(F421))),"",F189-F421)</f>
        <v/>
      </c>
      <c r="G653" s="48" t="str">
        <f aca="false">IF(OR(NOT(ISNUMBER(G189)),NOT(ISNUMBER(G421))),"",G189-G421)</f>
        <v/>
      </c>
      <c r="H653" s="48" t="str">
        <f aca="false">IF(OR(NOT(ISNUMBER(H189)),NOT(ISNUMBER(H421))),"",H189-H421)</f>
        <v/>
      </c>
      <c r="I653" s="48" t="str">
        <f aca="false">IF(OR(NOT(ISNUMBER(I189)),NOT(ISNUMBER(I421))),"",I189-I421)</f>
        <v/>
      </c>
      <c r="J653" s="48" t="str">
        <f aca="false">IF(OR(NOT(ISNUMBER(J189)),NOT(ISNUMBER(J421))),"",J189-J421)</f>
        <v/>
      </c>
      <c r="K653" s="48" t="str">
        <f aca="false">IF(OR(NOT(ISNUMBER(K189)),NOT(ISNUMBER(K421))),"",K189-K421)</f>
        <v/>
      </c>
      <c r="L653" s="48" t="str">
        <f aca="false">IF(OR(NOT(ISNUMBER(L189)),NOT(ISNUMBER(L421))),"",L189-L421)</f>
        <v/>
      </c>
      <c r="M653" s="48" t="str">
        <f aca="false">IF(OR(NOT(ISNUMBER(M189)),NOT(ISNUMBER(M421))),"",M189-M421)</f>
        <v/>
      </c>
      <c r="N653" s="48" t="str">
        <f aca="false">IF(OR(NOT(ISNUMBER(N189)),NOT(ISNUMBER(N421))),"",N189-N421)</f>
        <v/>
      </c>
      <c r="O653" s="54" t="str">
        <f aca="false">IF(OR(NOT(ISNUMBER(O189)),NOT(ISNUMBER(O421))),"",O189-O421)</f>
        <v/>
      </c>
      <c r="P653" s="11" t="str">
        <f aca="false">IF(COUNT(D653:N653)=0,"",IF(AND(MAX(D653:N653)&lt;2,MIN(D653:N653)&gt;-2),"Sin diferencia","Diferencia a explicar"))</f>
        <v/>
      </c>
    </row>
    <row r="654" customFormat="false" ht="15" hidden="true" customHeight="false" outlineLevel="1" collapsed="false">
      <c r="A654" s="11" t="s">
        <v>2551</v>
      </c>
      <c r="B654" s="15" t="s">
        <v>2380</v>
      </c>
      <c r="C654" s="11" t="s">
        <v>748</v>
      </c>
      <c r="D654" s="50" t="str">
        <f aca="false">IF(OR(NOT(ISNUMBER(D190)),NOT(ISNUMBER(D422))),"",D190-D422)</f>
        <v/>
      </c>
      <c r="E654" s="50" t="str">
        <f aca="false">IF(OR(NOT(ISNUMBER(E190)),NOT(ISNUMBER(E422))),"",E190-E422)</f>
        <v/>
      </c>
      <c r="F654" s="50" t="str">
        <f aca="false">IF(OR(NOT(ISNUMBER(F190)),NOT(ISNUMBER(F422))),"",F190-F422)</f>
        <v/>
      </c>
      <c r="G654" s="50" t="str">
        <f aca="false">IF(OR(NOT(ISNUMBER(G190)),NOT(ISNUMBER(G422))),"",G190-G422)</f>
        <v/>
      </c>
      <c r="H654" s="50" t="str">
        <f aca="false">IF(OR(NOT(ISNUMBER(H190)),NOT(ISNUMBER(H422))),"",H190-H422)</f>
        <v/>
      </c>
      <c r="I654" s="50" t="str">
        <f aca="false">IF(OR(NOT(ISNUMBER(I190)),NOT(ISNUMBER(I422))),"",I190-I422)</f>
        <v/>
      </c>
      <c r="J654" s="50" t="str">
        <f aca="false">IF(OR(NOT(ISNUMBER(J190)),NOT(ISNUMBER(J422))),"",J190-J422)</f>
        <v/>
      </c>
      <c r="K654" s="50" t="str">
        <f aca="false">IF(OR(NOT(ISNUMBER(K190)),NOT(ISNUMBER(K422))),"",K190-K422)</f>
        <v/>
      </c>
      <c r="L654" s="50" t="str">
        <f aca="false">IF(OR(NOT(ISNUMBER(L190)),NOT(ISNUMBER(L422))),"",L190-L422)</f>
        <v/>
      </c>
      <c r="M654" s="50" t="str">
        <f aca="false">IF(OR(NOT(ISNUMBER(M190)),NOT(ISNUMBER(M422))),"",M190-M422)</f>
        <v/>
      </c>
      <c r="N654" s="50" t="str">
        <f aca="false">IF(OR(NOT(ISNUMBER(N190)),NOT(ISNUMBER(N422))),"",N190-N422)</f>
        <v/>
      </c>
      <c r="O654" s="68" t="str">
        <f aca="false">IF(OR(NOT(ISNUMBER(O190)),NOT(ISNUMBER(O422))),"",O190-O422)</f>
        <v/>
      </c>
      <c r="P654" s="11" t="str">
        <f aca="false">IF(COUNT(D654:N654)=0,"",IF(AND(MAX(D654:N654)&lt;0.005,MIN(D654:N654)&gt;-0.005),"Sin diferencia","Diferencia a explicar"))</f>
        <v/>
      </c>
    </row>
    <row r="655" customFormat="false" ht="15" hidden="true" customHeight="false" outlineLevel="1" collapsed="false">
      <c r="A655" s="11" t="s">
        <v>2552</v>
      </c>
      <c r="B655" s="53" t="str">
        <f aca="false">IF(INDEX(Prod_Nombre,21)="","Producto 21",INDEX(Prod_Nombre,21))&amp;" — costo directo"</f>
        <v>Producto 21 — costo directo</v>
      </c>
      <c r="C655" s="11" t="s">
        <v>508</v>
      </c>
      <c r="D655" s="48" t="str">
        <f aca="false">IF(OR(NOT(ISNUMBER(D191)),NOT(ISNUMBER(D423))),"",D191-D423)</f>
        <v/>
      </c>
      <c r="E655" s="48" t="str">
        <f aca="false">IF(OR(NOT(ISNUMBER(E191)),NOT(ISNUMBER(E423))),"",E191-E423)</f>
        <v/>
      </c>
      <c r="F655" s="48" t="str">
        <f aca="false">IF(OR(NOT(ISNUMBER(F191)),NOT(ISNUMBER(F423))),"",F191-F423)</f>
        <v/>
      </c>
      <c r="G655" s="48" t="str">
        <f aca="false">IF(OR(NOT(ISNUMBER(G191)),NOT(ISNUMBER(G423))),"",G191-G423)</f>
        <v/>
      </c>
      <c r="H655" s="48" t="str">
        <f aca="false">IF(OR(NOT(ISNUMBER(H191)),NOT(ISNUMBER(H423))),"",H191-H423)</f>
        <v/>
      </c>
      <c r="I655" s="48" t="str">
        <f aca="false">IF(OR(NOT(ISNUMBER(I191)),NOT(ISNUMBER(I423))),"",I191-I423)</f>
        <v/>
      </c>
      <c r="J655" s="48" t="str">
        <f aca="false">IF(OR(NOT(ISNUMBER(J191)),NOT(ISNUMBER(J423))),"",J191-J423)</f>
        <v/>
      </c>
      <c r="K655" s="48" t="str">
        <f aca="false">IF(OR(NOT(ISNUMBER(K191)),NOT(ISNUMBER(K423))),"",K191-K423)</f>
        <v/>
      </c>
      <c r="L655" s="48" t="str">
        <f aca="false">IF(OR(NOT(ISNUMBER(L191)),NOT(ISNUMBER(L423))),"",L191-L423)</f>
        <v/>
      </c>
      <c r="M655" s="48" t="str">
        <f aca="false">IF(OR(NOT(ISNUMBER(M191)),NOT(ISNUMBER(M423))),"",M191-M423)</f>
        <v/>
      </c>
      <c r="N655" s="48" t="str">
        <f aca="false">IF(OR(NOT(ISNUMBER(N191)),NOT(ISNUMBER(N423))),"",N191-N423)</f>
        <v/>
      </c>
      <c r="O655" s="54" t="str">
        <f aca="false">IF(OR(NOT(ISNUMBER(O191)),NOT(ISNUMBER(O423))),"",O191-O423)</f>
        <v/>
      </c>
      <c r="P655" s="11" t="str">
        <f aca="false">IF(COUNT(D655:N655)=0,"",IF(AND(MAX(D655:N655)&lt;2,MIN(D655:N655)&gt;-2),"Sin diferencia","Diferencia a explicar"))</f>
        <v/>
      </c>
    </row>
    <row r="656" customFormat="false" ht="15" hidden="true" customHeight="false" outlineLevel="1" collapsed="false">
      <c r="A656" s="11" t="s">
        <v>2553</v>
      </c>
      <c r="B656" s="15" t="s">
        <v>2366</v>
      </c>
      <c r="C656" s="11" t="s">
        <v>544</v>
      </c>
      <c r="D656" s="48" t="str">
        <f aca="false">IF(OR(NOT(ISNUMBER(D192)),NOT(ISNUMBER(D424))),"",D192-D424)</f>
        <v/>
      </c>
      <c r="E656" s="48" t="str">
        <f aca="false">IF(OR(NOT(ISNUMBER(E192)),NOT(ISNUMBER(E424))),"",E192-E424)</f>
        <v/>
      </c>
      <c r="F656" s="48" t="str">
        <f aca="false">IF(OR(NOT(ISNUMBER(F192)),NOT(ISNUMBER(F424))),"",F192-F424)</f>
        <v/>
      </c>
      <c r="G656" s="48" t="str">
        <f aca="false">IF(OR(NOT(ISNUMBER(G192)),NOT(ISNUMBER(G424))),"",G192-G424)</f>
        <v/>
      </c>
      <c r="H656" s="48" t="str">
        <f aca="false">IF(OR(NOT(ISNUMBER(H192)),NOT(ISNUMBER(H424))),"",H192-H424)</f>
        <v/>
      </c>
      <c r="I656" s="48" t="str">
        <f aca="false">IF(OR(NOT(ISNUMBER(I192)),NOT(ISNUMBER(I424))),"",I192-I424)</f>
        <v/>
      </c>
      <c r="J656" s="48" t="str">
        <f aca="false">IF(OR(NOT(ISNUMBER(J192)),NOT(ISNUMBER(J424))),"",J192-J424)</f>
        <v/>
      </c>
      <c r="K656" s="48" t="str">
        <f aca="false">IF(OR(NOT(ISNUMBER(K192)),NOT(ISNUMBER(K424))),"",K192-K424)</f>
        <v/>
      </c>
      <c r="L656" s="48" t="str">
        <f aca="false">IF(OR(NOT(ISNUMBER(L192)),NOT(ISNUMBER(L424))),"",L192-L424)</f>
        <v/>
      </c>
      <c r="M656" s="48" t="str">
        <f aca="false">IF(OR(NOT(ISNUMBER(M192)),NOT(ISNUMBER(M424))),"",M192-M424)</f>
        <v/>
      </c>
      <c r="N656" s="48" t="str">
        <f aca="false">IF(OR(NOT(ISNUMBER(N192)),NOT(ISNUMBER(N424))),"",N192-N424)</f>
        <v/>
      </c>
      <c r="O656" s="54" t="str">
        <f aca="false">IF(OR(NOT(ISNUMBER(O192)),NOT(ISNUMBER(O424))),"",O192-O424)</f>
        <v/>
      </c>
      <c r="P656" s="11" t="str">
        <f aca="false">IF(COUNT(D656:N656)=0,"",IF(AND(MAX(D656:N656)&lt;2,MIN(D656:N656)&gt;-2),"Sin diferencia","Diferencia a explicar"))</f>
        <v/>
      </c>
    </row>
    <row r="657" customFormat="false" ht="15" hidden="true" customHeight="false" outlineLevel="1" collapsed="false">
      <c r="A657" s="11" t="s">
        <v>2554</v>
      </c>
      <c r="B657" s="15" t="s">
        <v>2368</v>
      </c>
      <c r="C657" s="11" t="s">
        <v>508</v>
      </c>
      <c r="D657" s="48" t="str">
        <f aca="false">IF(OR(NOT(ISNUMBER(D193)),NOT(ISNUMBER(D425))),"",D193-D425)</f>
        <v/>
      </c>
      <c r="E657" s="48" t="str">
        <f aca="false">IF(OR(NOT(ISNUMBER(E193)),NOT(ISNUMBER(E425))),"",E193-E425)</f>
        <v/>
      </c>
      <c r="F657" s="48" t="str">
        <f aca="false">IF(OR(NOT(ISNUMBER(F193)),NOT(ISNUMBER(F425))),"",F193-F425)</f>
        <v/>
      </c>
      <c r="G657" s="48" t="str">
        <f aca="false">IF(OR(NOT(ISNUMBER(G193)),NOT(ISNUMBER(G425))),"",G193-G425)</f>
        <v/>
      </c>
      <c r="H657" s="48" t="str">
        <f aca="false">IF(OR(NOT(ISNUMBER(H193)),NOT(ISNUMBER(H425))),"",H193-H425)</f>
        <v/>
      </c>
      <c r="I657" s="48" t="str">
        <f aca="false">IF(OR(NOT(ISNUMBER(I193)),NOT(ISNUMBER(I425))),"",I193-I425)</f>
        <v/>
      </c>
      <c r="J657" s="48" t="str">
        <f aca="false">IF(OR(NOT(ISNUMBER(J193)),NOT(ISNUMBER(J425))),"",J193-J425)</f>
        <v/>
      </c>
      <c r="K657" s="48" t="str">
        <f aca="false">IF(OR(NOT(ISNUMBER(K193)),NOT(ISNUMBER(K425))),"",K193-K425)</f>
        <v/>
      </c>
      <c r="L657" s="48" t="str">
        <f aca="false">IF(OR(NOT(ISNUMBER(L193)),NOT(ISNUMBER(L425))),"",L193-L425)</f>
        <v/>
      </c>
      <c r="M657" s="48" t="str">
        <f aca="false">IF(OR(NOT(ISNUMBER(M193)),NOT(ISNUMBER(M425))),"",M193-M425)</f>
        <v/>
      </c>
      <c r="N657" s="48" t="str">
        <f aca="false">IF(OR(NOT(ISNUMBER(N193)),NOT(ISNUMBER(N425))),"",N193-N425)</f>
        <v/>
      </c>
      <c r="O657" s="54" t="str">
        <f aca="false">IF(OR(NOT(ISNUMBER(O193)),NOT(ISNUMBER(O425))),"",O193-O425)</f>
        <v/>
      </c>
      <c r="P657" s="11" t="str">
        <f aca="false">IF(COUNT(D657:N657)=0,"",IF(AND(MAX(D657:N657)&lt;2,MIN(D657:N657)&gt;-2),"Sin diferencia","Diferencia a explicar"))</f>
        <v/>
      </c>
    </row>
    <row r="658" customFormat="false" ht="15" hidden="true" customHeight="false" outlineLevel="1" collapsed="false">
      <c r="A658" s="11" t="s">
        <v>2555</v>
      </c>
      <c r="B658" s="15" t="s">
        <v>2370</v>
      </c>
      <c r="C658" s="11" t="s">
        <v>748</v>
      </c>
      <c r="D658" s="50" t="str">
        <f aca="false">IF(OR(NOT(ISNUMBER(D194)),NOT(ISNUMBER(D426))),"",D194-D426)</f>
        <v/>
      </c>
      <c r="E658" s="50" t="str">
        <f aca="false">IF(OR(NOT(ISNUMBER(E194)),NOT(ISNUMBER(E426))),"",E194-E426)</f>
        <v/>
      </c>
      <c r="F658" s="50" t="str">
        <f aca="false">IF(OR(NOT(ISNUMBER(F194)),NOT(ISNUMBER(F426))),"",F194-F426)</f>
        <v/>
      </c>
      <c r="G658" s="50" t="str">
        <f aca="false">IF(OR(NOT(ISNUMBER(G194)),NOT(ISNUMBER(G426))),"",G194-G426)</f>
        <v/>
      </c>
      <c r="H658" s="50" t="str">
        <f aca="false">IF(OR(NOT(ISNUMBER(H194)),NOT(ISNUMBER(H426))),"",H194-H426)</f>
        <v/>
      </c>
      <c r="I658" s="50" t="str">
        <f aca="false">IF(OR(NOT(ISNUMBER(I194)),NOT(ISNUMBER(I426))),"",I194-I426)</f>
        <v/>
      </c>
      <c r="J658" s="50" t="str">
        <f aca="false">IF(OR(NOT(ISNUMBER(J194)),NOT(ISNUMBER(J426))),"",J194-J426)</f>
        <v/>
      </c>
      <c r="K658" s="50" t="str">
        <f aca="false">IF(OR(NOT(ISNUMBER(K194)),NOT(ISNUMBER(K426))),"",K194-K426)</f>
        <v/>
      </c>
      <c r="L658" s="50" t="str">
        <f aca="false">IF(OR(NOT(ISNUMBER(L194)),NOT(ISNUMBER(L426))),"",L194-L426)</f>
        <v/>
      </c>
      <c r="M658" s="50" t="str">
        <f aca="false">IF(OR(NOT(ISNUMBER(M194)),NOT(ISNUMBER(M426))),"",M194-M426)</f>
        <v/>
      </c>
      <c r="N658" s="50" t="str">
        <f aca="false">IF(OR(NOT(ISNUMBER(N194)),NOT(ISNUMBER(N426))),"",N194-N426)</f>
        <v/>
      </c>
      <c r="O658" s="68" t="str">
        <f aca="false">IF(OR(NOT(ISNUMBER(O194)),NOT(ISNUMBER(O426))),"",O194-O426)</f>
        <v/>
      </c>
      <c r="P658" s="11" t="str">
        <f aca="false">IF(COUNT(D658:N658)=0,"",IF(AND(MAX(D658:N658)&lt;0.005,MIN(D658:N658)&gt;-0.005),"Sin diferencia","Diferencia a explicar"))</f>
        <v/>
      </c>
    </row>
    <row r="659" customFormat="false" ht="15" hidden="true" customHeight="false" outlineLevel="1" collapsed="false">
      <c r="A659" s="11" t="s">
        <v>2556</v>
      </c>
      <c r="B659" s="15" t="s">
        <v>2372</v>
      </c>
      <c r="C659" s="11" t="s">
        <v>748</v>
      </c>
      <c r="D659" s="50" t="str">
        <f aca="false">IF(OR(NOT(ISNUMBER(D195)),NOT(ISNUMBER(D427))),"",D195-D427)</f>
        <v/>
      </c>
      <c r="E659" s="50" t="str">
        <f aca="false">IF(OR(NOT(ISNUMBER(E195)),NOT(ISNUMBER(E427))),"",E195-E427)</f>
        <v/>
      </c>
      <c r="F659" s="50" t="str">
        <f aca="false">IF(OR(NOT(ISNUMBER(F195)),NOT(ISNUMBER(F427))),"",F195-F427)</f>
        <v/>
      </c>
      <c r="G659" s="50" t="str">
        <f aca="false">IF(OR(NOT(ISNUMBER(G195)),NOT(ISNUMBER(G427))),"",G195-G427)</f>
        <v/>
      </c>
      <c r="H659" s="50" t="str">
        <f aca="false">IF(OR(NOT(ISNUMBER(H195)),NOT(ISNUMBER(H427))),"",H195-H427)</f>
        <v/>
      </c>
      <c r="I659" s="50" t="str">
        <f aca="false">IF(OR(NOT(ISNUMBER(I195)),NOT(ISNUMBER(I427))),"",I195-I427)</f>
        <v/>
      </c>
      <c r="J659" s="50" t="str">
        <f aca="false">IF(OR(NOT(ISNUMBER(J195)),NOT(ISNUMBER(J427))),"",J195-J427)</f>
        <v/>
      </c>
      <c r="K659" s="50" t="str">
        <f aca="false">IF(OR(NOT(ISNUMBER(K195)),NOT(ISNUMBER(K427))),"",K195-K427)</f>
        <v/>
      </c>
      <c r="L659" s="50" t="str">
        <f aca="false">IF(OR(NOT(ISNUMBER(L195)),NOT(ISNUMBER(L427))),"",L195-L427)</f>
        <v/>
      </c>
      <c r="M659" s="50" t="str">
        <f aca="false">IF(OR(NOT(ISNUMBER(M195)),NOT(ISNUMBER(M427))),"",M195-M427)</f>
        <v/>
      </c>
      <c r="N659" s="50" t="str">
        <f aca="false">IF(OR(NOT(ISNUMBER(N195)),NOT(ISNUMBER(N427))),"",N195-N427)</f>
        <v/>
      </c>
      <c r="O659" s="68" t="str">
        <f aca="false">IF(OR(NOT(ISNUMBER(O195)),NOT(ISNUMBER(O427))),"",O195-O427)</f>
        <v/>
      </c>
      <c r="P659" s="11" t="str">
        <f aca="false">IF(COUNT(D659:N659)=0,"",IF(AND(MAX(D659:N659)&lt;0.005,MIN(D659:N659)&gt;-0.005),"Sin diferencia","Diferencia a explicar"))</f>
        <v/>
      </c>
    </row>
    <row r="660" customFormat="false" ht="15" hidden="true" customHeight="false" outlineLevel="1" collapsed="false">
      <c r="A660" s="11" t="s">
        <v>2557</v>
      </c>
      <c r="B660" s="15" t="s">
        <v>2374</v>
      </c>
      <c r="C660" s="11" t="s">
        <v>367</v>
      </c>
      <c r="D660" s="49" t="str">
        <f aca="false">IF(OR(NOT(ISNUMBER(D196)),NOT(ISNUMBER(D428))),"",D196-D428)</f>
        <v/>
      </c>
      <c r="E660" s="49" t="str">
        <f aca="false">IF(OR(NOT(ISNUMBER(E196)),NOT(ISNUMBER(E428))),"",E196-E428)</f>
        <v/>
      </c>
      <c r="F660" s="49" t="str">
        <f aca="false">IF(OR(NOT(ISNUMBER(F196)),NOT(ISNUMBER(F428))),"",F196-F428)</f>
        <v/>
      </c>
      <c r="G660" s="49" t="str">
        <f aca="false">IF(OR(NOT(ISNUMBER(G196)),NOT(ISNUMBER(G428))),"",G196-G428)</f>
        <v/>
      </c>
      <c r="H660" s="49" t="str">
        <f aca="false">IF(OR(NOT(ISNUMBER(H196)),NOT(ISNUMBER(H428))),"",H196-H428)</f>
        <v/>
      </c>
      <c r="I660" s="49" t="str">
        <f aca="false">IF(OR(NOT(ISNUMBER(I196)),NOT(ISNUMBER(I428))),"",I196-I428)</f>
        <v/>
      </c>
      <c r="J660" s="49" t="str">
        <f aca="false">IF(OR(NOT(ISNUMBER(J196)),NOT(ISNUMBER(J428))),"",J196-J428)</f>
        <v/>
      </c>
      <c r="K660" s="49" t="str">
        <f aca="false">IF(OR(NOT(ISNUMBER(K196)),NOT(ISNUMBER(K428))),"",K196-K428)</f>
        <v/>
      </c>
      <c r="L660" s="49" t="str">
        <f aca="false">IF(OR(NOT(ISNUMBER(L196)),NOT(ISNUMBER(L428))),"",L196-L428)</f>
        <v/>
      </c>
      <c r="M660" s="49" t="str">
        <f aca="false">IF(OR(NOT(ISNUMBER(M196)),NOT(ISNUMBER(M428))),"",M196-M428)</f>
        <v/>
      </c>
      <c r="N660" s="49" t="str">
        <f aca="false">IF(OR(NOT(ISNUMBER(N196)),NOT(ISNUMBER(N428))),"",N196-N428)</f>
        <v/>
      </c>
      <c r="O660" s="99" t="str">
        <f aca="false">IF(OR(NOT(ISNUMBER(O196)),NOT(ISNUMBER(O428))),"",O196-O428)</f>
        <v/>
      </c>
      <c r="P660" s="11" t="str">
        <f aca="false">IF(COUNT(D660:N660)=0,"",IF(AND(MAX(D660:N660)&lt;0.0005,MIN(D660:N660)&gt;-0.0005),"Sin diferencia","Diferencia a explicar"))</f>
        <v/>
      </c>
    </row>
    <row r="661" customFormat="false" ht="15" hidden="true" customHeight="false" outlineLevel="1" collapsed="false">
      <c r="A661" s="11" t="s">
        <v>2558</v>
      </c>
      <c r="B661" s="15" t="s">
        <v>2376</v>
      </c>
      <c r="C661" s="11" t="s">
        <v>508</v>
      </c>
      <c r="D661" s="48" t="str">
        <f aca="false">IF(OR(NOT(ISNUMBER(D197)),NOT(ISNUMBER(D429))),"",D197-D429)</f>
        <v/>
      </c>
      <c r="E661" s="48" t="str">
        <f aca="false">IF(OR(NOT(ISNUMBER(E197)),NOT(ISNUMBER(E429))),"",E197-E429)</f>
        <v/>
      </c>
      <c r="F661" s="48" t="str">
        <f aca="false">IF(OR(NOT(ISNUMBER(F197)),NOT(ISNUMBER(F429))),"",F197-F429)</f>
        <v/>
      </c>
      <c r="G661" s="48" t="str">
        <f aca="false">IF(OR(NOT(ISNUMBER(G197)),NOT(ISNUMBER(G429))),"",G197-G429)</f>
        <v/>
      </c>
      <c r="H661" s="48" t="str">
        <f aca="false">IF(OR(NOT(ISNUMBER(H197)),NOT(ISNUMBER(H429))),"",H197-H429)</f>
        <v/>
      </c>
      <c r="I661" s="48" t="str">
        <f aca="false">IF(OR(NOT(ISNUMBER(I197)),NOT(ISNUMBER(I429))),"",I197-I429)</f>
        <v/>
      </c>
      <c r="J661" s="48" t="str">
        <f aca="false">IF(OR(NOT(ISNUMBER(J197)),NOT(ISNUMBER(J429))),"",J197-J429)</f>
        <v/>
      </c>
      <c r="K661" s="48" t="str">
        <f aca="false">IF(OR(NOT(ISNUMBER(K197)),NOT(ISNUMBER(K429))),"",K197-K429)</f>
        <v/>
      </c>
      <c r="L661" s="48" t="str">
        <f aca="false">IF(OR(NOT(ISNUMBER(L197)),NOT(ISNUMBER(L429))),"",L197-L429)</f>
        <v/>
      </c>
      <c r="M661" s="48" t="str">
        <f aca="false">IF(OR(NOT(ISNUMBER(M197)),NOT(ISNUMBER(M429))),"",M197-M429)</f>
        <v/>
      </c>
      <c r="N661" s="48" t="str">
        <f aca="false">IF(OR(NOT(ISNUMBER(N197)),NOT(ISNUMBER(N429))),"",N197-N429)</f>
        <v/>
      </c>
      <c r="O661" s="54" t="str">
        <f aca="false">IF(OR(NOT(ISNUMBER(O197)),NOT(ISNUMBER(O429))),"",O197-O429)</f>
        <v/>
      </c>
      <c r="P661" s="11" t="str">
        <f aca="false">IF(COUNT(D661:N661)=0,"",IF(AND(MAX(D661:N661)&lt;2,MIN(D661:N661)&gt;-2),"Sin diferencia","Diferencia a explicar"))</f>
        <v/>
      </c>
    </row>
    <row r="662" customFormat="false" ht="15" hidden="true" customHeight="false" outlineLevel="1" collapsed="false">
      <c r="A662" s="11" t="s">
        <v>2559</v>
      </c>
      <c r="B662" s="15" t="s">
        <v>2378</v>
      </c>
      <c r="C662" s="11" t="s">
        <v>508</v>
      </c>
      <c r="D662" s="48" t="str">
        <f aca="false">IF(OR(NOT(ISNUMBER(D198)),NOT(ISNUMBER(D430))),"",D198-D430)</f>
        <v/>
      </c>
      <c r="E662" s="48" t="str">
        <f aca="false">IF(OR(NOT(ISNUMBER(E198)),NOT(ISNUMBER(E430))),"",E198-E430)</f>
        <v/>
      </c>
      <c r="F662" s="48" t="str">
        <f aca="false">IF(OR(NOT(ISNUMBER(F198)),NOT(ISNUMBER(F430))),"",F198-F430)</f>
        <v/>
      </c>
      <c r="G662" s="48" t="str">
        <f aca="false">IF(OR(NOT(ISNUMBER(G198)),NOT(ISNUMBER(G430))),"",G198-G430)</f>
        <v/>
      </c>
      <c r="H662" s="48" t="str">
        <f aca="false">IF(OR(NOT(ISNUMBER(H198)),NOT(ISNUMBER(H430))),"",H198-H430)</f>
        <v/>
      </c>
      <c r="I662" s="48" t="str">
        <f aca="false">IF(OR(NOT(ISNUMBER(I198)),NOT(ISNUMBER(I430))),"",I198-I430)</f>
        <v/>
      </c>
      <c r="J662" s="48" t="str">
        <f aca="false">IF(OR(NOT(ISNUMBER(J198)),NOT(ISNUMBER(J430))),"",J198-J430)</f>
        <v/>
      </c>
      <c r="K662" s="48" t="str">
        <f aca="false">IF(OR(NOT(ISNUMBER(K198)),NOT(ISNUMBER(K430))),"",K198-K430)</f>
        <v/>
      </c>
      <c r="L662" s="48" t="str">
        <f aca="false">IF(OR(NOT(ISNUMBER(L198)),NOT(ISNUMBER(L430))),"",L198-L430)</f>
        <v/>
      </c>
      <c r="M662" s="48" t="str">
        <f aca="false">IF(OR(NOT(ISNUMBER(M198)),NOT(ISNUMBER(M430))),"",M198-M430)</f>
        <v/>
      </c>
      <c r="N662" s="48" t="str">
        <f aca="false">IF(OR(NOT(ISNUMBER(N198)),NOT(ISNUMBER(N430))),"",N198-N430)</f>
        <v/>
      </c>
      <c r="O662" s="54" t="str">
        <f aca="false">IF(OR(NOT(ISNUMBER(O198)),NOT(ISNUMBER(O430))),"",O198-O430)</f>
        <v/>
      </c>
      <c r="P662" s="11" t="str">
        <f aca="false">IF(COUNT(D662:N662)=0,"",IF(AND(MAX(D662:N662)&lt;2,MIN(D662:N662)&gt;-2),"Sin diferencia","Diferencia a explicar"))</f>
        <v/>
      </c>
    </row>
    <row r="663" customFormat="false" ht="15" hidden="true" customHeight="false" outlineLevel="1" collapsed="false">
      <c r="A663" s="11" t="s">
        <v>2560</v>
      </c>
      <c r="B663" s="15" t="s">
        <v>2380</v>
      </c>
      <c r="C663" s="11" t="s">
        <v>748</v>
      </c>
      <c r="D663" s="50" t="str">
        <f aca="false">IF(OR(NOT(ISNUMBER(D199)),NOT(ISNUMBER(D431))),"",D199-D431)</f>
        <v/>
      </c>
      <c r="E663" s="50" t="str">
        <f aca="false">IF(OR(NOT(ISNUMBER(E199)),NOT(ISNUMBER(E431))),"",E199-E431)</f>
        <v/>
      </c>
      <c r="F663" s="50" t="str">
        <f aca="false">IF(OR(NOT(ISNUMBER(F199)),NOT(ISNUMBER(F431))),"",F199-F431)</f>
        <v/>
      </c>
      <c r="G663" s="50" t="str">
        <f aca="false">IF(OR(NOT(ISNUMBER(G199)),NOT(ISNUMBER(G431))),"",G199-G431)</f>
        <v/>
      </c>
      <c r="H663" s="50" t="str">
        <f aca="false">IF(OR(NOT(ISNUMBER(H199)),NOT(ISNUMBER(H431))),"",H199-H431)</f>
        <v/>
      </c>
      <c r="I663" s="50" t="str">
        <f aca="false">IF(OR(NOT(ISNUMBER(I199)),NOT(ISNUMBER(I431))),"",I199-I431)</f>
        <v/>
      </c>
      <c r="J663" s="50" t="str">
        <f aca="false">IF(OR(NOT(ISNUMBER(J199)),NOT(ISNUMBER(J431))),"",J199-J431)</f>
        <v/>
      </c>
      <c r="K663" s="50" t="str">
        <f aca="false">IF(OR(NOT(ISNUMBER(K199)),NOT(ISNUMBER(K431))),"",K199-K431)</f>
        <v/>
      </c>
      <c r="L663" s="50" t="str">
        <f aca="false">IF(OR(NOT(ISNUMBER(L199)),NOT(ISNUMBER(L431))),"",L199-L431)</f>
        <v/>
      </c>
      <c r="M663" s="50" t="str">
        <f aca="false">IF(OR(NOT(ISNUMBER(M199)),NOT(ISNUMBER(M431))),"",M199-M431)</f>
        <v/>
      </c>
      <c r="N663" s="50" t="str">
        <f aca="false">IF(OR(NOT(ISNUMBER(N199)),NOT(ISNUMBER(N431))),"",N199-N431)</f>
        <v/>
      </c>
      <c r="O663" s="68" t="str">
        <f aca="false">IF(OR(NOT(ISNUMBER(O199)),NOT(ISNUMBER(O431))),"",O199-O431)</f>
        <v/>
      </c>
      <c r="P663" s="11" t="str">
        <f aca="false">IF(COUNT(D663:N663)=0,"",IF(AND(MAX(D663:N663)&lt;0.005,MIN(D663:N663)&gt;-0.005),"Sin diferencia","Diferencia a explicar"))</f>
        <v/>
      </c>
    </row>
    <row r="664" customFormat="false" ht="15" hidden="true" customHeight="false" outlineLevel="1" collapsed="false">
      <c r="A664" s="11" t="s">
        <v>2561</v>
      </c>
      <c r="B664" s="53" t="str">
        <f aca="false">IF(INDEX(Prod_Nombre,22)="","Producto 22",INDEX(Prod_Nombre,22))&amp;" — costo directo"</f>
        <v>Producto 22 — costo directo</v>
      </c>
      <c r="C664" s="11" t="s">
        <v>508</v>
      </c>
      <c r="D664" s="48" t="str">
        <f aca="false">IF(OR(NOT(ISNUMBER(D200)),NOT(ISNUMBER(D432))),"",D200-D432)</f>
        <v/>
      </c>
      <c r="E664" s="48" t="str">
        <f aca="false">IF(OR(NOT(ISNUMBER(E200)),NOT(ISNUMBER(E432))),"",E200-E432)</f>
        <v/>
      </c>
      <c r="F664" s="48" t="str">
        <f aca="false">IF(OR(NOT(ISNUMBER(F200)),NOT(ISNUMBER(F432))),"",F200-F432)</f>
        <v/>
      </c>
      <c r="G664" s="48" t="str">
        <f aca="false">IF(OR(NOT(ISNUMBER(G200)),NOT(ISNUMBER(G432))),"",G200-G432)</f>
        <v/>
      </c>
      <c r="H664" s="48" t="str">
        <f aca="false">IF(OR(NOT(ISNUMBER(H200)),NOT(ISNUMBER(H432))),"",H200-H432)</f>
        <v/>
      </c>
      <c r="I664" s="48" t="str">
        <f aca="false">IF(OR(NOT(ISNUMBER(I200)),NOT(ISNUMBER(I432))),"",I200-I432)</f>
        <v/>
      </c>
      <c r="J664" s="48" t="str">
        <f aca="false">IF(OR(NOT(ISNUMBER(J200)),NOT(ISNUMBER(J432))),"",J200-J432)</f>
        <v/>
      </c>
      <c r="K664" s="48" t="str">
        <f aca="false">IF(OR(NOT(ISNUMBER(K200)),NOT(ISNUMBER(K432))),"",K200-K432)</f>
        <v/>
      </c>
      <c r="L664" s="48" t="str">
        <f aca="false">IF(OR(NOT(ISNUMBER(L200)),NOT(ISNUMBER(L432))),"",L200-L432)</f>
        <v/>
      </c>
      <c r="M664" s="48" t="str">
        <f aca="false">IF(OR(NOT(ISNUMBER(M200)),NOT(ISNUMBER(M432))),"",M200-M432)</f>
        <v/>
      </c>
      <c r="N664" s="48" t="str">
        <f aca="false">IF(OR(NOT(ISNUMBER(N200)),NOT(ISNUMBER(N432))),"",N200-N432)</f>
        <v/>
      </c>
      <c r="O664" s="54" t="str">
        <f aca="false">IF(OR(NOT(ISNUMBER(O200)),NOT(ISNUMBER(O432))),"",O200-O432)</f>
        <v/>
      </c>
      <c r="P664" s="11" t="str">
        <f aca="false">IF(COUNT(D664:N664)=0,"",IF(AND(MAX(D664:N664)&lt;2,MIN(D664:N664)&gt;-2),"Sin diferencia","Diferencia a explicar"))</f>
        <v/>
      </c>
    </row>
    <row r="665" customFormat="false" ht="15" hidden="true" customHeight="false" outlineLevel="1" collapsed="false">
      <c r="A665" s="11" t="s">
        <v>2562</v>
      </c>
      <c r="B665" s="15" t="s">
        <v>2366</v>
      </c>
      <c r="C665" s="11" t="s">
        <v>544</v>
      </c>
      <c r="D665" s="48" t="str">
        <f aca="false">IF(OR(NOT(ISNUMBER(D201)),NOT(ISNUMBER(D433))),"",D201-D433)</f>
        <v/>
      </c>
      <c r="E665" s="48" t="str">
        <f aca="false">IF(OR(NOT(ISNUMBER(E201)),NOT(ISNUMBER(E433))),"",E201-E433)</f>
        <v/>
      </c>
      <c r="F665" s="48" t="str">
        <f aca="false">IF(OR(NOT(ISNUMBER(F201)),NOT(ISNUMBER(F433))),"",F201-F433)</f>
        <v/>
      </c>
      <c r="G665" s="48" t="str">
        <f aca="false">IF(OR(NOT(ISNUMBER(G201)),NOT(ISNUMBER(G433))),"",G201-G433)</f>
        <v/>
      </c>
      <c r="H665" s="48" t="str">
        <f aca="false">IF(OR(NOT(ISNUMBER(H201)),NOT(ISNUMBER(H433))),"",H201-H433)</f>
        <v/>
      </c>
      <c r="I665" s="48" t="str">
        <f aca="false">IF(OR(NOT(ISNUMBER(I201)),NOT(ISNUMBER(I433))),"",I201-I433)</f>
        <v/>
      </c>
      <c r="J665" s="48" t="str">
        <f aca="false">IF(OR(NOT(ISNUMBER(J201)),NOT(ISNUMBER(J433))),"",J201-J433)</f>
        <v/>
      </c>
      <c r="K665" s="48" t="str">
        <f aca="false">IF(OR(NOT(ISNUMBER(K201)),NOT(ISNUMBER(K433))),"",K201-K433)</f>
        <v/>
      </c>
      <c r="L665" s="48" t="str">
        <f aca="false">IF(OR(NOT(ISNUMBER(L201)),NOT(ISNUMBER(L433))),"",L201-L433)</f>
        <v/>
      </c>
      <c r="M665" s="48" t="str">
        <f aca="false">IF(OR(NOT(ISNUMBER(M201)),NOT(ISNUMBER(M433))),"",M201-M433)</f>
        <v/>
      </c>
      <c r="N665" s="48" t="str">
        <f aca="false">IF(OR(NOT(ISNUMBER(N201)),NOT(ISNUMBER(N433))),"",N201-N433)</f>
        <v/>
      </c>
      <c r="O665" s="54" t="str">
        <f aca="false">IF(OR(NOT(ISNUMBER(O201)),NOT(ISNUMBER(O433))),"",O201-O433)</f>
        <v/>
      </c>
      <c r="P665" s="11" t="str">
        <f aca="false">IF(COUNT(D665:N665)=0,"",IF(AND(MAX(D665:N665)&lt;2,MIN(D665:N665)&gt;-2),"Sin diferencia","Diferencia a explicar"))</f>
        <v/>
      </c>
    </row>
    <row r="666" customFormat="false" ht="15" hidden="true" customHeight="false" outlineLevel="1" collapsed="false">
      <c r="A666" s="11" t="s">
        <v>2563</v>
      </c>
      <c r="B666" s="15" t="s">
        <v>2368</v>
      </c>
      <c r="C666" s="11" t="s">
        <v>508</v>
      </c>
      <c r="D666" s="48" t="str">
        <f aca="false">IF(OR(NOT(ISNUMBER(D202)),NOT(ISNUMBER(D434))),"",D202-D434)</f>
        <v/>
      </c>
      <c r="E666" s="48" t="str">
        <f aca="false">IF(OR(NOT(ISNUMBER(E202)),NOT(ISNUMBER(E434))),"",E202-E434)</f>
        <v/>
      </c>
      <c r="F666" s="48" t="str">
        <f aca="false">IF(OR(NOT(ISNUMBER(F202)),NOT(ISNUMBER(F434))),"",F202-F434)</f>
        <v/>
      </c>
      <c r="G666" s="48" t="str">
        <f aca="false">IF(OR(NOT(ISNUMBER(G202)),NOT(ISNUMBER(G434))),"",G202-G434)</f>
        <v/>
      </c>
      <c r="H666" s="48" t="str">
        <f aca="false">IF(OR(NOT(ISNUMBER(H202)),NOT(ISNUMBER(H434))),"",H202-H434)</f>
        <v/>
      </c>
      <c r="I666" s="48" t="str">
        <f aca="false">IF(OR(NOT(ISNUMBER(I202)),NOT(ISNUMBER(I434))),"",I202-I434)</f>
        <v/>
      </c>
      <c r="J666" s="48" t="str">
        <f aca="false">IF(OR(NOT(ISNUMBER(J202)),NOT(ISNUMBER(J434))),"",J202-J434)</f>
        <v/>
      </c>
      <c r="K666" s="48" t="str">
        <f aca="false">IF(OR(NOT(ISNUMBER(K202)),NOT(ISNUMBER(K434))),"",K202-K434)</f>
        <v/>
      </c>
      <c r="L666" s="48" t="str">
        <f aca="false">IF(OR(NOT(ISNUMBER(L202)),NOT(ISNUMBER(L434))),"",L202-L434)</f>
        <v/>
      </c>
      <c r="M666" s="48" t="str">
        <f aca="false">IF(OR(NOT(ISNUMBER(M202)),NOT(ISNUMBER(M434))),"",M202-M434)</f>
        <v/>
      </c>
      <c r="N666" s="48" t="str">
        <f aca="false">IF(OR(NOT(ISNUMBER(N202)),NOT(ISNUMBER(N434))),"",N202-N434)</f>
        <v/>
      </c>
      <c r="O666" s="54" t="str">
        <f aca="false">IF(OR(NOT(ISNUMBER(O202)),NOT(ISNUMBER(O434))),"",O202-O434)</f>
        <v/>
      </c>
      <c r="P666" s="11" t="str">
        <f aca="false">IF(COUNT(D666:N666)=0,"",IF(AND(MAX(D666:N666)&lt;2,MIN(D666:N666)&gt;-2),"Sin diferencia","Diferencia a explicar"))</f>
        <v/>
      </c>
    </row>
    <row r="667" customFormat="false" ht="15" hidden="true" customHeight="false" outlineLevel="1" collapsed="false">
      <c r="A667" s="11" t="s">
        <v>2564</v>
      </c>
      <c r="B667" s="15" t="s">
        <v>2370</v>
      </c>
      <c r="C667" s="11" t="s">
        <v>748</v>
      </c>
      <c r="D667" s="50" t="str">
        <f aca="false">IF(OR(NOT(ISNUMBER(D203)),NOT(ISNUMBER(D435))),"",D203-D435)</f>
        <v/>
      </c>
      <c r="E667" s="50" t="str">
        <f aca="false">IF(OR(NOT(ISNUMBER(E203)),NOT(ISNUMBER(E435))),"",E203-E435)</f>
        <v/>
      </c>
      <c r="F667" s="50" t="str">
        <f aca="false">IF(OR(NOT(ISNUMBER(F203)),NOT(ISNUMBER(F435))),"",F203-F435)</f>
        <v/>
      </c>
      <c r="G667" s="50" t="str">
        <f aca="false">IF(OR(NOT(ISNUMBER(G203)),NOT(ISNUMBER(G435))),"",G203-G435)</f>
        <v/>
      </c>
      <c r="H667" s="50" t="str">
        <f aca="false">IF(OR(NOT(ISNUMBER(H203)),NOT(ISNUMBER(H435))),"",H203-H435)</f>
        <v/>
      </c>
      <c r="I667" s="50" t="str">
        <f aca="false">IF(OR(NOT(ISNUMBER(I203)),NOT(ISNUMBER(I435))),"",I203-I435)</f>
        <v/>
      </c>
      <c r="J667" s="50" t="str">
        <f aca="false">IF(OR(NOT(ISNUMBER(J203)),NOT(ISNUMBER(J435))),"",J203-J435)</f>
        <v/>
      </c>
      <c r="K667" s="50" t="str">
        <f aca="false">IF(OR(NOT(ISNUMBER(K203)),NOT(ISNUMBER(K435))),"",K203-K435)</f>
        <v/>
      </c>
      <c r="L667" s="50" t="str">
        <f aca="false">IF(OR(NOT(ISNUMBER(L203)),NOT(ISNUMBER(L435))),"",L203-L435)</f>
        <v/>
      </c>
      <c r="M667" s="50" t="str">
        <f aca="false">IF(OR(NOT(ISNUMBER(M203)),NOT(ISNUMBER(M435))),"",M203-M435)</f>
        <v/>
      </c>
      <c r="N667" s="50" t="str">
        <f aca="false">IF(OR(NOT(ISNUMBER(N203)),NOT(ISNUMBER(N435))),"",N203-N435)</f>
        <v/>
      </c>
      <c r="O667" s="68" t="str">
        <f aca="false">IF(OR(NOT(ISNUMBER(O203)),NOT(ISNUMBER(O435))),"",O203-O435)</f>
        <v/>
      </c>
      <c r="P667" s="11" t="str">
        <f aca="false">IF(COUNT(D667:N667)=0,"",IF(AND(MAX(D667:N667)&lt;0.005,MIN(D667:N667)&gt;-0.005),"Sin diferencia","Diferencia a explicar"))</f>
        <v/>
      </c>
    </row>
    <row r="668" customFormat="false" ht="15" hidden="true" customHeight="false" outlineLevel="1" collapsed="false">
      <c r="A668" s="11" t="s">
        <v>2565</v>
      </c>
      <c r="B668" s="15" t="s">
        <v>2372</v>
      </c>
      <c r="C668" s="11" t="s">
        <v>748</v>
      </c>
      <c r="D668" s="50" t="str">
        <f aca="false">IF(OR(NOT(ISNUMBER(D204)),NOT(ISNUMBER(D436))),"",D204-D436)</f>
        <v/>
      </c>
      <c r="E668" s="50" t="str">
        <f aca="false">IF(OR(NOT(ISNUMBER(E204)),NOT(ISNUMBER(E436))),"",E204-E436)</f>
        <v/>
      </c>
      <c r="F668" s="50" t="str">
        <f aca="false">IF(OR(NOT(ISNUMBER(F204)),NOT(ISNUMBER(F436))),"",F204-F436)</f>
        <v/>
      </c>
      <c r="G668" s="50" t="str">
        <f aca="false">IF(OR(NOT(ISNUMBER(G204)),NOT(ISNUMBER(G436))),"",G204-G436)</f>
        <v/>
      </c>
      <c r="H668" s="50" t="str">
        <f aca="false">IF(OR(NOT(ISNUMBER(H204)),NOT(ISNUMBER(H436))),"",H204-H436)</f>
        <v/>
      </c>
      <c r="I668" s="50" t="str">
        <f aca="false">IF(OR(NOT(ISNUMBER(I204)),NOT(ISNUMBER(I436))),"",I204-I436)</f>
        <v/>
      </c>
      <c r="J668" s="50" t="str">
        <f aca="false">IF(OR(NOT(ISNUMBER(J204)),NOT(ISNUMBER(J436))),"",J204-J436)</f>
        <v/>
      </c>
      <c r="K668" s="50" t="str">
        <f aca="false">IF(OR(NOT(ISNUMBER(K204)),NOT(ISNUMBER(K436))),"",K204-K436)</f>
        <v/>
      </c>
      <c r="L668" s="50" t="str">
        <f aca="false">IF(OR(NOT(ISNUMBER(L204)),NOT(ISNUMBER(L436))),"",L204-L436)</f>
        <v/>
      </c>
      <c r="M668" s="50" t="str">
        <f aca="false">IF(OR(NOT(ISNUMBER(M204)),NOT(ISNUMBER(M436))),"",M204-M436)</f>
        <v/>
      </c>
      <c r="N668" s="50" t="str">
        <f aca="false">IF(OR(NOT(ISNUMBER(N204)),NOT(ISNUMBER(N436))),"",N204-N436)</f>
        <v/>
      </c>
      <c r="O668" s="68" t="str">
        <f aca="false">IF(OR(NOT(ISNUMBER(O204)),NOT(ISNUMBER(O436))),"",O204-O436)</f>
        <v/>
      </c>
      <c r="P668" s="11" t="str">
        <f aca="false">IF(COUNT(D668:N668)=0,"",IF(AND(MAX(D668:N668)&lt;0.005,MIN(D668:N668)&gt;-0.005),"Sin diferencia","Diferencia a explicar"))</f>
        <v/>
      </c>
    </row>
    <row r="669" customFormat="false" ht="15" hidden="true" customHeight="false" outlineLevel="1" collapsed="false">
      <c r="A669" s="11" t="s">
        <v>2566</v>
      </c>
      <c r="B669" s="15" t="s">
        <v>2374</v>
      </c>
      <c r="C669" s="11" t="s">
        <v>367</v>
      </c>
      <c r="D669" s="49" t="str">
        <f aca="false">IF(OR(NOT(ISNUMBER(D205)),NOT(ISNUMBER(D437))),"",D205-D437)</f>
        <v/>
      </c>
      <c r="E669" s="49" t="str">
        <f aca="false">IF(OR(NOT(ISNUMBER(E205)),NOT(ISNUMBER(E437))),"",E205-E437)</f>
        <v/>
      </c>
      <c r="F669" s="49" t="str">
        <f aca="false">IF(OR(NOT(ISNUMBER(F205)),NOT(ISNUMBER(F437))),"",F205-F437)</f>
        <v/>
      </c>
      <c r="G669" s="49" t="str">
        <f aca="false">IF(OR(NOT(ISNUMBER(G205)),NOT(ISNUMBER(G437))),"",G205-G437)</f>
        <v/>
      </c>
      <c r="H669" s="49" t="str">
        <f aca="false">IF(OR(NOT(ISNUMBER(H205)),NOT(ISNUMBER(H437))),"",H205-H437)</f>
        <v/>
      </c>
      <c r="I669" s="49" t="str">
        <f aca="false">IF(OR(NOT(ISNUMBER(I205)),NOT(ISNUMBER(I437))),"",I205-I437)</f>
        <v/>
      </c>
      <c r="J669" s="49" t="str">
        <f aca="false">IF(OR(NOT(ISNUMBER(J205)),NOT(ISNUMBER(J437))),"",J205-J437)</f>
        <v/>
      </c>
      <c r="K669" s="49" t="str">
        <f aca="false">IF(OR(NOT(ISNUMBER(K205)),NOT(ISNUMBER(K437))),"",K205-K437)</f>
        <v/>
      </c>
      <c r="L669" s="49" t="str">
        <f aca="false">IF(OR(NOT(ISNUMBER(L205)),NOT(ISNUMBER(L437))),"",L205-L437)</f>
        <v/>
      </c>
      <c r="M669" s="49" t="str">
        <f aca="false">IF(OR(NOT(ISNUMBER(M205)),NOT(ISNUMBER(M437))),"",M205-M437)</f>
        <v/>
      </c>
      <c r="N669" s="49" t="str">
        <f aca="false">IF(OR(NOT(ISNUMBER(N205)),NOT(ISNUMBER(N437))),"",N205-N437)</f>
        <v/>
      </c>
      <c r="O669" s="99" t="str">
        <f aca="false">IF(OR(NOT(ISNUMBER(O205)),NOT(ISNUMBER(O437))),"",O205-O437)</f>
        <v/>
      </c>
      <c r="P669" s="11" t="str">
        <f aca="false">IF(COUNT(D669:N669)=0,"",IF(AND(MAX(D669:N669)&lt;0.0005,MIN(D669:N669)&gt;-0.0005),"Sin diferencia","Diferencia a explicar"))</f>
        <v/>
      </c>
    </row>
    <row r="670" customFormat="false" ht="15" hidden="true" customHeight="false" outlineLevel="1" collapsed="false">
      <c r="A670" s="11" t="s">
        <v>2567</v>
      </c>
      <c r="B670" s="15" t="s">
        <v>2376</v>
      </c>
      <c r="C670" s="11" t="s">
        <v>508</v>
      </c>
      <c r="D670" s="48" t="str">
        <f aca="false">IF(OR(NOT(ISNUMBER(D206)),NOT(ISNUMBER(D438))),"",D206-D438)</f>
        <v/>
      </c>
      <c r="E670" s="48" t="str">
        <f aca="false">IF(OR(NOT(ISNUMBER(E206)),NOT(ISNUMBER(E438))),"",E206-E438)</f>
        <v/>
      </c>
      <c r="F670" s="48" t="str">
        <f aca="false">IF(OR(NOT(ISNUMBER(F206)),NOT(ISNUMBER(F438))),"",F206-F438)</f>
        <v/>
      </c>
      <c r="G670" s="48" t="str">
        <f aca="false">IF(OR(NOT(ISNUMBER(G206)),NOT(ISNUMBER(G438))),"",G206-G438)</f>
        <v/>
      </c>
      <c r="H670" s="48" t="str">
        <f aca="false">IF(OR(NOT(ISNUMBER(H206)),NOT(ISNUMBER(H438))),"",H206-H438)</f>
        <v/>
      </c>
      <c r="I670" s="48" t="str">
        <f aca="false">IF(OR(NOT(ISNUMBER(I206)),NOT(ISNUMBER(I438))),"",I206-I438)</f>
        <v/>
      </c>
      <c r="J670" s="48" t="str">
        <f aca="false">IF(OR(NOT(ISNUMBER(J206)),NOT(ISNUMBER(J438))),"",J206-J438)</f>
        <v/>
      </c>
      <c r="K670" s="48" t="str">
        <f aca="false">IF(OR(NOT(ISNUMBER(K206)),NOT(ISNUMBER(K438))),"",K206-K438)</f>
        <v/>
      </c>
      <c r="L670" s="48" t="str">
        <f aca="false">IF(OR(NOT(ISNUMBER(L206)),NOT(ISNUMBER(L438))),"",L206-L438)</f>
        <v/>
      </c>
      <c r="M670" s="48" t="str">
        <f aca="false">IF(OR(NOT(ISNUMBER(M206)),NOT(ISNUMBER(M438))),"",M206-M438)</f>
        <v/>
      </c>
      <c r="N670" s="48" t="str">
        <f aca="false">IF(OR(NOT(ISNUMBER(N206)),NOT(ISNUMBER(N438))),"",N206-N438)</f>
        <v/>
      </c>
      <c r="O670" s="54" t="str">
        <f aca="false">IF(OR(NOT(ISNUMBER(O206)),NOT(ISNUMBER(O438))),"",O206-O438)</f>
        <v/>
      </c>
      <c r="P670" s="11" t="str">
        <f aca="false">IF(COUNT(D670:N670)=0,"",IF(AND(MAX(D670:N670)&lt;2,MIN(D670:N670)&gt;-2),"Sin diferencia","Diferencia a explicar"))</f>
        <v/>
      </c>
    </row>
    <row r="671" customFormat="false" ht="15" hidden="true" customHeight="false" outlineLevel="1" collapsed="false">
      <c r="A671" s="11" t="s">
        <v>2568</v>
      </c>
      <c r="B671" s="15" t="s">
        <v>2378</v>
      </c>
      <c r="C671" s="11" t="s">
        <v>508</v>
      </c>
      <c r="D671" s="48" t="str">
        <f aca="false">IF(OR(NOT(ISNUMBER(D207)),NOT(ISNUMBER(D439))),"",D207-D439)</f>
        <v/>
      </c>
      <c r="E671" s="48" t="str">
        <f aca="false">IF(OR(NOT(ISNUMBER(E207)),NOT(ISNUMBER(E439))),"",E207-E439)</f>
        <v/>
      </c>
      <c r="F671" s="48" t="str">
        <f aca="false">IF(OR(NOT(ISNUMBER(F207)),NOT(ISNUMBER(F439))),"",F207-F439)</f>
        <v/>
      </c>
      <c r="G671" s="48" t="str">
        <f aca="false">IF(OR(NOT(ISNUMBER(G207)),NOT(ISNUMBER(G439))),"",G207-G439)</f>
        <v/>
      </c>
      <c r="H671" s="48" t="str">
        <f aca="false">IF(OR(NOT(ISNUMBER(H207)),NOT(ISNUMBER(H439))),"",H207-H439)</f>
        <v/>
      </c>
      <c r="I671" s="48" t="str">
        <f aca="false">IF(OR(NOT(ISNUMBER(I207)),NOT(ISNUMBER(I439))),"",I207-I439)</f>
        <v/>
      </c>
      <c r="J671" s="48" t="str">
        <f aca="false">IF(OR(NOT(ISNUMBER(J207)),NOT(ISNUMBER(J439))),"",J207-J439)</f>
        <v/>
      </c>
      <c r="K671" s="48" t="str">
        <f aca="false">IF(OR(NOT(ISNUMBER(K207)),NOT(ISNUMBER(K439))),"",K207-K439)</f>
        <v/>
      </c>
      <c r="L671" s="48" t="str">
        <f aca="false">IF(OR(NOT(ISNUMBER(L207)),NOT(ISNUMBER(L439))),"",L207-L439)</f>
        <v/>
      </c>
      <c r="M671" s="48" t="str">
        <f aca="false">IF(OR(NOT(ISNUMBER(M207)),NOT(ISNUMBER(M439))),"",M207-M439)</f>
        <v/>
      </c>
      <c r="N671" s="48" t="str">
        <f aca="false">IF(OR(NOT(ISNUMBER(N207)),NOT(ISNUMBER(N439))),"",N207-N439)</f>
        <v/>
      </c>
      <c r="O671" s="54" t="str">
        <f aca="false">IF(OR(NOT(ISNUMBER(O207)),NOT(ISNUMBER(O439))),"",O207-O439)</f>
        <v/>
      </c>
      <c r="P671" s="11" t="str">
        <f aca="false">IF(COUNT(D671:N671)=0,"",IF(AND(MAX(D671:N671)&lt;2,MIN(D671:N671)&gt;-2),"Sin diferencia","Diferencia a explicar"))</f>
        <v/>
      </c>
    </row>
    <row r="672" customFormat="false" ht="15" hidden="true" customHeight="false" outlineLevel="1" collapsed="false">
      <c r="A672" s="11" t="s">
        <v>2569</v>
      </c>
      <c r="B672" s="15" t="s">
        <v>2380</v>
      </c>
      <c r="C672" s="11" t="s">
        <v>748</v>
      </c>
      <c r="D672" s="50" t="str">
        <f aca="false">IF(OR(NOT(ISNUMBER(D208)),NOT(ISNUMBER(D440))),"",D208-D440)</f>
        <v/>
      </c>
      <c r="E672" s="50" t="str">
        <f aca="false">IF(OR(NOT(ISNUMBER(E208)),NOT(ISNUMBER(E440))),"",E208-E440)</f>
        <v/>
      </c>
      <c r="F672" s="50" t="str">
        <f aca="false">IF(OR(NOT(ISNUMBER(F208)),NOT(ISNUMBER(F440))),"",F208-F440)</f>
        <v/>
      </c>
      <c r="G672" s="50" t="str">
        <f aca="false">IF(OR(NOT(ISNUMBER(G208)),NOT(ISNUMBER(G440))),"",G208-G440)</f>
        <v/>
      </c>
      <c r="H672" s="50" t="str">
        <f aca="false">IF(OR(NOT(ISNUMBER(H208)),NOT(ISNUMBER(H440))),"",H208-H440)</f>
        <v/>
      </c>
      <c r="I672" s="50" t="str">
        <f aca="false">IF(OR(NOT(ISNUMBER(I208)),NOT(ISNUMBER(I440))),"",I208-I440)</f>
        <v/>
      </c>
      <c r="J672" s="50" t="str">
        <f aca="false">IF(OR(NOT(ISNUMBER(J208)),NOT(ISNUMBER(J440))),"",J208-J440)</f>
        <v/>
      </c>
      <c r="K672" s="50" t="str">
        <f aca="false">IF(OR(NOT(ISNUMBER(K208)),NOT(ISNUMBER(K440))),"",K208-K440)</f>
        <v/>
      </c>
      <c r="L672" s="50" t="str">
        <f aca="false">IF(OR(NOT(ISNUMBER(L208)),NOT(ISNUMBER(L440))),"",L208-L440)</f>
        <v/>
      </c>
      <c r="M672" s="50" t="str">
        <f aca="false">IF(OR(NOT(ISNUMBER(M208)),NOT(ISNUMBER(M440))),"",M208-M440)</f>
        <v/>
      </c>
      <c r="N672" s="50" t="str">
        <f aca="false">IF(OR(NOT(ISNUMBER(N208)),NOT(ISNUMBER(N440))),"",N208-N440)</f>
        <v/>
      </c>
      <c r="O672" s="68" t="str">
        <f aca="false">IF(OR(NOT(ISNUMBER(O208)),NOT(ISNUMBER(O440))),"",O208-O440)</f>
        <v/>
      </c>
      <c r="P672" s="11" t="str">
        <f aca="false">IF(COUNT(D672:N672)=0,"",IF(AND(MAX(D672:N672)&lt;0.005,MIN(D672:N672)&gt;-0.005),"Sin diferencia","Diferencia a explicar"))</f>
        <v/>
      </c>
    </row>
    <row r="673" customFormat="false" ht="15" hidden="true" customHeight="false" outlineLevel="1" collapsed="false">
      <c r="A673" s="11" t="s">
        <v>2570</v>
      </c>
      <c r="B673" s="53" t="str">
        <f aca="false">IF(INDEX(Prod_Nombre,23)="","Producto 23",INDEX(Prod_Nombre,23))&amp;" — costo directo"</f>
        <v>Producto 23 — costo directo</v>
      </c>
      <c r="C673" s="11" t="s">
        <v>508</v>
      </c>
      <c r="D673" s="48" t="str">
        <f aca="false">IF(OR(NOT(ISNUMBER(D209)),NOT(ISNUMBER(D441))),"",D209-D441)</f>
        <v/>
      </c>
      <c r="E673" s="48" t="str">
        <f aca="false">IF(OR(NOT(ISNUMBER(E209)),NOT(ISNUMBER(E441))),"",E209-E441)</f>
        <v/>
      </c>
      <c r="F673" s="48" t="str">
        <f aca="false">IF(OR(NOT(ISNUMBER(F209)),NOT(ISNUMBER(F441))),"",F209-F441)</f>
        <v/>
      </c>
      <c r="G673" s="48" t="str">
        <f aca="false">IF(OR(NOT(ISNUMBER(G209)),NOT(ISNUMBER(G441))),"",G209-G441)</f>
        <v/>
      </c>
      <c r="H673" s="48" t="str">
        <f aca="false">IF(OR(NOT(ISNUMBER(H209)),NOT(ISNUMBER(H441))),"",H209-H441)</f>
        <v/>
      </c>
      <c r="I673" s="48" t="str">
        <f aca="false">IF(OR(NOT(ISNUMBER(I209)),NOT(ISNUMBER(I441))),"",I209-I441)</f>
        <v/>
      </c>
      <c r="J673" s="48" t="str">
        <f aca="false">IF(OR(NOT(ISNUMBER(J209)),NOT(ISNUMBER(J441))),"",J209-J441)</f>
        <v/>
      </c>
      <c r="K673" s="48" t="str">
        <f aca="false">IF(OR(NOT(ISNUMBER(K209)),NOT(ISNUMBER(K441))),"",K209-K441)</f>
        <v/>
      </c>
      <c r="L673" s="48" t="str">
        <f aca="false">IF(OR(NOT(ISNUMBER(L209)),NOT(ISNUMBER(L441))),"",L209-L441)</f>
        <v/>
      </c>
      <c r="M673" s="48" t="str">
        <f aca="false">IF(OR(NOT(ISNUMBER(M209)),NOT(ISNUMBER(M441))),"",M209-M441)</f>
        <v/>
      </c>
      <c r="N673" s="48" t="str">
        <f aca="false">IF(OR(NOT(ISNUMBER(N209)),NOT(ISNUMBER(N441))),"",N209-N441)</f>
        <v/>
      </c>
      <c r="O673" s="54" t="str">
        <f aca="false">IF(OR(NOT(ISNUMBER(O209)),NOT(ISNUMBER(O441))),"",O209-O441)</f>
        <v/>
      </c>
      <c r="P673" s="11" t="str">
        <f aca="false">IF(COUNT(D673:N673)=0,"",IF(AND(MAX(D673:N673)&lt;2,MIN(D673:N673)&gt;-2),"Sin diferencia","Diferencia a explicar"))</f>
        <v/>
      </c>
    </row>
    <row r="674" customFormat="false" ht="15" hidden="true" customHeight="false" outlineLevel="1" collapsed="false">
      <c r="A674" s="11" t="s">
        <v>2571</v>
      </c>
      <c r="B674" s="15" t="s">
        <v>2366</v>
      </c>
      <c r="C674" s="11" t="s">
        <v>544</v>
      </c>
      <c r="D674" s="48" t="str">
        <f aca="false">IF(OR(NOT(ISNUMBER(D210)),NOT(ISNUMBER(D442))),"",D210-D442)</f>
        <v/>
      </c>
      <c r="E674" s="48" t="str">
        <f aca="false">IF(OR(NOT(ISNUMBER(E210)),NOT(ISNUMBER(E442))),"",E210-E442)</f>
        <v/>
      </c>
      <c r="F674" s="48" t="str">
        <f aca="false">IF(OR(NOT(ISNUMBER(F210)),NOT(ISNUMBER(F442))),"",F210-F442)</f>
        <v/>
      </c>
      <c r="G674" s="48" t="str">
        <f aca="false">IF(OR(NOT(ISNUMBER(G210)),NOT(ISNUMBER(G442))),"",G210-G442)</f>
        <v/>
      </c>
      <c r="H674" s="48" t="str">
        <f aca="false">IF(OR(NOT(ISNUMBER(H210)),NOT(ISNUMBER(H442))),"",H210-H442)</f>
        <v/>
      </c>
      <c r="I674" s="48" t="str">
        <f aca="false">IF(OR(NOT(ISNUMBER(I210)),NOT(ISNUMBER(I442))),"",I210-I442)</f>
        <v/>
      </c>
      <c r="J674" s="48" t="str">
        <f aca="false">IF(OR(NOT(ISNUMBER(J210)),NOT(ISNUMBER(J442))),"",J210-J442)</f>
        <v/>
      </c>
      <c r="K674" s="48" t="str">
        <f aca="false">IF(OR(NOT(ISNUMBER(K210)),NOT(ISNUMBER(K442))),"",K210-K442)</f>
        <v/>
      </c>
      <c r="L674" s="48" t="str">
        <f aca="false">IF(OR(NOT(ISNUMBER(L210)),NOT(ISNUMBER(L442))),"",L210-L442)</f>
        <v/>
      </c>
      <c r="M674" s="48" t="str">
        <f aca="false">IF(OR(NOT(ISNUMBER(M210)),NOT(ISNUMBER(M442))),"",M210-M442)</f>
        <v/>
      </c>
      <c r="N674" s="48" t="str">
        <f aca="false">IF(OR(NOT(ISNUMBER(N210)),NOT(ISNUMBER(N442))),"",N210-N442)</f>
        <v/>
      </c>
      <c r="O674" s="54" t="str">
        <f aca="false">IF(OR(NOT(ISNUMBER(O210)),NOT(ISNUMBER(O442))),"",O210-O442)</f>
        <v/>
      </c>
      <c r="P674" s="11" t="str">
        <f aca="false">IF(COUNT(D674:N674)=0,"",IF(AND(MAX(D674:N674)&lt;2,MIN(D674:N674)&gt;-2),"Sin diferencia","Diferencia a explicar"))</f>
        <v/>
      </c>
    </row>
    <row r="675" customFormat="false" ht="15" hidden="true" customHeight="false" outlineLevel="1" collapsed="false">
      <c r="A675" s="11" t="s">
        <v>2572</v>
      </c>
      <c r="B675" s="15" t="s">
        <v>2368</v>
      </c>
      <c r="C675" s="11" t="s">
        <v>508</v>
      </c>
      <c r="D675" s="48" t="str">
        <f aca="false">IF(OR(NOT(ISNUMBER(D211)),NOT(ISNUMBER(D443))),"",D211-D443)</f>
        <v/>
      </c>
      <c r="E675" s="48" t="str">
        <f aca="false">IF(OR(NOT(ISNUMBER(E211)),NOT(ISNUMBER(E443))),"",E211-E443)</f>
        <v/>
      </c>
      <c r="F675" s="48" t="str">
        <f aca="false">IF(OR(NOT(ISNUMBER(F211)),NOT(ISNUMBER(F443))),"",F211-F443)</f>
        <v/>
      </c>
      <c r="G675" s="48" t="str">
        <f aca="false">IF(OR(NOT(ISNUMBER(G211)),NOT(ISNUMBER(G443))),"",G211-G443)</f>
        <v/>
      </c>
      <c r="H675" s="48" t="str">
        <f aca="false">IF(OR(NOT(ISNUMBER(H211)),NOT(ISNUMBER(H443))),"",H211-H443)</f>
        <v/>
      </c>
      <c r="I675" s="48" t="str">
        <f aca="false">IF(OR(NOT(ISNUMBER(I211)),NOT(ISNUMBER(I443))),"",I211-I443)</f>
        <v/>
      </c>
      <c r="J675" s="48" t="str">
        <f aca="false">IF(OR(NOT(ISNUMBER(J211)),NOT(ISNUMBER(J443))),"",J211-J443)</f>
        <v/>
      </c>
      <c r="K675" s="48" t="str">
        <f aca="false">IF(OR(NOT(ISNUMBER(K211)),NOT(ISNUMBER(K443))),"",K211-K443)</f>
        <v/>
      </c>
      <c r="L675" s="48" t="str">
        <f aca="false">IF(OR(NOT(ISNUMBER(L211)),NOT(ISNUMBER(L443))),"",L211-L443)</f>
        <v/>
      </c>
      <c r="M675" s="48" t="str">
        <f aca="false">IF(OR(NOT(ISNUMBER(M211)),NOT(ISNUMBER(M443))),"",M211-M443)</f>
        <v/>
      </c>
      <c r="N675" s="48" t="str">
        <f aca="false">IF(OR(NOT(ISNUMBER(N211)),NOT(ISNUMBER(N443))),"",N211-N443)</f>
        <v/>
      </c>
      <c r="O675" s="54" t="str">
        <f aca="false">IF(OR(NOT(ISNUMBER(O211)),NOT(ISNUMBER(O443))),"",O211-O443)</f>
        <v/>
      </c>
      <c r="P675" s="11" t="str">
        <f aca="false">IF(COUNT(D675:N675)=0,"",IF(AND(MAX(D675:N675)&lt;2,MIN(D675:N675)&gt;-2),"Sin diferencia","Diferencia a explicar"))</f>
        <v/>
      </c>
    </row>
    <row r="676" customFormat="false" ht="15" hidden="true" customHeight="false" outlineLevel="1" collapsed="false">
      <c r="A676" s="11" t="s">
        <v>2573</v>
      </c>
      <c r="B676" s="15" t="s">
        <v>2370</v>
      </c>
      <c r="C676" s="11" t="s">
        <v>748</v>
      </c>
      <c r="D676" s="50" t="str">
        <f aca="false">IF(OR(NOT(ISNUMBER(D212)),NOT(ISNUMBER(D444))),"",D212-D444)</f>
        <v/>
      </c>
      <c r="E676" s="50" t="str">
        <f aca="false">IF(OR(NOT(ISNUMBER(E212)),NOT(ISNUMBER(E444))),"",E212-E444)</f>
        <v/>
      </c>
      <c r="F676" s="50" t="str">
        <f aca="false">IF(OR(NOT(ISNUMBER(F212)),NOT(ISNUMBER(F444))),"",F212-F444)</f>
        <v/>
      </c>
      <c r="G676" s="50" t="str">
        <f aca="false">IF(OR(NOT(ISNUMBER(G212)),NOT(ISNUMBER(G444))),"",G212-G444)</f>
        <v/>
      </c>
      <c r="H676" s="50" t="str">
        <f aca="false">IF(OR(NOT(ISNUMBER(H212)),NOT(ISNUMBER(H444))),"",H212-H444)</f>
        <v/>
      </c>
      <c r="I676" s="50" t="str">
        <f aca="false">IF(OR(NOT(ISNUMBER(I212)),NOT(ISNUMBER(I444))),"",I212-I444)</f>
        <v/>
      </c>
      <c r="J676" s="50" t="str">
        <f aca="false">IF(OR(NOT(ISNUMBER(J212)),NOT(ISNUMBER(J444))),"",J212-J444)</f>
        <v/>
      </c>
      <c r="K676" s="50" t="str">
        <f aca="false">IF(OR(NOT(ISNUMBER(K212)),NOT(ISNUMBER(K444))),"",K212-K444)</f>
        <v/>
      </c>
      <c r="L676" s="50" t="str">
        <f aca="false">IF(OR(NOT(ISNUMBER(L212)),NOT(ISNUMBER(L444))),"",L212-L444)</f>
        <v/>
      </c>
      <c r="M676" s="50" t="str">
        <f aca="false">IF(OR(NOT(ISNUMBER(M212)),NOT(ISNUMBER(M444))),"",M212-M444)</f>
        <v/>
      </c>
      <c r="N676" s="50" t="str">
        <f aca="false">IF(OR(NOT(ISNUMBER(N212)),NOT(ISNUMBER(N444))),"",N212-N444)</f>
        <v/>
      </c>
      <c r="O676" s="68" t="str">
        <f aca="false">IF(OR(NOT(ISNUMBER(O212)),NOT(ISNUMBER(O444))),"",O212-O444)</f>
        <v/>
      </c>
      <c r="P676" s="11" t="str">
        <f aca="false">IF(COUNT(D676:N676)=0,"",IF(AND(MAX(D676:N676)&lt;0.005,MIN(D676:N676)&gt;-0.005),"Sin diferencia","Diferencia a explicar"))</f>
        <v/>
      </c>
    </row>
    <row r="677" customFormat="false" ht="15" hidden="true" customHeight="false" outlineLevel="1" collapsed="false">
      <c r="A677" s="11" t="s">
        <v>2574</v>
      </c>
      <c r="B677" s="15" t="s">
        <v>2372</v>
      </c>
      <c r="C677" s="11" t="s">
        <v>748</v>
      </c>
      <c r="D677" s="50" t="str">
        <f aca="false">IF(OR(NOT(ISNUMBER(D213)),NOT(ISNUMBER(D445))),"",D213-D445)</f>
        <v/>
      </c>
      <c r="E677" s="50" t="str">
        <f aca="false">IF(OR(NOT(ISNUMBER(E213)),NOT(ISNUMBER(E445))),"",E213-E445)</f>
        <v/>
      </c>
      <c r="F677" s="50" t="str">
        <f aca="false">IF(OR(NOT(ISNUMBER(F213)),NOT(ISNUMBER(F445))),"",F213-F445)</f>
        <v/>
      </c>
      <c r="G677" s="50" t="str">
        <f aca="false">IF(OR(NOT(ISNUMBER(G213)),NOT(ISNUMBER(G445))),"",G213-G445)</f>
        <v/>
      </c>
      <c r="H677" s="50" t="str">
        <f aca="false">IF(OR(NOT(ISNUMBER(H213)),NOT(ISNUMBER(H445))),"",H213-H445)</f>
        <v/>
      </c>
      <c r="I677" s="50" t="str">
        <f aca="false">IF(OR(NOT(ISNUMBER(I213)),NOT(ISNUMBER(I445))),"",I213-I445)</f>
        <v/>
      </c>
      <c r="J677" s="50" t="str">
        <f aca="false">IF(OR(NOT(ISNUMBER(J213)),NOT(ISNUMBER(J445))),"",J213-J445)</f>
        <v/>
      </c>
      <c r="K677" s="50" t="str">
        <f aca="false">IF(OR(NOT(ISNUMBER(K213)),NOT(ISNUMBER(K445))),"",K213-K445)</f>
        <v/>
      </c>
      <c r="L677" s="50" t="str">
        <f aca="false">IF(OR(NOT(ISNUMBER(L213)),NOT(ISNUMBER(L445))),"",L213-L445)</f>
        <v/>
      </c>
      <c r="M677" s="50" t="str">
        <f aca="false">IF(OR(NOT(ISNUMBER(M213)),NOT(ISNUMBER(M445))),"",M213-M445)</f>
        <v/>
      </c>
      <c r="N677" s="50" t="str">
        <f aca="false">IF(OR(NOT(ISNUMBER(N213)),NOT(ISNUMBER(N445))),"",N213-N445)</f>
        <v/>
      </c>
      <c r="O677" s="68" t="str">
        <f aca="false">IF(OR(NOT(ISNUMBER(O213)),NOT(ISNUMBER(O445))),"",O213-O445)</f>
        <v/>
      </c>
      <c r="P677" s="11" t="str">
        <f aca="false">IF(COUNT(D677:N677)=0,"",IF(AND(MAX(D677:N677)&lt;0.005,MIN(D677:N677)&gt;-0.005),"Sin diferencia","Diferencia a explicar"))</f>
        <v/>
      </c>
    </row>
    <row r="678" customFormat="false" ht="15" hidden="true" customHeight="false" outlineLevel="1" collapsed="false">
      <c r="A678" s="11" t="s">
        <v>2575</v>
      </c>
      <c r="B678" s="15" t="s">
        <v>2374</v>
      </c>
      <c r="C678" s="11" t="s">
        <v>367</v>
      </c>
      <c r="D678" s="49" t="str">
        <f aca="false">IF(OR(NOT(ISNUMBER(D214)),NOT(ISNUMBER(D446))),"",D214-D446)</f>
        <v/>
      </c>
      <c r="E678" s="49" t="str">
        <f aca="false">IF(OR(NOT(ISNUMBER(E214)),NOT(ISNUMBER(E446))),"",E214-E446)</f>
        <v/>
      </c>
      <c r="F678" s="49" t="str">
        <f aca="false">IF(OR(NOT(ISNUMBER(F214)),NOT(ISNUMBER(F446))),"",F214-F446)</f>
        <v/>
      </c>
      <c r="G678" s="49" t="str">
        <f aca="false">IF(OR(NOT(ISNUMBER(G214)),NOT(ISNUMBER(G446))),"",G214-G446)</f>
        <v/>
      </c>
      <c r="H678" s="49" t="str">
        <f aca="false">IF(OR(NOT(ISNUMBER(H214)),NOT(ISNUMBER(H446))),"",H214-H446)</f>
        <v/>
      </c>
      <c r="I678" s="49" t="str">
        <f aca="false">IF(OR(NOT(ISNUMBER(I214)),NOT(ISNUMBER(I446))),"",I214-I446)</f>
        <v/>
      </c>
      <c r="J678" s="49" t="str">
        <f aca="false">IF(OR(NOT(ISNUMBER(J214)),NOT(ISNUMBER(J446))),"",J214-J446)</f>
        <v/>
      </c>
      <c r="K678" s="49" t="str">
        <f aca="false">IF(OR(NOT(ISNUMBER(K214)),NOT(ISNUMBER(K446))),"",K214-K446)</f>
        <v/>
      </c>
      <c r="L678" s="49" t="str">
        <f aca="false">IF(OR(NOT(ISNUMBER(L214)),NOT(ISNUMBER(L446))),"",L214-L446)</f>
        <v/>
      </c>
      <c r="M678" s="49" t="str">
        <f aca="false">IF(OR(NOT(ISNUMBER(M214)),NOT(ISNUMBER(M446))),"",M214-M446)</f>
        <v/>
      </c>
      <c r="N678" s="49" t="str">
        <f aca="false">IF(OR(NOT(ISNUMBER(N214)),NOT(ISNUMBER(N446))),"",N214-N446)</f>
        <v/>
      </c>
      <c r="O678" s="99" t="str">
        <f aca="false">IF(OR(NOT(ISNUMBER(O214)),NOT(ISNUMBER(O446))),"",O214-O446)</f>
        <v/>
      </c>
      <c r="P678" s="11" t="str">
        <f aca="false">IF(COUNT(D678:N678)=0,"",IF(AND(MAX(D678:N678)&lt;0.0005,MIN(D678:N678)&gt;-0.0005),"Sin diferencia","Diferencia a explicar"))</f>
        <v/>
      </c>
    </row>
    <row r="679" customFormat="false" ht="15" hidden="true" customHeight="false" outlineLevel="1" collapsed="false">
      <c r="A679" s="11" t="s">
        <v>2576</v>
      </c>
      <c r="B679" s="15" t="s">
        <v>2376</v>
      </c>
      <c r="C679" s="11" t="s">
        <v>508</v>
      </c>
      <c r="D679" s="48" t="str">
        <f aca="false">IF(OR(NOT(ISNUMBER(D215)),NOT(ISNUMBER(D447))),"",D215-D447)</f>
        <v/>
      </c>
      <c r="E679" s="48" t="str">
        <f aca="false">IF(OR(NOT(ISNUMBER(E215)),NOT(ISNUMBER(E447))),"",E215-E447)</f>
        <v/>
      </c>
      <c r="F679" s="48" t="str">
        <f aca="false">IF(OR(NOT(ISNUMBER(F215)),NOT(ISNUMBER(F447))),"",F215-F447)</f>
        <v/>
      </c>
      <c r="G679" s="48" t="str">
        <f aca="false">IF(OR(NOT(ISNUMBER(G215)),NOT(ISNUMBER(G447))),"",G215-G447)</f>
        <v/>
      </c>
      <c r="H679" s="48" t="str">
        <f aca="false">IF(OR(NOT(ISNUMBER(H215)),NOT(ISNUMBER(H447))),"",H215-H447)</f>
        <v/>
      </c>
      <c r="I679" s="48" t="str">
        <f aca="false">IF(OR(NOT(ISNUMBER(I215)),NOT(ISNUMBER(I447))),"",I215-I447)</f>
        <v/>
      </c>
      <c r="J679" s="48" t="str">
        <f aca="false">IF(OR(NOT(ISNUMBER(J215)),NOT(ISNUMBER(J447))),"",J215-J447)</f>
        <v/>
      </c>
      <c r="K679" s="48" t="str">
        <f aca="false">IF(OR(NOT(ISNUMBER(K215)),NOT(ISNUMBER(K447))),"",K215-K447)</f>
        <v/>
      </c>
      <c r="L679" s="48" t="str">
        <f aca="false">IF(OR(NOT(ISNUMBER(L215)),NOT(ISNUMBER(L447))),"",L215-L447)</f>
        <v/>
      </c>
      <c r="M679" s="48" t="str">
        <f aca="false">IF(OR(NOT(ISNUMBER(M215)),NOT(ISNUMBER(M447))),"",M215-M447)</f>
        <v/>
      </c>
      <c r="N679" s="48" t="str">
        <f aca="false">IF(OR(NOT(ISNUMBER(N215)),NOT(ISNUMBER(N447))),"",N215-N447)</f>
        <v/>
      </c>
      <c r="O679" s="54" t="str">
        <f aca="false">IF(OR(NOT(ISNUMBER(O215)),NOT(ISNUMBER(O447))),"",O215-O447)</f>
        <v/>
      </c>
      <c r="P679" s="11" t="str">
        <f aca="false">IF(COUNT(D679:N679)=0,"",IF(AND(MAX(D679:N679)&lt;2,MIN(D679:N679)&gt;-2),"Sin diferencia","Diferencia a explicar"))</f>
        <v/>
      </c>
    </row>
    <row r="680" customFormat="false" ht="15" hidden="true" customHeight="false" outlineLevel="1" collapsed="false">
      <c r="A680" s="11" t="s">
        <v>2577</v>
      </c>
      <c r="B680" s="15" t="s">
        <v>2378</v>
      </c>
      <c r="C680" s="11" t="s">
        <v>508</v>
      </c>
      <c r="D680" s="48" t="str">
        <f aca="false">IF(OR(NOT(ISNUMBER(D216)),NOT(ISNUMBER(D448))),"",D216-D448)</f>
        <v/>
      </c>
      <c r="E680" s="48" t="str">
        <f aca="false">IF(OR(NOT(ISNUMBER(E216)),NOT(ISNUMBER(E448))),"",E216-E448)</f>
        <v/>
      </c>
      <c r="F680" s="48" t="str">
        <f aca="false">IF(OR(NOT(ISNUMBER(F216)),NOT(ISNUMBER(F448))),"",F216-F448)</f>
        <v/>
      </c>
      <c r="G680" s="48" t="str">
        <f aca="false">IF(OR(NOT(ISNUMBER(G216)),NOT(ISNUMBER(G448))),"",G216-G448)</f>
        <v/>
      </c>
      <c r="H680" s="48" t="str">
        <f aca="false">IF(OR(NOT(ISNUMBER(H216)),NOT(ISNUMBER(H448))),"",H216-H448)</f>
        <v/>
      </c>
      <c r="I680" s="48" t="str">
        <f aca="false">IF(OR(NOT(ISNUMBER(I216)),NOT(ISNUMBER(I448))),"",I216-I448)</f>
        <v/>
      </c>
      <c r="J680" s="48" t="str">
        <f aca="false">IF(OR(NOT(ISNUMBER(J216)),NOT(ISNUMBER(J448))),"",J216-J448)</f>
        <v/>
      </c>
      <c r="K680" s="48" t="str">
        <f aca="false">IF(OR(NOT(ISNUMBER(K216)),NOT(ISNUMBER(K448))),"",K216-K448)</f>
        <v/>
      </c>
      <c r="L680" s="48" t="str">
        <f aca="false">IF(OR(NOT(ISNUMBER(L216)),NOT(ISNUMBER(L448))),"",L216-L448)</f>
        <v/>
      </c>
      <c r="M680" s="48" t="str">
        <f aca="false">IF(OR(NOT(ISNUMBER(M216)),NOT(ISNUMBER(M448))),"",M216-M448)</f>
        <v/>
      </c>
      <c r="N680" s="48" t="str">
        <f aca="false">IF(OR(NOT(ISNUMBER(N216)),NOT(ISNUMBER(N448))),"",N216-N448)</f>
        <v/>
      </c>
      <c r="O680" s="54" t="str">
        <f aca="false">IF(OR(NOT(ISNUMBER(O216)),NOT(ISNUMBER(O448))),"",O216-O448)</f>
        <v/>
      </c>
      <c r="P680" s="11" t="str">
        <f aca="false">IF(COUNT(D680:N680)=0,"",IF(AND(MAX(D680:N680)&lt;2,MIN(D680:N680)&gt;-2),"Sin diferencia","Diferencia a explicar"))</f>
        <v/>
      </c>
    </row>
    <row r="681" customFormat="false" ht="15" hidden="true" customHeight="false" outlineLevel="1" collapsed="false">
      <c r="A681" s="11" t="s">
        <v>2578</v>
      </c>
      <c r="B681" s="15" t="s">
        <v>2380</v>
      </c>
      <c r="C681" s="11" t="s">
        <v>748</v>
      </c>
      <c r="D681" s="50" t="str">
        <f aca="false">IF(OR(NOT(ISNUMBER(D217)),NOT(ISNUMBER(D449))),"",D217-D449)</f>
        <v/>
      </c>
      <c r="E681" s="50" t="str">
        <f aca="false">IF(OR(NOT(ISNUMBER(E217)),NOT(ISNUMBER(E449))),"",E217-E449)</f>
        <v/>
      </c>
      <c r="F681" s="50" t="str">
        <f aca="false">IF(OR(NOT(ISNUMBER(F217)),NOT(ISNUMBER(F449))),"",F217-F449)</f>
        <v/>
      </c>
      <c r="G681" s="50" t="str">
        <f aca="false">IF(OR(NOT(ISNUMBER(G217)),NOT(ISNUMBER(G449))),"",G217-G449)</f>
        <v/>
      </c>
      <c r="H681" s="50" t="str">
        <f aca="false">IF(OR(NOT(ISNUMBER(H217)),NOT(ISNUMBER(H449))),"",H217-H449)</f>
        <v/>
      </c>
      <c r="I681" s="50" t="str">
        <f aca="false">IF(OR(NOT(ISNUMBER(I217)),NOT(ISNUMBER(I449))),"",I217-I449)</f>
        <v/>
      </c>
      <c r="J681" s="50" t="str">
        <f aca="false">IF(OR(NOT(ISNUMBER(J217)),NOT(ISNUMBER(J449))),"",J217-J449)</f>
        <v/>
      </c>
      <c r="K681" s="50" t="str">
        <f aca="false">IF(OR(NOT(ISNUMBER(K217)),NOT(ISNUMBER(K449))),"",K217-K449)</f>
        <v/>
      </c>
      <c r="L681" s="50" t="str">
        <f aca="false">IF(OR(NOT(ISNUMBER(L217)),NOT(ISNUMBER(L449))),"",L217-L449)</f>
        <v/>
      </c>
      <c r="M681" s="50" t="str">
        <f aca="false">IF(OR(NOT(ISNUMBER(M217)),NOT(ISNUMBER(M449))),"",M217-M449)</f>
        <v/>
      </c>
      <c r="N681" s="50" t="str">
        <f aca="false">IF(OR(NOT(ISNUMBER(N217)),NOT(ISNUMBER(N449))),"",N217-N449)</f>
        <v/>
      </c>
      <c r="O681" s="68" t="str">
        <f aca="false">IF(OR(NOT(ISNUMBER(O217)),NOT(ISNUMBER(O449))),"",O217-O449)</f>
        <v/>
      </c>
      <c r="P681" s="11" t="str">
        <f aca="false">IF(COUNT(D681:N681)=0,"",IF(AND(MAX(D681:N681)&lt;0.005,MIN(D681:N681)&gt;-0.005),"Sin diferencia","Diferencia a explicar"))</f>
        <v/>
      </c>
    </row>
    <row r="682" customFormat="false" ht="15" hidden="true" customHeight="false" outlineLevel="1" collapsed="false">
      <c r="A682" s="11" t="s">
        <v>2579</v>
      </c>
      <c r="B682" s="53" t="str">
        <f aca="false">IF(INDEX(Prod_Nombre,24)="","Producto 24",INDEX(Prod_Nombre,24))&amp;" — costo directo"</f>
        <v>Producto 24 — costo directo</v>
      </c>
      <c r="C682" s="11" t="s">
        <v>508</v>
      </c>
      <c r="D682" s="48" t="str">
        <f aca="false">IF(OR(NOT(ISNUMBER(D218)),NOT(ISNUMBER(D450))),"",D218-D450)</f>
        <v/>
      </c>
      <c r="E682" s="48" t="str">
        <f aca="false">IF(OR(NOT(ISNUMBER(E218)),NOT(ISNUMBER(E450))),"",E218-E450)</f>
        <v/>
      </c>
      <c r="F682" s="48" t="str">
        <f aca="false">IF(OR(NOT(ISNUMBER(F218)),NOT(ISNUMBER(F450))),"",F218-F450)</f>
        <v/>
      </c>
      <c r="G682" s="48" t="str">
        <f aca="false">IF(OR(NOT(ISNUMBER(G218)),NOT(ISNUMBER(G450))),"",G218-G450)</f>
        <v/>
      </c>
      <c r="H682" s="48" t="str">
        <f aca="false">IF(OR(NOT(ISNUMBER(H218)),NOT(ISNUMBER(H450))),"",H218-H450)</f>
        <v/>
      </c>
      <c r="I682" s="48" t="str">
        <f aca="false">IF(OR(NOT(ISNUMBER(I218)),NOT(ISNUMBER(I450))),"",I218-I450)</f>
        <v/>
      </c>
      <c r="J682" s="48" t="str">
        <f aca="false">IF(OR(NOT(ISNUMBER(J218)),NOT(ISNUMBER(J450))),"",J218-J450)</f>
        <v/>
      </c>
      <c r="K682" s="48" t="str">
        <f aca="false">IF(OR(NOT(ISNUMBER(K218)),NOT(ISNUMBER(K450))),"",K218-K450)</f>
        <v/>
      </c>
      <c r="L682" s="48" t="str">
        <f aca="false">IF(OR(NOT(ISNUMBER(L218)),NOT(ISNUMBER(L450))),"",L218-L450)</f>
        <v/>
      </c>
      <c r="M682" s="48" t="str">
        <f aca="false">IF(OR(NOT(ISNUMBER(M218)),NOT(ISNUMBER(M450))),"",M218-M450)</f>
        <v/>
      </c>
      <c r="N682" s="48" t="str">
        <f aca="false">IF(OR(NOT(ISNUMBER(N218)),NOT(ISNUMBER(N450))),"",N218-N450)</f>
        <v/>
      </c>
      <c r="O682" s="54" t="str">
        <f aca="false">IF(OR(NOT(ISNUMBER(O218)),NOT(ISNUMBER(O450))),"",O218-O450)</f>
        <v/>
      </c>
      <c r="P682" s="11" t="str">
        <f aca="false">IF(COUNT(D682:N682)=0,"",IF(AND(MAX(D682:N682)&lt;2,MIN(D682:N682)&gt;-2),"Sin diferencia","Diferencia a explicar"))</f>
        <v/>
      </c>
    </row>
    <row r="683" customFormat="false" ht="15" hidden="true" customHeight="false" outlineLevel="1" collapsed="false">
      <c r="A683" s="11" t="s">
        <v>2580</v>
      </c>
      <c r="B683" s="15" t="s">
        <v>2366</v>
      </c>
      <c r="C683" s="11" t="s">
        <v>544</v>
      </c>
      <c r="D683" s="48" t="str">
        <f aca="false">IF(OR(NOT(ISNUMBER(D219)),NOT(ISNUMBER(D451))),"",D219-D451)</f>
        <v/>
      </c>
      <c r="E683" s="48" t="str">
        <f aca="false">IF(OR(NOT(ISNUMBER(E219)),NOT(ISNUMBER(E451))),"",E219-E451)</f>
        <v/>
      </c>
      <c r="F683" s="48" t="str">
        <f aca="false">IF(OR(NOT(ISNUMBER(F219)),NOT(ISNUMBER(F451))),"",F219-F451)</f>
        <v/>
      </c>
      <c r="G683" s="48" t="str">
        <f aca="false">IF(OR(NOT(ISNUMBER(G219)),NOT(ISNUMBER(G451))),"",G219-G451)</f>
        <v/>
      </c>
      <c r="H683" s="48" t="str">
        <f aca="false">IF(OR(NOT(ISNUMBER(H219)),NOT(ISNUMBER(H451))),"",H219-H451)</f>
        <v/>
      </c>
      <c r="I683" s="48" t="str">
        <f aca="false">IF(OR(NOT(ISNUMBER(I219)),NOT(ISNUMBER(I451))),"",I219-I451)</f>
        <v/>
      </c>
      <c r="J683" s="48" t="str">
        <f aca="false">IF(OR(NOT(ISNUMBER(J219)),NOT(ISNUMBER(J451))),"",J219-J451)</f>
        <v/>
      </c>
      <c r="K683" s="48" t="str">
        <f aca="false">IF(OR(NOT(ISNUMBER(K219)),NOT(ISNUMBER(K451))),"",K219-K451)</f>
        <v/>
      </c>
      <c r="L683" s="48" t="str">
        <f aca="false">IF(OR(NOT(ISNUMBER(L219)),NOT(ISNUMBER(L451))),"",L219-L451)</f>
        <v/>
      </c>
      <c r="M683" s="48" t="str">
        <f aca="false">IF(OR(NOT(ISNUMBER(M219)),NOT(ISNUMBER(M451))),"",M219-M451)</f>
        <v/>
      </c>
      <c r="N683" s="48" t="str">
        <f aca="false">IF(OR(NOT(ISNUMBER(N219)),NOT(ISNUMBER(N451))),"",N219-N451)</f>
        <v/>
      </c>
      <c r="O683" s="54" t="str">
        <f aca="false">IF(OR(NOT(ISNUMBER(O219)),NOT(ISNUMBER(O451))),"",O219-O451)</f>
        <v/>
      </c>
      <c r="P683" s="11" t="str">
        <f aca="false">IF(COUNT(D683:N683)=0,"",IF(AND(MAX(D683:N683)&lt;2,MIN(D683:N683)&gt;-2),"Sin diferencia","Diferencia a explicar"))</f>
        <v/>
      </c>
    </row>
    <row r="684" customFormat="false" ht="15" hidden="true" customHeight="false" outlineLevel="1" collapsed="false">
      <c r="A684" s="11" t="s">
        <v>2581</v>
      </c>
      <c r="B684" s="15" t="s">
        <v>2368</v>
      </c>
      <c r="C684" s="11" t="s">
        <v>508</v>
      </c>
      <c r="D684" s="48" t="str">
        <f aca="false">IF(OR(NOT(ISNUMBER(D220)),NOT(ISNUMBER(D452))),"",D220-D452)</f>
        <v/>
      </c>
      <c r="E684" s="48" t="str">
        <f aca="false">IF(OR(NOT(ISNUMBER(E220)),NOT(ISNUMBER(E452))),"",E220-E452)</f>
        <v/>
      </c>
      <c r="F684" s="48" t="str">
        <f aca="false">IF(OR(NOT(ISNUMBER(F220)),NOT(ISNUMBER(F452))),"",F220-F452)</f>
        <v/>
      </c>
      <c r="G684" s="48" t="str">
        <f aca="false">IF(OR(NOT(ISNUMBER(G220)),NOT(ISNUMBER(G452))),"",G220-G452)</f>
        <v/>
      </c>
      <c r="H684" s="48" t="str">
        <f aca="false">IF(OR(NOT(ISNUMBER(H220)),NOT(ISNUMBER(H452))),"",H220-H452)</f>
        <v/>
      </c>
      <c r="I684" s="48" t="str">
        <f aca="false">IF(OR(NOT(ISNUMBER(I220)),NOT(ISNUMBER(I452))),"",I220-I452)</f>
        <v/>
      </c>
      <c r="J684" s="48" t="str">
        <f aca="false">IF(OR(NOT(ISNUMBER(J220)),NOT(ISNUMBER(J452))),"",J220-J452)</f>
        <v/>
      </c>
      <c r="K684" s="48" t="str">
        <f aca="false">IF(OR(NOT(ISNUMBER(K220)),NOT(ISNUMBER(K452))),"",K220-K452)</f>
        <v/>
      </c>
      <c r="L684" s="48" t="str">
        <f aca="false">IF(OR(NOT(ISNUMBER(L220)),NOT(ISNUMBER(L452))),"",L220-L452)</f>
        <v/>
      </c>
      <c r="M684" s="48" t="str">
        <f aca="false">IF(OR(NOT(ISNUMBER(M220)),NOT(ISNUMBER(M452))),"",M220-M452)</f>
        <v/>
      </c>
      <c r="N684" s="48" t="str">
        <f aca="false">IF(OR(NOT(ISNUMBER(N220)),NOT(ISNUMBER(N452))),"",N220-N452)</f>
        <v/>
      </c>
      <c r="O684" s="54" t="str">
        <f aca="false">IF(OR(NOT(ISNUMBER(O220)),NOT(ISNUMBER(O452))),"",O220-O452)</f>
        <v/>
      </c>
      <c r="P684" s="11" t="str">
        <f aca="false">IF(COUNT(D684:N684)=0,"",IF(AND(MAX(D684:N684)&lt;2,MIN(D684:N684)&gt;-2),"Sin diferencia","Diferencia a explicar"))</f>
        <v/>
      </c>
    </row>
    <row r="685" customFormat="false" ht="15" hidden="true" customHeight="false" outlineLevel="1" collapsed="false">
      <c r="A685" s="11" t="s">
        <v>2582</v>
      </c>
      <c r="B685" s="15" t="s">
        <v>2370</v>
      </c>
      <c r="C685" s="11" t="s">
        <v>748</v>
      </c>
      <c r="D685" s="50" t="str">
        <f aca="false">IF(OR(NOT(ISNUMBER(D221)),NOT(ISNUMBER(D453))),"",D221-D453)</f>
        <v/>
      </c>
      <c r="E685" s="50" t="str">
        <f aca="false">IF(OR(NOT(ISNUMBER(E221)),NOT(ISNUMBER(E453))),"",E221-E453)</f>
        <v/>
      </c>
      <c r="F685" s="50" t="str">
        <f aca="false">IF(OR(NOT(ISNUMBER(F221)),NOT(ISNUMBER(F453))),"",F221-F453)</f>
        <v/>
      </c>
      <c r="G685" s="50" t="str">
        <f aca="false">IF(OR(NOT(ISNUMBER(G221)),NOT(ISNUMBER(G453))),"",G221-G453)</f>
        <v/>
      </c>
      <c r="H685" s="50" t="str">
        <f aca="false">IF(OR(NOT(ISNUMBER(H221)),NOT(ISNUMBER(H453))),"",H221-H453)</f>
        <v/>
      </c>
      <c r="I685" s="50" t="str">
        <f aca="false">IF(OR(NOT(ISNUMBER(I221)),NOT(ISNUMBER(I453))),"",I221-I453)</f>
        <v/>
      </c>
      <c r="J685" s="50" t="str">
        <f aca="false">IF(OR(NOT(ISNUMBER(J221)),NOT(ISNUMBER(J453))),"",J221-J453)</f>
        <v/>
      </c>
      <c r="K685" s="50" t="str">
        <f aca="false">IF(OR(NOT(ISNUMBER(K221)),NOT(ISNUMBER(K453))),"",K221-K453)</f>
        <v/>
      </c>
      <c r="L685" s="50" t="str">
        <f aca="false">IF(OR(NOT(ISNUMBER(L221)),NOT(ISNUMBER(L453))),"",L221-L453)</f>
        <v/>
      </c>
      <c r="M685" s="50" t="str">
        <f aca="false">IF(OR(NOT(ISNUMBER(M221)),NOT(ISNUMBER(M453))),"",M221-M453)</f>
        <v/>
      </c>
      <c r="N685" s="50" t="str">
        <f aca="false">IF(OR(NOT(ISNUMBER(N221)),NOT(ISNUMBER(N453))),"",N221-N453)</f>
        <v/>
      </c>
      <c r="O685" s="68" t="str">
        <f aca="false">IF(OR(NOT(ISNUMBER(O221)),NOT(ISNUMBER(O453))),"",O221-O453)</f>
        <v/>
      </c>
      <c r="P685" s="11" t="str">
        <f aca="false">IF(COUNT(D685:N685)=0,"",IF(AND(MAX(D685:N685)&lt;0.005,MIN(D685:N685)&gt;-0.005),"Sin diferencia","Diferencia a explicar"))</f>
        <v/>
      </c>
    </row>
    <row r="686" customFormat="false" ht="15" hidden="true" customHeight="false" outlineLevel="1" collapsed="false">
      <c r="A686" s="11" t="s">
        <v>2583</v>
      </c>
      <c r="B686" s="15" t="s">
        <v>2372</v>
      </c>
      <c r="C686" s="11" t="s">
        <v>748</v>
      </c>
      <c r="D686" s="50" t="str">
        <f aca="false">IF(OR(NOT(ISNUMBER(D222)),NOT(ISNUMBER(D454))),"",D222-D454)</f>
        <v/>
      </c>
      <c r="E686" s="50" t="str">
        <f aca="false">IF(OR(NOT(ISNUMBER(E222)),NOT(ISNUMBER(E454))),"",E222-E454)</f>
        <v/>
      </c>
      <c r="F686" s="50" t="str">
        <f aca="false">IF(OR(NOT(ISNUMBER(F222)),NOT(ISNUMBER(F454))),"",F222-F454)</f>
        <v/>
      </c>
      <c r="G686" s="50" t="str">
        <f aca="false">IF(OR(NOT(ISNUMBER(G222)),NOT(ISNUMBER(G454))),"",G222-G454)</f>
        <v/>
      </c>
      <c r="H686" s="50" t="str">
        <f aca="false">IF(OR(NOT(ISNUMBER(H222)),NOT(ISNUMBER(H454))),"",H222-H454)</f>
        <v/>
      </c>
      <c r="I686" s="50" t="str">
        <f aca="false">IF(OR(NOT(ISNUMBER(I222)),NOT(ISNUMBER(I454))),"",I222-I454)</f>
        <v/>
      </c>
      <c r="J686" s="50" t="str">
        <f aca="false">IF(OR(NOT(ISNUMBER(J222)),NOT(ISNUMBER(J454))),"",J222-J454)</f>
        <v/>
      </c>
      <c r="K686" s="50" t="str">
        <f aca="false">IF(OR(NOT(ISNUMBER(K222)),NOT(ISNUMBER(K454))),"",K222-K454)</f>
        <v/>
      </c>
      <c r="L686" s="50" t="str">
        <f aca="false">IF(OR(NOT(ISNUMBER(L222)),NOT(ISNUMBER(L454))),"",L222-L454)</f>
        <v/>
      </c>
      <c r="M686" s="50" t="str">
        <f aca="false">IF(OR(NOT(ISNUMBER(M222)),NOT(ISNUMBER(M454))),"",M222-M454)</f>
        <v/>
      </c>
      <c r="N686" s="50" t="str">
        <f aca="false">IF(OR(NOT(ISNUMBER(N222)),NOT(ISNUMBER(N454))),"",N222-N454)</f>
        <v/>
      </c>
      <c r="O686" s="68" t="str">
        <f aca="false">IF(OR(NOT(ISNUMBER(O222)),NOT(ISNUMBER(O454))),"",O222-O454)</f>
        <v/>
      </c>
      <c r="P686" s="11" t="str">
        <f aca="false">IF(COUNT(D686:N686)=0,"",IF(AND(MAX(D686:N686)&lt;0.005,MIN(D686:N686)&gt;-0.005),"Sin diferencia","Diferencia a explicar"))</f>
        <v/>
      </c>
    </row>
    <row r="687" customFormat="false" ht="15" hidden="true" customHeight="false" outlineLevel="1" collapsed="false">
      <c r="A687" s="11" t="s">
        <v>2584</v>
      </c>
      <c r="B687" s="15" t="s">
        <v>2374</v>
      </c>
      <c r="C687" s="11" t="s">
        <v>367</v>
      </c>
      <c r="D687" s="49" t="str">
        <f aca="false">IF(OR(NOT(ISNUMBER(D223)),NOT(ISNUMBER(D455))),"",D223-D455)</f>
        <v/>
      </c>
      <c r="E687" s="49" t="str">
        <f aca="false">IF(OR(NOT(ISNUMBER(E223)),NOT(ISNUMBER(E455))),"",E223-E455)</f>
        <v/>
      </c>
      <c r="F687" s="49" t="str">
        <f aca="false">IF(OR(NOT(ISNUMBER(F223)),NOT(ISNUMBER(F455))),"",F223-F455)</f>
        <v/>
      </c>
      <c r="G687" s="49" t="str">
        <f aca="false">IF(OR(NOT(ISNUMBER(G223)),NOT(ISNUMBER(G455))),"",G223-G455)</f>
        <v/>
      </c>
      <c r="H687" s="49" t="str">
        <f aca="false">IF(OR(NOT(ISNUMBER(H223)),NOT(ISNUMBER(H455))),"",H223-H455)</f>
        <v/>
      </c>
      <c r="I687" s="49" t="str">
        <f aca="false">IF(OR(NOT(ISNUMBER(I223)),NOT(ISNUMBER(I455))),"",I223-I455)</f>
        <v/>
      </c>
      <c r="J687" s="49" t="str">
        <f aca="false">IF(OR(NOT(ISNUMBER(J223)),NOT(ISNUMBER(J455))),"",J223-J455)</f>
        <v/>
      </c>
      <c r="K687" s="49" t="str">
        <f aca="false">IF(OR(NOT(ISNUMBER(K223)),NOT(ISNUMBER(K455))),"",K223-K455)</f>
        <v/>
      </c>
      <c r="L687" s="49" t="str">
        <f aca="false">IF(OR(NOT(ISNUMBER(L223)),NOT(ISNUMBER(L455))),"",L223-L455)</f>
        <v/>
      </c>
      <c r="M687" s="49" t="str">
        <f aca="false">IF(OR(NOT(ISNUMBER(M223)),NOT(ISNUMBER(M455))),"",M223-M455)</f>
        <v/>
      </c>
      <c r="N687" s="49" t="str">
        <f aca="false">IF(OR(NOT(ISNUMBER(N223)),NOT(ISNUMBER(N455))),"",N223-N455)</f>
        <v/>
      </c>
      <c r="O687" s="99" t="str">
        <f aca="false">IF(OR(NOT(ISNUMBER(O223)),NOT(ISNUMBER(O455))),"",O223-O455)</f>
        <v/>
      </c>
      <c r="P687" s="11" t="str">
        <f aca="false">IF(COUNT(D687:N687)=0,"",IF(AND(MAX(D687:N687)&lt;0.0005,MIN(D687:N687)&gt;-0.0005),"Sin diferencia","Diferencia a explicar"))</f>
        <v/>
      </c>
    </row>
    <row r="688" customFormat="false" ht="15" hidden="true" customHeight="false" outlineLevel="1" collapsed="false">
      <c r="A688" s="11" t="s">
        <v>2585</v>
      </c>
      <c r="B688" s="15" t="s">
        <v>2376</v>
      </c>
      <c r="C688" s="11" t="s">
        <v>508</v>
      </c>
      <c r="D688" s="48" t="str">
        <f aca="false">IF(OR(NOT(ISNUMBER(D224)),NOT(ISNUMBER(D456))),"",D224-D456)</f>
        <v/>
      </c>
      <c r="E688" s="48" t="str">
        <f aca="false">IF(OR(NOT(ISNUMBER(E224)),NOT(ISNUMBER(E456))),"",E224-E456)</f>
        <v/>
      </c>
      <c r="F688" s="48" t="str">
        <f aca="false">IF(OR(NOT(ISNUMBER(F224)),NOT(ISNUMBER(F456))),"",F224-F456)</f>
        <v/>
      </c>
      <c r="G688" s="48" t="str">
        <f aca="false">IF(OR(NOT(ISNUMBER(G224)),NOT(ISNUMBER(G456))),"",G224-G456)</f>
        <v/>
      </c>
      <c r="H688" s="48" t="str">
        <f aca="false">IF(OR(NOT(ISNUMBER(H224)),NOT(ISNUMBER(H456))),"",H224-H456)</f>
        <v/>
      </c>
      <c r="I688" s="48" t="str">
        <f aca="false">IF(OR(NOT(ISNUMBER(I224)),NOT(ISNUMBER(I456))),"",I224-I456)</f>
        <v/>
      </c>
      <c r="J688" s="48" t="str">
        <f aca="false">IF(OR(NOT(ISNUMBER(J224)),NOT(ISNUMBER(J456))),"",J224-J456)</f>
        <v/>
      </c>
      <c r="K688" s="48" t="str">
        <f aca="false">IF(OR(NOT(ISNUMBER(K224)),NOT(ISNUMBER(K456))),"",K224-K456)</f>
        <v/>
      </c>
      <c r="L688" s="48" t="str">
        <f aca="false">IF(OR(NOT(ISNUMBER(L224)),NOT(ISNUMBER(L456))),"",L224-L456)</f>
        <v/>
      </c>
      <c r="M688" s="48" t="str">
        <f aca="false">IF(OR(NOT(ISNUMBER(M224)),NOT(ISNUMBER(M456))),"",M224-M456)</f>
        <v/>
      </c>
      <c r="N688" s="48" t="str">
        <f aca="false">IF(OR(NOT(ISNUMBER(N224)),NOT(ISNUMBER(N456))),"",N224-N456)</f>
        <v/>
      </c>
      <c r="O688" s="54" t="str">
        <f aca="false">IF(OR(NOT(ISNUMBER(O224)),NOT(ISNUMBER(O456))),"",O224-O456)</f>
        <v/>
      </c>
      <c r="P688" s="11" t="str">
        <f aca="false">IF(COUNT(D688:N688)=0,"",IF(AND(MAX(D688:N688)&lt;2,MIN(D688:N688)&gt;-2),"Sin diferencia","Diferencia a explicar"))</f>
        <v/>
      </c>
    </row>
    <row r="689" customFormat="false" ht="15" hidden="true" customHeight="false" outlineLevel="1" collapsed="false">
      <c r="A689" s="11" t="s">
        <v>2586</v>
      </c>
      <c r="B689" s="15" t="s">
        <v>2378</v>
      </c>
      <c r="C689" s="11" t="s">
        <v>508</v>
      </c>
      <c r="D689" s="48" t="str">
        <f aca="false">IF(OR(NOT(ISNUMBER(D225)),NOT(ISNUMBER(D457))),"",D225-D457)</f>
        <v/>
      </c>
      <c r="E689" s="48" t="str">
        <f aca="false">IF(OR(NOT(ISNUMBER(E225)),NOT(ISNUMBER(E457))),"",E225-E457)</f>
        <v/>
      </c>
      <c r="F689" s="48" t="str">
        <f aca="false">IF(OR(NOT(ISNUMBER(F225)),NOT(ISNUMBER(F457))),"",F225-F457)</f>
        <v/>
      </c>
      <c r="G689" s="48" t="str">
        <f aca="false">IF(OR(NOT(ISNUMBER(G225)),NOT(ISNUMBER(G457))),"",G225-G457)</f>
        <v/>
      </c>
      <c r="H689" s="48" t="str">
        <f aca="false">IF(OR(NOT(ISNUMBER(H225)),NOT(ISNUMBER(H457))),"",H225-H457)</f>
        <v/>
      </c>
      <c r="I689" s="48" t="str">
        <f aca="false">IF(OR(NOT(ISNUMBER(I225)),NOT(ISNUMBER(I457))),"",I225-I457)</f>
        <v/>
      </c>
      <c r="J689" s="48" t="str">
        <f aca="false">IF(OR(NOT(ISNUMBER(J225)),NOT(ISNUMBER(J457))),"",J225-J457)</f>
        <v/>
      </c>
      <c r="K689" s="48" t="str">
        <f aca="false">IF(OR(NOT(ISNUMBER(K225)),NOT(ISNUMBER(K457))),"",K225-K457)</f>
        <v/>
      </c>
      <c r="L689" s="48" t="str">
        <f aca="false">IF(OR(NOT(ISNUMBER(L225)),NOT(ISNUMBER(L457))),"",L225-L457)</f>
        <v/>
      </c>
      <c r="M689" s="48" t="str">
        <f aca="false">IF(OR(NOT(ISNUMBER(M225)),NOT(ISNUMBER(M457))),"",M225-M457)</f>
        <v/>
      </c>
      <c r="N689" s="48" t="str">
        <f aca="false">IF(OR(NOT(ISNUMBER(N225)),NOT(ISNUMBER(N457))),"",N225-N457)</f>
        <v/>
      </c>
      <c r="O689" s="54" t="str">
        <f aca="false">IF(OR(NOT(ISNUMBER(O225)),NOT(ISNUMBER(O457))),"",O225-O457)</f>
        <v/>
      </c>
      <c r="P689" s="11" t="str">
        <f aca="false">IF(COUNT(D689:N689)=0,"",IF(AND(MAX(D689:N689)&lt;2,MIN(D689:N689)&gt;-2),"Sin diferencia","Diferencia a explicar"))</f>
        <v/>
      </c>
    </row>
    <row r="690" customFormat="false" ht="15" hidden="true" customHeight="false" outlineLevel="1" collapsed="false">
      <c r="A690" s="11" t="s">
        <v>2587</v>
      </c>
      <c r="B690" s="15" t="s">
        <v>2380</v>
      </c>
      <c r="C690" s="11" t="s">
        <v>748</v>
      </c>
      <c r="D690" s="50" t="str">
        <f aca="false">IF(OR(NOT(ISNUMBER(D226)),NOT(ISNUMBER(D458))),"",D226-D458)</f>
        <v/>
      </c>
      <c r="E690" s="50" t="str">
        <f aca="false">IF(OR(NOT(ISNUMBER(E226)),NOT(ISNUMBER(E458))),"",E226-E458)</f>
        <v/>
      </c>
      <c r="F690" s="50" t="str">
        <f aca="false">IF(OR(NOT(ISNUMBER(F226)),NOT(ISNUMBER(F458))),"",F226-F458)</f>
        <v/>
      </c>
      <c r="G690" s="50" t="str">
        <f aca="false">IF(OR(NOT(ISNUMBER(G226)),NOT(ISNUMBER(G458))),"",G226-G458)</f>
        <v/>
      </c>
      <c r="H690" s="50" t="str">
        <f aca="false">IF(OR(NOT(ISNUMBER(H226)),NOT(ISNUMBER(H458))),"",H226-H458)</f>
        <v/>
      </c>
      <c r="I690" s="50" t="str">
        <f aca="false">IF(OR(NOT(ISNUMBER(I226)),NOT(ISNUMBER(I458))),"",I226-I458)</f>
        <v/>
      </c>
      <c r="J690" s="50" t="str">
        <f aca="false">IF(OR(NOT(ISNUMBER(J226)),NOT(ISNUMBER(J458))),"",J226-J458)</f>
        <v/>
      </c>
      <c r="K690" s="50" t="str">
        <f aca="false">IF(OR(NOT(ISNUMBER(K226)),NOT(ISNUMBER(K458))),"",K226-K458)</f>
        <v/>
      </c>
      <c r="L690" s="50" t="str">
        <f aca="false">IF(OR(NOT(ISNUMBER(L226)),NOT(ISNUMBER(L458))),"",L226-L458)</f>
        <v/>
      </c>
      <c r="M690" s="50" t="str">
        <f aca="false">IF(OR(NOT(ISNUMBER(M226)),NOT(ISNUMBER(M458))),"",M226-M458)</f>
        <v/>
      </c>
      <c r="N690" s="50" t="str">
        <f aca="false">IF(OR(NOT(ISNUMBER(N226)),NOT(ISNUMBER(N458))),"",N226-N458)</f>
        <v/>
      </c>
      <c r="O690" s="68" t="str">
        <f aca="false">IF(OR(NOT(ISNUMBER(O226)),NOT(ISNUMBER(O458))),"",O226-O458)</f>
        <v/>
      </c>
      <c r="P690" s="11" t="str">
        <f aca="false">IF(COUNT(D690:N690)=0,"",IF(AND(MAX(D690:N690)&lt;0.005,MIN(D690:N690)&gt;-0.005),"Sin diferencia","Diferencia a explicar"))</f>
        <v/>
      </c>
    </row>
    <row r="691" customFormat="false" ht="15" hidden="true" customHeight="false" outlineLevel="1" collapsed="false">
      <c r="A691" s="11" t="s">
        <v>2588</v>
      </c>
      <c r="B691" s="53" t="str">
        <f aca="false">IF(INDEX(Prod_Nombre,25)="","Producto 25",INDEX(Prod_Nombre,25))&amp;" — costo directo"</f>
        <v>Producto 25 — costo directo</v>
      </c>
      <c r="C691" s="11" t="s">
        <v>508</v>
      </c>
      <c r="D691" s="48" t="str">
        <f aca="false">IF(OR(NOT(ISNUMBER(D227)),NOT(ISNUMBER(D459))),"",D227-D459)</f>
        <v/>
      </c>
      <c r="E691" s="48" t="str">
        <f aca="false">IF(OR(NOT(ISNUMBER(E227)),NOT(ISNUMBER(E459))),"",E227-E459)</f>
        <v/>
      </c>
      <c r="F691" s="48" t="str">
        <f aca="false">IF(OR(NOT(ISNUMBER(F227)),NOT(ISNUMBER(F459))),"",F227-F459)</f>
        <v/>
      </c>
      <c r="G691" s="48" t="str">
        <f aca="false">IF(OR(NOT(ISNUMBER(G227)),NOT(ISNUMBER(G459))),"",G227-G459)</f>
        <v/>
      </c>
      <c r="H691" s="48" t="str">
        <f aca="false">IF(OR(NOT(ISNUMBER(H227)),NOT(ISNUMBER(H459))),"",H227-H459)</f>
        <v/>
      </c>
      <c r="I691" s="48" t="str">
        <f aca="false">IF(OR(NOT(ISNUMBER(I227)),NOT(ISNUMBER(I459))),"",I227-I459)</f>
        <v/>
      </c>
      <c r="J691" s="48" t="str">
        <f aca="false">IF(OR(NOT(ISNUMBER(J227)),NOT(ISNUMBER(J459))),"",J227-J459)</f>
        <v/>
      </c>
      <c r="K691" s="48" t="str">
        <f aca="false">IF(OR(NOT(ISNUMBER(K227)),NOT(ISNUMBER(K459))),"",K227-K459)</f>
        <v/>
      </c>
      <c r="L691" s="48" t="str">
        <f aca="false">IF(OR(NOT(ISNUMBER(L227)),NOT(ISNUMBER(L459))),"",L227-L459)</f>
        <v/>
      </c>
      <c r="M691" s="48" t="str">
        <f aca="false">IF(OR(NOT(ISNUMBER(M227)),NOT(ISNUMBER(M459))),"",M227-M459)</f>
        <v/>
      </c>
      <c r="N691" s="48" t="str">
        <f aca="false">IF(OR(NOT(ISNUMBER(N227)),NOT(ISNUMBER(N459))),"",N227-N459)</f>
        <v/>
      </c>
      <c r="O691" s="54" t="str">
        <f aca="false">IF(OR(NOT(ISNUMBER(O227)),NOT(ISNUMBER(O459))),"",O227-O459)</f>
        <v/>
      </c>
      <c r="P691" s="11" t="str">
        <f aca="false">IF(COUNT(D691:N691)=0,"",IF(AND(MAX(D691:N691)&lt;2,MIN(D691:N691)&gt;-2),"Sin diferencia","Diferencia a explicar"))</f>
        <v/>
      </c>
    </row>
    <row r="692" customFormat="false" ht="15" hidden="true" customHeight="false" outlineLevel="1" collapsed="false">
      <c r="A692" s="11" t="s">
        <v>2589</v>
      </c>
      <c r="B692" s="15" t="s">
        <v>2366</v>
      </c>
      <c r="C692" s="11" t="s">
        <v>544</v>
      </c>
      <c r="D692" s="48" t="str">
        <f aca="false">IF(OR(NOT(ISNUMBER(D228)),NOT(ISNUMBER(D460))),"",D228-D460)</f>
        <v/>
      </c>
      <c r="E692" s="48" t="str">
        <f aca="false">IF(OR(NOT(ISNUMBER(E228)),NOT(ISNUMBER(E460))),"",E228-E460)</f>
        <v/>
      </c>
      <c r="F692" s="48" t="str">
        <f aca="false">IF(OR(NOT(ISNUMBER(F228)),NOT(ISNUMBER(F460))),"",F228-F460)</f>
        <v/>
      </c>
      <c r="G692" s="48" t="str">
        <f aca="false">IF(OR(NOT(ISNUMBER(G228)),NOT(ISNUMBER(G460))),"",G228-G460)</f>
        <v/>
      </c>
      <c r="H692" s="48" t="str">
        <f aca="false">IF(OR(NOT(ISNUMBER(H228)),NOT(ISNUMBER(H460))),"",H228-H460)</f>
        <v/>
      </c>
      <c r="I692" s="48" t="str">
        <f aca="false">IF(OR(NOT(ISNUMBER(I228)),NOT(ISNUMBER(I460))),"",I228-I460)</f>
        <v/>
      </c>
      <c r="J692" s="48" t="str">
        <f aca="false">IF(OR(NOT(ISNUMBER(J228)),NOT(ISNUMBER(J460))),"",J228-J460)</f>
        <v/>
      </c>
      <c r="K692" s="48" t="str">
        <f aca="false">IF(OR(NOT(ISNUMBER(K228)),NOT(ISNUMBER(K460))),"",K228-K460)</f>
        <v/>
      </c>
      <c r="L692" s="48" t="str">
        <f aca="false">IF(OR(NOT(ISNUMBER(L228)),NOT(ISNUMBER(L460))),"",L228-L460)</f>
        <v/>
      </c>
      <c r="M692" s="48" t="str">
        <f aca="false">IF(OR(NOT(ISNUMBER(M228)),NOT(ISNUMBER(M460))),"",M228-M460)</f>
        <v/>
      </c>
      <c r="N692" s="48" t="str">
        <f aca="false">IF(OR(NOT(ISNUMBER(N228)),NOT(ISNUMBER(N460))),"",N228-N460)</f>
        <v/>
      </c>
      <c r="O692" s="54" t="str">
        <f aca="false">IF(OR(NOT(ISNUMBER(O228)),NOT(ISNUMBER(O460))),"",O228-O460)</f>
        <v/>
      </c>
      <c r="P692" s="11" t="str">
        <f aca="false">IF(COUNT(D692:N692)=0,"",IF(AND(MAX(D692:N692)&lt;2,MIN(D692:N692)&gt;-2),"Sin diferencia","Diferencia a explicar"))</f>
        <v/>
      </c>
    </row>
    <row r="693" customFormat="false" ht="15" hidden="true" customHeight="false" outlineLevel="1" collapsed="false">
      <c r="A693" s="11" t="s">
        <v>2590</v>
      </c>
      <c r="B693" s="15" t="s">
        <v>2368</v>
      </c>
      <c r="C693" s="11" t="s">
        <v>508</v>
      </c>
      <c r="D693" s="48" t="str">
        <f aca="false">IF(OR(NOT(ISNUMBER(D229)),NOT(ISNUMBER(D461))),"",D229-D461)</f>
        <v/>
      </c>
      <c r="E693" s="48" t="str">
        <f aca="false">IF(OR(NOT(ISNUMBER(E229)),NOT(ISNUMBER(E461))),"",E229-E461)</f>
        <v/>
      </c>
      <c r="F693" s="48" t="str">
        <f aca="false">IF(OR(NOT(ISNUMBER(F229)),NOT(ISNUMBER(F461))),"",F229-F461)</f>
        <v/>
      </c>
      <c r="G693" s="48" t="str">
        <f aca="false">IF(OR(NOT(ISNUMBER(G229)),NOT(ISNUMBER(G461))),"",G229-G461)</f>
        <v/>
      </c>
      <c r="H693" s="48" t="str">
        <f aca="false">IF(OR(NOT(ISNUMBER(H229)),NOT(ISNUMBER(H461))),"",H229-H461)</f>
        <v/>
      </c>
      <c r="I693" s="48" t="str">
        <f aca="false">IF(OR(NOT(ISNUMBER(I229)),NOT(ISNUMBER(I461))),"",I229-I461)</f>
        <v/>
      </c>
      <c r="J693" s="48" t="str">
        <f aca="false">IF(OR(NOT(ISNUMBER(J229)),NOT(ISNUMBER(J461))),"",J229-J461)</f>
        <v/>
      </c>
      <c r="K693" s="48" t="str">
        <f aca="false">IF(OR(NOT(ISNUMBER(K229)),NOT(ISNUMBER(K461))),"",K229-K461)</f>
        <v/>
      </c>
      <c r="L693" s="48" t="str">
        <f aca="false">IF(OR(NOT(ISNUMBER(L229)),NOT(ISNUMBER(L461))),"",L229-L461)</f>
        <v/>
      </c>
      <c r="M693" s="48" t="str">
        <f aca="false">IF(OR(NOT(ISNUMBER(M229)),NOT(ISNUMBER(M461))),"",M229-M461)</f>
        <v/>
      </c>
      <c r="N693" s="48" t="str">
        <f aca="false">IF(OR(NOT(ISNUMBER(N229)),NOT(ISNUMBER(N461))),"",N229-N461)</f>
        <v/>
      </c>
      <c r="O693" s="54" t="str">
        <f aca="false">IF(OR(NOT(ISNUMBER(O229)),NOT(ISNUMBER(O461))),"",O229-O461)</f>
        <v/>
      </c>
      <c r="P693" s="11" t="str">
        <f aca="false">IF(COUNT(D693:N693)=0,"",IF(AND(MAX(D693:N693)&lt;2,MIN(D693:N693)&gt;-2),"Sin diferencia","Diferencia a explicar"))</f>
        <v/>
      </c>
    </row>
    <row r="694" customFormat="false" ht="15" hidden="true" customHeight="false" outlineLevel="1" collapsed="false">
      <c r="A694" s="11" t="s">
        <v>2591</v>
      </c>
      <c r="B694" s="15" t="s">
        <v>2370</v>
      </c>
      <c r="C694" s="11" t="s">
        <v>748</v>
      </c>
      <c r="D694" s="50" t="str">
        <f aca="false">IF(OR(NOT(ISNUMBER(D230)),NOT(ISNUMBER(D462))),"",D230-D462)</f>
        <v/>
      </c>
      <c r="E694" s="50" t="str">
        <f aca="false">IF(OR(NOT(ISNUMBER(E230)),NOT(ISNUMBER(E462))),"",E230-E462)</f>
        <v/>
      </c>
      <c r="F694" s="50" t="str">
        <f aca="false">IF(OR(NOT(ISNUMBER(F230)),NOT(ISNUMBER(F462))),"",F230-F462)</f>
        <v/>
      </c>
      <c r="G694" s="50" t="str">
        <f aca="false">IF(OR(NOT(ISNUMBER(G230)),NOT(ISNUMBER(G462))),"",G230-G462)</f>
        <v/>
      </c>
      <c r="H694" s="50" t="str">
        <f aca="false">IF(OR(NOT(ISNUMBER(H230)),NOT(ISNUMBER(H462))),"",H230-H462)</f>
        <v/>
      </c>
      <c r="I694" s="50" t="str">
        <f aca="false">IF(OR(NOT(ISNUMBER(I230)),NOT(ISNUMBER(I462))),"",I230-I462)</f>
        <v/>
      </c>
      <c r="J694" s="50" t="str">
        <f aca="false">IF(OR(NOT(ISNUMBER(J230)),NOT(ISNUMBER(J462))),"",J230-J462)</f>
        <v/>
      </c>
      <c r="K694" s="50" t="str">
        <f aca="false">IF(OR(NOT(ISNUMBER(K230)),NOT(ISNUMBER(K462))),"",K230-K462)</f>
        <v/>
      </c>
      <c r="L694" s="50" t="str">
        <f aca="false">IF(OR(NOT(ISNUMBER(L230)),NOT(ISNUMBER(L462))),"",L230-L462)</f>
        <v/>
      </c>
      <c r="M694" s="50" t="str">
        <f aca="false">IF(OR(NOT(ISNUMBER(M230)),NOT(ISNUMBER(M462))),"",M230-M462)</f>
        <v/>
      </c>
      <c r="N694" s="50" t="str">
        <f aca="false">IF(OR(NOT(ISNUMBER(N230)),NOT(ISNUMBER(N462))),"",N230-N462)</f>
        <v/>
      </c>
      <c r="O694" s="68" t="str">
        <f aca="false">IF(OR(NOT(ISNUMBER(O230)),NOT(ISNUMBER(O462))),"",O230-O462)</f>
        <v/>
      </c>
      <c r="P694" s="11" t="str">
        <f aca="false">IF(COUNT(D694:N694)=0,"",IF(AND(MAX(D694:N694)&lt;0.005,MIN(D694:N694)&gt;-0.005),"Sin diferencia","Diferencia a explicar"))</f>
        <v/>
      </c>
    </row>
    <row r="695" customFormat="false" ht="15" hidden="true" customHeight="false" outlineLevel="1" collapsed="false">
      <c r="A695" s="11" t="s">
        <v>2592</v>
      </c>
      <c r="B695" s="15" t="s">
        <v>2372</v>
      </c>
      <c r="C695" s="11" t="s">
        <v>748</v>
      </c>
      <c r="D695" s="50" t="str">
        <f aca="false">IF(OR(NOT(ISNUMBER(D231)),NOT(ISNUMBER(D463))),"",D231-D463)</f>
        <v/>
      </c>
      <c r="E695" s="50" t="str">
        <f aca="false">IF(OR(NOT(ISNUMBER(E231)),NOT(ISNUMBER(E463))),"",E231-E463)</f>
        <v/>
      </c>
      <c r="F695" s="50" t="str">
        <f aca="false">IF(OR(NOT(ISNUMBER(F231)),NOT(ISNUMBER(F463))),"",F231-F463)</f>
        <v/>
      </c>
      <c r="G695" s="50" t="str">
        <f aca="false">IF(OR(NOT(ISNUMBER(G231)),NOT(ISNUMBER(G463))),"",G231-G463)</f>
        <v/>
      </c>
      <c r="H695" s="50" t="str">
        <f aca="false">IF(OR(NOT(ISNUMBER(H231)),NOT(ISNUMBER(H463))),"",H231-H463)</f>
        <v/>
      </c>
      <c r="I695" s="50" t="str">
        <f aca="false">IF(OR(NOT(ISNUMBER(I231)),NOT(ISNUMBER(I463))),"",I231-I463)</f>
        <v/>
      </c>
      <c r="J695" s="50" t="str">
        <f aca="false">IF(OR(NOT(ISNUMBER(J231)),NOT(ISNUMBER(J463))),"",J231-J463)</f>
        <v/>
      </c>
      <c r="K695" s="50" t="str">
        <f aca="false">IF(OR(NOT(ISNUMBER(K231)),NOT(ISNUMBER(K463))),"",K231-K463)</f>
        <v/>
      </c>
      <c r="L695" s="50" t="str">
        <f aca="false">IF(OR(NOT(ISNUMBER(L231)),NOT(ISNUMBER(L463))),"",L231-L463)</f>
        <v/>
      </c>
      <c r="M695" s="50" t="str">
        <f aca="false">IF(OR(NOT(ISNUMBER(M231)),NOT(ISNUMBER(M463))),"",M231-M463)</f>
        <v/>
      </c>
      <c r="N695" s="50" t="str">
        <f aca="false">IF(OR(NOT(ISNUMBER(N231)),NOT(ISNUMBER(N463))),"",N231-N463)</f>
        <v/>
      </c>
      <c r="O695" s="68" t="str">
        <f aca="false">IF(OR(NOT(ISNUMBER(O231)),NOT(ISNUMBER(O463))),"",O231-O463)</f>
        <v/>
      </c>
      <c r="P695" s="11" t="str">
        <f aca="false">IF(COUNT(D695:N695)=0,"",IF(AND(MAX(D695:N695)&lt;0.005,MIN(D695:N695)&gt;-0.005),"Sin diferencia","Diferencia a explicar"))</f>
        <v/>
      </c>
    </row>
    <row r="696" customFormat="false" ht="15" hidden="true" customHeight="false" outlineLevel="1" collapsed="false">
      <c r="A696" s="11" t="s">
        <v>2593</v>
      </c>
      <c r="B696" s="15" t="s">
        <v>2374</v>
      </c>
      <c r="C696" s="11" t="s">
        <v>367</v>
      </c>
      <c r="D696" s="49" t="str">
        <f aca="false">IF(OR(NOT(ISNUMBER(D232)),NOT(ISNUMBER(D464))),"",D232-D464)</f>
        <v/>
      </c>
      <c r="E696" s="49" t="str">
        <f aca="false">IF(OR(NOT(ISNUMBER(E232)),NOT(ISNUMBER(E464))),"",E232-E464)</f>
        <v/>
      </c>
      <c r="F696" s="49" t="str">
        <f aca="false">IF(OR(NOT(ISNUMBER(F232)),NOT(ISNUMBER(F464))),"",F232-F464)</f>
        <v/>
      </c>
      <c r="G696" s="49" t="str">
        <f aca="false">IF(OR(NOT(ISNUMBER(G232)),NOT(ISNUMBER(G464))),"",G232-G464)</f>
        <v/>
      </c>
      <c r="H696" s="49" t="str">
        <f aca="false">IF(OR(NOT(ISNUMBER(H232)),NOT(ISNUMBER(H464))),"",H232-H464)</f>
        <v/>
      </c>
      <c r="I696" s="49" t="str">
        <f aca="false">IF(OR(NOT(ISNUMBER(I232)),NOT(ISNUMBER(I464))),"",I232-I464)</f>
        <v/>
      </c>
      <c r="J696" s="49" t="str">
        <f aca="false">IF(OR(NOT(ISNUMBER(J232)),NOT(ISNUMBER(J464))),"",J232-J464)</f>
        <v/>
      </c>
      <c r="K696" s="49" t="str">
        <f aca="false">IF(OR(NOT(ISNUMBER(K232)),NOT(ISNUMBER(K464))),"",K232-K464)</f>
        <v/>
      </c>
      <c r="L696" s="49" t="str">
        <f aca="false">IF(OR(NOT(ISNUMBER(L232)),NOT(ISNUMBER(L464))),"",L232-L464)</f>
        <v/>
      </c>
      <c r="M696" s="49" t="str">
        <f aca="false">IF(OR(NOT(ISNUMBER(M232)),NOT(ISNUMBER(M464))),"",M232-M464)</f>
        <v/>
      </c>
      <c r="N696" s="49" t="str">
        <f aca="false">IF(OR(NOT(ISNUMBER(N232)),NOT(ISNUMBER(N464))),"",N232-N464)</f>
        <v/>
      </c>
      <c r="O696" s="99" t="str">
        <f aca="false">IF(OR(NOT(ISNUMBER(O232)),NOT(ISNUMBER(O464))),"",O232-O464)</f>
        <v/>
      </c>
      <c r="P696" s="11" t="str">
        <f aca="false">IF(COUNT(D696:N696)=0,"",IF(AND(MAX(D696:N696)&lt;0.0005,MIN(D696:N696)&gt;-0.0005),"Sin diferencia","Diferencia a explicar"))</f>
        <v/>
      </c>
    </row>
    <row r="697" customFormat="false" ht="15" hidden="true" customHeight="false" outlineLevel="1" collapsed="false">
      <c r="A697" s="11" t="s">
        <v>2594</v>
      </c>
      <c r="B697" s="15" t="s">
        <v>2376</v>
      </c>
      <c r="C697" s="11" t="s">
        <v>508</v>
      </c>
      <c r="D697" s="48" t="str">
        <f aca="false">IF(OR(NOT(ISNUMBER(D233)),NOT(ISNUMBER(D465))),"",D233-D465)</f>
        <v/>
      </c>
      <c r="E697" s="48" t="str">
        <f aca="false">IF(OR(NOT(ISNUMBER(E233)),NOT(ISNUMBER(E465))),"",E233-E465)</f>
        <v/>
      </c>
      <c r="F697" s="48" t="str">
        <f aca="false">IF(OR(NOT(ISNUMBER(F233)),NOT(ISNUMBER(F465))),"",F233-F465)</f>
        <v/>
      </c>
      <c r="G697" s="48" t="str">
        <f aca="false">IF(OR(NOT(ISNUMBER(G233)),NOT(ISNUMBER(G465))),"",G233-G465)</f>
        <v/>
      </c>
      <c r="H697" s="48" t="str">
        <f aca="false">IF(OR(NOT(ISNUMBER(H233)),NOT(ISNUMBER(H465))),"",H233-H465)</f>
        <v/>
      </c>
      <c r="I697" s="48" t="str">
        <f aca="false">IF(OR(NOT(ISNUMBER(I233)),NOT(ISNUMBER(I465))),"",I233-I465)</f>
        <v/>
      </c>
      <c r="J697" s="48" t="str">
        <f aca="false">IF(OR(NOT(ISNUMBER(J233)),NOT(ISNUMBER(J465))),"",J233-J465)</f>
        <v/>
      </c>
      <c r="K697" s="48" t="str">
        <f aca="false">IF(OR(NOT(ISNUMBER(K233)),NOT(ISNUMBER(K465))),"",K233-K465)</f>
        <v/>
      </c>
      <c r="L697" s="48" t="str">
        <f aca="false">IF(OR(NOT(ISNUMBER(L233)),NOT(ISNUMBER(L465))),"",L233-L465)</f>
        <v/>
      </c>
      <c r="M697" s="48" t="str">
        <f aca="false">IF(OR(NOT(ISNUMBER(M233)),NOT(ISNUMBER(M465))),"",M233-M465)</f>
        <v/>
      </c>
      <c r="N697" s="48" t="str">
        <f aca="false">IF(OR(NOT(ISNUMBER(N233)),NOT(ISNUMBER(N465))),"",N233-N465)</f>
        <v/>
      </c>
      <c r="O697" s="54" t="str">
        <f aca="false">IF(OR(NOT(ISNUMBER(O233)),NOT(ISNUMBER(O465))),"",O233-O465)</f>
        <v/>
      </c>
      <c r="P697" s="11" t="str">
        <f aca="false">IF(COUNT(D697:N697)=0,"",IF(AND(MAX(D697:N697)&lt;2,MIN(D697:N697)&gt;-2),"Sin diferencia","Diferencia a explicar"))</f>
        <v/>
      </c>
    </row>
    <row r="698" customFormat="false" ht="15" hidden="true" customHeight="false" outlineLevel="1" collapsed="false">
      <c r="A698" s="11" t="s">
        <v>2595</v>
      </c>
      <c r="B698" s="15" t="s">
        <v>2378</v>
      </c>
      <c r="C698" s="11" t="s">
        <v>508</v>
      </c>
      <c r="D698" s="48" t="str">
        <f aca="false">IF(OR(NOT(ISNUMBER(D234)),NOT(ISNUMBER(D466))),"",D234-D466)</f>
        <v/>
      </c>
      <c r="E698" s="48" t="str">
        <f aca="false">IF(OR(NOT(ISNUMBER(E234)),NOT(ISNUMBER(E466))),"",E234-E466)</f>
        <v/>
      </c>
      <c r="F698" s="48" t="str">
        <f aca="false">IF(OR(NOT(ISNUMBER(F234)),NOT(ISNUMBER(F466))),"",F234-F466)</f>
        <v/>
      </c>
      <c r="G698" s="48" t="str">
        <f aca="false">IF(OR(NOT(ISNUMBER(G234)),NOT(ISNUMBER(G466))),"",G234-G466)</f>
        <v/>
      </c>
      <c r="H698" s="48" t="str">
        <f aca="false">IF(OR(NOT(ISNUMBER(H234)),NOT(ISNUMBER(H466))),"",H234-H466)</f>
        <v/>
      </c>
      <c r="I698" s="48" t="str">
        <f aca="false">IF(OR(NOT(ISNUMBER(I234)),NOT(ISNUMBER(I466))),"",I234-I466)</f>
        <v/>
      </c>
      <c r="J698" s="48" t="str">
        <f aca="false">IF(OR(NOT(ISNUMBER(J234)),NOT(ISNUMBER(J466))),"",J234-J466)</f>
        <v/>
      </c>
      <c r="K698" s="48" t="str">
        <f aca="false">IF(OR(NOT(ISNUMBER(K234)),NOT(ISNUMBER(K466))),"",K234-K466)</f>
        <v/>
      </c>
      <c r="L698" s="48" t="str">
        <f aca="false">IF(OR(NOT(ISNUMBER(L234)),NOT(ISNUMBER(L466))),"",L234-L466)</f>
        <v/>
      </c>
      <c r="M698" s="48" t="str">
        <f aca="false">IF(OR(NOT(ISNUMBER(M234)),NOT(ISNUMBER(M466))),"",M234-M466)</f>
        <v/>
      </c>
      <c r="N698" s="48" t="str">
        <f aca="false">IF(OR(NOT(ISNUMBER(N234)),NOT(ISNUMBER(N466))),"",N234-N466)</f>
        <v/>
      </c>
      <c r="O698" s="54" t="str">
        <f aca="false">IF(OR(NOT(ISNUMBER(O234)),NOT(ISNUMBER(O466))),"",O234-O466)</f>
        <v/>
      </c>
      <c r="P698" s="11" t="str">
        <f aca="false">IF(COUNT(D698:N698)=0,"",IF(AND(MAX(D698:N698)&lt;2,MIN(D698:N698)&gt;-2),"Sin diferencia","Diferencia a explicar"))</f>
        <v/>
      </c>
    </row>
    <row r="699" customFormat="false" ht="15" hidden="true" customHeight="false" outlineLevel="1" collapsed="false">
      <c r="A699" s="11" t="s">
        <v>2596</v>
      </c>
      <c r="B699" s="15" t="s">
        <v>2380</v>
      </c>
      <c r="C699" s="11" t="s">
        <v>748</v>
      </c>
      <c r="D699" s="50" t="str">
        <f aca="false">IF(OR(NOT(ISNUMBER(D235)),NOT(ISNUMBER(D467))),"",D235-D467)</f>
        <v/>
      </c>
      <c r="E699" s="50" t="str">
        <f aca="false">IF(OR(NOT(ISNUMBER(E235)),NOT(ISNUMBER(E467))),"",E235-E467)</f>
        <v/>
      </c>
      <c r="F699" s="50" t="str">
        <f aca="false">IF(OR(NOT(ISNUMBER(F235)),NOT(ISNUMBER(F467))),"",F235-F467)</f>
        <v/>
      </c>
      <c r="G699" s="50" t="str">
        <f aca="false">IF(OR(NOT(ISNUMBER(G235)),NOT(ISNUMBER(G467))),"",G235-G467)</f>
        <v/>
      </c>
      <c r="H699" s="50" t="str">
        <f aca="false">IF(OR(NOT(ISNUMBER(H235)),NOT(ISNUMBER(H467))),"",H235-H467)</f>
        <v/>
      </c>
      <c r="I699" s="50" t="str">
        <f aca="false">IF(OR(NOT(ISNUMBER(I235)),NOT(ISNUMBER(I467))),"",I235-I467)</f>
        <v/>
      </c>
      <c r="J699" s="50" t="str">
        <f aca="false">IF(OR(NOT(ISNUMBER(J235)),NOT(ISNUMBER(J467))),"",J235-J467)</f>
        <v/>
      </c>
      <c r="K699" s="50" t="str">
        <f aca="false">IF(OR(NOT(ISNUMBER(K235)),NOT(ISNUMBER(K467))),"",K235-K467)</f>
        <v/>
      </c>
      <c r="L699" s="50" t="str">
        <f aca="false">IF(OR(NOT(ISNUMBER(L235)),NOT(ISNUMBER(L467))),"",L235-L467)</f>
        <v/>
      </c>
      <c r="M699" s="50" t="str">
        <f aca="false">IF(OR(NOT(ISNUMBER(M235)),NOT(ISNUMBER(M467))),"",M235-M467)</f>
        <v/>
      </c>
      <c r="N699" s="50" t="str">
        <f aca="false">IF(OR(NOT(ISNUMBER(N235)),NOT(ISNUMBER(N467))),"",N235-N467)</f>
        <v/>
      </c>
      <c r="O699" s="68" t="str">
        <f aca="false">IF(OR(NOT(ISNUMBER(O235)),NOT(ISNUMBER(O467))),"",O235-O467)</f>
        <v/>
      </c>
      <c r="P699" s="11" t="str">
        <f aca="false">IF(COUNT(D699:N699)=0,"",IF(AND(MAX(D699:N699)&lt;0.005,MIN(D699:N699)&gt;-0.005),"Sin diferencia","Diferencia a explicar"))</f>
        <v/>
      </c>
    </row>
    <row r="701" customFormat="false" ht="15" hidden="false" customHeight="false" outlineLevel="0" collapsed="false">
      <c r="A701" s="12" t="s">
        <v>240</v>
      </c>
      <c r="B701" s="13"/>
      <c r="C701" s="13"/>
      <c r="D701" s="13"/>
      <c r="E701" s="13"/>
      <c r="F701" s="13"/>
      <c r="G701" s="13"/>
      <c r="H701" s="13"/>
      <c r="I701" s="13"/>
      <c r="J701" s="13"/>
      <c r="K701" s="13"/>
      <c r="L701" s="13"/>
      <c r="M701" s="13"/>
      <c r="N701" s="13"/>
      <c r="O701" s="13"/>
    </row>
    <row r="702" customFormat="false" ht="15" hidden="false" customHeight="false" outlineLevel="0" collapsed="false">
      <c r="B702" s="11" t="s">
        <v>2597</v>
      </c>
    </row>
    <row r="703" customFormat="false" ht="15" hidden="false" customHeight="false" outlineLevel="0" collapsed="false">
      <c r="B703" s="11" t="s">
        <v>2598</v>
      </c>
    </row>
    <row r="704" customFormat="false" ht="15" hidden="false" customHeight="false" outlineLevel="0" collapsed="false">
      <c r="B704" s="11" t="s">
        <v>2599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6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2600</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cuadros 11 y 12, pág. 21"</f>
        <v>Plan de referencia: Plan CIE–PERG Oct-2025 — cuadros 11 y 12, pág. 21</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2601</v>
      </c>
      <c r="C8" s="13"/>
      <c r="D8" s="13"/>
      <c r="E8" s="13"/>
      <c r="F8" s="13"/>
      <c r="G8" s="13"/>
      <c r="H8" s="13"/>
      <c r="I8" s="13"/>
      <c r="J8" s="13"/>
      <c r="K8" s="13"/>
      <c r="L8" s="13"/>
      <c r="M8" s="13"/>
      <c r="N8" s="13"/>
      <c r="O8" s="13"/>
    </row>
    <row r="9" customFormat="false" ht="15" hidden="false" customHeight="false" outlineLevel="0" collapsed="false">
      <c r="A9" s="11" t="s">
        <v>2602</v>
      </c>
      <c r="B9" s="67" t="s">
        <v>2603</v>
      </c>
      <c r="C9" s="11" t="s">
        <v>508</v>
      </c>
      <c r="D9" s="54" t="n">
        <f aca="false">IF(cu_P=1,(SUMIFS(Calculo!$F$93:$ES$93,Calculo!$F$16:$ES$16,1)+SUMIFS(Calculo!$F$94:$ES$94,Calculo!$F$16:$ES$16,1)+SUMIFS(Calculo!$F$95:$ES$95,Calculo!$F$16:$ES$16,1)+SUMIFS(Calculo!$F$96:$ES$96,Calculo!$F$16:$ES$16,1)+SUMIFS(Calculo!$F$100:$ES$100,Calculo!$F$16:$ES$16,1)+SUMIFS(Calculo!$F$98:$ES$98,Calculo!$F$16:$ES$16,1)+SUMIFS(Calculo!$F$99:$ES$99,Calculo!$F$16:$ES$16,1)-SUMIFS(Calculo!$F$101:$ES$101,Calculo!$F$16:$ES$16,1)+SUMIFS(Calculo!$F$103:$ES$103,Calculo!$F$16:$ES$16,1)+SUMIFS(Calculo!$F$105:$ES$105,Calculo!$F$16:$ES$16,1)),(SUMIFS(Calculo!$F$249:$ES$249,Calculo!$F$172:$ES$172,1)+SUMIFS(Calculo!$F$250:$ES$250,Calculo!$F$172:$ES$172,1)+SUMIFS(Calculo!$F$251:$ES$251,Calculo!$F$172:$ES$172,1)+SUMIFS(Calculo!$F$252:$ES$252,Calculo!$F$172:$ES$172,1)+SUMIFS(Calculo!$F$256:$ES$256,Calculo!$F$172:$ES$172,1)+SUMIFS(Calculo!$F$254:$ES$254,Calculo!$F$172:$ES$172,1)+SUMIFS(Calculo!$F$255:$ES$255,Calculo!$F$172:$ES$172,1)-SUMIFS(Calculo!$F$257:$ES$257,Calculo!$F$172:$ES$172,1)+SUMIFS(Calculo!$F$259:$ES$259,Calculo!$F$172:$ES$172,1)+SUMIFS(Calculo!$F$261:$ES$261,Calculo!$F$172:$ES$172,1)))</f>
        <v>0</v>
      </c>
      <c r="E9" s="54" t="n">
        <f aca="false">IF(cu_P=1,(SUMIFS(Calculo!$F$93:$ES$93,Calculo!$F$14:$ES$14,1)+SUMIFS(Calculo!$F$94:$ES$94,Calculo!$F$14:$ES$14,1)+SUMIFS(Calculo!$F$95:$ES$95,Calculo!$F$14:$ES$14,1)+SUMIFS(Calculo!$F$96:$ES$96,Calculo!$F$14:$ES$14,1)+SUMIFS(Calculo!$F$100:$ES$100,Calculo!$F$14:$ES$14,1)+SUMIFS(Calculo!$F$98:$ES$98,Calculo!$F$14:$ES$14,1)+SUMIFS(Calculo!$F$99:$ES$99,Calculo!$F$14:$ES$14,1)-SUMIFS(Calculo!$F$101:$ES$101,Calculo!$F$14:$ES$14,1)+SUMIFS(Calculo!$F$103:$ES$103,Calculo!$F$14:$ES$14,1)+SUMIFS(Calculo!$F$105:$ES$105,Calculo!$F$14:$ES$14,1)),(SUMIFS(Calculo!$F$249:$ES$249,Calculo!$F$170:$ES$170,1)+SUMIFS(Calculo!$F$250:$ES$250,Calculo!$F$170:$ES$170,1)+SUMIFS(Calculo!$F$251:$ES$251,Calculo!$F$170:$ES$170,1)+SUMIFS(Calculo!$F$252:$ES$252,Calculo!$F$170:$ES$170,1)+SUMIFS(Calculo!$F$256:$ES$256,Calculo!$F$170:$ES$170,1)+SUMIFS(Calculo!$F$254:$ES$254,Calculo!$F$170:$ES$170,1)+SUMIFS(Calculo!$F$255:$ES$255,Calculo!$F$170:$ES$170,1)-SUMIFS(Calculo!$F$257:$ES$257,Calculo!$F$170:$ES$170,1)+SUMIFS(Calculo!$F$259:$ES$259,Calculo!$F$170:$ES$170,1)+SUMIFS(Calculo!$F$261:$ES$261,Calculo!$F$170:$ES$170,1)))</f>
        <v>4682724.13572395</v>
      </c>
      <c r="F9" s="54" t="n">
        <f aca="false">IF(cu_P=1,(SUMIFS(Calculo!$F$93:$ES$93,Calculo!$F$14:$ES$14,2)+SUMIFS(Calculo!$F$94:$ES$94,Calculo!$F$14:$ES$14,2)+SUMIFS(Calculo!$F$95:$ES$95,Calculo!$F$14:$ES$14,2)+SUMIFS(Calculo!$F$96:$ES$96,Calculo!$F$14:$ES$14,2)+SUMIFS(Calculo!$F$100:$ES$100,Calculo!$F$14:$ES$14,2)+SUMIFS(Calculo!$F$98:$ES$98,Calculo!$F$14:$ES$14,2)+SUMIFS(Calculo!$F$99:$ES$99,Calculo!$F$14:$ES$14,2)-SUMIFS(Calculo!$F$101:$ES$101,Calculo!$F$14:$ES$14,2)+SUMIFS(Calculo!$F$103:$ES$103,Calculo!$F$14:$ES$14,2)+SUMIFS(Calculo!$F$105:$ES$105,Calculo!$F$14:$ES$14,2)),(SUMIFS(Calculo!$F$249:$ES$249,Calculo!$F$170:$ES$170,2)+SUMIFS(Calculo!$F$250:$ES$250,Calculo!$F$170:$ES$170,2)+SUMIFS(Calculo!$F$251:$ES$251,Calculo!$F$170:$ES$170,2)+SUMIFS(Calculo!$F$252:$ES$252,Calculo!$F$170:$ES$170,2)+SUMIFS(Calculo!$F$256:$ES$256,Calculo!$F$170:$ES$170,2)+SUMIFS(Calculo!$F$254:$ES$254,Calculo!$F$170:$ES$170,2)+SUMIFS(Calculo!$F$255:$ES$255,Calculo!$F$170:$ES$170,2)-SUMIFS(Calculo!$F$257:$ES$257,Calculo!$F$170:$ES$170,2)+SUMIFS(Calculo!$F$259:$ES$259,Calculo!$F$170:$ES$170,2)+SUMIFS(Calculo!$F$261:$ES$261,Calculo!$F$170:$ES$170,2)))</f>
        <v>5523109.62719388</v>
      </c>
      <c r="G9" s="54" t="n">
        <f aca="false">IF(cu_P=1,(SUMIFS(Calculo!$F$93:$ES$93,Calculo!$F$14:$ES$14,3)+SUMIFS(Calculo!$F$94:$ES$94,Calculo!$F$14:$ES$14,3)+SUMIFS(Calculo!$F$95:$ES$95,Calculo!$F$14:$ES$14,3)+SUMIFS(Calculo!$F$96:$ES$96,Calculo!$F$14:$ES$14,3)+SUMIFS(Calculo!$F$100:$ES$100,Calculo!$F$14:$ES$14,3)+SUMIFS(Calculo!$F$98:$ES$98,Calculo!$F$14:$ES$14,3)+SUMIFS(Calculo!$F$99:$ES$99,Calculo!$F$14:$ES$14,3)-SUMIFS(Calculo!$F$101:$ES$101,Calculo!$F$14:$ES$14,3)+SUMIFS(Calculo!$F$103:$ES$103,Calculo!$F$14:$ES$14,3)+SUMIFS(Calculo!$F$105:$ES$105,Calculo!$F$14:$ES$14,3)),(SUMIFS(Calculo!$F$249:$ES$249,Calculo!$F$170:$ES$170,3)+SUMIFS(Calculo!$F$250:$ES$250,Calculo!$F$170:$ES$170,3)+SUMIFS(Calculo!$F$251:$ES$251,Calculo!$F$170:$ES$170,3)+SUMIFS(Calculo!$F$252:$ES$252,Calculo!$F$170:$ES$170,3)+SUMIFS(Calculo!$F$256:$ES$256,Calculo!$F$170:$ES$170,3)+SUMIFS(Calculo!$F$254:$ES$254,Calculo!$F$170:$ES$170,3)+SUMIFS(Calculo!$F$255:$ES$255,Calculo!$F$170:$ES$170,3)-SUMIFS(Calculo!$F$257:$ES$257,Calculo!$F$170:$ES$170,3)+SUMIFS(Calculo!$F$259:$ES$259,Calculo!$F$170:$ES$170,3)+SUMIFS(Calculo!$F$261:$ES$261,Calculo!$F$170:$ES$170,3)))</f>
        <v>6384526.81155967</v>
      </c>
      <c r="H9" s="54" t="n">
        <f aca="false">IF(cu_P=1,(SUMIFS(Calculo!$F$93:$ES$93,Calculo!$F$14:$ES$14,4)+SUMIFS(Calculo!$F$94:$ES$94,Calculo!$F$14:$ES$14,4)+SUMIFS(Calculo!$F$95:$ES$95,Calculo!$F$14:$ES$14,4)+SUMIFS(Calculo!$F$96:$ES$96,Calculo!$F$14:$ES$14,4)+SUMIFS(Calculo!$F$100:$ES$100,Calculo!$F$14:$ES$14,4)+SUMIFS(Calculo!$F$98:$ES$98,Calculo!$F$14:$ES$14,4)+SUMIFS(Calculo!$F$99:$ES$99,Calculo!$F$14:$ES$14,4)-SUMIFS(Calculo!$F$101:$ES$101,Calculo!$F$14:$ES$14,4)+SUMIFS(Calculo!$F$103:$ES$103,Calculo!$F$14:$ES$14,4)+SUMIFS(Calculo!$F$105:$ES$105,Calculo!$F$14:$ES$14,4)),(SUMIFS(Calculo!$F$249:$ES$249,Calculo!$F$170:$ES$170,4)+SUMIFS(Calculo!$F$250:$ES$250,Calculo!$F$170:$ES$170,4)+SUMIFS(Calculo!$F$251:$ES$251,Calculo!$F$170:$ES$170,4)+SUMIFS(Calculo!$F$252:$ES$252,Calculo!$F$170:$ES$170,4)+SUMIFS(Calculo!$F$256:$ES$256,Calculo!$F$170:$ES$170,4)+SUMIFS(Calculo!$F$254:$ES$254,Calculo!$F$170:$ES$170,4)+SUMIFS(Calculo!$F$255:$ES$255,Calculo!$F$170:$ES$170,4)-SUMIFS(Calculo!$F$257:$ES$257,Calculo!$F$170:$ES$170,4)+SUMIFS(Calculo!$F$259:$ES$259,Calculo!$F$170:$ES$170,4)+SUMIFS(Calculo!$F$261:$ES$261,Calculo!$F$170:$ES$170,4)))</f>
        <v>7075530.67323815</v>
      </c>
      <c r="I9" s="54" t="n">
        <f aca="false">IF(cu_P=1,(SUMIFS(Calculo!$F$93:$ES$93,Calculo!$F$14:$ES$14,5)+SUMIFS(Calculo!$F$94:$ES$94,Calculo!$F$14:$ES$14,5)+SUMIFS(Calculo!$F$95:$ES$95,Calculo!$F$14:$ES$14,5)+SUMIFS(Calculo!$F$96:$ES$96,Calculo!$F$14:$ES$14,5)+SUMIFS(Calculo!$F$100:$ES$100,Calculo!$F$14:$ES$14,5)+SUMIFS(Calculo!$F$98:$ES$98,Calculo!$F$14:$ES$14,5)+SUMIFS(Calculo!$F$99:$ES$99,Calculo!$F$14:$ES$14,5)-SUMIFS(Calculo!$F$101:$ES$101,Calculo!$F$14:$ES$14,5)+SUMIFS(Calculo!$F$103:$ES$103,Calculo!$F$14:$ES$14,5)+SUMIFS(Calculo!$F$105:$ES$105,Calculo!$F$14:$ES$14,5)),(SUMIFS(Calculo!$F$249:$ES$249,Calculo!$F$170:$ES$170,5)+SUMIFS(Calculo!$F$250:$ES$250,Calculo!$F$170:$ES$170,5)+SUMIFS(Calculo!$F$251:$ES$251,Calculo!$F$170:$ES$170,5)+SUMIFS(Calculo!$F$252:$ES$252,Calculo!$F$170:$ES$170,5)+SUMIFS(Calculo!$F$256:$ES$256,Calculo!$F$170:$ES$170,5)+SUMIFS(Calculo!$F$254:$ES$254,Calculo!$F$170:$ES$170,5)+SUMIFS(Calculo!$F$255:$ES$255,Calculo!$F$170:$ES$170,5)-SUMIFS(Calculo!$F$257:$ES$257,Calculo!$F$170:$ES$170,5)+SUMIFS(Calculo!$F$259:$ES$259,Calculo!$F$170:$ES$170,5)+SUMIFS(Calculo!$F$261:$ES$261,Calculo!$F$170:$ES$170,5)))</f>
        <v>7078524.01071787</v>
      </c>
      <c r="J9" s="54" t="n">
        <f aca="false">IF(cu_P=1,(SUMIFS(Calculo!$F$93:$ES$93,Calculo!$F$14:$ES$14,6)+SUMIFS(Calculo!$F$94:$ES$94,Calculo!$F$14:$ES$14,6)+SUMIFS(Calculo!$F$95:$ES$95,Calculo!$F$14:$ES$14,6)+SUMIFS(Calculo!$F$96:$ES$96,Calculo!$F$14:$ES$14,6)+SUMIFS(Calculo!$F$100:$ES$100,Calculo!$F$14:$ES$14,6)+SUMIFS(Calculo!$F$98:$ES$98,Calculo!$F$14:$ES$14,6)+SUMIFS(Calculo!$F$99:$ES$99,Calculo!$F$14:$ES$14,6)-SUMIFS(Calculo!$F$101:$ES$101,Calculo!$F$14:$ES$14,6)+SUMIFS(Calculo!$F$103:$ES$103,Calculo!$F$14:$ES$14,6)+SUMIFS(Calculo!$F$105:$ES$105,Calculo!$F$14:$ES$14,6)),(SUMIFS(Calculo!$F$249:$ES$249,Calculo!$F$170:$ES$170,6)+SUMIFS(Calculo!$F$250:$ES$250,Calculo!$F$170:$ES$170,6)+SUMIFS(Calculo!$F$251:$ES$251,Calculo!$F$170:$ES$170,6)+SUMIFS(Calculo!$F$252:$ES$252,Calculo!$F$170:$ES$170,6)+SUMIFS(Calculo!$F$256:$ES$256,Calculo!$F$170:$ES$170,6)+SUMIFS(Calculo!$F$254:$ES$254,Calculo!$F$170:$ES$170,6)+SUMIFS(Calculo!$F$255:$ES$255,Calculo!$F$170:$ES$170,6)-SUMIFS(Calculo!$F$257:$ES$257,Calculo!$F$170:$ES$170,6)+SUMIFS(Calculo!$F$259:$ES$259,Calculo!$F$170:$ES$170,6)+SUMIFS(Calculo!$F$261:$ES$261,Calculo!$F$170:$ES$170,6)))</f>
        <v>7065826.02976909</v>
      </c>
      <c r="K9" s="54" t="n">
        <f aca="false">IF(cu_P=1,(SUMIFS(Calculo!$F$93:$ES$93,Calculo!$F$14:$ES$14,7)+SUMIFS(Calculo!$F$94:$ES$94,Calculo!$F$14:$ES$14,7)+SUMIFS(Calculo!$F$95:$ES$95,Calculo!$F$14:$ES$14,7)+SUMIFS(Calculo!$F$96:$ES$96,Calculo!$F$14:$ES$14,7)+SUMIFS(Calculo!$F$100:$ES$100,Calculo!$F$14:$ES$14,7)+SUMIFS(Calculo!$F$98:$ES$98,Calculo!$F$14:$ES$14,7)+SUMIFS(Calculo!$F$99:$ES$99,Calculo!$F$14:$ES$14,7)-SUMIFS(Calculo!$F$101:$ES$101,Calculo!$F$14:$ES$14,7)+SUMIFS(Calculo!$F$103:$ES$103,Calculo!$F$14:$ES$14,7)+SUMIFS(Calculo!$F$105:$ES$105,Calculo!$F$14:$ES$14,7)),(SUMIFS(Calculo!$F$249:$ES$249,Calculo!$F$170:$ES$170,7)+SUMIFS(Calculo!$F$250:$ES$250,Calculo!$F$170:$ES$170,7)+SUMIFS(Calculo!$F$251:$ES$251,Calculo!$F$170:$ES$170,7)+SUMIFS(Calculo!$F$252:$ES$252,Calculo!$F$170:$ES$170,7)+SUMIFS(Calculo!$F$256:$ES$256,Calculo!$F$170:$ES$170,7)+SUMIFS(Calculo!$F$254:$ES$254,Calculo!$F$170:$ES$170,7)+SUMIFS(Calculo!$F$255:$ES$255,Calculo!$F$170:$ES$170,7)-SUMIFS(Calculo!$F$257:$ES$257,Calculo!$F$170:$ES$170,7)+SUMIFS(Calculo!$F$259:$ES$259,Calculo!$F$170:$ES$170,7)+SUMIFS(Calculo!$F$261:$ES$261,Calculo!$F$170:$ES$170,7)))</f>
        <v>7105039.20869363</v>
      </c>
      <c r="L9" s="54" t="n">
        <f aca="false">IF(cu_P=1,(SUMIFS(Calculo!$F$93:$ES$93,Calculo!$F$14:$ES$14,8)+SUMIFS(Calculo!$F$94:$ES$94,Calculo!$F$14:$ES$14,8)+SUMIFS(Calculo!$F$95:$ES$95,Calculo!$F$14:$ES$14,8)+SUMIFS(Calculo!$F$96:$ES$96,Calculo!$F$14:$ES$14,8)+SUMIFS(Calculo!$F$100:$ES$100,Calculo!$F$14:$ES$14,8)+SUMIFS(Calculo!$F$98:$ES$98,Calculo!$F$14:$ES$14,8)+SUMIFS(Calculo!$F$99:$ES$99,Calculo!$F$14:$ES$14,8)-SUMIFS(Calculo!$F$101:$ES$101,Calculo!$F$14:$ES$14,8)+SUMIFS(Calculo!$F$103:$ES$103,Calculo!$F$14:$ES$14,8)+SUMIFS(Calculo!$F$105:$ES$105,Calculo!$F$14:$ES$14,8)),(SUMIFS(Calculo!$F$249:$ES$249,Calculo!$F$170:$ES$170,8)+SUMIFS(Calculo!$F$250:$ES$250,Calculo!$F$170:$ES$170,8)+SUMIFS(Calculo!$F$251:$ES$251,Calculo!$F$170:$ES$170,8)+SUMIFS(Calculo!$F$252:$ES$252,Calculo!$F$170:$ES$170,8)+SUMIFS(Calculo!$F$256:$ES$256,Calculo!$F$170:$ES$170,8)+SUMIFS(Calculo!$F$254:$ES$254,Calculo!$F$170:$ES$170,8)+SUMIFS(Calculo!$F$255:$ES$255,Calculo!$F$170:$ES$170,8)-SUMIFS(Calculo!$F$257:$ES$257,Calculo!$F$170:$ES$170,8)+SUMIFS(Calculo!$F$259:$ES$259,Calculo!$F$170:$ES$170,8)+SUMIFS(Calculo!$F$261:$ES$261,Calculo!$F$170:$ES$170,8)))</f>
        <v>7144799.80470664</v>
      </c>
      <c r="M9" s="54" t="n">
        <f aca="false">IF(cu_P=1,(SUMIFS(Calculo!$F$93:$ES$93,Calculo!$F$14:$ES$14,9)+SUMIFS(Calculo!$F$94:$ES$94,Calculo!$F$14:$ES$14,9)+SUMIFS(Calculo!$F$95:$ES$95,Calculo!$F$14:$ES$14,9)+SUMIFS(Calculo!$F$96:$ES$96,Calculo!$F$14:$ES$14,9)+SUMIFS(Calculo!$F$100:$ES$100,Calculo!$F$14:$ES$14,9)+SUMIFS(Calculo!$F$98:$ES$98,Calculo!$F$14:$ES$14,9)+SUMIFS(Calculo!$F$99:$ES$99,Calculo!$F$14:$ES$14,9)-SUMIFS(Calculo!$F$101:$ES$101,Calculo!$F$14:$ES$14,9)+SUMIFS(Calculo!$F$103:$ES$103,Calculo!$F$14:$ES$14,9)+SUMIFS(Calculo!$F$105:$ES$105,Calculo!$F$14:$ES$14,9)),(SUMIFS(Calculo!$F$249:$ES$249,Calculo!$F$170:$ES$170,9)+SUMIFS(Calculo!$F$250:$ES$250,Calculo!$F$170:$ES$170,9)+SUMIFS(Calculo!$F$251:$ES$251,Calculo!$F$170:$ES$170,9)+SUMIFS(Calculo!$F$252:$ES$252,Calculo!$F$170:$ES$170,9)+SUMIFS(Calculo!$F$256:$ES$256,Calculo!$F$170:$ES$170,9)+SUMIFS(Calculo!$F$254:$ES$254,Calculo!$F$170:$ES$170,9)+SUMIFS(Calculo!$F$255:$ES$255,Calculo!$F$170:$ES$170,9)-SUMIFS(Calculo!$F$257:$ES$257,Calculo!$F$170:$ES$170,9)+SUMIFS(Calculo!$F$259:$ES$259,Calculo!$F$170:$ES$170,9)+SUMIFS(Calculo!$F$261:$ES$261,Calculo!$F$170:$ES$170,9)))</f>
        <v>7185117.88165782</v>
      </c>
      <c r="N9" s="54" t="n">
        <f aca="false">IF(cu_P=1,(SUMIFS(Calculo!$F$93:$ES$93,Calculo!$F$14:$ES$14,10)+SUMIFS(Calculo!$F$94:$ES$94,Calculo!$F$14:$ES$14,10)+SUMIFS(Calculo!$F$95:$ES$95,Calculo!$F$14:$ES$14,10)+SUMIFS(Calculo!$F$96:$ES$96,Calculo!$F$14:$ES$14,10)+SUMIFS(Calculo!$F$100:$ES$100,Calculo!$F$14:$ES$14,10)+SUMIFS(Calculo!$F$98:$ES$98,Calculo!$F$14:$ES$14,10)+SUMIFS(Calculo!$F$99:$ES$99,Calculo!$F$14:$ES$14,10)-SUMIFS(Calculo!$F$101:$ES$101,Calculo!$F$14:$ES$14,10)+SUMIFS(Calculo!$F$103:$ES$103,Calculo!$F$14:$ES$14,10)+SUMIFS(Calculo!$F$105:$ES$105,Calculo!$F$14:$ES$14,10)),(SUMIFS(Calculo!$F$249:$ES$249,Calculo!$F$170:$ES$170,10)+SUMIFS(Calculo!$F$250:$ES$250,Calculo!$F$170:$ES$170,10)+SUMIFS(Calculo!$F$251:$ES$251,Calculo!$F$170:$ES$170,10)+SUMIFS(Calculo!$F$252:$ES$252,Calculo!$F$170:$ES$170,10)+SUMIFS(Calculo!$F$256:$ES$256,Calculo!$F$170:$ES$170,10)+SUMIFS(Calculo!$F$254:$ES$254,Calculo!$F$170:$ES$170,10)+SUMIFS(Calculo!$F$255:$ES$255,Calculo!$F$170:$ES$170,10)-SUMIFS(Calculo!$F$257:$ES$257,Calculo!$F$170:$ES$170,10)+SUMIFS(Calculo!$F$259:$ES$259,Calculo!$F$170:$ES$170,10)+SUMIFS(Calculo!$F$261:$ES$261,Calculo!$F$170:$ES$170,10)))</f>
        <v>7226003.74034813</v>
      </c>
      <c r="O9" s="54" t="n">
        <f aca="false">SUM(D9:N9)</f>
        <v>66471201.9236088</v>
      </c>
    </row>
    <row r="10" customFormat="false" ht="15" hidden="false" customHeight="false" outlineLevel="0" collapsed="false">
      <c r="A10" s="11" t="s">
        <v>2604</v>
      </c>
      <c r="B10" s="15" t="s">
        <v>2605</v>
      </c>
      <c r="C10" s="11" t="s">
        <v>508</v>
      </c>
      <c r="D10" s="48" t="n">
        <f aca="false">IF(cu_P=1,(SUMIFS(Calculo!$F$78:$ES$78,Calculo!$F$16:$ES$16,1)+SUMIFS(Calculo!$F$80:$ES$80,Calculo!$F$16:$ES$16,1)+SUMIFS(Calculo!$F$82:$ES$82,Calculo!$F$16:$ES$16,1)),(SUMIFS(Calculo!$F$234:$ES$234,Calculo!$F$172:$ES$172,1)+SUMIFS(Calculo!$F$236:$ES$236,Calculo!$F$172:$ES$172,1)+SUMIFS(Calculo!$F$238:$ES$238,Calculo!$F$172:$ES$172,1)))</f>
        <v>0</v>
      </c>
      <c r="E10" s="48" t="n">
        <f aca="false">IF(cu_P=1,(SUMIFS(Calculo!$F$78:$ES$78,Calculo!$F$14:$ES$14,1)+SUMIFS(Calculo!$F$80:$ES$80,Calculo!$F$14:$ES$14,1)+SUMIFS(Calculo!$F$82:$ES$82,Calculo!$F$14:$ES$14,1)),(SUMIFS(Calculo!$F$234:$ES$234,Calculo!$F$170:$ES$170,1)+SUMIFS(Calculo!$F$236:$ES$236,Calculo!$F$170:$ES$170,1)+SUMIFS(Calculo!$F$238:$ES$238,Calculo!$F$170:$ES$170,1)))</f>
        <v>744176.500980658</v>
      </c>
      <c r="F10" s="48" t="n">
        <f aca="false">IF(cu_P=1,(SUMIFS(Calculo!$F$78:$ES$78,Calculo!$F$14:$ES$14,2)+SUMIFS(Calculo!$F$80:$ES$80,Calculo!$F$14:$ES$14,2)+SUMIFS(Calculo!$F$82:$ES$82,Calculo!$F$14:$ES$14,2)),(SUMIFS(Calculo!$F$234:$ES$234,Calculo!$F$170:$ES$170,2)+SUMIFS(Calculo!$F$236:$ES$236,Calculo!$F$170:$ES$170,2)+SUMIFS(Calculo!$F$238:$ES$238,Calculo!$F$170:$ES$170,2)))</f>
        <v>744176.500980658</v>
      </c>
      <c r="G10" s="48" t="n">
        <f aca="false">IF(cu_P=1,(SUMIFS(Calculo!$F$78:$ES$78,Calculo!$F$14:$ES$14,3)+SUMIFS(Calculo!$F$80:$ES$80,Calculo!$F$14:$ES$14,3)+SUMIFS(Calculo!$F$82:$ES$82,Calculo!$F$14:$ES$14,3)),(SUMIFS(Calculo!$F$234:$ES$234,Calculo!$F$170:$ES$170,3)+SUMIFS(Calculo!$F$236:$ES$236,Calculo!$F$170:$ES$170,3)+SUMIFS(Calculo!$F$238:$ES$238,Calculo!$F$170:$ES$170,3)))</f>
        <v>775921.515105863</v>
      </c>
      <c r="H10" s="48" t="n">
        <f aca="false">IF(cu_P=1,(SUMIFS(Calculo!$F$78:$ES$78,Calculo!$F$14:$ES$14,4)+SUMIFS(Calculo!$F$80:$ES$80,Calculo!$F$14:$ES$14,4)+SUMIFS(Calculo!$F$82:$ES$82,Calculo!$F$14:$ES$14,4)),(SUMIFS(Calculo!$F$234:$ES$234,Calculo!$F$170:$ES$170,4)+SUMIFS(Calculo!$F$236:$ES$236,Calculo!$F$170:$ES$170,4)+SUMIFS(Calculo!$F$238:$ES$238,Calculo!$F$170:$ES$170,4)))</f>
        <v>801341.94495863</v>
      </c>
      <c r="I10" s="48" t="n">
        <f aca="false">IF(cu_P=1,(SUMIFS(Calculo!$F$78:$ES$78,Calculo!$F$14:$ES$14,5)+SUMIFS(Calculo!$F$80:$ES$80,Calculo!$F$14:$ES$14,5)+SUMIFS(Calculo!$F$82:$ES$82,Calculo!$F$14:$ES$14,5)),(SUMIFS(Calculo!$F$234:$ES$234,Calculo!$F$170:$ES$170,5)+SUMIFS(Calculo!$F$236:$ES$236,Calculo!$F$170:$ES$170,5)+SUMIFS(Calculo!$F$238:$ES$238,Calculo!$F$170:$ES$170,5)))</f>
        <v>832338.394529589</v>
      </c>
      <c r="J10" s="48" t="n">
        <f aca="false">IF(cu_P=1,(SUMIFS(Calculo!$F$78:$ES$78,Calculo!$F$14:$ES$14,6)+SUMIFS(Calculo!$F$80:$ES$80,Calculo!$F$14:$ES$14,6)+SUMIFS(Calculo!$F$82:$ES$82,Calculo!$F$14:$ES$14,6)),(SUMIFS(Calculo!$F$234:$ES$234,Calculo!$F$170:$ES$170,6)+SUMIFS(Calculo!$F$236:$ES$236,Calculo!$F$170:$ES$170,6)+SUMIFS(Calculo!$F$238:$ES$238,Calculo!$F$170:$ES$170,6)))</f>
        <v>832338.394529589</v>
      </c>
      <c r="K10" s="48" t="n">
        <f aca="false">IF(cu_P=1,(SUMIFS(Calculo!$F$78:$ES$78,Calculo!$F$14:$ES$14,7)+SUMIFS(Calculo!$F$80:$ES$80,Calculo!$F$14:$ES$14,7)+SUMIFS(Calculo!$F$82:$ES$82,Calculo!$F$14:$ES$14,7)),(SUMIFS(Calculo!$F$234:$ES$234,Calculo!$F$170:$ES$170,7)+SUMIFS(Calculo!$F$236:$ES$236,Calculo!$F$170:$ES$170,7)+SUMIFS(Calculo!$F$238:$ES$238,Calculo!$F$170:$ES$170,7)))</f>
        <v>832338.394529589</v>
      </c>
      <c r="L10" s="48" t="n">
        <f aca="false">IF(cu_P=1,(SUMIFS(Calculo!$F$78:$ES$78,Calculo!$F$14:$ES$14,8)+SUMIFS(Calculo!$F$80:$ES$80,Calculo!$F$14:$ES$14,8)+SUMIFS(Calculo!$F$82:$ES$82,Calculo!$F$14:$ES$14,8)),(SUMIFS(Calculo!$F$234:$ES$234,Calculo!$F$170:$ES$170,8)+SUMIFS(Calculo!$F$236:$ES$236,Calculo!$F$170:$ES$170,8)+SUMIFS(Calculo!$F$238:$ES$238,Calculo!$F$170:$ES$170,8)))</f>
        <v>832338.394529589</v>
      </c>
      <c r="M10" s="48" t="n">
        <f aca="false">IF(cu_P=1,(SUMIFS(Calculo!$F$78:$ES$78,Calculo!$F$14:$ES$14,9)+SUMIFS(Calculo!$F$80:$ES$80,Calculo!$F$14:$ES$14,9)+SUMIFS(Calculo!$F$82:$ES$82,Calculo!$F$14:$ES$14,9)),(SUMIFS(Calculo!$F$234:$ES$234,Calculo!$F$170:$ES$170,9)+SUMIFS(Calculo!$F$236:$ES$236,Calculo!$F$170:$ES$170,9)+SUMIFS(Calculo!$F$238:$ES$238,Calculo!$F$170:$ES$170,9)))</f>
        <v>832338.394529589</v>
      </c>
      <c r="N10" s="48" t="n">
        <f aca="false">IF(cu_P=1,(SUMIFS(Calculo!$F$78:$ES$78,Calculo!$F$14:$ES$14,10)+SUMIFS(Calculo!$F$80:$ES$80,Calculo!$F$14:$ES$14,10)+SUMIFS(Calculo!$F$82:$ES$82,Calculo!$F$14:$ES$14,10)),(SUMIFS(Calculo!$F$234:$ES$234,Calculo!$F$170:$ES$170,10)+SUMIFS(Calculo!$F$236:$ES$236,Calculo!$F$170:$ES$170,10)+SUMIFS(Calculo!$F$238:$ES$238,Calculo!$F$170:$ES$170,10)))</f>
        <v>832338.394529589</v>
      </c>
      <c r="O10" s="54" t="n">
        <f aca="false">SUM(D10:N10)</f>
        <v>8059646.82920334</v>
      </c>
    </row>
    <row r="11" customFormat="false" ht="15" hidden="false" customHeight="false" outlineLevel="0" collapsed="false">
      <c r="A11" s="11" t="s">
        <v>2606</v>
      </c>
      <c r="B11" s="15" t="s">
        <v>2607</v>
      </c>
      <c r="C11" s="11" t="s">
        <v>508</v>
      </c>
      <c r="D11" s="48" t="n">
        <f aca="false">IF(cu_P=1,(SUMIFS(Calculo!$F$73:$ES$73,Calculo!$F$16:$ES$16,1)+SUMIFS(Calculo!$F$74:$ES$74,Calculo!$F$16:$ES$16,1)+SUMIFS(Calculo!$F$75:$ES$75,Calculo!$F$16:$ES$16,1)),(SUMIFS(Calculo!$F$229:$ES$229,Calculo!$F$172:$ES$172,1)+SUMIFS(Calculo!$F$230:$ES$230,Calculo!$F$172:$ES$172,1)+SUMIFS(Calculo!$F$231:$ES$231,Calculo!$F$172:$ES$172,1)))</f>
        <v>0</v>
      </c>
      <c r="E11" s="48" t="n">
        <f aca="false">IF(cu_P=1,(SUMIFS(Calculo!$F$73:$ES$73,Calculo!$F$14:$ES$14,1)+SUMIFS(Calculo!$F$74:$ES$74,Calculo!$F$14:$ES$14,1)+SUMIFS(Calculo!$F$75:$ES$75,Calculo!$F$14:$ES$14,1)),(SUMIFS(Calculo!$F$229:$ES$229,Calculo!$F$170:$ES$170,1)+SUMIFS(Calculo!$F$230:$ES$230,Calculo!$F$170:$ES$170,1)+SUMIFS(Calculo!$F$231:$ES$231,Calculo!$F$170:$ES$170,1)))</f>
        <v>2916081.996</v>
      </c>
      <c r="F11" s="48" t="n">
        <f aca="false">IF(cu_P=1,(SUMIFS(Calculo!$F$73:$ES$73,Calculo!$F$14:$ES$14,2)+SUMIFS(Calculo!$F$74:$ES$74,Calculo!$F$14:$ES$14,2)+SUMIFS(Calculo!$F$75:$ES$75,Calculo!$F$14:$ES$14,2)),(SUMIFS(Calculo!$F$229:$ES$229,Calculo!$F$170:$ES$170,2)+SUMIFS(Calculo!$F$230:$ES$230,Calculo!$F$170:$ES$170,2)+SUMIFS(Calculo!$F$231:$ES$231,Calculo!$F$170:$ES$170,2)))</f>
        <v>3701646.495</v>
      </c>
      <c r="G11" s="48" t="n">
        <f aca="false">IF(cu_P=1,(SUMIFS(Calculo!$F$73:$ES$73,Calculo!$F$14:$ES$14,3)+SUMIFS(Calculo!$F$74:$ES$74,Calculo!$F$14:$ES$14,3)+SUMIFS(Calculo!$F$75:$ES$75,Calculo!$F$14:$ES$14,3)),(SUMIFS(Calculo!$F$229:$ES$229,Calculo!$F$170:$ES$170,3)+SUMIFS(Calculo!$F$230:$ES$230,Calculo!$F$170:$ES$170,3)+SUMIFS(Calculo!$F$231:$ES$231,Calculo!$F$170:$ES$170,3)))</f>
        <v>4495364.274</v>
      </c>
      <c r="H11" s="48" t="n">
        <f aca="false">IF(cu_P=1,(SUMIFS(Calculo!$F$73:$ES$73,Calculo!$F$14:$ES$14,4)+SUMIFS(Calculo!$F$74:$ES$74,Calculo!$F$14:$ES$14,4)+SUMIFS(Calculo!$F$75:$ES$75,Calculo!$F$14:$ES$14,4)),(SUMIFS(Calculo!$F$229:$ES$229,Calculo!$F$170:$ES$170,4)+SUMIFS(Calculo!$F$230:$ES$230,Calculo!$F$170:$ES$170,4)+SUMIFS(Calculo!$F$231:$ES$231,Calculo!$F$170:$ES$170,4)))</f>
        <v>5145201.57285</v>
      </c>
      <c r="I11" s="48" t="n">
        <f aca="false">IF(cu_P=1,(SUMIFS(Calculo!$F$73:$ES$73,Calculo!$F$14:$ES$14,5)+SUMIFS(Calculo!$F$74:$ES$74,Calculo!$F$14:$ES$14,5)+SUMIFS(Calculo!$F$75:$ES$75,Calculo!$F$14:$ES$14,5)),(SUMIFS(Calculo!$F$229:$ES$229,Calculo!$F$170:$ES$170,5)+SUMIFS(Calculo!$F$230:$ES$230,Calculo!$F$170:$ES$170,5)+SUMIFS(Calculo!$F$231:$ES$231,Calculo!$F$170:$ES$170,5)))</f>
        <v>5172245.4286485</v>
      </c>
      <c r="J11" s="48" t="n">
        <f aca="false">IF(cu_P=1,(SUMIFS(Calculo!$F$73:$ES$73,Calculo!$F$14:$ES$14,6)+SUMIFS(Calculo!$F$74:$ES$74,Calculo!$F$14:$ES$14,6)+SUMIFS(Calculo!$F$75:$ES$75,Calculo!$F$14:$ES$14,6)),(SUMIFS(Calculo!$F$229:$ES$229,Calculo!$F$170:$ES$170,6)+SUMIFS(Calculo!$F$230:$ES$230,Calculo!$F$170:$ES$170,6)+SUMIFS(Calculo!$F$231:$ES$231,Calculo!$F$170:$ES$170,6)))</f>
        <v>5199559.72300499</v>
      </c>
      <c r="K11" s="48" t="n">
        <f aca="false">IF(cu_P=1,(SUMIFS(Calculo!$F$73:$ES$73,Calculo!$F$14:$ES$14,7)+SUMIFS(Calculo!$F$74:$ES$74,Calculo!$F$14:$ES$14,7)+SUMIFS(Calculo!$F$75:$ES$75,Calculo!$F$14:$ES$14,7)),(SUMIFS(Calculo!$F$229:$ES$229,Calculo!$F$170:$ES$170,7)+SUMIFS(Calculo!$F$230:$ES$230,Calculo!$F$170:$ES$170,7)+SUMIFS(Calculo!$F$231:$ES$231,Calculo!$F$170:$ES$170,7)))</f>
        <v>5227147.16030504</v>
      </c>
      <c r="L11" s="48" t="n">
        <f aca="false">IF(cu_P=1,(SUMIFS(Calculo!$F$73:$ES$73,Calculo!$F$14:$ES$14,8)+SUMIFS(Calculo!$F$74:$ES$74,Calculo!$F$14:$ES$14,8)+SUMIFS(Calculo!$F$75:$ES$75,Calculo!$F$14:$ES$14,8)),(SUMIFS(Calculo!$F$229:$ES$229,Calculo!$F$170:$ES$170,8)+SUMIFS(Calculo!$F$230:$ES$230,Calculo!$F$170:$ES$170,8)+SUMIFS(Calculo!$F$231:$ES$231,Calculo!$F$170:$ES$170,8)))</f>
        <v>5255010.47197808</v>
      </c>
      <c r="M11" s="48" t="n">
        <f aca="false">IF(cu_P=1,(SUMIFS(Calculo!$F$73:$ES$73,Calculo!$F$14:$ES$14,9)+SUMIFS(Calculo!$F$74:$ES$74,Calculo!$F$14:$ES$14,9)+SUMIFS(Calculo!$F$75:$ES$75,Calculo!$F$14:$ES$14,9)),(SUMIFS(Calculo!$F$229:$ES$229,Calculo!$F$170:$ES$170,9)+SUMIFS(Calculo!$F$230:$ES$230,Calculo!$F$170:$ES$170,9)+SUMIFS(Calculo!$F$231:$ES$231,Calculo!$F$170:$ES$170,9)))</f>
        <v>5283152.41676787</v>
      </c>
      <c r="N11" s="48" t="n">
        <f aca="false">IF(cu_P=1,(SUMIFS(Calculo!$F$73:$ES$73,Calculo!$F$14:$ES$14,10)+SUMIFS(Calculo!$F$74:$ES$74,Calculo!$F$14:$ES$14,10)+SUMIFS(Calculo!$F$75:$ES$75,Calculo!$F$14:$ES$14,10)),(SUMIFS(Calculo!$F$229:$ES$229,Calculo!$F$170:$ES$170,10)+SUMIFS(Calculo!$F$230:$ES$230,Calculo!$F$170:$ES$170,10)+SUMIFS(Calculo!$F$231:$ES$231,Calculo!$F$170:$ES$170,10)))</f>
        <v>5311575.78100555</v>
      </c>
      <c r="O11" s="54" t="n">
        <f aca="false">SUM(D11:N11)</f>
        <v>47706985.31956</v>
      </c>
    </row>
    <row r="12" customFormat="false" ht="15" hidden="false" customHeight="false" outlineLevel="0" collapsed="false">
      <c r="A12" s="11" t="s">
        <v>2608</v>
      </c>
      <c r="B12" s="15" t="s">
        <v>2609</v>
      </c>
      <c r="C12" s="11" t="s">
        <v>508</v>
      </c>
      <c r="D12" s="48" t="n">
        <f aca="false">IF(cu_P=1,(SUMIFS(Calculo!$F$86:$ES$86,Calculo!$F$16:$ES$16,1)+SUMIFS(Calculo!$F$87:$ES$87,Calculo!$F$16:$ES$16,1)+SUMIFS(Calculo!$F$83:$ES$83,Calculo!$F$16:$ES$16,1)+SUMIFS(Calculo!$F$84:$ES$84,Calculo!$F$16:$ES$16,1)+SUMIFS(Calculo!$F$89:$ES$89,Calculo!$F$16:$ES$16,1)+SUMIFS(Calculo!$F$90:$ES$90,Calculo!$F$16:$ES$16,1)-SUMIFS(Calculo!$F$101:$ES$101,Calculo!$F$16:$ES$16,1)),(SUMIFS(Calculo!$F$242:$ES$242,Calculo!$F$172:$ES$172,1)+SUMIFS(Calculo!$F$243:$ES$243,Calculo!$F$172:$ES$172,1)+SUMIFS(Calculo!$F$239:$ES$239,Calculo!$F$172:$ES$172,1)+SUMIFS(Calculo!$F$240:$ES$240,Calculo!$F$172:$ES$172,1)+SUMIFS(Calculo!$F$245:$ES$245,Calculo!$F$172:$ES$172,1)+SUMIFS(Calculo!$F$246:$ES$246,Calculo!$F$172:$ES$172,1)-SUMIFS(Calculo!$F$257:$ES$257,Calculo!$F$172:$ES$172,1)))</f>
        <v>0</v>
      </c>
      <c r="E12" s="48" t="n">
        <f aca="false">IF(cu_P=1,(SUMIFS(Calculo!$F$86:$ES$86,Calculo!$F$14:$ES$14,1)+SUMIFS(Calculo!$F$87:$ES$87,Calculo!$F$14:$ES$14,1)+SUMIFS(Calculo!$F$83:$ES$83,Calculo!$F$14:$ES$14,1)+SUMIFS(Calculo!$F$84:$ES$84,Calculo!$F$14:$ES$14,1)+SUMIFS(Calculo!$F$89:$ES$89,Calculo!$F$14:$ES$14,1)+SUMIFS(Calculo!$F$90:$ES$90,Calculo!$F$14:$ES$14,1)-SUMIFS(Calculo!$F$101:$ES$101,Calculo!$F$14:$ES$14,1)),(SUMIFS(Calculo!$F$242:$ES$242,Calculo!$F$170:$ES$170,1)+SUMIFS(Calculo!$F$243:$ES$243,Calculo!$F$170:$ES$170,1)+SUMIFS(Calculo!$F$239:$ES$239,Calculo!$F$170:$ES$170,1)+SUMIFS(Calculo!$F$240:$ES$240,Calculo!$F$170:$ES$170,1)+SUMIFS(Calculo!$F$245:$ES$245,Calculo!$F$170:$ES$170,1)+SUMIFS(Calculo!$F$246:$ES$246,Calculo!$F$170:$ES$170,1)-SUMIFS(Calculo!$F$257:$ES$257,Calculo!$F$170:$ES$170,1)))</f>
        <v>559569.397312265</v>
      </c>
      <c r="F12" s="48" t="n">
        <f aca="false">IF(cu_P=1,(SUMIFS(Calculo!$F$86:$ES$86,Calculo!$F$14:$ES$14,2)+SUMIFS(Calculo!$F$87:$ES$87,Calculo!$F$14:$ES$14,2)+SUMIFS(Calculo!$F$83:$ES$83,Calculo!$F$14:$ES$14,2)+SUMIFS(Calculo!$F$84:$ES$84,Calculo!$F$14:$ES$14,2)+SUMIFS(Calculo!$F$89:$ES$89,Calculo!$F$14:$ES$14,2)+SUMIFS(Calculo!$F$90:$ES$90,Calculo!$F$14:$ES$14,2)-SUMIFS(Calculo!$F$101:$ES$101,Calculo!$F$14:$ES$14,2)),(SUMIFS(Calculo!$F$242:$ES$242,Calculo!$F$170:$ES$170,2)+SUMIFS(Calculo!$F$243:$ES$243,Calculo!$F$170:$ES$170,2)+SUMIFS(Calculo!$F$239:$ES$239,Calculo!$F$170:$ES$170,2)+SUMIFS(Calculo!$F$240:$ES$240,Calculo!$F$170:$ES$170,2)+SUMIFS(Calculo!$F$245:$ES$245,Calculo!$F$170:$ES$170,2)+SUMIFS(Calculo!$F$246:$ES$246,Calculo!$F$170:$ES$170,2)-SUMIFS(Calculo!$F$257:$ES$257,Calculo!$F$170:$ES$170,2)))</f>
        <v>616488.973091765</v>
      </c>
      <c r="G12" s="48" t="n">
        <f aca="false">IF(cu_P=1,(SUMIFS(Calculo!$F$86:$ES$86,Calculo!$F$14:$ES$14,3)+SUMIFS(Calculo!$F$87:$ES$87,Calculo!$F$14:$ES$14,3)+SUMIFS(Calculo!$F$83:$ES$83,Calculo!$F$14:$ES$14,3)+SUMIFS(Calculo!$F$84:$ES$84,Calculo!$F$14:$ES$14,3)+SUMIFS(Calculo!$F$89:$ES$89,Calculo!$F$14:$ES$14,3)+SUMIFS(Calculo!$F$90:$ES$90,Calculo!$F$14:$ES$14,3)-SUMIFS(Calculo!$F$101:$ES$101,Calculo!$F$14:$ES$14,3)),(SUMIFS(Calculo!$F$242:$ES$242,Calculo!$F$170:$ES$170,3)+SUMIFS(Calculo!$F$243:$ES$243,Calculo!$F$170:$ES$170,3)+SUMIFS(Calculo!$F$239:$ES$239,Calculo!$F$170:$ES$170,3)+SUMIFS(Calculo!$F$240:$ES$240,Calculo!$F$170:$ES$170,3)+SUMIFS(Calculo!$F$245:$ES$245,Calculo!$F$170:$ES$170,3)+SUMIFS(Calculo!$F$246:$ES$246,Calculo!$F$170:$ES$170,3)-SUMIFS(Calculo!$F$257:$ES$257,Calculo!$F$170:$ES$170,3)))</f>
        <v>676066.56211264</v>
      </c>
      <c r="H12" s="48" t="n">
        <f aca="false">IF(cu_P=1,(SUMIFS(Calculo!$F$86:$ES$86,Calculo!$F$14:$ES$14,4)+SUMIFS(Calculo!$F$87:$ES$87,Calculo!$F$14:$ES$14,4)+SUMIFS(Calculo!$F$83:$ES$83,Calculo!$F$14:$ES$14,4)+SUMIFS(Calculo!$F$84:$ES$84,Calculo!$F$14:$ES$14,4)+SUMIFS(Calculo!$F$89:$ES$89,Calculo!$F$14:$ES$14,4)+SUMIFS(Calculo!$F$90:$ES$90,Calculo!$F$14:$ES$14,4)-SUMIFS(Calculo!$F$101:$ES$101,Calculo!$F$14:$ES$14,4)),(SUMIFS(Calculo!$F$242:$ES$242,Calculo!$F$170:$ES$170,4)+SUMIFS(Calculo!$F$243:$ES$243,Calculo!$F$170:$ES$170,4)+SUMIFS(Calculo!$F$239:$ES$239,Calculo!$F$170:$ES$170,4)+SUMIFS(Calculo!$F$240:$ES$240,Calculo!$F$170:$ES$170,4)+SUMIFS(Calculo!$F$245:$ES$245,Calculo!$F$170:$ES$170,4)+SUMIFS(Calculo!$F$246:$ES$246,Calculo!$F$170:$ES$170,4)-SUMIFS(Calculo!$F$257:$ES$257,Calculo!$F$170:$ES$170,4)))</f>
        <v>726371.411937568</v>
      </c>
      <c r="I12" s="48" t="n">
        <f aca="false">IF(cu_P=1,(SUMIFS(Calculo!$F$86:$ES$86,Calculo!$F$14:$ES$14,5)+SUMIFS(Calculo!$F$87:$ES$87,Calculo!$F$14:$ES$14,5)+SUMIFS(Calculo!$F$83:$ES$83,Calculo!$F$14:$ES$14,5)+SUMIFS(Calculo!$F$84:$ES$84,Calculo!$F$14:$ES$14,5)+SUMIFS(Calculo!$F$89:$ES$89,Calculo!$F$14:$ES$14,5)+SUMIFS(Calculo!$F$90:$ES$90,Calculo!$F$14:$ES$14,5)-SUMIFS(Calculo!$F$101:$ES$101,Calculo!$F$14:$ES$14,5)),(SUMIFS(Calculo!$F$242:$ES$242,Calculo!$F$170:$ES$170,5)+SUMIFS(Calculo!$F$243:$ES$243,Calculo!$F$170:$ES$170,5)+SUMIFS(Calculo!$F$239:$ES$239,Calculo!$F$170:$ES$170,5)+SUMIFS(Calculo!$F$240:$ES$240,Calculo!$F$170:$ES$170,5)+SUMIFS(Calculo!$F$245:$ES$245,Calculo!$F$170:$ES$170,5)+SUMIFS(Calculo!$F$246:$ES$246,Calculo!$F$170:$ES$170,5)-SUMIFS(Calculo!$F$257:$ES$257,Calculo!$F$170:$ES$170,5)))</f>
        <v>737670.601492972</v>
      </c>
      <c r="J12" s="48" t="n">
        <f aca="false">IF(cu_P=1,(SUMIFS(Calculo!$F$86:$ES$86,Calculo!$F$14:$ES$14,6)+SUMIFS(Calculo!$F$87:$ES$87,Calculo!$F$14:$ES$14,6)+SUMIFS(Calculo!$F$83:$ES$83,Calculo!$F$14:$ES$14,6)+SUMIFS(Calculo!$F$84:$ES$84,Calculo!$F$14:$ES$14,6)+SUMIFS(Calculo!$F$89:$ES$89,Calculo!$F$14:$ES$14,6)+SUMIFS(Calculo!$F$90:$ES$90,Calculo!$F$14:$ES$14,6)-SUMIFS(Calculo!$F$101:$ES$101,Calculo!$F$14:$ES$14,6)),(SUMIFS(Calculo!$F$242:$ES$242,Calculo!$F$170:$ES$170,6)+SUMIFS(Calculo!$F$243:$ES$243,Calculo!$F$170:$ES$170,6)+SUMIFS(Calculo!$F$239:$ES$239,Calculo!$F$170:$ES$170,6)+SUMIFS(Calculo!$F$240:$ES$240,Calculo!$F$170:$ES$170,6)+SUMIFS(Calculo!$F$245:$ES$245,Calculo!$F$170:$ES$170,6)+SUMIFS(Calculo!$F$246:$ES$246,Calculo!$F$170:$ES$170,6)-SUMIFS(Calculo!$F$257:$ES$257,Calculo!$F$170:$ES$170,6)))</f>
        <v>747335.244110934</v>
      </c>
      <c r="K12" s="48" t="n">
        <f aca="false">IF(cu_P=1,(SUMIFS(Calculo!$F$86:$ES$86,Calculo!$F$14:$ES$14,7)+SUMIFS(Calculo!$F$87:$ES$87,Calculo!$F$14:$ES$14,7)+SUMIFS(Calculo!$F$83:$ES$83,Calculo!$F$14:$ES$14,7)+SUMIFS(Calculo!$F$84:$ES$84,Calculo!$F$14:$ES$14,7)+SUMIFS(Calculo!$F$89:$ES$89,Calculo!$F$14:$ES$14,7)+SUMIFS(Calculo!$F$90:$ES$90,Calculo!$F$14:$ES$14,7)-SUMIFS(Calculo!$F$101:$ES$101,Calculo!$F$14:$ES$14,7)),(SUMIFS(Calculo!$F$242:$ES$242,Calculo!$F$170:$ES$170,7)+SUMIFS(Calculo!$F$243:$ES$243,Calculo!$F$170:$ES$170,7)+SUMIFS(Calculo!$F$239:$ES$239,Calculo!$F$170:$ES$170,7)+SUMIFS(Calculo!$F$240:$ES$240,Calculo!$F$170:$ES$170,7)+SUMIFS(Calculo!$F$245:$ES$245,Calculo!$F$170:$ES$170,7)+SUMIFS(Calculo!$F$246:$ES$246,Calculo!$F$170:$ES$170,7)-SUMIFS(Calculo!$F$257:$ES$257,Calculo!$F$170:$ES$170,7)))</f>
        <v>757247.361144193</v>
      </c>
      <c r="L12" s="48" t="n">
        <f aca="false">IF(cu_P=1,(SUMIFS(Calculo!$F$86:$ES$86,Calculo!$F$14:$ES$14,8)+SUMIFS(Calculo!$F$87:$ES$87,Calculo!$F$14:$ES$14,8)+SUMIFS(Calculo!$F$83:$ES$83,Calculo!$F$14:$ES$14,8)+SUMIFS(Calculo!$F$84:$ES$84,Calculo!$F$14:$ES$14,8)+SUMIFS(Calculo!$F$89:$ES$89,Calculo!$F$14:$ES$14,8)+SUMIFS(Calculo!$F$90:$ES$90,Calculo!$F$14:$ES$14,8)-SUMIFS(Calculo!$F$101:$ES$101,Calculo!$F$14:$ES$14,8)),(SUMIFS(Calculo!$F$242:$ES$242,Calculo!$F$170:$ES$170,8)+SUMIFS(Calculo!$F$243:$ES$243,Calculo!$F$170:$ES$170,8)+SUMIFS(Calculo!$F$239:$ES$239,Calculo!$F$170:$ES$170,8)+SUMIFS(Calculo!$F$240:$ES$240,Calculo!$F$170:$ES$170,8)+SUMIFS(Calculo!$F$245:$ES$245,Calculo!$F$170:$ES$170,8)+SUMIFS(Calculo!$F$246:$ES$246,Calculo!$F$170:$ES$170,8)-SUMIFS(Calculo!$F$257:$ES$257,Calculo!$F$170:$ES$170,8)))</f>
        <v>767413.884647006</v>
      </c>
      <c r="M12" s="48" t="n">
        <f aca="false">IF(cu_P=1,(SUMIFS(Calculo!$F$86:$ES$86,Calculo!$F$14:$ES$14,9)+SUMIFS(Calculo!$F$87:$ES$87,Calculo!$F$14:$ES$14,9)+SUMIFS(Calculo!$F$83:$ES$83,Calculo!$F$14:$ES$14,9)+SUMIFS(Calculo!$F$84:$ES$84,Calculo!$F$14:$ES$14,9)+SUMIFS(Calculo!$F$89:$ES$89,Calculo!$F$14:$ES$14,9)+SUMIFS(Calculo!$F$90:$ES$90,Calculo!$F$14:$ES$14,9)-SUMIFS(Calculo!$F$101:$ES$101,Calculo!$F$14:$ES$14,9)),(SUMIFS(Calculo!$F$242:$ES$242,Calculo!$F$170:$ES$170,9)+SUMIFS(Calculo!$F$243:$ES$243,Calculo!$F$170:$ES$170,9)+SUMIFS(Calculo!$F$239:$ES$239,Calculo!$F$170:$ES$170,9)+SUMIFS(Calculo!$F$240:$ES$240,Calculo!$F$170:$ES$170,9)+SUMIFS(Calculo!$F$245:$ES$245,Calculo!$F$170:$ES$170,9)+SUMIFS(Calculo!$F$246:$ES$246,Calculo!$F$170:$ES$170,9)-SUMIFS(Calculo!$F$257:$ES$257,Calculo!$F$170:$ES$170,9)))</f>
        <v>777841.948362885</v>
      </c>
      <c r="N12" s="48" t="n">
        <f aca="false">IF(cu_P=1,(SUMIFS(Calculo!$F$86:$ES$86,Calculo!$F$14:$ES$14,10)+SUMIFS(Calculo!$F$87:$ES$87,Calculo!$F$14:$ES$14,10)+SUMIFS(Calculo!$F$83:$ES$83,Calculo!$F$14:$ES$14,10)+SUMIFS(Calculo!$F$84:$ES$84,Calculo!$F$14:$ES$14,10)+SUMIFS(Calculo!$F$89:$ES$89,Calculo!$F$14:$ES$14,10)+SUMIFS(Calculo!$F$90:$ES$90,Calculo!$F$14:$ES$14,10)-SUMIFS(Calculo!$F$101:$ES$101,Calculo!$F$14:$ES$14,10)),(SUMIFS(Calculo!$F$242:$ES$242,Calculo!$F$170:$ES$170,10)+SUMIFS(Calculo!$F$243:$ES$243,Calculo!$F$170:$ES$170,10)+SUMIFS(Calculo!$F$239:$ES$239,Calculo!$F$170:$ES$170,10)+SUMIFS(Calculo!$F$240:$ES$240,Calculo!$F$170:$ES$170,10)+SUMIFS(Calculo!$F$245:$ES$245,Calculo!$F$170:$ES$170,10)+SUMIFS(Calculo!$F$246:$ES$246,Calculo!$F$170:$ES$170,10)-SUMIFS(Calculo!$F$257:$ES$257,Calculo!$F$170:$ES$170,10)))</f>
        <v>788538.893685538</v>
      </c>
      <c r="O12" s="54" t="n">
        <f aca="false">SUM(D12:N12)</f>
        <v>7154544.27789777</v>
      </c>
    </row>
    <row r="13" customFormat="false" ht="15" hidden="false" customHeight="false" outlineLevel="0" collapsed="false">
      <c r="A13" s="11" t="s">
        <v>2610</v>
      </c>
      <c r="B13" s="15" t="s">
        <v>2611</v>
      </c>
      <c r="C13" s="11" t="s">
        <v>508</v>
      </c>
      <c r="D13" s="48" t="n">
        <f aca="false">IF(cu_P=1,(SUMIFS(Calculo!$F$85:$ES$85,Calculo!$F$16:$ES$16,1)+SUMIFS(Calculo!$F$76:$ES$76,Calculo!$F$16:$ES$16,1)),(SUMIFS(Calculo!$F$241:$ES$241,Calculo!$F$172:$ES$172,1)+SUMIFS(Calculo!$F$232:$ES$232,Calculo!$F$172:$ES$172,1)))</f>
        <v>0</v>
      </c>
      <c r="E13" s="48" t="n">
        <f aca="false">IF(cu_P=1,(SUMIFS(Calculo!$F$85:$ES$85,Calculo!$F$14:$ES$14,1)+SUMIFS(Calculo!$F$76:$ES$76,Calculo!$F$14:$ES$14,1)),(SUMIFS(Calculo!$F$241:$ES$241,Calculo!$F$170:$ES$170,1)+SUMIFS(Calculo!$F$232:$ES$232,Calculo!$F$170:$ES$170,1)))</f>
        <v>120202.1</v>
      </c>
      <c r="F13" s="48" t="n">
        <f aca="false">IF(cu_P=1,(SUMIFS(Calculo!$F$85:$ES$85,Calculo!$F$14:$ES$14,2)+SUMIFS(Calculo!$F$76:$ES$76,Calculo!$F$14:$ES$14,2)),(SUMIFS(Calculo!$F$241:$ES$241,Calculo!$F$170:$ES$170,2)+SUMIFS(Calculo!$F$232:$ES$232,Calculo!$F$170:$ES$170,2)))</f>
        <v>152931.195</v>
      </c>
      <c r="G13" s="48" t="n">
        <f aca="false">IF(cu_P=1,(SUMIFS(Calculo!$F$85:$ES$85,Calculo!$F$14:$ES$14,3)+SUMIFS(Calculo!$F$76:$ES$76,Calculo!$F$14:$ES$14,3)),(SUMIFS(Calculo!$F$241:$ES$241,Calculo!$F$170:$ES$170,3)+SUMIFS(Calculo!$F$232:$ES$232,Calculo!$F$170:$ES$170,3)))</f>
        <v>186166.2784</v>
      </c>
      <c r="H13" s="48" t="n">
        <f aca="false">IF(cu_P=1,(SUMIFS(Calculo!$F$85:$ES$85,Calculo!$F$14:$ES$14,4)+SUMIFS(Calculo!$F$76:$ES$76,Calculo!$F$14:$ES$14,4)),(SUMIFS(Calculo!$F$241:$ES$241,Calculo!$F$170:$ES$170,4)+SUMIFS(Calculo!$F$232:$ES$232,Calculo!$F$170:$ES$170,4)))</f>
        <v>213799.5416955</v>
      </c>
      <c r="I13" s="48" t="n">
        <f aca="false">IF(cu_P=1,(SUMIFS(Calculo!$F$85:$ES$85,Calculo!$F$14:$ES$14,5)+SUMIFS(Calculo!$F$76:$ES$76,Calculo!$F$14:$ES$14,5)),(SUMIFS(Calculo!$F$241:$ES$241,Calculo!$F$170:$ES$170,5)+SUMIFS(Calculo!$F$232:$ES$232,Calculo!$F$170:$ES$170,5)))</f>
        <v>215479.401112455</v>
      </c>
      <c r="J13" s="48" t="n">
        <f aca="false">IF(cu_P=1,(SUMIFS(Calculo!$F$85:$ES$85,Calculo!$F$14:$ES$14,6)+SUMIFS(Calculo!$F$76:$ES$76,Calculo!$F$14:$ES$14,6)),(SUMIFS(Calculo!$F$241:$ES$241,Calculo!$F$170:$ES$170,6)+SUMIFS(Calculo!$F$232:$ES$232,Calculo!$F$170:$ES$170,6)))</f>
        <v>217176.05912358</v>
      </c>
      <c r="K13" s="48" t="n">
        <f aca="false">IF(cu_P=1,(SUMIFS(Calculo!$F$85:$ES$85,Calculo!$F$14:$ES$14,7)+SUMIFS(Calculo!$F$76:$ES$76,Calculo!$F$14:$ES$14,7)),(SUMIFS(Calculo!$F$241:$ES$241,Calculo!$F$170:$ES$170,7)+SUMIFS(Calculo!$F$232:$ES$232,Calculo!$F$170:$ES$170,7)))</f>
        <v>218889.683714815</v>
      </c>
      <c r="L13" s="48" t="n">
        <f aca="false">IF(cu_P=1,(SUMIFS(Calculo!$F$85:$ES$85,Calculo!$F$14:$ES$14,8)+SUMIFS(Calculo!$F$76:$ES$76,Calculo!$F$14:$ES$14,8)),(SUMIFS(Calculo!$F$241:$ES$241,Calculo!$F$170:$ES$170,8)+SUMIFS(Calculo!$F$232:$ES$232,Calculo!$F$170:$ES$170,8)))</f>
        <v>220620.444551963</v>
      </c>
      <c r="M13" s="48" t="n">
        <f aca="false">IF(cu_P=1,(SUMIFS(Calculo!$F$85:$ES$85,Calculo!$F$14:$ES$14,9)+SUMIFS(Calculo!$F$76:$ES$76,Calculo!$F$14:$ES$14,9)),(SUMIFS(Calculo!$F$241:$ES$241,Calculo!$F$170:$ES$170,9)+SUMIFS(Calculo!$F$232:$ES$232,Calculo!$F$170:$ES$170,9)))</f>
        <v>222368.512997483</v>
      </c>
      <c r="N13" s="48" t="n">
        <f aca="false">IF(cu_P=1,(SUMIFS(Calculo!$F$85:$ES$85,Calculo!$F$14:$ES$14,10)+SUMIFS(Calculo!$F$76:$ES$76,Calculo!$F$14:$ES$14,10)),(SUMIFS(Calculo!$F$241:$ES$241,Calculo!$F$170:$ES$170,10)+SUMIFS(Calculo!$F$232:$ES$232,Calculo!$F$170:$ES$170,10)))</f>
        <v>224134.062127458</v>
      </c>
      <c r="O13" s="54" t="n">
        <f aca="false">SUM(D13:N13)</f>
        <v>1991767.27872325</v>
      </c>
    </row>
    <row r="14" customFormat="false" ht="15" hidden="false" customHeight="false" outlineLevel="0" collapsed="false">
      <c r="A14" s="11" t="s">
        <v>2612</v>
      </c>
      <c r="B14" s="15" t="s">
        <v>2613</v>
      </c>
      <c r="C14" s="11" t="s">
        <v>508</v>
      </c>
      <c r="D14" s="48" t="n">
        <f aca="false">IF(cu_P=1,SUMIFS(Calculo!$F$105:$ES$105,Calculo!$F$16:$ES$16,1),SUMIFS(Calculo!$F$261:$ES$261,Calculo!$F$172:$ES$172,1))</f>
        <v>0</v>
      </c>
      <c r="E14" s="48" t="n">
        <f aca="false">IF(cu_P=1,SUMIFS(Calculo!$F$105:$ES$105,Calculo!$F$14:$ES$14,1),SUMIFS(Calculo!$F$261:$ES$261,Calculo!$F$170:$ES$170,1))</f>
        <v>271101.932431026</v>
      </c>
      <c r="F14" s="48" t="n">
        <f aca="false">IF(cu_P=1,SUMIFS(Calculo!$F$105:$ES$105,Calculo!$F$14:$ES$14,2),SUMIFS(Calculo!$F$261:$ES$261,Calculo!$F$170:$ES$170,2))</f>
        <v>226274.254121452</v>
      </c>
      <c r="G14" s="48" t="n">
        <f aca="false">IF(cu_P=1,SUMIFS(Calculo!$F$105:$ES$105,Calculo!$F$14:$ES$14,3),SUMIFS(Calculo!$F$261:$ES$261,Calculo!$F$170:$ES$170,3))</f>
        <v>169415.972941167</v>
      </c>
      <c r="H14" s="48" t="n">
        <f aca="false">IF(cu_P=1,SUMIFS(Calculo!$F$105:$ES$105,Calculo!$F$14:$ES$14,4),SUMIFS(Calculo!$F$261:$ES$261,Calculo!$F$170:$ES$170,4))</f>
        <v>107223.992796456</v>
      </c>
      <c r="I14" s="48" t="n">
        <f aca="false">IF(cu_P=1,SUMIFS(Calculo!$F$105:$ES$105,Calculo!$F$14:$ES$14,5),SUMIFS(Calculo!$F$261:$ES$261,Calculo!$F$170:$ES$170,5))</f>
        <v>39197.9759343531</v>
      </c>
      <c r="J14" s="48" t="n">
        <f aca="false">IF(cu_P=1,SUMIFS(Calculo!$F$105:$ES$105,Calculo!$F$14:$ES$14,6),SUMIFS(Calculo!$F$261:$ES$261,Calculo!$F$170:$ES$170,6))</f>
        <v>0</v>
      </c>
      <c r="K14" s="48" t="n">
        <f aca="false">IF(cu_P=1,SUMIFS(Calculo!$F$105:$ES$105,Calculo!$F$14:$ES$14,7),SUMIFS(Calculo!$F$261:$ES$261,Calculo!$F$170:$ES$170,7))</f>
        <v>0</v>
      </c>
      <c r="L14" s="48" t="n">
        <f aca="false">IF(cu_P=1,SUMIFS(Calculo!$F$105:$ES$105,Calculo!$F$14:$ES$14,8),SUMIFS(Calculo!$F$261:$ES$261,Calculo!$F$170:$ES$170,8))</f>
        <v>0</v>
      </c>
      <c r="M14" s="48" t="n">
        <f aca="false">IF(cu_P=1,SUMIFS(Calculo!$F$105:$ES$105,Calculo!$F$14:$ES$14,9),SUMIFS(Calculo!$F$261:$ES$261,Calculo!$F$170:$ES$170,9))</f>
        <v>0</v>
      </c>
      <c r="N14" s="48" t="n">
        <f aca="false">IF(cu_P=1,SUMIFS(Calculo!$F$105:$ES$105,Calculo!$F$14:$ES$14,10),SUMIFS(Calculo!$F$261:$ES$261,Calculo!$F$170:$ES$170,10))</f>
        <v>0</v>
      </c>
      <c r="O14" s="54" t="n">
        <f aca="false">SUM(D14:N14)</f>
        <v>813214.128224454</v>
      </c>
    </row>
    <row r="15" customFormat="false" ht="15" hidden="false" customHeight="false" outlineLevel="0" collapsed="false">
      <c r="A15" s="11" t="s">
        <v>2614</v>
      </c>
      <c r="B15" s="15" t="s">
        <v>2615</v>
      </c>
      <c r="C15" s="11" t="s">
        <v>508</v>
      </c>
      <c r="D15" s="48" t="n">
        <f aca="false">IF(cu_P=1,SUMIFS(Calculo!$F$103:$ES$103,Calculo!$F$16:$ES$16,1),SUMIFS(Calculo!$F$259:$ES$259,Calculo!$F$172:$ES$172,1))</f>
        <v>0</v>
      </c>
      <c r="E15" s="48" t="n">
        <f aca="false">IF(cu_P=1,SUMIFS(Calculo!$F$103:$ES$103,Calculo!$F$14:$ES$14,1),SUMIFS(Calculo!$F$259:$ES$259,Calculo!$F$170:$ES$170,1))</f>
        <v>71592.209</v>
      </c>
      <c r="F15" s="48" t="n">
        <f aca="false">IF(cu_P=1,SUMIFS(Calculo!$F$103:$ES$103,Calculo!$F$14:$ES$14,2),SUMIFS(Calculo!$F$259:$ES$259,Calculo!$F$170:$ES$170,2))</f>
        <v>81592.209</v>
      </c>
      <c r="G15" s="48" t="n">
        <f aca="false">IF(cu_P=1,SUMIFS(Calculo!$F$103:$ES$103,Calculo!$F$14:$ES$14,3),SUMIFS(Calculo!$F$259:$ES$259,Calculo!$F$170:$ES$170,3))</f>
        <v>81592.209</v>
      </c>
      <c r="H15" s="48" t="n">
        <f aca="false">IF(cu_P=1,SUMIFS(Calculo!$F$103:$ES$103,Calculo!$F$14:$ES$14,4),SUMIFS(Calculo!$F$259:$ES$259,Calculo!$F$170:$ES$170,4))</f>
        <v>81592.209</v>
      </c>
      <c r="I15" s="48" t="n">
        <f aca="false">IF(cu_P=1,SUMIFS(Calculo!$F$103:$ES$103,Calculo!$F$14:$ES$14,5),SUMIFS(Calculo!$F$259:$ES$259,Calculo!$F$170:$ES$170,5))</f>
        <v>81592.209</v>
      </c>
      <c r="J15" s="48" t="n">
        <f aca="false">IF(cu_P=1,SUMIFS(Calculo!$F$103:$ES$103,Calculo!$F$14:$ES$14,6),SUMIFS(Calculo!$F$259:$ES$259,Calculo!$F$170:$ES$170,6))</f>
        <v>69416.609</v>
      </c>
      <c r="K15" s="48" t="n">
        <f aca="false">IF(cu_P=1,SUMIFS(Calculo!$F$103:$ES$103,Calculo!$F$14:$ES$14,7),SUMIFS(Calculo!$F$259:$ES$259,Calculo!$F$170:$ES$170,7))</f>
        <v>69416.609</v>
      </c>
      <c r="L15" s="48" t="n">
        <f aca="false">IF(cu_P=1,SUMIFS(Calculo!$F$103:$ES$103,Calculo!$F$14:$ES$14,8),SUMIFS(Calculo!$F$259:$ES$259,Calculo!$F$170:$ES$170,8))</f>
        <v>69416.609</v>
      </c>
      <c r="M15" s="48" t="n">
        <f aca="false">IF(cu_P=1,SUMIFS(Calculo!$F$103:$ES$103,Calculo!$F$14:$ES$14,9),SUMIFS(Calculo!$F$259:$ES$259,Calculo!$F$170:$ES$170,9))</f>
        <v>69416.609</v>
      </c>
      <c r="N15" s="48" t="n">
        <f aca="false">IF(cu_P=1,SUMIFS(Calculo!$F$103:$ES$103,Calculo!$F$14:$ES$14,10),SUMIFS(Calculo!$F$259:$ES$259,Calculo!$F$170:$ES$170,10))</f>
        <v>69416.609</v>
      </c>
      <c r="O15" s="54" t="n">
        <f aca="false">SUM(D15:N15)</f>
        <v>745044.09</v>
      </c>
    </row>
    <row r="16" customFormat="false" ht="15" hidden="false" customHeight="false" outlineLevel="0" collapsed="false">
      <c r="A16" s="11" t="s">
        <v>2616</v>
      </c>
      <c r="B16" s="15" t="s">
        <v>2617</v>
      </c>
      <c r="C16" s="11" t="s">
        <v>508</v>
      </c>
      <c r="D16" s="48" t="n">
        <f aca="false">IFERROR(IF(COUNT(D9,D10,D11,D12,D13,D14,D15)=0,"",N(D9)-(N(D10)+N(D11)+N(D12)+N(D13)+N(D14)+N(D15))),"")</f>
        <v>0</v>
      </c>
      <c r="E16" s="48" t="n">
        <f aca="false">IFERROR(IF(COUNT(E9,E10,E11,E12,E13,E14,E15)=0,"",N(E9)-(N(E10)+N(E11)+N(E12)+N(E13)+N(E14)+N(E15))),"")</f>
        <v>0</v>
      </c>
      <c r="F16" s="48" t="n">
        <f aca="false">IFERROR(IF(COUNT(F9,F10,F11,F12,F13,F14,F15)=0,"",N(F9)-(N(F10)+N(F11)+N(F12)+N(F13)+N(F14)+N(F15))),"")</f>
        <v>0</v>
      </c>
      <c r="G16" s="48" t="n">
        <f aca="false">IFERROR(IF(COUNT(G9,G10,G11,G12,G13,G14,G15)=0,"",N(G9)-(N(G10)+N(G11)+N(G12)+N(G13)+N(G14)+N(G15))),"")</f>
        <v>0</v>
      </c>
      <c r="H16" s="48" t="n">
        <f aca="false">IFERROR(IF(COUNT(H9,H10,H11,H12,H13,H14,H15)=0,"",N(H9)-(N(H10)+N(H11)+N(H12)+N(H13)+N(H14)+N(H15))),"")</f>
        <v>0</v>
      </c>
      <c r="I16" s="48" t="n">
        <f aca="false">IFERROR(IF(COUNT(I9,I10,I11,I12,I13,I14,I15)=0,"",N(I9)-(N(I10)+N(I11)+N(I12)+N(I13)+N(I14)+N(I15))),"")</f>
        <v>0</v>
      </c>
      <c r="J16" s="48" t="n">
        <f aca="false">IFERROR(IF(COUNT(J9,J10,J11,J12,J13,J14,J15)=0,"",N(J9)-(N(J10)+N(J11)+N(J12)+N(J13)+N(J14)+N(J15))),"")</f>
        <v>0</v>
      </c>
      <c r="K16" s="48" t="n">
        <f aca="false">IFERROR(IF(COUNT(K9,K10,K11,K12,K13,K14,K15)=0,"",N(K9)-(N(K10)+N(K11)+N(K12)+N(K13)+N(K14)+N(K15))),"")</f>
        <v>0</v>
      </c>
      <c r="L16" s="48" t="n">
        <f aca="false">IFERROR(IF(COUNT(L9,L10,L11,L12,L13,L14,L15)=0,"",N(L9)-(N(L10)+N(L11)+N(L12)+N(L13)+N(L14)+N(L15))),"")</f>
        <v>0</v>
      </c>
      <c r="M16" s="48" t="n">
        <f aca="false">IFERROR(IF(COUNT(M9,M10,M11,M12,M13,M14,M15)=0,"",N(M9)-(N(M10)+N(M11)+N(M12)+N(M13)+N(M14)+N(M15))),"")</f>
        <v>0</v>
      </c>
      <c r="N16" s="48" t="n">
        <f aca="false">IFERROR(IF(COUNT(N9,N10,N11,N12,N13,N14,N15)=0,"",N(N9)-(N(N10)+N(N11)+N(N12)+N(N13)+N(N14)+N(N15))),"")</f>
        <v>0</v>
      </c>
      <c r="O16" s="54" t="n">
        <f aca="false">SUM(D16:N16)</f>
        <v>0</v>
      </c>
    </row>
    <row r="17" customFormat="false" ht="15" hidden="false" customHeight="false" outlineLevel="0" collapsed="false">
      <c r="A17" s="13"/>
      <c r="B17" s="100" t="s">
        <v>2618</v>
      </c>
      <c r="C17" s="13"/>
      <c r="D17" s="13"/>
      <c r="E17" s="13"/>
      <c r="F17" s="13"/>
      <c r="G17" s="13"/>
      <c r="H17" s="13"/>
      <c r="I17" s="13"/>
      <c r="J17" s="13"/>
      <c r="K17" s="13"/>
      <c r="L17" s="13"/>
      <c r="M17" s="13"/>
      <c r="N17" s="13"/>
      <c r="O17" s="13"/>
    </row>
    <row r="18" customFormat="false" ht="15" hidden="false" customHeight="false" outlineLevel="0" collapsed="false">
      <c r="A18" s="11" t="s">
        <v>2619</v>
      </c>
      <c r="B18" s="67" t="s">
        <v>2603</v>
      </c>
      <c r="C18" s="11" t="s">
        <v>367</v>
      </c>
      <c r="D18" s="99" t="n">
        <f aca="false">IFERROR(1,"")</f>
        <v>1</v>
      </c>
      <c r="E18" s="99" t="n">
        <f aca="false">IFERROR(1,"")</f>
        <v>1</v>
      </c>
      <c r="F18" s="99" t="n">
        <f aca="false">IFERROR(1,"")</f>
        <v>1</v>
      </c>
      <c r="G18" s="99" t="n">
        <f aca="false">IFERROR(1,"")</f>
        <v>1</v>
      </c>
      <c r="H18" s="99" t="n">
        <f aca="false">IFERROR(1,"")</f>
        <v>1</v>
      </c>
      <c r="I18" s="99" t="n">
        <f aca="false">IFERROR(1,"")</f>
        <v>1</v>
      </c>
      <c r="J18" s="99" t="n">
        <f aca="false">IFERROR(1,"")</f>
        <v>1</v>
      </c>
      <c r="K18" s="99" t="n">
        <f aca="false">IFERROR(1,"")</f>
        <v>1</v>
      </c>
      <c r="L18" s="99" t="n">
        <f aca="false">IFERROR(1,"")</f>
        <v>1</v>
      </c>
      <c r="M18" s="99" t="n">
        <f aca="false">IFERROR(1,"")</f>
        <v>1</v>
      </c>
      <c r="N18" s="99" t="n">
        <f aca="false">IFERROR(1,"")</f>
        <v>1</v>
      </c>
      <c r="O18" s="99" t="n">
        <f aca="false">IFERROR(1,"")</f>
        <v>1</v>
      </c>
    </row>
    <row r="19" customFormat="false" ht="15" hidden="false" customHeight="false" outlineLevel="0" collapsed="false">
      <c r="A19" s="11" t="s">
        <v>2620</v>
      </c>
      <c r="B19" s="15" t="s">
        <v>2605</v>
      </c>
      <c r="C19" s="11" t="s">
        <v>367</v>
      </c>
      <c r="D19" s="49" t="str">
        <f aca="false">IFERROR(IF(OR(NOT(ISNUMBER(D10)),N(D9)=0),"",D10/D9),"")</f>
        <v/>
      </c>
      <c r="E19" s="49" t="n">
        <f aca="false">IFERROR(IF(OR(NOT(ISNUMBER(E10)),N(E9)=0),"",E10/E9),"")</f>
        <v>0.158919568911485</v>
      </c>
      <c r="F19" s="49" t="n">
        <f aca="false">IFERROR(IF(OR(NOT(ISNUMBER(F10)),N(F9)=0),"",F10/F9),"")</f>
        <v>0.134738680057443</v>
      </c>
      <c r="G19" s="49" t="n">
        <f aca="false">IFERROR(IF(OR(NOT(ISNUMBER(G10)),N(G9)=0),"",G10/G9),"")</f>
        <v>0.12153156185373</v>
      </c>
      <c r="H19" s="49" t="n">
        <f aca="false">IFERROR(IF(OR(NOT(ISNUMBER(H10)),N(H9)=0),"",H10/H9),"")</f>
        <v>0.113255384220092</v>
      </c>
      <c r="I19" s="49" t="n">
        <f aca="false">IFERROR(IF(OR(NOT(ISNUMBER(I10)),N(I9)=0),"",I10/I9),"")</f>
        <v>0.117586433735241</v>
      </c>
      <c r="J19" s="49" t="n">
        <f aca="false">IFERROR(IF(OR(NOT(ISNUMBER(J10)),N(J9)=0),"",J10/J9),"")</f>
        <v>0.117797748065528</v>
      </c>
      <c r="K19" s="49" t="n">
        <f aca="false">IFERROR(IF(OR(NOT(ISNUMBER(K10)),N(K9)=0),"",K10/K9),"")</f>
        <v>0.117147614542528</v>
      </c>
      <c r="L19" s="49" t="n">
        <f aca="false">IFERROR(IF(OR(NOT(ISNUMBER(L10)),N(L9)=0),"",L10/L9),"")</f>
        <v>0.116495691591147</v>
      </c>
      <c r="M19" s="49" t="n">
        <f aca="false">IFERROR(IF(OR(NOT(ISNUMBER(M10)),N(M9)=0),"",M10/M9),"")</f>
        <v>0.115841995669185</v>
      </c>
      <c r="N19" s="49" t="n">
        <f aca="false">IFERROR(IF(OR(NOT(ISNUMBER(N10)),N(N9)=0),"",N10/N9),"")</f>
        <v>0.115186543549933</v>
      </c>
      <c r="O19" s="99" t="n">
        <f aca="false">IFERROR(IF(OR(NOT(ISNUMBER(O10)),N(O9)=0),"",O10/O9),"")</f>
        <v>0.12125020453919</v>
      </c>
    </row>
    <row r="20" customFormat="false" ht="15" hidden="false" customHeight="false" outlineLevel="0" collapsed="false">
      <c r="A20" s="11" t="s">
        <v>2621</v>
      </c>
      <c r="B20" s="15" t="s">
        <v>2607</v>
      </c>
      <c r="C20" s="11" t="s">
        <v>367</v>
      </c>
      <c r="D20" s="49" t="str">
        <f aca="false">IFERROR(IF(OR(NOT(ISNUMBER(D11)),N(D9)=0),"",D11/D9),"")</f>
        <v/>
      </c>
      <c r="E20" s="49" t="n">
        <f aca="false">IFERROR(IF(OR(NOT(ISNUMBER(E11)),N(E9)=0),"",E11/E9),"")</f>
        <v>0.622731963592208</v>
      </c>
      <c r="F20" s="49" t="n">
        <f aca="false">IFERROR(IF(OR(NOT(ISNUMBER(F11)),N(F9)=0),"",F11/F9),"")</f>
        <v>0.670210577891552</v>
      </c>
      <c r="G20" s="49" t="n">
        <f aca="false">IFERROR(IF(OR(NOT(ISNUMBER(G11)),N(G9)=0),"",G11/G9),"")</f>
        <v>0.704102967483949</v>
      </c>
      <c r="H20" s="49" t="n">
        <f aca="false">IFERROR(IF(OR(NOT(ISNUMBER(H11)),N(H9)=0),"",H11/H9),"")</f>
        <v>0.727182427787465</v>
      </c>
      <c r="I20" s="49" t="n">
        <f aca="false">IFERROR(IF(OR(NOT(ISNUMBER(I11)),N(I9)=0),"",I11/I9),"")</f>
        <v>0.730695469961958</v>
      </c>
      <c r="J20" s="49" t="n">
        <f aca="false">IFERROR(IF(OR(NOT(ISNUMBER(J11)),N(J9)=0),"",J11/J9),"")</f>
        <v>0.735874291427312</v>
      </c>
      <c r="K20" s="49" t="n">
        <f aca="false">IFERROR(IF(OR(NOT(ISNUMBER(K11)),N(K9)=0),"",K11/K9),"")</f>
        <v>0.735695751532119</v>
      </c>
      <c r="L20" s="49" t="n">
        <f aca="false">IFERROR(IF(OR(NOT(ISNUMBER(L11)),N(L9)=0),"",L11/L9),"")</f>
        <v>0.735501429797423</v>
      </c>
      <c r="M20" s="49" t="n">
        <f aca="false">IFERROR(IF(OR(NOT(ISNUMBER(M11)),N(M9)=0),"",M11/M9),"")</f>
        <v>0.735290986701096</v>
      </c>
      <c r="N20" s="49" t="n">
        <f aca="false">IFERROR(IF(OR(NOT(ISNUMBER(N11)),N(N9)=0),"",N11/N9),"")</f>
        <v>0.735064078551065</v>
      </c>
      <c r="O20" s="99" t="n">
        <f aca="false">IFERROR(IF(OR(NOT(ISNUMBER(O11)),N(O9)=0),"",O11/O9),"")</f>
        <v>0.717709082113283</v>
      </c>
    </row>
    <row r="21" customFormat="false" ht="15" hidden="false" customHeight="false" outlineLevel="0" collapsed="false">
      <c r="A21" s="11" t="s">
        <v>2622</v>
      </c>
      <c r="B21" s="15" t="s">
        <v>2609</v>
      </c>
      <c r="C21" s="11" t="s">
        <v>367</v>
      </c>
      <c r="D21" s="49" t="str">
        <f aca="false">IFERROR(IF(OR(NOT(ISNUMBER(D12)),N(D9)=0),"",D12/D9),"")</f>
        <v/>
      </c>
      <c r="E21" s="49" t="n">
        <f aca="false">IFERROR(IF(OR(NOT(ISNUMBER(E12)),N(E9)=0),"",E12/E9),"")</f>
        <v>0.119496553948881</v>
      </c>
      <c r="F21" s="49" t="n">
        <f aca="false">IFERROR(IF(OR(NOT(ISNUMBER(F12)),N(F9)=0),"",F12/F9),"")</f>
        <v>0.111619905217233</v>
      </c>
      <c r="G21" s="49" t="n">
        <f aca="false">IFERROR(IF(OR(NOT(ISNUMBER(G12)),N(G9)=0),"",G12/G9),"")</f>
        <v>0.105891412483157</v>
      </c>
      <c r="H21" s="49" t="n">
        <f aca="false">IFERROR(IF(OR(NOT(ISNUMBER(H12)),N(H9)=0),"",H12/H9),"")</f>
        <v>0.102659637203599</v>
      </c>
      <c r="I21" s="49" t="n">
        <f aca="false">IFERROR(IF(OR(NOT(ISNUMBER(I12)),N(I9)=0),"",I12/I9),"")</f>
        <v>0.104212488419342</v>
      </c>
      <c r="J21" s="49" t="n">
        <f aca="false">IFERROR(IF(OR(NOT(ISNUMBER(J12)),N(J9)=0),"",J12/J9),"")</f>
        <v>0.105767569278147</v>
      </c>
      <c r="K21" s="49" t="n">
        <f aca="false">IFERROR(IF(OR(NOT(ISNUMBER(K12)),N(K9)=0),"",K12/K9),"")</f>
        <v>0.106578913768362</v>
      </c>
      <c r="L21" s="49" t="n">
        <f aca="false">IFERROR(IF(OR(NOT(ISNUMBER(L12)),N(L9)=0),"",L12/L9),"")</f>
        <v>0.107408731612252</v>
      </c>
      <c r="M21" s="49" t="n">
        <f aca="false">IFERROR(IF(OR(NOT(ISNUMBER(M12)),N(M9)=0),"",M12/M9),"")</f>
        <v>0.108257367683356</v>
      </c>
      <c r="N21" s="49" t="n">
        <f aca="false">IFERROR(IF(OR(NOT(ISNUMBER(N12)),N(N9)=0),"",N12/N9),"")</f>
        <v>0.109125170982481</v>
      </c>
      <c r="O21" s="99" t="n">
        <f aca="false">IFERROR(IF(OR(NOT(ISNUMBER(O12)),N(O9)=0),"",O12/O9),"")</f>
        <v>0.107633743197844</v>
      </c>
    </row>
    <row r="22" customFormat="false" ht="15" hidden="false" customHeight="false" outlineLevel="0" collapsed="false">
      <c r="A22" s="11" t="s">
        <v>2623</v>
      </c>
      <c r="B22" s="15" t="s">
        <v>2611</v>
      </c>
      <c r="C22" s="11" t="s">
        <v>367</v>
      </c>
      <c r="D22" s="49" t="str">
        <f aca="false">IFERROR(IF(OR(NOT(ISNUMBER(D13)),N(D9)=0),"",D13/D9),"")</f>
        <v/>
      </c>
      <c r="E22" s="49" t="n">
        <f aca="false">IFERROR(IF(OR(NOT(ISNUMBER(E13)),N(E9)=0),"",E13/E9),"")</f>
        <v>0.0256692678270309</v>
      </c>
      <c r="F22" s="49" t="n">
        <f aca="false">IFERROR(IF(OR(NOT(ISNUMBER(F13)),N(F9)=0),"",F13/F9),"")</f>
        <v>0.0276893281724882</v>
      </c>
      <c r="G22" s="49" t="n">
        <f aca="false">IFERROR(IF(OR(NOT(ISNUMBER(G13)),N(G9)=0),"",G13/G9),"")</f>
        <v>0.0291589782445477</v>
      </c>
      <c r="H22" s="49" t="n">
        <f aca="false">IFERROR(IF(OR(NOT(ISNUMBER(H13)),N(H9)=0),"",H13/H9),"")</f>
        <v>0.03021675003179</v>
      </c>
      <c r="I22" s="49" t="n">
        <f aca="false">IFERROR(IF(OR(NOT(ISNUMBER(I13)),N(I9)=0),"",I13/I9),"")</f>
        <v>0.0304412898488709</v>
      </c>
      <c r="J22" s="49" t="n">
        <f aca="false">IFERROR(IF(OR(NOT(ISNUMBER(J13)),N(J9)=0),"",J13/J9),"")</f>
        <v>0.0307361175053834</v>
      </c>
      <c r="K22" s="49" t="n">
        <f aca="false">IFERROR(IF(OR(NOT(ISNUMBER(K13)),N(K9)=0),"",K13/K9),"")</f>
        <v>0.0308076672465065</v>
      </c>
      <c r="L22" s="49" t="n">
        <f aca="false">IFERROR(IF(OR(NOT(ISNUMBER(L13)),N(L9)=0),"",L13/L9),"")</f>
        <v>0.0308784641392792</v>
      </c>
      <c r="M22" s="49" t="n">
        <f aca="false">IFERROR(IF(OR(NOT(ISNUMBER(M13)),N(M9)=0),"",M13/M9),"")</f>
        <v>0.0309484850019157</v>
      </c>
      <c r="N22" s="49" t="n">
        <f aca="false">IFERROR(IF(OR(NOT(ISNUMBER(N13)),N(N9)=0),"",N13/N9),"")</f>
        <v>0.0310177063535065</v>
      </c>
      <c r="O22" s="99" t="n">
        <f aca="false">IFERROR(IF(OR(NOT(ISNUMBER(O13)),N(O9)=0),"",O13/O9),"")</f>
        <v>0.0299643638310056</v>
      </c>
    </row>
    <row r="23" customFormat="false" ht="15" hidden="false" customHeight="false" outlineLevel="0" collapsed="false">
      <c r="A23" s="11" t="s">
        <v>2624</v>
      </c>
      <c r="B23" s="15" t="s">
        <v>2613</v>
      </c>
      <c r="C23" s="11" t="s">
        <v>367</v>
      </c>
      <c r="D23" s="49" t="str">
        <f aca="false">IFERROR(IF(OR(NOT(ISNUMBER(D14)),N(D9)=0),"",D14/D9),"")</f>
        <v/>
      </c>
      <c r="E23" s="49" t="n">
        <f aca="false">IFERROR(IF(OR(NOT(ISNUMBER(E14)),N(E9)=0),"",E14/E9),"")</f>
        <v>0.0578940643466099</v>
      </c>
      <c r="F23" s="49" t="n">
        <f aca="false">IFERROR(IF(OR(NOT(ISNUMBER(F14)),N(F9)=0),"",F14/F9),"")</f>
        <v>0.0409686335044585</v>
      </c>
      <c r="G23" s="49" t="n">
        <f aca="false">IFERROR(IF(OR(NOT(ISNUMBER(G14)),N(G9)=0),"",G14/G9),"")</f>
        <v>0.026535400029087</v>
      </c>
      <c r="H23" s="49" t="n">
        <f aca="false">IFERROR(IF(OR(NOT(ISNUMBER(H14)),N(H9)=0),"",H14/H9),"")</f>
        <v>0.0151541980027039</v>
      </c>
      <c r="I23" s="49" t="n">
        <f aca="false">IFERROR(IF(OR(NOT(ISNUMBER(I14)),N(I9)=0),"",I14/I9),"")</f>
        <v>0.00553759171756738</v>
      </c>
      <c r="J23" s="49" t="n">
        <f aca="false">IFERROR(IF(OR(NOT(ISNUMBER(J14)),N(J9)=0),"",J14/J9),"")</f>
        <v>0</v>
      </c>
      <c r="K23" s="49" t="n">
        <f aca="false">IFERROR(IF(OR(NOT(ISNUMBER(K14)),N(K9)=0),"",K14/K9),"")</f>
        <v>0</v>
      </c>
      <c r="L23" s="49" t="n">
        <f aca="false">IFERROR(IF(OR(NOT(ISNUMBER(L14)),N(L9)=0),"",L14/L9),"")</f>
        <v>0</v>
      </c>
      <c r="M23" s="49" t="n">
        <f aca="false">IFERROR(IF(OR(NOT(ISNUMBER(M14)),N(M9)=0),"",M14/M9),"")</f>
        <v>0</v>
      </c>
      <c r="N23" s="49" t="n">
        <f aca="false">IFERROR(IF(OR(NOT(ISNUMBER(N14)),N(N9)=0),"",N14/N9),"")</f>
        <v>0</v>
      </c>
      <c r="O23" s="99" t="n">
        <f aca="false">IFERROR(IF(OR(NOT(ISNUMBER(O14)),N(O9)=0),"",O14/O9),"")</f>
        <v>0.0122340818984894</v>
      </c>
    </row>
    <row r="24" customFormat="false" ht="15" hidden="false" customHeight="false" outlineLevel="0" collapsed="false">
      <c r="A24" s="11" t="s">
        <v>2625</v>
      </c>
      <c r="B24" s="15" t="s">
        <v>2615</v>
      </c>
      <c r="C24" s="11" t="s">
        <v>367</v>
      </c>
      <c r="D24" s="49" t="str">
        <f aca="false">IFERROR(IF(OR(NOT(ISNUMBER(D15)),N(D9)=0),"",D15/D9),"")</f>
        <v/>
      </c>
      <c r="E24" s="49" t="n">
        <f aca="false">IFERROR(IF(OR(NOT(ISNUMBER(E15)),N(E9)=0),"",E15/E9),"")</f>
        <v>0.0152885813737844</v>
      </c>
      <c r="F24" s="49" t="n">
        <f aca="false">IFERROR(IF(OR(NOT(ISNUMBER(F15)),N(F9)=0),"",F15/F9),"")</f>
        <v>0.0147728751568262</v>
      </c>
      <c r="G24" s="49" t="n">
        <f aca="false">IFERROR(IF(OR(NOT(ISNUMBER(G15)),N(G9)=0),"",G15/G9),"")</f>
        <v>0.012779679905529</v>
      </c>
      <c r="H24" s="49" t="n">
        <f aca="false">IFERROR(IF(OR(NOT(ISNUMBER(H15)),N(H9)=0),"",H15/H9),"")</f>
        <v>0.0115316027543499</v>
      </c>
      <c r="I24" s="49" t="n">
        <f aca="false">IFERROR(IF(OR(NOT(ISNUMBER(I15)),N(I9)=0),"",I15/I9),"")</f>
        <v>0.0115267263170201</v>
      </c>
      <c r="J24" s="49" t="n">
        <f aca="false">IFERROR(IF(OR(NOT(ISNUMBER(J15)),N(J9)=0),"",J15/J9),"")</f>
        <v>0.00982427372362981</v>
      </c>
      <c r="K24" s="49" t="n">
        <f aca="false">IFERROR(IF(OR(NOT(ISNUMBER(K15)),N(K9)=0),"",K15/K9),"")</f>
        <v>0.00977005291048398</v>
      </c>
      <c r="L24" s="49" t="n">
        <f aca="false">IFERROR(IF(OR(NOT(ISNUMBER(L15)),N(L9)=0),"",L15/L9),"")</f>
        <v>0.00971568285989927</v>
      </c>
      <c r="M24" s="49" t="n">
        <f aca="false">IFERROR(IF(OR(NOT(ISNUMBER(M15)),N(M9)=0),"",M15/M9),"")</f>
        <v>0.00966116494444813</v>
      </c>
      <c r="N24" s="49" t="n">
        <f aca="false">IFERROR(IF(OR(NOT(ISNUMBER(N15)),N(N9)=0),"",N15/N9),"")</f>
        <v>0.00960650056301461</v>
      </c>
      <c r="O24" s="99" t="n">
        <f aca="false">IFERROR(IF(OR(NOT(ISNUMBER(O15)),N(O9)=0),"",O15/O9),"")</f>
        <v>0.0112085244201877</v>
      </c>
    </row>
    <row r="26" customFormat="false" ht="15" hidden="false" customHeight="false" outlineLevel="0" collapsed="false">
      <c r="A26" s="65" t="s">
        <v>1992</v>
      </c>
      <c r="B26" s="64"/>
      <c r="C26" s="64"/>
      <c r="D26" s="64"/>
      <c r="E26" s="64"/>
      <c r="F26" s="64"/>
      <c r="G26" s="64"/>
      <c r="H26" s="64"/>
      <c r="I26" s="64"/>
      <c r="J26" s="64"/>
      <c r="K26" s="64"/>
      <c r="L26" s="64"/>
      <c r="M26" s="64"/>
      <c r="N26" s="64"/>
      <c r="O26" s="64"/>
    </row>
    <row r="27" customFormat="false" ht="24" hidden="false" customHeight="true" outlineLevel="0" collapsed="false">
      <c r="A27" s="14"/>
      <c r="B27" s="14" t="s">
        <v>1530</v>
      </c>
      <c r="C27" s="14" t="s">
        <v>355</v>
      </c>
      <c r="D27" s="14" t="s">
        <v>1857</v>
      </c>
      <c r="E27" s="14" t="s">
        <v>452</v>
      </c>
      <c r="F27" s="14" t="s">
        <v>453</v>
      </c>
      <c r="G27" s="14" t="s">
        <v>454</v>
      </c>
      <c r="H27" s="14" t="s">
        <v>455</v>
      </c>
      <c r="I27" s="14" t="s">
        <v>456</v>
      </c>
      <c r="J27" s="14" t="s">
        <v>457</v>
      </c>
      <c r="K27" s="14" t="s">
        <v>458</v>
      </c>
      <c r="L27" s="14" t="s">
        <v>459</v>
      </c>
      <c r="M27" s="14" t="s">
        <v>460</v>
      </c>
      <c r="N27" s="14" t="s">
        <v>461</v>
      </c>
      <c r="O27" s="14" t="s">
        <v>549</v>
      </c>
    </row>
    <row r="28" customFormat="false" ht="15" hidden="false" customHeight="false" outlineLevel="0" collapsed="false">
      <c r="B28" s="11" t="s">
        <v>1993</v>
      </c>
      <c r="D28" s="86" t="str">
        <f aca="false">IF(OR(n_Fecha1="",IF(cu_P=1,P_Inicio,V_Inicio)=1),"",YEAR(n_Fecha1))</f>
        <v/>
      </c>
      <c r="E28" s="86" t="str">
        <f aca="false">IF(n_Fecha1="","",YEAR(EOMONTH(n_Fecha1,IF(cu_P=1,P_Inicio,V_Inicio)-1+0)))</f>
        <v/>
      </c>
      <c r="F28" s="86" t="str">
        <f aca="false">IF(n_Fecha1="","",YEAR(EOMONTH(n_Fecha1,IF(cu_P=1,P_Inicio,V_Inicio)-1+12)))</f>
        <v/>
      </c>
      <c r="G28" s="86" t="str">
        <f aca="false">IF(n_Fecha1="","",YEAR(EOMONTH(n_Fecha1,IF(cu_P=1,P_Inicio,V_Inicio)-1+24)))</f>
        <v/>
      </c>
      <c r="H28" s="86" t="str">
        <f aca="false">IF(n_Fecha1="","",YEAR(EOMONTH(n_Fecha1,IF(cu_P=1,P_Inicio,V_Inicio)-1+36)))</f>
        <v/>
      </c>
      <c r="I28" s="86" t="str">
        <f aca="false">IF(n_Fecha1="","",YEAR(EOMONTH(n_Fecha1,IF(cu_P=1,P_Inicio,V_Inicio)-1+48)))</f>
        <v/>
      </c>
      <c r="J28" s="86" t="str">
        <f aca="false">IF(n_Fecha1="","",YEAR(EOMONTH(n_Fecha1,IF(cu_P=1,P_Inicio,V_Inicio)-1+60)))</f>
        <v/>
      </c>
      <c r="K28" s="86" t="str">
        <f aca="false">IF(n_Fecha1="","",YEAR(EOMONTH(n_Fecha1,IF(cu_P=1,P_Inicio,V_Inicio)-1+72)))</f>
        <v/>
      </c>
      <c r="L28" s="86" t="str">
        <f aca="false">IF(n_Fecha1="","",YEAR(EOMONTH(n_Fecha1,IF(cu_P=1,P_Inicio,V_Inicio)-1+84)))</f>
        <v/>
      </c>
      <c r="M28" s="86" t="str">
        <f aca="false">IF(n_Fecha1="","",YEAR(EOMONTH(n_Fecha1,IF(cu_P=1,P_Inicio,V_Inicio)-1+96)))</f>
        <v/>
      </c>
      <c r="N28" s="86" t="str">
        <f aca="false">IF(n_Fecha1="","",YEAR(EOMONTH(n_Fecha1,IF(cu_P=1,P_Inicio,V_Inicio)-1+108)))</f>
        <v/>
      </c>
    </row>
    <row r="29" customFormat="false" ht="15" hidden="false" customHeight="false" outlineLevel="0" collapsed="false">
      <c r="A29" s="13"/>
      <c r="B29" s="100" t="s">
        <v>2601</v>
      </c>
      <c r="C29" s="13"/>
      <c r="D29" s="13"/>
      <c r="E29" s="13"/>
      <c r="F29" s="13"/>
      <c r="G29" s="13"/>
      <c r="H29" s="13"/>
      <c r="I29" s="13"/>
      <c r="J29" s="13"/>
      <c r="K29" s="13"/>
      <c r="L29" s="13"/>
      <c r="M29" s="13"/>
      <c r="N29" s="13"/>
      <c r="O29" s="13"/>
    </row>
    <row r="30" customFormat="false" ht="15" hidden="false" customHeight="false" outlineLevel="0" collapsed="false">
      <c r="A30" s="11" t="s">
        <v>2602</v>
      </c>
      <c r="B30" s="67" t="s">
        <v>2603</v>
      </c>
      <c r="C30" s="11" t="s">
        <v>508</v>
      </c>
      <c r="D30" s="37"/>
      <c r="E30" s="37" t="n">
        <v>4548078</v>
      </c>
      <c r="F30" s="37" t="n">
        <v>5450056</v>
      </c>
      <c r="G30" s="37" t="n">
        <v>6299788</v>
      </c>
      <c r="H30" s="37" t="n">
        <v>6977948</v>
      </c>
      <c r="I30" s="37" t="n">
        <v>6968286</v>
      </c>
      <c r="J30" s="37" t="n">
        <v>6957607</v>
      </c>
      <c r="K30" s="37" t="n">
        <v>6974375</v>
      </c>
      <c r="L30" s="37" t="n">
        <v>7003749</v>
      </c>
      <c r="M30" s="37" t="n">
        <v>7033564</v>
      </c>
      <c r="N30" s="37" t="n">
        <v>7063828</v>
      </c>
      <c r="O30" s="54" t="n">
        <f aca="false">IF(COUNT(D30:N30)=0,"",SUM(D30:N30))</f>
        <v>65277279</v>
      </c>
    </row>
    <row r="31" customFormat="false" ht="15" hidden="false" customHeight="false" outlineLevel="0" collapsed="false">
      <c r="A31" s="11" t="s">
        <v>2604</v>
      </c>
      <c r="B31" s="15" t="s">
        <v>2605</v>
      </c>
      <c r="C31" s="11" t="s">
        <v>508</v>
      </c>
      <c r="D31" s="37"/>
      <c r="E31" s="37" t="n">
        <v>684432</v>
      </c>
      <c r="F31" s="37" t="n">
        <v>684432</v>
      </c>
      <c r="G31" s="37" t="n">
        <v>713647</v>
      </c>
      <c r="H31" s="37" t="n">
        <v>737092</v>
      </c>
      <c r="I31" s="37" t="n">
        <v>765624</v>
      </c>
      <c r="J31" s="37" t="n">
        <v>765624</v>
      </c>
      <c r="K31" s="37" t="n">
        <v>765624</v>
      </c>
      <c r="L31" s="37" t="n">
        <v>765624</v>
      </c>
      <c r="M31" s="37" t="n">
        <v>765624</v>
      </c>
      <c r="N31" s="37" t="n">
        <v>765624</v>
      </c>
      <c r="O31" s="54" t="n">
        <f aca="false">IF(COUNT(D31:N31)=0,"",SUM(D31:N31))</f>
        <v>7413347</v>
      </c>
    </row>
    <row r="32" customFormat="false" ht="15" hidden="false" customHeight="false" outlineLevel="0" collapsed="false">
      <c r="A32" s="11" t="s">
        <v>2606</v>
      </c>
      <c r="B32" s="15" t="s">
        <v>2607</v>
      </c>
      <c r="C32" s="11" t="s">
        <v>508</v>
      </c>
      <c r="D32" s="37"/>
      <c r="E32" s="37" t="n">
        <v>2916082</v>
      </c>
      <c r="F32" s="37" t="n">
        <v>3701646</v>
      </c>
      <c r="G32" s="37" t="n">
        <v>4487131</v>
      </c>
      <c r="H32" s="37" t="n">
        <v>5127149</v>
      </c>
      <c r="I32" s="37" t="n">
        <v>5145032</v>
      </c>
      <c r="J32" s="37" t="n">
        <v>5163093</v>
      </c>
      <c r="K32" s="37" t="n">
        <v>5181335</v>
      </c>
      <c r="L32" s="37" t="n">
        <v>5199759</v>
      </c>
      <c r="M32" s="37" t="n">
        <v>5218368</v>
      </c>
      <c r="N32" s="37" t="n">
        <v>5237162</v>
      </c>
      <c r="O32" s="54" t="n">
        <f aca="false">IF(COUNT(D32:N32)=0,"",SUM(D32:N32))</f>
        <v>47376757</v>
      </c>
    </row>
    <row r="33" customFormat="false" ht="15" hidden="false" customHeight="false" outlineLevel="0" collapsed="false">
      <c r="A33" s="11" t="s">
        <v>2608</v>
      </c>
      <c r="B33" s="15" t="s">
        <v>2609</v>
      </c>
      <c r="C33" s="11" t="s">
        <v>508</v>
      </c>
      <c r="D33" s="37"/>
      <c r="E33" s="37" t="n">
        <v>556261</v>
      </c>
      <c r="F33" s="37" t="n">
        <v>613180</v>
      </c>
      <c r="G33" s="37" t="n">
        <v>672082</v>
      </c>
      <c r="H33" s="37" t="n">
        <v>721633</v>
      </c>
      <c r="I33" s="37" t="n">
        <v>732177</v>
      </c>
      <c r="J33" s="37" t="n">
        <v>741217</v>
      </c>
      <c r="K33" s="37" t="n">
        <v>750485</v>
      </c>
      <c r="L33" s="37" t="n">
        <v>759987</v>
      </c>
      <c r="M33" s="37" t="n">
        <v>769731</v>
      </c>
      <c r="N33" s="37" t="n">
        <v>779724</v>
      </c>
      <c r="O33" s="54" t="n">
        <f aca="false">IF(COUNT(D33:N33)=0,"",SUM(D33:N33))</f>
        <v>7096477</v>
      </c>
    </row>
    <row r="34" customFormat="false" ht="15" hidden="false" customHeight="false" outlineLevel="0" collapsed="false">
      <c r="A34" s="11" t="s">
        <v>2610</v>
      </c>
      <c r="B34" s="15" t="s">
        <v>2611</v>
      </c>
      <c r="C34" s="11" t="s">
        <v>508</v>
      </c>
      <c r="D34" s="37"/>
      <c r="E34" s="37" t="n">
        <v>120202</v>
      </c>
      <c r="F34" s="37" t="n">
        <v>152931</v>
      </c>
      <c r="G34" s="37" t="n">
        <v>185919</v>
      </c>
      <c r="H34" s="37" t="n">
        <v>213258</v>
      </c>
      <c r="I34" s="37" t="n">
        <v>214663</v>
      </c>
      <c r="J34" s="37" t="n">
        <v>216082</v>
      </c>
      <c r="K34" s="37" t="n">
        <v>217515</v>
      </c>
      <c r="L34" s="37" t="n">
        <v>218963</v>
      </c>
      <c r="M34" s="37" t="n">
        <v>220425</v>
      </c>
      <c r="N34" s="37" t="n">
        <v>221902</v>
      </c>
      <c r="O34" s="54" t="n">
        <f aca="false">IF(COUNT(D34:N34)=0,"",SUM(D34:N34))</f>
        <v>1981860</v>
      </c>
    </row>
    <row r="35" customFormat="false" ht="15" hidden="false" customHeight="false" outlineLevel="0" collapsed="false">
      <c r="A35" s="11" t="s">
        <v>2612</v>
      </c>
      <c r="B35" s="15" t="s">
        <v>2613</v>
      </c>
      <c r="C35" s="11" t="s">
        <v>508</v>
      </c>
      <c r="D35" s="37"/>
      <c r="E35" s="37" t="n">
        <v>271102</v>
      </c>
      <c r="F35" s="37" t="n">
        <v>226274</v>
      </c>
      <c r="G35" s="37" t="n">
        <v>169416</v>
      </c>
      <c r="H35" s="37" t="n">
        <v>107224</v>
      </c>
      <c r="I35" s="37" t="n">
        <v>39198</v>
      </c>
      <c r="J35" s="37" t="n">
        <v>0</v>
      </c>
      <c r="K35" s="37" t="n">
        <v>0</v>
      </c>
      <c r="L35" s="37" t="n">
        <v>0</v>
      </c>
      <c r="M35" s="37" t="n">
        <v>0</v>
      </c>
      <c r="N35" s="37" t="n">
        <v>0</v>
      </c>
      <c r="O35" s="54" t="n">
        <f aca="false">IF(COUNT(D35:N35)=0,"",SUM(D35:N35))</f>
        <v>813214</v>
      </c>
    </row>
    <row r="36" customFormat="false" ht="15" hidden="false" customHeight="false" outlineLevel="0" collapsed="false">
      <c r="A36" s="11" t="s">
        <v>2614</v>
      </c>
      <c r="B36" s="15" t="s">
        <v>2615</v>
      </c>
      <c r="C36" s="11" t="s">
        <v>508</v>
      </c>
      <c r="D36" s="37"/>
      <c r="E36" s="37" t="n">
        <v>0</v>
      </c>
      <c r="F36" s="37" t="n">
        <v>71592</v>
      </c>
      <c r="G36" s="37" t="n">
        <v>71592</v>
      </c>
      <c r="H36" s="37" t="n">
        <v>71592</v>
      </c>
      <c r="I36" s="37" t="n">
        <v>71592</v>
      </c>
      <c r="J36" s="37" t="n">
        <v>71592</v>
      </c>
      <c r="K36" s="37" t="n">
        <v>59417</v>
      </c>
      <c r="L36" s="37" t="n">
        <v>59417</v>
      </c>
      <c r="M36" s="37" t="n">
        <v>59417</v>
      </c>
      <c r="N36" s="37" t="n">
        <v>59417</v>
      </c>
      <c r="O36" s="54" t="n">
        <f aca="false">IF(COUNT(D36:N36)=0,"",SUM(D36:N36))</f>
        <v>595628</v>
      </c>
    </row>
    <row r="37" customFormat="false" ht="15" hidden="false" customHeight="false" outlineLevel="0" collapsed="false">
      <c r="A37" s="11" t="s">
        <v>2616</v>
      </c>
      <c r="B37" s="15" t="s">
        <v>2617</v>
      </c>
      <c r="C37" s="11" t="s">
        <v>508</v>
      </c>
      <c r="D37" s="48" t="str">
        <f aca="false">IFERROR(IF(COUNT(D30,D31,D32,D33,D34,D35,D36)=0,"",N(D30)-(N(D31)+N(D32)+N(D33)+N(D34)+N(D35)+N(D36))),"")</f>
        <v/>
      </c>
      <c r="E37" s="48" t="n">
        <f aca="false">IFERROR(IF(COUNT(E30,E31,E32,E33,E34,E35,E36)=0,"",N(E30)-(N(E31)+N(E32)+N(E33)+N(E34)+N(E35)+N(E36))),"")</f>
        <v>-1</v>
      </c>
      <c r="F37" s="48" t="n">
        <f aca="false">IFERROR(IF(COUNT(F30,F31,F32,F33,F34,F35,F36)=0,"",N(F30)-(N(F31)+N(F32)+N(F33)+N(F34)+N(F35)+N(F36))),"")</f>
        <v>1</v>
      </c>
      <c r="G37" s="48" t="n">
        <f aca="false">IFERROR(IF(COUNT(G30,G31,G32,G33,G34,G35,G36)=0,"",N(G30)-(N(G31)+N(G32)+N(G33)+N(G34)+N(G35)+N(G36))),"")</f>
        <v>1</v>
      </c>
      <c r="H37" s="48" t="n">
        <f aca="false">IFERROR(IF(COUNT(H30,H31,H32,H33,H34,H35,H36)=0,"",N(H30)-(N(H31)+N(H32)+N(H33)+N(H34)+N(H35)+N(H36))),"")</f>
        <v>0</v>
      </c>
      <c r="I37" s="48" t="n">
        <f aca="false">IFERROR(IF(COUNT(I30,I31,I32,I33,I34,I35,I36)=0,"",N(I30)-(N(I31)+N(I32)+N(I33)+N(I34)+N(I35)+N(I36))),"")</f>
        <v>0</v>
      </c>
      <c r="J37" s="48" t="n">
        <f aca="false">IFERROR(IF(COUNT(J30,J31,J32,J33,J34,J35,J36)=0,"",N(J30)-(N(J31)+N(J32)+N(J33)+N(J34)+N(J35)+N(J36))),"")</f>
        <v>-1</v>
      </c>
      <c r="K37" s="48" t="n">
        <f aca="false">IFERROR(IF(COUNT(K30,K31,K32,K33,K34,K35,K36)=0,"",N(K30)-(N(K31)+N(K32)+N(K33)+N(K34)+N(K35)+N(K36))),"")</f>
        <v>-1</v>
      </c>
      <c r="L37" s="48" t="n">
        <f aca="false">IFERROR(IF(COUNT(L30,L31,L32,L33,L34,L35,L36)=0,"",N(L30)-(N(L31)+N(L32)+N(L33)+N(L34)+N(L35)+N(L36))),"")</f>
        <v>-1</v>
      </c>
      <c r="M37" s="48" t="n">
        <f aca="false">IFERROR(IF(COUNT(M30,M31,M32,M33,M34,M35,M36)=0,"",N(M30)-(N(M31)+N(M32)+N(M33)+N(M34)+N(M35)+N(M36))),"")</f>
        <v>-1</v>
      </c>
      <c r="N37" s="48" t="n">
        <f aca="false">IFERROR(IF(COUNT(N30,N31,N32,N33,N34,N35,N36)=0,"",N(N30)-(N(N31)+N(N32)+N(N33)+N(N34)+N(N35)+N(N36))),"")</f>
        <v>-1</v>
      </c>
      <c r="O37" s="54" t="n">
        <f aca="false">IF(COUNT(D37:N37)=0,"",SUM(D37:N37))</f>
        <v>-4</v>
      </c>
    </row>
    <row r="38" customFormat="false" ht="15" hidden="false" customHeight="false" outlineLevel="0" collapsed="false">
      <c r="A38" s="13"/>
      <c r="B38" s="100" t="s">
        <v>2618</v>
      </c>
      <c r="C38" s="13"/>
      <c r="D38" s="13"/>
      <c r="E38" s="13"/>
      <c r="F38" s="13"/>
      <c r="G38" s="13"/>
      <c r="H38" s="13"/>
      <c r="I38" s="13"/>
      <c r="J38" s="13"/>
      <c r="K38" s="13"/>
      <c r="L38" s="13"/>
      <c r="M38" s="13"/>
      <c r="N38" s="13"/>
      <c r="O38" s="13"/>
    </row>
    <row r="39" customFormat="false" ht="15" hidden="false" customHeight="false" outlineLevel="0" collapsed="false">
      <c r="A39" s="11" t="s">
        <v>2619</v>
      </c>
      <c r="B39" s="67" t="s">
        <v>2603</v>
      </c>
      <c r="C39" s="11" t="s">
        <v>367</v>
      </c>
      <c r="D39" s="99" t="n">
        <f aca="false">IFERROR(1,"")</f>
        <v>1</v>
      </c>
      <c r="E39" s="99" t="n">
        <f aca="false">IFERROR(1,"")</f>
        <v>1</v>
      </c>
      <c r="F39" s="99" t="n">
        <f aca="false">IFERROR(1,"")</f>
        <v>1</v>
      </c>
      <c r="G39" s="99" t="n">
        <f aca="false">IFERROR(1,"")</f>
        <v>1</v>
      </c>
      <c r="H39" s="99" t="n">
        <f aca="false">IFERROR(1,"")</f>
        <v>1</v>
      </c>
      <c r="I39" s="99" t="n">
        <f aca="false">IFERROR(1,"")</f>
        <v>1</v>
      </c>
      <c r="J39" s="99" t="n">
        <f aca="false">IFERROR(1,"")</f>
        <v>1</v>
      </c>
      <c r="K39" s="99" t="n">
        <f aca="false">IFERROR(1,"")</f>
        <v>1</v>
      </c>
      <c r="L39" s="99" t="n">
        <f aca="false">IFERROR(1,"")</f>
        <v>1</v>
      </c>
      <c r="M39" s="99" t="n">
        <f aca="false">IFERROR(1,"")</f>
        <v>1</v>
      </c>
      <c r="N39" s="99" t="n">
        <f aca="false">IFERROR(1,"")</f>
        <v>1</v>
      </c>
      <c r="O39" s="99" t="n">
        <f aca="false">IFERROR(1,"")</f>
        <v>1</v>
      </c>
    </row>
    <row r="40" customFormat="false" ht="15" hidden="false" customHeight="false" outlineLevel="0" collapsed="false">
      <c r="A40" s="11" t="s">
        <v>2620</v>
      </c>
      <c r="B40" s="15" t="s">
        <v>2605</v>
      </c>
      <c r="C40" s="11" t="s">
        <v>367</v>
      </c>
      <c r="D40" s="49" t="str">
        <f aca="false">IFERROR(IF(OR(NOT(ISNUMBER(D31)),N(D30)=0),"",D31/D30),"")</f>
        <v/>
      </c>
      <c r="E40" s="49" t="n">
        <f aca="false">IFERROR(IF(OR(NOT(ISNUMBER(E31)),N(E30)=0),"",E31/E30),"")</f>
        <v>0.150488184239584</v>
      </c>
      <c r="F40" s="49" t="n">
        <f aca="false">IFERROR(IF(OR(NOT(ISNUMBER(F31)),N(F30)=0),"",F31/F30),"")</f>
        <v>0.125582562821373</v>
      </c>
      <c r="G40" s="49" t="n">
        <f aca="false">IFERROR(IF(OR(NOT(ISNUMBER(G31)),N(G30)=0),"",G31/G30),"")</f>
        <v>0.113281113586679</v>
      </c>
      <c r="H40" s="49" t="n">
        <f aca="false">IFERROR(IF(OR(NOT(ISNUMBER(H31)),N(H30)=0),"",H31/H30),"")</f>
        <v>0.105631626948209</v>
      </c>
      <c r="I40" s="49" t="n">
        <f aca="false">IFERROR(IF(OR(NOT(ISNUMBER(I31)),N(I30)=0),"",I31/I30),"")</f>
        <v>0.109872643000015</v>
      </c>
      <c r="J40" s="49" t="n">
        <f aca="false">IFERROR(IF(OR(NOT(ISNUMBER(J31)),N(J30)=0),"",J31/J30),"")</f>
        <v>0.110041282872114</v>
      </c>
      <c r="K40" s="49" t="n">
        <f aca="false">IFERROR(IF(OR(NOT(ISNUMBER(K31)),N(K30)=0),"",K31/K30),"")</f>
        <v>0.109776718343938</v>
      </c>
      <c r="L40" s="49" t="n">
        <f aca="false">IFERROR(IF(OR(NOT(ISNUMBER(L31)),N(L30)=0),"",L31/L30),"")</f>
        <v>0.109316310450303</v>
      </c>
      <c r="M40" s="49" t="n">
        <f aca="false">IFERROR(IF(OR(NOT(ISNUMBER(M31)),N(M30)=0),"",M31/M30),"")</f>
        <v>0.108852922927836</v>
      </c>
      <c r="N40" s="49" t="n">
        <f aca="false">IFERROR(IF(OR(NOT(ISNUMBER(N31)),N(N30)=0),"",N31/N30),"")</f>
        <v>0.108386557543587</v>
      </c>
      <c r="O40" s="99" t="n">
        <f aca="false">IFERROR(IF(OR(NOT(ISNUMBER(O31)),N(O30)=0),"",O31/O30),"")</f>
        <v>0.113567034557307</v>
      </c>
    </row>
    <row r="41" customFormat="false" ht="15" hidden="false" customHeight="false" outlineLevel="0" collapsed="false">
      <c r="A41" s="11" t="s">
        <v>2621</v>
      </c>
      <c r="B41" s="15" t="s">
        <v>2607</v>
      </c>
      <c r="C41" s="11" t="s">
        <v>367</v>
      </c>
      <c r="D41" s="49" t="str">
        <f aca="false">IFERROR(IF(OR(NOT(ISNUMBER(D32)),N(D30)=0),"",D32/D30),"")</f>
        <v/>
      </c>
      <c r="E41" s="49" t="n">
        <f aca="false">IFERROR(IF(OR(NOT(ISNUMBER(E32)),N(E30)=0),"",E32/E30),"")</f>
        <v>0.641167983486651</v>
      </c>
      <c r="F41" s="49" t="n">
        <f aca="false">IFERROR(IF(OR(NOT(ISNUMBER(F32)),N(F30)=0),"",F32/F30),"")</f>
        <v>0.679194122042049</v>
      </c>
      <c r="G41" s="49" t="n">
        <f aca="false">IFERROR(IF(OR(NOT(ISNUMBER(G32)),N(G30)=0),"",G32/G30),"")</f>
        <v>0.712266984222326</v>
      </c>
      <c r="H41" s="49" t="n">
        <f aca="false">IFERROR(IF(OR(NOT(ISNUMBER(H32)),N(H30)=0),"",H32/H30),"")</f>
        <v>0.734764575488381</v>
      </c>
      <c r="I41" s="49" t="n">
        <f aca="false">IFERROR(IF(OR(NOT(ISNUMBER(I32)),N(I30)=0),"",I32/I30),"")</f>
        <v>0.738349717563257</v>
      </c>
      <c r="J41" s="49" t="n">
        <f aca="false">IFERROR(IF(OR(NOT(ISNUMBER(J32)),N(J30)=0),"",J32/J30),"")</f>
        <v>0.742078849811437</v>
      </c>
      <c r="K41" s="49" t="n">
        <f aca="false">IFERROR(IF(OR(NOT(ISNUMBER(K32)),N(K30)=0),"",K32/K30),"")</f>
        <v>0.742910296621561</v>
      </c>
      <c r="L41" s="49" t="n">
        <f aca="false">IFERROR(IF(OR(NOT(ISNUMBER(L32)),N(L30)=0),"",L32/L30),"")</f>
        <v>0.742425092618253</v>
      </c>
      <c r="M41" s="49" t="n">
        <f aca="false">IFERROR(IF(OR(NOT(ISNUMBER(M32)),N(M30)=0),"",M32/M30),"")</f>
        <v>0.741923724586852</v>
      </c>
      <c r="N41" s="49" t="n">
        <f aca="false">IFERROR(IF(OR(NOT(ISNUMBER(N32)),N(N30)=0),"",N32/N30),"")</f>
        <v>0.741405651439984</v>
      </c>
      <c r="O41" s="99" t="n">
        <f aca="false">IFERROR(IF(OR(NOT(ISNUMBER(O32)),N(O30)=0),"",O32/O30),"")</f>
        <v>0.725777142150793</v>
      </c>
    </row>
    <row r="42" customFormat="false" ht="15" hidden="false" customHeight="false" outlineLevel="0" collapsed="false">
      <c r="A42" s="11" t="s">
        <v>2622</v>
      </c>
      <c r="B42" s="15" t="s">
        <v>2609</v>
      </c>
      <c r="C42" s="11" t="s">
        <v>367</v>
      </c>
      <c r="D42" s="49" t="str">
        <f aca="false">IFERROR(IF(OR(NOT(ISNUMBER(D33)),N(D30)=0),"",D33/D30),"")</f>
        <v/>
      </c>
      <c r="E42" s="49" t="n">
        <f aca="false">IFERROR(IF(OR(NOT(ISNUMBER(E33)),N(E30)=0),"",E33/E30),"")</f>
        <v>0.122306829390349</v>
      </c>
      <c r="F42" s="49" t="n">
        <f aca="false">IFERROR(IF(OR(NOT(ISNUMBER(F33)),N(F30)=0),"",F33/F30),"")</f>
        <v>0.112508935688</v>
      </c>
      <c r="G42" s="49" t="n">
        <f aca="false">IFERROR(IF(OR(NOT(ISNUMBER(G33)),N(G30)=0),"",G33/G30),"")</f>
        <v>0.106683272516472</v>
      </c>
      <c r="H42" s="49" t="n">
        <f aca="false">IFERROR(IF(OR(NOT(ISNUMBER(H33)),N(H30)=0),"",H33/H30),"")</f>
        <v>0.103416219209429</v>
      </c>
      <c r="I42" s="49" t="n">
        <f aca="false">IFERROR(IF(OR(NOT(ISNUMBER(I33)),N(I30)=0),"",I33/I30),"")</f>
        <v>0.105072753902466</v>
      </c>
      <c r="J42" s="49" t="n">
        <f aca="false">IFERROR(IF(OR(NOT(ISNUMBER(J33)),N(J30)=0),"",J33/J30),"")</f>
        <v>0.106533323885641</v>
      </c>
      <c r="K42" s="49" t="n">
        <f aca="false">IFERROR(IF(OR(NOT(ISNUMBER(K33)),N(K30)=0),"",K33/K30),"")</f>
        <v>0.107606057890492</v>
      </c>
      <c r="L42" s="49" t="n">
        <f aca="false">IFERROR(IF(OR(NOT(ISNUMBER(L33)),N(L30)=0),"",L33/L30),"")</f>
        <v>0.108511455793176</v>
      </c>
      <c r="M42" s="49" t="n">
        <f aca="false">IFERROR(IF(OR(NOT(ISNUMBER(M33)),N(M30)=0),"",M33/M30),"")</f>
        <v>0.109436837426943</v>
      </c>
      <c r="N42" s="49" t="n">
        <f aca="false">IFERROR(IF(OR(NOT(ISNUMBER(N33)),N(N30)=0),"",N33/N30),"")</f>
        <v>0.11038264238597</v>
      </c>
      <c r="O42" s="99" t="n">
        <f aca="false">IFERROR(IF(OR(NOT(ISNUMBER(O33)),N(O30)=0),"",O33/O30),"")</f>
        <v>0.108712818743563</v>
      </c>
    </row>
    <row r="43" customFormat="false" ht="15" hidden="false" customHeight="false" outlineLevel="0" collapsed="false">
      <c r="A43" s="11" t="s">
        <v>2623</v>
      </c>
      <c r="B43" s="15" t="s">
        <v>2611</v>
      </c>
      <c r="C43" s="11" t="s">
        <v>367</v>
      </c>
      <c r="D43" s="49" t="str">
        <f aca="false">IFERROR(IF(OR(NOT(ISNUMBER(D34)),N(D30)=0),"",D34/D30),"")</f>
        <v/>
      </c>
      <c r="E43" s="49" t="n">
        <f aca="false">IFERROR(IF(OR(NOT(ISNUMBER(E34)),N(E30)=0),"",E34/E30),"")</f>
        <v>0.0264291861309327</v>
      </c>
      <c r="F43" s="49" t="n">
        <f aca="false">IFERROR(IF(OR(NOT(ISNUMBER(F34)),N(F30)=0),"",F34/F30),"")</f>
        <v>0.0280604456174395</v>
      </c>
      <c r="G43" s="49" t="n">
        <f aca="false">IFERROR(IF(OR(NOT(ISNUMBER(G34)),N(G30)=0),"",G34/G30),"")</f>
        <v>0.02951194548134</v>
      </c>
      <c r="H43" s="49" t="n">
        <f aca="false">IFERROR(IF(OR(NOT(ISNUMBER(H34)),N(H30)=0),"",H34/H30),"")</f>
        <v>0.0305617066793848</v>
      </c>
      <c r="I43" s="49" t="n">
        <f aca="false">IFERROR(IF(OR(NOT(ISNUMBER(I34)),N(I30)=0),"",I34/I30),"")</f>
        <v>0.0308057103281926</v>
      </c>
      <c r="J43" s="49" t="n">
        <f aca="false">IFERROR(IF(OR(NOT(ISNUMBER(J34)),N(J30)=0),"",J34/J30),"")</f>
        <v>0.0310569424228761</v>
      </c>
      <c r="K43" s="49" t="n">
        <f aca="false">IFERROR(IF(OR(NOT(ISNUMBER(K34)),N(K30)=0),"",K34/K30),"")</f>
        <v>0.0311877408369926</v>
      </c>
      <c r="L43" s="49" t="n">
        <f aca="false">IFERROR(IF(OR(NOT(ISNUMBER(L34)),N(L30)=0),"",L34/L30),"")</f>
        <v>0.0312636846351861</v>
      </c>
      <c r="M43" s="49" t="n">
        <f aca="false">IFERROR(IF(OR(NOT(ISNUMBER(M34)),N(M30)=0),"",M34/M30),"")</f>
        <v>0.0313390195923432</v>
      </c>
      <c r="N43" s="49" t="n">
        <f aca="false">IFERROR(IF(OR(NOT(ISNUMBER(N34)),N(N30)=0),"",N34/N30),"")</f>
        <v>0.0314138452974789</v>
      </c>
      <c r="O43" s="99" t="n">
        <f aca="false">IFERROR(IF(OR(NOT(ISNUMBER(O34)),N(O30)=0),"",O34/O30),"")</f>
        <v>0.0303606404917705</v>
      </c>
    </row>
    <row r="44" customFormat="false" ht="15" hidden="false" customHeight="false" outlineLevel="0" collapsed="false">
      <c r="A44" s="11" t="s">
        <v>2624</v>
      </c>
      <c r="B44" s="15" t="s">
        <v>2613</v>
      </c>
      <c r="C44" s="11" t="s">
        <v>367</v>
      </c>
      <c r="D44" s="49" t="str">
        <f aca="false">IFERROR(IF(OR(NOT(ISNUMBER(D35)),N(D30)=0),"",D35/D30),"")</f>
        <v/>
      </c>
      <c r="E44" s="49" t="n">
        <f aca="false">IFERROR(IF(OR(NOT(ISNUMBER(E35)),N(E30)=0),"",E35/E30),"")</f>
        <v>0.0596080366255812</v>
      </c>
      <c r="F44" s="49" t="n">
        <f aca="false">IFERROR(IF(OR(NOT(ISNUMBER(F35)),N(F30)=0),"",F35/F30),"")</f>
        <v>0.0415177385333288</v>
      </c>
      <c r="G44" s="49" t="n">
        <f aca="false">IFERROR(IF(OR(NOT(ISNUMBER(G35)),N(G30)=0),"",G35/G30),"")</f>
        <v>0.0268923335197946</v>
      </c>
      <c r="H44" s="49" t="n">
        <f aca="false">IFERROR(IF(OR(NOT(ISNUMBER(H35)),N(H30)=0),"",H35/H30),"")</f>
        <v>0.0153661219602095</v>
      </c>
      <c r="I44" s="49" t="n">
        <f aca="false">IFERROR(IF(OR(NOT(ISNUMBER(I35)),N(I30)=0),"",I35/I30),"")</f>
        <v>0.0056251996545492</v>
      </c>
      <c r="J44" s="49" t="n">
        <f aca="false">IFERROR(IF(OR(NOT(ISNUMBER(J35)),N(J30)=0),"",J35/J30),"")</f>
        <v>0</v>
      </c>
      <c r="K44" s="49" t="n">
        <f aca="false">IFERROR(IF(OR(NOT(ISNUMBER(K35)),N(K30)=0),"",K35/K30),"")</f>
        <v>0</v>
      </c>
      <c r="L44" s="49" t="n">
        <f aca="false">IFERROR(IF(OR(NOT(ISNUMBER(L35)),N(L30)=0),"",L35/L30),"")</f>
        <v>0</v>
      </c>
      <c r="M44" s="49" t="n">
        <f aca="false">IFERROR(IF(OR(NOT(ISNUMBER(M35)),N(M30)=0),"",M35/M30),"")</f>
        <v>0</v>
      </c>
      <c r="N44" s="49" t="n">
        <f aca="false">IFERROR(IF(OR(NOT(ISNUMBER(N35)),N(N30)=0),"",N35/N30),"")</f>
        <v>0</v>
      </c>
      <c r="O44" s="99" t="n">
        <f aca="false">IFERROR(IF(OR(NOT(ISNUMBER(O35)),N(O30)=0),"",O35/O30),"")</f>
        <v>0.0124578415714907</v>
      </c>
    </row>
    <row r="45" customFormat="false" ht="15" hidden="false" customHeight="false" outlineLevel="0" collapsed="false">
      <c r="A45" s="11" t="s">
        <v>2625</v>
      </c>
      <c r="B45" s="15" t="s">
        <v>2615</v>
      </c>
      <c r="C45" s="11" t="s">
        <v>367</v>
      </c>
      <c r="D45" s="49" t="str">
        <f aca="false">IFERROR(IF(OR(NOT(ISNUMBER(D36)),N(D30)=0),"",D36/D30),"")</f>
        <v/>
      </c>
      <c r="E45" s="49" t="n">
        <f aca="false">IFERROR(IF(OR(NOT(ISNUMBER(E36)),N(E30)=0),"",E36/E30),"")</f>
        <v>0</v>
      </c>
      <c r="F45" s="49" t="n">
        <f aca="false">IFERROR(IF(OR(NOT(ISNUMBER(F36)),N(F30)=0),"",F36/F30),"")</f>
        <v>0.0131360118134566</v>
      </c>
      <c r="G45" s="49" t="n">
        <f aca="false">IFERROR(IF(OR(NOT(ISNUMBER(G36)),N(G30)=0),"",G36/G30),"")</f>
        <v>0.0113641919378874</v>
      </c>
      <c r="H45" s="49" t="n">
        <f aca="false">IFERROR(IF(OR(NOT(ISNUMBER(H36)),N(H30)=0),"",H36/H30),"")</f>
        <v>0.0102597497143859</v>
      </c>
      <c r="I45" s="49" t="n">
        <f aca="false">IFERROR(IF(OR(NOT(ISNUMBER(I36)),N(I30)=0),"",I36/I30),"")</f>
        <v>0.0102739755515201</v>
      </c>
      <c r="J45" s="49" t="n">
        <f aca="false">IFERROR(IF(OR(NOT(ISNUMBER(J36)),N(J30)=0),"",J36/J30),"")</f>
        <v>0.0102897447355104</v>
      </c>
      <c r="K45" s="49" t="n">
        <f aca="false">IFERROR(IF(OR(NOT(ISNUMBER(K36)),N(K30)=0),"",K36/K30),"")</f>
        <v>0.00851932968904024</v>
      </c>
      <c r="L45" s="49" t="n">
        <f aca="false">IFERROR(IF(OR(NOT(ISNUMBER(L36)),N(L30)=0),"",L36/L30),"")</f>
        <v>0.00848359928375503</v>
      </c>
      <c r="M45" s="49" t="n">
        <f aca="false">IFERROR(IF(OR(NOT(ISNUMBER(M36)),N(M30)=0),"",M36/M30),"")</f>
        <v>0.00844763764145745</v>
      </c>
      <c r="N45" s="49" t="n">
        <f aca="false">IFERROR(IF(OR(NOT(ISNUMBER(N36)),N(N30)=0),"",N36/N30),"")</f>
        <v>0.00841144489928124</v>
      </c>
      <c r="O45" s="99" t="n">
        <f aca="false">IFERROR(IF(OR(NOT(ISNUMBER(O36)),N(O30)=0),"",O36/O30),"")</f>
        <v>0.00912458376213874</v>
      </c>
    </row>
    <row r="47" customFormat="false" ht="15" hidden="false" customHeight="false" outlineLevel="0" collapsed="false">
      <c r="A47" s="101" t="s">
        <v>1994</v>
      </c>
      <c r="B47" s="102"/>
      <c r="C47" s="102"/>
      <c r="D47" s="102"/>
      <c r="E47" s="102"/>
      <c r="F47" s="102"/>
      <c r="G47" s="102"/>
      <c r="H47" s="102"/>
      <c r="I47" s="102"/>
      <c r="J47" s="102"/>
      <c r="K47" s="102"/>
      <c r="L47" s="102"/>
      <c r="M47" s="102"/>
      <c r="N47" s="102"/>
      <c r="O47" s="102"/>
      <c r="P47" s="102"/>
    </row>
    <row r="48" customFormat="false" ht="24" hidden="false" customHeight="true" outlineLevel="0" collapsed="false">
      <c r="A48" s="14"/>
      <c r="B48" s="14" t="s">
        <v>1530</v>
      </c>
      <c r="C48" s="14" t="s">
        <v>355</v>
      </c>
      <c r="D48" s="14" t="s">
        <v>1857</v>
      </c>
      <c r="E48" s="14" t="s">
        <v>452</v>
      </c>
      <c r="F48" s="14" t="s">
        <v>453</v>
      </c>
      <c r="G48" s="14" t="s">
        <v>454</v>
      </c>
      <c r="H48" s="14" t="s">
        <v>455</v>
      </c>
      <c r="I48" s="14" t="s">
        <v>456</v>
      </c>
      <c r="J48" s="14" t="s">
        <v>457</v>
      </c>
      <c r="K48" s="14" t="s">
        <v>458</v>
      </c>
      <c r="L48" s="14" t="s">
        <v>459</v>
      </c>
      <c r="M48" s="14" t="s">
        <v>460</v>
      </c>
      <c r="N48" s="14" t="s">
        <v>461</v>
      </c>
      <c r="O48" s="14" t="s">
        <v>549</v>
      </c>
      <c r="P48" s="14" t="s">
        <v>1822</v>
      </c>
    </row>
    <row r="49" customFormat="false" ht="15" hidden="false" customHeight="false" outlineLevel="0" collapsed="false">
      <c r="B49" s="11" t="s">
        <v>1993</v>
      </c>
      <c r="D49" s="86" t="str">
        <f aca="false">IF(OR(n_Fecha1="",IF(cu_P=1,P_Inicio,V_Inicio)=1),"",YEAR(n_Fecha1))</f>
        <v/>
      </c>
      <c r="E49" s="86" t="str">
        <f aca="false">IF(n_Fecha1="","",YEAR(EOMONTH(n_Fecha1,IF(cu_P=1,P_Inicio,V_Inicio)-1+0)))</f>
        <v/>
      </c>
      <c r="F49" s="86" t="str">
        <f aca="false">IF(n_Fecha1="","",YEAR(EOMONTH(n_Fecha1,IF(cu_P=1,P_Inicio,V_Inicio)-1+12)))</f>
        <v/>
      </c>
      <c r="G49" s="86" t="str">
        <f aca="false">IF(n_Fecha1="","",YEAR(EOMONTH(n_Fecha1,IF(cu_P=1,P_Inicio,V_Inicio)-1+24)))</f>
        <v/>
      </c>
      <c r="H49" s="86" t="str">
        <f aca="false">IF(n_Fecha1="","",YEAR(EOMONTH(n_Fecha1,IF(cu_P=1,P_Inicio,V_Inicio)-1+36)))</f>
        <v/>
      </c>
      <c r="I49" s="86" t="str">
        <f aca="false">IF(n_Fecha1="","",YEAR(EOMONTH(n_Fecha1,IF(cu_P=1,P_Inicio,V_Inicio)-1+48)))</f>
        <v/>
      </c>
      <c r="J49" s="86" t="str">
        <f aca="false">IF(n_Fecha1="","",YEAR(EOMONTH(n_Fecha1,IF(cu_P=1,P_Inicio,V_Inicio)-1+60)))</f>
        <v/>
      </c>
      <c r="K49" s="86" t="str">
        <f aca="false">IF(n_Fecha1="","",YEAR(EOMONTH(n_Fecha1,IF(cu_P=1,P_Inicio,V_Inicio)-1+72)))</f>
        <v/>
      </c>
      <c r="L49" s="86" t="str">
        <f aca="false">IF(n_Fecha1="","",YEAR(EOMONTH(n_Fecha1,IF(cu_P=1,P_Inicio,V_Inicio)-1+84)))</f>
        <v/>
      </c>
      <c r="M49" s="86" t="str">
        <f aca="false">IF(n_Fecha1="","",YEAR(EOMONTH(n_Fecha1,IF(cu_P=1,P_Inicio,V_Inicio)-1+96)))</f>
        <v/>
      </c>
      <c r="N49" s="86" t="str">
        <f aca="false">IF(n_Fecha1="","",YEAR(EOMONTH(n_Fecha1,IF(cu_P=1,P_Inicio,V_Inicio)-1+108)))</f>
        <v/>
      </c>
    </row>
    <row r="50" customFormat="false" ht="15" hidden="false" customHeight="false" outlineLevel="0" collapsed="false">
      <c r="A50" s="13"/>
      <c r="B50" s="100" t="s">
        <v>2601</v>
      </c>
      <c r="C50" s="13"/>
      <c r="D50" s="13"/>
      <c r="E50" s="13"/>
      <c r="F50" s="13"/>
      <c r="G50" s="13"/>
      <c r="H50" s="13"/>
      <c r="I50" s="13"/>
      <c r="J50" s="13"/>
      <c r="K50" s="13"/>
      <c r="L50" s="13"/>
      <c r="M50" s="13"/>
      <c r="N50" s="13"/>
      <c r="O50" s="13"/>
      <c r="P50" s="13"/>
    </row>
    <row r="51" customFormat="false" ht="15" hidden="false" customHeight="false" outlineLevel="0" collapsed="false">
      <c r="A51" s="11" t="s">
        <v>2602</v>
      </c>
      <c r="B51" s="67" t="s">
        <v>2603</v>
      </c>
      <c r="C51" s="11" t="s">
        <v>508</v>
      </c>
      <c r="D51" s="54" t="str">
        <f aca="false">IF(OR(NOT(ISNUMBER(D9)),NOT(ISNUMBER(D30))),"",D9-D30)</f>
        <v/>
      </c>
      <c r="E51" s="54" t="n">
        <f aca="false">IF(OR(NOT(ISNUMBER(E9)),NOT(ISNUMBER(E30))),"",E9-E30)</f>
        <v>134646.135723948</v>
      </c>
      <c r="F51" s="54" t="n">
        <f aca="false">IF(OR(NOT(ISNUMBER(F9)),NOT(ISNUMBER(F30))),"",F9-F30)</f>
        <v>73053.6271938747</v>
      </c>
      <c r="G51" s="54" t="n">
        <f aca="false">IF(OR(NOT(ISNUMBER(G9)),NOT(ISNUMBER(G30))),"",G9-G30)</f>
        <v>84738.8115596697</v>
      </c>
      <c r="H51" s="54" t="n">
        <f aca="false">IF(OR(NOT(ISNUMBER(H9)),NOT(ISNUMBER(H30))),"",H9-H30)</f>
        <v>97582.6732381526</v>
      </c>
      <c r="I51" s="54" t="n">
        <f aca="false">IF(OR(NOT(ISNUMBER(I9)),NOT(ISNUMBER(I30))),"",I9-I30)</f>
        <v>110238.010717869</v>
      </c>
      <c r="J51" s="54" t="n">
        <f aca="false">IF(OR(NOT(ISNUMBER(J9)),NOT(ISNUMBER(J30))),"",J9-J30)</f>
        <v>108219.029769087</v>
      </c>
      <c r="K51" s="54" t="n">
        <f aca="false">IF(OR(NOT(ISNUMBER(K9)),NOT(ISNUMBER(K30))),"",K9-K30)</f>
        <v>130664.208693633</v>
      </c>
      <c r="L51" s="54" t="n">
        <f aca="false">IF(OR(NOT(ISNUMBER(L9)),NOT(ISNUMBER(L30))),"",L9-L30)</f>
        <v>141050.804706644</v>
      </c>
      <c r="M51" s="54" t="n">
        <f aca="false">IF(OR(NOT(ISNUMBER(M9)),NOT(ISNUMBER(M30))),"",M9-M30)</f>
        <v>151553.881657824</v>
      </c>
      <c r="N51" s="54" t="n">
        <f aca="false">IF(OR(NOT(ISNUMBER(N9)),NOT(ISNUMBER(N30))),"",N9-N30)</f>
        <v>162175.74034813</v>
      </c>
      <c r="O51" s="54" t="n">
        <f aca="false">IF(OR(NOT(ISNUMBER(O9)),NOT(ISNUMBER(O30))),"",O9-O30)</f>
        <v>1193922.92360883</v>
      </c>
      <c r="P51" s="11" t="str">
        <f aca="false">IF(COUNT(D51:N51)=0,"",IF(AND(MAX(D51:N51)&lt;2,MIN(D51:N51)&gt;-2),"Sin diferencia","Ver cuadro 10a."))</f>
        <v>Ver cuadro 10a.</v>
      </c>
    </row>
    <row r="52" customFormat="false" ht="15" hidden="false" customHeight="false" outlineLevel="0" collapsed="false">
      <c r="A52" s="11" t="s">
        <v>2604</v>
      </c>
      <c r="B52" s="15" t="s">
        <v>2605</v>
      </c>
      <c r="C52" s="11" t="s">
        <v>508</v>
      </c>
      <c r="D52" s="48" t="str">
        <f aca="false">IF(OR(NOT(ISNUMBER(D10)),NOT(ISNUMBER(D31))),"",D10-D31)</f>
        <v/>
      </c>
      <c r="E52" s="48" t="n">
        <f aca="false">IF(OR(NOT(ISNUMBER(E10)),NOT(ISNUMBER(E31))),"",E10-E31)</f>
        <v>59744.5009806575</v>
      </c>
      <c r="F52" s="48" t="n">
        <f aca="false">IF(OR(NOT(ISNUMBER(F10)),NOT(ISNUMBER(F31))),"",F10-F31)</f>
        <v>59744.5009806575</v>
      </c>
      <c r="G52" s="48" t="n">
        <f aca="false">IF(OR(NOT(ISNUMBER(G10)),NOT(ISNUMBER(G31))),"",G10-G31)</f>
        <v>62274.515105863</v>
      </c>
      <c r="H52" s="48" t="n">
        <f aca="false">IF(OR(NOT(ISNUMBER(H10)),NOT(ISNUMBER(H31))),"",H10-H31)</f>
        <v>64249.9449586303</v>
      </c>
      <c r="I52" s="48" t="n">
        <f aca="false">IF(OR(NOT(ISNUMBER(I10)),NOT(ISNUMBER(I31))),"",I10-I31)</f>
        <v>66714.3945295891</v>
      </c>
      <c r="J52" s="48" t="n">
        <f aca="false">IF(OR(NOT(ISNUMBER(J10)),NOT(ISNUMBER(J31))),"",J10-J31)</f>
        <v>66714.3945295891</v>
      </c>
      <c r="K52" s="48" t="n">
        <f aca="false">IF(OR(NOT(ISNUMBER(K10)),NOT(ISNUMBER(K31))),"",K10-K31)</f>
        <v>66714.3945295891</v>
      </c>
      <c r="L52" s="48" t="n">
        <f aca="false">IF(OR(NOT(ISNUMBER(L10)),NOT(ISNUMBER(L31))),"",L10-L31)</f>
        <v>66714.3945295891</v>
      </c>
      <c r="M52" s="48" t="n">
        <f aca="false">IF(OR(NOT(ISNUMBER(M10)),NOT(ISNUMBER(M31))),"",M10-M31)</f>
        <v>66714.3945295891</v>
      </c>
      <c r="N52" s="48" t="n">
        <f aca="false">IF(OR(NOT(ISNUMBER(N10)),NOT(ISNUMBER(N31))),"",N10-N31)</f>
        <v>66714.3945295891</v>
      </c>
      <c r="O52" s="54" t="n">
        <f aca="false">IF(OR(NOT(ISNUMBER(O10)),NOT(ISNUMBER(O31))),"",O10-O31)</f>
        <v>646299.829203343</v>
      </c>
      <c r="P52" s="11" t="str">
        <f aca="false">IF(COUNT(D52:N52)=0,"",IF(AND(MAX(D52:N52)&lt;2,MIN(D52:N52)&gt;-2),"Sin diferencia","C1 nómina: salarios en Gs convertidos al TC 7.300 (el plan usa 8.000 implícito). El total de personal no cambia por la clasificación."))</f>
        <v>C1 nómina: salarios en Gs convertidos al TC 7.300 (el plan usa 8.000 implícito). El total de personal no cambia por la clasificación.</v>
      </c>
    </row>
    <row r="53" customFormat="false" ht="15" hidden="false" customHeight="false" outlineLevel="0" collapsed="false">
      <c r="A53" s="11" t="s">
        <v>2606</v>
      </c>
      <c r="B53" s="15" t="s">
        <v>2607</v>
      </c>
      <c r="C53" s="11" t="s">
        <v>508</v>
      </c>
      <c r="D53" s="48" t="str">
        <f aca="false">IF(OR(NOT(ISNUMBER(D11)),NOT(ISNUMBER(D32))),"",D11-D32)</f>
        <v/>
      </c>
      <c r="E53" s="48" t="n">
        <f aca="false">IF(OR(NOT(ISNUMBER(E11)),NOT(ISNUMBER(E32))),"",E11-E32)</f>
        <v>-0.00399999972432852</v>
      </c>
      <c r="F53" s="48" t="n">
        <f aca="false">IF(OR(NOT(ISNUMBER(F11)),NOT(ISNUMBER(F32))),"",F11-F32)</f>
        <v>0.495000000111759</v>
      </c>
      <c r="G53" s="48" t="n">
        <f aca="false">IF(OR(NOT(ISNUMBER(G11)),NOT(ISNUMBER(G32))),"",G11-G32)</f>
        <v>8233.27400000021</v>
      </c>
      <c r="H53" s="48" t="n">
        <f aca="false">IF(OR(NOT(ISNUMBER(H11)),NOT(ISNUMBER(H32))),"",H11-H32)</f>
        <v>18052.5728499992</v>
      </c>
      <c r="I53" s="48" t="n">
        <f aca="false">IF(OR(NOT(ISNUMBER(I11)),NOT(ISNUMBER(I32))),"",I11-I32)</f>
        <v>27213.4286484998</v>
      </c>
      <c r="J53" s="48" t="n">
        <f aca="false">IF(OR(NOT(ISNUMBER(J11)),NOT(ISNUMBER(J32))),"",J11-J32)</f>
        <v>36466.7230049847</v>
      </c>
      <c r="K53" s="48" t="n">
        <f aca="false">IF(OR(NOT(ISNUMBER(K11)),NOT(ISNUMBER(K32))),"",K11-K32)</f>
        <v>45812.1603050353</v>
      </c>
      <c r="L53" s="48" t="n">
        <f aca="false">IF(OR(NOT(ISNUMBER(L11)),NOT(ISNUMBER(L32))),"",L11-L32)</f>
        <v>55251.4719780842</v>
      </c>
      <c r="M53" s="48" t="n">
        <f aca="false">IF(OR(NOT(ISNUMBER(M11)),NOT(ISNUMBER(M32))),"",M11-M32)</f>
        <v>64784.4167678664</v>
      </c>
      <c r="N53" s="48" t="n">
        <f aca="false">IF(OR(NOT(ISNUMBER(N11)),NOT(ISNUMBER(N32))),"",N11-N32)</f>
        <v>74413.7810055446</v>
      </c>
      <c r="O53" s="54" t="n">
        <f aca="false">IF(OR(NOT(ISNUMBER(O11)),NOT(ISNUMBER(O32))),"",O11-O32)</f>
        <v>330228.319560014</v>
      </c>
      <c r="P53" s="11" t="str">
        <f aca="false">IF(COUNT(D53:N53)=0,"",IF(AND(MAX(D53:N53)&lt;2,MIN(D53:N53)&gt;-2),"Sin diferencia","C2 materia prima: 1% acumulativo también en las cajas (el plan no lo aplica desde el año 3)."))</f>
        <v>C2 materia prima: 1% acumulativo también en las cajas (el plan no lo aplica desde el año 3).</v>
      </c>
    </row>
    <row r="54" customFormat="false" ht="15" hidden="false" customHeight="false" outlineLevel="0" collapsed="false">
      <c r="A54" s="11" t="s">
        <v>2608</v>
      </c>
      <c r="B54" s="15" t="s">
        <v>2609</v>
      </c>
      <c r="C54" s="11" t="s">
        <v>508</v>
      </c>
      <c r="D54" s="48" t="str">
        <f aca="false">IF(OR(NOT(ISNUMBER(D12)),NOT(ISNUMBER(D33))),"",D12-D33)</f>
        <v/>
      </c>
      <c r="E54" s="48" t="n">
        <f aca="false">IF(OR(NOT(ISNUMBER(E12)),NOT(ISNUMBER(E33))),"",E12-E33)</f>
        <v>3308.39731226489</v>
      </c>
      <c r="F54" s="48" t="n">
        <f aca="false">IF(OR(NOT(ISNUMBER(F12)),NOT(ISNUMBER(F33))),"",F12-F33)</f>
        <v>3308.97309176496</v>
      </c>
      <c r="G54" s="48" t="n">
        <f aca="false">IF(OR(NOT(ISNUMBER(G12)),NOT(ISNUMBER(G33))),"",G12-G33)</f>
        <v>3984.56211263989</v>
      </c>
      <c r="H54" s="48" t="n">
        <f aca="false">IF(OR(NOT(ISNUMBER(H12)),NOT(ISNUMBER(H33))),"",H12-H33)</f>
        <v>4738.41193756834</v>
      </c>
      <c r="I54" s="48" t="n">
        <f aca="false">IF(OR(NOT(ISNUMBER(I12)),NOT(ISNUMBER(I33))),"",I12-I33)</f>
        <v>5493.60149297211</v>
      </c>
      <c r="J54" s="48" t="n">
        <f aca="false">IF(OR(NOT(ISNUMBER(J12)),NOT(ISNUMBER(J33))),"",J12-J33)</f>
        <v>6118.24411093351</v>
      </c>
      <c r="K54" s="48" t="n">
        <f aca="false">IF(OR(NOT(ISNUMBER(K12)),NOT(ISNUMBER(K33))),"",K12-K33)</f>
        <v>6762.36114419252</v>
      </c>
      <c r="L54" s="48" t="n">
        <f aca="false">IF(OR(NOT(ISNUMBER(L12)),NOT(ISNUMBER(L33))),"",L12-L33)</f>
        <v>7426.88464700617</v>
      </c>
      <c r="M54" s="48" t="n">
        <f aca="false">IF(OR(NOT(ISNUMBER(M12)),NOT(ISNUMBER(M33))),"",M12-M33)</f>
        <v>8110.94836288528</v>
      </c>
      <c r="N54" s="48" t="n">
        <f aca="false">IF(OR(NOT(ISNUMBER(N12)),NOT(ISNUMBER(N33))),"",N12-N33)</f>
        <v>8814.89368553762</v>
      </c>
      <c r="O54" s="54" t="n">
        <f aca="false">IF(OR(NOT(ISNUMBER(O12)),NOT(ISNUMBER(O33))),"",O12-O33)</f>
        <v>58067.2778977649</v>
      </c>
      <c r="P54" s="11" t="str">
        <f aca="false">IF(COUNT(D54:N54)=0,"",IF(AND(MAX(D54:N54)&lt;2,MIN(D54:N54)&gt;-2),"Sin diferencia","Mantenimiento compuesto, y packaging e imprevistos derivados de C1 y C2."))</f>
        <v>Mantenimiento compuesto, y packaging e imprevistos derivados de C1 y C2.</v>
      </c>
    </row>
    <row r="55" customFormat="false" ht="15" hidden="false" customHeight="false" outlineLevel="0" collapsed="false">
      <c r="A55" s="11" t="s">
        <v>2610</v>
      </c>
      <c r="B55" s="15" t="s">
        <v>2611</v>
      </c>
      <c r="C55" s="11" t="s">
        <v>508</v>
      </c>
      <c r="D55" s="48" t="str">
        <f aca="false">IF(OR(NOT(ISNUMBER(D13)),NOT(ISNUMBER(D34))),"",D13-D34)</f>
        <v/>
      </c>
      <c r="E55" s="48" t="n">
        <f aca="false">IF(OR(NOT(ISNUMBER(E13)),NOT(ISNUMBER(E34))),"",E13-E34)</f>
        <v>0.100000000005821</v>
      </c>
      <c r="F55" s="48" t="n">
        <f aca="false">IF(OR(NOT(ISNUMBER(F13)),NOT(ISNUMBER(F34))),"",F13-F34)</f>
        <v>0.195000000006985</v>
      </c>
      <c r="G55" s="48" t="n">
        <f aca="false">IF(OR(NOT(ISNUMBER(G13)),NOT(ISNUMBER(G34))),"",G13-G34)</f>
        <v>247.27840000001</v>
      </c>
      <c r="H55" s="48" t="n">
        <f aca="false">IF(OR(NOT(ISNUMBER(H13)),NOT(ISNUMBER(H34))),"",H13-H34)</f>
        <v>541.541695499996</v>
      </c>
      <c r="I55" s="48" t="n">
        <f aca="false">IF(OR(NOT(ISNUMBER(I13)),NOT(ISNUMBER(I34))),"",I13-I34)</f>
        <v>816.401112455002</v>
      </c>
      <c r="J55" s="48" t="n">
        <f aca="false">IF(OR(NOT(ISNUMBER(J13)),NOT(ISNUMBER(J34))),"",J13-J34)</f>
        <v>1094.05912357953</v>
      </c>
      <c r="K55" s="48" t="n">
        <f aca="false">IF(OR(NOT(ISNUMBER(K13)),NOT(ISNUMBER(K34))),"",K13-K34)</f>
        <v>1374.68371481536</v>
      </c>
      <c r="L55" s="48" t="n">
        <f aca="false">IF(OR(NOT(ISNUMBER(L13)),NOT(ISNUMBER(L34))),"",L13-L34)</f>
        <v>1657.44455196348</v>
      </c>
      <c r="M55" s="48" t="n">
        <f aca="false">IF(OR(NOT(ISNUMBER(M13)),NOT(ISNUMBER(M34))),"",M13-M34)</f>
        <v>1943.51299748311</v>
      </c>
      <c r="N55" s="48" t="n">
        <f aca="false">IF(OR(NOT(ISNUMBER(N13)),NOT(ISNUMBER(N34))),"",N13-N34)</f>
        <v>2232.06212745799</v>
      </c>
      <c r="O55" s="54" t="n">
        <f aca="false">IF(OR(NOT(ISNUMBER(O13)),NOT(ISNUMBER(O34))),"",O13-O34)</f>
        <v>9907.27872325433</v>
      </c>
      <c r="P55" s="11" t="str">
        <f aca="false">IF(COUNT(D55:N55)=0,"",IF(AND(MAX(D55:N55)&lt;2,MIN(D55:N55)&gt;-2),"Sin diferencia","Despachos derivados de C2."))</f>
        <v>Despachos derivados de C2.</v>
      </c>
    </row>
    <row r="56" customFormat="false" ht="15" hidden="false" customHeight="false" outlineLevel="0" collapsed="false">
      <c r="A56" s="11" t="s">
        <v>2612</v>
      </c>
      <c r="B56" s="15" t="s">
        <v>2613</v>
      </c>
      <c r="C56" s="11" t="s">
        <v>508</v>
      </c>
      <c r="D56" s="48" t="str">
        <f aca="false">IF(OR(NOT(ISNUMBER(D14)),NOT(ISNUMBER(D35))),"",D14-D35)</f>
        <v/>
      </c>
      <c r="E56" s="48" t="n">
        <f aca="false">IF(OR(NOT(ISNUMBER(E14)),NOT(ISNUMBER(E35))),"",E14-E35)</f>
        <v>-0.0675689744530246</v>
      </c>
      <c r="F56" s="48" t="n">
        <f aca="false">IF(OR(NOT(ISNUMBER(F14)),NOT(ISNUMBER(F35))),"",F14-F35)</f>
        <v>0.254121452046093</v>
      </c>
      <c r="G56" s="48" t="n">
        <f aca="false">IF(OR(NOT(ISNUMBER(G14)),NOT(ISNUMBER(G35))),"",G14-G35)</f>
        <v>-0.0270588327257428</v>
      </c>
      <c r="H56" s="48" t="n">
        <f aca="false">IF(OR(NOT(ISNUMBER(H14)),NOT(ISNUMBER(H35))),"",H14-H35)</f>
        <v>-0.00720354440272786</v>
      </c>
      <c r="I56" s="48" t="n">
        <f aca="false">IF(OR(NOT(ISNUMBER(I14)),NOT(ISNUMBER(I35))),"",I14-I35)</f>
        <v>-0.0240656469031819</v>
      </c>
      <c r="J56" s="48" t="n">
        <f aca="false">IF(OR(NOT(ISNUMBER(J14)),NOT(ISNUMBER(J35))),"",J14-J35)</f>
        <v>0</v>
      </c>
      <c r="K56" s="48" t="n">
        <f aca="false">IF(OR(NOT(ISNUMBER(K14)),NOT(ISNUMBER(K35))),"",K14-K35)</f>
        <v>0</v>
      </c>
      <c r="L56" s="48" t="n">
        <f aca="false">IF(OR(NOT(ISNUMBER(L14)),NOT(ISNUMBER(L35))),"",L14-L35)</f>
        <v>0</v>
      </c>
      <c r="M56" s="48" t="n">
        <f aca="false">IF(OR(NOT(ISNUMBER(M14)),NOT(ISNUMBER(M35))),"",M14-M35)</f>
        <v>0</v>
      </c>
      <c r="N56" s="48" t="n">
        <f aca="false">IF(OR(NOT(ISNUMBER(N14)),NOT(ISNUMBER(N35))),"",N14-N35)</f>
        <v>0</v>
      </c>
      <c r="O56" s="54" t="n">
        <f aca="false">IF(OR(NOT(ISNUMBER(O14)),NOT(ISNUMBER(O35))),"",O14-O35)</f>
        <v>0.128224453539588</v>
      </c>
      <c r="P56" s="11" t="str">
        <f aca="false">IF(COUNT(D56:N56)=0,"",IF(AND(MAX(D56:N56)&lt;2,MIN(D56:N56)&gt;-2),"Sin diferencia","Diferencia a explicar"))</f>
        <v>Sin diferencia</v>
      </c>
    </row>
    <row r="57" customFormat="false" ht="15" hidden="false" customHeight="false" outlineLevel="0" collapsed="false">
      <c r="A57" s="11" t="s">
        <v>2614</v>
      </c>
      <c r="B57" s="15" t="s">
        <v>2615</v>
      </c>
      <c r="C57" s="11" t="s">
        <v>508</v>
      </c>
      <c r="D57" s="48" t="str">
        <f aca="false">IF(OR(NOT(ISNUMBER(D15)),NOT(ISNUMBER(D36))),"",D15-D36)</f>
        <v/>
      </c>
      <c r="E57" s="48" t="n">
        <f aca="false">IF(OR(NOT(ISNUMBER(E15)),NOT(ISNUMBER(E36))),"",E15-E36)</f>
        <v>71592.209</v>
      </c>
      <c r="F57" s="48" t="n">
        <f aca="false">IF(OR(NOT(ISNUMBER(F15)),NOT(ISNUMBER(F36))),"",F15-F36)</f>
        <v>10000.209</v>
      </c>
      <c r="G57" s="48" t="n">
        <f aca="false">IF(OR(NOT(ISNUMBER(G15)),NOT(ISNUMBER(G36))),"",G15-G36)</f>
        <v>10000.209</v>
      </c>
      <c r="H57" s="48" t="n">
        <f aca="false">IF(OR(NOT(ISNUMBER(H15)),NOT(ISNUMBER(H36))),"",H15-H36)</f>
        <v>10000.209</v>
      </c>
      <c r="I57" s="48" t="n">
        <f aca="false">IF(OR(NOT(ISNUMBER(I15)),NOT(ISNUMBER(I36))),"",I15-I36)</f>
        <v>10000.209</v>
      </c>
      <c r="J57" s="48" t="n">
        <f aca="false">IF(OR(NOT(ISNUMBER(J15)),NOT(ISNUMBER(J36))),"",J15-J36)</f>
        <v>-2175.391</v>
      </c>
      <c r="K57" s="48" t="n">
        <f aca="false">IF(OR(NOT(ISNUMBER(K15)),NOT(ISNUMBER(K36))),"",K15-K36)</f>
        <v>9999.609</v>
      </c>
      <c r="L57" s="48" t="n">
        <f aca="false">IF(OR(NOT(ISNUMBER(L15)),NOT(ISNUMBER(L36))),"",L15-L36)</f>
        <v>9999.609</v>
      </c>
      <c r="M57" s="48" t="n">
        <f aca="false">IF(OR(NOT(ISNUMBER(M15)),NOT(ISNUMBER(M36))),"",M15-M36)</f>
        <v>9999.609</v>
      </c>
      <c r="N57" s="48" t="n">
        <f aca="false">IF(OR(NOT(ISNUMBER(N15)),NOT(ISNUMBER(N36))),"",N15-N36)</f>
        <v>9999.609</v>
      </c>
      <c r="O57" s="54" t="n">
        <f aca="false">IF(OR(NOT(ISNUMBER(O15)),NOT(ISNUMBER(O36))),"",O15-O36)</f>
        <v>149416.09</v>
      </c>
      <c r="P57" s="11" t="str">
        <f aca="false">IF(COUNT(D57:N57)=0,"",IF(AND(MAX(D57:N57)&lt;2,MIN(D57:N57)&gt;-2),"Sin diferencia","Depreciación: el modelo deprecia desde el año 1 y también la inversión adicional del año 2 (10.000 por año); el cuadro 10a del plan empieza en el año 2."))</f>
        <v>Depreciación: el modelo deprecia desde el año 1 y también la inversión adicional del año 2 (10.000 por año); el cuadro 10a del plan empieza en el año 2.</v>
      </c>
    </row>
    <row r="58" customFormat="false" ht="15" hidden="false" customHeight="false" outlineLevel="0" collapsed="false">
      <c r="A58" s="11" t="s">
        <v>2616</v>
      </c>
      <c r="B58" s="15" t="s">
        <v>2617</v>
      </c>
      <c r="C58" s="11" t="s">
        <v>508</v>
      </c>
      <c r="D58" s="48"/>
      <c r="E58" s="48"/>
      <c r="F58" s="48"/>
      <c r="G58" s="48"/>
      <c r="H58" s="48"/>
      <c r="I58" s="48"/>
      <c r="J58" s="48"/>
      <c r="K58" s="48"/>
      <c r="L58" s="48"/>
      <c r="M58" s="48"/>
      <c r="N58" s="48"/>
    </row>
    <row r="59" customFormat="false" ht="15" hidden="false" customHeight="false" outlineLevel="0" collapsed="false">
      <c r="A59" s="13"/>
      <c r="B59" s="100" t="s">
        <v>2618</v>
      </c>
      <c r="C59" s="13"/>
      <c r="D59" s="13"/>
      <c r="E59" s="13"/>
      <c r="F59" s="13"/>
      <c r="G59" s="13"/>
      <c r="H59" s="13"/>
      <c r="I59" s="13"/>
      <c r="J59" s="13"/>
      <c r="K59" s="13"/>
      <c r="L59" s="13"/>
      <c r="M59" s="13"/>
      <c r="N59" s="13"/>
      <c r="O59" s="13"/>
      <c r="P59" s="13"/>
    </row>
    <row r="60" customFormat="false" ht="15" hidden="false" customHeight="false" outlineLevel="0" collapsed="false">
      <c r="A60" s="11" t="s">
        <v>2619</v>
      </c>
      <c r="B60" s="67" t="s">
        <v>2603</v>
      </c>
      <c r="C60" s="11" t="s">
        <v>367</v>
      </c>
      <c r="D60" s="99"/>
      <c r="E60" s="99"/>
      <c r="F60" s="99"/>
      <c r="G60" s="99"/>
      <c r="H60" s="99"/>
      <c r="I60" s="99"/>
      <c r="J60" s="99"/>
      <c r="K60" s="99"/>
      <c r="L60" s="99"/>
      <c r="M60" s="99"/>
      <c r="N60" s="99"/>
    </row>
    <row r="61" customFormat="false" ht="15" hidden="false" customHeight="false" outlineLevel="0" collapsed="false">
      <c r="A61" s="11" t="s">
        <v>2620</v>
      </c>
      <c r="B61" s="15" t="s">
        <v>2605</v>
      </c>
      <c r="C61" s="11" t="s">
        <v>367</v>
      </c>
      <c r="D61" s="49" t="str">
        <f aca="false">IF(OR(NOT(ISNUMBER(D19)),NOT(ISNUMBER(D40))),"",D19-D40)</f>
        <v/>
      </c>
      <c r="E61" s="49" t="n">
        <f aca="false">IF(OR(NOT(ISNUMBER(E19)),NOT(ISNUMBER(E40))),"",E19-E40)</f>
        <v>0.00843138467190105</v>
      </c>
      <c r="F61" s="49" t="n">
        <f aca="false">IF(OR(NOT(ISNUMBER(F19)),NOT(ISNUMBER(F40))),"",F19-F40)</f>
        <v>0.00915611723606993</v>
      </c>
      <c r="G61" s="49" t="n">
        <f aca="false">IF(OR(NOT(ISNUMBER(G19)),NOT(ISNUMBER(G40))),"",G19-G40)</f>
        <v>0.00825044826705079</v>
      </c>
      <c r="H61" s="49" t="n">
        <f aca="false">IF(OR(NOT(ISNUMBER(H19)),NOT(ISNUMBER(H40))),"",H19-H40)</f>
        <v>0.00762375727188275</v>
      </c>
      <c r="I61" s="49" t="n">
        <f aca="false">IF(OR(NOT(ISNUMBER(I19)),NOT(ISNUMBER(I40))),"",I19-I40)</f>
        <v>0.00771379073522638</v>
      </c>
      <c r="J61" s="49" t="n">
        <f aca="false">IF(OR(NOT(ISNUMBER(J19)),NOT(ISNUMBER(J40))),"",J19-J40)</f>
        <v>0.00775646519341411</v>
      </c>
      <c r="K61" s="49" t="n">
        <f aca="false">IF(OR(NOT(ISNUMBER(K19)),NOT(ISNUMBER(K40))),"",K19-K40)</f>
        <v>0.00737089619859027</v>
      </c>
      <c r="L61" s="49" t="n">
        <f aca="false">IF(OR(NOT(ISNUMBER(L19)),NOT(ISNUMBER(L40))),"",L19-L40)</f>
        <v>0.00717938114084341</v>
      </c>
      <c r="M61" s="49" t="n">
        <f aca="false">IF(OR(NOT(ISNUMBER(M19)),NOT(ISNUMBER(M40))),"",M19-M40)</f>
        <v>0.00698907274134923</v>
      </c>
      <c r="N61" s="49" t="n">
        <f aca="false">IF(OR(NOT(ISNUMBER(N19)),NOT(ISNUMBER(N40))),"",N19-N40)</f>
        <v>0.00679998600634622</v>
      </c>
      <c r="O61" s="99" t="n">
        <f aca="false">IF(OR(NOT(ISNUMBER(O19)),NOT(ISNUMBER(O40))),"",O19-O40)</f>
        <v>0.00768316998188214</v>
      </c>
      <c r="P61" s="11" t="str">
        <f aca="false">IF(COUNT(D61:N61)=0,"",IF(AND(MAX(D61:N61)&lt;0.0005,MIN(D61:N61)&gt;-0.0005),"Sin diferencia","Sigue a los rubros del cuadro 11."))</f>
        <v>Sigue a los rubros del cuadro 11.</v>
      </c>
    </row>
    <row r="62" customFormat="false" ht="15" hidden="false" customHeight="false" outlineLevel="0" collapsed="false">
      <c r="A62" s="11" t="s">
        <v>2621</v>
      </c>
      <c r="B62" s="15" t="s">
        <v>2607</v>
      </c>
      <c r="C62" s="11" t="s">
        <v>367</v>
      </c>
      <c r="D62" s="49" t="str">
        <f aca="false">IF(OR(NOT(ISNUMBER(D20)),NOT(ISNUMBER(D41))),"",D20-D41)</f>
        <v/>
      </c>
      <c r="E62" s="49" t="n">
        <f aca="false">IF(OR(NOT(ISNUMBER(E20)),NOT(ISNUMBER(E41))),"",E20-E41)</f>
        <v>-0.0184360198944425</v>
      </c>
      <c r="F62" s="49" t="n">
        <f aca="false">IF(OR(NOT(ISNUMBER(F20)),NOT(ISNUMBER(F41))),"",F20-F41)</f>
        <v>-0.00898354415049696</v>
      </c>
      <c r="G62" s="49" t="n">
        <f aca="false">IF(OR(NOT(ISNUMBER(G20)),NOT(ISNUMBER(G41))),"",G20-G41)</f>
        <v>-0.00816401673837697</v>
      </c>
      <c r="H62" s="49" t="n">
        <f aca="false">IF(OR(NOT(ISNUMBER(H20)),NOT(ISNUMBER(H41))),"",H20-H41)</f>
        <v>-0.00758214770091603</v>
      </c>
      <c r="I62" s="49" t="n">
        <f aca="false">IF(OR(NOT(ISNUMBER(I20)),NOT(ISNUMBER(I41))),"",I20-I41)</f>
        <v>-0.00765424760129885</v>
      </c>
      <c r="J62" s="49" t="n">
        <f aca="false">IF(OR(NOT(ISNUMBER(J20)),NOT(ISNUMBER(J41))),"",J20-J41)</f>
        <v>-0.00620455838412448</v>
      </c>
      <c r="K62" s="49" t="n">
        <f aca="false">IF(OR(NOT(ISNUMBER(K20)),NOT(ISNUMBER(K41))),"",K20-K41)</f>
        <v>-0.00721454508944186</v>
      </c>
      <c r="L62" s="49" t="n">
        <f aca="false">IF(OR(NOT(ISNUMBER(L20)),NOT(ISNUMBER(L41))),"",L20-L41)</f>
        <v>-0.00692366282083057</v>
      </c>
      <c r="M62" s="49" t="n">
        <f aca="false">IF(OR(NOT(ISNUMBER(M20)),NOT(ISNUMBER(M41))),"",M20-M41)</f>
        <v>-0.00663273788575691</v>
      </c>
      <c r="N62" s="49" t="n">
        <f aca="false">IF(OR(NOT(ISNUMBER(N20)),NOT(ISNUMBER(N41))),"",N20-N41)</f>
        <v>-0.00634157288891934</v>
      </c>
      <c r="O62" s="99" t="n">
        <f aca="false">IF(OR(NOT(ISNUMBER(O20)),NOT(ISNUMBER(O41))),"",O20-O41)</f>
        <v>-0.00806806003750993</v>
      </c>
      <c r="P62" s="11" t="str">
        <f aca="false">IF(COUNT(D62:N62)=0,"",IF(AND(MAX(D62:N62)&lt;0.0005,MIN(D62:N62)&gt;-0.0005),"Sin diferencia","Sigue a los rubros del cuadro 11."))</f>
        <v>Sigue a los rubros del cuadro 11.</v>
      </c>
    </row>
    <row r="63" customFormat="false" ht="15" hidden="false" customHeight="false" outlineLevel="0" collapsed="false">
      <c r="A63" s="11" t="s">
        <v>2622</v>
      </c>
      <c r="B63" s="15" t="s">
        <v>2609</v>
      </c>
      <c r="C63" s="11" t="s">
        <v>367</v>
      </c>
      <c r="D63" s="49" t="str">
        <f aca="false">IF(OR(NOT(ISNUMBER(D21)),NOT(ISNUMBER(D42))),"",D21-D42)</f>
        <v/>
      </c>
      <c r="E63" s="49" t="n">
        <f aca="false">IF(OR(NOT(ISNUMBER(E21)),NOT(ISNUMBER(E42))),"",E21-E42)</f>
        <v>-0.00281027544146785</v>
      </c>
      <c r="F63" s="49" t="n">
        <f aca="false">IF(OR(NOT(ISNUMBER(F21)),NOT(ISNUMBER(F42))),"",F21-F42)</f>
        <v>-0.000889030470767716</v>
      </c>
      <c r="G63" s="49" t="n">
        <f aca="false">IF(OR(NOT(ISNUMBER(G21)),NOT(ISNUMBER(G42))),"",G21-G42)</f>
        <v>-0.000791860033315023</v>
      </c>
      <c r="H63" s="49" t="n">
        <f aca="false">IF(OR(NOT(ISNUMBER(H21)),NOT(ISNUMBER(H42))),"",H21-H42)</f>
        <v>-0.00075658200583005</v>
      </c>
      <c r="I63" s="49" t="n">
        <f aca="false">IF(OR(NOT(ISNUMBER(I21)),NOT(ISNUMBER(I42))),"",I21-I42)</f>
        <v>-0.000860265483123845</v>
      </c>
      <c r="J63" s="49" t="n">
        <f aca="false">IF(OR(NOT(ISNUMBER(J21)),NOT(ISNUMBER(J42))),"",J21-J42)</f>
        <v>-0.000765754607493951</v>
      </c>
      <c r="K63" s="49" t="n">
        <f aca="false">IF(OR(NOT(ISNUMBER(K21)),NOT(ISNUMBER(K42))),"",K21-K42)</f>
        <v>-0.00102714412212958</v>
      </c>
      <c r="L63" s="49" t="n">
        <f aca="false">IF(OR(NOT(ISNUMBER(L21)),NOT(ISNUMBER(L42))),"",L21-L42)</f>
        <v>-0.00110272418092394</v>
      </c>
      <c r="M63" s="49" t="n">
        <f aca="false">IF(OR(NOT(ISNUMBER(M21)),NOT(ISNUMBER(M42))),"",M21-M42)</f>
        <v>-0.0011794697435874</v>
      </c>
      <c r="N63" s="49" t="n">
        <f aca="false">IF(OR(NOT(ISNUMBER(N21)),NOT(ISNUMBER(N42))),"",N21-N42)</f>
        <v>-0.00125747140348866</v>
      </c>
      <c r="O63" s="99" t="n">
        <f aca="false">IF(OR(NOT(ISNUMBER(O21)),NOT(ISNUMBER(O42))),"",O21-O42)</f>
        <v>-0.00107907554571886</v>
      </c>
      <c r="P63" s="11" t="str">
        <f aca="false">IF(COUNT(D63:N63)=0,"",IF(AND(MAX(D63:N63)&lt;0.0005,MIN(D63:N63)&gt;-0.0005),"Sin diferencia","Sigue a los rubros del cuadro 11."))</f>
        <v>Sigue a los rubros del cuadro 11.</v>
      </c>
    </row>
    <row r="64" customFormat="false" ht="15" hidden="false" customHeight="false" outlineLevel="0" collapsed="false">
      <c r="A64" s="11" t="s">
        <v>2623</v>
      </c>
      <c r="B64" s="15" t="s">
        <v>2611</v>
      </c>
      <c r="C64" s="11" t="s">
        <v>367</v>
      </c>
      <c r="D64" s="49" t="str">
        <f aca="false">IF(OR(NOT(ISNUMBER(D22)),NOT(ISNUMBER(D43))),"",D22-D43)</f>
        <v/>
      </c>
      <c r="E64" s="49" t="n">
        <f aca="false">IF(OR(NOT(ISNUMBER(E22)),NOT(ISNUMBER(E43))),"",E22-E43)</f>
        <v>-0.000759918303901729</v>
      </c>
      <c r="F64" s="49" t="n">
        <f aca="false">IF(OR(NOT(ISNUMBER(F22)),NOT(ISNUMBER(F43))),"",F22-F43)</f>
        <v>-0.000371117444951354</v>
      </c>
      <c r="G64" s="49" t="n">
        <f aca="false">IF(OR(NOT(ISNUMBER(G22)),NOT(ISNUMBER(G43))),"",G22-G43)</f>
        <v>-0.00035296723679229</v>
      </c>
      <c r="H64" s="49" t="n">
        <f aca="false">IF(OR(NOT(ISNUMBER(H22)),NOT(ISNUMBER(H43))),"",H22-H43)</f>
        <v>-0.000344956647594836</v>
      </c>
      <c r="I64" s="49" t="n">
        <f aca="false">IF(OR(NOT(ISNUMBER(I22)),NOT(ISNUMBER(I43))),"",I22-I43)</f>
        <v>-0.000364420479321687</v>
      </c>
      <c r="J64" s="49" t="n">
        <f aca="false">IF(OR(NOT(ISNUMBER(J22)),NOT(ISNUMBER(J43))),"",J22-J43)</f>
        <v>-0.000320824917492711</v>
      </c>
      <c r="K64" s="49" t="n">
        <f aca="false">IF(OR(NOT(ISNUMBER(K22)),NOT(ISNUMBER(K43))),"",K22-K43)</f>
        <v>-0.000380073590486051</v>
      </c>
      <c r="L64" s="49" t="n">
        <f aca="false">IF(OR(NOT(ISNUMBER(L22)),NOT(ISNUMBER(L43))),"",L22-L43)</f>
        <v>-0.000385220495906852</v>
      </c>
      <c r="M64" s="49" t="n">
        <f aca="false">IF(OR(NOT(ISNUMBER(M22)),NOT(ISNUMBER(M43))),"",M22-M43)</f>
        <v>-0.000390534590427576</v>
      </c>
      <c r="N64" s="49" t="n">
        <f aca="false">IF(OR(NOT(ISNUMBER(N22)),NOT(ISNUMBER(N43))),"",N22-N43)</f>
        <v>-0.000396138943972422</v>
      </c>
      <c r="O64" s="99" t="n">
        <f aca="false">IF(OR(NOT(ISNUMBER(O22)),NOT(ISNUMBER(O43))),"",O22-O43)</f>
        <v>-0.000396276660764899</v>
      </c>
      <c r="P64" s="11" t="str">
        <f aca="false">IF(COUNT(D64:N64)=0,"",IF(AND(MAX(D64:N64)&lt;0.0005,MIN(D64:N64)&gt;-0.0005),"Sin diferencia","Sigue a los rubros del cuadro 11."))</f>
        <v>Sigue a los rubros del cuadro 11.</v>
      </c>
    </row>
    <row r="65" customFormat="false" ht="15" hidden="false" customHeight="false" outlineLevel="0" collapsed="false">
      <c r="A65" s="11" t="s">
        <v>2624</v>
      </c>
      <c r="B65" s="15" t="s">
        <v>2613</v>
      </c>
      <c r="C65" s="11" t="s">
        <v>367</v>
      </c>
      <c r="D65" s="49" t="str">
        <f aca="false">IF(OR(NOT(ISNUMBER(D23)),NOT(ISNUMBER(D44))),"",D23-D44)</f>
        <v/>
      </c>
      <c r="E65" s="49" t="n">
        <f aca="false">IF(OR(NOT(ISNUMBER(E23)),NOT(ISNUMBER(E44))),"",E23-E44)</f>
        <v>-0.00171397227897126</v>
      </c>
      <c r="F65" s="49" t="n">
        <f aca="false">IF(OR(NOT(ISNUMBER(F23)),NOT(ISNUMBER(F44))),"",F23-F44)</f>
        <v>-0.000549105028870373</v>
      </c>
      <c r="G65" s="49" t="n">
        <f aca="false">IF(OR(NOT(ISNUMBER(G23)),NOT(ISNUMBER(G44))),"",G23-G44)</f>
        <v>-0.000356933490707621</v>
      </c>
      <c r="H65" s="49" t="n">
        <f aca="false">IF(OR(NOT(ISNUMBER(H23)),NOT(ISNUMBER(H44))),"",H23-H44)</f>
        <v>-0.000211923957505633</v>
      </c>
      <c r="I65" s="49" t="n">
        <f aca="false">IF(OR(NOT(ISNUMBER(I23)),NOT(ISNUMBER(I44))),"",I23-I44)</f>
        <v>-8.76079369818168E-005</v>
      </c>
      <c r="J65" s="49" t="n">
        <f aca="false">IF(OR(NOT(ISNUMBER(J23)),NOT(ISNUMBER(J44))),"",J23-J44)</f>
        <v>0</v>
      </c>
      <c r="K65" s="49" t="n">
        <f aca="false">IF(OR(NOT(ISNUMBER(K23)),NOT(ISNUMBER(K44))),"",K23-K44)</f>
        <v>0</v>
      </c>
      <c r="L65" s="49" t="n">
        <f aca="false">IF(OR(NOT(ISNUMBER(L23)),NOT(ISNUMBER(L44))),"",L23-L44)</f>
        <v>0</v>
      </c>
      <c r="M65" s="49" t="n">
        <f aca="false">IF(OR(NOT(ISNUMBER(M23)),NOT(ISNUMBER(M44))),"",M23-M44)</f>
        <v>0</v>
      </c>
      <c r="N65" s="49" t="n">
        <f aca="false">IF(OR(NOT(ISNUMBER(N23)),NOT(ISNUMBER(N44))),"",N23-N44)</f>
        <v>0</v>
      </c>
      <c r="O65" s="99" t="n">
        <f aca="false">IF(OR(NOT(ISNUMBER(O23)),NOT(ISNUMBER(O44))),"",O23-O44)</f>
        <v>-0.000223759673001395</v>
      </c>
      <c r="P65" s="11" t="str">
        <f aca="false">IF(COUNT(D65:N65)=0,"",IF(AND(MAX(D65:N65)&lt;0.0005,MIN(D65:N65)&gt;-0.0005),"Sin diferencia","Sigue a los rubros del cuadro 11."))</f>
        <v>Sigue a los rubros del cuadro 11.</v>
      </c>
    </row>
    <row r="66" customFormat="false" ht="15" hidden="false" customHeight="false" outlineLevel="0" collapsed="false">
      <c r="A66" s="11" t="s">
        <v>2625</v>
      </c>
      <c r="B66" s="15" t="s">
        <v>2615</v>
      </c>
      <c r="C66" s="11" t="s">
        <v>367</v>
      </c>
      <c r="D66" s="49" t="str">
        <f aca="false">IF(OR(NOT(ISNUMBER(D24)),NOT(ISNUMBER(D45))),"",D24-D45)</f>
        <v/>
      </c>
      <c r="E66" s="49" t="n">
        <f aca="false">IF(OR(NOT(ISNUMBER(E24)),NOT(ISNUMBER(E45))),"",E24-E45)</f>
        <v>0.0152885813737844</v>
      </c>
      <c r="F66" s="49" t="n">
        <f aca="false">IF(OR(NOT(ISNUMBER(F24)),NOT(ISNUMBER(F45))),"",F24-F45)</f>
        <v>0.0016368633433696</v>
      </c>
      <c r="G66" s="49" t="n">
        <f aca="false">IF(OR(NOT(ISNUMBER(G24)),NOT(ISNUMBER(G45))),"",G24-G45)</f>
        <v>0.00141548796764153</v>
      </c>
      <c r="H66" s="49" t="n">
        <f aca="false">IF(OR(NOT(ISNUMBER(H24)),NOT(ISNUMBER(H45))),"",H24-H45)</f>
        <v>0.00127185303996391</v>
      </c>
      <c r="I66" s="49" t="n">
        <f aca="false">IF(OR(NOT(ISNUMBER(I24)),NOT(ISNUMBER(I45))),"",I24-I45)</f>
        <v>0.00125275076549992</v>
      </c>
      <c r="J66" s="49" t="n">
        <f aca="false">IF(OR(NOT(ISNUMBER(J24)),NOT(ISNUMBER(J45))),"",J24-J45)</f>
        <v>-0.000465471011880544</v>
      </c>
      <c r="K66" s="49" t="n">
        <f aca="false">IF(OR(NOT(ISNUMBER(K24)),NOT(ISNUMBER(K45))),"",K24-K45)</f>
        <v>0.00125072322144374</v>
      </c>
      <c r="L66" s="49" t="n">
        <f aca="false">IF(OR(NOT(ISNUMBER(L24)),NOT(ISNUMBER(L45))),"",L24-L45)</f>
        <v>0.00123208357614424</v>
      </c>
      <c r="M66" s="49" t="n">
        <f aca="false">IF(OR(NOT(ISNUMBER(M24)),NOT(ISNUMBER(M45))),"",M24-M45)</f>
        <v>0.00121352730299069</v>
      </c>
      <c r="N66" s="49" t="n">
        <f aca="false">IF(OR(NOT(ISNUMBER(N24)),NOT(ISNUMBER(N45))),"",N24-N45)</f>
        <v>0.00119505566373337</v>
      </c>
      <c r="O66" s="99" t="n">
        <f aca="false">IF(OR(NOT(ISNUMBER(O24)),NOT(ISNUMBER(O45))),"",O24-O45)</f>
        <v>0.00208394065804901</v>
      </c>
      <c r="P66" s="11" t="str">
        <f aca="false">IF(COUNT(D66:N66)=0,"",IF(AND(MAX(D66:N66)&lt;0.0005,MIN(D66:N66)&gt;-0.0005),"Sin diferencia","Sigue a los rubros del cuadro 11."))</f>
        <v>Sigue a los rubros del cuadro 11.</v>
      </c>
    </row>
    <row r="68" customFormat="false" ht="15" hidden="false" customHeight="false" outlineLevel="0" collapsed="false">
      <c r="A68" s="12" t="s">
        <v>240</v>
      </c>
      <c r="B68" s="13"/>
      <c r="C68" s="13"/>
      <c r="D68" s="13"/>
      <c r="E68" s="13"/>
      <c r="F68" s="13"/>
      <c r="G68" s="13"/>
      <c r="H68" s="13"/>
      <c r="I68" s="13"/>
      <c r="J68" s="13"/>
      <c r="K68" s="13"/>
      <c r="L68" s="13"/>
      <c r="M68" s="13"/>
      <c r="N68" s="13"/>
      <c r="O68" s="13"/>
    </row>
    <row r="69" customFormat="false" ht="15" hidden="false" customHeight="false" outlineLevel="0" collapsed="false">
      <c r="B69" s="11" t="s">
        <v>2626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2627</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cuadros 13 y 14, pág. 22"</f>
        <v>Plan de referencia: Plan CIE–PERG Oct-2025 — cuadros 13 y 14, pág. 22</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2628</v>
      </c>
      <c r="C8" s="13"/>
      <c r="D8" s="13"/>
      <c r="E8" s="13"/>
      <c r="F8" s="13"/>
      <c r="G8" s="13"/>
      <c r="H8" s="13"/>
      <c r="I8" s="13"/>
      <c r="J8" s="13"/>
      <c r="K8" s="13"/>
      <c r="L8" s="13"/>
      <c r="M8" s="13"/>
      <c r="N8" s="13"/>
      <c r="O8" s="13"/>
    </row>
    <row r="9" customFormat="false" ht="15" hidden="false" customHeight="false" outlineLevel="0" collapsed="false">
      <c r="A9" s="11" t="s">
        <v>2629</v>
      </c>
      <c r="B9" s="15" t="s">
        <v>2630</v>
      </c>
      <c r="C9" s="11" t="s">
        <v>508</v>
      </c>
      <c r="D9" s="48" t="n">
        <f aca="false">IF(cu_P=1,SUMIFS(Calculo!$F$136:$ES$136,Calculo!$F$16:$ES$16,1),SUMIFS(Calculo!$F$292:$ES$292,Calculo!$F$172:$ES$172,1))</f>
        <v>0</v>
      </c>
      <c r="E9" s="48" t="n">
        <f aca="false">IF(cu_P=1,SUMIFS(Calculo!$F$136:$ES$136,Calculo!$F$14:$ES$14,1),SUMIFS(Calculo!$F$292:$ES$292,Calculo!$F$170:$ES$170,1))</f>
        <v>2791587</v>
      </c>
      <c r="F9" s="48" t="n">
        <f aca="false">IF(cu_P=1,SUMIFS(Calculo!$F$136:$ES$136,Calculo!$F$14:$ES$14,2),SUMIFS(Calculo!$F$292:$ES$292,Calculo!$F$170:$ES$170,2))</f>
        <v>0</v>
      </c>
      <c r="G9" s="48" t="n">
        <f aca="false">IF(cu_P=1,SUMIFS(Calculo!$F$136:$ES$136,Calculo!$F$14:$ES$14,3),SUMIFS(Calculo!$F$292:$ES$292,Calculo!$F$170:$ES$170,3))</f>
        <v>0</v>
      </c>
      <c r="H9" s="48" t="n">
        <f aca="false">IF(cu_P=1,SUMIFS(Calculo!$F$136:$ES$136,Calculo!$F$14:$ES$14,4),SUMIFS(Calculo!$F$292:$ES$292,Calculo!$F$170:$ES$170,4))</f>
        <v>0</v>
      </c>
      <c r="I9" s="48" t="n">
        <f aca="false">IF(cu_P=1,SUMIFS(Calculo!$F$136:$ES$136,Calculo!$F$14:$ES$14,5),SUMIFS(Calculo!$F$292:$ES$292,Calculo!$F$170:$ES$170,5))</f>
        <v>0</v>
      </c>
      <c r="J9" s="48" t="n">
        <f aca="false">IF(cu_P=1,SUMIFS(Calculo!$F$136:$ES$136,Calculo!$F$14:$ES$14,6),SUMIFS(Calculo!$F$292:$ES$292,Calculo!$F$170:$ES$170,6))</f>
        <v>0</v>
      </c>
      <c r="K9" s="48" t="n">
        <f aca="false">IF(cu_P=1,SUMIFS(Calculo!$F$136:$ES$136,Calculo!$F$14:$ES$14,7),SUMIFS(Calculo!$F$292:$ES$292,Calculo!$F$170:$ES$170,7))</f>
        <v>0</v>
      </c>
      <c r="L9" s="48" t="n">
        <f aca="false">IF(cu_P=1,SUMIFS(Calculo!$F$136:$ES$136,Calculo!$F$14:$ES$14,8),SUMIFS(Calculo!$F$292:$ES$292,Calculo!$F$170:$ES$170,8))</f>
        <v>0</v>
      </c>
      <c r="M9" s="48" t="n">
        <f aca="false">IF(cu_P=1,SUMIFS(Calculo!$F$136:$ES$136,Calculo!$F$14:$ES$14,9),SUMIFS(Calculo!$F$292:$ES$292,Calculo!$F$170:$ES$170,9))</f>
        <v>0</v>
      </c>
      <c r="N9" s="48" t="n">
        <f aca="false">IF(cu_P=1,SUMIFS(Calculo!$F$136:$ES$136,Calculo!$F$14:$ES$14,10),SUMIFS(Calculo!$F$292:$ES$292,Calculo!$F$170:$ES$170,10))</f>
        <v>0</v>
      </c>
      <c r="O9" s="54" t="n">
        <f aca="false">SUM(D9:N9)</f>
        <v>2791587</v>
      </c>
    </row>
    <row r="10" customFormat="false" ht="15" hidden="false" customHeight="false" outlineLevel="0" collapsed="false">
      <c r="A10" s="11" t="s">
        <v>2631</v>
      </c>
      <c r="B10" s="15" t="s">
        <v>2632</v>
      </c>
      <c r="C10" s="11" t="s">
        <v>508</v>
      </c>
      <c r="D10" s="48" t="n">
        <f aca="false">IFERROR(IF(COUNT(D12,D11)=0,"",N(D12)+N(D11)),"")</f>
        <v>0</v>
      </c>
      <c r="E10" s="48" t="n">
        <f aca="false">IFERROR(IF(COUNT(E12,E11)=0,"",N(E12)+N(E11)),"")</f>
        <v>2791587</v>
      </c>
      <c r="F10" s="48" t="n">
        <f aca="false">IFERROR(IF(COUNT(F12,F11)=0,"",N(F12)+N(F11)),"")</f>
        <v>2534060.6476419</v>
      </c>
      <c r="G10" s="48" t="n">
        <f aca="false">IFERROR(IF(COUNT(G12,G11)=0,"",N(G12)+N(G11)),"")</f>
        <v>1983042.03588878</v>
      </c>
      <c r="H10" s="48" t="n">
        <f aca="false">IFERROR(IF(COUNT(H12,H11)=0,"",N(H12)+N(H11)),"")</f>
        <v>1380334.07760814</v>
      </c>
      <c r="I10" s="48" t="n">
        <f aca="false">IFERROR(IF(COUNT(I12,I11)=0,"",N(I12)+N(I11)),"")</f>
        <v>721087.95555957</v>
      </c>
      <c r="J10" s="48" t="n">
        <f aca="false">IFERROR(IF(COUNT(J12,J11)=0,"",N(J12)+N(J11)),"")</f>
        <v>0</v>
      </c>
      <c r="K10" s="48" t="n">
        <f aca="false">IFERROR(IF(COUNT(K12,K11)=0,"",N(K12)+N(K11)),"")</f>
        <v>0</v>
      </c>
      <c r="L10" s="48" t="n">
        <f aca="false">IFERROR(IF(COUNT(L12,L11)=0,"",N(L12)+N(L11)),"")</f>
        <v>0</v>
      </c>
      <c r="M10" s="48" t="n">
        <f aca="false">IFERROR(IF(COUNT(M12,M11)=0,"",N(M12)+N(M11)),"")</f>
        <v>0</v>
      </c>
      <c r="N10" s="48" t="n">
        <f aca="false">IFERROR(IF(COUNT(N12,N11)=0,"",N(N12)+N(N11)),"")</f>
        <v>0</v>
      </c>
    </row>
    <row r="11" customFormat="false" ht="15" hidden="false" customHeight="false" outlineLevel="0" collapsed="false">
      <c r="A11" s="11" t="s">
        <v>2633</v>
      </c>
      <c r="B11" s="67" t="s">
        <v>2634</v>
      </c>
      <c r="C11" s="11" t="s">
        <v>508</v>
      </c>
      <c r="D11" s="54" t="n">
        <f aca="false">IF(cu_P=1,SUMIFS(Calculo!$F$137:$ES$137,Calculo!$F$16:$ES$16,1),SUMIFS(Calculo!$F$293:$ES$293,Calculo!$F$172:$ES$172,1))</f>
        <v>0</v>
      </c>
      <c r="E11" s="54" t="n">
        <f aca="false">IF(cu_P=1,SUMIFS(Calculo!$F$137:$ES$137,Calculo!$F$14:$ES$14,1),SUMIFS(Calculo!$F$293:$ES$293,Calculo!$F$170:$ES$170,1))</f>
        <v>257526.352358103</v>
      </c>
      <c r="F11" s="54" t="n">
        <f aca="false">IF(cu_P=1,SUMIFS(Calculo!$F$137:$ES$137,Calculo!$F$14:$ES$14,2),SUMIFS(Calculo!$F$293:$ES$293,Calculo!$F$170:$ES$170,2))</f>
        <v>551018.611753115</v>
      </c>
      <c r="G11" s="54" t="n">
        <f aca="false">IF(cu_P=1,SUMIFS(Calculo!$F$137:$ES$137,Calculo!$F$14:$ES$14,3),SUMIFS(Calculo!$F$293:$ES$293,Calculo!$F$170:$ES$170,3))</f>
        <v>602707.958280647</v>
      </c>
      <c r="H11" s="54" t="n">
        <f aca="false">IF(cu_P=1,SUMIFS(Calculo!$F$137:$ES$137,Calculo!$F$14:$ES$14,4),SUMIFS(Calculo!$F$293:$ES$293,Calculo!$F$170:$ES$170,4))</f>
        <v>659246.122048566</v>
      </c>
      <c r="I11" s="54" t="n">
        <f aca="false">IF(cu_P=1,SUMIFS(Calculo!$F$137:$ES$137,Calculo!$F$14:$ES$14,5),SUMIFS(Calculo!$F$293:$ES$293,Calculo!$F$170:$ES$170,5))</f>
        <v>721087.95555957</v>
      </c>
      <c r="J11" s="54" t="n">
        <f aca="false">IF(cu_P=1,SUMIFS(Calculo!$F$137:$ES$137,Calculo!$F$14:$ES$14,6),SUMIFS(Calculo!$F$293:$ES$293,Calculo!$F$170:$ES$170,6))</f>
        <v>0</v>
      </c>
      <c r="K11" s="54" t="n">
        <f aca="false">IF(cu_P=1,SUMIFS(Calculo!$F$137:$ES$137,Calculo!$F$14:$ES$14,7),SUMIFS(Calculo!$F$293:$ES$293,Calculo!$F$170:$ES$170,7))</f>
        <v>0</v>
      </c>
      <c r="L11" s="54" t="n">
        <f aca="false">IF(cu_P=1,SUMIFS(Calculo!$F$137:$ES$137,Calculo!$F$14:$ES$14,8),SUMIFS(Calculo!$F$293:$ES$293,Calculo!$F$170:$ES$170,8))</f>
        <v>0</v>
      </c>
      <c r="M11" s="54" t="n">
        <f aca="false">IF(cu_P=1,SUMIFS(Calculo!$F$137:$ES$137,Calculo!$F$14:$ES$14,9),SUMIFS(Calculo!$F$293:$ES$293,Calculo!$F$170:$ES$170,9))</f>
        <v>0</v>
      </c>
      <c r="N11" s="54" t="n">
        <f aca="false">IF(cu_P=1,SUMIFS(Calculo!$F$137:$ES$137,Calculo!$F$14:$ES$14,10),SUMIFS(Calculo!$F$293:$ES$293,Calculo!$F$170:$ES$170,10))</f>
        <v>0</v>
      </c>
      <c r="O11" s="54" t="n">
        <f aca="false">SUM(D11:N11)</f>
        <v>2791587</v>
      </c>
    </row>
    <row r="12" customFormat="false" ht="15" hidden="false" customHeight="false" outlineLevel="0" collapsed="false">
      <c r="A12" s="11" t="s">
        <v>2635</v>
      </c>
      <c r="B12" s="15" t="s">
        <v>2636</v>
      </c>
      <c r="C12" s="11" t="s">
        <v>508</v>
      </c>
      <c r="D12" s="48" t="n">
        <f aca="false">IF(cu_P=1,(IF(SUM(Calculo!$F$16:$ES$16)=0,0,INDEX(Calculo!$F$126:$ES$126,1,SUM(Calculo!$F$16:$ES$16)))+IF(SUM(Calculo!$F$16:$ES$16)=0,0,INDEX(Calculo!$F$130:$ES$130,1,SUM(Calculo!$F$16:$ES$16)))+IF(SUM(Calculo!$F$16:$ES$16)=0,0,INDEX(Calculo!$F$134:$ES$134,1,SUM(Calculo!$F$16:$ES$16)))),(IF(SUM(Calculo!$F$172:$ES$172)=0,0,INDEX(Calculo!$F$282:$ES$282,1,SUM(Calculo!$F$172:$ES$172)))+IF(SUM(Calculo!$F$172:$ES$172)=0,0,INDEX(Calculo!$F$286:$ES$286,1,SUM(Calculo!$F$172:$ES$172)))+IF(SUM(Calculo!$F$172:$ES$172)=0,0,INDEX(Calculo!$F$290:$ES$290,1,SUM(Calculo!$F$172:$ES$172)))))</f>
        <v>0</v>
      </c>
      <c r="E12" s="48" t="n">
        <f aca="false">IF(cu_P=1,(IF(COUNTIFS(Calculo!$F$14:$ES$14,1)=0,0,INDEX(Calculo!$F$126:$ES$126,1,_xlfn.MAXIFS(Calculo!$F$4:$ES$4,Calculo!$F$14:$ES$14,1)))+IF(COUNTIFS(Calculo!$F$14:$ES$14,1)=0,0,INDEX(Calculo!$F$130:$ES$130,1,_xlfn.MAXIFS(Calculo!$F$4:$ES$4,Calculo!$F$14:$ES$14,1)))+IF(COUNTIFS(Calculo!$F$14:$ES$14,1)=0,0,INDEX(Calculo!$F$134:$ES$134,1,_xlfn.MAXIFS(Calculo!$F$4:$ES$4,Calculo!$F$14:$ES$14,1)))),(IF(COUNTIFS(Calculo!$F$170:$ES$170,1)=0,0,INDEX(Calculo!$F$282:$ES$282,1,_xlfn.MAXIFS(Calculo!$F$4:$ES$4,Calculo!$F$170:$ES$170,1)))+IF(COUNTIFS(Calculo!$F$170:$ES$170,1)=0,0,INDEX(Calculo!$F$286:$ES$286,1,_xlfn.MAXIFS(Calculo!$F$4:$ES$4,Calculo!$F$170:$ES$170,1)))+IF(COUNTIFS(Calculo!$F$170:$ES$170,1)=0,0,INDEX(Calculo!$F$290:$ES$290,1,_xlfn.MAXIFS(Calculo!$F$4:$ES$4,Calculo!$F$170:$ES$170,1)))))</f>
        <v>2534060.6476419</v>
      </c>
      <c r="F12" s="48" t="n">
        <f aca="false">IF(cu_P=1,(IF(COUNTIFS(Calculo!$F$14:$ES$14,2)=0,0,INDEX(Calculo!$F$126:$ES$126,1,_xlfn.MAXIFS(Calculo!$F$4:$ES$4,Calculo!$F$14:$ES$14,2)))+IF(COUNTIFS(Calculo!$F$14:$ES$14,2)=0,0,INDEX(Calculo!$F$130:$ES$130,1,_xlfn.MAXIFS(Calculo!$F$4:$ES$4,Calculo!$F$14:$ES$14,2)))+IF(COUNTIFS(Calculo!$F$14:$ES$14,2)=0,0,INDEX(Calculo!$F$134:$ES$134,1,_xlfn.MAXIFS(Calculo!$F$4:$ES$4,Calculo!$F$14:$ES$14,2)))),(IF(COUNTIFS(Calculo!$F$170:$ES$170,2)=0,0,INDEX(Calculo!$F$282:$ES$282,1,_xlfn.MAXIFS(Calculo!$F$4:$ES$4,Calculo!$F$170:$ES$170,2)))+IF(COUNTIFS(Calculo!$F$170:$ES$170,2)=0,0,INDEX(Calculo!$F$286:$ES$286,1,_xlfn.MAXIFS(Calculo!$F$4:$ES$4,Calculo!$F$170:$ES$170,2)))+IF(COUNTIFS(Calculo!$F$170:$ES$170,2)=0,0,INDEX(Calculo!$F$290:$ES$290,1,_xlfn.MAXIFS(Calculo!$F$4:$ES$4,Calculo!$F$170:$ES$170,2)))))</f>
        <v>1983042.03588878</v>
      </c>
      <c r="G12" s="48" t="n">
        <f aca="false">IF(cu_P=1,(IF(COUNTIFS(Calculo!$F$14:$ES$14,3)=0,0,INDEX(Calculo!$F$126:$ES$126,1,_xlfn.MAXIFS(Calculo!$F$4:$ES$4,Calculo!$F$14:$ES$14,3)))+IF(COUNTIFS(Calculo!$F$14:$ES$14,3)=0,0,INDEX(Calculo!$F$130:$ES$130,1,_xlfn.MAXIFS(Calculo!$F$4:$ES$4,Calculo!$F$14:$ES$14,3)))+IF(COUNTIFS(Calculo!$F$14:$ES$14,3)=0,0,INDEX(Calculo!$F$134:$ES$134,1,_xlfn.MAXIFS(Calculo!$F$4:$ES$4,Calculo!$F$14:$ES$14,3)))),(IF(COUNTIFS(Calculo!$F$170:$ES$170,3)=0,0,INDEX(Calculo!$F$282:$ES$282,1,_xlfn.MAXIFS(Calculo!$F$4:$ES$4,Calculo!$F$170:$ES$170,3)))+IF(COUNTIFS(Calculo!$F$170:$ES$170,3)=0,0,INDEX(Calculo!$F$286:$ES$286,1,_xlfn.MAXIFS(Calculo!$F$4:$ES$4,Calculo!$F$170:$ES$170,3)))+IF(COUNTIFS(Calculo!$F$170:$ES$170,3)=0,0,INDEX(Calculo!$F$290:$ES$290,1,_xlfn.MAXIFS(Calculo!$F$4:$ES$4,Calculo!$F$170:$ES$170,3)))))</f>
        <v>1380334.07760814</v>
      </c>
      <c r="H12" s="48" t="n">
        <f aca="false">IF(cu_P=1,(IF(COUNTIFS(Calculo!$F$14:$ES$14,4)=0,0,INDEX(Calculo!$F$126:$ES$126,1,_xlfn.MAXIFS(Calculo!$F$4:$ES$4,Calculo!$F$14:$ES$14,4)))+IF(COUNTIFS(Calculo!$F$14:$ES$14,4)=0,0,INDEX(Calculo!$F$130:$ES$130,1,_xlfn.MAXIFS(Calculo!$F$4:$ES$4,Calculo!$F$14:$ES$14,4)))+IF(COUNTIFS(Calculo!$F$14:$ES$14,4)=0,0,INDEX(Calculo!$F$134:$ES$134,1,_xlfn.MAXIFS(Calculo!$F$4:$ES$4,Calculo!$F$14:$ES$14,4)))),(IF(COUNTIFS(Calculo!$F$170:$ES$170,4)=0,0,INDEX(Calculo!$F$282:$ES$282,1,_xlfn.MAXIFS(Calculo!$F$4:$ES$4,Calculo!$F$170:$ES$170,4)))+IF(COUNTIFS(Calculo!$F$170:$ES$170,4)=0,0,INDEX(Calculo!$F$286:$ES$286,1,_xlfn.MAXIFS(Calculo!$F$4:$ES$4,Calculo!$F$170:$ES$170,4)))+IF(COUNTIFS(Calculo!$F$170:$ES$170,4)=0,0,INDEX(Calculo!$F$290:$ES$290,1,_xlfn.MAXIFS(Calculo!$F$4:$ES$4,Calculo!$F$170:$ES$170,4)))))</f>
        <v>721087.95555957</v>
      </c>
      <c r="I12" s="48" t="n">
        <f aca="false">IF(cu_P=1,(IF(COUNTIFS(Calculo!$F$14:$ES$14,5)=0,0,INDEX(Calculo!$F$126:$ES$126,1,_xlfn.MAXIFS(Calculo!$F$4:$ES$4,Calculo!$F$14:$ES$14,5)))+IF(COUNTIFS(Calculo!$F$14:$ES$14,5)=0,0,INDEX(Calculo!$F$130:$ES$130,1,_xlfn.MAXIFS(Calculo!$F$4:$ES$4,Calculo!$F$14:$ES$14,5)))+IF(COUNTIFS(Calculo!$F$14:$ES$14,5)=0,0,INDEX(Calculo!$F$134:$ES$134,1,_xlfn.MAXIFS(Calculo!$F$4:$ES$4,Calculo!$F$14:$ES$14,5)))),(IF(COUNTIFS(Calculo!$F$170:$ES$170,5)=0,0,INDEX(Calculo!$F$282:$ES$282,1,_xlfn.MAXIFS(Calculo!$F$4:$ES$4,Calculo!$F$170:$ES$170,5)))+IF(COUNTIFS(Calculo!$F$170:$ES$170,5)=0,0,INDEX(Calculo!$F$286:$ES$286,1,_xlfn.MAXIFS(Calculo!$F$4:$ES$4,Calculo!$F$170:$ES$170,5)))+IF(COUNTIFS(Calculo!$F$170:$ES$170,5)=0,0,INDEX(Calculo!$F$290:$ES$290,1,_xlfn.MAXIFS(Calculo!$F$4:$ES$4,Calculo!$F$170:$ES$170,5)))))</f>
        <v>0</v>
      </c>
      <c r="J12" s="48" t="n">
        <f aca="false">IF(cu_P=1,(IF(COUNTIFS(Calculo!$F$14:$ES$14,6)=0,0,INDEX(Calculo!$F$126:$ES$126,1,_xlfn.MAXIFS(Calculo!$F$4:$ES$4,Calculo!$F$14:$ES$14,6)))+IF(COUNTIFS(Calculo!$F$14:$ES$14,6)=0,0,INDEX(Calculo!$F$130:$ES$130,1,_xlfn.MAXIFS(Calculo!$F$4:$ES$4,Calculo!$F$14:$ES$14,6)))+IF(COUNTIFS(Calculo!$F$14:$ES$14,6)=0,0,INDEX(Calculo!$F$134:$ES$134,1,_xlfn.MAXIFS(Calculo!$F$4:$ES$4,Calculo!$F$14:$ES$14,6)))),(IF(COUNTIFS(Calculo!$F$170:$ES$170,6)=0,0,INDEX(Calculo!$F$282:$ES$282,1,_xlfn.MAXIFS(Calculo!$F$4:$ES$4,Calculo!$F$170:$ES$170,6)))+IF(COUNTIFS(Calculo!$F$170:$ES$170,6)=0,0,INDEX(Calculo!$F$286:$ES$286,1,_xlfn.MAXIFS(Calculo!$F$4:$ES$4,Calculo!$F$170:$ES$170,6)))+IF(COUNTIFS(Calculo!$F$170:$ES$170,6)=0,0,INDEX(Calculo!$F$290:$ES$290,1,_xlfn.MAXIFS(Calculo!$F$4:$ES$4,Calculo!$F$170:$ES$170,6)))))</f>
        <v>0</v>
      </c>
      <c r="K12" s="48" t="n">
        <f aca="false">IF(cu_P=1,(IF(COUNTIFS(Calculo!$F$14:$ES$14,7)=0,0,INDEX(Calculo!$F$126:$ES$126,1,_xlfn.MAXIFS(Calculo!$F$4:$ES$4,Calculo!$F$14:$ES$14,7)))+IF(COUNTIFS(Calculo!$F$14:$ES$14,7)=0,0,INDEX(Calculo!$F$130:$ES$130,1,_xlfn.MAXIFS(Calculo!$F$4:$ES$4,Calculo!$F$14:$ES$14,7)))+IF(COUNTIFS(Calculo!$F$14:$ES$14,7)=0,0,INDEX(Calculo!$F$134:$ES$134,1,_xlfn.MAXIFS(Calculo!$F$4:$ES$4,Calculo!$F$14:$ES$14,7)))),(IF(COUNTIFS(Calculo!$F$170:$ES$170,7)=0,0,INDEX(Calculo!$F$282:$ES$282,1,_xlfn.MAXIFS(Calculo!$F$4:$ES$4,Calculo!$F$170:$ES$170,7)))+IF(COUNTIFS(Calculo!$F$170:$ES$170,7)=0,0,INDEX(Calculo!$F$286:$ES$286,1,_xlfn.MAXIFS(Calculo!$F$4:$ES$4,Calculo!$F$170:$ES$170,7)))+IF(COUNTIFS(Calculo!$F$170:$ES$170,7)=0,0,INDEX(Calculo!$F$290:$ES$290,1,_xlfn.MAXIFS(Calculo!$F$4:$ES$4,Calculo!$F$170:$ES$170,7)))))</f>
        <v>0</v>
      </c>
      <c r="L12" s="48" t="n">
        <f aca="false">IF(cu_P=1,(IF(COUNTIFS(Calculo!$F$14:$ES$14,8)=0,0,INDEX(Calculo!$F$126:$ES$126,1,_xlfn.MAXIFS(Calculo!$F$4:$ES$4,Calculo!$F$14:$ES$14,8)))+IF(COUNTIFS(Calculo!$F$14:$ES$14,8)=0,0,INDEX(Calculo!$F$130:$ES$130,1,_xlfn.MAXIFS(Calculo!$F$4:$ES$4,Calculo!$F$14:$ES$14,8)))+IF(COUNTIFS(Calculo!$F$14:$ES$14,8)=0,0,INDEX(Calculo!$F$134:$ES$134,1,_xlfn.MAXIFS(Calculo!$F$4:$ES$4,Calculo!$F$14:$ES$14,8)))),(IF(COUNTIFS(Calculo!$F$170:$ES$170,8)=0,0,INDEX(Calculo!$F$282:$ES$282,1,_xlfn.MAXIFS(Calculo!$F$4:$ES$4,Calculo!$F$170:$ES$170,8)))+IF(COUNTIFS(Calculo!$F$170:$ES$170,8)=0,0,INDEX(Calculo!$F$286:$ES$286,1,_xlfn.MAXIFS(Calculo!$F$4:$ES$4,Calculo!$F$170:$ES$170,8)))+IF(COUNTIFS(Calculo!$F$170:$ES$170,8)=0,0,INDEX(Calculo!$F$290:$ES$290,1,_xlfn.MAXIFS(Calculo!$F$4:$ES$4,Calculo!$F$170:$ES$170,8)))))</f>
        <v>0</v>
      </c>
      <c r="M12" s="48" t="n">
        <f aca="false">IF(cu_P=1,(IF(COUNTIFS(Calculo!$F$14:$ES$14,9)=0,0,INDEX(Calculo!$F$126:$ES$126,1,_xlfn.MAXIFS(Calculo!$F$4:$ES$4,Calculo!$F$14:$ES$14,9)))+IF(COUNTIFS(Calculo!$F$14:$ES$14,9)=0,0,INDEX(Calculo!$F$130:$ES$130,1,_xlfn.MAXIFS(Calculo!$F$4:$ES$4,Calculo!$F$14:$ES$14,9)))+IF(COUNTIFS(Calculo!$F$14:$ES$14,9)=0,0,INDEX(Calculo!$F$134:$ES$134,1,_xlfn.MAXIFS(Calculo!$F$4:$ES$4,Calculo!$F$14:$ES$14,9)))),(IF(COUNTIFS(Calculo!$F$170:$ES$170,9)=0,0,INDEX(Calculo!$F$282:$ES$282,1,_xlfn.MAXIFS(Calculo!$F$4:$ES$4,Calculo!$F$170:$ES$170,9)))+IF(COUNTIFS(Calculo!$F$170:$ES$170,9)=0,0,INDEX(Calculo!$F$286:$ES$286,1,_xlfn.MAXIFS(Calculo!$F$4:$ES$4,Calculo!$F$170:$ES$170,9)))+IF(COUNTIFS(Calculo!$F$170:$ES$170,9)=0,0,INDEX(Calculo!$F$290:$ES$290,1,_xlfn.MAXIFS(Calculo!$F$4:$ES$4,Calculo!$F$170:$ES$170,9)))))</f>
        <v>0</v>
      </c>
      <c r="N12" s="48" t="n">
        <f aca="false">IF(cu_P=1,(IF(COUNTIFS(Calculo!$F$14:$ES$14,10)=0,0,INDEX(Calculo!$F$126:$ES$126,1,_xlfn.MAXIFS(Calculo!$F$4:$ES$4,Calculo!$F$14:$ES$14,10)))+IF(COUNTIFS(Calculo!$F$14:$ES$14,10)=0,0,INDEX(Calculo!$F$130:$ES$130,1,_xlfn.MAXIFS(Calculo!$F$4:$ES$4,Calculo!$F$14:$ES$14,10)))+IF(COUNTIFS(Calculo!$F$14:$ES$14,10)=0,0,INDEX(Calculo!$F$134:$ES$134,1,_xlfn.MAXIFS(Calculo!$F$4:$ES$4,Calculo!$F$14:$ES$14,10)))),(IF(COUNTIFS(Calculo!$F$170:$ES$170,10)=0,0,INDEX(Calculo!$F$282:$ES$282,1,_xlfn.MAXIFS(Calculo!$F$4:$ES$4,Calculo!$F$170:$ES$170,10)))+IF(COUNTIFS(Calculo!$F$170:$ES$170,10)=0,0,INDEX(Calculo!$F$286:$ES$286,1,_xlfn.MAXIFS(Calculo!$F$4:$ES$4,Calculo!$F$170:$ES$170,10)))+IF(COUNTIFS(Calculo!$F$170:$ES$170,10)=0,0,INDEX(Calculo!$F$290:$ES$290,1,_xlfn.MAXIFS(Calculo!$F$4:$ES$4,Calculo!$F$170:$ES$170,10)))))</f>
        <v>0</v>
      </c>
    </row>
    <row r="13" customFormat="false" ht="15" hidden="false" customHeight="false" outlineLevel="0" collapsed="false">
      <c r="A13" s="11" t="s">
        <v>2637</v>
      </c>
      <c r="B13" s="15" t="s">
        <v>2638</v>
      </c>
      <c r="C13" s="11" t="s">
        <v>508</v>
      </c>
      <c r="D13" s="48" t="n">
        <f aca="false">IF(cu_P=1,(SUMIFS(Calculo!$F$124:$ES$124,Calculo!$F$16:$ES$16,1)+SUMIFS(Calculo!$F$128:$ES$128,Calculo!$F$16:$ES$16,1)+SUMIFS(Calculo!$F$132:$ES$132,Calculo!$F$16:$ES$16,1)+SUMIFS(Calculo!$F$140:$ES$140,Calculo!$F$16:$ES$16,1)),(SUMIFS(Calculo!$F$280:$ES$280,Calculo!$F$172:$ES$172,1)+SUMIFS(Calculo!$F$284:$ES$284,Calculo!$F$172:$ES$172,1)+SUMIFS(Calculo!$F$288:$ES$288,Calculo!$F$172:$ES$172,1)+SUMIFS(Calculo!$F$296:$ES$296,Calculo!$F$172:$ES$172,1)))</f>
        <v>0</v>
      </c>
      <c r="E13" s="48" t="n">
        <f aca="false">IF(cu_P=1,(SUMIFS(Calculo!$F$124:$ES$124,Calculo!$F$14:$ES$14,1)+SUMIFS(Calculo!$F$128:$ES$128,Calculo!$F$14:$ES$14,1)+SUMIFS(Calculo!$F$132:$ES$132,Calculo!$F$14:$ES$14,1)+SUMIFS(Calculo!$F$140:$ES$140,Calculo!$F$14:$ES$14,1)),(SUMIFS(Calculo!$F$280:$ES$280,Calculo!$F$170:$ES$170,1)+SUMIFS(Calculo!$F$284:$ES$284,Calculo!$F$170:$ES$170,1)+SUMIFS(Calculo!$F$288:$ES$288,Calculo!$F$170:$ES$170,1)+SUMIFS(Calculo!$F$296:$ES$296,Calculo!$F$170:$ES$170,1)))</f>
        <v>246456.302210023</v>
      </c>
      <c r="F13" s="48" t="n">
        <f aca="false">IF(cu_P=1,(SUMIFS(Calculo!$F$124:$ES$124,Calculo!$F$14:$ES$14,2)+SUMIFS(Calculo!$F$128:$ES$128,Calculo!$F$14:$ES$14,2)+SUMIFS(Calculo!$F$132:$ES$132,Calculo!$F$14:$ES$14,2)+SUMIFS(Calculo!$F$140:$ES$140,Calculo!$F$14:$ES$14,2)),(SUMIFS(Calculo!$F$280:$ES$280,Calculo!$F$170:$ES$170,2)+SUMIFS(Calculo!$F$284:$ES$284,Calculo!$F$170:$ES$170,2)+SUMIFS(Calculo!$F$288:$ES$288,Calculo!$F$170:$ES$170,2)+SUMIFS(Calculo!$F$296:$ES$296,Calculo!$F$170:$ES$170,2)))</f>
        <v>205703.867383138</v>
      </c>
      <c r="G13" s="48" t="n">
        <f aca="false">IF(cu_P=1,(SUMIFS(Calculo!$F$124:$ES$124,Calculo!$F$14:$ES$14,3)+SUMIFS(Calculo!$F$128:$ES$128,Calculo!$F$14:$ES$14,3)+SUMIFS(Calculo!$F$132:$ES$132,Calculo!$F$14:$ES$14,3)+SUMIFS(Calculo!$F$140:$ES$140,Calculo!$F$14:$ES$14,3)),(SUMIFS(Calculo!$F$280:$ES$280,Calculo!$F$170:$ES$170,3)+SUMIFS(Calculo!$F$284:$ES$284,Calculo!$F$170:$ES$170,3)+SUMIFS(Calculo!$F$288:$ES$288,Calculo!$F$170:$ES$170,3)+SUMIFS(Calculo!$F$296:$ES$296,Calculo!$F$170:$ES$170,3)))</f>
        <v>154014.520855607</v>
      </c>
      <c r="H13" s="48" t="n">
        <f aca="false">IF(cu_P=1,(SUMIFS(Calculo!$F$124:$ES$124,Calculo!$F$14:$ES$14,4)+SUMIFS(Calculo!$F$128:$ES$128,Calculo!$F$14:$ES$14,4)+SUMIFS(Calculo!$F$132:$ES$132,Calculo!$F$14:$ES$14,4)+SUMIFS(Calculo!$F$140:$ES$140,Calculo!$F$14:$ES$14,4)),(SUMIFS(Calculo!$F$280:$ES$280,Calculo!$F$170:$ES$170,4)+SUMIFS(Calculo!$F$284:$ES$284,Calculo!$F$170:$ES$170,4)+SUMIFS(Calculo!$F$288:$ES$288,Calculo!$F$170:$ES$170,4)+SUMIFS(Calculo!$F$296:$ES$296,Calculo!$F$170:$ES$170,4)))</f>
        <v>97476.3570876869</v>
      </c>
      <c r="I13" s="48" t="n">
        <f aca="false">IF(cu_P=1,(SUMIFS(Calculo!$F$124:$ES$124,Calculo!$F$14:$ES$14,5)+SUMIFS(Calculo!$F$128:$ES$128,Calculo!$F$14:$ES$14,5)+SUMIFS(Calculo!$F$132:$ES$132,Calculo!$F$14:$ES$14,5)+SUMIFS(Calculo!$F$140:$ES$140,Calculo!$F$14:$ES$14,5)),(SUMIFS(Calculo!$F$280:$ES$280,Calculo!$F$170:$ES$170,5)+SUMIFS(Calculo!$F$284:$ES$284,Calculo!$F$170:$ES$170,5)+SUMIFS(Calculo!$F$288:$ES$288,Calculo!$F$170:$ES$170,5)+SUMIFS(Calculo!$F$296:$ES$296,Calculo!$F$170:$ES$170,5)))</f>
        <v>35634.5235766846</v>
      </c>
      <c r="J13" s="48" t="n">
        <f aca="false">IF(cu_P=1,(SUMIFS(Calculo!$F$124:$ES$124,Calculo!$F$14:$ES$14,6)+SUMIFS(Calculo!$F$128:$ES$128,Calculo!$F$14:$ES$14,6)+SUMIFS(Calculo!$F$132:$ES$132,Calculo!$F$14:$ES$14,6)+SUMIFS(Calculo!$F$140:$ES$140,Calculo!$F$14:$ES$14,6)),(SUMIFS(Calculo!$F$280:$ES$280,Calculo!$F$170:$ES$170,6)+SUMIFS(Calculo!$F$284:$ES$284,Calculo!$F$170:$ES$170,6)+SUMIFS(Calculo!$F$288:$ES$288,Calculo!$F$170:$ES$170,6)+SUMIFS(Calculo!$F$296:$ES$296,Calculo!$F$170:$ES$170,6)))</f>
        <v>0</v>
      </c>
      <c r="K13" s="48" t="n">
        <f aca="false">IF(cu_P=1,(SUMIFS(Calculo!$F$124:$ES$124,Calculo!$F$14:$ES$14,7)+SUMIFS(Calculo!$F$128:$ES$128,Calculo!$F$14:$ES$14,7)+SUMIFS(Calculo!$F$132:$ES$132,Calculo!$F$14:$ES$14,7)+SUMIFS(Calculo!$F$140:$ES$140,Calculo!$F$14:$ES$14,7)),(SUMIFS(Calculo!$F$280:$ES$280,Calculo!$F$170:$ES$170,7)+SUMIFS(Calculo!$F$284:$ES$284,Calculo!$F$170:$ES$170,7)+SUMIFS(Calculo!$F$288:$ES$288,Calculo!$F$170:$ES$170,7)+SUMIFS(Calculo!$F$296:$ES$296,Calculo!$F$170:$ES$170,7)))</f>
        <v>0</v>
      </c>
      <c r="L13" s="48" t="n">
        <f aca="false">IF(cu_P=1,(SUMIFS(Calculo!$F$124:$ES$124,Calculo!$F$14:$ES$14,8)+SUMIFS(Calculo!$F$128:$ES$128,Calculo!$F$14:$ES$14,8)+SUMIFS(Calculo!$F$132:$ES$132,Calculo!$F$14:$ES$14,8)+SUMIFS(Calculo!$F$140:$ES$140,Calculo!$F$14:$ES$14,8)),(SUMIFS(Calculo!$F$280:$ES$280,Calculo!$F$170:$ES$170,8)+SUMIFS(Calculo!$F$284:$ES$284,Calculo!$F$170:$ES$170,8)+SUMIFS(Calculo!$F$288:$ES$288,Calculo!$F$170:$ES$170,8)+SUMIFS(Calculo!$F$296:$ES$296,Calculo!$F$170:$ES$170,8)))</f>
        <v>0</v>
      </c>
      <c r="M13" s="48" t="n">
        <f aca="false">IF(cu_P=1,(SUMIFS(Calculo!$F$124:$ES$124,Calculo!$F$14:$ES$14,9)+SUMIFS(Calculo!$F$128:$ES$128,Calculo!$F$14:$ES$14,9)+SUMIFS(Calculo!$F$132:$ES$132,Calculo!$F$14:$ES$14,9)+SUMIFS(Calculo!$F$140:$ES$140,Calculo!$F$14:$ES$14,9)),(SUMIFS(Calculo!$F$280:$ES$280,Calculo!$F$170:$ES$170,9)+SUMIFS(Calculo!$F$284:$ES$284,Calculo!$F$170:$ES$170,9)+SUMIFS(Calculo!$F$288:$ES$288,Calculo!$F$170:$ES$170,9)+SUMIFS(Calculo!$F$296:$ES$296,Calculo!$F$170:$ES$170,9)))</f>
        <v>0</v>
      </c>
      <c r="N13" s="48" t="n">
        <f aca="false">IF(cu_P=1,(SUMIFS(Calculo!$F$124:$ES$124,Calculo!$F$14:$ES$14,10)+SUMIFS(Calculo!$F$128:$ES$128,Calculo!$F$14:$ES$14,10)+SUMIFS(Calculo!$F$132:$ES$132,Calculo!$F$14:$ES$14,10)+SUMIFS(Calculo!$F$140:$ES$140,Calculo!$F$14:$ES$14,10)),(SUMIFS(Calculo!$F$280:$ES$280,Calculo!$F$170:$ES$170,10)+SUMIFS(Calculo!$F$284:$ES$284,Calculo!$F$170:$ES$170,10)+SUMIFS(Calculo!$F$288:$ES$288,Calculo!$F$170:$ES$170,10)+SUMIFS(Calculo!$F$296:$ES$296,Calculo!$F$170:$ES$170,10)))</f>
        <v>0</v>
      </c>
      <c r="O13" s="54" t="n">
        <f aca="false">SUM(D13:N13)</f>
        <v>739285.57111314</v>
      </c>
    </row>
    <row r="14" customFormat="false" ht="15" hidden="false" customHeight="false" outlineLevel="0" collapsed="false">
      <c r="A14" s="11" t="s">
        <v>2639</v>
      </c>
      <c r="B14" s="15" t="s">
        <v>433</v>
      </c>
      <c r="C14" s="11" t="s">
        <v>508</v>
      </c>
      <c r="D14" s="48" t="n">
        <f aca="false">IF(cu_P=1,SUMIFS(Calculo!$F$105:$ES$105,Calculo!$F$16:$ES$16,1)-(SUMIFS(Calculo!$F$124:$ES$124,Calculo!$F$16:$ES$16,1)+SUMIFS(Calculo!$F$128:$ES$128,Calculo!$F$16:$ES$16,1)+SUMIFS(Calculo!$F$132:$ES$132,Calculo!$F$16:$ES$16,1)+SUMIFS(Calculo!$F$140:$ES$140,Calculo!$F$16:$ES$16,1)),SUMIFS(Calculo!$F$261:$ES$261,Calculo!$F$172:$ES$172,1)-(SUMIFS(Calculo!$F$280:$ES$280,Calculo!$F$172:$ES$172,1)+SUMIFS(Calculo!$F$284:$ES$284,Calculo!$F$172:$ES$172,1)+SUMIFS(Calculo!$F$288:$ES$288,Calculo!$F$172:$ES$172,1)+SUMIFS(Calculo!$F$296:$ES$296,Calculo!$F$172:$ES$172,1)))</f>
        <v>0</v>
      </c>
      <c r="E14" s="48" t="n">
        <f aca="false">IF(cu_P=1,SUMIFS(Calculo!$F$105:$ES$105,Calculo!$F$14:$ES$14,1)-(SUMIFS(Calculo!$F$124:$ES$124,Calculo!$F$14:$ES$14,1)+SUMIFS(Calculo!$F$128:$ES$128,Calculo!$F$14:$ES$14,1)+SUMIFS(Calculo!$F$132:$ES$132,Calculo!$F$14:$ES$14,1)+SUMIFS(Calculo!$F$140:$ES$140,Calculo!$F$14:$ES$14,1)),SUMIFS(Calculo!$F$261:$ES$261,Calculo!$F$170:$ES$170,1)-(SUMIFS(Calculo!$F$280:$ES$280,Calculo!$F$170:$ES$170,1)+SUMIFS(Calculo!$F$284:$ES$284,Calculo!$F$170:$ES$170,1)+SUMIFS(Calculo!$F$288:$ES$288,Calculo!$F$170:$ES$170,1)+SUMIFS(Calculo!$F$296:$ES$296,Calculo!$F$170:$ES$170,1)))</f>
        <v>24645.6302210024</v>
      </c>
      <c r="F14" s="48" t="n">
        <f aca="false">IF(cu_P=1,SUMIFS(Calculo!$F$105:$ES$105,Calculo!$F$14:$ES$14,2)-(SUMIFS(Calculo!$F$124:$ES$124,Calculo!$F$14:$ES$14,2)+SUMIFS(Calculo!$F$128:$ES$128,Calculo!$F$14:$ES$14,2)+SUMIFS(Calculo!$F$132:$ES$132,Calculo!$F$14:$ES$14,2)+SUMIFS(Calculo!$F$140:$ES$140,Calculo!$F$14:$ES$14,2)),SUMIFS(Calculo!$F$261:$ES$261,Calculo!$F$170:$ES$170,2)-(SUMIFS(Calculo!$F$280:$ES$280,Calculo!$F$170:$ES$170,2)+SUMIFS(Calculo!$F$284:$ES$284,Calculo!$F$170:$ES$170,2)+SUMIFS(Calculo!$F$288:$ES$288,Calculo!$F$170:$ES$170,2)+SUMIFS(Calculo!$F$296:$ES$296,Calculo!$F$170:$ES$170,2)))</f>
        <v>20570.3867383139</v>
      </c>
      <c r="G14" s="48" t="n">
        <f aca="false">IF(cu_P=1,SUMIFS(Calculo!$F$105:$ES$105,Calculo!$F$14:$ES$14,3)-(SUMIFS(Calculo!$F$124:$ES$124,Calculo!$F$14:$ES$14,3)+SUMIFS(Calculo!$F$128:$ES$128,Calculo!$F$14:$ES$14,3)+SUMIFS(Calculo!$F$132:$ES$132,Calculo!$F$14:$ES$14,3)+SUMIFS(Calculo!$F$140:$ES$140,Calculo!$F$14:$ES$14,3)),SUMIFS(Calculo!$F$261:$ES$261,Calculo!$F$170:$ES$170,3)-(SUMIFS(Calculo!$F$280:$ES$280,Calculo!$F$170:$ES$170,3)+SUMIFS(Calculo!$F$284:$ES$284,Calculo!$F$170:$ES$170,3)+SUMIFS(Calculo!$F$288:$ES$288,Calculo!$F$170:$ES$170,3)+SUMIFS(Calculo!$F$296:$ES$296,Calculo!$F$170:$ES$170,3)))</f>
        <v>15401.4520855607</v>
      </c>
      <c r="H14" s="48" t="n">
        <f aca="false">IF(cu_P=1,SUMIFS(Calculo!$F$105:$ES$105,Calculo!$F$14:$ES$14,4)-(SUMIFS(Calculo!$F$124:$ES$124,Calculo!$F$14:$ES$14,4)+SUMIFS(Calculo!$F$128:$ES$128,Calculo!$F$14:$ES$14,4)+SUMIFS(Calculo!$F$132:$ES$132,Calculo!$F$14:$ES$14,4)+SUMIFS(Calculo!$F$140:$ES$140,Calculo!$F$14:$ES$14,4)),SUMIFS(Calculo!$F$261:$ES$261,Calculo!$F$170:$ES$170,4)-(SUMIFS(Calculo!$F$280:$ES$280,Calculo!$F$170:$ES$170,4)+SUMIFS(Calculo!$F$284:$ES$284,Calculo!$F$170:$ES$170,4)+SUMIFS(Calculo!$F$288:$ES$288,Calculo!$F$170:$ES$170,4)+SUMIFS(Calculo!$F$296:$ES$296,Calculo!$F$170:$ES$170,4)))</f>
        <v>9747.63570876871</v>
      </c>
      <c r="I14" s="48" t="n">
        <f aca="false">IF(cu_P=1,SUMIFS(Calculo!$F$105:$ES$105,Calculo!$F$14:$ES$14,5)-(SUMIFS(Calculo!$F$124:$ES$124,Calculo!$F$14:$ES$14,5)+SUMIFS(Calculo!$F$128:$ES$128,Calculo!$F$14:$ES$14,5)+SUMIFS(Calculo!$F$132:$ES$132,Calculo!$F$14:$ES$14,5)+SUMIFS(Calculo!$F$140:$ES$140,Calculo!$F$14:$ES$14,5)),SUMIFS(Calculo!$F$261:$ES$261,Calculo!$F$170:$ES$170,5)-(SUMIFS(Calculo!$F$280:$ES$280,Calculo!$F$170:$ES$170,5)+SUMIFS(Calculo!$F$284:$ES$284,Calculo!$F$170:$ES$170,5)+SUMIFS(Calculo!$F$288:$ES$288,Calculo!$F$170:$ES$170,5)+SUMIFS(Calculo!$F$296:$ES$296,Calculo!$F$170:$ES$170,5)))</f>
        <v>3563.45235766847</v>
      </c>
      <c r="J14" s="48" t="n">
        <f aca="false">IF(cu_P=1,SUMIFS(Calculo!$F$105:$ES$105,Calculo!$F$14:$ES$14,6)-(SUMIFS(Calculo!$F$124:$ES$124,Calculo!$F$14:$ES$14,6)+SUMIFS(Calculo!$F$128:$ES$128,Calculo!$F$14:$ES$14,6)+SUMIFS(Calculo!$F$132:$ES$132,Calculo!$F$14:$ES$14,6)+SUMIFS(Calculo!$F$140:$ES$140,Calculo!$F$14:$ES$14,6)),SUMIFS(Calculo!$F$261:$ES$261,Calculo!$F$170:$ES$170,6)-(SUMIFS(Calculo!$F$280:$ES$280,Calculo!$F$170:$ES$170,6)+SUMIFS(Calculo!$F$284:$ES$284,Calculo!$F$170:$ES$170,6)+SUMIFS(Calculo!$F$288:$ES$288,Calculo!$F$170:$ES$170,6)+SUMIFS(Calculo!$F$296:$ES$296,Calculo!$F$170:$ES$170,6)))</f>
        <v>0</v>
      </c>
      <c r="K14" s="48" t="n">
        <f aca="false">IF(cu_P=1,SUMIFS(Calculo!$F$105:$ES$105,Calculo!$F$14:$ES$14,7)-(SUMIFS(Calculo!$F$124:$ES$124,Calculo!$F$14:$ES$14,7)+SUMIFS(Calculo!$F$128:$ES$128,Calculo!$F$14:$ES$14,7)+SUMIFS(Calculo!$F$132:$ES$132,Calculo!$F$14:$ES$14,7)+SUMIFS(Calculo!$F$140:$ES$140,Calculo!$F$14:$ES$14,7)),SUMIFS(Calculo!$F$261:$ES$261,Calculo!$F$170:$ES$170,7)-(SUMIFS(Calculo!$F$280:$ES$280,Calculo!$F$170:$ES$170,7)+SUMIFS(Calculo!$F$284:$ES$284,Calculo!$F$170:$ES$170,7)+SUMIFS(Calculo!$F$288:$ES$288,Calculo!$F$170:$ES$170,7)+SUMIFS(Calculo!$F$296:$ES$296,Calculo!$F$170:$ES$170,7)))</f>
        <v>0</v>
      </c>
      <c r="L14" s="48" t="n">
        <f aca="false">IF(cu_P=1,SUMIFS(Calculo!$F$105:$ES$105,Calculo!$F$14:$ES$14,8)-(SUMIFS(Calculo!$F$124:$ES$124,Calculo!$F$14:$ES$14,8)+SUMIFS(Calculo!$F$128:$ES$128,Calculo!$F$14:$ES$14,8)+SUMIFS(Calculo!$F$132:$ES$132,Calculo!$F$14:$ES$14,8)+SUMIFS(Calculo!$F$140:$ES$140,Calculo!$F$14:$ES$14,8)),SUMIFS(Calculo!$F$261:$ES$261,Calculo!$F$170:$ES$170,8)-(SUMIFS(Calculo!$F$280:$ES$280,Calculo!$F$170:$ES$170,8)+SUMIFS(Calculo!$F$284:$ES$284,Calculo!$F$170:$ES$170,8)+SUMIFS(Calculo!$F$288:$ES$288,Calculo!$F$170:$ES$170,8)+SUMIFS(Calculo!$F$296:$ES$296,Calculo!$F$170:$ES$170,8)))</f>
        <v>0</v>
      </c>
      <c r="M14" s="48" t="n">
        <f aca="false">IF(cu_P=1,SUMIFS(Calculo!$F$105:$ES$105,Calculo!$F$14:$ES$14,9)-(SUMIFS(Calculo!$F$124:$ES$124,Calculo!$F$14:$ES$14,9)+SUMIFS(Calculo!$F$128:$ES$128,Calculo!$F$14:$ES$14,9)+SUMIFS(Calculo!$F$132:$ES$132,Calculo!$F$14:$ES$14,9)+SUMIFS(Calculo!$F$140:$ES$140,Calculo!$F$14:$ES$14,9)),SUMIFS(Calculo!$F$261:$ES$261,Calculo!$F$170:$ES$170,9)-(SUMIFS(Calculo!$F$280:$ES$280,Calculo!$F$170:$ES$170,9)+SUMIFS(Calculo!$F$284:$ES$284,Calculo!$F$170:$ES$170,9)+SUMIFS(Calculo!$F$288:$ES$288,Calculo!$F$170:$ES$170,9)+SUMIFS(Calculo!$F$296:$ES$296,Calculo!$F$170:$ES$170,9)))</f>
        <v>0</v>
      </c>
      <c r="N14" s="48" t="n">
        <f aca="false">IF(cu_P=1,SUMIFS(Calculo!$F$105:$ES$105,Calculo!$F$14:$ES$14,10)-(SUMIFS(Calculo!$F$124:$ES$124,Calculo!$F$14:$ES$14,10)+SUMIFS(Calculo!$F$128:$ES$128,Calculo!$F$14:$ES$14,10)+SUMIFS(Calculo!$F$132:$ES$132,Calculo!$F$14:$ES$14,10)+SUMIFS(Calculo!$F$140:$ES$140,Calculo!$F$14:$ES$14,10)),SUMIFS(Calculo!$F$261:$ES$261,Calculo!$F$170:$ES$170,10)-(SUMIFS(Calculo!$F$280:$ES$280,Calculo!$F$170:$ES$170,10)+SUMIFS(Calculo!$F$284:$ES$284,Calculo!$F$170:$ES$170,10)+SUMIFS(Calculo!$F$288:$ES$288,Calculo!$F$170:$ES$170,10)+SUMIFS(Calculo!$F$296:$ES$296,Calculo!$F$170:$ES$170,10)))</f>
        <v>0</v>
      </c>
      <c r="O14" s="54" t="n">
        <f aca="false">SUM(D14:N14)</f>
        <v>73928.557111314</v>
      </c>
    </row>
    <row r="15" customFormat="false" ht="15" hidden="false" customHeight="false" outlineLevel="0" collapsed="false">
      <c r="A15" s="11" t="s">
        <v>2640</v>
      </c>
      <c r="B15" s="67" t="s">
        <v>2641</v>
      </c>
      <c r="C15" s="11" t="s">
        <v>508</v>
      </c>
      <c r="D15" s="54" t="n">
        <f aca="false">IF(cu_P=1,SUMIFS(Calculo!$F$105:$ES$105,Calculo!$F$16:$ES$16,1),SUMIFS(Calculo!$F$261:$ES$261,Calculo!$F$172:$ES$172,1))</f>
        <v>0</v>
      </c>
      <c r="E15" s="54" t="n">
        <f aca="false">IF(cu_P=1,SUMIFS(Calculo!$F$105:$ES$105,Calculo!$F$14:$ES$14,1),SUMIFS(Calculo!$F$261:$ES$261,Calculo!$F$170:$ES$170,1))</f>
        <v>271101.932431026</v>
      </c>
      <c r="F15" s="54" t="n">
        <f aca="false">IF(cu_P=1,SUMIFS(Calculo!$F$105:$ES$105,Calculo!$F$14:$ES$14,2),SUMIFS(Calculo!$F$261:$ES$261,Calculo!$F$170:$ES$170,2))</f>
        <v>226274.254121452</v>
      </c>
      <c r="G15" s="54" t="n">
        <f aca="false">IF(cu_P=1,SUMIFS(Calculo!$F$105:$ES$105,Calculo!$F$14:$ES$14,3),SUMIFS(Calculo!$F$261:$ES$261,Calculo!$F$170:$ES$170,3))</f>
        <v>169415.972941167</v>
      </c>
      <c r="H15" s="54" t="n">
        <f aca="false">IF(cu_P=1,SUMIFS(Calculo!$F$105:$ES$105,Calculo!$F$14:$ES$14,4),SUMIFS(Calculo!$F$261:$ES$261,Calculo!$F$170:$ES$170,4))</f>
        <v>107223.992796456</v>
      </c>
      <c r="I15" s="54" t="n">
        <f aca="false">IF(cu_P=1,SUMIFS(Calculo!$F$105:$ES$105,Calculo!$F$14:$ES$14,5),SUMIFS(Calculo!$F$261:$ES$261,Calculo!$F$170:$ES$170,5))</f>
        <v>39197.9759343531</v>
      </c>
      <c r="J15" s="54" t="n">
        <f aca="false">IF(cu_P=1,SUMIFS(Calculo!$F$105:$ES$105,Calculo!$F$14:$ES$14,6),SUMIFS(Calculo!$F$261:$ES$261,Calculo!$F$170:$ES$170,6))</f>
        <v>0</v>
      </c>
      <c r="K15" s="54" t="n">
        <f aca="false">IF(cu_P=1,SUMIFS(Calculo!$F$105:$ES$105,Calculo!$F$14:$ES$14,7),SUMIFS(Calculo!$F$261:$ES$261,Calculo!$F$170:$ES$170,7))</f>
        <v>0</v>
      </c>
      <c r="L15" s="54" t="n">
        <f aca="false">IF(cu_P=1,SUMIFS(Calculo!$F$105:$ES$105,Calculo!$F$14:$ES$14,8),SUMIFS(Calculo!$F$261:$ES$261,Calculo!$F$170:$ES$170,8))</f>
        <v>0</v>
      </c>
      <c r="M15" s="54" t="n">
        <f aca="false">IF(cu_P=1,SUMIFS(Calculo!$F$105:$ES$105,Calculo!$F$14:$ES$14,9),SUMIFS(Calculo!$F$261:$ES$261,Calculo!$F$170:$ES$170,9))</f>
        <v>0</v>
      </c>
      <c r="N15" s="54" t="n">
        <f aca="false">IF(cu_P=1,SUMIFS(Calculo!$F$105:$ES$105,Calculo!$F$14:$ES$14,10),SUMIFS(Calculo!$F$261:$ES$261,Calculo!$F$170:$ES$170,10))</f>
        <v>0</v>
      </c>
      <c r="O15" s="54" t="n">
        <f aca="false">SUM(D15:N15)</f>
        <v>813214.128224454</v>
      </c>
    </row>
    <row r="16" customFormat="false" ht="15" hidden="false" customHeight="false" outlineLevel="0" collapsed="false">
      <c r="A16" s="11" t="s">
        <v>2642</v>
      </c>
      <c r="B16" s="67" t="s">
        <v>2643</v>
      </c>
      <c r="C16" s="11" t="s">
        <v>508</v>
      </c>
      <c r="D16" s="54" t="n">
        <f aca="false">IFERROR(IF(COUNT(D11,D15)=0,"",N(D11)+N(D15)),"")</f>
        <v>0</v>
      </c>
      <c r="E16" s="54" t="n">
        <f aca="false">IFERROR(IF(COUNT(E11,E15)=0,"",N(E11)+N(E15)),"")</f>
        <v>528628.284789129</v>
      </c>
      <c r="F16" s="54" t="n">
        <f aca="false">IFERROR(IF(COUNT(F11,F15)=0,"",N(F11)+N(F15)),"")</f>
        <v>777292.865874567</v>
      </c>
      <c r="G16" s="54" t="n">
        <f aca="false">IFERROR(IF(COUNT(G11,G15)=0,"",N(G11)+N(G15)),"")</f>
        <v>772123.931221814</v>
      </c>
      <c r="H16" s="54" t="n">
        <f aca="false">IFERROR(IF(COUNT(H11,H15)=0,"",N(H11)+N(H15)),"")</f>
        <v>766470.114845022</v>
      </c>
      <c r="I16" s="54" t="n">
        <f aca="false">IFERROR(IF(COUNT(I11,I15)=0,"",N(I11)+N(I15)),"")</f>
        <v>760285.931493923</v>
      </c>
      <c r="J16" s="54" t="n">
        <f aca="false">IFERROR(IF(COUNT(J11,J15)=0,"",N(J11)+N(J15)),"")</f>
        <v>0</v>
      </c>
      <c r="K16" s="54" t="n">
        <f aca="false">IFERROR(IF(COUNT(K11,K15)=0,"",N(K11)+N(K15)),"")</f>
        <v>0</v>
      </c>
      <c r="L16" s="54" t="n">
        <f aca="false">IFERROR(IF(COUNT(L11,L15)=0,"",N(L11)+N(L15)),"")</f>
        <v>0</v>
      </c>
      <c r="M16" s="54" t="n">
        <f aca="false">IFERROR(IF(COUNT(M11,M15)=0,"",N(M11)+N(M15)),"")</f>
        <v>0</v>
      </c>
      <c r="N16" s="54" t="n">
        <f aca="false">IFERROR(IF(COUNT(N11,N15)=0,"",N(N11)+N(N15)),"")</f>
        <v>0</v>
      </c>
      <c r="O16" s="54" t="n">
        <f aca="false">SUM(D16:N16)</f>
        <v>3604801.12822446</v>
      </c>
    </row>
    <row r="17" customFormat="false" ht="15" hidden="false" customHeight="false" outlineLevel="0" collapsed="false">
      <c r="A17" s="13"/>
      <c r="B17" s="100" t="s">
        <v>2644</v>
      </c>
      <c r="C17" s="13"/>
      <c r="D17" s="13"/>
      <c r="E17" s="13"/>
      <c r="F17" s="13"/>
      <c r="G17" s="13"/>
      <c r="H17" s="13"/>
      <c r="I17" s="13"/>
      <c r="J17" s="13"/>
      <c r="K17" s="13"/>
      <c r="L17" s="13"/>
      <c r="M17" s="13"/>
      <c r="N17" s="13"/>
      <c r="O17" s="13"/>
    </row>
    <row r="18" customFormat="false" ht="15" hidden="false" customHeight="false" outlineLevel="0" collapsed="false">
      <c r="A18" s="11" t="s">
        <v>2645</v>
      </c>
      <c r="B18" s="15" t="s">
        <v>2646</v>
      </c>
      <c r="C18" s="11" t="s">
        <v>508</v>
      </c>
      <c r="D18" s="48" t="n">
        <f aca="false">IF(cu_P=1,SUMIFS(Calculo!$F$143:$ES$143,Calculo!$F$16:$ES$16,1),SUMIFS(Calculo!$F$299:$ES$299,Calculo!$F$172:$ES$172,1))</f>
        <v>0</v>
      </c>
      <c r="E18" s="48" t="n">
        <f aca="false">IF(cu_P=1,SUMIFS(Calculo!$F$143:$ES$143,Calculo!$F$14:$ES$14,1),SUMIFS(Calculo!$F$299:$ES$299,Calculo!$F$170:$ES$170,1))</f>
        <v>0</v>
      </c>
      <c r="F18" s="48" t="n">
        <f aca="false">IF(cu_P=1,SUMIFS(Calculo!$F$143:$ES$143,Calculo!$F$14:$ES$14,2),SUMIFS(Calculo!$F$299:$ES$299,Calculo!$F$170:$ES$170,2))</f>
        <v>0</v>
      </c>
      <c r="G18" s="48" t="n">
        <f aca="false">IF(cu_P=1,SUMIFS(Calculo!$F$143:$ES$143,Calculo!$F$14:$ES$14,3),SUMIFS(Calculo!$F$299:$ES$299,Calculo!$F$170:$ES$170,3))</f>
        <v>0</v>
      </c>
      <c r="H18" s="48" t="n">
        <f aca="false">IF(cu_P=1,SUMIFS(Calculo!$F$143:$ES$143,Calculo!$F$14:$ES$14,4),SUMIFS(Calculo!$F$299:$ES$299,Calculo!$F$170:$ES$170,4))</f>
        <v>0</v>
      </c>
      <c r="I18" s="48" t="n">
        <f aca="false">IF(cu_P=1,SUMIFS(Calculo!$F$143:$ES$143,Calculo!$F$14:$ES$14,5),SUMIFS(Calculo!$F$299:$ES$299,Calculo!$F$170:$ES$170,5))</f>
        <v>0</v>
      </c>
      <c r="J18" s="48" t="n">
        <f aca="false">IF(cu_P=1,SUMIFS(Calculo!$F$143:$ES$143,Calculo!$F$14:$ES$14,6),SUMIFS(Calculo!$F$299:$ES$299,Calculo!$F$170:$ES$170,6))</f>
        <v>0</v>
      </c>
      <c r="K18" s="48" t="n">
        <f aca="false">IF(cu_P=1,SUMIFS(Calculo!$F$143:$ES$143,Calculo!$F$14:$ES$14,7),SUMIFS(Calculo!$F$299:$ES$299,Calculo!$F$170:$ES$170,7))</f>
        <v>0</v>
      </c>
      <c r="L18" s="48" t="n">
        <f aca="false">IF(cu_P=1,SUMIFS(Calculo!$F$143:$ES$143,Calculo!$F$14:$ES$14,8),SUMIFS(Calculo!$F$299:$ES$299,Calculo!$F$170:$ES$170,8))</f>
        <v>0</v>
      </c>
      <c r="M18" s="48" t="n">
        <f aca="false">IF(cu_P=1,SUMIFS(Calculo!$F$143:$ES$143,Calculo!$F$14:$ES$14,9),SUMIFS(Calculo!$F$299:$ES$299,Calculo!$F$170:$ES$170,9))</f>
        <v>0</v>
      </c>
      <c r="N18" s="48" t="n">
        <f aca="false">IF(cu_P=1,SUMIFS(Calculo!$F$143:$ES$143,Calculo!$F$14:$ES$14,10),SUMIFS(Calculo!$F$299:$ES$299,Calculo!$F$170:$ES$170,10))</f>
        <v>0</v>
      </c>
      <c r="O18" s="54" t="n">
        <f aca="false">SUM(D18:N18)</f>
        <v>0</v>
      </c>
    </row>
    <row r="19" customFormat="false" ht="15" hidden="false" customHeight="false" outlineLevel="0" collapsed="false">
      <c r="A19" s="11" t="s">
        <v>2647</v>
      </c>
      <c r="B19" s="15" t="s">
        <v>2648</v>
      </c>
      <c r="C19" s="11" t="s">
        <v>508</v>
      </c>
      <c r="D19" s="48" t="n">
        <f aca="false">IF(cu_P=1,SUMIFS(Calculo!$F$144:$ES$144,Calculo!$F$16:$ES$16,1),SUMIFS(Calculo!$F$300:$ES$300,Calculo!$F$172:$ES$172,1))</f>
        <v>0</v>
      </c>
      <c r="E19" s="48" t="n">
        <f aca="false">IF(cu_P=1,SUMIFS(Calculo!$F$144:$ES$144,Calculo!$F$14:$ES$14,1),SUMIFS(Calculo!$F$300:$ES$300,Calculo!$F$170:$ES$170,1))</f>
        <v>0</v>
      </c>
      <c r="F19" s="48" t="n">
        <f aca="false">IF(cu_P=1,SUMIFS(Calculo!$F$144:$ES$144,Calculo!$F$14:$ES$14,2),SUMIFS(Calculo!$F$300:$ES$300,Calculo!$F$170:$ES$170,2))</f>
        <v>0</v>
      </c>
      <c r="G19" s="48" t="n">
        <f aca="false">IF(cu_P=1,SUMIFS(Calculo!$F$144:$ES$144,Calculo!$F$14:$ES$14,3),SUMIFS(Calculo!$F$300:$ES$300,Calculo!$F$170:$ES$170,3))</f>
        <v>0</v>
      </c>
      <c r="H19" s="48" t="n">
        <f aca="false">IF(cu_P=1,SUMIFS(Calculo!$F$144:$ES$144,Calculo!$F$14:$ES$14,4),SUMIFS(Calculo!$F$300:$ES$300,Calculo!$F$170:$ES$170,4))</f>
        <v>0</v>
      </c>
      <c r="I19" s="48" t="n">
        <f aca="false">IF(cu_P=1,SUMIFS(Calculo!$F$144:$ES$144,Calculo!$F$14:$ES$14,5),SUMIFS(Calculo!$F$300:$ES$300,Calculo!$F$170:$ES$170,5))</f>
        <v>0</v>
      </c>
      <c r="J19" s="48" t="n">
        <f aca="false">IF(cu_P=1,SUMIFS(Calculo!$F$144:$ES$144,Calculo!$F$14:$ES$14,6),SUMIFS(Calculo!$F$300:$ES$300,Calculo!$F$170:$ES$170,6))</f>
        <v>0</v>
      </c>
      <c r="K19" s="48" t="n">
        <f aca="false">IF(cu_P=1,SUMIFS(Calculo!$F$144:$ES$144,Calculo!$F$14:$ES$14,7),SUMIFS(Calculo!$F$300:$ES$300,Calculo!$F$170:$ES$170,7))</f>
        <v>0</v>
      </c>
      <c r="L19" s="48" t="n">
        <f aca="false">IF(cu_P=1,SUMIFS(Calculo!$F$144:$ES$144,Calculo!$F$14:$ES$14,8),SUMIFS(Calculo!$F$300:$ES$300,Calculo!$F$170:$ES$170,8))</f>
        <v>0</v>
      </c>
      <c r="M19" s="48" t="n">
        <f aca="false">IF(cu_P=1,SUMIFS(Calculo!$F$144:$ES$144,Calculo!$F$14:$ES$14,9),SUMIFS(Calculo!$F$300:$ES$300,Calculo!$F$170:$ES$170,9))</f>
        <v>0</v>
      </c>
      <c r="N19" s="48" t="n">
        <f aca="false">IF(cu_P=1,SUMIFS(Calculo!$F$144:$ES$144,Calculo!$F$14:$ES$14,10),SUMIFS(Calculo!$F$300:$ES$300,Calculo!$F$170:$ES$170,10))</f>
        <v>0</v>
      </c>
      <c r="O19" s="54" t="n">
        <f aca="false">SUM(D19:N19)</f>
        <v>0</v>
      </c>
    </row>
    <row r="20" customFormat="false" ht="15" hidden="false" customHeight="false" outlineLevel="0" collapsed="false">
      <c r="A20" s="11" t="s">
        <v>2649</v>
      </c>
      <c r="B20" s="15" t="s">
        <v>2650</v>
      </c>
      <c r="C20" s="11" t="s">
        <v>508</v>
      </c>
      <c r="D20" s="48" t="n">
        <f aca="false">IF(cu_P=1,IF(SUM(Calculo!$F$16:$ES$16)=0,0,INDEX(Calculo!$F$145:$ES$145,1,SUM(Calculo!$F$16:$ES$16))),IF(SUM(Calculo!$F$172:$ES$172)=0,0,INDEX(Calculo!$F$301:$ES$301,1,SUM(Calculo!$F$172:$ES$172))))</f>
        <v>0</v>
      </c>
      <c r="E20" s="48" t="n">
        <f aca="false">IF(cu_P=1,IF(COUNTIFS(Calculo!$F$14:$ES$14,1)=0,0,INDEX(Calculo!$F$145:$ES$145,1,_xlfn.MAXIFS(Calculo!$F$4:$ES$4,Calculo!$F$14:$ES$14,1))),IF(COUNTIFS(Calculo!$F$170:$ES$170,1)=0,0,INDEX(Calculo!$F$301:$ES$301,1,_xlfn.MAXIFS(Calculo!$F$4:$ES$4,Calculo!$F$170:$ES$170,1))))</f>
        <v>0</v>
      </c>
      <c r="F20" s="48" t="n">
        <f aca="false">IF(cu_P=1,IF(COUNTIFS(Calculo!$F$14:$ES$14,2)=0,0,INDEX(Calculo!$F$145:$ES$145,1,_xlfn.MAXIFS(Calculo!$F$4:$ES$4,Calculo!$F$14:$ES$14,2))),IF(COUNTIFS(Calculo!$F$170:$ES$170,2)=0,0,INDEX(Calculo!$F$301:$ES$301,1,_xlfn.MAXIFS(Calculo!$F$4:$ES$4,Calculo!$F$170:$ES$170,2))))</f>
        <v>0</v>
      </c>
      <c r="G20" s="48" t="n">
        <f aca="false">IF(cu_P=1,IF(COUNTIFS(Calculo!$F$14:$ES$14,3)=0,0,INDEX(Calculo!$F$145:$ES$145,1,_xlfn.MAXIFS(Calculo!$F$4:$ES$4,Calculo!$F$14:$ES$14,3))),IF(COUNTIFS(Calculo!$F$170:$ES$170,3)=0,0,INDEX(Calculo!$F$301:$ES$301,1,_xlfn.MAXIFS(Calculo!$F$4:$ES$4,Calculo!$F$170:$ES$170,3))))</f>
        <v>0</v>
      </c>
      <c r="H20" s="48" t="n">
        <f aca="false">IF(cu_P=1,IF(COUNTIFS(Calculo!$F$14:$ES$14,4)=0,0,INDEX(Calculo!$F$145:$ES$145,1,_xlfn.MAXIFS(Calculo!$F$4:$ES$4,Calculo!$F$14:$ES$14,4))),IF(COUNTIFS(Calculo!$F$170:$ES$170,4)=0,0,INDEX(Calculo!$F$301:$ES$301,1,_xlfn.MAXIFS(Calculo!$F$4:$ES$4,Calculo!$F$170:$ES$170,4))))</f>
        <v>0</v>
      </c>
      <c r="I20" s="48" t="n">
        <f aca="false">IF(cu_P=1,IF(COUNTIFS(Calculo!$F$14:$ES$14,5)=0,0,INDEX(Calculo!$F$145:$ES$145,1,_xlfn.MAXIFS(Calculo!$F$4:$ES$4,Calculo!$F$14:$ES$14,5))),IF(COUNTIFS(Calculo!$F$170:$ES$170,5)=0,0,INDEX(Calculo!$F$301:$ES$301,1,_xlfn.MAXIFS(Calculo!$F$4:$ES$4,Calculo!$F$170:$ES$170,5))))</f>
        <v>0</v>
      </c>
      <c r="J20" s="48" t="n">
        <f aca="false">IF(cu_P=1,IF(COUNTIFS(Calculo!$F$14:$ES$14,6)=0,0,INDEX(Calculo!$F$145:$ES$145,1,_xlfn.MAXIFS(Calculo!$F$4:$ES$4,Calculo!$F$14:$ES$14,6))),IF(COUNTIFS(Calculo!$F$170:$ES$170,6)=0,0,INDEX(Calculo!$F$301:$ES$301,1,_xlfn.MAXIFS(Calculo!$F$4:$ES$4,Calculo!$F$170:$ES$170,6))))</f>
        <v>0</v>
      </c>
      <c r="K20" s="48" t="n">
        <f aca="false">IF(cu_P=1,IF(COUNTIFS(Calculo!$F$14:$ES$14,7)=0,0,INDEX(Calculo!$F$145:$ES$145,1,_xlfn.MAXIFS(Calculo!$F$4:$ES$4,Calculo!$F$14:$ES$14,7))),IF(COUNTIFS(Calculo!$F$170:$ES$170,7)=0,0,INDEX(Calculo!$F$301:$ES$301,1,_xlfn.MAXIFS(Calculo!$F$4:$ES$4,Calculo!$F$170:$ES$170,7))))</f>
        <v>0</v>
      </c>
      <c r="L20" s="48" t="n">
        <f aca="false">IF(cu_P=1,IF(COUNTIFS(Calculo!$F$14:$ES$14,8)=0,0,INDEX(Calculo!$F$145:$ES$145,1,_xlfn.MAXIFS(Calculo!$F$4:$ES$4,Calculo!$F$14:$ES$14,8))),IF(COUNTIFS(Calculo!$F$170:$ES$170,8)=0,0,INDEX(Calculo!$F$301:$ES$301,1,_xlfn.MAXIFS(Calculo!$F$4:$ES$4,Calculo!$F$170:$ES$170,8))))</f>
        <v>0</v>
      </c>
      <c r="M20" s="48" t="n">
        <f aca="false">IF(cu_P=1,IF(COUNTIFS(Calculo!$F$14:$ES$14,9)=0,0,INDEX(Calculo!$F$145:$ES$145,1,_xlfn.MAXIFS(Calculo!$F$4:$ES$4,Calculo!$F$14:$ES$14,9))),IF(COUNTIFS(Calculo!$F$170:$ES$170,9)=0,0,INDEX(Calculo!$F$301:$ES$301,1,_xlfn.MAXIFS(Calculo!$F$4:$ES$4,Calculo!$F$170:$ES$170,9))))</f>
        <v>0</v>
      </c>
      <c r="N20" s="48" t="n">
        <f aca="false">IF(cu_P=1,IF(COUNTIFS(Calculo!$F$14:$ES$14,10)=0,0,INDEX(Calculo!$F$145:$ES$145,1,_xlfn.MAXIFS(Calculo!$F$4:$ES$4,Calculo!$F$14:$ES$14,10))),IF(COUNTIFS(Calculo!$F$170:$ES$170,10)=0,0,INDEX(Calculo!$F$301:$ES$301,1,_xlfn.MAXIFS(Calculo!$F$4:$ES$4,Calculo!$F$170:$ES$170,10))))</f>
        <v>0</v>
      </c>
    </row>
    <row r="21" customFormat="false" ht="15" hidden="false" customHeight="false" outlineLevel="0" collapsed="false">
      <c r="A21" s="13"/>
      <c r="B21" s="100" t="s">
        <v>2651</v>
      </c>
      <c r="C21" s="13"/>
      <c r="D21" s="13"/>
      <c r="E21" s="13"/>
      <c r="F21" s="13"/>
      <c r="G21" s="13"/>
      <c r="H21" s="13"/>
      <c r="I21" s="13"/>
      <c r="J21" s="13"/>
      <c r="K21" s="13"/>
      <c r="L21" s="13"/>
      <c r="M21" s="13"/>
      <c r="N21" s="13"/>
      <c r="O21" s="13"/>
    </row>
    <row r="22" customFormat="false" ht="15" hidden="false" customHeight="false" outlineLevel="0" collapsed="false">
      <c r="A22" s="11" t="s">
        <v>2652</v>
      </c>
      <c r="B22" s="15" t="s">
        <v>1211</v>
      </c>
      <c r="C22" s="11" t="s">
        <v>508</v>
      </c>
      <c r="D22" s="48" t="n">
        <f aca="false">IF(cu_P=1,SUMIFS(Calculo!$F$123:$ES$123,Calculo!$F$16:$ES$16,1),SUMIFS(Calculo!$F$279:$ES$279,Calculo!$F$172:$ES$172,1))</f>
        <v>0</v>
      </c>
      <c r="E22" s="48" t="n">
        <f aca="false">IF(cu_P=1,SUMIFS(Calculo!$F$123:$ES$123,Calculo!$F$14:$ES$14,1),SUMIFS(Calculo!$F$279:$ES$279,Calculo!$F$170:$ES$170,1))</f>
        <v>2791587</v>
      </c>
      <c r="F22" s="48" t="n">
        <f aca="false">IF(cu_P=1,SUMIFS(Calculo!$F$123:$ES$123,Calculo!$F$14:$ES$14,2),SUMIFS(Calculo!$F$279:$ES$279,Calculo!$F$170:$ES$170,2))</f>
        <v>0</v>
      </c>
      <c r="G22" s="48" t="n">
        <f aca="false">IF(cu_P=1,SUMIFS(Calculo!$F$123:$ES$123,Calculo!$F$14:$ES$14,3),SUMIFS(Calculo!$F$279:$ES$279,Calculo!$F$170:$ES$170,3))</f>
        <v>0</v>
      </c>
      <c r="H22" s="48" t="n">
        <f aca="false">IF(cu_P=1,SUMIFS(Calculo!$F$123:$ES$123,Calculo!$F$14:$ES$14,4),SUMIFS(Calculo!$F$279:$ES$279,Calculo!$F$170:$ES$170,4))</f>
        <v>0</v>
      </c>
      <c r="I22" s="48" t="n">
        <f aca="false">IF(cu_P=1,SUMIFS(Calculo!$F$123:$ES$123,Calculo!$F$14:$ES$14,5),SUMIFS(Calculo!$F$279:$ES$279,Calculo!$F$170:$ES$170,5))</f>
        <v>0</v>
      </c>
      <c r="J22" s="48" t="n">
        <f aca="false">IF(cu_P=1,SUMIFS(Calculo!$F$123:$ES$123,Calculo!$F$14:$ES$14,6),SUMIFS(Calculo!$F$279:$ES$279,Calculo!$F$170:$ES$170,6))</f>
        <v>0</v>
      </c>
      <c r="K22" s="48" t="n">
        <f aca="false">IF(cu_P=1,SUMIFS(Calculo!$F$123:$ES$123,Calculo!$F$14:$ES$14,7),SUMIFS(Calculo!$F$279:$ES$279,Calculo!$F$170:$ES$170,7))</f>
        <v>0</v>
      </c>
      <c r="L22" s="48" t="n">
        <f aca="false">IF(cu_P=1,SUMIFS(Calculo!$F$123:$ES$123,Calculo!$F$14:$ES$14,8),SUMIFS(Calculo!$F$279:$ES$279,Calculo!$F$170:$ES$170,8))</f>
        <v>0</v>
      </c>
      <c r="M22" s="48" t="n">
        <f aca="false">IF(cu_P=1,SUMIFS(Calculo!$F$123:$ES$123,Calculo!$F$14:$ES$14,9),SUMIFS(Calculo!$F$279:$ES$279,Calculo!$F$170:$ES$170,9))</f>
        <v>0</v>
      </c>
      <c r="N22" s="48" t="n">
        <f aca="false">IF(cu_P=1,SUMIFS(Calculo!$F$123:$ES$123,Calculo!$F$14:$ES$14,10),SUMIFS(Calculo!$F$279:$ES$279,Calculo!$F$170:$ES$170,10))</f>
        <v>0</v>
      </c>
      <c r="O22" s="54" t="n">
        <f aca="false">SUM(D22:N22)</f>
        <v>2791587</v>
      </c>
    </row>
    <row r="23" customFormat="false" ht="15" hidden="false" customHeight="false" outlineLevel="0" collapsed="false">
      <c r="A23" s="11" t="s">
        <v>2653</v>
      </c>
      <c r="B23" s="15" t="s">
        <v>2654</v>
      </c>
      <c r="C23" s="11" t="s">
        <v>508</v>
      </c>
      <c r="D23" s="48" t="n">
        <f aca="false">IF(cu_P=1,SUMIFS(Calculo!$F$124:$ES$124,Calculo!$F$16:$ES$16,1),SUMIFS(Calculo!$F$280:$ES$280,Calculo!$F$172:$ES$172,1))</f>
        <v>0</v>
      </c>
      <c r="E23" s="48" t="n">
        <f aca="false">IF(cu_P=1,SUMIFS(Calculo!$F$124:$ES$124,Calculo!$F$14:$ES$14,1),SUMIFS(Calculo!$F$280:$ES$280,Calculo!$F$170:$ES$170,1))</f>
        <v>246456.302210023</v>
      </c>
      <c r="F23" s="48" t="n">
        <f aca="false">IF(cu_P=1,SUMIFS(Calculo!$F$124:$ES$124,Calculo!$F$14:$ES$14,2),SUMIFS(Calculo!$F$280:$ES$280,Calculo!$F$170:$ES$170,2))</f>
        <v>205703.867383138</v>
      </c>
      <c r="G23" s="48" t="n">
        <f aca="false">IF(cu_P=1,SUMIFS(Calculo!$F$124:$ES$124,Calculo!$F$14:$ES$14,3),SUMIFS(Calculo!$F$280:$ES$280,Calculo!$F$170:$ES$170,3))</f>
        <v>154014.520855607</v>
      </c>
      <c r="H23" s="48" t="n">
        <f aca="false">IF(cu_P=1,SUMIFS(Calculo!$F$124:$ES$124,Calculo!$F$14:$ES$14,4),SUMIFS(Calculo!$F$280:$ES$280,Calculo!$F$170:$ES$170,4))</f>
        <v>97476.3570876869</v>
      </c>
      <c r="I23" s="48" t="n">
        <f aca="false">IF(cu_P=1,SUMIFS(Calculo!$F$124:$ES$124,Calculo!$F$14:$ES$14,5),SUMIFS(Calculo!$F$280:$ES$280,Calculo!$F$170:$ES$170,5))</f>
        <v>35634.5235766846</v>
      </c>
      <c r="J23" s="48" t="n">
        <f aca="false">IF(cu_P=1,SUMIFS(Calculo!$F$124:$ES$124,Calculo!$F$14:$ES$14,6),SUMIFS(Calculo!$F$280:$ES$280,Calculo!$F$170:$ES$170,6))</f>
        <v>0</v>
      </c>
      <c r="K23" s="48" t="n">
        <f aca="false">IF(cu_P=1,SUMIFS(Calculo!$F$124:$ES$124,Calculo!$F$14:$ES$14,7),SUMIFS(Calculo!$F$280:$ES$280,Calculo!$F$170:$ES$170,7))</f>
        <v>0</v>
      </c>
      <c r="L23" s="48" t="n">
        <f aca="false">IF(cu_P=1,SUMIFS(Calculo!$F$124:$ES$124,Calculo!$F$14:$ES$14,8),SUMIFS(Calculo!$F$280:$ES$280,Calculo!$F$170:$ES$170,8))</f>
        <v>0</v>
      </c>
      <c r="M23" s="48" t="n">
        <f aca="false">IF(cu_P=1,SUMIFS(Calculo!$F$124:$ES$124,Calculo!$F$14:$ES$14,9),SUMIFS(Calculo!$F$280:$ES$280,Calculo!$F$170:$ES$170,9))</f>
        <v>0</v>
      </c>
      <c r="N23" s="48" t="n">
        <f aca="false">IF(cu_P=1,SUMIFS(Calculo!$F$124:$ES$124,Calculo!$F$14:$ES$14,10),SUMIFS(Calculo!$F$280:$ES$280,Calculo!$F$170:$ES$170,10))</f>
        <v>0</v>
      </c>
      <c r="O23" s="54" t="n">
        <f aca="false">SUM(D23:N23)</f>
        <v>739285.57111314</v>
      </c>
    </row>
    <row r="24" customFormat="false" ht="15" hidden="false" customHeight="false" outlineLevel="0" collapsed="false">
      <c r="A24" s="11" t="s">
        <v>2655</v>
      </c>
      <c r="B24" s="15" t="s">
        <v>1215</v>
      </c>
      <c r="C24" s="11" t="s">
        <v>508</v>
      </c>
      <c r="D24" s="48" t="n">
        <f aca="false">IF(cu_P=1,SUMIFS(Calculo!$F$125:$ES$125,Calculo!$F$16:$ES$16,1),SUMIFS(Calculo!$F$281:$ES$281,Calculo!$F$172:$ES$172,1))</f>
        <v>0</v>
      </c>
      <c r="E24" s="48" t="n">
        <f aca="false">IF(cu_P=1,SUMIFS(Calculo!$F$125:$ES$125,Calculo!$F$14:$ES$14,1),SUMIFS(Calculo!$F$281:$ES$281,Calculo!$F$170:$ES$170,1))</f>
        <v>257526.352358103</v>
      </c>
      <c r="F24" s="48" t="n">
        <f aca="false">IF(cu_P=1,SUMIFS(Calculo!$F$125:$ES$125,Calculo!$F$14:$ES$14,2),SUMIFS(Calculo!$F$281:$ES$281,Calculo!$F$170:$ES$170,2))</f>
        <v>551018.611753115</v>
      </c>
      <c r="G24" s="48" t="n">
        <f aca="false">IF(cu_P=1,SUMIFS(Calculo!$F$125:$ES$125,Calculo!$F$14:$ES$14,3),SUMIFS(Calculo!$F$281:$ES$281,Calculo!$F$170:$ES$170,3))</f>
        <v>602707.958280647</v>
      </c>
      <c r="H24" s="48" t="n">
        <f aca="false">IF(cu_P=1,SUMIFS(Calculo!$F$125:$ES$125,Calculo!$F$14:$ES$14,4),SUMIFS(Calculo!$F$281:$ES$281,Calculo!$F$170:$ES$170,4))</f>
        <v>659246.122048566</v>
      </c>
      <c r="I24" s="48" t="n">
        <f aca="false">IF(cu_P=1,SUMIFS(Calculo!$F$125:$ES$125,Calculo!$F$14:$ES$14,5),SUMIFS(Calculo!$F$281:$ES$281,Calculo!$F$170:$ES$170,5))</f>
        <v>721087.95555957</v>
      </c>
      <c r="J24" s="48" t="n">
        <f aca="false">IF(cu_P=1,SUMIFS(Calculo!$F$125:$ES$125,Calculo!$F$14:$ES$14,6),SUMIFS(Calculo!$F$281:$ES$281,Calculo!$F$170:$ES$170,6))</f>
        <v>0</v>
      </c>
      <c r="K24" s="48" t="n">
        <f aca="false">IF(cu_P=1,SUMIFS(Calculo!$F$125:$ES$125,Calculo!$F$14:$ES$14,7),SUMIFS(Calculo!$F$281:$ES$281,Calculo!$F$170:$ES$170,7))</f>
        <v>0</v>
      </c>
      <c r="L24" s="48" t="n">
        <f aca="false">IF(cu_P=1,SUMIFS(Calculo!$F$125:$ES$125,Calculo!$F$14:$ES$14,8),SUMIFS(Calculo!$F$281:$ES$281,Calculo!$F$170:$ES$170,8))</f>
        <v>0</v>
      </c>
      <c r="M24" s="48" t="n">
        <f aca="false">IF(cu_P=1,SUMIFS(Calculo!$F$125:$ES$125,Calculo!$F$14:$ES$14,9),SUMIFS(Calculo!$F$281:$ES$281,Calculo!$F$170:$ES$170,9))</f>
        <v>0</v>
      </c>
      <c r="N24" s="48" t="n">
        <f aca="false">IF(cu_P=1,SUMIFS(Calculo!$F$125:$ES$125,Calculo!$F$14:$ES$14,10),SUMIFS(Calculo!$F$281:$ES$281,Calculo!$F$170:$ES$170,10))</f>
        <v>0</v>
      </c>
      <c r="O24" s="54" t="n">
        <f aca="false">SUM(D24:N24)</f>
        <v>2791587</v>
      </c>
    </row>
    <row r="25" customFormat="false" ht="15" hidden="false" customHeight="false" outlineLevel="0" collapsed="false">
      <c r="A25" s="11" t="s">
        <v>2656</v>
      </c>
      <c r="B25" s="15" t="s">
        <v>2657</v>
      </c>
      <c r="C25" s="11" t="s">
        <v>508</v>
      </c>
      <c r="D25" s="48" t="n">
        <f aca="false">IF(cu_P=1,IF(SUM(Calculo!$F$16:$ES$16)=0,0,INDEX(Calculo!$F$126:$ES$126,1,SUM(Calculo!$F$16:$ES$16))),IF(SUM(Calculo!$F$172:$ES$172)=0,0,INDEX(Calculo!$F$282:$ES$282,1,SUM(Calculo!$F$172:$ES$172))))</f>
        <v>0</v>
      </c>
      <c r="E25" s="48" t="n">
        <f aca="false">IF(cu_P=1,IF(COUNTIFS(Calculo!$F$14:$ES$14,1)=0,0,INDEX(Calculo!$F$126:$ES$126,1,_xlfn.MAXIFS(Calculo!$F$4:$ES$4,Calculo!$F$14:$ES$14,1))),IF(COUNTIFS(Calculo!$F$170:$ES$170,1)=0,0,INDEX(Calculo!$F$282:$ES$282,1,_xlfn.MAXIFS(Calculo!$F$4:$ES$4,Calculo!$F$170:$ES$170,1))))</f>
        <v>2534060.6476419</v>
      </c>
      <c r="F25" s="48" t="n">
        <f aca="false">IF(cu_P=1,IF(COUNTIFS(Calculo!$F$14:$ES$14,2)=0,0,INDEX(Calculo!$F$126:$ES$126,1,_xlfn.MAXIFS(Calculo!$F$4:$ES$4,Calculo!$F$14:$ES$14,2))),IF(COUNTIFS(Calculo!$F$170:$ES$170,2)=0,0,INDEX(Calculo!$F$282:$ES$282,1,_xlfn.MAXIFS(Calculo!$F$4:$ES$4,Calculo!$F$170:$ES$170,2))))</f>
        <v>1983042.03588878</v>
      </c>
      <c r="G25" s="48" t="n">
        <f aca="false">IF(cu_P=1,IF(COUNTIFS(Calculo!$F$14:$ES$14,3)=0,0,INDEX(Calculo!$F$126:$ES$126,1,_xlfn.MAXIFS(Calculo!$F$4:$ES$4,Calculo!$F$14:$ES$14,3))),IF(COUNTIFS(Calculo!$F$170:$ES$170,3)=0,0,INDEX(Calculo!$F$282:$ES$282,1,_xlfn.MAXIFS(Calculo!$F$4:$ES$4,Calculo!$F$170:$ES$170,3))))</f>
        <v>1380334.07760814</v>
      </c>
      <c r="H25" s="48" t="n">
        <f aca="false">IF(cu_P=1,IF(COUNTIFS(Calculo!$F$14:$ES$14,4)=0,0,INDEX(Calculo!$F$126:$ES$126,1,_xlfn.MAXIFS(Calculo!$F$4:$ES$4,Calculo!$F$14:$ES$14,4))),IF(COUNTIFS(Calculo!$F$170:$ES$170,4)=0,0,INDEX(Calculo!$F$282:$ES$282,1,_xlfn.MAXIFS(Calculo!$F$4:$ES$4,Calculo!$F$170:$ES$170,4))))</f>
        <v>721087.95555957</v>
      </c>
      <c r="I25" s="48" t="n">
        <f aca="false">IF(cu_P=1,IF(COUNTIFS(Calculo!$F$14:$ES$14,5)=0,0,INDEX(Calculo!$F$126:$ES$126,1,_xlfn.MAXIFS(Calculo!$F$4:$ES$4,Calculo!$F$14:$ES$14,5))),IF(COUNTIFS(Calculo!$F$170:$ES$170,5)=0,0,INDEX(Calculo!$F$282:$ES$282,1,_xlfn.MAXIFS(Calculo!$F$4:$ES$4,Calculo!$F$170:$ES$170,5))))</f>
        <v>0</v>
      </c>
      <c r="J25" s="48" t="n">
        <f aca="false">IF(cu_P=1,IF(COUNTIFS(Calculo!$F$14:$ES$14,6)=0,0,INDEX(Calculo!$F$126:$ES$126,1,_xlfn.MAXIFS(Calculo!$F$4:$ES$4,Calculo!$F$14:$ES$14,6))),IF(COUNTIFS(Calculo!$F$170:$ES$170,6)=0,0,INDEX(Calculo!$F$282:$ES$282,1,_xlfn.MAXIFS(Calculo!$F$4:$ES$4,Calculo!$F$170:$ES$170,6))))</f>
        <v>0</v>
      </c>
      <c r="K25" s="48" t="n">
        <f aca="false">IF(cu_P=1,IF(COUNTIFS(Calculo!$F$14:$ES$14,7)=0,0,INDEX(Calculo!$F$126:$ES$126,1,_xlfn.MAXIFS(Calculo!$F$4:$ES$4,Calculo!$F$14:$ES$14,7))),IF(COUNTIFS(Calculo!$F$170:$ES$170,7)=0,0,INDEX(Calculo!$F$282:$ES$282,1,_xlfn.MAXIFS(Calculo!$F$4:$ES$4,Calculo!$F$170:$ES$170,7))))</f>
        <v>0</v>
      </c>
      <c r="L25" s="48" t="n">
        <f aca="false">IF(cu_P=1,IF(COUNTIFS(Calculo!$F$14:$ES$14,8)=0,0,INDEX(Calculo!$F$126:$ES$126,1,_xlfn.MAXIFS(Calculo!$F$4:$ES$4,Calculo!$F$14:$ES$14,8))),IF(COUNTIFS(Calculo!$F$170:$ES$170,8)=0,0,INDEX(Calculo!$F$282:$ES$282,1,_xlfn.MAXIFS(Calculo!$F$4:$ES$4,Calculo!$F$170:$ES$170,8))))</f>
        <v>0</v>
      </c>
      <c r="M25" s="48" t="n">
        <f aca="false">IF(cu_P=1,IF(COUNTIFS(Calculo!$F$14:$ES$14,9)=0,0,INDEX(Calculo!$F$126:$ES$126,1,_xlfn.MAXIFS(Calculo!$F$4:$ES$4,Calculo!$F$14:$ES$14,9))),IF(COUNTIFS(Calculo!$F$170:$ES$170,9)=0,0,INDEX(Calculo!$F$282:$ES$282,1,_xlfn.MAXIFS(Calculo!$F$4:$ES$4,Calculo!$F$170:$ES$170,9))))</f>
        <v>0</v>
      </c>
      <c r="N25" s="48" t="n">
        <f aca="false">IF(cu_P=1,IF(COUNTIFS(Calculo!$F$14:$ES$14,10)=0,0,INDEX(Calculo!$F$126:$ES$126,1,_xlfn.MAXIFS(Calculo!$F$4:$ES$4,Calculo!$F$14:$ES$14,10))),IF(COUNTIFS(Calculo!$F$170:$ES$170,10)=0,0,INDEX(Calculo!$F$282:$ES$282,1,_xlfn.MAXIFS(Calculo!$F$4:$ES$4,Calculo!$F$170:$ES$170,10))))</f>
        <v>0</v>
      </c>
    </row>
    <row r="26" customFormat="false" ht="15" hidden="true" customHeight="false" outlineLevel="1" collapsed="false">
      <c r="A26" s="11" t="s">
        <v>2658</v>
      </c>
      <c r="B26" s="15" t="s">
        <v>1219</v>
      </c>
      <c r="C26" s="11" t="s">
        <v>508</v>
      </c>
      <c r="D26" s="48" t="n">
        <f aca="false">IF(cu_P=1,SUMIFS(Calculo!$F$127:$ES$127,Calculo!$F$16:$ES$16,1),SUMIFS(Calculo!$F$283:$ES$283,Calculo!$F$172:$ES$172,1))</f>
        <v>0</v>
      </c>
      <c r="E26" s="48" t="n">
        <f aca="false">IF(cu_P=1,SUMIFS(Calculo!$F$127:$ES$127,Calculo!$F$14:$ES$14,1),SUMIFS(Calculo!$F$283:$ES$283,Calculo!$F$170:$ES$170,1))</f>
        <v>0</v>
      </c>
      <c r="F26" s="48" t="n">
        <f aca="false">IF(cu_P=1,SUMIFS(Calculo!$F$127:$ES$127,Calculo!$F$14:$ES$14,2),SUMIFS(Calculo!$F$283:$ES$283,Calculo!$F$170:$ES$170,2))</f>
        <v>0</v>
      </c>
      <c r="G26" s="48" t="n">
        <f aca="false">IF(cu_P=1,SUMIFS(Calculo!$F$127:$ES$127,Calculo!$F$14:$ES$14,3),SUMIFS(Calculo!$F$283:$ES$283,Calculo!$F$170:$ES$170,3))</f>
        <v>0</v>
      </c>
      <c r="H26" s="48" t="n">
        <f aca="false">IF(cu_P=1,SUMIFS(Calculo!$F$127:$ES$127,Calculo!$F$14:$ES$14,4),SUMIFS(Calculo!$F$283:$ES$283,Calculo!$F$170:$ES$170,4))</f>
        <v>0</v>
      </c>
      <c r="I26" s="48" t="n">
        <f aca="false">IF(cu_P=1,SUMIFS(Calculo!$F$127:$ES$127,Calculo!$F$14:$ES$14,5),SUMIFS(Calculo!$F$283:$ES$283,Calculo!$F$170:$ES$170,5))</f>
        <v>0</v>
      </c>
      <c r="J26" s="48" t="n">
        <f aca="false">IF(cu_P=1,SUMIFS(Calculo!$F$127:$ES$127,Calculo!$F$14:$ES$14,6),SUMIFS(Calculo!$F$283:$ES$283,Calculo!$F$170:$ES$170,6))</f>
        <v>0</v>
      </c>
      <c r="K26" s="48" t="n">
        <f aca="false">IF(cu_P=1,SUMIFS(Calculo!$F$127:$ES$127,Calculo!$F$14:$ES$14,7),SUMIFS(Calculo!$F$283:$ES$283,Calculo!$F$170:$ES$170,7))</f>
        <v>0</v>
      </c>
      <c r="L26" s="48" t="n">
        <f aca="false">IF(cu_P=1,SUMIFS(Calculo!$F$127:$ES$127,Calculo!$F$14:$ES$14,8),SUMIFS(Calculo!$F$283:$ES$283,Calculo!$F$170:$ES$170,8))</f>
        <v>0</v>
      </c>
      <c r="M26" s="48" t="n">
        <f aca="false">IF(cu_P=1,SUMIFS(Calculo!$F$127:$ES$127,Calculo!$F$14:$ES$14,9),SUMIFS(Calculo!$F$283:$ES$283,Calculo!$F$170:$ES$170,9))</f>
        <v>0</v>
      </c>
      <c r="N26" s="48" t="n">
        <f aca="false">IF(cu_P=1,SUMIFS(Calculo!$F$127:$ES$127,Calculo!$F$14:$ES$14,10),SUMIFS(Calculo!$F$283:$ES$283,Calculo!$F$170:$ES$170,10))</f>
        <v>0</v>
      </c>
      <c r="O26" s="54" t="n">
        <f aca="false">SUM(D26:N26)</f>
        <v>0</v>
      </c>
    </row>
    <row r="27" customFormat="false" ht="15" hidden="true" customHeight="false" outlineLevel="1" collapsed="false">
      <c r="A27" s="11" t="s">
        <v>2659</v>
      </c>
      <c r="B27" s="15" t="s">
        <v>2660</v>
      </c>
      <c r="C27" s="11" t="s">
        <v>508</v>
      </c>
      <c r="D27" s="48" t="n">
        <f aca="false">IF(cu_P=1,SUMIFS(Calculo!$F$128:$ES$128,Calculo!$F$16:$ES$16,1),SUMIFS(Calculo!$F$284:$ES$284,Calculo!$F$172:$ES$172,1))</f>
        <v>0</v>
      </c>
      <c r="E27" s="48" t="n">
        <f aca="false">IF(cu_P=1,SUMIFS(Calculo!$F$128:$ES$128,Calculo!$F$14:$ES$14,1),SUMIFS(Calculo!$F$284:$ES$284,Calculo!$F$170:$ES$170,1))</f>
        <v>0</v>
      </c>
      <c r="F27" s="48" t="n">
        <f aca="false">IF(cu_P=1,SUMIFS(Calculo!$F$128:$ES$128,Calculo!$F$14:$ES$14,2),SUMIFS(Calculo!$F$284:$ES$284,Calculo!$F$170:$ES$170,2))</f>
        <v>0</v>
      </c>
      <c r="G27" s="48" t="n">
        <f aca="false">IF(cu_P=1,SUMIFS(Calculo!$F$128:$ES$128,Calculo!$F$14:$ES$14,3),SUMIFS(Calculo!$F$284:$ES$284,Calculo!$F$170:$ES$170,3))</f>
        <v>0</v>
      </c>
      <c r="H27" s="48" t="n">
        <f aca="false">IF(cu_P=1,SUMIFS(Calculo!$F$128:$ES$128,Calculo!$F$14:$ES$14,4),SUMIFS(Calculo!$F$284:$ES$284,Calculo!$F$170:$ES$170,4))</f>
        <v>0</v>
      </c>
      <c r="I27" s="48" t="n">
        <f aca="false">IF(cu_P=1,SUMIFS(Calculo!$F$128:$ES$128,Calculo!$F$14:$ES$14,5),SUMIFS(Calculo!$F$284:$ES$284,Calculo!$F$170:$ES$170,5))</f>
        <v>0</v>
      </c>
      <c r="J27" s="48" t="n">
        <f aca="false">IF(cu_P=1,SUMIFS(Calculo!$F$128:$ES$128,Calculo!$F$14:$ES$14,6),SUMIFS(Calculo!$F$284:$ES$284,Calculo!$F$170:$ES$170,6))</f>
        <v>0</v>
      </c>
      <c r="K27" s="48" t="n">
        <f aca="false">IF(cu_P=1,SUMIFS(Calculo!$F$128:$ES$128,Calculo!$F$14:$ES$14,7),SUMIFS(Calculo!$F$284:$ES$284,Calculo!$F$170:$ES$170,7))</f>
        <v>0</v>
      </c>
      <c r="L27" s="48" t="n">
        <f aca="false">IF(cu_P=1,SUMIFS(Calculo!$F$128:$ES$128,Calculo!$F$14:$ES$14,8),SUMIFS(Calculo!$F$284:$ES$284,Calculo!$F$170:$ES$170,8))</f>
        <v>0</v>
      </c>
      <c r="M27" s="48" t="n">
        <f aca="false">IF(cu_P=1,SUMIFS(Calculo!$F$128:$ES$128,Calculo!$F$14:$ES$14,9),SUMIFS(Calculo!$F$284:$ES$284,Calculo!$F$170:$ES$170,9))</f>
        <v>0</v>
      </c>
      <c r="N27" s="48" t="n">
        <f aca="false">IF(cu_P=1,SUMIFS(Calculo!$F$128:$ES$128,Calculo!$F$14:$ES$14,10),SUMIFS(Calculo!$F$284:$ES$284,Calculo!$F$170:$ES$170,10))</f>
        <v>0</v>
      </c>
      <c r="O27" s="54" t="n">
        <f aca="false">SUM(D27:N27)</f>
        <v>0</v>
      </c>
    </row>
    <row r="28" customFormat="false" ht="15" hidden="true" customHeight="false" outlineLevel="1" collapsed="false">
      <c r="A28" s="11" t="s">
        <v>2661</v>
      </c>
      <c r="B28" s="15" t="s">
        <v>1223</v>
      </c>
      <c r="C28" s="11" t="s">
        <v>508</v>
      </c>
      <c r="D28" s="48" t="n">
        <f aca="false">IF(cu_P=1,SUMIFS(Calculo!$F$129:$ES$129,Calculo!$F$16:$ES$16,1),SUMIFS(Calculo!$F$285:$ES$285,Calculo!$F$172:$ES$172,1))</f>
        <v>0</v>
      </c>
      <c r="E28" s="48" t="n">
        <f aca="false">IF(cu_P=1,SUMIFS(Calculo!$F$129:$ES$129,Calculo!$F$14:$ES$14,1),SUMIFS(Calculo!$F$285:$ES$285,Calculo!$F$170:$ES$170,1))</f>
        <v>0</v>
      </c>
      <c r="F28" s="48" t="n">
        <f aca="false">IF(cu_P=1,SUMIFS(Calculo!$F$129:$ES$129,Calculo!$F$14:$ES$14,2),SUMIFS(Calculo!$F$285:$ES$285,Calculo!$F$170:$ES$170,2))</f>
        <v>0</v>
      </c>
      <c r="G28" s="48" t="n">
        <f aca="false">IF(cu_P=1,SUMIFS(Calculo!$F$129:$ES$129,Calculo!$F$14:$ES$14,3),SUMIFS(Calculo!$F$285:$ES$285,Calculo!$F$170:$ES$170,3))</f>
        <v>0</v>
      </c>
      <c r="H28" s="48" t="n">
        <f aca="false">IF(cu_P=1,SUMIFS(Calculo!$F$129:$ES$129,Calculo!$F$14:$ES$14,4),SUMIFS(Calculo!$F$285:$ES$285,Calculo!$F$170:$ES$170,4))</f>
        <v>0</v>
      </c>
      <c r="I28" s="48" t="n">
        <f aca="false">IF(cu_P=1,SUMIFS(Calculo!$F$129:$ES$129,Calculo!$F$14:$ES$14,5),SUMIFS(Calculo!$F$285:$ES$285,Calculo!$F$170:$ES$170,5))</f>
        <v>0</v>
      </c>
      <c r="J28" s="48" t="n">
        <f aca="false">IF(cu_P=1,SUMIFS(Calculo!$F$129:$ES$129,Calculo!$F$14:$ES$14,6),SUMIFS(Calculo!$F$285:$ES$285,Calculo!$F$170:$ES$170,6))</f>
        <v>0</v>
      </c>
      <c r="K28" s="48" t="n">
        <f aca="false">IF(cu_P=1,SUMIFS(Calculo!$F$129:$ES$129,Calculo!$F$14:$ES$14,7),SUMIFS(Calculo!$F$285:$ES$285,Calculo!$F$170:$ES$170,7))</f>
        <v>0</v>
      </c>
      <c r="L28" s="48" t="n">
        <f aca="false">IF(cu_P=1,SUMIFS(Calculo!$F$129:$ES$129,Calculo!$F$14:$ES$14,8),SUMIFS(Calculo!$F$285:$ES$285,Calculo!$F$170:$ES$170,8))</f>
        <v>0</v>
      </c>
      <c r="M28" s="48" t="n">
        <f aca="false">IF(cu_P=1,SUMIFS(Calculo!$F$129:$ES$129,Calculo!$F$14:$ES$14,9),SUMIFS(Calculo!$F$285:$ES$285,Calculo!$F$170:$ES$170,9))</f>
        <v>0</v>
      </c>
      <c r="N28" s="48" t="n">
        <f aca="false">IF(cu_P=1,SUMIFS(Calculo!$F$129:$ES$129,Calculo!$F$14:$ES$14,10),SUMIFS(Calculo!$F$285:$ES$285,Calculo!$F$170:$ES$170,10))</f>
        <v>0</v>
      </c>
      <c r="O28" s="54" t="n">
        <f aca="false">SUM(D28:N28)</f>
        <v>0</v>
      </c>
    </row>
    <row r="29" customFormat="false" ht="15" hidden="true" customHeight="false" outlineLevel="1" collapsed="false">
      <c r="A29" s="11" t="s">
        <v>2662</v>
      </c>
      <c r="B29" s="15" t="s">
        <v>2663</v>
      </c>
      <c r="C29" s="11" t="s">
        <v>508</v>
      </c>
      <c r="D29" s="48" t="n">
        <f aca="false">IF(cu_P=1,IF(SUM(Calculo!$F$16:$ES$16)=0,0,INDEX(Calculo!$F$130:$ES$130,1,SUM(Calculo!$F$16:$ES$16))),IF(SUM(Calculo!$F$172:$ES$172)=0,0,INDEX(Calculo!$F$286:$ES$286,1,SUM(Calculo!$F$172:$ES$172))))</f>
        <v>0</v>
      </c>
      <c r="E29" s="48" t="n">
        <f aca="false">IF(cu_P=1,IF(COUNTIFS(Calculo!$F$14:$ES$14,1)=0,0,INDEX(Calculo!$F$130:$ES$130,1,_xlfn.MAXIFS(Calculo!$F$4:$ES$4,Calculo!$F$14:$ES$14,1))),IF(COUNTIFS(Calculo!$F$170:$ES$170,1)=0,0,INDEX(Calculo!$F$286:$ES$286,1,_xlfn.MAXIFS(Calculo!$F$4:$ES$4,Calculo!$F$170:$ES$170,1))))</f>
        <v>0</v>
      </c>
      <c r="F29" s="48" t="n">
        <f aca="false">IF(cu_P=1,IF(COUNTIFS(Calculo!$F$14:$ES$14,2)=0,0,INDEX(Calculo!$F$130:$ES$130,1,_xlfn.MAXIFS(Calculo!$F$4:$ES$4,Calculo!$F$14:$ES$14,2))),IF(COUNTIFS(Calculo!$F$170:$ES$170,2)=0,0,INDEX(Calculo!$F$286:$ES$286,1,_xlfn.MAXIFS(Calculo!$F$4:$ES$4,Calculo!$F$170:$ES$170,2))))</f>
        <v>0</v>
      </c>
      <c r="G29" s="48" t="n">
        <f aca="false">IF(cu_P=1,IF(COUNTIFS(Calculo!$F$14:$ES$14,3)=0,0,INDEX(Calculo!$F$130:$ES$130,1,_xlfn.MAXIFS(Calculo!$F$4:$ES$4,Calculo!$F$14:$ES$14,3))),IF(COUNTIFS(Calculo!$F$170:$ES$170,3)=0,0,INDEX(Calculo!$F$286:$ES$286,1,_xlfn.MAXIFS(Calculo!$F$4:$ES$4,Calculo!$F$170:$ES$170,3))))</f>
        <v>0</v>
      </c>
      <c r="H29" s="48" t="n">
        <f aca="false">IF(cu_P=1,IF(COUNTIFS(Calculo!$F$14:$ES$14,4)=0,0,INDEX(Calculo!$F$130:$ES$130,1,_xlfn.MAXIFS(Calculo!$F$4:$ES$4,Calculo!$F$14:$ES$14,4))),IF(COUNTIFS(Calculo!$F$170:$ES$170,4)=0,0,INDEX(Calculo!$F$286:$ES$286,1,_xlfn.MAXIFS(Calculo!$F$4:$ES$4,Calculo!$F$170:$ES$170,4))))</f>
        <v>0</v>
      </c>
      <c r="I29" s="48" t="n">
        <f aca="false">IF(cu_P=1,IF(COUNTIFS(Calculo!$F$14:$ES$14,5)=0,0,INDEX(Calculo!$F$130:$ES$130,1,_xlfn.MAXIFS(Calculo!$F$4:$ES$4,Calculo!$F$14:$ES$14,5))),IF(COUNTIFS(Calculo!$F$170:$ES$170,5)=0,0,INDEX(Calculo!$F$286:$ES$286,1,_xlfn.MAXIFS(Calculo!$F$4:$ES$4,Calculo!$F$170:$ES$170,5))))</f>
        <v>0</v>
      </c>
      <c r="J29" s="48" t="n">
        <f aca="false">IF(cu_P=1,IF(COUNTIFS(Calculo!$F$14:$ES$14,6)=0,0,INDEX(Calculo!$F$130:$ES$130,1,_xlfn.MAXIFS(Calculo!$F$4:$ES$4,Calculo!$F$14:$ES$14,6))),IF(COUNTIFS(Calculo!$F$170:$ES$170,6)=0,0,INDEX(Calculo!$F$286:$ES$286,1,_xlfn.MAXIFS(Calculo!$F$4:$ES$4,Calculo!$F$170:$ES$170,6))))</f>
        <v>0</v>
      </c>
      <c r="K29" s="48" t="n">
        <f aca="false">IF(cu_P=1,IF(COUNTIFS(Calculo!$F$14:$ES$14,7)=0,0,INDEX(Calculo!$F$130:$ES$130,1,_xlfn.MAXIFS(Calculo!$F$4:$ES$4,Calculo!$F$14:$ES$14,7))),IF(COUNTIFS(Calculo!$F$170:$ES$170,7)=0,0,INDEX(Calculo!$F$286:$ES$286,1,_xlfn.MAXIFS(Calculo!$F$4:$ES$4,Calculo!$F$170:$ES$170,7))))</f>
        <v>0</v>
      </c>
      <c r="L29" s="48" t="n">
        <f aca="false">IF(cu_P=1,IF(COUNTIFS(Calculo!$F$14:$ES$14,8)=0,0,INDEX(Calculo!$F$130:$ES$130,1,_xlfn.MAXIFS(Calculo!$F$4:$ES$4,Calculo!$F$14:$ES$14,8))),IF(COUNTIFS(Calculo!$F$170:$ES$170,8)=0,0,INDEX(Calculo!$F$286:$ES$286,1,_xlfn.MAXIFS(Calculo!$F$4:$ES$4,Calculo!$F$170:$ES$170,8))))</f>
        <v>0</v>
      </c>
      <c r="M29" s="48" t="n">
        <f aca="false">IF(cu_P=1,IF(COUNTIFS(Calculo!$F$14:$ES$14,9)=0,0,INDEX(Calculo!$F$130:$ES$130,1,_xlfn.MAXIFS(Calculo!$F$4:$ES$4,Calculo!$F$14:$ES$14,9))),IF(COUNTIFS(Calculo!$F$170:$ES$170,9)=0,0,INDEX(Calculo!$F$286:$ES$286,1,_xlfn.MAXIFS(Calculo!$F$4:$ES$4,Calculo!$F$170:$ES$170,9))))</f>
        <v>0</v>
      </c>
      <c r="N29" s="48" t="n">
        <f aca="false">IF(cu_P=1,IF(COUNTIFS(Calculo!$F$14:$ES$14,10)=0,0,INDEX(Calculo!$F$130:$ES$130,1,_xlfn.MAXIFS(Calculo!$F$4:$ES$4,Calculo!$F$14:$ES$14,10))),IF(COUNTIFS(Calculo!$F$170:$ES$170,10)=0,0,INDEX(Calculo!$F$286:$ES$286,1,_xlfn.MAXIFS(Calculo!$F$4:$ES$4,Calculo!$F$170:$ES$170,10))))</f>
        <v>0</v>
      </c>
    </row>
    <row r="30" customFormat="false" ht="15" hidden="true" customHeight="false" outlineLevel="1" collapsed="false">
      <c r="A30" s="11" t="s">
        <v>2664</v>
      </c>
      <c r="B30" s="15" t="s">
        <v>1227</v>
      </c>
      <c r="C30" s="11" t="s">
        <v>508</v>
      </c>
      <c r="D30" s="48" t="n">
        <f aca="false">IF(cu_P=1,SUMIFS(Calculo!$F$131:$ES$131,Calculo!$F$16:$ES$16,1),SUMIFS(Calculo!$F$287:$ES$287,Calculo!$F$172:$ES$172,1))</f>
        <v>0</v>
      </c>
      <c r="E30" s="48" t="n">
        <f aca="false">IF(cu_P=1,SUMIFS(Calculo!$F$131:$ES$131,Calculo!$F$14:$ES$14,1),SUMIFS(Calculo!$F$287:$ES$287,Calculo!$F$170:$ES$170,1))</f>
        <v>0</v>
      </c>
      <c r="F30" s="48" t="n">
        <f aca="false">IF(cu_P=1,SUMIFS(Calculo!$F$131:$ES$131,Calculo!$F$14:$ES$14,2),SUMIFS(Calculo!$F$287:$ES$287,Calculo!$F$170:$ES$170,2))</f>
        <v>0</v>
      </c>
      <c r="G30" s="48" t="n">
        <f aca="false">IF(cu_P=1,SUMIFS(Calculo!$F$131:$ES$131,Calculo!$F$14:$ES$14,3),SUMIFS(Calculo!$F$287:$ES$287,Calculo!$F$170:$ES$170,3))</f>
        <v>0</v>
      </c>
      <c r="H30" s="48" t="n">
        <f aca="false">IF(cu_P=1,SUMIFS(Calculo!$F$131:$ES$131,Calculo!$F$14:$ES$14,4),SUMIFS(Calculo!$F$287:$ES$287,Calculo!$F$170:$ES$170,4))</f>
        <v>0</v>
      </c>
      <c r="I30" s="48" t="n">
        <f aca="false">IF(cu_P=1,SUMIFS(Calculo!$F$131:$ES$131,Calculo!$F$14:$ES$14,5),SUMIFS(Calculo!$F$287:$ES$287,Calculo!$F$170:$ES$170,5))</f>
        <v>0</v>
      </c>
      <c r="J30" s="48" t="n">
        <f aca="false">IF(cu_P=1,SUMIFS(Calculo!$F$131:$ES$131,Calculo!$F$14:$ES$14,6),SUMIFS(Calculo!$F$287:$ES$287,Calculo!$F$170:$ES$170,6))</f>
        <v>0</v>
      </c>
      <c r="K30" s="48" t="n">
        <f aca="false">IF(cu_P=1,SUMIFS(Calculo!$F$131:$ES$131,Calculo!$F$14:$ES$14,7),SUMIFS(Calculo!$F$287:$ES$287,Calculo!$F$170:$ES$170,7))</f>
        <v>0</v>
      </c>
      <c r="L30" s="48" t="n">
        <f aca="false">IF(cu_P=1,SUMIFS(Calculo!$F$131:$ES$131,Calculo!$F$14:$ES$14,8),SUMIFS(Calculo!$F$287:$ES$287,Calculo!$F$170:$ES$170,8))</f>
        <v>0</v>
      </c>
      <c r="M30" s="48" t="n">
        <f aca="false">IF(cu_P=1,SUMIFS(Calculo!$F$131:$ES$131,Calculo!$F$14:$ES$14,9),SUMIFS(Calculo!$F$287:$ES$287,Calculo!$F$170:$ES$170,9))</f>
        <v>0</v>
      </c>
      <c r="N30" s="48" t="n">
        <f aca="false">IF(cu_P=1,SUMIFS(Calculo!$F$131:$ES$131,Calculo!$F$14:$ES$14,10),SUMIFS(Calculo!$F$287:$ES$287,Calculo!$F$170:$ES$170,10))</f>
        <v>0</v>
      </c>
      <c r="O30" s="54" t="n">
        <f aca="false">SUM(D30:N30)</f>
        <v>0</v>
      </c>
    </row>
    <row r="31" customFormat="false" ht="15" hidden="true" customHeight="false" outlineLevel="1" collapsed="false">
      <c r="A31" s="11" t="s">
        <v>2665</v>
      </c>
      <c r="B31" s="15" t="s">
        <v>2666</v>
      </c>
      <c r="C31" s="11" t="s">
        <v>508</v>
      </c>
      <c r="D31" s="48" t="n">
        <f aca="false">IF(cu_P=1,SUMIFS(Calculo!$F$132:$ES$132,Calculo!$F$16:$ES$16,1),SUMIFS(Calculo!$F$288:$ES$288,Calculo!$F$172:$ES$172,1))</f>
        <v>0</v>
      </c>
      <c r="E31" s="48" t="n">
        <f aca="false">IF(cu_P=1,SUMIFS(Calculo!$F$132:$ES$132,Calculo!$F$14:$ES$14,1),SUMIFS(Calculo!$F$288:$ES$288,Calculo!$F$170:$ES$170,1))</f>
        <v>0</v>
      </c>
      <c r="F31" s="48" t="n">
        <f aca="false">IF(cu_P=1,SUMIFS(Calculo!$F$132:$ES$132,Calculo!$F$14:$ES$14,2),SUMIFS(Calculo!$F$288:$ES$288,Calculo!$F$170:$ES$170,2))</f>
        <v>0</v>
      </c>
      <c r="G31" s="48" t="n">
        <f aca="false">IF(cu_P=1,SUMIFS(Calculo!$F$132:$ES$132,Calculo!$F$14:$ES$14,3),SUMIFS(Calculo!$F$288:$ES$288,Calculo!$F$170:$ES$170,3))</f>
        <v>0</v>
      </c>
      <c r="H31" s="48" t="n">
        <f aca="false">IF(cu_P=1,SUMIFS(Calculo!$F$132:$ES$132,Calculo!$F$14:$ES$14,4),SUMIFS(Calculo!$F$288:$ES$288,Calculo!$F$170:$ES$170,4))</f>
        <v>0</v>
      </c>
      <c r="I31" s="48" t="n">
        <f aca="false">IF(cu_P=1,SUMIFS(Calculo!$F$132:$ES$132,Calculo!$F$14:$ES$14,5),SUMIFS(Calculo!$F$288:$ES$288,Calculo!$F$170:$ES$170,5))</f>
        <v>0</v>
      </c>
      <c r="J31" s="48" t="n">
        <f aca="false">IF(cu_P=1,SUMIFS(Calculo!$F$132:$ES$132,Calculo!$F$14:$ES$14,6),SUMIFS(Calculo!$F$288:$ES$288,Calculo!$F$170:$ES$170,6))</f>
        <v>0</v>
      </c>
      <c r="K31" s="48" t="n">
        <f aca="false">IF(cu_P=1,SUMIFS(Calculo!$F$132:$ES$132,Calculo!$F$14:$ES$14,7),SUMIFS(Calculo!$F$288:$ES$288,Calculo!$F$170:$ES$170,7))</f>
        <v>0</v>
      </c>
      <c r="L31" s="48" t="n">
        <f aca="false">IF(cu_P=1,SUMIFS(Calculo!$F$132:$ES$132,Calculo!$F$14:$ES$14,8),SUMIFS(Calculo!$F$288:$ES$288,Calculo!$F$170:$ES$170,8))</f>
        <v>0</v>
      </c>
      <c r="M31" s="48" t="n">
        <f aca="false">IF(cu_P=1,SUMIFS(Calculo!$F$132:$ES$132,Calculo!$F$14:$ES$14,9),SUMIFS(Calculo!$F$288:$ES$288,Calculo!$F$170:$ES$170,9))</f>
        <v>0</v>
      </c>
      <c r="N31" s="48" t="n">
        <f aca="false">IF(cu_P=1,SUMIFS(Calculo!$F$132:$ES$132,Calculo!$F$14:$ES$14,10),SUMIFS(Calculo!$F$288:$ES$288,Calculo!$F$170:$ES$170,10))</f>
        <v>0</v>
      </c>
      <c r="O31" s="54" t="n">
        <f aca="false">SUM(D31:N31)</f>
        <v>0</v>
      </c>
    </row>
    <row r="32" customFormat="false" ht="15" hidden="true" customHeight="false" outlineLevel="1" collapsed="false">
      <c r="A32" s="11" t="s">
        <v>2667</v>
      </c>
      <c r="B32" s="15" t="s">
        <v>1231</v>
      </c>
      <c r="C32" s="11" t="s">
        <v>508</v>
      </c>
      <c r="D32" s="48" t="n">
        <f aca="false">IF(cu_P=1,SUMIFS(Calculo!$F$133:$ES$133,Calculo!$F$16:$ES$16,1),SUMIFS(Calculo!$F$289:$ES$289,Calculo!$F$172:$ES$172,1))</f>
        <v>0</v>
      </c>
      <c r="E32" s="48" t="n">
        <f aca="false">IF(cu_P=1,SUMIFS(Calculo!$F$133:$ES$133,Calculo!$F$14:$ES$14,1),SUMIFS(Calculo!$F$289:$ES$289,Calculo!$F$170:$ES$170,1))</f>
        <v>0</v>
      </c>
      <c r="F32" s="48" t="n">
        <f aca="false">IF(cu_P=1,SUMIFS(Calculo!$F$133:$ES$133,Calculo!$F$14:$ES$14,2),SUMIFS(Calculo!$F$289:$ES$289,Calculo!$F$170:$ES$170,2))</f>
        <v>0</v>
      </c>
      <c r="G32" s="48" t="n">
        <f aca="false">IF(cu_P=1,SUMIFS(Calculo!$F$133:$ES$133,Calculo!$F$14:$ES$14,3),SUMIFS(Calculo!$F$289:$ES$289,Calculo!$F$170:$ES$170,3))</f>
        <v>0</v>
      </c>
      <c r="H32" s="48" t="n">
        <f aca="false">IF(cu_P=1,SUMIFS(Calculo!$F$133:$ES$133,Calculo!$F$14:$ES$14,4),SUMIFS(Calculo!$F$289:$ES$289,Calculo!$F$170:$ES$170,4))</f>
        <v>0</v>
      </c>
      <c r="I32" s="48" t="n">
        <f aca="false">IF(cu_P=1,SUMIFS(Calculo!$F$133:$ES$133,Calculo!$F$14:$ES$14,5),SUMIFS(Calculo!$F$289:$ES$289,Calculo!$F$170:$ES$170,5))</f>
        <v>0</v>
      </c>
      <c r="J32" s="48" t="n">
        <f aca="false">IF(cu_P=1,SUMIFS(Calculo!$F$133:$ES$133,Calculo!$F$14:$ES$14,6),SUMIFS(Calculo!$F$289:$ES$289,Calculo!$F$170:$ES$170,6))</f>
        <v>0</v>
      </c>
      <c r="K32" s="48" t="n">
        <f aca="false">IF(cu_P=1,SUMIFS(Calculo!$F$133:$ES$133,Calculo!$F$14:$ES$14,7),SUMIFS(Calculo!$F$289:$ES$289,Calculo!$F$170:$ES$170,7))</f>
        <v>0</v>
      </c>
      <c r="L32" s="48" t="n">
        <f aca="false">IF(cu_P=1,SUMIFS(Calculo!$F$133:$ES$133,Calculo!$F$14:$ES$14,8),SUMIFS(Calculo!$F$289:$ES$289,Calculo!$F$170:$ES$170,8))</f>
        <v>0</v>
      </c>
      <c r="M32" s="48" t="n">
        <f aca="false">IF(cu_P=1,SUMIFS(Calculo!$F$133:$ES$133,Calculo!$F$14:$ES$14,9),SUMIFS(Calculo!$F$289:$ES$289,Calculo!$F$170:$ES$170,9))</f>
        <v>0</v>
      </c>
      <c r="N32" s="48" t="n">
        <f aca="false">IF(cu_P=1,SUMIFS(Calculo!$F$133:$ES$133,Calculo!$F$14:$ES$14,10),SUMIFS(Calculo!$F$289:$ES$289,Calculo!$F$170:$ES$170,10))</f>
        <v>0</v>
      </c>
      <c r="O32" s="54" t="n">
        <f aca="false">SUM(D32:N32)</f>
        <v>0</v>
      </c>
    </row>
    <row r="33" customFormat="false" ht="15" hidden="true" customHeight="false" outlineLevel="1" collapsed="false">
      <c r="A33" s="11" t="s">
        <v>2668</v>
      </c>
      <c r="B33" s="15" t="s">
        <v>2669</v>
      </c>
      <c r="C33" s="11" t="s">
        <v>508</v>
      </c>
      <c r="D33" s="48" t="n">
        <f aca="false">IF(cu_P=1,IF(SUM(Calculo!$F$16:$ES$16)=0,0,INDEX(Calculo!$F$134:$ES$134,1,SUM(Calculo!$F$16:$ES$16))),IF(SUM(Calculo!$F$172:$ES$172)=0,0,INDEX(Calculo!$F$290:$ES$290,1,SUM(Calculo!$F$172:$ES$172))))</f>
        <v>0</v>
      </c>
      <c r="E33" s="48" t="n">
        <f aca="false">IF(cu_P=1,IF(COUNTIFS(Calculo!$F$14:$ES$14,1)=0,0,INDEX(Calculo!$F$134:$ES$134,1,_xlfn.MAXIFS(Calculo!$F$4:$ES$4,Calculo!$F$14:$ES$14,1))),IF(COUNTIFS(Calculo!$F$170:$ES$170,1)=0,0,INDEX(Calculo!$F$290:$ES$290,1,_xlfn.MAXIFS(Calculo!$F$4:$ES$4,Calculo!$F$170:$ES$170,1))))</f>
        <v>0</v>
      </c>
      <c r="F33" s="48" t="n">
        <f aca="false">IF(cu_P=1,IF(COUNTIFS(Calculo!$F$14:$ES$14,2)=0,0,INDEX(Calculo!$F$134:$ES$134,1,_xlfn.MAXIFS(Calculo!$F$4:$ES$4,Calculo!$F$14:$ES$14,2))),IF(COUNTIFS(Calculo!$F$170:$ES$170,2)=0,0,INDEX(Calculo!$F$290:$ES$290,1,_xlfn.MAXIFS(Calculo!$F$4:$ES$4,Calculo!$F$170:$ES$170,2))))</f>
        <v>0</v>
      </c>
      <c r="G33" s="48" t="n">
        <f aca="false">IF(cu_P=1,IF(COUNTIFS(Calculo!$F$14:$ES$14,3)=0,0,INDEX(Calculo!$F$134:$ES$134,1,_xlfn.MAXIFS(Calculo!$F$4:$ES$4,Calculo!$F$14:$ES$14,3))),IF(COUNTIFS(Calculo!$F$170:$ES$170,3)=0,0,INDEX(Calculo!$F$290:$ES$290,1,_xlfn.MAXIFS(Calculo!$F$4:$ES$4,Calculo!$F$170:$ES$170,3))))</f>
        <v>0</v>
      </c>
      <c r="H33" s="48" t="n">
        <f aca="false">IF(cu_P=1,IF(COUNTIFS(Calculo!$F$14:$ES$14,4)=0,0,INDEX(Calculo!$F$134:$ES$134,1,_xlfn.MAXIFS(Calculo!$F$4:$ES$4,Calculo!$F$14:$ES$14,4))),IF(COUNTIFS(Calculo!$F$170:$ES$170,4)=0,0,INDEX(Calculo!$F$290:$ES$290,1,_xlfn.MAXIFS(Calculo!$F$4:$ES$4,Calculo!$F$170:$ES$170,4))))</f>
        <v>0</v>
      </c>
      <c r="I33" s="48" t="n">
        <f aca="false">IF(cu_P=1,IF(COUNTIFS(Calculo!$F$14:$ES$14,5)=0,0,INDEX(Calculo!$F$134:$ES$134,1,_xlfn.MAXIFS(Calculo!$F$4:$ES$4,Calculo!$F$14:$ES$14,5))),IF(COUNTIFS(Calculo!$F$170:$ES$170,5)=0,0,INDEX(Calculo!$F$290:$ES$290,1,_xlfn.MAXIFS(Calculo!$F$4:$ES$4,Calculo!$F$170:$ES$170,5))))</f>
        <v>0</v>
      </c>
      <c r="J33" s="48" t="n">
        <f aca="false">IF(cu_P=1,IF(COUNTIFS(Calculo!$F$14:$ES$14,6)=0,0,INDEX(Calculo!$F$134:$ES$134,1,_xlfn.MAXIFS(Calculo!$F$4:$ES$4,Calculo!$F$14:$ES$14,6))),IF(COUNTIFS(Calculo!$F$170:$ES$170,6)=0,0,INDEX(Calculo!$F$290:$ES$290,1,_xlfn.MAXIFS(Calculo!$F$4:$ES$4,Calculo!$F$170:$ES$170,6))))</f>
        <v>0</v>
      </c>
      <c r="K33" s="48" t="n">
        <f aca="false">IF(cu_P=1,IF(COUNTIFS(Calculo!$F$14:$ES$14,7)=0,0,INDEX(Calculo!$F$134:$ES$134,1,_xlfn.MAXIFS(Calculo!$F$4:$ES$4,Calculo!$F$14:$ES$14,7))),IF(COUNTIFS(Calculo!$F$170:$ES$170,7)=0,0,INDEX(Calculo!$F$290:$ES$290,1,_xlfn.MAXIFS(Calculo!$F$4:$ES$4,Calculo!$F$170:$ES$170,7))))</f>
        <v>0</v>
      </c>
      <c r="L33" s="48" t="n">
        <f aca="false">IF(cu_P=1,IF(COUNTIFS(Calculo!$F$14:$ES$14,8)=0,0,INDEX(Calculo!$F$134:$ES$134,1,_xlfn.MAXIFS(Calculo!$F$4:$ES$4,Calculo!$F$14:$ES$14,8))),IF(COUNTIFS(Calculo!$F$170:$ES$170,8)=0,0,INDEX(Calculo!$F$290:$ES$290,1,_xlfn.MAXIFS(Calculo!$F$4:$ES$4,Calculo!$F$170:$ES$170,8))))</f>
        <v>0</v>
      </c>
      <c r="M33" s="48" t="n">
        <f aca="false">IF(cu_P=1,IF(COUNTIFS(Calculo!$F$14:$ES$14,9)=0,0,INDEX(Calculo!$F$134:$ES$134,1,_xlfn.MAXIFS(Calculo!$F$4:$ES$4,Calculo!$F$14:$ES$14,9))),IF(COUNTIFS(Calculo!$F$170:$ES$170,9)=0,0,INDEX(Calculo!$F$290:$ES$290,1,_xlfn.MAXIFS(Calculo!$F$4:$ES$4,Calculo!$F$170:$ES$170,9))))</f>
        <v>0</v>
      </c>
      <c r="N33" s="48" t="n">
        <f aca="false">IF(cu_P=1,IF(COUNTIFS(Calculo!$F$14:$ES$14,10)=0,0,INDEX(Calculo!$F$134:$ES$134,1,_xlfn.MAXIFS(Calculo!$F$4:$ES$4,Calculo!$F$14:$ES$14,10))),IF(COUNTIFS(Calculo!$F$170:$ES$170,10)=0,0,INDEX(Calculo!$F$290:$ES$290,1,_xlfn.MAXIFS(Calculo!$F$4:$ES$4,Calculo!$F$170:$ES$170,10))))</f>
        <v>0</v>
      </c>
    </row>
    <row r="34" customFormat="false" ht="15" hidden="false" customHeight="false" outlineLevel="0" collapsed="false">
      <c r="A34" s="13"/>
      <c r="B34" s="100" t="s">
        <v>2670</v>
      </c>
      <c r="C34" s="13"/>
      <c r="D34" s="13"/>
      <c r="E34" s="13"/>
      <c r="F34" s="13"/>
      <c r="G34" s="13"/>
      <c r="H34" s="13"/>
      <c r="I34" s="13"/>
      <c r="J34" s="13"/>
      <c r="K34" s="13"/>
      <c r="L34" s="13"/>
      <c r="M34" s="13"/>
      <c r="N34" s="13"/>
      <c r="O34" s="13"/>
    </row>
    <row r="35" customFormat="false" ht="15" hidden="false" customHeight="false" outlineLevel="0" collapsed="false">
      <c r="A35" s="11" t="s">
        <v>2671</v>
      </c>
      <c r="B35" s="15" t="s">
        <v>2672</v>
      </c>
      <c r="C35" s="11" t="s">
        <v>508</v>
      </c>
      <c r="D35" s="48" t="n">
        <v>0</v>
      </c>
      <c r="E35" s="48" t="n">
        <v>0</v>
      </c>
      <c r="F35" s="48" t="n">
        <v>0</v>
      </c>
      <c r="G35" s="48" t="n">
        <v>0</v>
      </c>
      <c r="H35" s="48" t="n">
        <v>0</v>
      </c>
      <c r="I35" s="48" t="n">
        <v>0</v>
      </c>
      <c r="J35" s="48" t="n">
        <v>0</v>
      </c>
      <c r="K35" s="48" t="n">
        <v>0</v>
      </c>
      <c r="L35" s="48" t="n">
        <v>0</v>
      </c>
      <c r="M35" s="48" t="n">
        <v>0</v>
      </c>
      <c r="N35" s="48" t="n">
        <v>0</v>
      </c>
      <c r="O35" s="54" t="n">
        <f aca="false">SUM(D35:N35)</f>
        <v>0</v>
      </c>
    </row>
    <row r="36" customFormat="false" ht="15" hidden="false" customHeight="false" outlineLevel="0" collapsed="false">
      <c r="A36" s="11" t="s">
        <v>2673</v>
      </c>
      <c r="B36" s="15" t="s">
        <v>2674</v>
      </c>
      <c r="C36" s="11" t="s">
        <v>508</v>
      </c>
      <c r="D36" s="48" t="n">
        <f aca="false">IF(cu_P=1,SUMIFS(Calculo!$F$91:$ES$91,Calculo!$F$16:$ES$16,1),SUMIFS(Calculo!$F$247:$ES$247,Calculo!$F$172:$ES$172,1))</f>
        <v>0</v>
      </c>
      <c r="E36" s="48" t="n">
        <f aca="false">IF(cu_P=1,SUMIFS(Calculo!$F$91:$ES$91,Calculo!$F$14:$ES$14,1),SUMIFS(Calculo!$F$247:$ES$247,Calculo!$F$170:$ES$170,1))</f>
        <v>18552</v>
      </c>
      <c r="F36" s="48" t="n">
        <f aca="false">IF(cu_P=1,SUMIFS(Calculo!$F$91:$ES$91,Calculo!$F$14:$ES$14,2),SUMIFS(Calculo!$F$247:$ES$247,Calculo!$F$170:$ES$170,2))</f>
        <v>19108.56</v>
      </c>
      <c r="G36" s="48" t="n">
        <f aca="false">IF(cu_P=1,SUMIFS(Calculo!$F$91:$ES$91,Calculo!$F$14:$ES$14,3),SUMIFS(Calculo!$F$247:$ES$247,Calculo!$F$170:$ES$170,3))</f>
        <v>19681.8168</v>
      </c>
      <c r="H36" s="48" t="n">
        <f aca="false">IF(cu_P=1,SUMIFS(Calculo!$F$91:$ES$91,Calculo!$F$14:$ES$14,4),SUMIFS(Calculo!$F$247:$ES$247,Calculo!$F$170:$ES$170,4))</f>
        <v>20272.271304</v>
      </c>
      <c r="I36" s="48" t="n">
        <f aca="false">IF(cu_P=1,SUMIFS(Calculo!$F$91:$ES$91,Calculo!$F$14:$ES$14,5),SUMIFS(Calculo!$F$247:$ES$247,Calculo!$F$170:$ES$170,5))</f>
        <v>20880.43944312</v>
      </c>
      <c r="J36" s="48" t="n">
        <f aca="false">IF(cu_P=1,SUMIFS(Calculo!$F$91:$ES$91,Calculo!$F$14:$ES$14,6),SUMIFS(Calculo!$F$247:$ES$247,Calculo!$F$170:$ES$170,6))</f>
        <v>21506.8526264136</v>
      </c>
      <c r="K36" s="48" t="n">
        <f aca="false">IF(cu_P=1,SUMIFS(Calculo!$F$91:$ES$91,Calculo!$F$14:$ES$14,7),SUMIFS(Calculo!$F$247:$ES$247,Calculo!$F$170:$ES$170,7))</f>
        <v>22152.058205206</v>
      </c>
      <c r="L36" s="48" t="n">
        <f aca="false">IF(cu_P=1,SUMIFS(Calculo!$F$91:$ES$91,Calculo!$F$14:$ES$14,8),SUMIFS(Calculo!$F$247:$ES$247,Calculo!$F$170:$ES$170,8))</f>
        <v>22816.6199513622</v>
      </c>
      <c r="M36" s="48" t="n">
        <f aca="false">IF(cu_P=1,SUMIFS(Calculo!$F$91:$ES$91,Calculo!$F$14:$ES$14,9),SUMIFS(Calculo!$F$247:$ES$247,Calculo!$F$170:$ES$170,9))</f>
        <v>23501.1185499031</v>
      </c>
      <c r="N36" s="48" t="n">
        <f aca="false">IF(cu_P=1,SUMIFS(Calculo!$F$91:$ES$91,Calculo!$F$14:$ES$14,10),SUMIFS(Calculo!$F$247:$ES$247,Calculo!$F$170:$ES$170,10))</f>
        <v>24206.1521064002</v>
      </c>
      <c r="O36" s="54" t="n">
        <f aca="false">SUM(D36:N36)</f>
        <v>212677.888986405</v>
      </c>
    </row>
    <row r="37" customFormat="false" ht="15" hidden="false" customHeight="false" outlineLevel="0" collapsed="false">
      <c r="A37" s="11" t="s">
        <v>2675</v>
      </c>
      <c r="B37" s="15" t="s">
        <v>2676</v>
      </c>
      <c r="C37" s="11" t="s">
        <v>508</v>
      </c>
      <c r="D37" s="48" t="n">
        <f aca="false">IF(cu_P=1,SUMIFS(Calculo!$F$101:$ES$101,Calculo!$F$16:$ES$16,1),SUMIFS(Calculo!$F$257:$ES$257,Calculo!$F$172:$ES$172,1))</f>
        <v>0</v>
      </c>
      <c r="E37" s="48" t="n">
        <f aca="false">IF(cu_P=1,SUMIFS(Calculo!$F$101:$ES$101,Calculo!$F$14:$ES$14,1),SUMIFS(Calculo!$F$257:$ES$257,Calculo!$F$170:$ES$170,1))</f>
        <v>0</v>
      </c>
      <c r="F37" s="48" t="n">
        <f aca="false">IF(cu_P=1,SUMIFS(Calculo!$F$101:$ES$101,Calculo!$F$14:$ES$14,2),SUMIFS(Calculo!$F$257:$ES$257,Calculo!$F$170:$ES$170,2))</f>
        <v>0</v>
      </c>
      <c r="G37" s="48" t="n">
        <f aca="false">IF(cu_P=1,SUMIFS(Calculo!$F$101:$ES$101,Calculo!$F$14:$ES$14,3),SUMIFS(Calculo!$F$257:$ES$257,Calculo!$F$170:$ES$170,3))</f>
        <v>0</v>
      </c>
      <c r="H37" s="48" t="n">
        <f aca="false">IF(cu_P=1,SUMIFS(Calculo!$F$101:$ES$101,Calculo!$F$14:$ES$14,4),SUMIFS(Calculo!$F$257:$ES$257,Calculo!$F$170:$ES$170,4))</f>
        <v>0</v>
      </c>
      <c r="I37" s="48" t="n">
        <f aca="false">IF(cu_P=1,SUMIFS(Calculo!$F$101:$ES$101,Calculo!$F$14:$ES$14,5),SUMIFS(Calculo!$F$257:$ES$257,Calculo!$F$170:$ES$170,5))</f>
        <v>0</v>
      </c>
      <c r="J37" s="48" t="n">
        <f aca="false">IF(cu_P=1,SUMIFS(Calculo!$F$101:$ES$101,Calculo!$F$14:$ES$14,6),SUMIFS(Calculo!$F$257:$ES$257,Calculo!$F$170:$ES$170,6))</f>
        <v>0</v>
      </c>
      <c r="K37" s="48" t="n">
        <f aca="false">IF(cu_P=1,SUMIFS(Calculo!$F$101:$ES$101,Calculo!$F$14:$ES$14,7),SUMIFS(Calculo!$F$257:$ES$257,Calculo!$F$170:$ES$170,7))</f>
        <v>0</v>
      </c>
      <c r="L37" s="48" t="n">
        <f aca="false">IF(cu_P=1,SUMIFS(Calculo!$F$101:$ES$101,Calculo!$F$14:$ES$14,8),SUMIFS(Calculo!$F$257:$ES$257,Calculo!$F$170:$ES$170,8))</f>
        <v>0</v>
      </c>
      <c r="M37" s="48" t="n">
        <f aca="false">IF(cu_P=1,SUMIFS(Calculo!$F$101:$ES$101,Calculo!$F$14:$ES$14,9),SUMIFS(Calculo!$F$257:$ES$257,Calculo!$F$170:$ES$170,9))</f>
        <v>0</v>
      </c>
      <c r="N37" s="48" t="n">
        <f aca="false">IF(cu_P=1,SUMIFS(Calculo!$F$101:$ES$101,Calculo!$F$14:$ES$14,10),SUMIFS(Calculo!$F$257:$ES$257,Calculo!$F$170:$ES$170,10))</f>
        <v>0</v>
      </c>
      <c r="O37" s="54" t="n">
        <f aca="false">SUM(D37:N37)</f>
        <v>0</v>
      </c>
    </row>
    <row r="38" customFormat="false" ht="15" hidden="false" customHeight="false" outlineLevel="0" collapsed="false">
      <c r="A38" s="11" t="s">
        <v>2677</v>
      </c>
      <c r="B38" s="15" t="s">
        <v>2678</v>
      </c>
      <c r="C38" s="11" t="s">
        <v>508</v>
      </c>
      <c r="D38" s="48" t="n">
        <f aca="false">IF(cu_P=1,IF(SUM(Calculo!$F$16:$ES$16)=0,0,INDEX(Calculo!$F$111:$ES$111,1,SUM(Calculo!$F$16:$ES$16))),IF(SUM(Calculo!$F$172:$ES$172)=0,0,INDEX(Calculo!$F$267:$ES$267,1,SUM(Calculo!$F$172:$ES$172))))</f>
        <v>0</v>
      </c>
      <c r="E38" s="48" t="n">
        <f aca="false">IF(cu_P=1,IF(COUNTIFS(Calculo!$F$14:$ES$14,1)=0,0,INDEX(Calculo!$F$111:$ES$111,1,_xlfn.MAXIFS(Calculo!$F$4:$ES$4,Calculo!$F$14:$ES$14,1))),IF(COUNTIFS(Calculo!$F$170:$ES$170,1)=0,0,INDEX(Calculo!$F$267:$ES$267,1,_xlfn.MAXIFS(Calculo!$F$4:$ES$4,Calculo!$F$170:$ES$170,1))))</f>
        <v>0</v>
      </c>
      <c r="F38" s="48" t="n">
        <f aca="false">IF(cu_P=1,IF(COUNTIFS(Calculo!$F$14:$ES$14,2)=0,0,INDEX(Calculo!$F$111:$ES$111,1,_xlfn.MAXIFS(Calculo!$F$4:$ES$4,Calculo!$F$14:$ES$14,2))),IF(COUNTIFS(Calculo!$F$170:$ES$170,2)=0,0,INDEX(Calculo!$F$267:$ES$267,1,_xlfn.MAXIFS(Calculo!$F$4:$ES$4,Calculo!$F$170:$ES$170,2))))</f>
        <v>0</v>
      </c>
      <c r="G38" s="48" t="n">
        <f aca="false">IF(cu_P=1,IF(COUNTIFS(Calculo!$F$14:$ES$14,3)=0,0,INDEX(Calculo!$F$111:$ES$111,1,_xlfn.MAXIFS(Calculo!$F$4:$ES$4,Calculo!$F$14:$ES$14,3))),IF(COUNTIFS(Calculo!$F$170:$ES$170,3)=0,0,INDEX(Calculo!$F$267:$ES$267,1,_xlfn.MAXIFS(Calculo!$F$4:$ES$4,Calculo!$F$170:$ES$170,3))))</f>
        <v>0</v>
      </c>
      <c r="H38" s="48" t="n">
        <f aca="false">IF(cu_P=1,IF(COUNTIFS(Calculo!$F$14:$ES$14,4)=0,0,INDEX(Calculo!$F$111:$ES$111,1,_xlfn.MAXIFS(Calculo!$F$4:$ES$4,Calculo!$F$14:$ES$14,4))),IF(COUNTIFS(Calculo!$F$170:$ES$170,4)=0,0,INDEX(Calculo!$F$267:$ES$267,1,_xlfn.MAXIFS(Calculo!$F$4:$ES$4,Calculo!$F$170:$ES$170,4))))</f>
        <v>0</v>
      </c>
      <c r="I38" s="48" t="n">
        <f aca="false">IF(cu_P=1,IF(COUNTIFS(Calculo!$F$14:$ES$14,5)=0,0,INDEX(Calculo!$F$111:$ES$111,1,_xlfn.MAXIFS(Calculo!$F$4:$ES$4,Calculo!$F$14:$ES$14,5))),IF(COUNTIFS(Calculo!$F$170:$ES$170,5)=0,0,INDEX(Calculo!$F$267:$ES$267,1,_xlfn.MAXIFS(Calculo!$F$4:$ES$4,Calculo!$F$170:$ES$170,5))))</f>
        <v>0</v>
      </c>
      <c r="J38" s="48" t="n">
        <f aca="false">IF(cu_P=1,IF(COUNTIFS(Calculo!$F$14:$ES$14,6)=0,0,INDEX(Calculo!$F$111:$ES$111,1,_xlfn.MAXIFS(Calculo!$F$4:$ES$4,Calculo!$F$14:$ES$14,6))),IF(COUNTIFS(Calculo!$F$170:$ES$170,6)=0,0,INDEX(Calculo!$F$267:$ES$267,1,_xlfn.MAXIFS(Calculo!$F$4:$ES$4,Calculo!$F$170:$ES$170,6))))</f>
        <v>0</v>
      </c>
      <c r="K38" s="48" t="n">
        <f aca="false">IF(cu_P=1,IF(COUNTIFS(Calculo!$F$14:$ES$14,7)=0,0,INDEX(Calculo!$F$111:$ES$111,1,_xlfn.MAXIFS(Calculo!$F$4:$ES$4,Calculo!$F$14:$ES$14,7))),IF(COUNTIFS(Calculo!$F$170:$ES$170,7)=0,0,INDEX(Calculo!$F$267:$ES$267,1,_xlfn.MAXIFS(Calculo!$F$4:$ES$4,Calculo!$F$170:$ES$170,7))))</f>
        <v>0</v>
      </c>
      <c r="L38" s="48" t="n">
        <f aca="false">IF(cu_P=1,IF(COUNTIFS(Calculo!$F$14:$ES$14,8)=0,0,INDEX(Calculo!$F$111:$ES$111,1,_xlfn.MAXIFS(Calculo!$F$4:$ES$4,Calculo!$F$14:$ES$14,8))),IF(COUNTIFS(Calculo!$F$170:$ES$170,8)=0,0,INDEX(Calculo!$F$267:$ES$267,1,_xlfn.MAXIFS(Calculo!$F$4:$ES$4,Calculo!$F$170:$ES$170,8))))</f>
        <v>0</v>
      </c>
      <c r="M38" s="48" t="n">
        <f aca="false">IF(cu_P=1,IF(COUNTIFS(Calculo!$F$14:$ES$14,9)=0,0,INDEX(Calculo!$F$111:$ES$111,1,_xlfn.MAXIFS(Calculo!$F$4:$ES$4,Calculo!$F$14:$ES$14,9))),IF(COUNTIFS(Calculo!$F$170:$ES$170,9)=0,0,INDEX(Calculo!$F$267:$ES$267,1,_xlfn.MAXIFS(Calculo!$F$4:$ES$4,Calculo!$F$170:$ES$170,9))))</f>
        <v>0</v>
      </c>
      <c r="N38" s="48" t="n">
        <f aca="false">IF(cu_P=1,IF(COUNTIFS(Calculo!$F$14:$ES$14,10)=0,0,INDEX(Calculo!$F$111:$ES$111,1,_xlfn.MAXIFS(Calculo!$F$4:$ES$4,Calculo!$F$14:$ES$14,10))),IF(COUNTIFS(Calculo!$F$170:$ES$170,10)=0,0,INDEX(Calculo!$F$267:$ES$267,1,_xlfn.MAXIFS(Calculo!$F$4:$ES$4,Calculo!$F$170:$ES$170,10))))</f>
        <v>0</v>
      </c>
    </row>
    <row r="39" customFormat="false" ht="15" hidden="false" customHeight="false" outlineLevel="0" collapsed="false">
      <c r="A39" s="11" t="s">
        <v>2679</v>
      </c>
      <c r="B39" s="15" t="s">
        <v>2680</v>
      </c>
      <c r="C39" s="11" t="s">
        <v>508</v>
      </c>
      <c r="D39" s="48" t="n">
        <f aca="false">IFERROR(D14,"")</f>
        <v>0</v>
      </c>
      <c r="E39" s="48" t="n">
        <f aca="false">IFERROR(E14,"")</f>
        <v>24645.6302210024</v>
      </c>
      <c r="F39" s="48" t="n">
        <f aca="false">IFERROR(F14,"")</f>
        <v>20570.3867383139</v>
      </c>
      <c r="G39" s="48" t="n">
        <f aca="false">IFERROR(G14,"")</f>
        <v>15401.4520855607</v>
      </c>
      <c r="H39" s="48" t="n">
        <f aca="false">IFERROR(H14,"")</f>
        <v>9747.63570876871</v>
      </c>
      <c r="I39" s="48" t="n">
        <f aca="false">IFERROR(I14,"")</f>
        <v>3563.45235766847</v>
      </c>
      <c r="J39" s="48" t="n">
        <f aca="false">IFERROR(J14,"")</f>
        <v>0</v>
      </c>
      <c r="K39" s="48" t="n">
        <f aca="false">IFERROR(K14,"")</f>
        <v>0</v>
      </c>
      <c r="L39" s="48" t="n">
        <f aca="false">IFERROR(L14,"")</f>
        <v>0</v>
      </c>
      <c r="M39" s="48" t="n">
        <f aca="false">IFERROR(M14,"")</f>
        <v>0</v>
      </c>
      <c r="N39" s="48" t="n">
        <f aca="false">IFERROR(N14,"")</f>
        <v>0</v>
      </c>
      <c r="O39" s="54" t="n">
        <f aca="false">SUM(D39:N39)</f>
        <v>73928.557111314</v>
      </c>
    </row>
    <row r="41" customFormat="false" ht="15" hidden="false" customHeight="false" outlineLevel="0" collapsed="false">
      <c r="A41" s="65" t="s">
        <v>1992</v>
      </c>
      <c r="B41" s="64"/>
      <c r="C41" s="64"/>
      <c r="D41" s="64"/>
      <c r="E41" s="64"/>
      <c r="F41" s="64"/>
      <c r="G41" s="64"/>
      <c r="H41" s="64"/>
      <c r="I41" s="64"/>
      <c r="J41" s="64"/>
      <c r="K41" s="64"/>
      <c r="L41" s="64"/>
      <c r="M41" s="64"/>
      <c r="N41" s="64"/>
      <c r="O41" s="64"/>
    </row>
    <row r="42" customFormat="false" ht="24" hidden="false" customHeight="true" outlineLevel="0" collapsed="false">
      <c r="A42" s="14"/>
      <c r="B42" s="14" t="s">
        <v>1530</v>
      </c>
      <c r="C42" s="14" t="s">
        <v>355</v>
      </c>
      <c r="D42" s="14" t="s">
        <v>1857</v>
      </c>
      <c r="E42" s="14" t="s">
        <v>452</v>
      </c>
      <c r="F42" s="14" t="s">
        <v>453</v>
      </c>
      <c r="G42" s="14" t="s">
        <v>454</v>
      </c>
      <c r="H42" s="14" t="s">
        <v>455</v>
      </c>
      <c r="I42" s="14" t="s">
        <v>456</v>
      </c>
      <c r="J42" s="14" t="s">
        <v>457</v>
      </c>
      <c r="K42" s="14" t="s">
        <v>458</v>
      </c>
      <c r="L42" s="14" t="s">
        <v>459</v>
      </c>
      <c r="M42" s="14" t="s">
        <v>460</v>
      </c>
      <c r="N42" s="14" t="s">
        <v>461</v>
      </c>
      <c r="O42" s="14" t="s">
        <v>549</v>
      </c>
    </row>
    <row r="43" customFormat="false" ht="15" hidden="false" customHeight="false" outlineLevel="0" collapsed="false">
      <c r="B43" s="11" t="s">
        <v>1993</v>
      </c>
      <c r="D43" s="86" t="str">
        <f aca="false">IF(OR(n_Fecha1="",IF(cu_P=1,P_Inicio,V_Inicio)=1),"",YEAR(n_Fecha1))</f>
        <v/>
      </c>
      <c r="E43" s="86" t="str">
        <f aca="false">IF(n_Fecha1="","",YEAR(EOMONTH(n_Fecha1,IF(cu_P=1,P_Inicio,V_Inicio)-1+0)))</f>
        <v/>
      </c>
      <c r="F43" s="86" t="str">
        <f aca="false">IF(n_Fecha1="","",YEAR(EOMONTH(n_Fecha1,IF(cu_P=1,P_Inicio,V_Inicio)-1+12)))</f>
        <v/>
      </c>
      <c r="G43" s="86" t="str">
        <f aca="false">IF(n_Fecha1="","",YEAR(EOMONTH(n_Fecha1,IF(cu_P=1,P_Inicio,V_Inicio)-1+24)))</f>
        <v/>
      </c>
      <c r="H43" s="86" t="str">
        <f aca="false">IF(n_Fecha1="","",YEAR(EOMONTH(n_Fecha1,IF(cu_P=1,P_Inicio,V_Inicio)-1+36)))</f>
        <v/>
      </c>
      <c r="I43" s="86" t="str">
        <f aca="false">IF(n_Fecha1="","",YEAR(EOMONTH(n_Fecha1,IF(cu_P=1,P_Inicio,V_Inicio)-1+48)))</f>
        <v/>
      </c>
      <c r="J43" s="86" t="str">
        <f aca="false">IF(n_Fecha1="","",YEAR(EOMONTH(n_Fecha1,IF(cu_P=1,P_Inicio,V_Inicio)-1+60)))</f>
        <v/>
      </c>
      <c r="K43" s="86" t="str">
        <f aca="false">IF(n_Fecha1="","",YEAR(EOMONTH(n_Fecha1,IF(cu_P=1,P_Inicio,V_Inicio)-1+72)))</f>
        <v/>
      </c>
      <c r="L43" s="86" t="str">
        <f aca="false">IF(n_Fecha1="","",YEAR(EOMONTH(n_Fecha1,IF(cu_P=1,P_Inicio,V_Inicio)-1+84)))</f>
        <v/>
      </c>
      <c r="M43" s="86" t="str">
        <f aca="false">IF(n_Fecha1="","",YEAR(EOMONTH(n_Fecha1,IF(cu_P=1,P_Inicio,V_Inicio)-1+96)))</f>
        <v/>
      </c>
      <c r="N43" s="86" t="str">
        <f aca="false">IF(n_Fecha1="","",YEAR(EOMONTH(n_Fecha1,IF(cu_P=1,P_Inicio,V_Inicio)-1+108)))</f>
        <v/>
      </c>
    </row>
    <row r="44" customFormat="false" ht="15" hidden="false" customHeight="false" outlineLevel="0" collapsed="false">
      <c r="A44" s="13"/>
      <c r="B44" s="100" t="s">
        <v>2628</v>
      </c>
      <c r="C44" s="13"/>
      <c r="D44" s="13"/>
      <c r="E44" s="13"/>
      <c r="F44" s="13"/>
      <c r="G44" s="13"/>
      <c r="H44" s="13"/>
      <c r="I44" s="13"/>
      <c r="J44" s="13"/>
      <c r="K44" s="13"/>
      <c r="L44" s="13"/>
      <c r="M44" s="13"/>
      <c r="N44" s="13"/>
      <c r="O44" s="13"/>
    </row>
    <row r="45" customFormat="false" ht="15" hidden="false" customHeight="false" outlineLevel="0" collapsed="false">
      <c r="A45" s="11" t="s">
        <v>2629</v>
      </c>
      <c r="B45" s="15" t="s">
        <v>2630</v>
      </c>
      <c r="C45" s="11" t="s">
        <v>508</v>
      </c>
      <c r="D45" s="37" t="n">
        <v>2791587</v>
      </c>
      <c r="E45" s="37" t="n">
        <v>0</v>
      </c>
      <c r="F45" s="37" t="n">
        <v>0</v>
      </c>
      <c r="G45" s="37" t="n">
        <v>0</v>
      </c>
      <c r="H45" s="37" t="n">
        <v>0</v>
      </c>
      <c r="I45" s="37" t="n">
        <v>0</v>
      </c>
      <c r="J45" s="37" t="n">
        <v>0</v>
      </c>
      <c r="K45" s="37" t="n">
        <v>0</v>
      </c>
      <c r="L45" s="37" t="n">
        <v>0</v>
      </c>
      <c r="M45" s="37" t="n">
        <v>0</v>
      </c>
      <c r="N45" s="37" t="n">
        <v>0</v>
      </c>
      <c r="O45" s="54" t="n">
        <f aca="false">IF(COUNT(D45:N45)=0,"",SUM(D45:N45))</f>
        <v>2791587</v>
      </c>
    </row>
    <row r="46" customFormat="false" ht="15" hidden="false" customHeight="false" outlineLevel="0" collapsed="false">
      <c r="A46" s="11" t="s">
        <v>2631</v>
      </c>
      <c r="B46" s="15" t="s">
        <v>2632</v>
      </c>
      <c r="C46" s="11" t="s">
        <v>508</v>
      </c>
      <c r="D46" s="48" t="str">
        <f aca="false">IFERROR(IF(COUNT(D48,D47)=0,"",N(D48)+N(D47)),"")</f>
        <v/>
      </c>
      <c r="E46" s="48" t="n">
        <f aca="false">IFERROR(IF(COUNT(E48,E47)=0,"",N(E48)+N(E47)),"")</f>
        <v>2791587</v>
      </c>
      <c r="F46" s="48" t="n">
        <f aca="false">IFERROR(IF(COUNT(F48,F47)=0,"",N(F48)+N(F47)),"")</f>
        <v>2534061</v>
      </c>
      <c r="G46" s="48" t="n">
        <f aca="false">IFERROR(IF(COUNT(G48,G47)=0,"",N(G48)+N(G47)),"")</f>
        <v>1983042</v>
      </c>
      <c r="H46" s="48" t="n">
        <f aca="false">IFERROR(IF(COUNT(H48,H47)=0,"",N(H48)+N(H47)),"")</f>
        <v>1380334</v>
      </c>
      <c r="I46" s="48" t="n">
        <f aca="false">IFERROR(IF(COUNT(I48,I47)=0,"",N(I48)+N(I47)),"")</f>
        <v>721088</v>
      </c>
      <c r="J46" s="48" t="n">
        <f aca="false">IFERROR(IF(COUNT(J48,J47)=0,"",N(J48)+N(J47)),"")</f>
        <v>0</v>
      </c>
      <c r="K46" s="48" t="n">
        <f aca="false">IFERROR(IF(COUNT(K48,K47)=0,"",N(K48)+N(K47)),"")</f>
        <v>0</v>
      </c>
      <c r="L46" s="48" t="n">
        <f aca="false">IFERROR(IF(COUNT(L48,L47)=0,"",N(L48)+N(L47)),"")</f>
        <v>0</v>
      </c>
      <c r="M46" s="48" t="n">
        <f aca="false">IFERROR(IF(COUNT(M48,M47)=0,"",N(M48)+N(M47)),"")</f>
        <v>0</v>
      </c>
      <c r="N46" s="48" t="n">
        <f aca="false">IFERROR(IF(COUNT(N48,N47)=0,"",N(N48)+N(N47)),"")</f>
        <v>0</v>
      </c>
    </row>
    <row r="47" customFormat="false" ht="15" hidden="false" customHeight="false" outlineLevel="0" collapsed="false">
      <c r="A47" s="11" t="s">
        <v>2633</v>
      </c>
      <c r="B47" s="67" t="s">
        <v>2634</v>
      </c>
      <c r="C47" s="11" t="s">
        <v>508</v>
      </c>
      <c r="D47" s="37"/>
      <c r="E47" s="37" t="n">
        <v>257526</v>
      </c>
      <c r="F47" s="37" t="n">
        <v>551019</v>
      </c>
      <c r="G47" s="37" t="n">
        <v>602708</v>
      </c>
      <c r="H47" s="37" t="n">
        <v>659246</v>
      </c>
      <c r="I47" s="37" t="n">
        <v>721088</v>
      </c>
      <c r="J47" s="37" t="n">
        <v>0</v>
      </c>
      <c r="K47" s="37" t="n">
        <v>0</v>
      </c>
      <c r="L47" s="37" t="n">
        <v>0</v>
      </c>
      <c r="M47" s="37" t="n">
        <v>0</v>
      </c>
      <c r="N47" s="37" t="n">
        <v>0</v>
      </c>
      <c r="O47" s="54" t="n">
        <f aca="false">IF(COUNT(D47:N47)=0,"",SUM(D47:N47))</f>
        <v>2791587</v>
      </c>
    </row>
    <row r="48" customFormat="false" ht="15" hidden="false" customHeight="false" outlineLevel="0" collapsed="false">
      <c r="A48" s="11" t="s">
        <v>2635</v>
      </c>
      <c r="B48" s="15" t="s">
        <v>2636</v>
      </c>
      <c r="C48" s="11" t="s">
        <v>508</v>
      </c>
      <c r="D48" s="37"/>
      <c r="E48" s="37" t="n">
        <v>2534061</v>
      </c>
      <c r="F48" s="37" t="n">
        <v>1983042</v>
      </c>
      <c r="G48" s="37" t="n">
        <v>1380334</v>
      </c>
      <c r="H48" s="37" t="n">
        <v>721088</v>
      </c>
      <c r="I48" s="37" t="n">
        <v>0</v>
      </c>
      <c r="J48" s="37" t="n">
        <v>0</v>
      </c>
      <c r="K48" s="37" t="n">
        <v>0</v>
      </c>
      <c r="L48" s="37" t="n">
        <v>0</v>
      </c>
      <c r="M48" s="37" t="n">
        <v>0</v>
      </c>
      <c r="N48" s="37" t="n">
        <v>0</v>
      </c>
    </row>
    <row r="49" customFormat="false" ht="15" hidden="false" customHeight="false" outlineLevel="0" collapsed="false">
      <c r="A49" s="11" t="s">
        <v>2637</v>
      </c>
      <c r="B49" s="15" t="s">
        <v>2638</v>
      </c>
      <c r="C49" s="11" t="s">
        <v>508</v>
      </c>
      <c r="D49" s="37"/>
      <c r="E49" s="37" t="n">
        <v>246456</v>
      </c>
      <c r="F49" s="37" t="n">
        <v>205704</v>
      </c>
      <c r="G49" s="37" t="n">
        <v>154015</v>
      </c>
      <c r="H49" s="37" t="n">
        <v>97476</v>
      </c>
      <c r="I49" s="37" t="n">
        <v>35635</v>
      </c>
      <c r="J49" s="37" t="n">
        <v>0</v>
      </c>
      <c r="K49" s="37" t="n">
        <v>0</v>
      </c>
      <c r="L49" s="37" t="n">
        <v>0</v>
      </c>
      <c r="M49" s="37" t="n">
        <v>0</v>
      </c>
      <c r="N49" s="37" t="n">
        <v>0</v>
      </c>
      <c r="O49" s="54" t="n">
        <f aca="false">IF(COUNT(D49:N49)=0,"",SUM(D49:N49))</f>
        <v>739286</v>
      </c>
    </row>
    <row r="50" customFormat="false" ht="15" hidden="false" customHeight="false" outlineLevel="0" collapsed="false">
      <c r="A50" s="11" t="s">
        <v>2639</v>
      </c>
      <c r="B50" s="15" t="s">
        <v>433</v>
      </c>
      <c r="C50" s="11" t="s">
        <v>508</v>
      </c>
      <c r="D50" s="37"/>
      <c r="E50" s="37" t="n">
        <v>24646</v>
      </c>
      <c r="F50" s="37" t="n">
        <v>20570</v>
      </c>
      <c r="G50" s="37" t="n">
        <v>15401</v>
      </c>
      <c r="H50" s="37" t="n">
        <v>9748</v>
      </c>
      <c r="I50" s="37" t="n">
        <v>3563</v>
      </c>
      <c r="J50" s="37" t="n">
        <v>0</v>
      </c>
      <c r="K50" s="37" t="n">
        <v>0</v>
      </c>
      <c r="L50" s="37" t="n">
        <v>0</v>
      </c>
      <c r="M50" s="37" t="n">
        <v>0</v>
      </c>
      <c r="N50" s="37" t="n">
        <v>0</v>
      </c>
      <c r="O50" s="54" t="n">
        <f aca="false">IF(COUNT(D50:N50)=0,"",SUM(D50:N50))</f>
        <v>73928</v>
      </c>
    </row>
    <row r="51" customFormat="false" ht="15" hidden="false" customHeight="false" outlineLevel="0" collapsed="false">
      <c r="A51" s="11" t="s">
        <v>2640</v>
      </c>
      <c r="B51" s="67" t="s">
        <v>2641</v>
      </c>
      <c r="C51" s="11" t="s">
        <v>508</v>
      </c>
      <c r="D51" s="37"/>
      <c r="E51" s="37" t="n">
        <v>271102</v>
      </c>
      <c r="F51" s="37" t="n">
        <v>226274</v>
      </c>
      <c r="G51" s="37" t="n">
        <v>169416</v>
      </c>
      <c r="H51" s="37" t="n">
        <v>107224</v>
      </c>
      <c r="I51" s="37" t="n">
        <v>39198</v>
      </c>
      <c r="J51" s="37" t="n">
        <v>0</v>
      </c>
      <c r="K51" s="37" t="n">
        <v>0</v>
      </c>
      <c r="L51" s="37" t="n">
        <v>0</v>
      </c>
      <c r="M51" s="37" t="n">
        <v>0</v>
      </c>
      <c r="N51" s="37" t="n">
        <v>0</v>
      </c>
      <c r="O51" s="54" t="n">
        <f aca="false">IF(COUNT(D51:N51)=0,"",SUM(D51:N51))</f>
        <v>813214</v>
      </c>
    </row>
    <row r="52" customFormat="false" ht="15" hidden="false" customHeight="false" outlineLevel="0" collapsed="false">
      <c r="A52" s="11" t="s">
        <v>2642</v>
      </c>
      <c r="B52" s="67" t="s">
        <v>2643</v>
      </c>
      <c r="C52" s="11" t="s">
        <v>508</v>
      </c>
      <c r="D52" s="54" t="str">
        <f aca="false">IFERROR(IF(COUNT(D47,D51)=0,"",N(D47)+N(D51)),"")</f>
        <v/>
      </c>
      <c r="E52" s="54" t="n">
        <f aca="false">IFERROR(IF(COUNT(E47,E51)=0,"",N(E47)+N(E51)),"")</f>
        <v>528628</v>
      </c>
      <c r="F52" s="54" t="n">
        <f aca="false">IFERROR(IF(COUNT(F47,F51)=0,"",N(F47)+N(F51)),"")</f>
        <v>777293</v>
      </c>
      <c r="G52" s="54" t="n">
        <f aca="false">IFERROR(IF(COUNT(G47,G51)=0,"",N(G47)+N(G51)),"")</f>
        <v>772124</v>
      </c>
      <c r="H52" s="54" t="n">
        <f aca="false">IFERROR(IF(COUNT(H47,H51)=0,"",N(H47)+N(H51)),"")</f>
        <v>766470</v>
      </c>
      <c r="I52" s="54" t="n">
        <f aca="false">IFERROR(IF(COUNT(I47,I51)=0,"",N(I47)+N(I51)),"")</f>
        <v>760286</v>
      </c>
      <c r="J52" s="54" t="n">
        <f aca="false">IFERROR(IF(COUNT(J47,J51)=0,"",N(J47)+N(J51)),"")</f>
        <v>0</v>
      </c>
      <c r="K52" s="54" t="n">
        <f aca="false">IFERROR(IF(COUNT(K47,K51)=0,"",N(K47)+N(K51)),"")</f>
        <v>0</v>
      </c>
      <c r="L52" s="54" t="n">
        <f aca="false">IFERROR(IF(COUNT(L47,L51)=0,"",N(L47)+N(L51)),"")</f>
        <v>0</v>
      </c>
      <c r="M52" s="54" t="n">
        <f aca="false">IFERROR(IF(COUNT(M47,M51)=0,"",N(M47)+N(M51)),"")</f>
        <v>0</v>
      </c>
      <c r="N52" s="54" t="n">
        <f aca="false">IFERROR(IF(COUNT(N47,N51)=0,"",N(N47)+N(N51)),"")</f>
        <v>0</v>
      </c>
      <c r="O52" s="54" t="n">
        <f aca="false">IF(COUNT(D52:N52)=0,"",SUM(D52:N52))</f>
        <v>3604801</v>
      </c>
    </row>
    <row r="53" customFormat="false" ht="15" hidden="false" customHeight="false" outlineLevel="0" collapsed="false">
      <c r="A53" s="13"/>
      <c r="B53" s="100" t="s">
        <v>2644</v>
      </c>
      <c r="C53" s="13"/>
      <c r="D53" s="13"/>
      <c r="E53" s="13"/>
      <c r="F53" s="13"/>
      <c r="G53" s="13"/>
      <c r="H53" s="13"/>
      <c r="I53" s="13"/>
      <c r="J53" s="13"/>
      <c r="K53" s="13"/>
      <c r="L53" s="13"/>
      <c r="M53" s="13"/>
      <c r="N53" s="13"/>
      <c r="O53" s="13"/>
    </row>
    <row r="54" customFormat="false" ht="15" hidden="false" customHeight="false" outlineLevel="0" collapsed="false">
      <c r="A54" s="11" t="s">
        <v>2645</v>
      </c>
      <c r="B54" s="15" t="s">
        <v>2646</v>
      </c>
      <c r="C54" s="11" t="s">
        <v>508</v>
      </c>
      <c r="O54" s="54" t="str">
        <f aca="false">IF(COUNT(D54:N54)=0,"",SUM(D54:N54))</f>
        <v/>
      </c>
    </row>
    <row r="55" customFormat="false" ht="15" hidden="false" customHeight="false" outlineLevel="0" collapsed="false">
      <c r="A55" s="11" t="s">
        <v>2647</v>
      </c>
      <c r="B55" s="15" t="s">
        <v>2648</v>
      </c>
      <c r="C55" s="11" t="s">
        <v>508</v>
      </c>
      <c r="O55" s="54" t="str">
        <f aca="false">IF(COUNT(D55:N55)=0,"",SUM(D55:N55))</f>
        <v/>
      </c>
    </row>
    <row r="56" customFormat="false" ht="15" hidden="false" customHeight="false" outlineLevel="0" collapsed="false">
      <c r="A56" s="11" t="s">
        <v>2649</v>
      </c>
      <c r="B56" s="15" t="s">
        <v>2650</v>
      </c>
      <c r="C56" s="11" t="s">
        <v>508</v>
      </c>
    </row>
    <row r="57" customFormat="false" ht="15" hidden="false" customHeight="false" outlineLevel="0" collapsed="false">
      <c r="A57" s="13"/>
      <c r="B57" s="100" t="s">
        <v>2651</v>
      </c>
      <c r="C57" s="13"/>
      <c r="D57" s="13"/>
      <c r="E57" s="13"/>
      <c r="F57" s="13"/>
      <c r="G57" s="13"/>
      <c r="H57" s="13"/>
      <c r="I57" s="13"/>
      <c r="J57" s="13"/>
      <c r="K57" s="13"/>
      <c r="L57" s="13"/>
      <c r="M57" s="13"/>
      <c r="N57" s="13"/>
      <c r="O57" s="13"/>
    </row>
    <row r="58" customFormat="false" ht="15" hidden="false" customHeight="false" outlineLevel="0" collapsed="false">
      <c r="A58" s="11" t="s">
        <v>2652</v>
      </c>
      <c r="B58" s="15" t="s">
        <v>1211</v>
      </c>
      <c r="C58" s="11" t="s">
        <v>508</v>
      </c>
      <c r="O58" s="54" t="str">
        <f aca="false">IF(COUNT(D58:N58)=0,"",SUM(D58:N58))</f>
        <v/>
      </c>
    </row>
    <row r="59" customFormat="false" ht="15" hidden="false" customHeight="false" outlineLevel="0" collapsed="false">
      <c r="A59" s="11" t="s">
        <v>2653</v>
      </c>
      <c r="B59" s="15" t="s">
        <v>2654</v>
      </c>
      <c r="C59" s="11" t="s">
        <v>508</v>
      </c>
      <c r="O59" s="54" t="str">
        <f aca="false">IF(COUNT(D59:N59)=0,"",SUM(D59:N59))</f>
        <v/>
      </c>
    </row>
    <row r="60" customFormat="false" ht="15" hidden="false" customHeight="false" outlineLevel="0" collapsed="false">
      <c r="A60" s="11" t="s">
        <v>2655</v>
      </c>
      <c r="B60" s="15" t="s">
        <v>1215</v>
      </c>
      <c r="C60" s="11" t="s">
        <v>508</v>
      </c>
      <c r="O60" s="54" t="str">
        <f aca="false">IF(COUNT(D60:N60)=0,"",SUM(D60:N60))</f>
        <v/>
      </c>
    </row>
    <row r="61" customFormat="false" ht="15" hidden="false" customHeight="false" outlineLevel="0" collapsed="false">
      <c r="A61" s="11" t="s">
        <v>2656</v>
      </c>
      <c r="B61" s="15" t="s">
        <v>2657</v>
      </c>
      <c r="C61" s="11" t="s">
        <v>508</v>
      </c>
    </row>
    <row r="62" customFormat="false" ht="15" hidden="true" customHeight="false" outlineLevel="1" collapsed="false">
      <c r="A62" s="11" t="s">
        <v>2658</v>
      </c>
      <c r="B62" s="15" t="s">
        <v>1219</v>
      </c>
      <c r="C62" s="11" t="s">
        <v>508</v>
      </c>
      <c r="O62" s="54" t="str">
        <f aca="false">IF(COUNT(D62:N62)=0,"",SUM(D62:N62))</f>
        <v/>
      </c>
    </row>
    <row r="63" customFormat="false" ht="15" hidden="true" customHeight="false" outlineLevel="1" collapsed="false">
      <c r="A63" s="11" t="s">
        <v>2659</v>
      </c>
      <c r="B63" s="15" t="s">
        <v>2660</v>
      </c>
      <c r="C63" s="11" t="s">
        <v>508</v>
      </c>
      <c r="O63" s="54" t="str">
        <f aca="false">IF(COUNT(D63:N63)=0,"",SUM(D63:N63))</f>
        <v/>
      </c>
    </row>
    <row r="64" customFormat="false" ht="15" hidden="true" customHeight="false" outlineLevel="1" collapsed="false">
      <c r="A64" s="11" t="s">
        <v>2661</v>
      </c>
      <c r="B64" s="15" t="s">
        <v>1223</v>
      </c>
      <c r="C64" s="11" t="s">
        <v>508</v>
      </c>
      <c r="O64" s="54" t="str">
        <f aca="false">IF(COUNT(D64:N64)=0,"",SUM(D64:N64))</f>
        <v/>
      </c>
    </row>
    <row r="65" customFormat="false" ht="15" hidden="true" customHeight="false" outlineLevel="1" collapsed="false">
      <c r="A65" s="11" t="s">
        <v>2662</v>
      </c>
      <c r="B65" s="15" t="s">
        <v>2663</v>
      </c>
      <c r="C65" s="11" t="s">
        <v>508</v>
      </c>
    </row>
    <row r="66" customFormat="false" ht="15" hidden="true" customHeight="false" outlineLevel="1" collapsed="false">
      <c r="A66" s="11" t="s">
        <v>2664</v>
      </c>
      <c r="B66" s="15" t="s">
        <v>1227</v>
      </c>
      <c r="C66" s="11" t="s">
        <v>508</v>
      </c>
      <c r="O66" s="54" t="str">
        <f aca="false">IF(COUNT(D66:N66)=0,"",SUM(D66:N66))</f>
        <v/>
      </c>
    </row>
    <row r="67" customFormat="false" ht="15" hidden="true" customHeight="false" outlineLevel="1" collapsed="false">
      <c r="A67" s="11" t="s">
        <v>2665</v>
      </c>
      <c r="B67" s="15" t="s">
        <v>2666</v>
      </c>
      <c r="C67" s="11" t="s">
        <v>508</v>
      </c>
      <c r="O67" s="54" t="str">
        <f aca="false">IF(COUNT(D67:N67)=0,"",SUM(D67:N67))</f>
        <v/>
      </c>
    </row>
    <row r="68" customFormat="false" ht="15" hidden="true" customHeight="false" outlineLevel="1" collapsed="false">
      <c r="A68" s="11" t="s">
        <v>2667</v>
      </c>
      <c r="B68" s="15" t="s">
        <v>1231</v>
      </c>
      <c r="C68" s="11" t="s">
        <v>508</v>
      </c>
      <c r="O68" s="54" t="str">
        <f aca="false">IF(COUNT(D68:N68)=0,"",SUM(D68:N68))</f>
        <v/>
      </c>
    </row>
    <row r="69" customFormat="false" ht="15" hidden="true" customHeight="false" outlineLevel="1" collapsed="false">
      <c r="A69" s="11" t="s">
        <v>2668</v>
      </c>
      <c r="B69" s="15" t="s">
        <v>2669</v>
      </c>
      <c r="C69" s="11" t="s">
        <v>508</v>
      </c>
    </row>
    <row r="70" customFormat="false" ht="15" hidden="false" customHeight="false" outlineLevel="0" collapsed="false">
      <c r="A70" s="13"/>
      <c r="B70" s="100" t="s">
        <v>2670</v>
      </c>
      <c r="C70" s="13"/>
      <c r="D70" s="13"/>
      <c r="E70" s="13"/>
      <c r="F70" s="13"/>
      <c r="G70" s="13"/>
      <c r="H70" s="13"/>
      <c r="I70" s="13"/>
      <c r="J70" s="13"/>
      <c r="K70" s="13"/>
      <c r="L70" s="13"/>
      <c r="M70" s="13"/>
      <c r="N70" s="13"/>
      <c r="O70" s="13"/>
    </row>
    <row r="71" customFormat="false" ht="15" hidden="false" customHeight="false" outlineLevel="0" collapsed="false">
      <c r="A71" s="11" t="s">
        <v>2671</v>
      </c>
      <c r="B71" s="15" t="s">
        <v>2672</v>
      </c>
      <c r="C71" s="11" t="s">
        <v>508</v>
      </c>
      <c r="D71" s="37"/>
      <c r="E71" s="37" t="n">
        <v>0</v>
      </c>
      <c r="F71" s="37" t="n">
        <v>0</v>
      </c>
      <c r="G71" s="37" t="n">
        <v>0</v>
      </c>
      <c r="H71" s="37" t="n">
        <v>0</v>
      </c>
      <c r="I71" s="37" t="n">
        <v>0</v>
      </c>
      <c r="J71" s="37" t="n">
        <v>0</v>
      </c>
      <c r="K71" s="37" t="n">
        <v>0</v>
      </c>
      <c r="L71" s="37" t="n">
        <v>0</v>
      </c>
      <c r="M71" s="37" t="n">
        <v>0</v>
      </c>
      <c r="N71" s="37" t="n">
        <v>0</v>
      </c>
      <c r="O71" s="54" t="n">
        <f aca="false">IF(COUNT(D71:N71)=0,"",SUM(D71:N71))</f>
        <v>0</v>
      </c>
    </row>
    <row r="72" customFormat="false" ht="15" hidden="false" customHeight="false" outlineLevel="0" collapsed="false">
      <c r="A72" s="11" t="s">
        <v>2673</v>
      </c>
      <c r="B72" s="15" t="s">
        <v>2674</v>
      </c>
      <c r="C72" s="11" t="s">
        <v>508</v>
      </c>
      <c r="D72" s="37"/>
      <c r="E72" s="37" t="n">
        <v>0</v>
      </c>
      <c r="F72" s="37" t="n">
        <v>0</v>
      </c>
      <c r="G72" s="37" t="n">
        <v>0</v>
      </c>
      <c r="H72" s="37" t="n">
        <v>0</v>
      </c>
      <c r="I72" s="37" t="n">
        <v>0</v>
      </c>
      <c r="J72" s="37" t="n">
        <v>0</v>
      </c>
      <c r="K72" s="37" t="n">
        <v>0</v>
      </c>
      <c r="L72" s="37" t="n">
        <v>0</v>
      </c>
      <c r="M72" s="37" t="n">
        <v>0</v>
      </c>
      <c r="N72" s="37" t="n">
        <v>0</v>
      </c>
      <c r="O72" s="54" t="n">
        <f aca="false">IF(COUNT(D72:N72)=0,"",SUM(D72:N72))</f>
        <v>0</v>
      </c>
    </row>
    <row r="73" customFormat="false" ht="15" hidden="false" customHeight="false" outlineLevel="0" collapsed="false">
      <c r="A73" s="11" t="s">
        <v>2675</v>
      </c>
      <c r="B73" s="15" t="s">
        <v>2676</v>
      </c>
      <c r="C73" s="11" t="s">
        <v>508</v>
      </c>
      <c r="D73" s="37"/>
      <c r="E73" s="37" t="n">
        <v>0</v>
      </c>
      <c r="F73" s="37" t="n">
        <v>0</v>
      </c>
      <c r="G73" s="37" t="n">
        <v>0</v>
      </c>
      <c r="H73" s="37" t="n">
        <v>0</v>
      </c>
      <c r="I73" s="37" t="n">
        <v>0</v>
      </c>
      <c r="J73" s="37" t="n">
        <v>0</v>
      </c>
      <c r="K73" s="37" t="n">
        <v>0</v>
      </c>
      <c r="L73" s="37" t="n">
        <v>0</v>
      </c>
      <c r="M73" s="37" t="n">
        <v>0</v>
      </c>
      <c r="N73" s="37" t="n">
        <v>0</v>
      </c>
      <c r="O73" s="54" t="n">
        <f aca="false">IF(COUNT(D73:N73)=0,"",SUM(D73:N73))</f>
        <v>0</v>
      </c>
    </row>
    <row r="74" customFormat="false" ht="15" hidden="false" customHeight="false" outlineLevel="0" collapsed="false">
      <c r="A74" s="11" t="s">
        <v>2677</v>
      </c>
      <c r="B74" s="15" t="s">
        <v>2678</v>
      </c>
      <c r="C74" s="11" t="s">
        <v>508</v>
      </c>
      <c r="D74" s="37"/>
      <c r="E74" s="37" t="n">
        <v>0</v>
      </c>
      <c r="F74" s="37" t="n">
        <v>0</v>
      </c>
      <c r="G74" s="37" t="n">
        <v>0</v>
      </c>
      <c r="H74" s="37" t="n">
        <v>0</v>
      </c>
      <c r="I74" s="37" t="n">
        <v>0</v>
      </c>
      <c r="J74" s="37" t="n">
        <v>0</v>
      </c>
      <c r="K74" s="37" t="n">
        <v>0</v>
      </c>
      <c r="L74" s="37" t="n">
        <v>0</v>
      </c>
      <c r="M74" s="37" t="n">
        <v>0</v>
      </c>
      <c r="N74" s="37" t="n">
        <v>0</v>
      </c>
    </row>
    <row r="75" customFormat="false" ht="15" hidden="false" customHeight="false" outlineLevel="0" collapsed="false">
      <c r="A75" s="11" t="s">
        <v>2679</v>
      </c>
      <c r="B75" s="15" t="s">
        <v>2680</v>
      </c>
      <c r="C75" s="11" t="s">
        <v>508</v>
      </c>
      <c r="D75" s="48" t="n">
        <f aca="false">IFERROR(D50,"")</f>
        <v>0</v>
      </c>
      <c r="E75" s="48" t="n">
        <f aca="false">IFERROR(E50,"")</f>
        <v>24646</v>
      </c>
      <c r="F75" s="48" t="n">
        <f aca="false">IFERROR(F50,"")</f>
        <v>20570</v>
      </c>
      <c r="G75" s="48" t="n">
        <f aca="false">IFERROR(G50,"")</f>
        <v>15401</v>
      </c>
      <c r="H75" s="48" t="n">
        <f aca="false">IFERROR(H50,"")</f>
        <v>9748</v>
      </c>
      <c r="I75" s="48" t="n">
        <f aca="false">IFERROR(I50,"")</f>
        <v>3563</v>
      </c>
      <c r="J75" s="48" t="n">
        <f aca="false">IFERROR(J50,"")</f>
        <v>0</v>
      </c>
      <c r="K75" s="48" t="n">
        <f aca="false">IFERROR(K50,"")</f>
        <v>0</v>
      </c>
      <c r="L75" s="48" t="n">
        <f aca="false">IFERROR(L50,"")</f>
        <v>0</v>
      </c>
      <c r="M75" s="48" t="n">
        <f aca="false">IFERROR(M50,"")</f>
        <v>0</v>
      </c>
      <c r="N75" s="48" t="n">
        <f aca="false">IFERROR(N50,"")</f>
        <v>0</v>
      </c>
      <c r="O75" s="54" t="n">
        <f aca="false">IF(COUNT(D75:N75)=0,"",SUM(D75:N75))</f>
        <v>73928</v>
      </c>
    </row>
    <row r="77" customFormat="false" ht="15" hidden="false" customHeight="false" outlineLevel="0" collapsed="false">
      <c r="A77" s="101" t="s">
        <v>1994</v>
      </c>
      <c r="B77" s="102"/>
      <c r="C77" s="102"/>
      <c r="D77" s="102"/>
      <c r="E77" s="102"/>
      <c r="F77" s="102"/>
      <c r="G77" s="102"/>
      <c r="H77" s="102"/>
      <c r="I77" s="102"/>
      <c r="J77" s="102"/>
      <c r="K77" s="102"/>
      <c r="L77" s="102"/>
      <c r="M77" s="102"/>
      <c r="N77" s="102"/>
      <c r="O77" s="102"/>
      <c r="P77" s="102"/>
    </row>
    <row r="78" customFormat="false" ht="24" hidden="false" customHeight="true" outlineLevel="0" collapsed="false">
      <c r="A78" s="14"/>
      <c r="B78" s="14" t="s">
        <v>1530</v>
      </c>
      <c r="C78" s="14" t="s">
        <v>355</v>
      </c>
      <c r="D78" s="14" t="s">
        <v>1857</v>
      </c>
      <c r="E78" s="14" t="s">
        <v>452</v>
      </c>
      <c r="F78" s="14" t="s">
        <v>453</v>
      </c>
      <c r="G78" s="14" t="s">
        <v>454</v>
      </c>
      <c r="H78" s="14" t="s">
        <v>455</v>
      </c>
      <c r="I78" s="14" t="s">
        <v>456</v>
      </c>
      <c r="J78" s="14" t="s">
        <v>457</v>
      </c>
      <c r="K78" s="14" t="s">
        <v>458</v>
      </c>
      <c r="L78" s="14" t="s">
        <v>459</v>
      </c>
      <c r="M78" s="14" t="s">
        <v>460</v>
      </c>
      <c r="N78" s="14" t="s">
        <v>461</v>
      </c>
      <c r="O78" s="14" t="s">
        <v>549</v>
      </c>
      <c r="P78" s="14" t="s">
        <v>1822</v>
      </c>
    </row>
    <row r="79" customFormat="false" ht="15" hidden="false" customHeight="false" outlineLevel="0" collapsed="false">
      <c r="B79" s="11" t="s">
        <v>1993</v>
      </c>
      <c r="D79" s="86" t="str">
        <f aca="false">IF(OR(n_Fecha1="",IF(cu_P=1,P_Inicio,V_Inicio)=1),"",YEAR(n_Fecha1))</f>
        <v/>
      </c>
      <c r="E79" s="86" t="str">
        <f aca="false">IF(n_Fecha1="","",YEAR(EOMONTH(n_Fecha1,IF(cu_P=1,P_Inicio,V_Inicio)-1+0)))</f>
        <v/>
      </c>
      <c r="F79" s="86" t="str">
        <f aca="false">IF(n_Fecha1="","",YEAR(EOMONTH(n_Fecha1,IF(cu_P=1,P_Inicio,V_Inicio)-1+12)))</f>
        <v/>
      </c>
      <c r="G79" s="86" t="str">
        <f aca="false">IF(n_Fecha1="","",YEAR(EOMONTH(n_Fecha1,IF(cu_P=1,P_Inicio,V_Inicio)-1+24)))</f>
        <v/>
      </c>
      <c r="H79" s="86" t="str">
        <f aca="false">IF(n_Fecha1="","",YEAR(EOMONTH(n_Fecha1,IF(cu_P=1,P_Inicio,V_Inicio)-1+36)))</f>
        <v/>
      </c>
      <c r="I79" s="86" t="str">
        <f aca="false">IF(n_Fecha1="","",YEAR(EOMONTH(n_Fecha1,IF(cu_P=1,P_Inicio,V_Inicio)-1+48)))</f>
        <v/>
      </c>
      <c r="J79" s="86" t="str">
        <f aca="false">IF(n_Fecha1="","",YEAR(EOMONTH(n_Fecha1,IF(cu_P=1,P_Inicio,V_Inicio)-1+60)))</f>
        <v/>
      </c>
      <c r="K79" s="86" t="str">
        <f aca="false">IF(n_Fecha1="","",YEAR(EOMONTH(n_Fecha1,IF(cu_P=1,P_Inicio,V_Inicio)-1+72)))</f>
        <v/>
      </c>
      <c r="L79" s="86" t="str">
        <f aca="false">IF(n_Fecha1="","",YEAR(EOMONTH(n_Fecha1,IF(cu_P=1,P_Inicio,V_Inicio)-1+84)))</f>
        <v/>
      </c>
      <c r="M79" s="86" t="str">
        <f aca="false">IF(n_Fecha1="","",YEAR(EOMONTH(n_Fecha1,IF(cu_P=1,P_Inicio,V_Inicio)-1+96)))</f>
        <v/>
      </c>
      <c r="N79" s="86" t="str">
        <f aca="false">IF(n_Fecha1="","",YEAR(EOMONTH(n_Fecha1,IF(cu_P=1,P_Inicio,V_Inicio)-1+108)))</f>
        <v/>
      </c>
    </row>
    <row r="80" customFormat="false" ht="15" hidden="false" customHeight="false" outlineLevel="0" collapsed="false">
      <c r="A80" s="13"/>
      <c r="B80" s="100" t="s">
        <v>2628</v>
      </c>
      <c r="C80" s="13"/>
      <c r="D80" s="13"/>
      <c r="E80" s="13"/>
      <c r="F80" s="13"/>
      <c r="G80" s="13"/>
      <c r="H80" s="13"/>
      <c r="I80" s="13"/>
      <c r="J80" s="13"/>
      <c r="K80" s="13"/>
      <c r="L80" s="13"/>
      <c r="M80" s="13"/>
      <c r="N80" s="13"/>
      <c r="O80" s="13"/>
      <c r="P80" s="13"/>
    </row>
    <row r="81" customFormat="false" ht="15" hidden="false" customHeight="false" outlineLevel="0" collapsed="false">
      <c r="A81" s="11" t="s">
        <v>2629</v>
      </c>
      <c r="B81" s="15" t="s">
        <v>2630</v>
      </c>
      <c r="C81" s="11" t="s">
        <v>508</v>
      </c>
      <c r="D81" s="48" t="n">
        <f aca="false">IF(OR(NOT(ISNUMBER(D9)),NOT(ISNUMBER(D45))),"",D9-D45)</f>
        <v>-2791587</v>
      </c>
      <c r="E81" s="48" t="n">
        <f aca="false">IF(OR(NOT(ISNUMBER(E9)),NOT(ISNUMBER(E45))),"",E9-E45)</f>
        <v>2791587</v>
      </c>
      <c r="F81" s="48" t="n">
        <f aca="false">IF(OR(NOT(ISNUMBER(F9)),NOT(ISNUMBER(F45))),"",F9-F45)</f>
        <v>0</v>
      </c>
      <c r="G81" s="48" t="n">
        <f aca="false">IF(OR(NOT(ISNUMBER(G9)),NOT(ISNUMBER(G45))),"",G9-G45)</f>
        <v>0</v>
      </c>
      <c r="H81" s="48" t="n">
        <f aca="false">IF(OR(NOT(ISNUMBER(H9)),NOT(ISNUMBER(H45))),"",H9-H45)</f>
        <v>0</v>
      </c>
      <c r="I81" s="48" t="n">
        <f aca="false">IF(OR(NOT(ISNUMBER(I9)),NOT(ISNUMBER(I45))),"",I9-I45)</f>
        <v>0</v>
      </c>
      <c r="J81" s="48" t="n">
        <f aca="false">IF(OR(NOT(ISNUMBER(J9)),NOT(ISNUMBER(J45))),"",J9-J45)</f>
        <v>0</v>
      </c>
      <c r="K81" s="48" t="n">
        <f aca="false">IF(OR(NOT(ISNUMBER(K9)),NOT(ISNUMBER(K45))),"",K9-K45)</f>
        <v>0</v>
      </c>
      <c r="L81" s="48" t="n">
        <f aca="false">IF(OR(NOT(ISNUMBER(L9)),NOT(ISNUMBER(L45))),"",L9-L45)</f>
        <v>0</v>
      </c>
      <c r="M81" s="48" t="n">
        <f aca="false">IF(OR(NOT(ISNUMBER(M9)),NOT(ISNUMBER(M45))),"",M9-M45)</f>
        <v>0</v>
      </c>
      <c r="N81" s="48" t="n">
        <f aca="false">IF(OR(NOT(ISNUMBER(N9)),NOT(ISNUMBER(N45))),"",N9-N45)</f>
        <v>0</v>
      </c>
      <c r="O81" s="54" t="n">
        <f aca="false">IF(OR(NOT(ISNUMBER(O9)),NOT(ISNUMBER(O45))),"",O9-O45)</f>
        <v>0</v>
      </c>
      <c r="P81" s="11" t="str">
        <f aca="false">IF(COUNT(D81:N81)=0,"",IF(AND(MAX(D81:N81)&lt;2,MIN(D81:N81)&gt;-2),"Sin diferencia","Calendario: el plan lo registra en el año 0; en el modelo la operación empieza en el mes 1 (año 1)."))</f>
        <v>Calendario: el plan lo registra en el año 0; en el modelo la operación empieza en el mes 1 (año 1).</v>
      </c>
    </row>
    <row r="82" customFormat="false" ht="15" hidden="false" customHeight="false" outlineLevel="0" collapsed="false">
      <c r="A82" s="11" t="s">
        <v>2631</v>
      </c>
      <c r="B82" s="15" t="s">
        <v>2632</v>
      </c>
      <c r="C82" s="11" t="s">
        <v>508</v>
      </c>
      <c r="D82" s="48" t="str">
        <f aca="false">IF(OR(NOT(ISNUMBER(D10)),NOT(ISNUMBER(D46))),"",D10-D46)</f>
        <v/>
      </c>
      <c r="E82" s="48" t="n">
        <f aca="false">IF(OR(NOT(ISNUMBER(E10)),NOT(ISNUMBER(E46))),"",E10-E46)</f>
        <v>0</v>
      </c>
      <c r="F82" s="48" t="n">
        <f aca="false">IF(OR(NOT(ISNUMBER(F10)),NOT(ISNUMBER(F46))),"",F10-F46)</f>
        <v>-0.352358101867139</v>
      </c>
      <c r="G82" s="48" t="n">
        <f aca="false">IF(OR(NOT(ISNUMBER(G10)),NOT(ISNUMBER(G46))),"",G10-G46)</f>
        <v>0.0358887831680477</v>
      </c>
      <c r="H82" s="48" t="n">
        <f aca="false">IF(OR(NOT(ISNUMBER(H10)),NOT(ISNUMBER(H46))),"",H10-H46)</f>
        <v>0.0776081364601851</v>
      </c>
      <c r="I82" s="48" t="n">
        <f aca="false">IF(OR(NOT(ISNUMBER(I10)),NOT(ISNUMBER(I46))),"",I10-I46)</f>
        <v>-0.044440429774113</v>
      </c>
      <c r="J82" s="48" t="n">
        <f aca="false">IF(OR(NOT(ISNUMBER(J10)),NOT(ISNUMBER(J46))),"",J10-J46)</f>
        <v>0</v>
      </c>
      <c r="K82" s="48" t="n">
        <f aca="false">IF(OR(NOT(ISNUMBER(K10)),NOT(ISNUMBER(K46))),"",K10-K46)</f>
        <v>0</v>
      </c>
      <c r="L82" s="48" t="n">
        <f aca="false">IF(OR(NOT(ISNUMBER(L10)),NOT(ISNUMBER(L46))),"",L10-L46)</f>
        <v>0</v>
      </c>
      <c r="M82" s="48" t="n">
        <f aca="false">IF(OR(NOT(ISNUMBER(M10)),NOT(ISNUMBER(M46))),"",M10-M46)</f>
        <v>0</v>
      </c>
      <c r="N82" s="48" t="n">
        <f aca="false">IF(OR(NOT(ISNUMBER(N10)),NOT(ISNUMBER(N46))),"",N10-N46)</f>
        <v>0</v>
      </c>
      <c r="P82" s="11" t="str">
        <f aca="false">IF(COUNT(D82:N82)=0,"",IF(AND(MAX(D82:N82)&lt;2,MIN(D82:N82)&gt;-2),"Sin diferencia","Diferencia a explicar"))</f>
        <v>Sin diferencia</v>
      </c>
    </row>
    <row r="83" customFormat="false" ht="15" hidden="false" customHeight="false" outlineLevel="0" collapsed="false">
      <c r="A83" s="11" t="s">
        <v>2633</v>
      </c>
      <c r="B83" s="67" t="s">
        <v>2634</v>
      </c>
      <c r="C83" s="11" t="s">
        <v>508</v>
      </c>
      <c r="D83" s="54" t="str">
        <f aca="false">IF(OR(NOT(ISNUMBER(D11)),NOT(ISNUMBER(D47))),"",D11-D47)</f>
        <v/>
      </c>
      <c r="E83" s="54" t="n">
        <f aca="false">IF(OR(NOT(ISNUMBER(E11)),NOT(ISNUMBER(E47))),"",E11-E47)</f>
        <v>0.352358103409642</v>
      </c>
      <c r="F83" s="54" t="n">
        <f aca="false">IF(OR(NOT(ISNUMBER(F11)),NOT(ISNUMBER(F47))),"",F11-F47)</f>
        <v>-0.388246885035187</v>
      </c>
      <c r="G83" s="54" t="n">
        <f aca="false">IF(OR(NOT(ISNUMBER(G11)),NOT(ISNUMBER(G47))),"",G11-G47)</f>
        <v>-0.0417193534085527</v>
      </c>
      <c r="H83" s="54" t="n">
        <f aca="false">IF(OR(NOT(ISNUMBER(H11)),NOT(ISNUMBER(H47))),"",H11-H47)</f>
        <v>0.122048566234298</v>
      </c>
      <c r="I83" s="54" t="n">
        <f aca="false">IF(OR(NOT(ISNUMBER(I11)),NOT(ISNUMBER(I47))),"",I11-I47)</f>
        <v>-0.044440429774113</v>
      </c>
      <c r="J83" s="54" t="n">
        <f aca="false">IF(OR(NOT(ISNUMBER(J11)),NOT(ISNUMBER(J47))),"",J11-J47)</f>
        <v>0</v>
      </c>
      <c r="K83" s="54" t="n">
        <f aca="false">IF(OR(NOT(ISNUMBER(K11)),NOT(ISNUMBER(K47))),"",K11-K47)</f>
        <v>0</v>
      </c>
      <c r="L83" s="54" t="n">
        <f aca="false">IF(OR(NOT(ISNUMBER(L11)),NOT(ISNUMBER(L47))),"",L11-L47)</f>
        <v>0</v>
      </c>
      <c r="M83" s="54" t="n">
        <f aca="false">IF(OR(NOT(ISNUMBER(M11)),NOT(ISNUMBER(M47))),"",M11-M47)</f>
        <v>0</v>
      </c>
      <c r="N83" s="54" t="n">
        <f aca="false">IF(OR(NOT(ISNUMBER(N11)),NOT(ISNUMBER(N47))),"",N11-N47)</f>
        <v>0</v>
      </c>
      <c r="O83" s="54" t="n">
        <f aca="false">IF(OR(NOT(ISNUMBER(O11)),NOT(ISNUMBER(O47))),"",O11-O47)</f>
        <v>0</v>
      </c>
      <c r="P83" s="11" t="str">
        <f aca="false">IF(COUNT(D83:N83)=0,"",IF(AND(MAX(D83:N83)&lt;2,MIN(D83:N83)&gt;-2),"Sin diferencia","Diferencia a explicar"))</f>
        <v>Sin diferencia</v>
      </c>
    </row>
    <row r="84" customFormat="false" ht="15" hidden="false" customHeight="false" outlineLevel="0" collapsed="false">
      <c r="A84" s="11" t="s">
        <v>2635</v>
      </c>
      <c r="B84" s="15" t="s">
        <v>2636</v>
      </c>
      <c r="C84" s="11" t="s">
        <v>508</v>
      </c>
      <c r="D84" s="48" t="str">
        <f aca="false">IF(OR(NOT(ISNUMBER(D12)),NOT(ISNUMBER(D48))),"",D12-D48)</f>
        <v/>
      </c>
      <c r="E84" s="48" t="n">
        <f aca="false">IF(OR(NOT(ISNUMBER(E12)),NOT(ISNUMBER(E48))),"",E12-E48)</f>
        <v>-0.352358102798462</v>
      </c>
      <c r="F84" s="48" t="n">
        <f aca="false">IF(OR(NOT(ISNUMBER(F12)),NOT(ISNUMBER(F48))),"",F12-F48)</f>
        <v>0.035888782935217</v>
      </c>
      <c r="G84" s="48" t="n">
        <f aca="false">IF(OR(NOT(ISNUMBER(G12)),NOT(ISNUMBER(G48))),"",G12-G48)</f>
        <v>0.0776081364601851</v>
      </c>
      <c r="H84" s="48" t="n">
        <f aca="false">IF(OR(NOT(ISNUMBER(H12)),NOT(ISNUMBER(H48))),"",H12-H48)</f>
        <v>-0.044440429774113</v>
      </c>
      <c r="I84" s="48" t="n">
        <f aca="false">IF(OR(NOT(ISNUMBER(I12)),NOT(ISNUMBER(I48))),"",I12-I48)</f>
        <v>0</v>
      </c>
      <c r="J84" s="48" t="n">
        <f aca="false">IF(OR(NOT(ISNUMBER(J12)),NOT(ISNUMBER(J48))),"",J12-J48)</f>
        <v>0</v>
      </c>
      <c r="K84" s="48" t="n">
        <f aca="false">IF(OR(NOT(ISNUMBER(K12)),NOT(ISNUMBER(K48))),"",K12-K48)</f>
        <v>0</v>
      </c>
      <c r="L84" s="48" t="n">
        <f aca="false">IF(OR(NOT(ISNUMBER(L12)),NOT(ISNUMBER(L48))),"",L12-L48)</f>
        <v>0</v>
      </c>
      <c r="M84" s="48" t="n">
        <f aca="false">IF(OR(NOT(ISNUMBER(M12)),NOT(ISNUMBER(M48))),"",M12-M48)</f>
        <v>0</v>
      </c>
      <c r="N84" s="48" t="n">
        <f aca="false">IF(OR(NOT(ISNUMBER(N12)),NOT(ISNUMBER(N48))),"",N12-N48)</f>
        <v>0</v>
      </c>
      <c r="P84" s="11" t="str">
        <f aca="false">IF(COUNT(D84:N84)=0,"",IF(AND(MAX(D84:N84)&lt;2,MIN(D84:N84)&gt;-2),"Sin diferencia","Diferencia a explicar"))</f>
        <v>Sin diferencia</v>
      </c>
    </row>
    <row r="85" customFormat="false" ht="15" hidden="false" customHeight="false" outlineLevel="0" collapsed="false">
      <c r="A85" s="11" t="s">
        <v>2637</v>
      </c>
      <c r="B85" s="15" t="s">
        <v>2638</v>
      </c>
      <c r="C85" s="11" t="s">
        <v>508</v>
      </c>
      <c r="D85" s="48" t="str">
        <f aca="false">IF(OR(NOT(ISNUMBER(D13)),NOT(ISNUMBER(D49))),"",D13-D49)</f>
        <v/>
      </c>
      <c r="E85" s="48" t="n">
        <f aca="false">IF(OR(NOT(ISNUMBER(E13)),NOT(ISNUMBER(E49))),"",E13-E49)</f>
        <v>0.302210023190128</v>
      </c>
      <c r="F85" s="48" t="n">
        <f aca="false">IF(OR(NOT(ISNUMBER(F13)),NOT(ISNUMBER(F49))),"",F13-F49)</f>
        <v>-0.132616861810675</v>
      </c>
      <c r="G85" s="48" t="n">
        <f aca="false">IF(OR(NOT(ISNUMBER(G13)),NOT(ISNUMBER(G49))),"",G13-G49)</f>
        <v>-0.479144393379102</v>
      </c>
      <c r="H85" s="48" t="n">
        <f aca="false">IF(OR(NOT(ISNUMBER(H13)),NOT(ISNUMBER(H49))),"",H13-H49)</f>
        <v>0.357087686890736</v>
      </c>
      <c r="I85" s="48" t="n">
        <f aca="false">IF(OR(NOT(ISNUMBER(I13)),NOT(ISNUMBER(I49))),"",I13-I49)</f>
        <v>-0.476423315369175</v>
      </c>
      <c r="J85" s="48" t="n">
        <f aca="false">IF(OR(NOT(ISNUMBER(J13)),NOT(ISNUMBER(J49))),"",J13-J49)</f>
        <v>0</v>
      </c>
      <c r="K85" s="48" t="n">
        <f aca="false">IF(OR(NOT(ISNUMBER(K13)),NOT(ISNUMBER(K49))),"",K13-K49)</f>
        <v>0</v>
      </c>
      <c r="L85" s="48" t="n">
        <f aca="false">IF(OR(NOT(ISNUMBER(L13)),NOT(ISNUMBER(L49))),"",L13-L49)</f>
        <v>0</v>
      </c>
      <c r="M85" s="48" t="n">
        <f aca="false">IF(OR(NOT(ISNUMBER(M13)),NOT(ISNUMBER(M49))),"",M13-M49)</f>
        <v>0</v>
      </c>
      <c r="N85" s="48" t="n">
        <f aca="false">IF(OR(NOT(ISNUMBER(N13)),NOT(ISNUMBER(N49))),"",N13-N49)</f>
        <v>0</v>
      </c>
      <c r="O85" s="54" t="n">
        <f aca="false">IF(OR(NOT(ISNUMBER(O13)),NOT(ISNUMBER(O49))),"",O13-O49)</f>
        <v>-0.428886860492639</v>
      </c>
      <c r="P85" s="11" t="str">
        <f aca="false">IF(COUNT(D85:N85)=0,"",IF(AND(MAX(D85:N85)&lt;2,MIN(D85:N85)&gt;-2),"Sin diferencia","Diferencia a explicar"))</f>
        <v>Sin diferencia</v>
      </c>
    </row>
    <row r="86" customFormat="false" ht="15" hidden="false" customHeight="false" outlineLevel="0" collapsed="false">
      <c r="A86" s="11" t="s">
        <v>2639</v>
      </c>
      <c r="B86" s="15" t="s">
        <v>433</v>
      </c>
      <c r="C86" s="11" t="s">
        <v>508</v>
      </c>
      <c r="D86" s="48" t="str">
        <f aca="false">IF(OR(NOT(ISNUMBER(D14)),NOT(ISNUMBER(D50))),"",D14-D50)</f>
        <v/>
      </c>
      <c r="E86" s="48" t="n">
        <f aca="false">IF(OR(NOT(ISNUMBER(E14)),NOT(ISNUMBER(E50))),"",E14-E50)</f>
        <v>-0.369778997643152</v>
      </c>
      <c r="F86" s="48" t="n">
        <f aca="false">IF(OR(NOT(ISNUMBER(F14)),NOT(ISNUMBER(F50))),"",F14-F50)</f>
        <v>0.386738313856768</v>
      </c>
      <c r="G86" s="48" t="n">
        <f aca="false">IF(OR(NOT(ISNUMBER(G14)),NOT(ISNUMBER(G50))),"",G14-G50)</f>
        <v>0.452085560653359</v>
      </c>
      <c r="H86" s="48" t="n">
        <f aca="false">IF(OR(NOT(ISNUMBER(H14)),NOT(ISNUMBER(H50))),"",H14-H50)</f>
        <v>-0.364291231293464</v>
      </c>
      <c r="I86" s="48" t="n">
        <f aca="false">IF(OR(NOT(ISNUMBER(I14)),NOT(ISNUMBER(I50))),"",I14-I50)</f>
        <v>0.452357668465993</v>
      </c>
      <c r="J86" s="48" t="n">
        <f aca="false">IF(OR(NOT(ISNUMBER(J14)),NOT(ISNUMBER(J50))),"",J14-J50)</f>
        <v>0</v>
      </c>
      <c r="K86" s="48" t="n">
        <f aca="false">IF(OR(NOT(ISNUMBER(K14)),NOT(ISNUMBER(K50))),"",K14-K50)</f>
        <v>0</v>
      </c>
      <c r="L86" s="48" t="n">
        <f aca="false">IF(OR(NOT(ISNUMBER(L14)),NOT(ISNUMBER(L50))),"",L14-L50)</f>
        <v>0</v>
      </c>
      <c r="M86" s="48" t="n">
        <f aca="false">IF(OR(NOT(ISNUMBER(M14)),NOT(ISNUMBER(M50))),"",M14-M50)</f>
        <v>0</v>
      </c>
      <c r="N86" s="48" t="n">
        <f aca="false">IF(OR(NOT(ISNUMBER(N14)),NOT(ISNUMBER(N50))),"",N14-N50)</f>
        <v>0</v>
      </c>
      <c r="O86" s="54" t="n">
        <f aca="false">IF(OR(NOT(ISNUMBER(O14)),NOT(ISNUMBER(O50))),"",O14-O50)</f>
        <v>0.557111314032227</v>
      </c>
      <c r="P86" s="11" t="str">
        <f aca="false">IF(COUNT(D86:N86)=0,"",IF(AND(MAX(D86:N86)&lt;2,MIN(D86:N86)&gt;-2),"Sin diferencia","Diferencia a explicar"))</f>
        <v>Sin diferencia</v>
      </c>
    </row>
    <row r="87" customFormat="false" ht="15" hidden="false" customHeight="false" outlineLevel="0" collapsed="false">
      <c r="A87" s="11" t="s">
        <v>2640</v>
      </c>
      <c r="B87" s="67" t="s">
        <v>2641</v>
      </c>
      <c r="C87" s="11" t="s">
        <v>508</v>
      </c>
      <c r="D87" s="54" t="str">
        <f aca="false">IF(OR(NOT(ISNUMBER(D15)),NOT(ISNUMBER(D51))),"",D15-D51)</f>
        <v/>
      </c>
      <c r="E87" s="54" t="n">
        <f aca="false">IF(OR(NOT(ISNUMBER(E15)),NOT(ISNUMBER(E51))),"",E15-E51)</f>
        <v>-0.0675689744530246</v>
      </c>
      <c r="F87" s="54" t="n">
        <f aca="false">IF(OR(NOT(ISNUMBER(F15)),NOT(ISNUMBER(F51))),"",F15-F51)</f>
        <v>0.254121452046093</v>
      </c>
      <c r="G87" s="54" t="n">
        <f aca="false">IF(OR(NOT(ISNUMBER(G15)),NOT(ISNUMBER(G51))),"",G15-G51)</f>
        <v>-0.0270588327257428</v>
      </c>
      <c r="H87" s="54" t="n">
        <f aca="false">IF(OR(NOT(ISNUMBER(H15)),NOT(ISNUMBER(H51))),"",H15-H51)</f>
        <v>-0.00720354440272786</v>
      </c>
      <c r="I87" s="54" t="n">
        <f aca="false">IF(OR(NOT(ISNUMBER(I15)),NOT(ISNUMBER(I51))),"",I15-I51)</f>
        <v>-0.0240656469031819</v>
      </c>
      <c r="J87" s="54" t="n">
        <f aca="false">IF(OR(NOT(ISNUMBER(J15)),NOT(ISNUMBER(J51))),"",J15-J51)</f>
        <v>0</v>
      </c>
      <c r="K87" s="54" t="n">
        <f aca="false">IF(OR(NOT(ISNUMBER(K15)),NOT(ISNUMBER(K51))),"",K15-K51)</f>
        <v>0</v>
      </c>
      <c r="L87" s="54" t="n">
        <f aca="false">IF(OR(NOT(ISNUMBER(L15)),NOT(ISNUMBER(L51))),"",L15-L51)</f>
        <v>0</v>
      </c>
      <c r="M87" s="54" t="n">
        <f aca="false">IF(OR(NOT(ISNUMBER(M15)),NOT(ISNUMBER(M51))),"",M15-M51)</f>
        <v>0</v>
      </c>
      <c r="N87" s="54" t="n">
        <f aca="false">IF(OR(NOT(ISNUMBER(N15)),NOT(ISNUMBER(N51))),"",N15-N51)</f>
        <v>0</v>
      </c>
      <c r="O87" s="54" t="n">
        <f aca="false">IF(OR(NOT(ISNUMBER(O15)),NOT(ISNUMBER(O51))),"",O15-O51)</f>
        <v>0.128224453539588</v>
      </c>
      <c r="P87" s="11" t="str">
        <f aca="false">IF(COUNT(D87:N87)=0,"",IF(AND(MAX(D87:N87)&lt;2,MIN(D87:N87)&gt;-2),"Sin diferencia","Diferencia a explicar"))</f>
        <v>Sin diferencia</v>
      </c>
    </row>
    <row r="88" customFormat="false" ht="15" hidden="false" customHeight="false" outlineLevel="0" collapsed="false">
      <c r="A88" s="11" t="s">
        <v>2642</v>
      </c>
      <c r="B88" s="67" t="s">
        <v>2643</v>
      </c>
      <c r="C88" s="11" t="s">
        <v>508</v>
      </c>
      <c r="D88" s="54" t="str">
        <f aca="false">IF(OR(NOT(ISNUMBER(D16)),NOT(ISNUMBER(D52))),"",D16-D52)</f>
        <v/>
      </c>
      <c r="E88" s="54" t="n">
        <f aca="false">IF(OR(NOT(ISNUMBER(E16)),NOT(ISNUMBER(E52))),"",E16-E52)</f>
        <v>0.284789128927514</v>
      </c>
      <c r="F88" s="54" t="n">
        <f aca="false">IF(OR(NOT(ISNUMBER(F16)),NOT(ISNUMBER(F52))),"",F16-F52)</f>
        <v>-0.134125432930887</v>
      </c>
      <c r="G88" s="54" t="n">
        <f aca="false">IF(OR(NOT(ISNUMBER(G16)),NOT(ISNUMBER(G52))),"",G16-G52)</f>
        <v>-0.0687781861051917</v>
      </c>
      <c r="H88" s="54" t="n">
        <f aca="false">IF(OR(NOT(ISNUMBER(H16)),NOT(ISNUMBER(H52))),"",H16-H52)</f>
        <v>0.114845021860674</v>
      </c>
      <c r="I88" s="54" t="n">
        <f aca="false">IF(OR(NOT(ISNUMBER(I16)),NOT(ISNUMBER(I52))),"",I16-I52)</f>
        <v>-0.0685060766991228</v>
      </c>
      <c r="J88" s="54" t="n">
        <f aca="false">IF(OR(NOT(ISNUMBER(J16)),NOT(ISNUMBER(J52))),"",J16-J52)</f>
        <v>0</v>
      </c>
      <c r="K88" s="54" t="n">
        <f aca="false">IF(OR(NOT(ISNUMBER(K16)),NOT(ISNUMBER(K52))),"",K16-K52)</f>
        <v>0</v>
      </c>
      <c r="L88" s="54" t="n">
        <f aca="false">IF(OR(NOT(ISNUMBER(L16)),NOT(ISNUMBER(L52))),"",L16-L52)</f>
        <v>0</v>
      </c>
      <c r="M88" s="54" t="n">
        <f aca="false">IF(OR(NOT(ISNUMBER(M16)),NOT(ISNUMBER(M52))),"",M16-M52)</f>
        <v>0</v>
      </c>
      <c r="N88" s="54" t="n">
        <f aca="false">IF(OR(NOT(ISNUMBER(N16)),NOT(ISNUMBER(N52))),"",N16-N52)</f>
        <v>0</v>
      </c>
      <c r="O88" s="54" t="n">
        <f aca="false">IF(OR(NOT(ISNUMBER(O16)),NOT(ISNUMBER(O52))),"",O16-O52)</f>
        <v>0.128224454820156</v>
      </c>
      <c r="P88" s="11" t="str">
        <f aca="false">IF(COUNT(D88:N88)=0,"",IF(AND(MAX(D88:N88)&lt;2,MIN(D88:N88)&gt;-2),"Sin diferencia","Diferencia a explicar"))</f>
        <v>Sin diferencia</v>
      </c>
    </row>
    <row r="89" customFormat="false" ht="15" hidden="false" customHeight="false" outlineLevel="0" collapsed="false">
      <c r="A89" s="13"/>
      <c r="B89" s="100" t="s">
        <v>2644</v>
      </c>
      <c r="C89" s="13"/>
      <c r="D89" s="13"/>
      <c r="E89" s="13"/>
      <c r="F89" s="13"/>
      <c r="G89" s="13"/>
      <c r="H89" s="13"/>
      <c r="I89" s="13"/>
      <c r="J89" s="13"/>
      <c r="K89" s="13"/>
      <c r="L89" s="13"/>
      <c r="M89" s="13"/>
      <c r="N89" s="13"/>
      <c r="O89" s="13"/>
      <c r="P89" s="13"/>
    </row>
    <row r="90" customFormat="false" ht="15" hidden="false" customHeight="false" outlineLevel="0" collapsed="false">
      <c r="A90" s="11" t="s">
        <v>2645</v>
      </c>
      <c r="B90" s="15" t="s">
        <v>2646</v>
      </c>
      <c r="C90" s="11" t="s">
        <v>508</v>
      </c>
      <c r="D90" s="48"/>
      <c r="E90" s="48"/>
      <c r="F90" s="48"/>
      <c r="G90" s="48"/>
      <c r="H90" s="48"/>
      <c r="I90" s="48"/>
      <c r="J90" s="48"/>
      <c r="K90" s="48"/>
      <c r="L90" s="48"/>
      <c r="M90" s="48"/>
      <c r="N90" s="48"/>
    </row>
    <row r="91" customFormat="false" ht="15" hidden="false" customHeight="false" outlineLevel="0" collapsed="false">
      <c r="A91" s="11" t="s">
        <v>2647</v>
      </c>
      <c r="B91" s="15" t="s">
        <v>2648</v>
      </c>
      <c r="C91" s="11" t="s">
        <v>508</v>
      </c>
      <c r="D91" s="48"/>
      <c r="E91" s="48"/>
      <c r="F91" s="48"/>
      <c r="G91" s="48"/>
      <c r="H91" s="48"/>
      <c r="I91" s="48"/>
      <c r="J91" s="48"/>
      <c r="K91" s="48"/>
      <c r="L91" s="48"/>
      <c r="M91" s="48"/>
      <c r="N91" s="48"/>
    </row>
    <row r="92" customFormat="false" ht="15" hidden="false" customHeight="false" outlineLevel="0" collapsed="false">
      <c r="A92" s="11" t="s">
        <v>2649</v>
      </c>
      <c r="B92" s="15" t="s">
        <v>2650</v>
      </c>
      <c r="C92" s="11" t="s">
        <v>508</v>
      </c>
      <c r="D92" s="48"/>
      <c r="E92" s="48"/>
      <c r="F92" s="48"/>
      <c r="G92" s="48"/>
      <c r="H92" s="48"/>
      <c r="I92" s="48"/>
      <c r="J92" s="48"/>
      <c r="K92" s="48"/>
      <c r="L92" s="48"/>
      <c r="M92" s="48"/>
      <c r="N92" s="48"/>
    </row>
    <row r="93" customFormat="false" ht="15" hidden="false" customHeight="false" outlineLevel="0" collapsed="false">
      <c r="A93" s="13"/>
      <c r="B93" s="100" t="s">
        <v>2651</v>
      </c>
      <c r="C93" s="13"/>
      <c r="D93" s="13"/>
      <c r="E93" s="13"/>
      <c r="F93" s="13"/>
      <c r="G93" s="13"/>
      <c r="H93" s="13"/>
      <c r="I93" s="13"/>
      <c r="J93" s="13"/>
      <c r="K93" s="13"/>
      <c r="L93" s="13"/>
      <c r="M93" s="13"/>
      <c r="N93" s="13"/>
      <c r="O93" s="13"/>
      <c r="P93" s="13"/>
    </row>
    <row r="94" customFormat="false" ht="15" hidden="false" customHeight="false" outlineLevel="0" collapsed="false">
      <c r="A94" s="11" t="s">
        <v>2652</v>
      </c>
      <c r="B94" s="15" t="s">
        <v>1211</v>
      </c>
      <c r="C94" s="11" t="s">
        <v>508</v>
      </c>
      <c r="D94" s="48"/>
      <c r="E94" s="48"/>
      <c r="F94" s="48"/>
      <c r="G94" s="48"/>
      <c r="H94" s="48"/>
      <c r="I94" s="48"/>
      <c r="J94" s="48"/>
      <c r="K94" s="48"/>
      <c r="L94" s="48"/>
      <c r="M94" s="48"/>
      <c r="N94" s="48"/>
    </row>
    <row r="95" customFormat="false" ht="15" hidden="false" customHeight="false" outlineLevel="0" collapsed="false">
      <c r="A95" s="11" t="s">
        <v>2653</v>
      </c>
      <c r="B95" s="15" t="s">
        <v>2654</v>
      </c>
      <c r="C95" s="11" t="s">
        <v>508</v>
      </c>
      <c r="D95" s="48"/>
      <c r="E95" s="48"/>
      <c r="F95" s="48"/>
      <c r="G95" s="48"/>
      <c r="H95" s="48"/>
      <c r="I95" s="48"/>
      <c r="J95" s="48"/>
      <c r="K95" s="48"/>
      <c r="L95" s="48"/>
      <c r="M95" s="48"/>
      <c r="N95" s="48"/>
    </row>
    <row r="96" customFormat="false" ht="15" hidden="false" customHeight="false" outlineLevel="0" collapsed="false">
      <c r="A96" s="11" t="s">
        <v>2655</v>
      </c>
      <c r="B96" s="15" t="s">
        <v>1215</v>
      </c>
      <c r="C96" s="11" t="s">
        <v>508</v>
      </c>
      <c r="D96" s="48"/>
      <c r="E96" s="48"/>
      <c r="F96" s="48"/>
      <c r="G96" s="48"/>
      <c r="H96" s="48"/>
      <c r="I96" s="48"/>
      <c r="J96" s="48"/>
      <c r="K96" s="48"/>
      <c r="L96" s="48"/>
      <c r="M96" s="48"/>
      <c r="N96" s="48"/>
    </row>
    <row r="97" customFormat="false" ht="15" hidden="false" customHeight="false" outlineLevel="0" collapsed="false">
      <c r="A97" s="11" t="s">
        <v>2656</v>
      </c>
      <c r="B97" s="15" t="s">
        <v>2657</v>
      </c>
      <c r="C97" s="11" t="s">
        <v>508</v>
      </c>
      <c r="D97" s="48"/>
      <c r="E97" s="48"/>
      <c r="F97" s="48"/>
      <c r="G97" s="48"/>
      <c r="H97" s="48"/>
      <c r="I97" s="48"/>
      <c r="J97" s="48"/>
      <c r="K97" s="48"/>
      <c r="L97" s="48"/>
      <c r="M97" s="48"/>
      <c r="N97" s="48"/>
    </row>
    <row r="98" customFormat="false" ht="15" hidden="true" customHeight="false" outlineLevel="1" collapsed="false">
      <c r="A98" s="11" t="s">
        <v>2658</v>
      </c>
      <c r="B98" s="15" t="s">
        <v>1219</v>
      </c>
      <c r="C98" s="11" t="s">
        <v>508</v>
      </c>
      <c r="D98" s="48"/>
      <c r="E98" s="48"/>
      <c r="F98" s="48"/>
      <c r="G98" s="48"/>
      <c r="H98" s="48"/>
      <c r="I98" s="48"/>
      <c r="J98" s="48"/>
      <c r="K98" s="48"/>
      <c r="L98" s="48"/>
      <c r="M98" s="48"/>
      <c r="N98" s="48"/>
    </row>
    <row r="99" customFormat="false" ht="15" hidden="true" customHeight="false" outlineLevel="1" collapsed="false">
      <c r="A99" s="11" t="s">
        <v>2659</v>
      </c>
      <c r="B99" s="15" t="s">
        <v>2660</v>
      </c>
      <c r="C99" s="11" t="s">
        <v>508</v>
      </c>
      <c r="D99" s="48"/>
      <c r="E99" s="48"/>
      <c r="F99" s="48"/>
      <c r="G99" s="48"/>
      <c r="H99" s="48"/>
      <c r="I99" s="48"/>
      <c r="J99" s="48"/>
      <c r="K99" s="48"/>
      <c r="L99" s="48"/>
      <c r="M99" s="48"/>
      <c r="N99" s="48"/>
    </row>
    <row r="100" customFormat="false" ht="15" hidden="true" customHeight="false" outlineLevel="1" collapsed="false">
      <c r="A100" s="11" t="s">
        <v>2661</v>
      </c>
      <c r="B100" s="15" t="s">
        <v>1223</v>
      </c>
      <c r="C100" s="11" t="s">
        <v>508</v>
      </c>
      <c r="D100" s="48"/>
      <c r="E100" s="48"/>
      <c r="F100" s="48"/>
      <c r="G100" s="48"/>
      <c r="H100" s="48"/>
      <c r="I100" s="48"/>
      <c r="J100" s="48"/>
      <c r="K100" s="48"/>
      <c r="L100" s="48"/>
      <c r="M100" s="48"/>
      <c r="N100" s="48"/>
    </row>
    <row r="101" customFormat="false" ht="15" hidden="true" customHeight="false" outlineLevel="1" collapsed="false">
      <c r="A101" s="11" t="s">
        <v>2662</v>
      </c>
      <c r="B101" s="15" t="s">
        <v>2663</v>
      </c>
      <c r="C101" s="11" t="s">
        <v>508</v>
      </c>
      <c r="D101" s="48"/>
      <c r="E101" s="48"/>
      <c r="F101" s="48"/>
      <c r="G101" s="48"/>
      <c r="H101" s="48"/>
      <c r="I101" s="48"/>
      <c r="J101" s="48"/>
      <c r="K101" s="48"/>
      <c r="L101" s="48"/>
      <c r="M101" s="48"/>
      <c r="N101" s="48"/>
    </row>
    <row r="102" customFormat="false" ht="15" hidden="true" customHeight="false" outlineLevel="1" collapsed="false">
      <c r="A102" s="11" t="s">
        <v>2664</v>
      </c>
      <c r="B102" s="15" t="s">
        <v>1227</v>
      </c>
      <c r="C102" s="11" t="s">
        <v>508</v>
      </c>
      <c r="D102" s="48"/>
      <c r="E102" s="48"/>
      <c r="F102" s="48"/>
      <c r="G102" s="48"/>
      <c r="H102" s="48"/>
      <c r="I102" s="48"/>
      <c r="J102" s="48"/>
      <c r="K102" s="48"/>
      <c r="L102" s="48"/>
      <c r="M102" s="48"/>
      <c r="N102" s="48"/>
    </row>
    <row r="103" customFormat="false" ht="15" hidden="true" customHeight="false" outlineLevel="1" collapsed="false">
      <c r="A103" s="11" t="s">
        <v>2665</v>
      </c>
      <c r="B103" s="15" t="s">
        <v>2666</v>
      </c>
      <c r="C103" s="11" t="s">
        <v>508</v>
      </c>
      <c r="D103" s="48"/>
      <c r="E103" s="48"/>
      <c r="F103" s="48"/>
      <c r="G103" s="48"/>
      <c r="H103" s="48"/>
      <c r="I103" s="48"/>
      <c r="J103" s="48"/>
      <c r="K103" s="48"/>
      <c r="L103" s="48"/>
      <c r="M103" s="48"/>
      <c r="N103" s="48"/>
    </row>
    <row r="104" customFormat="false" ht="15" hidden="true" customHeight="false" outlineLevel="1" collapsed="false">
      <c r="A104" s="11" t="s">
        <v>2667</v>
      </c>
      <c r="B104" s="15" t="s">
        <v>1231</v>
      </c>
      <c r="C104" s="11" t="s">
        <v>508</v>
      </c>
      <c r="D104" s="48"/>
      <c r="E104" s="48"/>
      <c r="F104" s="48"/>
      <c r="G104" s="48"/>
      <c r="H104" s="48"/>
      <c r="I104" s="48"/>
      <c r="J104" s="48"/>
      <c r="K104" s="48"/>
      <c r="L104" s="48"/>
      <c r="M104" s="48"/>
      <c r="N104" s="48"/>
    </row>
    <row r="105" customFormat="false" ht="15" hidden="true" customHeight="false" outlineLevel="1" collapsed="false">
      <c r="A105" s="11" t="s">
        <v>2668</v>
      </c>
      <c r="B105" s="15" t="s">
        <v>2669</v>
      </c>
      <c r="C105" s="11" t="s">
        <v>508</v>
      </c>
      <c r="D105" s="48"/>
      <c r="E105" s="48"/>
      <c r="F105" s="48"/>
      <c r="G105" s="48"/>
      <c r="H105" s="48"/>
      <c r="I105" s="48"/>
      <c r="J105" s="48"/>
      <c r="K105" s="48"/>
      <c r="L105" s="48"/>
      <c r="M105" s="48"/>
      <c r="N105" s="48"/>
    </row>
    <row r="106" customFormat="false" ht="15" hidden="false" customHeight="false" outlineLevel="0" collapsed="false">
      <c r="A106" s="13"/>
      <c r="B106" s="100" t="s">
        <v>2670</v>
      </c>
      <c r="C106" s="13"/>
      <c r="D106" s="13"/>
      <c r="E106" s="13"/>
      <c r="F106" s="13"/>
      <c r="G106" s="13"/>
      <c r="H106" s="13"/>
      <c r="I106" s="13"/>
      <c r="J106" s="13"/>
      <c r="K106" s="13"/>
      <c r="L106" s="13"/>
      <c r="M106" s="13"/>
      <c r="N106" s="13"/>
      <c r="O106" s="13"/>
      <c r="P106" s="13"/>
    </row>
    <row r="107" customFormat="false" ht="15" hidden="false" customHeight="false" outlineLevel="0" collapsed="false">
      <c r="A107" s="11" t="s">
        <v>2671</v>
      </c>
      <c r="B107" s="15" t="s">
        <v>2672</v>
      </c>
      <c r="C107" s="11" t="s">
        <v>508</v>
      </c>
      <c r="D107" s="48" t="str">
        <f aca="false">IF(OR(NOT(ISNUMBER(D35)),NOT(ISNUMBER(D71))),"",D35-D71)</f>
        <v/>
      </c>
      <c r="E107" s="48" t="n">
        <f aca="false">IF(OR(NOT(ISNUMBER(E35)),NOT(ISNUMBER(E71))),"",E35-E71)</f>
        <v>0</v>
      </c>
      <c r="F107" s="48" t="n">
        <f aca="false">IF(OR(NOT(ISNUMBER(F35)),NOT(ISNUMBER(F71))),"",F35-F71)</f>
        <v>0</v>
      </c>
      <c r="G107" s="48" t="n">
        <f aca="false">IF(OR(NOT(ISNUMBER(G35)),NOT(ISNUMBER(G71))),"",G35-G71)</f>
        <v>0</v>
      </c>
      <c r="H107" s="48" t="n">
        <f aca="false">IF(OR(NOT(ISNUMBER(H35)),NOT(ISNUMBER(H71))),"",H35-H71)</f>
        <v>0</v>
      </c>
      <c r="I107" s="48" t="n">
        <f aca="false">IF(OR(NOT(ISNUMBER(I35)),NOT(ISNUMBER(I71))),"",I35-I71)</f>
        <v>0</v>
      </c>
      <c r="J107" s="48" t="n">
        <f aca="false">IF(OR(NOT(ISNUMBER(J35)),NOT(ISNUMBER(J71))),"",J35-J71)</f>
        <v>0</v>
      </c>
      <c r="K107" s="48" t="n">
        <f aca="false">IF(OR(NOT(ISNUMBER(K35)),NOT(ISNUMBER(K71))),"",K35-K71)</f>
        <v>0</v>
      </c>
      <c r="L107" s="48" t="n">
        <f aca="false">IF(OR(NOT(ISNUMBER(L35)),NOT(ISNUMBER(L71))),"",L35-L71)</f>
        <v>0</v>
      </c>
      <c r="M107" s="48" t="n">
        <f aca="false">IF(OR(NOT(ISNUMBER(M35)),NOT(ISNUMBER(M71))),"",M35-M71)</f>
        <v>0</v>
      </c>
      <c r="N107" s="48" t="n">
        <f aca="false">IF(OR(NOT(ISNUMBER(N35)),NOT(ISNUMBER(N71))),"",N35-N71)</f>
        <v>0</v>
      </c>
      <c r="O107" s="54" t="n">
        <f aca="false">IF(OR(NOT(ISNUMBER(O35)),NOT(ISNUMBER(O71))),"",O35-O71)</f>
        <v>0</v>
      </c>
      <c r="P107" s="11" t="str">
        <f aca="false">IF(COUNT(D107:N107)=0,"",IF(AND(MAX(D107:N107)&lt;2,MIN(D107:N107)&gt;-2),"Sin diferencia","Diferencia a explicar"))</f>
        <v>Sin diferencia</v>
      </c>
    </row>
    <row r="108" customFormat="false" ht="15" hidden="false" customHeight="false" outlineLevel="0" collapsed="false">
      <c r="A108" s="11" t="s">
        <v>2673</v>
      </c>
      <c r="B108" s="15" t="s">
        <v>2674</v>
      </c>
      <c r="C108" s="11" t="s">
        <v>508</v>
      </c>
      <c r="D108" s="48" t="str">
        <f aca="false">IF(OR(NOT(ISNUMBER(D36)),NOT(ISNUMBER(D72))),"",D36-D72)</f>
        <v/>
      </c>
      <c r="E108" s="48" t="n">
        <f aca="false">IF(OR(NOT(ISNUMBER(E36)),NOT(ISNUMBER(E72))),"",E36-E72)</f>
        <v>18552</v>
      </c>
      <c r="F108" s="48" t="n">
        <f aca="false">IF(OR(NOT(ISNUMBER(F36)),NOT(ISNUMBER(F72))),"",F36-F72)</f>
        <v>19108.56</v>
      </c>
      <c r="G108" s="48" t="n">
        <f aca="false">IF(OR(NOT(ISNUMBER(G36)),NOT(ISNUMBER(G72))),"",G36-G72)</f>
        <v>19681.8168</v>
      </c>
      <c r="H108" s="48" t="n">
        <f aca="false">IF(OR(NOT(ISNUMBER(H36)),NOT(ISNUMBER(H72))),"",H36-H72)</f>
        <v>20272.271304</v>
      </c>
      <c r="I108" s="48" t="n">
        <f aca="false">IF(OR(NOT(ISNUMBER(I36)),NOT(ISNUMBER(I72))),"",I36-I72)</f>
        <v>20880.43944312</v>
      </c>
      <c r="J108" s="48" t="n">
        <f aca="false">IF(OR(NOT(ISNUMBER(J36)),NOT(ISNUMBER(J72))),"",J36-J72)</f>
        <v>21506.8526264136</v>
      </c>
      <c r="K108" s="48" t="n">
        <f aca="false">IF(OR(NOT(ISNUMBER(K36)),NOT(ISNUMBER(K72))),"",K36-K72)</f>
        <v>22152.058205206</v>
      </c>
      <c r="L108" s="48" t="n">
        <f aca="false">IF(OR(NOT(ISNUMBER(L36)),NOT(ISNUMBER(L72))),"",L36-L72)</f>
        <v>22816.6199513622</v>
      </c>
      <c r="M108" s="48" t="n">
        <f aca="false">IF(OR(NOT(ISNUMBER(M36)),NOT(ISNUMBER(M72))),"",M36-M72)</f>
        <v>23501.1185499031</v>
      </c>
      <c r="N108" s="48" t="n">
        <f aca="false">IF(OR(NOT(ISNUMBER(N36)),NOT(ISNUMBER(N72))),"",N36-N72)</f>
        <v>24206.1521064002</v>
      </c>
      <c r="O108" s="54" t="n">
        <f aca="false">IF(OR(NOT(ISNUMBER(O36)),NOT(ISNUMBER(O72))),"",O36-O72)</f>
        <v>212677.888986405</v>
      </c>
      <c r="P108" s="11" t="str">
        <f aca="false">IF(COUNT(D108:N108)=0,"",IF(AND(MAX(D108:N108)&lt;2,MIN(D108:N108)&gt;-2),"Sin diferencia","El modelo informa el IVA incluido en el alquiler (10%), que igual se trata como costo; el plan no lo muestra."))</f>
        <v>El modelo informa el IVA incluido en el alquiler (10%), que igual se trata como costo; el plan no lo muestra.</v>
      </c>
    </row>
    <row r="109" customFormat="false" ht="15" hidden="false" customHeight="false" outlineLevel="0" collapsed="false">
      <c r="A109" s="11" t="s">
        <v>2675</v>
      </c>
      <c r="B109" s="15" t="s">
        <v>2676</v>
      </c>
      <c r="C109" s="11" t="s">
        <v>508</v>
      </c>
      <c r="D109" s="48" t="str">
        <f aca="false">IF(OR(NOT(ISNUMBER(D37)),NOT(ISNUMBER(D73))),"",D37-D73)</f>
        <v/>
      </c>
      <c r="E109" s="48" t="n">
        <f aca="false">IF(OR(NOT(ISNUMBER(E37)),NOT(ISNUMBER(E73))),"",E37-E73)</f>
        <v>0</v>
      </c>
      <c r="F109" s="48" t="n">
        <f aca="false">IF(OR(NOT(ISNUMBER(F37)),NOT(ISNUMBER(F73))),"",F37-F73)</f>
        <v>0</v>
      </c>
      <c r="G109" s="48" t="n">
        <f aca="false">IF(OR(NOT(ISNUMBER(G37)),NOT(ISNUMBER(G73))),"",G37-G73)</f>
        <v>0</v>
      </c>
      <c r="H109" s="48" t="n">
        <f aca="false">IF(OR(NOT(ISNUMBER(H37)),NOT(ISNUMBER(H73))),"",H37-H73)</f>
        <v>0</v>
      </c>
      <c r="I109" s="48" t="n">
        <f aca="false">IF(OR(NOT(ISNUMBER(I37)),NOT(ISNUMBER(I73))),"",I37-I73)</f>
        <v>0</v>
      </c>
      <c r="J109" s="48" t="n">
        <f aca="false">IF(OR(NOT(ISNUMBER(J37)),NOT(ISNUMBER(J73))),"",J37-J73)</f>
        <v>0</v>
      </c>
      <c r="K109" s="48" t="n">
        <f aca="false">IF(OR(NOT(ISNUMBER(K37)),NOT(ISNUMBER(K73))),"",K37-K73)</f>
        <v>0</v>
      </c>
      <c r="L109" s="48" t="n">
        <f aca="false">IF(OR(NOT(ISNUMBER(L37)),NOT(ISNUMBER(L73))),"",L37-L73)</f>
        <v>0</v>
      </c>
      <c r="M109" s="48" t="n">
        <f aca="false">IF(OR(NOT(ISNUMBER(M37)),NOT(ISNUMBER(M73))),"",M37-M73)</f>
        <v>0</v>
      </c>
      <c r="N109" s="48" t="n">
        <f aca="false">IF(OR(NOT(ISNUMBER(N37)),NOT(ISNUMBER(N73))),"",N37-N73)</f>
        <v>0</v>
      </c>
      <c r="O109" s="54" t="n">
        <f aca="false">IF(OR(NOT(ISNUMBER(O37)),NOT(ISNUMBER(O73))),"",O37-O73)</f>
        <v>0</v>
      </c>
      <c r="P109" s="11" t="str">
        <f aca="false">IF(COUNT(D109:N109)=0,"",IF(AND(MAX(D109:N109)&lt;2,MIN(D109:N109)&gt;-2),"Sin diferencia","Diferencia a explicar"))</f>
        <v>Sin diferencia</v>
      </c>
    </row>
    <row r="110" customFormat="false" ht="15" hidden="false" customHeight="false" outlineLevel="0" collapsed="false">
      <c r="A110" s="11" t="s">
        <v>2677</v>
      </c>
      <c r="B110" s="15" t="s">
        <v>2678</v>
      </c>
      <c r="C110" s="11" t="s">
        <v>508</v>
      </c>
      <c r="D110" s="48" t="str">
        <f aca="false">IF(OR(NOT(ISNUMBER(D38)),NOT(ISNUMBER(D74))),"",D38-D74)</f>
        <v/>
      </c>
      <c r="E110" s="48" t="n">
        <f aca="false">IF(OR(NOT(ISNUMBER(E38)),NOT(ISNUMBER(E74))),"",E38-E74)</f>
        <v>0</v>
      </c>
      <c r="F110" s="48" t="n">
        <f aca="false">IF(OR(NOT(ISNUMBER(F38)),NOT(ISNUMBER(F74))),"",F38-F74)</f>
        <v>0</v>
      </c>
      <c r="G110" s="48" t="n">
        <f aca="false">IF(OR(NOT(ISNUMBER(G38)),NOT(ISNUMBER(G74))),"",G38-G74)</f>
        <v>0</v>
      </c>
      <c r="H110" s="48" t="n">
        <f aca="false">IF(OR(NOT(ISNUMBER(H38)),NOT(ISNUMBER(H74))),"",H38-H74)</f>
        <v>0</v>
      </c>
      <c r="I110" s="48" t="n">
        <f aca="false">IF(OR(NOT(ISNUMBER(I38)),NOT(ISNUMBER(I74))),"",I38-I74)</f>
        <v>0</v>
      </c>
      <c r="J110" s="48" t="n">
        <f aca="false">IF(OR(NOT(ISNUMBER(J38)),NOT(ISNUMBER(J74))),"",J38-J74)</f>
        <v>0</v>
      </c>
      <c r="K110" s="48" t="n">
        <f aca="false">IF(OR(NOT(ISNUMBER(K38)),NOT(ISNUMBER(K74))),"",K38-K74)</f>
        <v>0</v>
      </c>
      <c r="L110" s="48" t="n">
        <f aca="false">IF(OR(NOT(ISNUMBER(L38)),NOT(ISNUMBER(L74))),"",L38-L74)</f>
        <v>0</v>
      </c>
      <c r="M110" s="48" t="n">
        <f aca="false">IF(OR(NOT(ISNUMBER(M38)),NOT(ISNUMBER(M74))),"",M38-M74)</f>
        <v>0</v>
      </c>
      <c r="N110" s="48" t="n">
        <f aca="false">IF(OR(NOT(ISNUMBER(N38)),NOT(ISNUMBER(N74))),"",N38-N74)</f>
        <v>0</v>
      </c>
      <c r="P110" s="11" t="str">
        <f aca="false">IF(COUNT(D110:N110)=0,"",IF(AND(MAX(D110:N110)&lt;2,MIN(D110:N110)&gt;-2),"Sin diferencia","Diferencia a explicar"))</f>
        <v>Sin diferencia</v>
      </c>
    </row>
    <row r="111" customFormat="false" ht="15" hidden="false" customHeight="false" outlineLevel="0" collapsed="false">
      <c r="A111" s="11" t="s">
        <v>2679</v>
      </c>
      <c r="B111" s="15" t="s">
        <v>2680</v>
      </c>
      <c r="C111" s="11" t="s">
        <v>508</v>
      </c>
      <c r="D111" s="48" t="str">
        <f aca="false">IF(OR(NOT(ISNUMBER(D39)),NOT(ISNUMBER(D75))),"",D39-D75)</f>
        <v/>
      </c>
      <c r="E111" s="48" t="n">
        <f aca="false">IF(OR(NOT(ISNUMBER(E39)),NOT(ISNUMBER(E75))),"",E39-E75)</f>
        <v>-0.369778997643152</v>
      </c>
      <c r="F111" s="48" t="n">
        <f aca="false">IF(OR(NOT(ISNUMBER(F39)),NOT(ISNUMBER(F75))),"",F39-F75)</f>
        <v>0.386738313856768</v>
      </c>
      <c r="G111" s="48" t="n">
        <f aca="false">IF(OR(NOT(ISNUMBER(G39)),NOT(ISNUMBER(G75))),"",G39-G75)</f>
        <v>0.452085560653359</v>
      </c>
      <c r="H111" s="48" t="n">
        <f aca="false">IF(OR(NOT(ISNUMBER(H39)),NOT(ISNUMBER(H75))),"",H39-H75)</f>
        <v>-0.364291231293464</v>
      </c>
      <c r="I111" s="48" t="n">
        <f aca="false">IF(OR(NOT(ISNUMBER(I39)),NOT(ISNUMBER(I75))),"",I39-I75)</f>
        <v>0.452357668465993</v>
      </c>
      <c r="J111" s="48" t="n">
        <f aca="false">IF(OR(NOT(ISNUMBER(J39)),NOT(ISNUMBER(J75))),"",J39-J75)</f>
        <v>0</v>
      </c>
      <c r="K111" s="48" t="n">
        <f aca="false">IF(OR(NOT(ISNUMBER(K39)),NOT(ISNUMBER(K75))),"",K39-K75)</f>
        <v>0</v>
      </c>
      <c r="L111" s="48" t="n">
        <f aca="false">IF(OR(NOT(ISNUMBER(L39)),NOT(ISNUMBER(L75))),"",L39-L75)</f>
        <v>0</v>
      </c>
      <c r="M111" s="48" t="n">
        <f aca="false">IF(OR(NOT(ISNUMBER(M39)),NOT(ISNUMBER(M75))),"",M39-M75)</f>
        <v>0</v>
      </c>
      <c r="N111" s="48" t="n">
        <f aca="false">IF(OR(NOT(ISNUMBER(N39)),NOT(ISNUMBER(N75))),"",N39-N75)</f>
        <v>0</v>
      </c>
      <c r="O111" s="54" t="n">
        <f aca="false">IF(OR(NOT(ISNUMBER(O39)),NOT(ISNUMBER(O75))),"",O39-O75)</f>
        <v>0.557111314032227</v>
      </c>
      <c r="P111" s="11" t="str">
        <f aca="false">IF(COUNT(D111:N111)=0,"",IF(AND(MAX(D111:N111)&lt;2,MIN(D111:N111)&gt;-2),"Sin diferencia","Diferencia a explicar"))</f>
        <v>Sin diferencia</v>
      </c>
    </row>
    <row r="113" customFormat="false" ht="15" hidden="false" customHeight="false" outlineLevel="0" collapsed="false">
      <c r="A113" s="12" t="s">
        <v>240</v>
      </c>
      <c r="B113" s="13"/>
      <c r="C113" s="13"/>
      <c r="D113" s="13"/>
      <c r="E113" s="13"/>
      <c r="F113" s="13"/>
      <c r="G113" s="13"/>
      <c r="H113" s="13"/>
      <c r="I113" s="13"/>
      <c r="J113" s="13"/>
      <c r="K113" s="13"/>
      <c r="L113" s="13"/>
      <c r="M113" s="13"/>
      <c r="N113" s="13"/>
      <c r="O113" s="13"/>
    </row>
    <row r="114" customFormat="false" ht="15" hidden="false" customHeight="false" outlineLevel="0" collapsed="false">
      <c r="B114" s="11" t="s">
        <v>2681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6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2682</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15, pág. 23"</f>
        <v>Plan de referencia: Plan CIE–PERG Oct-2025 — cuadro 15, pág. 23</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2683</v>
      </c>
      <c r="B8" s="67" t="s">
        <v>2684</v>
      </c>
      <c r="C8" s="11" t="s">
        <v>508</v>
      </c>
      <c r="D8" s="54" t="n">
        <f aca="false">IF(cu_P=1,SUMIFS(Calculo!$F$71:$ES$71,Calculo!$F$16:$ES$16,1),SUMIFS(Calculo!$F$227:$ES$227,Calculo!$F$172:$ES$172,1))</f>
        <v>0</v>
      </c>
      <c r="E8" s="54" t="n">
        <f aca="false">IF(cu_P=1,SUMIFS(Calculo!$F$71:$ES$71,Calculo!$F$14:$ES$14,1),SUMIFS(Calculo!$F$227:$ES$227,Calculo!$F$170:$ES$170,1))</f>
        <v>4850000</v>
      </c>
      <c r="F8" s="54" t="n">
        <f aca="false">IF(cu_P=1,SUMIFS(Calculo!$F$71:$ES$71,Calculo!$F$14:$ES$14,2),SUMIFS(Calculo!$F$227:$ES$227,Calculo!$F$170:$ES$170,2))</f>
        <v>6181200</v>
      </c>
      <c r="G8" s="54" t="n">
        <f aca="false">IF(cu_P=1,SUMIFS(Calculo!$F$71:$ES$71,Calculo!$F$14:$ES$14,3),SUMIFS(Calculo!$F$227:$ES$227,Calculo!$F$170:$ES$170,3))</f>
        <v>7538539</v>
      </c>
      <c r="H8" s="54" t="n">
        <f aca="false">IF(cu_P=1,SUMIFS(Calculo!$F$71:$ES$71,Calculo!$F$14:$ES$14,4),SUMIFS(Calculo!$F$227:$ES$227,Calculo!$F$170:$ES$170,4))</f>
        <v>8685437.43</v>
      </c>
      <c r="I8" s="54" t="n">
        <f aca="false">IF(cu_P=1,SUMIFS(Calculo!$F$71:$ES$71,Calculo!$F$14:$ES$14,5),SUMIFS(Calculo!$F$227:$ES$227,Calculo!$F$170:$ES$170,5))</f>
        <v>8772291.8043</v>
      </c>
      <c r="J8" s="54" t="n">
        <f aca="false">IF(cu_P=1,SUMIFS(Calculo!$F$71:$ES$71,Calculo!$F$14:$ES$14,6),SUMIFS(Calculo!$F$227:$ES$227,Calculo!$F$170:$ES$170,6))</f>
        <v>8860014.722343</v>
      </c>
      <c r="K8" s="54" t="n">
        <f aca="false">IF(cu_P=1,SUMIFS(Calculo!$F$71:$ES$71,Calculo!$F$14:$ES$14,7),SUMIFS(Calculo!$F$227:$ES$227,Calculo!$F$170:$ES$170,7))</f>
        <v>8948614.86956643</v>
      </c>
      <c r="L8" s="54" t="n">
        <f aca="false">IF(cu_P=1,SUMIFS(Calculo!$F$71:$ES$71,Calculo!$F$14:$ES$14,8),SUMIFS(Calculo!$F$227:$ES$227,Calculo!$F$170:$ES$170,8))</f>
        <v>9038101.01826209</v>
      </c>
      <c r="M8" s="54" t="n">
        <f aca="false">IF(cu_P=1,SUMIFS(Calculo!$F$71:$ES$71,Calculo!$F$14:$ES$14,9),SUMIFS(Calculo!$F$227:$ES$227,Calculo!$F$170:$ES$170,9))</f>
        <v>9128482.02844472</v>
      </c>
      <c r="N8" s="54" t="n">
        <f aca="false">IF(cu_P=1,SUMIFS(Calculo!$F$71:$ES$71,Calculo!$F$14:$ES$14,10),SUMIFS(Calculo!$F$227:$ES$227,Calculo!$F$170:$ES$170,10))</f>
        <v>9219766.84872916</v>
      </c>
      <c r="O8" s="54" t="n">
        <f aca="false">SUM(D8:N8)</f>
        <v>81222447.7216454</v>
      </c>
    </row>
    <row r="9" customFormat="false" ht="15" hidden="false" customHeight="false" outlineLevel="0" collapsed="false">
      <c r="A9" s="11" t="s">
        <v>2685</v>
      </c>
      <c r="B9" s="15" t="s">
        <v>2686</v>
      </c>
      <c r="C9" s="11" t="s">
        <v>508</v>
      </c>
      <c r="D9" s="48" t="n">
        <f aca="false">IF(cu_P=1,(SUMIFS(Calculo!$F$93:$ES$93,Calculo!$F$16:$ES$16,1)+SUMIFS(Calculo!$F$94:$ES$94,Calculo!$F$16:$ES$16,1)+SUMIFS(Calculo!$F$95:$ES$95,Calculo!$F$16:$ES$16,1)+SUMIFS(Calculo!$F$96:$ES$96,Calculo!$F$16:$ES$16,1)+SUMIFS(Calculo!$F$100:$ES$100,Calculo!$F$16:$ES$16,1)),(SUMIFS(Calculo!$F$249:$ES$249,Calculo!$F$172:$ES$172,1)+SUMIFS(Calculo!$F$250:$ES$250,Calculo!$F$172:$ES$172,1)+SUMIFS(Calculo!$F$251:$ES$251,Calculo!$F$172:$ES$172,1)+SUMIFS(Calculo!$F$252:$ES$252,Calculo!$F$172:$ES$172,1)+SUMIFS(Calculo!$F$256:$ES$256,Calculo!$F$172:$ES$172,1)))</f>
        <v>0</v>
      </c>
      <c r="E9" s="48" t="n">
        <f aca="false">IF(cu_P=1,(SUMIFS(Calculo!$F$93:$ES$93,Calculo!$F$14:$ES$14,1)+SUMIFS(Calculo!$F$94:$ES$94,Calculo!$F$14:$ES$14,1)+SUMIFS(Calculo!$F$95:$ES$95,Calculo!$F$14:$ES$14,1)+SUMIFS(Calculo!$F$96:$ES$96,Calculo!$F$14:$ES$14,1)+SUMIFS(Calculo!$F$100:$ES$100,Calculo!$F$14:$ES$14,1)),(SUMIFS(Calculo!$F$249:$ES$249,Calculo!$F$170:$ES$170,1)+SUMIFS(Calculo!$F$250:$ES$250,Calculo!$F$170:$ES$170,1)+SUMIFS(Calculo!$F$251:$ES$251,Calculo!$F$170:$ES$170,1)+SUMIFS(Calculo!$F$252:$ES$252,Calculo!$F$170:$ES$170,1)+SUMIFS(Calculo!$F$256:$ES$256,Calculo!$F$170:$ES$170,1)))</f>
        <v>3949342.36854141</v>
      </c>
      <c r="F9" s="48" t="n">
        <f aca="false">IF(cu_P=1,(SUMIFS(Calculo!$F$93:$ES$93,Calculo!$F$14:$ES$14,2)+SUMIFS(Calculo!$F$94:$ES$94,Calculo!$F$14:$ES$14,2)+SUMIFS(Calculo!$F$95:$ES$95,Calculo!$F$14:$ES$14,2)+SUMIFS(Calculo!$F$96:$ES$96,Calculo!$F$14:$ES$14,2)+SUMIFS(Calculo!$F$100:$ES$100,Calculo!$F$14:$ES$14,2)),(SUMIFS(Calculo!$F$249:$ES$249,Calculo!$F$170:$ES$170,2)+SUMIFS(Calculo!$F$250:$ES$250,Calculo!$F$170:$ES$170,2)+SUMIFS(Calculo!$F$251:$ES$251,Calculo!$F$170:$ES$170,2)+SUMIFS(Calculo!$F$252:$ES$252,Calculo!$F$170:$ES$170,2)+SUMIFS(Calculo!$F$256:$ES$256,Calculo!$F$170:$ES$170,2)))</f>
        <v>4818155.09832091</v>
      </c>
      <c r="G9" s="48" t="n">
        <f aca="false">IF(cu_P=1,(SUMIFS(Calculo!$F$93:$ES$93,Calculo!$F$14:$ES$14,3)+SUMIFS(Calculo!$F$94:$ES$94,Calculo!$F$14:$ES$14,3)+SUMIFS(Calculo!$F$95:$ES$95,Calculo!$F$14:$ES$14,3)+SUMIFS(Calculo!$F$96:$ES$96,Calculo!$F$14:$ES$14,3)+SUMIFS(Calculo!$F$100:$ES$100,Calculo!$F$14:$ES$14,3)),(SUMIFS(Calculo!$F$249:$ES$249,Calculo!$F$170:$ES$170,3)+SUMIFS(Calculo!$F$250:$ES$250,Calculo!$F$170:$ES$170,3)+SUMIFS(Calculo!$F$251:$ES$251,Calculo!$F$170:$ES$170,3)+SUMIFS(Calculo!$F$252:$ES$252,Calculo!$F$170:$ES$170,3)+SUMIFS(Calculo!$F$256:$ES$256,Calculo!$F$170:$ES$170,3)))</f>
        <v>5729838.11066699</v>
      </c>
      <c r="H9" s="48" t="n">
        <f aca="false">IF(cu_P=1,(SUMIFS(Calculo!$F$93:$ES$93,Calculo!$F$14:$ES$14,4)+SUMIFS(Calculo!$F$94:$ES$94,Calculo!$F$14:$ES$14,4)+SUMIFS(Calculo!$F$95:$ES$95,Calculo!$F$14:$ES$14,4)+SUMIFS(Calculo!$F$96:$ES$96,Calculo!$F$14:$ES$14,4)+SUMIFS(Calculo!$F$100:$ES$100,Calculo!$F$14:$ES$14,4)),(SUMIFS(Calculo!$F$249:$ES$249,Calculo!$F$170:$ES$170,4)+SUMIFS(Calculo!$F$250:$ES$250,Calculo!$F$170:$ES$170,4)+SUMIFS(Calculo!$F$251:$ES$251,Calculo!$F$170:$ES$170,4)+SUMIFS(Calculo!$F$252:$ES$252,Calculo!$F$170:$ES$170,4)+SUMIFS(Calculo!$F$256:$ES$256,Calculo!$F$170:$ES$170,4)))</f>
        <v>6476243.72569418</v>
      </c>
      <c r="I9" s="48" t="n">
        <f aca="false">IF(cu_P=1,(SUMIFS(Calculo!$F$93:$ES$93,Calculo!$F$14:$ES$14,5)+SUMIFS(Calculo!$F$94:$ES$94,Calculo!$F$14:$ES$14,5)+SUMIFS(Calculo!$F$95:$ES$95,Calculo!$F$14:$ES$14,5)+SUMIFS(Calculo!$F$96:$ES$96,Calculo!$F$14:$ES$14,5)+SUMIFS(Calculo!$F$100:$ES$100,Calculo!$F$14:$ES$14,5)),(SUMIFS(Calculo!$F$249:$ES$249,Calculo!$F$170:$ES$170,5)+SUMIFS(Calculo!$F$250:$ES$250,Calculo!$F$170:$ES$170,5)+SUMIFS(Calculo!$F$251:$ES$251,Calculo!$F$170:$ES$170,5)+SUMIFS(Calculo!$F$252:$ES$252,Calculo!$F$170:$ES$170,5)+SUMIFS(Calculo!$F$256:$ES$256,Calculo!$F$170:$ES$170,5)))</f>
        <v>6540269.14643612</v>
      </c>
      <c r="J9" s="48" t="n">
        <f aca="false">IF(cu_P=1,(SUMIFS(Calculo!$F$93:$ES$93,Calculo!$F$14:$ES$14,6)+SUMIFS(Calculo!$F$94:$ES$94,Calculo!$F$14:$ES$14,6)+SUMIFS(Calculo!$F$95:$ES$95,Calculo!$F$14:$ES$14,6)+SUMIFS(Calculo!$F$96:$ES$96,Calculo!$F$14:$ES$14,6)+SUMIFS(Calculo!$F$100:$ES$100,Calculo!$F$14:$ES$14,6)),(SUMIFS(Calculo!$F$249:$ES$249,Calculo!$F$170:$ES$170,6)+SUMIFS(Calculo!$F$250:$ES$250,Calculo!$F$170:$ES$170,6)+SUMIFS(Calculo!$F$251:$ES$251,Calculo!$F$170:$ES$170,6)+SUMIFS(Calculo!$F$252:$ES$252,Calculo!$F$170:$ES$170,6)+SUMIFS(Calculo!$F$256:$ES$256,Calculo!$F$170:$ES$170,6)))</f>
        <v>6571740.98981382</v>
      </c>
      <c r="K9" s="48" t="n">
        <f aca="false">IF(cu_P=1,(SUMIFS(Calculo!$F$93:$ES$93,Calculo!$F$14:$ES$14,7)+SUMIFS(Calculo!$F$94:$ES$94,Calculo!$F$14:$ES$14,7)+SUMIFS(Calculo!$F$95:$ES$95,Calculo!$F$14:$ES$14,7)+SUMIFS(Calculo!$F$96:$ES$96,Calculo!$F$14:$ES$14,7)+SUMIFS(Calculo!$F$100:$ES$100,Calculo!$F$14:$ES$14,7)),(SUMIFS(Calculo!$F$249:$ES$249,Calculo!$F$170:$ES$170,7)+SUMIFS(Calculo!$F$250:$ES$250,Calculo!$F$170:$ES$170,7)+SUMIFS(Calculo!$F$251:$ES$251,Calculo!$F$170:$ES$170,7)+SUMIFS(Calculo!$F$252:$ES$252,Calculo!$F$170:$ES$170,7)+SUMIFS(Calculo!$F$256:$ES$256,Calculo!$F$170:$ES$170,7)))</f>
        <v>6603534.30458225</v>
      </c>
      <c r="L9" s="48" t="n">
        <f aca="false">IF(cu_P=1,(SUMIFS(Calculo!$F$93:$ES$93,Calculo!$F$14:$ES$14,8)+SUMIFS(Calculo!$F$94:$ES$94,Calculo!$F$14:$ES$14,8)+SUMIFS(Calculo!$F$95:$ES$95,Calculo!$F$14:$ES$14,8)+SUMIFS(Calculo!$F$96:$ES$96,Calculo!$F$14:$ES$14,8)+SUMIFS(Calculo!$F$100:$ES$100,Calculo!$F$14:$ES$14,8)),(SUMIFS(Calculo!$F$249:$ES$249,Calculo!$F$170:$ES$170,8)+SUMIFS(Calculo!$F$250:$ES$250,Calculo!$F$170:$ES$170,8)+SUMIFS(Calculo!$F$251:$ES$251,Calculo!$F$170:$ES$170,8)+SUMIFS(Calculo!$F$252:$ES$252,Calculo!$F$170:$ES$170,8)+SUMIFS(Calculo!$F$256:$ES$256,Calculo!$F$170:$ES$170,8)))</f>
        <v>6635652.44051446</v>
      </c>
      <c r="M9" s="48" t="n">
        <f aca="false">IF(cu_P=1,(SUMIFS(Calculo!$F$93:$ES$93,Calculo!$F$14:$ES$14,9)+SUMIFS(Calculo!$F$94:$ES$94,Calculo!$F$14:$ES$14,9)+SUMIFS(Calculo!$F$95:$ES$95,Calculo!$F$14:$ES$14,9)+SUMIFS(Calculo!$F$96:$ES$96,Calculo!$F$14:$ES$14,9)+SUMIFS(Calculo!$F$100:$ES$100,Calculo!$F$14:$ES$14,9)),(SUMIFS(Calculo!$F$249:$ES$249,Calculo!$F$170:$ES$170,9)+SUMIFS(Calculo!$F$250:$ES$250,Calculo!$F$170:$ES$170,9)+SUMIFS(Calculo!$F$251:$ES$251,Calculo!$F$170:$ES$170,9)+SUMIFS(Calculo!$F$252:$ES$252,Calculo!$F$170:$ES$170,9)+SUMIFS(Calculo!$F$256:$ES$256,Calculo!$F$170:$ES$170,9)))</f>
        <v>6668098.78358242</v>
      </c>
      <c r="N9" s="48" t="n">
        <f aca="false">IF(cu_P=1,(SUMIFS(Calculo!$F$93:$ES$93,Calculo!$F$14:$ES$14,10)+SUMIFS(Calculo!$F$94:$ES$94,Calculo!$F$14:$ES$14,10)+SUMIFS(Calculo!$F$95:$ES$95,Calculo!$F$14:$ES$14,10)+SUMIFS(Calculo!$F$96:$ES$96,Calculo!$F$14:$ES$14,10)+SUMIFS(Calculo!$F$100:$ES$100,Calculo!$F$14:$ES$14,10)),(SUMIFS(Calculo!$F$249:$ES$249,Calculo!$F$170:$ES$170,10)+SUMIFS(Calculo!$F$250:$ES$250,Calculo!$F$170:$ES$170,10)+SUMIFS(Calculo!$F$251:$ES$251,Calculo!$F$170:$ES$170,10)+SUMIFS(Calculo!$F$252:$ES$252,Calculo!$F$170:$ES$170,10)+SUMIFS(Calculo!$F$256:$ES$256,Calculo!$F$170:$ES$170,10)))</f>
        <v>6700876.75637301</v>
      </c>
      <c r="O9" s="54" t="n">
        <f aca="false">SUM(D9:N9)</f>
        <v>60693751.7245256</v>
      </c>
    </row>
    <row r="10" customFormat="false" ht="15" hidden="false" customHeight="false" outlineLevel="0" collapsed="false">
      <c r="A10" s="11" t="s">
        <v>2687</v>
      </c>
      <c r="B10" s="15" t="s">
        <v>2688</v>
      </c>
      <c r="C10" s="11" t="s">
        <v>508</v>
      </c>
      <c r="D10" s="48" t="n">
        <f aca="false">IF(cu_P=1,(SUMIFS(Calculo!$F$98:$ES$98,Calculo!$F$16:$ES$16,1)+SUMIFS(Calculo!$F$99:$ES$99,Calculo!$F$16:$ES$16,1)-SUMIFS(Calculo!$F$101:$ES$101,Calculo!$F$16:$ES$16,1)),(SUMIFS(Calculo!$F$254:$ES$254,Calculo!$F$172:$ES$172,1)+SUMIFS(Calculo!$F$255:$ES$255,Calculo!$F$172:$ES$172,1)-SUMIFS(Calculo!$F$257:$ES$257,Calculo!$F$172:$ES$172,1)))</f>
        <v>0</v>
      </c>
      <c r="E10" s="48" t="n">
        <f aca="false">IF(cu_P=1,(SUMIFS(Calculo!$F$98:$ES$98,Calculo!$F$14:$ES$14,1)+SUMIFS(Calculo!$F$99:$ES$99,Calculo!$F$14:$ES$14,1)-SUMIFS(Calculo!$F$101:$ES$101,Calculo!$F$14:$ES$14,1)),(SUMIFS(Calculo!$F$254:$ES$254,Calculo!$F$170:$ES$170,1)+SUMIFS(Calculo!$F$255:$ES$255,Calculo!$F$170:$ES$170,1)-SUMIFS(Calculo!$F$257:$ES$257,Calculo!$F$170:$ES$170,1)))</f>
        <v>390687.625751515</v>
      </c>
      <c r="F10" s="48" t="n">
        <f aca="false">IF(cu_P=1,(SUMIFS(Calculo!$F$98:$ES$98,Calculo!$F$14:$ES$14,2)+SUMIFS(Calculo!$F$99:$ES$99,Calculo!$F$14:$ES$14,2)-SUMIFS(Calculo!$F$101:$ES$101,Calculo!$F$14:$ES$14,2)),(SUMIFS(Calculo!$F$254:$ES$254,Calculo!$F$170:$ES$170,2)+SUMIFS(Calculo!$F$255:$ES$255,Calculo!$F$170:$ES$170,2)-SUMIFS(Calculo!$F$257:$ES$257,Calculo!$F$170:$ES$170,2)))</f>
        <v>397088.065751515</v>
      </c>
      <c r="G10" s="48" t="n">
        <f aca="false">IF(cu_P=1,(SUMIFS(Calculo!$F$98:$ES$98,Calculo!$F$14:$ES$14,3)+SUMIFS(Calculo!$F$99:$ES$99,Calculo!$F$14:$ES$14,3)-SUMIFS(Calculo!$F$101:$ES$101,Calculo!$F$14:$ES$14,3)),(SUMIFS(Calculo!$F$254:$ES$254,Calculo!$F$170:$ES$170,3)+SUMIFS(Calculo!$F$255:$ES$255,Calculo!$F$170:$ES$170,3)-SUMIFS(Calculo!$F$257:$ES$257,Calculo!$F$170:$ES$170,3)))</f>
        <v>403680.518951515</v>
      </c>
      <c r="H10" s="48" t="n">
        <f aca="false">IF(cu_P=1,(SUMIFS(Calculo!$F$98:$ES$98,Calculo!$F$14:$ES$14,4)+SUMIFS(Calculo!$F$99:$ES$99,Calculo!$F$14:$ES$14,4)-SUMIFS(Calculo!$F$101:$ES$101,Calculo!$F$14:$ES$14,4)),(SUMIFS(Calculo!$F$254:$ES$254,Calculo!$F$170:$ES$170,4)+SUMIFS(Calculo!$F$255:$ES$255,Calculo!$F$170:$ES$170,4)-SUMIFS(Calculo!$F$257:$ES$257,Calculo!$F$170:$ES$170,4)))</f>
        <v>410470.745747515</v>
      </c>
      <c r="I10" s="48" t="n">
        <f aca="false">IF(cu_P=1,(SUMIFS(Calculo!$F$98:$ES$98,Calculo!$F$14:$ES$14,5)+SUMIFS(Calculo!$F$99:$ES$99,Calculo!$F$14:$ES$14,5)-SUMIFS(Calculo!$F$101:$ES$101,Calculo!$F$14:$ES$14,5)),(SUMIFS(Calculo!$F$254:$ES$254,Calculo!$F$170:$ES$170,5)+SUMIFS(Calculo!$F$255:$ES$255,Calculo!$F$170:$ES$170,5)-SUMIFS(Calculo!$F$257:$ES$257,Calculo!$F$170:$ES$170,5)))</f>
        <v>417464.679347395</v>
      </c>
      <c r="J10" s="48" t="n">
        <f aca="false">IF(cu_P=1,(SUMIFS(Calculo!$F$98:$ES$98,Calculo!$F$14:$ES$14,6)+SUMIFS(Calculo!$F$99:$ES$99,Calculo!$F$14:$ES$14,6)-SUMIFS(Calculo!$F$101:$ES$101,Calculo!$F$14:$ES$14,6)),(SUMIFS(Calculo!$F$254:$ES$254,Calculo!$F$170:$ES$170,6)+SUMIFS(Calculo!$F$255:$ES$255,Calculo!$F$170:$ES$170,6)-SUMIFS(Calculo!$F$257:$ES$257,Calculo!$F$170:$ES$170,6)))</f>
        <v>424668.430955271</v>
      </c>
      <c r="K10" s="48" t="n">
        <f aca="false">IF(cu_P=1,(SUMIFS(Calculo!$F$98:$ES$98,Calculo!$F$14:$ES$14,7)+SUMIFS(Calculo!$F$99:$ES$99,Calculo!$F$14:$ES$14,7)-SUMIFS(Calculo!$F$101:$ES$101,Calculo!$F$14:$ES$14,7)),(SUMIFS(Calculo!$F$254:$ES$254,Calculo!$F$170:$ES$170,7)+SUMIFS(Calculo!$F$255:$ES$255,Calculo!$F$170:$ES$170,7)-SUMIFS(Calculo!$F$257:$ES$257,Calculo!$F$170:$ES$170,7)))</f>
        <v>432088.295111384</v>
      </c>
      <c r="L10" s="48" t="n">
        <f aca="false">IF(cu_P=1,(SUMIFS(Calculo!$F$98:$ES$98,Calculo!$F$14:$ES$14,8)+SUMIFS(Calculo!$F$99:$ES$99,Calculo!$F$14:$ES$14,8)-SUMIFS(Calculo!$F$101:$ES$101,Calculo!$F$14:$ES$14,8)),(SUMIFS(Calculo!$F$254:$ES$254,Calculo!$F$170:$ES$170,8)+SUMIFS(Calculo!$F$255:$ES$255,Calculo!$F$170:$ES$170,8)-SUMIFS(Calculo!$F$257:$ES$257,Calculo!$F$170:$ES$170,8)))</f>
        <v>439730.75519218</v>
      </c>
      <c r="M10" s="48" t="n">
        <f aca="false">IF(cu_P=1,(SUMIFS(Calculo!$F$98:$ES$98,Calculo!$F$14:$ES$14,9)+SUMIFS(Calculo!$F$99:$ES$99,Calculo!$F$14:$ES$14,9)-SUMIFS(Calculo!$F$101:$ES$101,Calculo!$F$14:$ES$14,9)),(SUMIFS(Calculo!$F$254:$ES$254,Calculo!$F$170:$ES$170,9)+SUMIFS(Calculo!$F$255:$ES$255,Calculo!$F$170:$ES$170,9)-SUMIFS(Calculo!$F$257:$ES$257,Calculo!$F$170:$ES$170,9)))</f>
        <v>447602.4890754</v>
      </c>
      <c r="N10" s="48" t="n">
        <f aca="false">IF(cu_P=1,(SUMIFS(Calculo!$F$98:$ES$98,Calculo!$F$14:$ES$14,10)+SUMIFS(Calculo!$F$99:$ES$99,Calculo!$F$14:$ES$14,10)-SUMIFS(Calculo!$F$101:$ES$101,Calculo!$F$14:$ES$14,10)),(SUMIFS(Calculo!$F$254:$ES$254,Calculo!$F$170:$ES$170,10)+SUMIFS(Calculo!$F$255:$ES$255,Calculo!$F$170:$ES$170,10)-SUMIFS(Calculo!$F$257:$ES$257,Calculo!$F$170:$ES$170,10)))</f>
        <v>455710.374975117</v>
      </c>
      <c r="O10" s="54" t="n">
        <f aca="false">SUM(D10:N10)</f>
        <v>4219191.98085881</v>
      </c>
    </row>
    <row r="11" customFormat="false" ht="15" hidden="false" customHeight="false" outlineLevel="0" collapsed="false">
      <c r="A11" s="11" t="s">
        <v>2689</v>
      </c>
      <c r="B11" s="67" t="s">
        <v>2690</v>
      </c>
      <c r="C11" s="11" t="s">
        <v>508</v>
      </c>
      <c r="D11" s="54" t="n">
        <f aca="false">IF(cu_P=1,SUMIFS(Calculo!$F$102:$ES$102,Calculo!$F$16:$ES$16,1),SUMIFS(Calculo!$F$258:$ES$258,Calculo!$F$172:$ES$172,1))</f>
        <v>0</v>
      </c>
      <c r="E11" s="54" t="n">
        <f aca="false">IF(cu_P=1,SUMIFS(Calculo!$F$102:$ES$102,Calculo!$F$14:$ES$14,1),SUMIFS(Calculo!$F$258:$ES$258,Calculo!$F$170:$ES$170,1))</f>
        <v>509970.005707077</v>
      </c>
      <c r="F11" s="54" t="n">
        <f aca="false">IF(cu_P=1,SUMIFS(Calculo!$F$102:$ES$102,Calculo!$F$14:$ES$14,2),SUMIFS(Calculo!$F$258:$ES$258,Calculo!$F$170:$ES$170,2))</f>
        <v>965956.835927578</v>
      </c>
      <c r="G11" s="54" t="n">
        <f aca="false">IF(cu_P=1,SUMIFS(Calculo!$F$102:$ES$102,Calculo!$F$14:$ES$14,3),SUMIFS(Calculo!$F$258:$ES$258,Calculo!$F$170:$ES$170,3))</f>
        <v>1405020.3703815</v>
      </c>
      <c r="H11" s="54" t="n">
        <f aca="false">IF(cu_P=1,SUMIFS(Calculo!$F$102:$ES$102,Calculo!$F$14:$ES$14,4),SUMIFS(Calculo!$F$258:$ES$258,Calculo!$F$170:$ES$170,4))</f>
        <v>1798722.9585583</v>
      </c>
      <c r="I11" s="54" t="n">
        <f aca="false">IF(cu_P=1,SUMIFS(Calculo!$F$102:$ES$102,Calculo!$F$14:$ES$14,5),SUMIFS(Calculo!$F$258:$ES$258,Calculo!$F$170:$ES$170,5))</f>
        <v>1814557.97851649</v>
      </c>
      <c r="J11" s="54" t="n">
        <f aca="false">IF(cu_P=1,SUMIFS(Calculo!$F$102:$ES$102,Calculo!$F$14:$ES$14,6),SUMIFS(Calculo!$F$258:$ES$258,Calculo!$F$170:$ES$170,6))</f>
        <v>1863605.30157391</v>
      </c>
      <c r="K11" s="54" t="n">
        <f aca="false">IF(cu_P=1,SUMIFS(Calculo!$F$102:$ES$102,Calculo!$F$14:$ES$14,7),SUMIFS(Calculo!$F$258:$ES$258,Calculo!$F$170:$ES$170,7))</f>
        <v>1912992.2698728</v>
      </c>
      <c r="L11" s="54" t="n">
        <f aca="false">IF(cu_P=1,SUMIFS(Calculo!$F$102:$ES$102,Calculo!$F$14:$ES$14,8),SUMIFS(Calculo!$F$258:$ES$258,Calculo!$F$170:$ES$170,8))</f>
        <v>1962717.82255545</v>
      </c>
      <c r="M11" s="54" t="n">
        <f aca="false">IF(cu_P=1,SUMIFS(Calculo!$F$102:$ES$102,Calculo!$F$14:$ES$14,9),SUMIFS(Calculo!$F$258:$ES$258,Calculo!$F$170:$ES$170,9))</f>
        <v>2012780.75578689</v>
      </c>
      <c r="N11" s="54" t="n">
        <f aca="false">IF(cu_P=1,SUMIFS(Calculo!$F$102:$ES$102,Calculo!$F$14:$ES$14,10),SUMIFS(Calculo!$F$258:$ES$258,Calculo!$F$170:$ES$170,10))</f>
        <v>2063179.71738103</v>
      </c>
      <c r="O11" s="54" t="n">
        <f aca="false">SUM(D11:N11)</f>
        <v>16309504.016261</v>
      </c>
    </row>
    <row r="12" customFormat="false" ht="15" hidden="false" customHeight="false" outlineLevel="0" collapsed="false">
      <c r="A12" s="11" t="s">
        <v>2691</v>
      </c>
      <c r="B12" s="15" t="s">
        <v>2615</v>
      </c>
      <c r="C12" s="11" t="s">
        <v>508</v>
      </c>
      <c r="D12" s="48" t="n">
        <f aca="false">IF(cu_P=1,SUMIFS(Calculo!$F$103:$ES$103,Calculo!$F$16:$ES$16,1),SUMIFS(Calculo!$F$259:$ES$259,Calculo!$F$172:$ES$172,1))</f>
        <v>0</v>
      </c>
      <c r="E12" s="48" t="n">
        <f aca="false">IF(cu_P=1,SUMIFS(Calculo!$F$103:$ES$103,Calculo!$F$14:$ES$14,1),SUMIFS(Calculo!$F$259:$ES$259,Calculo!$F$170:$ES$170,1))</f>
        <v>71592.209</v>
      </c>
      <c r="F12" s="48" t="n">
        <f aca="false">IF(cu_P=1,SUMIFS(Calculo!$F$103:$ES$103,Calculo!$F$14:$ES$14,2),SUMIFS(Calculo!$F$259:$ES$259,Calculo!$F$170:$ES$170,2))</f>
        <v>81592.209</v>
      </c>
      <c r="G12" s="48" t="n">
        <f aca="false">IF(cu_P=1,SUMIFS(Calculo!$F$103:$ES$103,Calculo!$F$14:$ES$14,3),SUMIFS(Calculo!$F$259:$ES$259,Calculo!$F$170:$ES$170,3))</f>
        <v>81592.209</v>
      </c>
      <c r="H12" s="48" t="n">
        <f aca="false">IF(cu_P=1,SUMIFS(Calculo!$F$103:$ES$103,Calculo!$F$14:$ES$14,4),SUMIFS(Calculo!$F$259:$ES$259,Calculo!$F$170:$ES$170,4))</f>
        <v>81592.209</v>
      </c>
      <c r="I12" s="48" t="n">
        <f aca="false">IF(cu_P=1,SUMIFS(Calculo!$F$103:$ES$103,Calculo!$F$14:$ES$14,5),SUMIFS(Calculo!$F$259:$ES$259,Calculo!$F$170:$ES$170,5))</f>
        <v>81592.209</v>
      </c>
      <c r="J12" s="48" t="n">
        <f aca="false">IF(cu_P=1,SUMIFS(Calculo!$F$103:$ES$103,Calculo!$F$14:$ES$14,6),SUMIFS(Calculo!$F$259:$ES$259,Calculo!$F$170:$ES$170,6))</f>
        <v>69416.609</v>
      </c>
      <c r="K12" s="48" t="n">
        <f aca="false">IF(cu_P=1,SUMIFS(Calculo!$F$103:$ES$103,Calculo!$F$14:$ES$14,7),SUMIFS(Calculo!$F$259:$ES$259,Calculo!$F$170:$ES$170,7))</f>
        <v>69416.609</v>
      </c>
      <c r="L12" s="48" t="n">
        <f aca="false">IF(cu_P=1,SUMIFS(Calculo!$F$103:$ES$103,Calculo!$F$14:$ES$14,8),SUMIFS(Calculo!$F$259:$ES$259,Calculo!$F$170:$ES$170,8))</f>
        <v>69416.609</v>
      </c>
      <c r="M12" s="48" t="n">
        <f aca="false">IF(cu_P=1,SUMIFS(Calculo!$F$103:$ES$103,Calculo!$F$14:$ES$14,9),SUMIFS(Calculo!$F$259:$ES$259,Calculo!$F$170:$ES$170,9))</f>
        <v>69416.609</v>
      </c>
      <c r="N12" s="48" t="n">
        <f aca="false">IF(cu_P=1,SUMIFS(Calculo!$F$103:$ES$103,Calculo!$F$14:$ES$14,10),SUMIFS(Calculo!$F$259:$ES$259,Calculo!$F$170:$ES$170,10))</f>
        <v>69416.609</v>
      </c>
      <c r="O12" s="54" t="n">
        <f aca="false">SUM(D12:N12)</f>
        <v>745044.09</v>
      </c>
    </row>
    <row r="13" customFormat="false" ht="15" hidden="false" customHeight="false" outlineLevel="0" collapsed="false">
      <c r="A13" s="11" t="s">
        <v>2692</v>
      </c>
      <c r="B13" s="15" t="s">
        <v>2613</v>
      </c>
      <c r="C13" s="11" t="s">
        <v>508</v>
      </c>
      <c r="D13" s="48" t="n">
        <f aca="false">IF(cu_P=1,SUMIFS(Calculo!$F$105:$ES$105,Calculo!$F$16:$ES$16,1),SUMIFS(Calculo!$F$261:$ES$261,Calculo!$F$172:$ES$172,1))</f>
        <v>0</v>
      </c>
      <c r="E13" s="48" t="n">
        <f aca="false">IF(cu_P=1,SUMIFS(Calculo!$F$105:$ES$105,Calculo!$F$14:$ES$14,1),SUMIFS(Calculo!$F$261:$ES$261,Calculo!$F$170:$ES$170,1))</f>
        <v>271101.932431026</v>
      </c>
      <c r="F13" s="48" t="n">
        <f aca="false">IF(cu_P=1,SUMIFS(Calculo!$F$105:$ES$105,Calculo!$F$14:$ES$14,2),SUMIFS(Calculo!$F$261:$ES$261,Calculo!$F$170:$ES$170,2))</f>
        <v>226274.254121452</v>
      </c>
      <c r="G13" s="48" t="n">
        <f aca="false">IF(cu_P=1,SUMIFS(Calculo!$F$105:$ES$105,Calculo!$F$14:$ES$14,3),SUMIFS(Calculo!$F$261:$ES$261,Calculo!$F$170:$ES$170,3))</f>
        <v>169415.972941167</v>
      </c>
      <c r="H13" s="48" t="n">
        <f aca="false">IF(cu_P=1,SUMIFS(Calculo!$F$105:$ES$105,Calculo!$F$14:$ES$14,4),SUMIFS(Calculo!$F$261:$ES$261,Calculo!$F$170:$ES$170,4))</f>
        <v>107223.992796456</v>
      </c>
      <c r="I13" s="48" t="n">
        <f aca="false">IF(cu_P=1,SUMIFS(Calculo!$F$105:$ES$105,Calculo!$F$14:$ES$14,5),SUMIFS(Calculo!$F$261:$ES$261,Calculo!$F$170:$ES$170,5))</f>
        <v>39197.9759343531</v>
      </c>
      <c r="J13" s="48" t="n">
        <f aca="false">IF(cu_P=1,SUMIFS(Calculo!$F$105:$ES$105,Calculo!$F$14:$ES$14,6),SUMIFS(Calculo!$F$261:$ES$261,Calculo!$F$170:$ES$170,6))</f>
        <v>0</v>
      </c>
      <c r="K13" s="48" t="n">
        <f aca="false">IF(cu_P=1,SUMIFS(Calculo!$F$105:$ES$105,Calculo!$F$14:$ES$14,7),SUMIFS(Calculo!$F$261:$ES$261,Calculo!$F$170:$ES$170,7))</f>
        <v>0</v>
      </c>
      <c r="L13" s="48" t="n">
        <f aca="false">IF(cu_P=1,SUMIFS(Calculo!$F$105:$ES$105,Calculo!$F$14:$ES$14,8),SUMIFS(Calculo!$F$261:$ES$261,Calculo!$F$170:$ES$170,8))</f>
        <v>0</v>
      </c>
      <c r="M13" s="48" t="n">
        <f aca="false">IF(cu_P=1,SUMIFS(Calculo!$F$105:$ES$105,Calculo!$F$14:$ES$14,9),SUMIFS(Calculo!$F$261:$ES$261,Calculo!$F$170:$ES$170,9))</f>
        <v>0</v>
      </c>
      <c r="N13" s="48" t="n">
        <f aca="false">IF(cu_P=1,SUMIFS(Calculo!$F$105:$ES$105,Calculo!$F$14:$ES$14,10),SUMIFS(Calculo!$F$261:$ES$261,Calculo!$F$170:$ES$170,10))</f>
        <v>0</v>
      </c>
      <c r="O13" s="54" t="n">
        <f aca="false">SUM(D13:N13)</f>
        <v>813214.128224454</v>
      </c>
    </row>
    <row r="14" customFormat="false" ht="15" hidden="false" customHeight="false" outlineLevel="0" collapsed="false">
      <c r="A14" s="11" t="s">
        <v>2693</v>
      </c>
      <c r="B14" s="67" t="s">
        <v>2694</v>
      </c>
      <c r="C14" s="11" t="s">
        <v>508</v>
      </c>
      <c r="D14" s="54" t="n">
        <f aca="false">IFERROR(IF(COUNT(D11,D12,D13)=0,"",N(D11)-N(D12)-N(D13)),"")</f>
        <v>0</v>
      </c>
      <c r="E14" s="54" t="n">
        <f aca="false">IFERROR(IF(COUNT(E11,E12,E13)=0,"",N(E11)-N(E12)-N(E13)),"")</f>
        <v>167275.864276051</v>
      </c>
      <c r="F14" s="54" t="n">
        <f aca="false">IFERROR(IF(COUNT(F11,F12,F13)=0,"",N(F11)-N(F12)-N(F13)),"")</f>
        <v>658090.372806125</v>
      </c>
      <c r="G14" s="54" t="n">
        <f aca="false">IFERROR(IF(COUNT(G11,G12,G13)=0,"",N(G11)-N(G12)-N(G13)),"")</f>
        <v>1154012.18844033</v>
      </c>
      <c r="H14" s="54" t="n">
        <f aca="false">IFERROR(IF(COUNT(H11,H12,H13)=0,"",N(H11)-N(H12)-N(H13)),"")</f>
        <v>1609906.75676184</v>
      </c>
      <c r="I14" s="54" t="n">
        <f aca="false">IFERROR(IF(COUNT(I11,I12,I13)=0,"",N(I11)-N(I12)-N(I13)),"")</f>
        <v>1693767.79358213</v>
      </c>
      <c r="J14" s="54" t="n">
        <f aca="false">IFERROR(IF(COUNT(J11,J12,J13)=0,"",N(J11)-N(J12)-N(J13)),"")</f>
        <v>1794188.69257391</v>
      </c>
      <c r="K14" s="54" t="n">
        <f aca="false">IFERROR(IF(COUNT(K11,K12,K13)=0,"",N(K11)-N(K12)-N(K13)),"")</f>
        <v>1843575.6608728</v>
      </c>
      <c r="L14" s="54" t="n">
        <f aca="false">IFERROR(IF(COUNT(L11,L12,L13)=0,"",N(L11)-N(L12)-N(L13)),"")</f>
        <v>1893301.21355545</v>
      </c>
      <c r="M14" s="54" t="n">
        <f aca="false">IFERROR(IF(COUNT(M11,M12,M13)=0,"",N(M11)-N(M12)-N(M13)),"")</f>
        <v>1943364.14678689</v>
      </c>
      <c r="N14" s="54" t="n">
        <f aca="false">IFERROR(IF(COUNT(N11,N12,N13)=0,"",N(N11)-N(N12)-N(N13)),"")</f>
        <v>1993763.10838103</v>
      </c>
      <c r="O14" s="54" t="n">
        <f aca="false">SUM(D14:N14)</f>
        <v>14751245.7980366</v>
      </c>
    </row>
    <row r="15" customFormat="false" ht="15" hidden="false" customHeight="false" outlineLevel="0" collapsed="false">
      <c r="A15" s="11" t="s">
        <v>2695</v>
      </c>
      <c r="B15" s="15" t="s">
        <v>2696</v>
      </c>
      <c r="C15" s="11" t="s">
        <v>508</v>
      </c>
      <c r="D15" s="48" t="n">
        <f aca="false">IF(cu_P=1,SUMIFS(Calculo!$F$106:$ES$106,Calculo!$F$16:$ES$16,1),SUMIFS(Calculo!$F$262:$ES$262,Calculo!$F$172:$ES$172,1))</f>
        <v>0</v>
      </c>
      <c r="E15" s="48" t="n">
        <f aca="false">IF(cu_P=1,SUMIFS(Calculo!$F$106:$ES$106,Calculo!$F$14:$ES$14,1),SUMIFS(Calculo!$F$262:$ES$262,Calculo!$F$170:$ES$170,1))</f>
        <v>0</v>
      </c>
      <c r="F15" s="48" t="n">
        <f aca="false">IF(cu_P=1,SUMIFS(Calculo!$F$106:$ES$106,Calculo!$F$14:$ES$14,2),SUMIFS(Calculo!$F$262:$ES$262,Calculo!$F$170:$ES$170,2))</f>
        <v>0</v>
      </c>
      <c r="G15" s="48" t="n">
        <f aca="false">IF(cu_P=1,SUMIFS(Calculo!$F$106:$ES$106,Calculo!$F$14:$ES$14,3),SUMIFS(Calculo!$F$262:$ES$262,Calculo!$F$170:$ES$170,3))</f>
        <v>0</v>
      </c>
      <c r="H15" s="48" t="n">
        <f aca="false">IF(cu_P=1,SUMIFS(Calculo!$F$106:$ES$106,Calculo!$F$14:$ES$14,4),SUMIFS(Calculo!$F$262:$ES$262,Calculo!$F$170:$ES$170,4))</f>
        <v>0</v>
      </c>
      <c r="I15" s="48" t="n">
        <f aca="false">IF(cu_P=1,SUMIFS(Calculo!$F$106:$ES$106,Calculo!$F$14:$ES$14,5),SUMIFS(Calculo!$F$262:$ES$262,Calculo!$F$170:$ES$170,5))</f>
        <v>0</v>
      </c>
      <c r="J15" s="48" t="n">
        <f aca="false">IF(cu_P=1,SUMIFS(Calculo!$F$106:$ES$106,Calculo!$F$14:$ES$14,6),SUMIFS(Calculo!$F$262:$ES$262,Calculo!$F$170:$ES$170,6))</f>
        <v>0</v>
      </c>
      <c r="K15" s="48" t="n">
        <f aca="false">IF(cu_P=1,SUMIFS(Calculo!$F$106:$ES$106,Calculo!$F$14:$ES$14,7),SUMIFS(Calculo!$F$262:$ES$262,Calculo!$F$170:$ES$170,7))</f>
        <v>0</v>
      </c>
      <c r="L15" s="48" t="n">
        <f aca="false">IF(cu_P=1,SUMIFS(Calculo!$F$106:$ES$106,Calculo!$F$14:$ES$14,8),SUMIFS(Calculo!$F$262:$ES$262,Calculo!$F$170:$ES$170,8))</f>
        <v>0</v>
      </c>
      <c r="M15" s="48" t="n">
        <f aca="false">IF(cu_P=1,SUMIFS(Calculo!$F$106:$ES$106,Calculo!$F$14:$ES$14,9),SUMIFS(Calculo!$F$262:$ES$262,Calculo!$F$170:$ES$170,9))</f>
        <v>0</v>
      </c>
      <c r="N15" s="48" t="n">
        <f aca="false">IF(cu_P=1,SUMIFS(Calculo!$F$106:$ES$106,Calculo!$F$14:$ES$14,10),SUMIFS(Calculo!$F$262:$ES$262,Calculo!$F$170:$ES$170,10))</f>
        <v>0</v>
      </c>
      <c r="O15" s="54" t="n">
        <f aca="false">SUM(D15:N15)</f>
        <v>0</v>
      </c>
    </row>
    <row r="16" customFormat="false" ht="15" hidden="false" customHeight="false" outlineLevel="0" collapsed="false">
      <c r="A16" s="11" t="s">
        <v>2697</v>
      </c>
      <c r="B16" s="67" t="s">
        <v>2698</v>
      </c>
      <c r="C16" s="11" t="s">
        <v>508</v>
      </c>
      <c r="D16" s="54" t="n">
        <f aca="false">IF(cu_P=1,SUMIFS(Calculo!$F$107:$ES$107,Calculo!$F$16:$ES$16,1),SUMIFS(Calculo!$F$263:$ES$263,Calculo!$F$172:$ES$172,1))</f>
        <v>0</v>
      </c>
      <c r="E16" s="54" t="n">
        <f aca="false">IF(cu_P=1,SUMIFS(Calculo!$F$107:$ES$107,Calculo!$F$14:$ES$14,1),SUMIFS(Calculo!$F$263:$ES$263,Calculo!$F$170:$ES$170,1))</f>
        <v>167275.864276051</v>
      </c>
      <c r="F16" s="54" t="n">
        <f aca="false">IF(cu_P=1,SUMIFS(Calculo!$F$107:$ES$107,Calculo!$F$14:$ES$14,2),SUMIFS(Calculo!$F$263:$ES$263,Calculo!$F$170:$ES$170,2))</f>
        <v>658090.372806125</v>
      </c>
      <c r="G16" s="54" t="n">
        <f aca="false">IF(cu_P=1,SUMIFS(Calculo!$F$107:$ES$107,Calculo!$F$14:$ES$14,3),SUMIFS(Calculo!$F$263:$ES$263,Calculo!$F$170:$ES$170,3))</f>
        <v>1154012.18844033</v>
      </c>
      <c r="H16" s="54" t="n">
        <f aca="false">IF(cu_P=1,SUMIFS(Calculo!$F$107:$ES$107,Calculo!$F$14:$ES$14,4),SUMIFS(Calculo!$F$263:$ES$263,Calculo!$F$170:$ES$170,4))</f>
        <v>1609906.75676184</v>
      </c>
      <c r="I16" s="54" t="n">
        <f aca="false">IF(cu_P=1,SUMIFS(Calculo!$F$107:$ES$107,Calculo!$F$14:$ES$14,5),SUMIFS(Calculo!$F$263:$ES$263,Calculo!$F$170:$ES$170,5))</f>
        <v>1693767.79358213</v>
      </c>
      <c r="J16" s="54" t="n">
        <f aca="false">IF(cu_P=1,SUMIFS(Calculo!$F$107:$ES$107,Calculo!$F$14:$ES$14,6),SUMIFS(Calculo!$F$263:$ES$263,Calculo!$F$170:$ES$170,6))</f>
        <v>1794188.69257391</v>
      </c>
      <c r="K16" s="54" t="n">
        <f aca="false">IF(cu_P=1,SUMIFS(Calculo!$F$107:$ES$107,Calculo!$F$14:$ES$14,7),SUMIFS(Calculo!$F$263:$ES$263,Calculo!$F$170:$ES$170,7))</f>
        <v>1843575.6608728</v>
      </c>
      <c r="L16" s="54" t="n">
        <f aca="false">IF(cu_P=1,SUMIFS(Calculo!$F$107:$ES$107,Calculo!$F$14:$ES$14,8),SUMIFS(Calculo!$F$263:$ES$263,Calculo!$F$170:$ES$170,8))</f>
        <v>1893301.21355545</v>
      </c>
      <c r="M16" s="54" t="n">
        <f aca="false">IF(cu_P=1,SUMIFS(Calculo!$F$107:$ES$107,Calculo!$F$14:$ES$14,9),SUMIFS(Calculo!$F$263:$ES$263,Calculo!$F$170:$ES$170,9))</f>
        <v>1943364.14678689</v>
      </c>
      <c r="N16" s="54" t="n">
        <f aca="false">IF(cu_P=1,SUMIFS(Calculo!$F$107:$ES$107,Calculo!$F$14:$ES$14,10),SUMIFS(Calculo!$F$263:$ES$263,Calculo!$F$170:$ES$170,10))</f>
        <v>1993763.10838103</v>
      </c>
      <c r="O16" s="54" t="n">
        <f aca="false">SUM(D16:N16)</f>
        <v>14751245.7980366</v>
      </c>
    </row>
    <row r="17" customFormat="false" ht="15" hidden="false" customHeight="false" outlineLevel="0" collapsed="false">
      <c r="A17" s="11" t="s">
        <v>2699</v>
      </c>
      <c r="B17" s="15" t="s">
        <v>2700</v>
      </c>
      <c r="C17" s="11" t="s">
        <v>508</v>
      </c>
      <c r="D17" s="48" t="n">
        <f aca="false">IF(cu_P=1,0,0)</f>
        <v>0</v>
      </c>
      <c r="E17" s="48" t="n">
        <f aca="false">IF(cu_P=1,INDEX(Payout_O,1,1)*MAX(0,SUMIFS(Calculo!$F$107:$ES$107,Calculo!$F$14:$ES$14,1)),INDEX(Payout_V,1,1)*MAX(0,SUMIFS(Calculo!$F$263:$ES$263,Calculo!$F$170:$ES$170,1)))</f>
        <v>0</v>
      </c>
      <c r="F17" s="48" t="n">
        <f aca="false">IF(cu_P=1,INDEX(Payout_O,1,2)*MAX(0,SUMIFS(Calculo!$F$107:$ES$107,Calculo!$F$14:$ES$14,2)),INDEX(Payout_V,1,2)*MAX(0,SUMIFS(Calculo!$F$263:$ES$263,Calculo!$F$170:$ES$170,2)))</f>
        <v>0</v>
      </c>
      <c r="G17" s="48" t="n">
        <f aca="false">IF(cu_P=1,INDEX(Payout_O,1,3)*MAX(0,SUMIFS(Calculo!$F$107:$ES$107,Calculo!$F$14:$ES$14,3)),INDEX(Payout_V,1,3)*MAX(0,SUMIFS(Calculo!$F$263:$ES$263,Calculo!$F$170:$ES$170,3)))</f>
        <v>346203.656532099</v>
      </c>
      <c r="H17" s="48" t="n">
        <f aca="false">IF(cu_P=1,INDEX(Payout_O,1,4)*MAX(0,SUMIFS(Calculo!$F$107:$ES$107,Calculo!$F$14:$ES$14,4)),INDEX(Payout_V,1,4)*MAX(0,SUMIFS(Calculo!$F$263:$ES$263,Calculo!$F$170:$ES$170,4)))</f>
        <v>804953.378380922</v>
      </c>
      <c r="I17" s="48" t="n">
        <f aca="false">IF(cu_P=1,INDEX(Payout_O,1,5)*MAX(0,SUMIFS(Calculo!$F$107:$ES$107,Calculo!$F$14:$ES$14,5)),INDEX(Payout_V,1,5)*MAX(0,SUMIFS(Calculo!$F$263:$ES$263,Calculo!$F$170:$ES$170,5)))</f>
        <v>1693767.79358213</v>
      </c>
      <c r="J17" s="48" t="n">
        <f aca="false">IF(cu_P=1,INDEX(Payout_O,1,6)*MAX(0,SUMIFS(Calculo!$F$107:$ES$107,Calculo!$F$14:$ES$14,6)),INDEX(Payout_V,1,6)*MAX(0,SUMIFS(Calculo!$F$263:$ES$263,Calculo!$F$170:$ES$170,6)))</f>
        <v>1794188.69257391</v>
      </c>
      <c r="K17" s="48" t="n">
        <f aca="false">IF(cu_P=1,INDEX(Payout_O,1,7)*MAX(0,SUMIFS(Calculo!$F$107:$ES$107,Calculo!$F$14:$ES$14,7)),INDEX(Payout_V,1,7)*MAX(0,SUMIFS(Calculo!$F$263:$ES$263,Calculo!$F$170:$ES$170,7)))</f>
        <v>1843575.6608728</v>
      </c>
      <c r="L17" s="48" t="n">
        <f aca="false">IF(cu_P=1,INDEX(Payout_O,1,8)*MAX(0,SUMIFS(Calculo!$F$107:$ES$107,Calculo!$F$14:$ES$14,8)),INDEX(Payout_V,1,8)*MAX(0,SUMIFS(Calculo!$F$263:$ES$263,Calculo!$F$170:$ES$170,8)))</f>
        <v>1893301.21355545</v>
      </c>
      <c r="M17" s="48" t="n">
        <f aca="false">IF(cu_P=1,INDEX(Payout_O,1,9)*MAX(0,SUMIFS(Calculo!$F$107:$ES$107,Calculo!$F$14:$ES$14,9)),INDEX(Payout_V,1,9)*MAX(0,SUMIFS(Calculo!$F$263:$ES$263,Calculo!$F$170:$ES$170,9)))</f>
        <v>1943364.14678689</v>
      </c>
      <c r="N17" s="48" t="n">
        <f aca="false">IF(cu_P=1,INDEX(Payout_O,1,10)*MAX(0,SUMIFS(Calculo!$F$107:$ES$107,Calculo!$F$14:$ES$14,10)),INDEX(Payout_V,1,10)*MAX(0,SUMIFS(Calculo!$F$263:$ES$263,Calculo!$F$170:$ES$170,10)))</f>
        <v>1993763.10838103</v>
      </c>
      <c r="O17" s="54" t="n">
        <f aca="false">SUM(D17:N17)</f>
        <v>12313117.6506652</v>
      </c>
    </row>
    <row r="18" customFormat="false" ht="15" hidden="false" customHeight="false" outlineLevel="0" collapsed="false">
      <c r="A18" s="11" t="s">
        <v>2701</v>
      </c>
      <c r="B18" s="15" t="s">
        <v>2702</v>
      </c>
      <c r="C18" s="11" t="s">
        <v>508</v>
      </c>
      <c r="D18" s="48" t="n">
        <f aca="false">IFERROR(IF(COUNT(D16,D17)=0,"",N(D16)-N(D17)),"")</f>
        <v>0</v>
      </c>
      <c r="E18" s="48" t="n">
        <f aca="false">IFERROR(IF(COUNT(E16,E17)=0,"",N(E16)-N(E17)),"")</f>
        <v>167275.864276051</v>
      </c>
      <c r="F18" s="48" t="n">
        <f aca="false">IFERROR(IF(COUNT(F16,F17)=0,"",N(F16)-N(F17)),"")</f>
        <v>658090.372806125</v>
      </c>
      <c r="G18" s="48" t="n">
        <f aca="false">IFERROR(IF(COUNT(G16,G17)=0,"",N(G16)-N(G17)),"")</f>
        <v>807808.531908231</v>
      </c>
      <c r="H18" s="48" t="n">
        <f aca="false">IFERROR(IF(COUNT(H16,H17)=0,"",N(H16)-N(H17)),"")</f>
        <v>804953.378380922</v>
      </c>
      <c r="I18" s="48" t="n">
        <f aca="false">IFERROR(IF(COUNT(I16,I17)=0,"",N(I16)-N(I17)),"")</f>
        <v>0</v>
      </c>
      <c r="J18" s="48" t="n">
        <f aca="false">IFERROR(IF(COUNT(J16,J17)=0,"",N(J16)-N(J17)),"")</f>
        <v>0</v>
      </c>
      <c r="K18" s="48" t="n">
        <f aca="false">IFERROR(IF(COUNT(K16,K17)=0,"",N(K16)-N(K17)),"")</f>
        <v>0</v>
      </c>
      <c r="L18" s="48" t="n">
        <f aca="false">IFERROR(IF(COUNT(L16,L17)=0,"",N(L16)-N(L17)),"")</f>
        <v>0</v>
      </c>
      <c r="M18" s="48" t="n">
        <f aca="false">IFERROR(IF(COUNT(M16,M17)=0,"",N(M16)-N(M17)),"")</f>
        <v>0</v>
      </c>
      <c r="N18" s="48" t="n">
        <f aca="false">IFERROR(IF(COUNT(N16,N17)=0,"",N(N16)-N(N17)),"")</f>
        <v>0</v>
      </c>
      <c r="O18" s="54" t="n">
        <f aca="false">SUM(D18:N18)</f>
        <v>2438128.14737133</v>
      </c>
    </row>
    <row r="19" customFormat="false" ht="15" hidden="false" customHeight="false" outlineLevel="0" collapsed="false">
      <c r="A19" s="11" t="s">
        <v>2703</v>
      </c>
      <c r="B19" s="15" t="s">
        <v>2704</v>
      </c>
      <c r="C19" s="11" t="s">
        <v>508</v>
      </c>
      <c r="D19" s="48" t="n">
        <f aca="false">IF(cu_P=1,SUMIFS(Calculo!$F$153:$ES$153,Calculo!$F$16:$ES$16,1),SUMIFS(Calculo!$F$309:$ES$309,Calculo!$F$172:$ES$172,1))</f>
        <v>0</v>
      </c>
      <c r="E19" s="48" t="n">
        <f aca="false">IF(cu_P=1,SUMIFS(Calculo!$F$153:$ES$153,Calculo!$F$14:$ES$14,1),SUMIFS(Calculo!$F$309:$ES$309,Calculo!$F$170:$ES$170,1))</f>
        <v>0</v>
      </c>
      <c r="F19" s="48" t="n">
        <f aca="false">IF(cu_P=1,SUMIFS(Calculo!$F$153:$ES$153,Calculo!$F$14:$ES$14,2),SUMIFS(Calculo!$F$309:$ES$309,Calculo!$F$170:$ES$170,2))</f>
        <v>0</v>
      </c>
      <c r="G19" s="48" t="n">
        <f aca="false">IF(cu_P=1,SUMIFS(Calculo!$F$153:$ES$153,Calculo!$F$14:$ES$14,3),SUMIFS(Calculo!$F$309:$ES$309,Calculo!$F$170:$ES$170,3))</f>
        <v>0</v>
      </c>
      <c r="H19" s="48" t="n">
        <f aca="false">IF(cu_P=1,SUMIFS(Calculo!$F$153:$ES$153,Calculo!$F$14:$ES$14,4),SUMIFS(Calculo!$F$309:$ES$309,Calculo!$F$170:$ES$170,4))</f>
        <v>0</v>
      </c>
      <c r="I19" s="48" t="n">
        <f aca="false">IF(cu_P=1,SUMIFS(Calculo!$F$153:$ES$153,Calculo!$F$14:$ES$14,5),SUMIFS(Calculo!$F$309:$ES$309,Calculo!$F$170:$ES$170,5))</f>
        <v>804953.378380922</v>
      </c>
      <c r="J19" s="48" t="n">
        <f aca="false">IF(cu_P=1,SUMIFS(Calculo!$F$153:$ES$153,Calculo!$F$14:$ES$14,6),SUMIFS(Calculo!$F$309:$ES$309,Calculo!$F$170:$ES$170,6))</f>
        <v>1463926.54436822</v>
      </c>
      <c r="K19" s="48" t="n">
        <f aca="false">IF(cu_P=1,SUMIFS(Calculo!$F$153:$ES$153,Calculo!$F$14:$ES$14,7),SUMIFS(Calculo!$F$309:$ES$309,Calculo!$F$170:$ES$170,7))</f>
        <v>1794188.69257391</v>
      </c>
      <c r="L19" s="48" t="n">
        <f aca="false">IF(cu_P=1,SUMIFS(Calculo!$F$153:$ES$153,Calculo!$F$14:$ES$14,8),SUMIFS(Calculo!$F$309:$ES$309,Calculo!$F$170:$ES$170,8))</f>
        <v>1843575.6608728</v>
      </c>
      <c r="M19" s="48" t="n">
        <f aca="false">IF(cu_P=1,SUMIFS(Calculo!$F$153:$ES$153,Calculo!$F$14:$ES$14,9),SUMIFS(Calculo!$F$309:$ES$309,Calculo!$F$170:$ES$170,9))</f>
        <v>1893301.21355545</v>
      </c>
      <c r="N19" s="48" t="n">
        <f aca="false">IF(cu_P=1,SUMIFS(Calculo!$F$153:$ES$153,Calculo!$F$14:$ES$14,10),SUMIFS(Calculo!$F$309:$ES$309,Calculo!$F$170:$ES$170,10))</f>
        <v>1943364.14678689</v>
      </c>
      <c r="O19" s="54" t="n">
        <f aca="false">SUM(D19:N19)</f>
        <v>9743309.6365382</v>
      </c>
    </row>
    <row r="20" customFormat="false" ht="15" hidden="false" customHeight="false" outlineLevel="0" collapsed="false">
      <c r="A20" s="11" t="s">
        <v>2705</v>
      </c>
      <c r="B20" s="15" t="s">
        <v>2706</v>
      </c>
      <c r="C20" s="11" t="s">
        <v>367</v>
      </c>
      <c r="D20" s="49" t="str">
        <f aca="false">IFERROR(IF(OR(NOT(ISNUMBER(D16)),N(D8)=0),"",D16/D8),"")</f>
        <v/>
      </c>
      <c r="E20" s="49" t="n">
        <f aca="false">IFERROR(IF(OR(NOT(ISNUMBER(E16)),N(E8)=0),"",E16/E8),"")</f>
        <v>0.0344898689228972</v>
      </c>
      <c r="F20" s="49" t="n">
        <f aca="false">IFERROR(IF(OR(NOT(ISNUMBER(F16)),N(F8)=0),"",F16/F8),"")</f>
        <v>0.106466442245215</v>
      </c>
      <c r="G20" s="49" t="n">
        <f aca="false">IFERROR(IF(OR(NOT(ISNUMBER(G16)),N(G8)=0),"",G16/G8),"")</f>
        <v>0.153081676494654</v>
      </c>
      <c r="H20" s="49" t="n">
        <f aca="false">IFERROR(IF(OR(NOT(ISNUMBER(H16)),N(H8)=0),"",H16/H8),"")</f>
        <v>0.185357015088398</v>
      </c>
      <c r="I20" s="49" t="n">
        <f aca="false">IFERROR(IF(OR(NOT(ISNUMBER(I16)),N(I8)=0),"",I16/I8),"")</f>
        <v>0.193081560824491</v>
      </c>
      <c r="J20" s="49" t="n">
        <f aca="false">IFERROR(IF(OR(NOT(ISNUMBER(J16)),N(J8)=0),"",J16/J8),"")</f>
        <v>0.202504030614009</v>
      </c>
      <c r="K20" s="49" t="n">
        <f aca="false">IFERROR(IF(OR(NOT(ISNUMBER(K16)),N(K8)=0),"",K16/K8),"")</f>
        <v>0.206017991358938</v>
      </c>
      <c r="L20" s="49" t="n">
        <f aca="false">IFERROR(IF(OR(NOT(ISNUMBER(L16)),N(L8)=0),"",L16/L8),"")</f>
        <v>0.209479979226821</v>
      </c>
      <c r="M20" s="49" t="n">
        <f aca="false">IFERROR(IF(OR(NOT(ISNUMBER(M16)),N(M8)=0),"",M16/M8),"")</f>
        <v>0.212890176124715</v>
      </c>
      <c r="N20" s="49" t="n">
        <f aca="false">IFERROR(IF(OR(NOT(ISNUMBER(N16)),N(N8)=0),"",N16/N8),"")</f>
        <v>0.216248755645686</v>
      </c>
      <c r="O20" s="99" t="n">
        <f aca="false">IFERROR(IF(OR(NOT(ISNUMBER(O16)),N(O8)=0),"",O16/O8),"")</f>
        <v>0.181615381114714</v>
      </c>
    </row>
    <row r="21" customFormat="false" ht="15" hidden="false" customHeight="false" outlineLevel="0" collapsed="false">
      <c r="A21" s="11" t="s">
        <v>2707</v>
      </c>
      <c r="B21" s="15" t="s">
        <v>2708</v>
      </c>
      <c r="C21" s="11" t="s">
        <v>367</v>
      </c>
      <c r="E21" s="49" t="n">
        <f aca="false">IF(cu_P=1,INDEX(Payout_O,1,1),INDEX(Payout_V,1,1))</f>
        <v>0</v>
      </c>
      <c r="F21" s="49" t="n">
        <f aca="false">IF(cu_P=1,INDEX(Payout_O,1,2),INDEX(Payout_V,1,2))</f>
        <v>0</v>
      </c>
      <c r="G21" s="49" t="n">
        <f aca="false">IF(cu_P=1,INDEX(Payout_O,1,3),INDEX(Payout_V,1,3))</f>
        <v>0.3</v>
      </c>
      <c r="H21" s="49" t="n">
        <f aca="false">IF(cu_P=1,INDEX(Payout_O,1,4),INDEX(Payout_V,1,4))</f>
        <v>0.5</v>
      </c>
      <c r="I21" s="49" t="n">
        <f aca="false">IF(cu_P=1,INDEX(Payout_O,1,5),INDEX(Payout_V,1,5))</f>
        <v>1</v>
      </c>
      <c r="J21" s="49" t="n">
        <f aca="false">IF(cu_P=1,INDEX(Payout_O,1,6),INDEX(Payout_V,1,6))</f>
        <v>1</v>
      </c>
      <c r="K21" s="49" t="n">
        <f aca="false">IF(cu_P=1,INDEX(Payout_O,1,7),INDEX(Payout_V,1,7))</f>
        <v>1</v>
      </c>
      <c r="L21" s="49" t="n">
        <f aca="false">IF(cu_P=1,INDEX(Payout_O,1,8),INDEX(Payout_V,1,8))</f>
        <v>1</v>
      </c>
      <c r="M21" s="49" t="n">
        <f aca="false">IF(cu_P=1,INDEX(Payout_O,1,9),INDEX(Payout_V,1,9))</f>
        <v>1</v>
      </c>
      <c r="N21" s="49" t="n">
        <f aca="false">IF(cu_P=1,INDEX(Payout_O,1,10),INDEX(Payout_V,1,10))</f>
        <v>1</v>
      </c>
    </row>
    <row r="23" customFormat="false" ht="15" hidden="false" customHeight="false" outlineLevel="0" collapsed="false">
      <c r="A23" s="65" t="s">
        <v>1992</v>
      </c>
      <c r="B23" s="64"/>
      <c r="C23" s="64"/>
      <c r="D23" s="64"/>
      <c r="E23" s="64"/>
      <c r="F23" s="64"/>
      <c r="G23" s="64"/>
      <c r="H23" s="64"/>
      <c r="I23" s="64"/>
      <c r="J23" s="64"/>
      <c r="K23" s="64"/>
      <c r="L23" s="64"/>
      <c r="M23" s="64"/>
      <c r="N23" s="64"/>
      <c r="O23" s="64"/>
    </row>
    <row r="24" customFormat="false" ht="24" hidden="false" customHeight="true" outlineLevel="0" collapsed="false">
      <c r="A24" s="14"/>
      <c r="B24" s="14" t="s">
        <v>1530</v>
      </c>
      <c r="C24" s="14" t="s">
        <v>355</v>
      </c>
      <c r="D24" s="14" t="s">
        <v>1857</v>
      </c>
      <c r="E24" s="14" t="s">
        <v>452</v>
      </c>
      <c r="F24" s="14" t="s">
        <v>453</v>
      </c>
      <c r="G24" s="14" t="s">
        <v>454</v>
      </c>
      <c r="H24" s="14" t="s">
        <v>455</v>
      </c>
      <c r="I24" s="14" t="s">
        <v>456</v>
      </c>
      <c r="J24" s="14" t="s">
        <v>457</v>
      </c>
      <c r="K24" s="14" t="s">
        <v>458</v>
      </c>
      <c r="L24" s="14" t="s">
        <v>459</v>
      </c>
      <c r="M24" s="14" t="s">
        <v>460</v>
      </c>
      <c r="N24" s="14" t="s">
        <v>461</v>
      </c>
      <c r="O24" s="14" t="s">
        <v>549</v>
      </c>
    </row>
    <row r="25" customFormat="false" ht="15" hidden="false" customHeight="false" outlineLevel="0" collapsed="false">
      <c r="B25" s="11" t="s">
        <v>1993</v>
      </c>
      <c r="D25" s="86" t="str">
        <f aca="false">IF(OR(n_Fecha1="",IF(cu_P=1,P_Inicio,V_Inicio)=1),"",YEAR(n_Fecha1))</f>
        <v/>
      </c>
      <c r="E25" s="86" t="str">
        <f aca="false">IF(n_Fecha1="","",YEAR(EOMONTH(n_Fecha1,IF(cu_P=1,P_Inicio,V_Inicio)-1+0)))</f>
        <v/>
      </c>
      <c r="F25" s="86" t="str">
        <f aca="false">IF(n_Fecha1="","",YEAR(EOMONTH(n_Fecha1,IF(cu_P=1,P_Inicio,V_Inicio)-1+12)))</f>
        <v/>
      </c>
      <c r="G25" s="86" t="str">
        <f aca="false">IF(n_Fecha1="","",YEAR(EOMONTH(n_Fecha1,IF(cu_P=1,P_Inicio,V_Inicio)-1+24)))</f>
        <v/>
      </c>
      <c r="H25" s="86" t="str">
        <f aca="false">IF(n_Fecha1="","",YEAR(EOMONTH(n_Fecha1,IF(cu_P=1,P_Inicio,V_Inicio)-1+36)))</f>
        <v/>
      </c>
      <c r="I25" s="86" t="str">
        <f aca="false">IF(n_Fecha1="","",YEAR(EOMONTH(n_Fecha1,IF(cu_P=1,P_Inicio,V_Inicio)-1+48)))</f>
        <v/>
      </c>
      <c r="J25" s="86" t="str">
        <f aca="false">IF(n_Fecha1="","",YEAR(EOMONTH(n_Fecha1,IF(cu_P=1,P_Inicio,V_Inicio)-1+60)))</f>
        <v/>
      </c>
      <c r="K25" s="86" t="str">
        <f aca="false">IF(n_Fecha1="","",YEAR(EOMONTH(n_Fecha1,IF(cu_P=1,P_Inicio,V_Inicio)-1+72)))</f>
        <v/>
      </c>
      <c r="L25" s="86" t="str">
        <f aca="false">IF(n_Fecha1="","",YEAR(EOMONTH(n_Fecha1,IF(cu_P=1,P_Inicio,V_Inicio)-1+84)))</f>
        <v/>
      </c>
      <c r="M25" s="86" t="str">
        <f aca="false">IF(n_Fecha1="","",YEAR(EOMONTH(n_Fecha1,IF(cu_P=1,P_Inicio,V_Inicio)-1+96)))</f>
        <v/>
      </c>
      <c r="N25" s="86" t="str">
        <f aca="false">IF(n_Fecha1="","",YEAR(EOMONTH(n_Fecha1,IF(cu_P=1,P_Inicio,V_Inicio)-1+108)))</f>
        <v/>
      </c>
    </row>
    <row r="26" customFormat="false" ht="15" hidden="false" customHeight="false" outlineLevel="0" collapsed="false">
      <c r="A26" s="11" t="s">
        <v>2683</v>
      </c>
      <c r="B26" s="67" t="s">
        <v>2684</v>
      </c>
      <c r="C26" s="11" t="s">
        <v>508</v>
      </c>
      <c r="D26" s="37"/>
      <c r="E26" s="37" t="n">
        <v>4850000</v>
      </c>
      <c r="F26" s="37" t="n">
        <v>6181200</v>
      </c>
      <c r="G26" s="37" t="n">
        <v>7538539</v>
      </c>
      <c r="H26" s="37" t="n">
        <v>8685437</v>
      </c>
      <c r="I26" s="37" t="n">
        <v>8772292</v>
      </c>
      <c r="J26" s="37" t="n">
        <v>8860015</v>
      </c>
      <c r="K26" s="37" t="n">
        <v>8948615</v>
      </c>
      <c r="L26" s="37" t="n">
        <v>9038101</v>
      </c>
      <c r="M26" s="37" t="n">
        <v>9128482</v>
      </c>
      <c r="N26" s="37" t="n">
        <v>9219767</v>
      </c>
      <c r="O26" s="54" t="n">
        <f aca="false">IF(COUNT(D26:N26)=0,"",SUM(D26:N26))</f>
        <v>81222448</v>
      </c>
    </row>
    <row r="27" customFormat="false" ht="15" hidden="false" customHeight="false" outlineLevel="0" collapsed="false">
      <c r="A27" s="11" t="s">
        <v>2685</v>
      </c>
      <c r="B27" s="15" t="s">
        <v>2686</v>
      </c>
      <c r="C27" s="11" t="s">
        <v>508</v>
      </c>
      <c r="D27" s="37"/>
      <c r="E27" s="37" t="n">
        <v>3659338</v>
      </c>
      <c r="F27" s="37" t="n">
        <v>4528150</v>
      </c>
      <c r="G27" s="37" t="n">
        <v>5428148</v>
      </c>
      <c r="H27" s="37" t="n">
        <v>6161710</v>
      </c>
      <c r="I27" s="37" t="n">
        <v>6213080</v>
      </c>
      <c r="J27" s="37" t="n">
        <v>6234396</v>
      </c>
      <c r="K27" s="37" t="n">
        <v>6255919</v>
      </c>
      <c r="L27" s="37" t="n">
        <v>6277651</v>
      </c>
      <c r="M27" s="37" t="n">
        <v>6299594</v>
      </c>
      <c r="N27" s="37" t="n">
        <v>6321750</v>
      </c>
      <c r="O27" s="54" t="n">
        <f aca="false">IF(COUNT(D27:N27)=0,"",SUM(D27:N27))</f>
        <v>57379736</v>
      </c>
    </row>
    <row r="28" customFormat="false" ht="15" hidden="false" customHeight="false" outlineLevel="0" collapsed="false">
      <c r="A28" s="11" t="s">
        <v>2687</v>
      </c>
      <c r="B28" s="15" t="s">
        <v>2688</v>
      </c>
      <c r="C28" s="11" t="s">
        <v>508</v>
      </c>
      <c r="D28" s="37"/>
      <c r="E28" s="37" t="n">
        <v>617639</v>
      </c>
      <c r="F28" s="37" t="n">
        <v>624039</v>
      </c>
      <c r="G28" s="37" t="n">
        <v>630632</v>
      </c>
      <c r="H28" s="37" t="n">
        <v>637422</v>
      </c>
      <c r="I28" s="37" t="n">
        <v>644416</v>
      </c>
      <c r="J28" s="37" t="n">
        <v>651620</v>
      </c>
      <c r="K28" s="37" t="n">
        <v>659039</v>
      </c>
      <c r="L28" s="37" t="n">
        <v>666682</v>
      </c>
      <c r="M28" s="37" t="n">
        <v>674554</v>
      </c>
      <c r="N28" s="37" t="n">
        <v>682662</v>
      </c>
      <c r="O28" s="54" t="n">
        <f aca="false">IF(COUNT(D28:N28)=0,"",SUM(D28:N28))</f>
        <v>6488705</v>
      </c>
    </row>
    <row r="29" customFormat="false" ht="15" hidden="false" customHeight="false" outlineLevel="0" collapsed="false">
      <c r="A29" s="11" t="s">
        <v>2689</v>
      </c>
      <c r="B29" s="67" t="s">
        <v>2690</v>
      </c>
      <c r="C29" s="11" t="s">
        <v>508</v>
      </c>
      <c r="D29" s="37"/>
      <c r="E29" s="37" t="n">
        <v>573024</v>
      </c>
      <c r="F29" s="37" t="n">
        <v>1029011</v>
      </c>
      <c r="G29" s="37" t="n">
        <v>1479759</v>
      </c>
      <c r="H29" s="37" t="n">
        <v>1886306</v>
      </c>
      <c r="I29" s="37" t="n">
        <v>1914796</v>
      </c>
      <c r="J29" s="37" t="n">
        <v>1973999</v>
      </c>
      <c r="K29" s="37" t="n">
        <v>2033657</v>
      </c>
      <c r="L29" s="37" t="n">
        <v>2093768</v>
      </c>
      <c r="M29" s="37" t="n">
        <v>2154335</v>
      </c>
      <c r="N29" s="37" t="n">
        <v>2215355</v>
      </c>
      <c r="O29" s="54" t="n">
        <f aca="false">IF(COUNT(D29:N29)=0,"",SUM(D29:N29))</f>
        <v>17354010</v>
      </c>
    </row>
    <row r="30" customFormat="false" ht="15" hidden="false" customHeight="false" outlineLevel="0" collapsed="false">
      <c r="A30" s="11" t="s">
        <v>2691</v>
      </c>
      <c r="B30" s="15" t="s">
        <v>2615</v>
      </c>
      <c r="C30" s="11" t="s">
        <v>508</v>
      </c>
      <c r="D30" s="37"/>
      <c r="E30" s="37" t="n">
        <v>0</v>
      </c>
      <c r="F30" s="37" t="n">
        <v>71592</v>
      </c>
      <c r="G30" s="37" t="n">
        <v>71592</v>
      </c>
      <c r="H30" s="37" t="n">
        <v>71592</v>
      </c>
      <c r="I30" s="37" t="n">
        <v>71592</v>
      </c>
      <c r="J30" s="37" t="n">
        <v>71592</v>
      </c>
      <c r="K30" s="37" t="n">
        <v>59417</v>
      </c>
      <c r="L30" s="37" t="n">
        <v>59417</v>
      </c>
      <c r="M30" s="37" t="n">
        <v>59417</v>
      </c>
      <c r="N30" s="37" t="n">
        <v>59417</v>
      </c>
      <c r="O30" s="54" t="n">
        <f aca="false">IF(COUNT(D30:N30)=0,"",SUM(D30:N30))</f>
        <v>595628</v>
      </c>
    </row>
    <row r="31" customFormat="false" ht="15" hidden="false" customHeight="false" outlineLevel="0" collapsed="false">
      <c r="A31" s="11" t="s">
        <v>2692</v>
      </c>
      <c r="B31" s="15" t="s">
        <v>2613</v>
      </c>
      <c r="C31" s="11" t="s">
        <v>508</v>
      </c>
      <c r="D31" s="37"/>
      <c r="E31" s="37" t="n">
        <v>271102</v>
      </c>
      <c r="F31" s="37" t="n">
        <v>226274</v>
      </c>
      <c r="G31" s="37" t="n">
        <v>169416</v>
      </c>
      <c r="H31" s="37" t="n">
        <v>107224</v>
      </c>
      <c r="I31" s="37" t="n">
        <v>39198</v>
      </c>
      <c r="J31" s="37" t="n">
        <v>0</v>
      </c>
      <c r="K31" s="37" t="n">
        <v>0</v>
      </c>
      <c r="L31" s="37" t="n">
        <v>0</v>
      </c>
      <c r="M31" s="37" t="n">
        <v>0</v>
      </c>
      <c r="N31" s="37" t="n">
        <v>0</v>
      </c>
      <c r="O31" s="54" t="n">
        <f aca="false">IF(COUNT(D31:N31)=0,"",SUM(D31:N31))</f>
        <v>813214</v>
      </c>
    </row>
    <row r="32" customFormat="false" ht="15" hidden="false" customHeight="false" outlineLevel="0" collapsed="false">
      <c r="A32" s="11" t="s">
        <v>2693</v>
      </c>
      <c r="B32" s="67" t="s">
        <v>2694</v>
      </c>
      <c r="C32" s="11" t="s">
        <v>508</v>
      </c>
      <c r="D32" s="54" t="str">
        <f aca="false">IFERROR(IF(COUNT(D29,D30,D31)=0,"",N(D29)-N(D30)-N(D31)),"")</f>
        <v/>
      </c>
      <c r="E32" s="54" t="n">
        <f aca="false">IFERROR(IF(COUNT(E29,E30,E31)=0,"",N(E29)-N(E30)-N(E31)),"")</f>
        <v>301922</v>
      </c>
      <c r="F32" s="54" t="n">
        <f aca="false">IFERROR(IF(COUNT(F29,F30,F31)=0,"",N(F29)-N(F30)-N(F31)),"")</f>
        <v>731145</v>
      </c>
      <c r="G32" s="54" t="n">
        <f aca="false">IFERROR(IF(COUNT(G29,G30,G31)=0,"",N(G29)-N(G30)-N(G31)),"")</f>
        <v>1238751</v>
      </c>
      <c r="H32" s="54" t="n">
        <f aca="false">IFERROR(IF(COUNT(H29,H30,H31)=0,"",N(H29)-N(H30)-N(H31)),"")</f>
        <v>1707490</v>
      </c>
      <c r="I32" s="54" t="n">
        <f aca="false">IFERROR(IF(COUNT(I29,I30,I31)=0,"",N(I29)-N(I30)-N(I31)),"")</f>
        <v>1804006</v>
      </c>
      <c r="J32" s="54" t="n">
        <f aca="false">IFERROR(IF(COUNT(J29,J30,J31)=0,"",N(J29)-N(J30)-N(J31)),"")</f>
        <v>1902407</v>
      </c>
      <c r="K32" s="54" t="n">
        <f aca="false">IFERROR(IF(COUNT(K29,K30,K31)=0,"",N(K29)-N(K30)-N(K31)),"")</f>
        <v>1974240</v>
      </c>
      <c r="L32" s="54" t="n">
        <f aca="false">IFERROR(IF(COUNT(L29,L30,L31)=0,"",N(L29)-N(L30)-N(L31)),"")</f>
        <v>2034351</v>
      </c>
      <c r="M32" s="54" t="n">
        <f aca="false">IFERROR(IF(COUNT(M29,M30,M31)=0,"",N(M29)-N(M30)-N(M31)),"")</f>
        <v>2094918</v>
      </c>
      <c r="N32" s="54" t="n">
        <f aca="false">IFERROR(IF(COUNT(N29,N30,N31)=0,"",N(N29)-N(N30)-N(N31)),"")</f>
        <v>2155938</v>
      </c>
      <c r="O32" s="54" t="n">
        <f aca="false">IF(COUNT(D32:N32)=0,"",SUM(D32:N32))</f>
        <v>15945168</v>
      </c>
    </row>
    <row r="33" customFormat="false" ht="15" hidden="false" customHeight="false" outlineLevel="0" collapsed="false">
      <c r="A33" s="11" t="s">
        <v>2695</v>
      </c>
      <c r="B33" s="15" t="s">
        <v>2696</v>
      </c>
      <c r="C33" s="11" t="s">
        <v>508</v>
      </c>
      <c r="D33" s="37"/>
      <c r="E33" s="37" t="n">
        <v>0</v>
      </c>
      <c r="F33" s="37" t="n">
        <v>0</v>
      </c>
      <c r="G33" s="37" t="n">
        <v>0</v>
      </c>
      <c r="H33" s="37" t="n">
        <v>0</v>
      </c>
      <c r="I33" s="37" t="n">
        <v>0</v>
      </c>
      <c r="J33" s="37" t="n">
        <v>0</v>
      </c>
      <c r="K33" s="37" t="n">
        <v>0</v>
      </c>
      <c r="L33" s="37" t="n">
        <v>0</v>
      </c>
      <c r="M33" s="37" t="n">
        <v>0</v>
      </c>
      <c r="N33" s="37" t="n">
        <v>0</v>
      </c>
      <c r="O33" s="54" t="n">
        <f aca="false">IF(COUNT(D33:N33)=0,"",SUM(D33:N33))</f>
        <v>0</v>
      </c>
    </row>
    <row r="34" customFormat="false" ht="15" hidden="false" customHeight="false" outlineLevel="0" collapsed="false">
      <c r="A34" s="11" t="s">
        <v>2697</v>
      </c>
      <c r="B34" s="67" t="s">
        <v>2698</v>
      </c>
      <c r="C34" s="11" t="s">
        <v>508</v>
      </c>
      <c r="D34" s="37"/>
      <c r="E34" s="37" t="n">
        <v>301922</v>
      </c>
      <c r="F34" s="37" t="n">
        <v>731144</v>
      </c>
      <c r="G34" s="37" t="n">
        <v>1238751</v>
      </c>
      <c r="H34" s="37" t="n">
        <v>1707489</v>
      </c>
      <c r="I34" s="37" t="n">
        <v>1804006</v>
      </c>
      <c r="J34" s="37" t="n">
        <v>1902407</v>
      </c>
      <c r="K34" s="37" t="n">
        <v>1974240</v>
      </c>
      <c r="L34" s="37" t="n">
        <v>2034352</v>
      </c>
      <c r="M34" s="37" t="n">
        <v>2094918</v>
      </c>
      <c r="N34" s="37" t="n">
        <v>2155939</v>
      </c>
      <c r="O34" s="54" t="n">
        <f aca="false">IF(COUNT(D34:N34)=0,"",SUM(D34:N34))</f>
        <v>15945168</v>
      </c>
    </row>
    <row r="35" customFormat="false" ht="15" hidden="false" customHeight="false" outlineLevel="0" collapsed="false">
      <c r="A35" s="11" t="s">
        <v>2699</v>
      </c>
      <c r="B35" s="15" t="s">
        <v>2700</v>
      </c>
      <c r="C35" s="11" t="s">
        <v>508</v>
      </c>
      <c r="D35" s="37"/>
      <c r="E35" s="37" t="n">
        <v>0</v>
      </c>
      <c r="F35" s="37" t="n">
        <v>0</v>
      </c>
      <c r="G35" s="37" t="n">
        <v>371625</v>
      </c>
      <c r="H35" s="37" t="n">
        <v>853745</v>
      </c>
      <c r="I35" s="37" t="n">
        <v>1804006</v>
      </c>
      <c r="J35" s="37" t="n">
        <v>1902407</v>
      </c>
      <c r="K35" s="37" t="n">
        <v>1974240</v>
      </c>
      <c r="L35" s="37" t="n">
        <v>2034352</v>
      </c>
      <c r="M35" s="37" t="n">
        <v>2094918</v>
      </c>
      <c r="N35" s="37" t="n">
        <v>2155939</v>
      </c>
      <c r="O35" s="54" t="n">
        <f aca="false">IF(COUNT(D35:N35)=0,"",SUM(D35:N35))</f>
        <v>13191232</v>
      </c>
    </row>
    <row r="36" customFormat="false" ht="15" hidden="false" customHeight="false" outlineLevel="0" collapsed="false">
      <c r="A36" s="11" t="s">
        <v>2701</v>
      </c>
      <c r="B36" s="15" t="s">
        <v>2702</v>
      </c>
      <c r="C36" s="11" t="s">
        <v>508</v>
      </c>
      <c r="D36" s="48" t="str">
        <f aca="false">IFERROR(IF(COUNT(D34,D35)=0,"",N(D34)-N(D35)),"")</f>
        <v/>
      </c>
      <c r="E36" s="48" t="n">
        <f aca="false">IFERROR(IF(COUNT(E34,E35)=0,"",N(E34)-N(E35)),"")</f>
        <v>301922</v>
      </c>
      <c r="F36" s="48" t="n">
        <f aca="false">IFERROR(IF(COUNT(F34,F35)=0,"",N(F34)-N(F35)),"")</f>
        <v>731144</v>
      </c>
      <c r="G36" s="48" t="n">
        <f aca="false">IFERROR(IF(COUNT(G34,G35)=0,"",N(G34)-N(G35)),"")</f>
        <v>867126</v>
      </c>
      <c r="H36" s="48" t="n">
        <f aca="false">IFERROR(IF(COUNT(H34,H35)=0,"",N(H34)-N(H35)),"")</f>
        <v>853744</v>
      </c>
      <c r="I36" s="48" t="n">
        <f aca="false">IFERROR(IF(COUNT(I34,I35)=0,"",N(I34)-N(I35)),"")</f>
        <v>0</v>
      </c>
      <c r="J36" s="48" t="n">
        <f aca="false">IFERROR(IF(COUNT(J34,J35)=0,"",N(J34)-N(J35)),"")</f>
        <v>0</v>
      </c>
      <c r="K36" s="48" t="n">
        <f aca="false">IFERROR(IF(COUNT(K34,K35)=0,"",N(K34)-N(K35)),"")</f>
        <v>0</v>
      </c>
      <c r="L36" s="48" t="n">
        <f aca="false">IFERROR(IF(COUNT(L34,L35)=0,"",N(L34)-N(L35)),"")</f>
        <v>0</v>
      </c>
      <c r="M36" s="48" t="n">
        <f aca="false">IFERROR(IF(COUNT(M34,M35)=0,"",N(M34)-N(M35)),"")</f>
        <v>0</v>
      </c>
      <c r="N36" s="48" t="n">
        <f aca="false">IFERROR(IF(COUNT(N34,N35)=0,"",N(N34)-N(N35)),"")</f>
        <v>0</v>
      </c>
      <c r="O36" s="54" t="n">
        <f aca="false">IF(COUNT(D36:N36)=0,"",SUM(D36:N36))</f>
        <v>2753936</v>
      </c>
    </row>
    <row r="37" customFormat="false" ht="15" hidden="false" customHeight="false" outlineLevel="0" collapsed="false">
      <c r="A37" s="11" t="s">
        <v>2703</v>
      </c>
      <c r="B37" s="15" t="s">
        <v>2704</v>
      </c>
      <c r="C37" s="11" t="s">
        <v>508</v>
      </c>
      <c r="O37" s="54" t="str">
        <f aca="false">IF(COUNT(D37:N37)=0,"",SUM(D37:N37))</f>
        <v/>
      </c>
    </row>
    <row r="38" customFormat="false" ht="15" hidden="false" customHeight="false" outlineLevel="0" collapsed="false">
      <c r="A38" s="11" t="s">
        <v>2705</v>
      </c>
      <c r="B38" s="15" t="s">
        <v>2706</v>
      </c>
      <c r="C38" s="11" t="s">
        <v>367</v>
      </c>
      <c r="D38" s="49" t="str">
        <f aca="false">IFERROR(IF(OR(NOT(ISNUMBER(D34)),N(D26)=0),"",D34/D26),"")</f>
        <v/>
      </c>
      <c r="E38" s="49" t="n">
        <f aca="false">IFERROR(IF(OR(NOT(ISNUMBER(E34)),N(E26)=0),"",E34/E26),"")</f>
        <v>0.0622519587628866</v>
      </c>
      <c r="F38" s="49" t="n">
        <f aca="false">IFERROR(IF(OR(NOT(ISNUMBER(F34)),N(F26)=0),"",F34/F26),"")</f>
        <v>0.11828512262991</v>
      </c>
      <c r="G38" s="49" t="n">
        <f aca="false">IFERROR(IF(OR(NOT(ISNUMBER(G34)),N(G26)=0),"",G34/G26),"")</f>
        <v>0.164322423748156</v>
      </c>
      <c r="H38" s="49" t="n">
        <f aca="false">IFERROR(IF(OR(NOT(ISNUMBER(H34)),N(H26)=0),"",H34/H26),"")</f>
        <v>0.196592180681294</v>
      </c>
      <c r="I38" s="49" t="n">
        <f aca="false">IFERROR(IF(OR(NOT(ISNUMBER(I34)),N(I26)=0),"",I34/I26),"")</f>
        <v>0.205648193197399</v>
      </c>
      <c r="J38" s="49" t="n">
        <f aca="false">IFERROR(IF(OR(NOT(ISNUMBER(J34)),N(J26)=0),"",J34/J26),"")</f>
        <v>0.214718259506333</v>
      </c>
      <c r="K38" s="49" t="n">
        <f aca="false">IFERROR(IF(OR(NOT(ISNUMBER(K34)),N(K26)=0),"",K34/K26),"")</f>
        <v>0.220619615437696</v>
      </c>
      <c r="L38" s="49" t="n">
        <f aca="false">IFERROR(IF(OR(NOT(ISNUMBER(L34)),N(L26)=0),"",L34/L26),"")</f>
        <v>0.225086221098879</v>
      </c>
      <c r="M38" s="49" t="n">
        <f aca="false">IFERROR(IF(OR(NOT(ISNUMBER(M34)),N(M26)=0),"",M34/M26),"")</f>
        <v>0.229492482978002</v>
      </c>
      <c r="N38" s="49" t="n">
        <f aca="false">IFERROR(IF(OR(NOT(ISNUMBER(N34)),N(N26)=0),"",N34/N26),"")</f>
        <v>0.233838772715189</v>
      </c>
      <c r="O38" s="99" t="n">
        <f aca="false">IFERROR(IF(OR(NOT(ISNUMBER(O34)),N(O26)=0),"",O34/O26),"")</f>
        <v>0.196314792186515</v>
      </c>
    </row>
    <row r="39" customFormat="false" ht="15" hidden="false" customHeight="false" outlineLevel="0" collapsed="false">
      <c r="A39" s="11" t="s">
        <v>2707</v>
      </c>
      <c r="B39" s="15" t="s">
        <v>2708</v>
      </c>
      <c r="C39" s="11" t="s">
        <v>367</v>
      </c>
      <c r="E39" s="39" t="n">
        <v>0</v>
      </c>
      <c r="F39" s="39" t="n">
        <v>0</v>
      </c>
      <c r="G39" s="39" t="n">
        <v>0.3</v>
      </c>
      <c r="H39" s="39" t="n">
        <v>0.5</v>
      </c>
      <c r="I39" s="39" t="n">
        <v>1</v>
      </c>
      <c r="J39" s="39" t="n">
        <v>1</v>
      </c>
      <c r="K39" s="39" t="n">
        <v>1</v>
      </c>
      <c r="L39" s="39" t="n">
        <v>1</v>
      </c>
      <c r="M39" s="39" t="n">
        <v>1</v>
      </c>
      <c r="N39" s="39" t="n">
        <v>1</v>
      </c>
    </row>
    <row r="41" customFormat="false" ht="15" hidden="false" customHeight="false" outlineLevel="0" collapsed="false">
      <c r="A41" s="101" t="s">
        <v>1994</v>
      </c>
      <c r="B41" s="102"/>
      <c r="C41" s="102"/>
      <c r="D41" s="102"/>
      <c r="E41" s="102"/>
      <c r="F41" s="102"/>
      <c r="G41" s="102"/>
      <c r="H41" s="102"/>
      <c r="I41" s="102"/>
      <c r="J41" s="102"/>
      <c r="K41" s="102"/>
      <c r="L41" s="102"/>
      <c r="M41" s="102"/>
      <c r="N41" s="102"/>
      <c r="O41" s="102"/>
      <c r="P41" s="102"/>
    </row>
    <row r="42" customFormat="false" ht="24" hidden="false" customHeight="true" outlineLevel="0" collapsed="false">
      <c r="A42" s="14"/>
      <c r="B42" s="14" t="s">
        <v>1530</v>
      </c>
      <c r="C42" s="14" t="s">
        <v>355</v>
      </c>
      <c r="D42" s="14" t="s">
        <v>1857</v>
      </c>
      <c r="E42" s="14" t="s">
        <v>452</v>
      </c>
      <c r="F42" s="14" t="s">
        <v>453</v>
      </c>
      <c r="G42" s="14" t="s">
        <v>454</v>
      </c>
      <c r="H42" s="14" t="s">
        <v>455</v>
      </c>
      <c r="I42" s="14" t="s">
        <v>456</v>
      </c>
      <c r="J42" s="14" t="s">
        <v>457</v>
      </c>
      <c r="K42" s="14" t="s">
        <v>458</v>
      </c>
      <c r="L42" s="14" t="s">
        <v>459</v>
      </c>
      <c r="M42" s="14" t="s">
        <v>460</v>
      </c>
      <c r="N42" s="14" t="s">
        <v>461</v>
      </c>
      <c r="O42" s="14" t="s">
        <v>549</v>
      </c>
      <c r="P42" s="14" t="s">
        <v>1822</v>
      </c>
    </row>
    <row r="43" customFormat="false" ht="15" hidden="false" customHeight="false" outlineLevel="0" collapsed="false">
      <c r="B43" s="11" t="s">
        <v>1993</v>
      </c>
      <c r="D43" s="86" t="str">
        <f aca="false">IF(OR(n_Fecha1="",IF(cu_P=1,P_Inicio,V_Inicio)=1),"",YEAR(n_Fecha1))</f>
        <v/>
      </c>
      <c r="E43" s="86" t="str">
        <f aca="false">IF(n_Fecha1="","",YEAR(EOMONTH(n_Fecha1,IF(cu_P=1,P_Inicio,V_Inicio)-1+0)))</f>
        <v/>
      </c>
      <c r="F43" s="86" t="str">
        <f aca="false">IF(n_Fecha1="","",YEAR(EOMONTH(n_Fecha1,IF(cu_P=1,P_Inicio,V_Inicio)-1+12)))</f>
        <v/>
      </c>
      <c r="G43" s="86" t="str">
        <f aca="false">IF(n_Fecha1="","",YEAR(EOMONTH(n_Fecha1,IF(cu_P=1,P_Inicio,V_Inicio)-1+24)))</f>
        <v/>
      </c>
      <c r="H43" s="86" t="str">
        <f aca="false">IF(n_Fecha1="","",YEAR(EOMONTH(n_Fecha1,IF(cu_P=1,P_Inicio,V_Inicio)-1+36)))</f>
        <v/>
      </c>
      <c r="I43" s="86" t="str">
        <f aca="false">IF(n_Fecha1="","",YEAR(EOMONTH(n_Fecha1,IF(cu_P=1,P_Inicio,V_Inicio)-1+48)))</f>
        <v/>
      </c>
      <c r="J43" s="86" t="str">
        <f aca="false">IF(n_Fecha1="","",YEAR(EOMONTH(n_Fecha1,IF(cu_P=1,P_Inicio,V_Inicio)-1+60)))</f>
        <v/>
      </c>
      <c r="K43" s="86" t="str">
        <f aca="false">IF(n_Fecha1="","",YEAR(EOMONTH(n_Fecha1,IF(cu_P=1,P_Inicio,V_Inicio)-1+72)))</f>
        <v/>
      </c>
      <c r="L43" s="86" t="str">
        <f aca="false">IF(n_Fecha1="","",YEAR(EOMONTH(n_Fecha1,IF(cu_P=1,P_Inicio,V_Inicio)-1+84)))</f>
        <v/>
      </c>
      <c r="M43" s="86" t="str">
        <f aca="false">IF(n_Fecha1="","",YEAR(EOMONTH(n_Fecha1,IF(cu_P=1,P_Inicio,V_Inicio)-1+96)))</f>
        <v/>
      </c>
      <c r="N43" s="86" t="str">
        <f aca="false">IF(n_Fecha1="","",YEAR(EOMONTH(n_Fecha1,IF(cu_P=1,P_Inicio,V_Inicio)-1+108)))</f>
        <v/>
      </c>
    </row>
    <row r="44" customFormat="false" ht="15" hidden="false" customHeight="false" outlineLevel="0" collapsed="false">
      <c r="A44" s="11" t="s">
        <v>2683</v>
      </c>
      <c r="B44" s="67" t="s">
        <v>2684</v>
      </c>
      <c r="C44" s="11" t="s">
        <v>508</v>
      </c>
      <c r="D44" s="54" t="str">
        <f aca="false">IF(OR(NOT(ISNUMBER(D8)),NOT(ISNUMBER(D26))),"",D8-D26)</f>
        <v/>
      </c>
      <c r="E44" s="54" t="n">
        <f aca="false">IF(OR(NOT(ISNUMBER(E8)),NOT(ISNUMBER(E26))),"",E8-E26)</f>
        <v>0</v>
      </c>
      <c r="F44" s="54" t="n">
        <f aca="false">IF(OR(NOT(ISNUMBER(F8)),NOT(ISNUMBER(F26))),"",F8-F26)</f>
        <v>0</v>
      </c>
      <c r="G44" s="54" t="n">
        <f aca="false">IF(OR(NOT(ISNUMBER(G8)),NOT(ISNUMBER(G26))),"",G8-G26)</f>
        <v>0</v>
      </c>
      <c r="H44" s="54" t="n">
        <f aca="false">IF(OR(NOT(ISNUMBER(H8)),NOT(ISNUMBER(H26))),"",H8-H26)</f>
        <v>0.429999999701977</v>
      </c>
      <c r="I44" s="54" t="n">
        <f aca="false">IF(OR(NOT(ISNUMBER(I8)),NOT(ISNUMBER(I26))),"",I8-I26)</f>
        <v>-0.195699999108911</v>
      </c>
      <c r="J44" s="54" t="n">
        <f aca="false">IF(OR(NOT(ISNUMBER(J8)),NOT(ISNUMBER(J26))),"",J8-J26)</f>
        <v>-0.277657000347972</v>
      </c>
      <c r="K44" s="54" t="n">
        <f aca="false">IF(OR(NOT(ISNUMBER(K8)),NOT(ISNUMBER(K26))),"",K8-K26)</f>
        <v>-0.130433570593596</v>
      </c>
      <c r="L44" s="54" t="n">
        <f aca="false">IF(OR(NOT(ISNUMBER(L8)),NOT(ISNUMBER(L26))),"",L8-L26)</f>
        <v>0.0182620920240879</v>
      </c>
      <c r="M44" s="54" t="n">
        <f aca="false">IF(OR(NOT(ISNUMBER(M8)),NOT(ISNUMBER(M26))),"",M8-M26)</f>
        <v>0.0284447148442268</v>
      </c>
      <c r="N44" s="54" t="n">
        <f aca="false">IF(OR(NOT(ISNUMBER(N8)),NOT(ISNUMBER(N26))),"",N8-N26)</f>
        <v>-0.151270836591721</v>
      </c>
      <c r="O44" s="54" t="n">
        <f aca="false">IF(OR(NOT(ISNUMBER(O8)),NOT(ISNUMBER(O26))),"",O8-O26)</f>
        <v>-0.278354600071907</v>
      </c>
      <c r="P44" s="11" t="str">
        <f aca="false">IF(COUNT(D44:N44)=0,"",IF(AND(MAX(D44:N44)&lt;2,MIN(D44:N44)&gt;-2),"Sin diferencia","Diferencia a explicar"))</f>
        <v>Sin diferencia</v>
      </c>
    </row>
    <row r="45" customFormat="false" ht="15" hidden="false" customHeight="false" outlineLevel="0" collapsed="false">
      <c r="A45" s="11" t="s">
        <v>2685</v>
      </c>
      <c r="B45" s="15" t="s">
        <v>2686</v>
      </c>
      <c r="C45" s="11" t="s">
        <v>508</v>
      </c>
      <c r="D45" s="48" t="str">
        <f aca="false">IF(OR(NOT(ISNUMBER(D9)),NOT(ISNUMBER(D27))),"",D9-D27)</f>
        <v/>
      </c>
      <c r="E45" s="48" t="n">
        <f aca="false">IF(OR(NOT(ISNUMBER(E9)),NOT(ISNUMBER(E27))),"",E9-E27)</f>
        <v>290004.368541407</v>
      </c>
      <c r="F45" s="48" t="n">
        <f aca="false">IF(OR(NOT(ISNUMBER(F9)),NOT(ISNUMBER(F27))),"",F9-F27)</f>
        <v>290005.098320908</v>
      </c>
      <c r="G45" s="48" t="n">
        <f aca="false">IF(OR(NOT(ISNUMBER(G9)),NOT(ISNUMBER(G27))),"",G9-G27)</f>
        <v>301690.110666988</v>
      </c>
      <c r="H45" s="48" t="n">
        <f aca="false">IF(OR(NOT(ISNUMBER(H9)),NOT(ISNUMBER(H27))),"",H9-H27)</f>
        <v>314533.725694182</v>
      </c>
      <c r="I45" s="48" t="n">
        <f aca="false">IF(OR(NOT(ISNUMBER(I9)),NOT(ISNUMBER(I27))),"",I9-I27)</f>
        <v>327189.146436121</v>
      </c>
      <c r="J45" s="48" t="n">
        <f aca="false">IF(OR(NOT(ISNUMBER(J9)),NOT(ISNUMBER(J27))),"",J9-J27)</f>
        <v>337344.989813816</v>
      </c>
      <c r="K45" s="48" t="n">
        <f aca="false">IF(OR(NOT(ISNUMBER(K9)),NOT(ISNUMBER(K27))),"",K9-K27)</f>
        <v>347615.304582248</v>
      </c>
      <c r="L45" s="48" t="n">
        <f aca="false">IF(OR(NOT(ISNUMBER(L9)),NOT(ISNUMBER(L27))),"",L9-L27)</f>
        <v>358001.440514464</v>
      </c>
      <c r="M45" s="48" t="n">
        <f aca="false">IF(OR(NOT(ISNUMBER(M9)),NOT(ISNUMBER(M27))),"",M9-M27)</f>
        <v>368504.783582424</v>
      </c>
      <c r="N45" s="48" t="n">
        <f aca="false">IF(OR(NOT(ISNUMBER(N9)),NOT(ISNUMBER(N27))),"",N9-N27)</f>
        <v>379126.756373012</v>
      </c>
      <c r="O45" s="54" t="n">
        <f aca="false">IF(OR(NOT(ISNUMBER(O9)),NOT(ISNUMBER(O27))),"",O9-O27)</f>
        <v>3314015.72452557</v>
      </c>
      <c r="P45" s="11" t="str">
        <f aca="false">IF(COUNT(D45:N45)=0,"",IF(AND(MAX(D45:N45)&lt;2,MIN(D45:N45)&gt;-2),"Sin diferencia","Clasificación del personal (indirectos en producción), C1 nómina y C2 materia prima."))</f>
        <v>Clasificación del personal (indirectos en producción), C1 nómina y C2 materia prima.</v>
      </c>
    </row>
    <row r="46" customFormat="false" ht="15" hidden="false" customHeight="false" outlineLevel="0" collapsed="false">
      <c r="A46" s="11" t="s">
        <v>2687</v>
      </c>
      <c r="B46" s="15" t="s">
        <v>2688</v>
      </c>
      <c r="C46" s="11" t="s">
        <v>508</v>
      </c>
      <c r="D46" s="48" t="str">
        <f aca="false">IF(OR(NOT(ISNUMBER(D10)),NOT(ISNUMBER(D28))),"",D10-D28)</f>
        <v/>
      </c>
      <c r="E46" s="48" t="n">
        <f aca="false">IF(OR(NOT(ISNUMBER(E10)),NOT(ISNUMBER(E28))),"",E10-E28)</f>
        <v>-226951.374248485</v>
      </c>
      <c r="F46" s="48" t="n">
        <f aca="false">IF(OR(NOT(ISNUMBER(F10)),NOT(ISNUMBER(F28))),"",F10-F28)</f>
        <v>-226950.934248485</v>
      </c>
      <c r="G46" s="48" t="n">
        <f aca="false">IF(OR(NOT(ISNUMBER(G10)),NOT(ISNUMBER(G28))),"",G10-G28)</f>
        <v>-226951.481048485</v>
      </c>
      <c r="H46" s="48" t="n">
        <f aca="false">IF(OR(NOT(ISNUMBER(H10)),NOT(ISNUMBER(H28))),"",H10-H28)</f>
        <v>-226951.254252485</v>
      </c>
      <c r="I46" s="48" t="n">
        <f aca="false">IF(OR(NOT(ISNUMBER(I10)),NOT(ISNUMBER(I28))),"",I10-I28)</f>
        <v>-226951.320652605</v>
      </c>
      <c r="J46" s="48" t="n">
        <f aca="false">IF(OR(NOT(ISNUMBER(J10)),NOT(ISNUMBER(J28))),"",J10-J28)</f>
        <v>-226951.569044729</v>
      </c>
      <c r="K46" s="48" t="n">
        <f aca="false">IF(OR(NOT(ISNUMBER(K10)),NOT(ISNUMBER(K28))),"",K10-K28)</f>
        <v>-226950.704888616</v>
      </c>
      <c r="L46" s="48" t="n">
        <f aca="false">IF(OR(NOT(ISNUMBER(L10)),NOT(ISNUMBER(L28))),"",L10-L28)</f>
        <v>-226951.24480782</v>
      </c>
      <c r="M46" s="48" t="n">
        <f aca="false">IF(OR(NOT(ISNUMBER(M10)),NOT(ISNUMBER(M28))),"",M10-M28)</f>
        <v>-226951.5109246</v>
      </c>
      <c r="N46" s="48" t="n">
        <f aca="false">IF(OR(NOT(ISNUMBER(N10)),NOT(ISNUMBER(N28))),"",N10-N28)</f>
        <v>-226951.625024883</v>
      </c>
      <c r="O46" s="54" t="n">
        <f aca="false">IF(OR(NOT(ISNUMBER(O10)),NOT(ISNUMBER(O28))),"",O10-O28)</f>
        <v>-2269513.01914119</v>
      </c>
      <c r="P46" s="11" t="str">
        <f aca="false">IF(COUNT(D46:N46)=0,"",IF(AND(MAX(D46:N46)&lt;2,MIN(D46:N46)&gt;-2),"Sin diferencia","Clasificación del personal: el plan pone a los 22 indirectos en administración; el modelo separa 17 de producción y 5 de administración."))</f>
        <v>Clasificación del personal: el plan pone a los 22 indirectos en administración; el modelo separa 17 de producción y 5 de administración.</v>
      </c>
    </row>
    <row r="47" customFormat="false" ht="15" hidden="false" customHeight="false" outlineLevel="0" collapsed="false">
      <c r="A47" s="11" t="s">
        <v>2689</v>
      </c>
      <c r="B47" s="67" t="s">
        <v>2690</v>
      </c>
      <c r="C47" s="11" t="s">
        <v>508</v>
      </c>
      <c r="D47" s="54" t="str">
        <f aca="false">IF(OR(NOT(ISNUMBER(D11)),NOT(ISNUMBER(D29))),"",D11-D29)</f>
        <v/>
      </c>
      <c r="E47" s="54" t="n">
        <f aca="false">IF(OR(NOT(ISNUMBER(E11)),NOT(ISNUMBER(E29))),"",E11-E29)</f>
        <v>-63053.994292923</v>
      </c>
      <c r="F47" s="54" t="n">
        <f aca="false">IF(OR(NOT(ISNUMBER(F11)),NOT(ISNUMBER(F29))),"",F11-F29)</f>
        <v>-63054.1640724225</v>
      </c>
      <c r="G47" s="54" t="n">
        <f aca="false">IF(OR(NOT(ISNUMBER(G11)),NOT(ISNUMBER(G29))),"",G11-G29)</f>
        <v>-74738.6296185025</v>
      </c>
      <c r="H47" s="54" t="n">
        <f aca="false">IF(OR(NOT(ISNUMBER(H11)),NOT(ISNUMBER(H29))),"",H11-H29)</f>
        <v>-87583.0414417</v>
      </c>
      <c r="I47" s="54" t="n">
        <f aca="false">IF(OR(NOT(ISNUMBER(I11)),NOT(ISNUMBER(I29))),"",I11-I29)</f>
        <v>-100238.021483514</v>
      </c>
      <c r="J47" s="54" t="n">
        <f aca="false">IF(OR(NOT(ISNUMBER(J11)),NOT(ISNUMBER(J29))),"",J11-J29)</f>
        <v>-110393.698426086</v>
      </c>
      <c r="K47" s="54" t="n">
        <f aca="false">IF(OR(NOT(ISNUMBER(K11)),NOT(ISNUMBER(K29))),"",K11-K29)</f>
        <v>-120664.730127201</v>
      </c>
      <c r="L47" s="54" t="n">
        <f aca="false">IF(OR(NOT(ISNUMBER(L11)),NOT(ISNUMBER(L29))),"",L11-L29)</f>
        <v>-131050.177444551</v>
      </c>
      <c r="M47" s="54" t="n">
        <f aca="false">IF(OR(NOT(ISNUMBER(M11)),NOT(ISNUMBER(M29))),"",M11-M29)</f>
        <v>-141554.244213109</v>
      </c>
      <c r="N47" s="54" t="n">
        <f aca="false">IF(OR(NOT(ISNUMBER(N11)),NOT(ISNUMBER(N29))),"",N11-N29)</f>
        <v>-152175.282618967</v>
      </c>
      <c r="O47" s="54" t="n">
        <f aca="false">IF(OR(NOT(ISNUMBER(O11)),NOT(ISNUMBER(O29))),"",O11-O29)</f>
        <v>-1044505.98373898</v>
      </c>
      <c r="P47" s="11" t="str">
        <f aca="false">IF(COUNT(D47:N47)=0,"",IF(AND(MAX(D47:N47)&lt;2,MIN(D47:N47)&gt;-2),"Sin diferencia","C1 nómina, C2 materia prima de cajas y mantenimiento (ver Conciliacion_Plan_vs_Modelo_ECOSTAR.md)."))</f>
        <v>C1 nómina, C2 materia prima de cajas y mantenimiento (ver Conciliacion_Plan_vs_Modelo_ECOSTAR.md).</v>
      </c>
    </row>
    <row r="48" customFormat="false" ht="15" hidden="false" customHeight="false" outlineLevel="0" collapsed="false">
      <c r="A48" s="11" t="s">
        <v>2691</v>
      </c>
      <c r="B48" s="15" t="s">
        <v>2615</v>
      </c>
      <c r="C48" s="11" t="s">
        <v>508</v>
      </c>
      <c r="D48" s="48" t="str">
        <f aca="false">IF(OR(NOT(ISNUMBER(D12)),NOT(ISNUMBER(D30))),"",D12-D30)</f>
        <v/>
      </c>
      <c r="E48" s="48" t="n">
        <f aca="false">IF(OR(NOT(ISNUMBER(E12)),NOT(ISNUMBER(E30))),"",E12-E30)</f>
        <v>71592.209</v>
      </c>
      <c r="F48" s="48" t="n">
        <f aca="false">IF(OR(NOT(ISNUMBER(F12)),NOT(ISNUMBER(F30))),"",F12-F30)</f>
        <v>10000.209</v>
      </c>
      <c r="G48" s="48" t="n">
        <f aca="false">IF(OR(NOT(ISNUMBER(G12)),NOT(ISNUMBER(G30))),"",G12-G30)</f>
        <v>10000.209</v>
      </c>
      <c r="H48" s="48" t="n">
        <f aca="false">IF(OR(NOT(ISNUMBER(H12)),NOT(ISNUMBER(H30))),"",H12-H30)</f>
        <v>10000.209</v>
      </c>
      <c r="I48" s="48" t="n">
        <f aca="false">IF(OR(NOT(ISNUMBER(I12)),NOT(ISNUMBER(I30))),"",I12-I30)</f>
        <v>10000.209</v>
      </c>
      <c r="J48" s="48" t="n">
        <f aca="false">IF(OR(NOT(ISNUMBER(J12)),NOT(ISNUMBER(J30))),"",J12-J30)</f>
        <v>-2175.391</v>
      </c>
      <c r="K48" s="48" t="n">
        <f aca="false">IF(OR(NOT(ISNUMBER(K12)),NOT(ISNUMBER(K30))),"",K12-K30)</f>
        <v>9999.609</v>
      </c>
      <c r="L48" s="48" t="n">
        <f aca="false">IF(OR(NOT(ISNUMBER(L12)),NOT(ISNUMBER(L30))),"",L12-L30)</f>
        <v>9999.609</v>
      </c>
      <c r="M48" s="48" t="n">
        <f aca="false">IF(OR(NOT(ISNUMBER(M12)),NOT(ISNUMBER(M30))),"",M12-M30)</f>
        <v>9999.609</v>
      </c>
      <c r="N48" s="48" t="n">
        <f aca="false">IF(OR(NOT(ISNUMBER(N12)),NOT(ISNUMBER(N30))),"",N12-N30)</f>
        <v>9999.609</v>
      </c>
      <c r="O48" s="54" t="n">
        <f aca="false">IF(OR(NOT(ISNUMBER(O12)),NOT(ISNUMBER(O30))),"",O12-O30)</f>
        <v>149416.09</v>
      </c>
      <c r="P48" s="11" t="str">
        <f aca="false">IF(COUNT(D48:N48)=0,"",IF(AND(MAX(D48:N48)&lt;2,MIN(D48:N48)&gt;-2),"Sin diferencia","Depreciación: el modelo deprecia desde el año 1 y también la inversión adicional del año 2 (10.000 por año); el cuadro 10a del plan empieza en el año 2."))</f>
        <v>Depreciación: el modelo deprecia desde el año 1 y también la inversión adicional del año 2 (10.000 por año); el cuadro 10a del plan empieza en el año 2.</v>
      </c>
    </row>
    <row r="49" customFormat="false" ht="15" hidden="false" customHeight="false" outlineLevel="0" collapsed="false">
      <c r="A49" s="11" t="s">
        <v>2692</v>
      </c>
      <c r="B49" s="15" t="s">
        <v>2613</v>
      </c>
      <c r="C49" s="11" t="s">
        <v>508</v>
      </c>
      <c r="D49" s="48" t="str">
        <f aca="false">IF(OR(NOT(ISNUMBER(D13)),NOT(ISNUMBER(D31))),"",D13-D31)</f>
        <v/>
      </c>
      <c r="E49" s="48" t="n">
        <f aca="false">IF(OR(NOT(ISNUMBER(E13)),NOT(ISNUMBER(E31))),"",E13-E31)</f>
        <v>-0.0675689744530246</v>
      </c>
      <c r="F49" s="48" t="n">
        <f aca="false">IF(OR(NOT(ISNUMBER(F13)),NOT(ISNUMBER(F31))),"",F13-F31)</f>
        <v>0.254121452046093</v>
      </c>
      <c r="G49" s="48" t="n">
        <f aca="false">IF(OR(NOT(ISNUMBER(G13)),NOT(ISNUMBER(G31))),"",G13-G31)</f>
        <v>-0.0270588327257428</v>
      </c>
      <c r="H49" s="48" t="n">
        <f aca="false">IF(OR(NOT(ISNUMBER(H13)),NOT(ISNUMBER(H31))),"",H13-H31)</f>
        <v>-0.00720354440272786</v>
      </c>
      <c r="I49" s="48" t="n">
        <f aca="false">IF(OR(NOT(ISNUMBER(I13)),NOT(ISNUMBER(I31))),"",I13-I31)</f>
        <v>-0.0240656469031819</v>
      </c>
      <c r="J49" s="48" t="n">
        <f aca="false">IF(OR(NOT(ISNUMBER(J13)),NOT(ISNUMBER(J31))),"",J13-J31)</f>
        <v>0</v>
      </c>
      <c r="K49" s="48" t="n">
        <f aca="false">IF(OR(NOT(ISNUMBER(K13)),NOT(ISNUMBER(K31))),"",K13-K31)</f>
        <v>0</v>
      </c>
      <c r="L49" s="48" t="n">
        <f aca="false">IF(OR(NOT(ISNUMBER(L13)),NOT(ISNUMBER(L31))),"",L13-L31)</f>
        <v>0</v>
      </c>
      <c r="M49" s="48" t="n">
        <f aca="false">IF(OR(NOT(ISNUMBER(M13)),NOT(ISNUMBER(M31))),"",M13-M31)</f>
        <v>0</v>
      </c>
      <c r="N49" s="48" t="n">
        <f aca="false">IF(OR(NOT(ISNUMBER(N13)),NOT(ISNUMBER(N31))),"",N13-N31)</f>
        <v>0</v>
      </c>
      <c r="O49" s="54" t="n">
        <f aca="false">IF(OR(NOT(ISNUMBER(O13)),NOT(ISNUMBER(O31))),"",O13-O31)</f>
        <v>0.128224453539588</v>
      </c>
      <c r="P49" s="11" t="str">
        <f aca="false">IF(COUNT(D49:N49)=0,"",IF(AND(MAX(D49:N49)&lt;2,MIN(D49:N49)&gt;-2),"Sin diferencia","Diferencia a explicar"))</f>
        <v>Sin diferencia</v>
      </c>
    </row>
    <row r="50" customFormat="false" ht="15" hidden="false" customHeight="false" outlineLevel="0" collapsed="false">
      <c r="A50" s="11" t="s">
        <v>2693</v>
      </c>
      <c r="B50" s="67" t="s">
        <v>2694</v>
      </c>
      <c r="C50" s="11" t="s">
        <v>508</v>
      </c>
      <c r="D50" s="54" t="str">
        <f aca="false">IF(OR(NOT(ISNUMBER(D14)),NOT(ISNUMBER(D32))),"",D14-D32)</f>
        <v/>
      </c>
      <c r="E50" s="54" t="n">
        <f aca="false">IF(OR(NOT(ISNUMBER(E14)),NOT(ISNUMBER(E32))),"",E14-E32)</f>
        <v>-134646.135723949</v>
      </c>
      <c r="F50" s="54" t="n">
        <f aca="false">IF(OR(NOT(ISNUMBER(F14)),NOT(ISNUMBER(F32))),"",F14-F32)</f>
        <v>-73054.6271938747</v>
      </c>
      <c r="G50" s="54" t="n">
        <f aca="false">IF(OR(NOT(ISNUMBER(G14)),NOT(ISNUMBER(G32))),"",G14-G32)</f>
        <v>-84738.8115596697</v>
      </c>
      <c r="H50" s="54" t="n">
        <f aca="false">IF(OR(NOT(ISNUMBER(H14)),NOT(ISNUMBER(H32))),"",H14-H32)</f>
        <v>-97583.2432381555</v>
      </c>
      <c r="I50" s="54" t="n">
        <f aca="false">IF(OR(NOT(ISNUMBER(I14)),NOT(ISNUMBER(I32))),"",I14-I32)</f>
        <v>-110238.206417868</v>
      </c>
      <c r="J50" s="54" t="n">
        <f aca="false">IF(OR(NOT(ISNUMBER(J14)),NOT(ISNUMBER(J32))),"",J14-J32)</f>
        <v>-108218.307426086</v>
      </c>
      <c r="K50" s="54" t="n">
        <f aca="false">IF(OR(NOT(ISNUMBER(K14)),NOT(ISNUMBER(K32))),"",K14-K32)</f>
        <v>-130664.339127201</v>
      </c>
      <c r="L50" s="54" t="n">
        <f aca="false">IF(OR(NOT(ISNUMBER(L14)),NOT(ISNUMBER(L32))),"",L14-L32)</f>
        <v>-141049.786444551</v>
      </c>
      <c r="M50" s="54" t="n">
        <f aca="false">IF(OR(NOT(ISNUMBER(M14)),NOT(ISNUMBER(M32))),"",M14-M32)</f>
        <v>-151553.853213109</v>
      </c>
      <c r="N50" s="54" t="n">
        <f aca="false">IF(OR(NOT(ISNUMBER(N14)),NOT(ISNUMBER(N32))),"",N14-N32)</f>
        <v>-162174.891618967</v>
      </c>
      <c r="O50" s="54" t="n">
        <f aca="false">IF(OR(NOT(ISNUMBER(O14)),NOT(ISNUMBER(O32))),"",O14-O32)</f>
        <v>-1193922.20196343</v>
      </c>
      <c r="P50" s="11" t="str">
        <f aca="false">IF(COUNT(D50:N50)=0,"",IF(AND(MAX(D50:N50)&lt;2,MIN(D50:N50)&gt;-2),"Sin diferencia","EBITDA y depreciación."))</f>
        <v>EBITDA y depreciación.</v>
      </c>
    </row>
    <row r="51" customFormat="false" ht="15" hidden="false" customHeight="false" outlineLevel="0" collapsed="false">
      <c r="A51" s="11" t="s">
        <v>2695</v>
      </c>
      <c r="B51" s="15" t="s">
        <v>2696</v>
      </c>
      <c r="C51" s="11" t="s">
        <v>508</v>
      </c>
      <c r="D51" s="48" t="str">
        <f aca="false">IF(OR(NOT(ISNUMBER(D15)),NOT(ISNUMBER(D33))),"",D15-D33)</f>
        <v/>
      </c>
      <c r="E51" s="48" t="n">
        <f aca="false">IF(OR(NOT(ISNUMBER(E15)),NOT(ISNUMBER(E33))),"",E15-E33)</f>
        <v>0</v>
      </c>
      <c r="F51" s="48" t="n">
        <f aca="false">IF(OR(NOT(ISNUMBER(F15)),NOT(ISNUMBER(F33))),"",F15-F33)</f>
        <v>0</v>
      </c>
      <c r="G51" s="48" t="n">
        <f aca="false">IF(OR(NOT(ISNUMBER(G15)),NOT(ISNUMBER(G33))),"",G15-G33)</f>
        <v>0</v>
      </c>
      <c r="H51" s="48" t="n">
        <f aca="false">IF(OR(NOT(ISNUMBER(H15)),NOT(ISNUMBER(H33))),"",H15-H33)</f>
        <v>0</v>
      </c>
      <c r="I51" s="48" t="n">
        <f aca="false">IF(OR(NOT(ISNUMBER(I15)),NOT(ISNUMBER(I33))),"",I15-I33)</f>
        <v>0</v>
      </c>
      <c r="J51" s="48" t="n">
        <f aca="false">IF(OR(NOT(ISNUMBER(J15)),NOT(ISNUMBER(J33))),"",J15-J33)</f>
        <v>0</v>
      </c>
      <c r="K51" s="48" t="n">
        <f aca="false">IF(OR(NOT(ISNUMBER(K15)),NOT(ISNUMBER(K33))),"",K15-K33)</f>
        <v>0</v>
      </c>
      <c r="L51" s="48" t="n">
        <f aca="false">IF(OR(NOT(ISNUMBER(L15)),NOT(ISNUMBER(L33))),"",L15-L33)</f>
        <v>0</v>
      </c>
      <c r="M51" s="48" t="n">
        <f aca="false">IF(OR(NOT(ISNUMBER(M15)),NOT(ISNUMBER(M33))),"",M15-M33)</f>
        <v>0</v>
      </c>
      <c r="N51" s="48" t="n">
        <f aca="false">IF(OR(NOT(ISNUMBER(N15)),NOT(ISNUMBER(N33))),"",N15-N33)</f>
        <v>0</v>
      </c>
      <c r="O51" s="54" t="n">
        <f aca="false">IF(OR(NOT(ISNUMBER(O15)),NOT(ISNUMBER(O33))),"",O15-O33)</f>
        <v>0</v>
      </c>
      <c r="P51" s="11" t="str">
        <f aca="false">IF(COUNT(D51:N51)=0,"",IF(AND(MAX(D51:N51)&lt;2,MIN(D51:N51)&gt;-2),"Sin diferencia","Diferencia a explicar"))</f>
        <v>Sin diferencia</v>
      </c>
    </row>
    <row r="52" customFormat="false" ht="15" hidden="false" customHeight="false" outlineLevel="0" collapsed="false">
      <c r="A52" s="11" t="s">
        <v>2697</v>
      </c>
      <c r="B52" s="67" t="s">
        <v>2698</v>
      </c>
      <c r="C52" s="11" t="s">
        <v>508</v>
      </c>
      <c r="D52" s="54" t="str">
        <f aca="false">IF(OR(NOT(ISNUMBER(D16)),NOT(ISNUMBER(D34))),"",D16-D34)</f>
        <v/>
      </c>
      <c r="E52" s="54" t="n">
        <f aca="false">IF(OR(NOT(ISNUMBER(E16)),NOT(ISNUMBER(E34))),"",E16-E34)</f>
        <v>-134646.135723949</v>
      </c>
      <c r="F52" s="54" t="n">
        <f aca="false">IF(OR(NOT(ISNUMBER(F16)),NOT(ISNUMBER(F34))),"",F16-F34)</f>
        <v>-73053.6271938746</v>
      </c>
      <c r="G52" s="54" t="n">
        <f aca="false">IF(OR(NOT(ISNUMBER(G16)),NOT(ISNUMBER(G34))),"",G16-G34)</f>
        <v>-84738.8115596697</v>
      </c>
      <c r="H52" s="54" t="n">
        <f aca="false">IF(OR(NOT(ISNUMBER(H16)),NOT(ISNUMBER(H34))),"",H16-H34)</f>
        <v>-97582.2432381557</v>
      </c>
      <c r="I52" s="54" t="n">
        <f aca="false">IF(OR(NOT(ISNUMBER(I16)),NOT(ISNUMBER(I34))),"",I16-I34)</f>
        <v>-110238.206417868</v>
      </c>
      <c r="J52" s="54" t="n">
        <f aca="false">IF(OR(NOT(ISNUMBER(J16)),NOT(ISNUMBER(J34))),"",J16-J34)</f>
        <v>-108218.307426086</v>
      </c>
      <c r="K52" s="54" t="n">
        <f aca="false">IF(OR(NOT(ISNUMBER(K16)),NOT(ISNUMBER(K34))),"",K16-K34)</f>
        <v>-130664.339127202</v>
      </c>
      <c r="L52" s="54" t="n">
        <f aca="false">IF(OR(NOT(ISNUMBER(L16)),NOT(ISNUMBER(L34))),"",L16-L34)</f>
        <v>-141050.78644455</v>
      </c>
      <c r="M52" s="54" t="n">
        <f aca="false">IF(OR(NOT(ISNUMBER(M16)),NOT(ISNUMBER(M34))),"",M16-M34)</f>
        <v>-151553.85321311</v>
      </c>
      <c r="N52" s="54" t="n">
        <f aca="false">IF(OR(NOT(ISNUMBER(N16)),NOT(ISNUMBER(N34))),"",N16-N34)</f>
        <v>-162175.891618967</v>
      </c>
      <c r="O52" s="54" t="n">
        <f aca="false">IF(OR(NOT(ISNUMBER(O16)),NOT(ISNUMBER(O34))),"",O16-O34)</f>
        <v>-1193922.20196343</v>
      </c>
      <c r="P52" s="11" t="str">
        <f aca="false">IF(COUNT(D52:N52)=0,"",IF(AND(MAX(D52:N52)&lt;2,MIN(D52:N52)&gt;-2),"Sin diferencia","EBITDA y depreciación."))</f>
        <v>EBITDA y depreciación.</v>
      </c>
    </row>
    <row r="53" customFormat="false" ht="15" hidden="false" customHeight="false" outlineLevel="0" collapsed="false">
      <c r="A53" s="11" t="s">
        <v>2699</v>
      </c>
      <c r="B53" s="15" t="s">
        <v>2700</v>
      </c>
      <c r="C53" s="11" t="s">
        <v>508</v>
      </c>
      <c r="D53" s="48" t="str">
        <f aca="false">IF(OR(NOT(ISNUMBER(D17)),NOT(ISNUMBER(D35))),"",D17-D35)</f>
        <v/>
      </c>
      <c r="E53" s="48" t="n">
        <f aca="false">IF(OR(NOT(ISNUMBER(E17)),NOT(ISNUMBER(E35))),"",E17-E35)</f>
        <v>0</v>
      </c>
      <c r="F53" s="48" t="n">
        <f aca="false">IF(OR(NOT(ISNUMBER(F17)),NOT(ISNUMBER(F35))),"",F17-F35)</f>
        <v>0</v>
      </c>
      <c r="G53" s="48" t="n">
        <f aca="false">IF(OR(NOT(ISNUMBER(G17)),NOT(ISNUMBER(G35))),"",G17-G35)</f>
        <v>-25421.3434679009</v>
      </c>
      <c r="H53" s="48" t="n">
        <f aca="false">IF(OR(NOT(ISNUMBER(H17)),NOT(ISNUMBER(H35))),"",H17-H35)</f>
        <v>-48791.6216190779</v>
      </c>
      <c r="I53" s="48" t="n">
        <f aca="false">IF(OR(NOT(ISNUMBER(I17)),NOT(ISNUMBER(I35))),"",I17-I35)</f>
        <v>-110238.206417868</v>
      </c>
      <c r="J53" s="48" t="n">
        <f aca="false">IF(OR(NOT(ISNUMBER(J17)),NOT(ISNUMBER(J35))),"",J17-J35)</f>
        <v>-108218.307426086</v>
      </c>
      <c r="K53" s="48" t="n">
        <f aca="false">IF(OR(NOT(ISNUMBER(K17)),NOT(ISNUMBER(K35))),"",K17-K35)</f>
        <v>-130664.339127202</v>
      </c>
      <c r="L53" s="48" t="n">
        <f aca="false">IF(OR(NOT(ISNUMBER(L17)),NOT(ISNUMBER(L35))),"",L17-L35)</f>
        <v>-141050.78644455</v>
      </c>
      <c r="M53" s="48" t="n">
        <f aca="false">IF(OR(NOT(ISNUMBER(M17)),NOT(ISNUMBER(M35))),"",M17-M35)</f>
        <v>-151553.85321311</v>
      </c>
      <c r="N53" s="48" t="n">
        <f aca="false">IF(OR(NOT(ISNUMBER(N17)),NOT(ISNUMBER(N35))),"",N17-N35)</f>
        <v>-162175.891618967</v>
      </c>
      <c r="O53" s="54" t="n">
        <f aca="false">IF(OR(NOT(ISNUMBER(O17)),NOT(ISNUMBER(O35))),"",O17-O35)</f>
        <v>-878114.349334762</v>
      </c>
      <c r="P53" s="11" t="str">
        <f aca="false">IF(COUNT(D53:N53)=0,"",IF(AND(MAX(D53:N53)&lt;2,MIN(D53:N53)&gt;-2),"Sin diferencia","Sigue a la utilidad del año."))</f>
        <v>Sigue a la utilidad del año.</v>
      </c>
    </row>
    <row r="54" customFormat="false" ht="15" hidden="false" customHeight="false" outlineLevel="0" collapsed="false">
      <c r="A54" s="11" t="s">
        <v>2701</v>
      </c>
      <c r="B54" s="15" t="s">
        <v>2702</v>
      </c>
      <c r="C54" s="11" t="s">
        <v>508</v>
      </c>
      <c r="D54" s="48" t="str">
        <f aca="false">IF(OR(NOT(ISNUMBER(D18)),NOT(ISNUMBER(D36))),"",D18-D36)</f>
        <v/>
      </c>
      <c r="E54" s="48" t="n">
        <f aca="false">IF(OR(NOT(ISNUMBER(E18)),NOT(ISNUMBER(E36))),"",E18-E36)</f>
        <v>-134646.135723949</v>
      </c>
      <c r="F54" s="48" t="n">
        <f aca="false">IF(OR(NOT(ISNUMBER(F18)),NOT(ISNUMBER(F36))),"",F18-F36)</f>
        <v>-73053.6271938746</v>
      </c>
      <c r="G54" s="48" t="n">
        <f aca="false">IF(OR(NOT(ISNUMBER(G18)),NOT(ISNUMBER(G36))),"",G18-G36)</f>
        <v>-59317.4680917687</v>
      </c>
      <c r="H54" s="48" t="n">
        <f aca="false">IF(OR(NOT(ISNUMBER(H18)),NOT(ISNUMBER(H36))),"",H18-H36)</f>
        <v>-48790.6216190779</v>
      </c>
      <c r="I54" s="48" t="n">
        <f aca="false">IF(OR(NOT(ISNUMBER(I18)),NOT(ISNUMBER(I36))),"",I18-I36)</f>
        <v>0</v>
      </c>
      <c r="J54" s="48" t="n">
        <f aca="false">IF(OR(NOT(ISNUMBER(J18)),NOT(ISNUMBER(J36))),"",J18-J36)</f>
        <v>0</v>
      </c>
      <c r="K54" s="48" t="n">
        <f aca="false">IF(OR(NOT(ISNUMBER(K18)),NOT(ISNUMBER(K36))),"",K18-K36)</f>
        <v>0</v>
      </c>
      <c r="L54" s="48" t="n">
        <f aca="false">IF(OR(NOT(ISNUMBER(L18)),NOT(ISNUMBER(L36))),"",L18-L36)</f>
        <v>0</v>
      </c>
      <c r="M54" s="48" t="n">
        <f aca="false">IF(OR(NOT(ISNUMBER(M18)),NOT(ISNUMBER(M36))),"",M18-M36)</f>
        <v>0</v>
      </c>
      <c r="N54" s="48" t="n">
        <f aca="false">IF(OR(NOT(ISNUMBER(N18)),NOT(ISNUMBER(N36))),"",N18-N36)</f>
        <v>0</v>
      </c>
      <c r="O54" s="54" t="n">
        <f aca="false">IF(OR(NOT(ISNUMBER(O18)),NOT(ISNUMBER(O36))),"",O18-O36)</f>
        <v>-315807.85262867</v>
      </c>
      <c r="P54" s="11" t="str">
        <f aca="false">IF(COUNT(D54:N54)=0,"",IF(AND(MAX(D54:N54)&lt;2,MIN(D54:N54)&gt;-2),"Sin diferencia","Sigue a la utilidad del año."))</f>
        <v>Sigue a la utilidad del año.</v>
      </c>
    </row>
    <row r="55" customFormat="false" ht="15" hidden="false" customHeight="false" outlineLevel="0" collapsed="false">
      <c r="A55" s="11" t="s">
        <v>2703</v>
      </c>
      <c r="B55" s="15" t="s">
        <v>2704</v>
      </c>
      <c r="C55" s="11" t="s">
        <v>508</v>
      </c>
      <c r="D55" s="48"/>
      <c r="E55" s="48"/>
      <c r="F55" s="48"/>
      <c r="G55" s="48"/>
      <c r="H55" s="48"/>
      <c r="I55" s="48"/>
      <c r="J55" s="48"/>
      <c r="K55" s="48"/>
      <c r="L55" s="48"/>
      <c r="M55" s="48"/>
      <c r="N55" s="48"/>
    </row>
    <row r="56" customFormat="false" ht="15" hidden="false" customHeight="false" outlineLevel="0" collapsed="false">
      <c r="A56" s="11" t="s">
        <v>2705</v>
      </c>
      <c r="B56" s="15" t="s">
        <v>2706</v>
      </c>
      <c r="C56" s="11" t="s">
        <v>367</v>
      </c>
      <c r="D56" s="49" t="str">
        <f aca="false">IF(OR(NOT(ISNUMBER(D20)),NOT(ISNUMBER(D38))),"",D20-D38)</f>
        <v/>
      </c>
      <c r="E56" s="49" t="n">
        <f aca="false">IF(OR(NOT(ISNUMBER(E20)),NOT(ISNUMBER(E38))),"",E20-E38)</f>
        <v>-0.0277620898399894</v>
      </c>
      <c r="F56" s="49" t="n">
        <f aca="false">IF(OR(NOT(ISNUMBER(F20)),NOT(ISNUMBER(F38))),"",F20-F38)</f>
        <v>-0.0118186803846947</v>
      </c>
      <c r="G56" s="49" t="n">
        <f aca="false">IF(OR(NOT(ISNUMBER(G20)),NOT(ISNUMBER(G38))),"",G20-G38)</f>
        <v>-0.0112407472535023</v>
      </c>
      <c r="H56" s="49" t="n">
        <f aca="false">IF(OR(NOT(ISNUMBER(H20)),NOT(ISNUMBER(H38))),"",H20-H38)</f>
        <v>-0.0112351655928967</v>
      </c>
      <c r="I56" s="49" t="n">
        <f aca="false">IF(OR(NOT(ISNUMBER(I20)),NOT(ISNUMBER(I38))),"",I20-I38)</f>
        <v>-0.0125666323729085</v>
      </c>
      <c r="J56" s="49" t="n">
        <f aca="false">IF(OR(NOT(ISNUMBER(J20)),NOT(ISNUMBER(J38))),"",J20-J38)</f>
        <v>-0.0122142288923241</v>
      </c>
      <c r="K56" s="49" t="n">
        <f aca="false">IF(OR(NOT(ISNUMBER(K20)),NOT(ISNUMBER(K38))),"",K20-K38)</f>
        <v>-0.0146016240787585</v>
      </c>
      <c r="L56" s="49" t="n">
        <f aca="false">IF(OR(NOT(ISNUMBER(L20)),NOT(ISNUMBER(L38))),"",L20-L38)</f>
        <v>-0.0156062418720584</v>
      </c>
      <c r="M56" s="49" t="n">
        <f aca="false">IF(OR(NOT(ISNUMBER(M20)),NOT(ISNUMBER(M38))),"",M20-M38)</f>
        <v>-0.0166023068532873</v>
      </c>
      <c r="N56" s="49" t="n">
        <f aca="false">IF(OR(NOT(ISNUMBER(N20)),NOT(ISNUMBER(N38))),"",N20-N38)</f>
        <v>-0.0175900170695026</v>
      </c>
      <c r="O56" s="99" t="n">
        <f aca="false">IF(OR(NOT(ISNUMBER(O20)),NOT(ISNUMBER(O38))),"",O20-O38)</f>
        <v>-0.0146994110718007</v>
      </c>
      <c r="P56" s="11" t="str">
        <f aca="false">IF(COUNT(D56:N56)=0,"",IF(AND(MAX(D56:N56)&lt;0.0005,MIN(D56:N56)&gt;-0.0005),"Sin diferencia","Sigue a la utilidad del año."))</f>
        <v>Sigue a la utilidad del año.</v>
      </c>
    </row>
    <row r="57" customFormat="false" ht="15" hidden="false" customHeight="false" outlineLevel="0" collapsed="false">
      <c r="A57" s="11" t="s">
        <v>2707</v>
      </c>
      <c r="B57" s="15" t="s">
        <v>2708</v>
      </c>
      <c r="C57" s="11" t="s">
        <v>367</v>
      </c>
      <c r="E57" s="49" t="n">
        <f aca="false">IF(OR(NOT(ISNUMBER(E21)),NOT(ISNUMBER(E39))),"",E21-E39)</f>
        <v>0</v>
      </c>
      <c r="F57" s="49" t="n">
        <f aca="false">IF(OR(NOT(ISNUMBER(F21)),NOT(ISNUMBER(F39))),"",F21-F39)</f>
        <v>0</v>
      </c>
      <c r="G57" s="49" t="n">
        <f aca="false">IF(OR(NOT(ISNUMBER(G21)),NOT(ISNUMBER(G39))),"",G21-G39)</f>
        <v>0</v>
      </c>
      <c r="H57" s="49" t="n">
        <f aca="false">IF(OR(NOT(ISNUMBER(H21)),NOT(ISNUMBER(H39))),"",H21-H39)</f>
        <v>0</v>
      </c>
      <c r="I57" s="49" t="n">
        <f aca="false">IF(OR(NOT(ISNUMBER(I21)),NOT(ISNUMBER(I39))),"",I21-I39)</f>
        <v>0</v>
      </c>
      <c r="J57" s="49" t="n">
        <f aca="false">IF(OR(NOT(ISNUMBER(J21)),NOT(ISNUMBER(J39))),"",J21-J39)</f>
        <v>0</v>
      </c>
      <c r="K57" s="49" t="n">
        <f aca="false">IF(OR(NOT(ISNUMBER(K21)),NOT(ISNUMBER(K39))),"",K21-K39)</f>
        <v>0</v>
      </c>
      <c r="L57" s="49" t="n">
        <f aca="false">IF(OR(NOT(ISNUMBER(L21)),NOT(ISNUMBER(L39))),"",L21-L39)</f>
        <v>0</v>
      </c>
      <c r="M57" s="49" t="n">
        <f aca="false">IF(OR(NOT(ISNUMBER(M21)),NOT(ISNUMBER(M39))),"",M21-M39)</f>
        <v>0</v>
      </c>
      <c r="N57" s="49" t="n">
        <f aca="false">IF(OR(NOT(ISNUMBER(N21)),NOT(ISNUMBER(N39))),"",N21-N39)</f>
        <v>0</v>
      </c>
      <c r="P57" s="11" t="str">
        <f aca="false">IF(COUNT(D57:N57)=0,"",IF(AND(MAX(D57:N57)&lt;0.0005,MIN(D57:N57)&gt;-0.0005),"Sin diferencia","Diferencia a explicar"))</f>
        <v>Sin diferencia</v>
      </c>
    </row>
    <row r="59" customFormat="false" ht="15" hidden="false" customHeight="false" outlineLevel="0" collapsed="false">
      <c r="A59" s="12" t="s">
        <v>240</v>
      </c>
      <c r="B59" s="13"/>
      <c r="C59" s="13"/>
      <c r="D59" s="13"/>
      <c r="E59" s="13"/>
      <c r="F59" s="13"/>
      <c r="G59" s="13"/>
      <c r="H59" s="13"/>
      <c r="I59" s="13"/>
      <c r="J59" s="13"/>
      <c r="K59" s="13"/>
      <c r="L59" s="13"/>
      <c r="M59" s="13"/>
      <c r="N59" s="13"/>
      <c r="O59" s="13"/>
    </row>
    <row r="60" customFormat="false" ht="15" hidden="false" customHeight="false" outlineLevel="0" collapsed="false">
      <c r="B60" s="11" t="s">
        <v>2709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5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2710</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16, pág. 24"</f>
        <v>Plan de referencia: Plan CIE–PERG Oct-2025 — cuadro 16, pág. 24</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2711</v>
      </c>
      <c r="B8" s="67" t="s">
        <v>2712</v>
      </c>
      <c r="C8" s="11" t="s">
        <v>508</v>
      </c>
      <c r="D8" s="54" t="n">
        <f aca="false">IFERROR(IF(COUNT(D11,D12,D13,D14)=0,"",N(D11)+N(D12)+N(D13)+N(D14)),"")</f>
        <v>0</v>
      </c>
      <c r="E8" s="54" t="n">
        <f aca="false">IFERROR(IF(COUNT(E11,E12,E13,E14)=0,"",N(E11)+N(E12)+N(E13)+N(E14)),"")</f>
        <v>2487169.37996004</v>
      </c>
      <c r="F8" s="54" t="n">
        <f aca="false">IFERROR(IF(COUNT(F11,F12,F13,F14)=0,"",N(F11)+N(F12)+N(F13)+N(F14)),"")</f>
        <v>3161052.63283071</v>
      </c>
      <c r="G8" s="54" t="n">
        <f aca="false">IFERROR(IF(COUNT(G11,G12,G13,G14)=0,"",N(G11)+N(G12)+N(G13)+N(G14)),"")</f>
        <v>3847377.42686759</v>
      </c>
      <c r="H8" s="54" t="n">
        <f aca="false">IFERROR(IF(COUNT(H11,H12,H13,H14)=0,"",N(H11)+N(H12)+N(H13)+N(H14)),"")</f>
        <v>4421717.95807107</v>
      </c>
      <c r="I8" s="54" t="n">
        <f aca="false">IFERROR(IF(COUNT(I11,I12,I13,I14)=0,"",N(I11)+N(I12)+N(I13)+N(I14)),"")</f>
        <v>4460894.27692535</v>
      </c>
      <c r="J8" s="54" t="n">
        <f aca="false">IFERROR(IF(COUNT(J11,J12,J13,J14)=0,"",N(J11)+N(J12)+N(J13)+N(J14)),"")</f>
        <v>4499552.9389251</v>
      </c>
      <c r="K8" s="54" t="n">
        <f aca="false">IFERROR(IF(COUNT(K11,K12,K13,K14)=0,"",N(K11)+N(K12)+N(K13)+N(K14)),"")</f>
        <v>4538598.37255738</v>
      </c>
      <c r="L8" s="54" t="n">
        <f aca="false">IFERROR(IF(COUNT(L11,L12,L13,L14)=0,"",N(L11)+N(L12)+N(L13)+N(L14)),"")</f>
        <v>4578034.44923874</v>
      </c>
      <c r="M8" s="54" t="n">
        <f aca="false">IFERROR(IF(COUNT(M11,M12,M13,M14)=0,"",N(M11)+N(M12)+N(M13)+N(M14)),"")</f>
        <v>4617865.07917394</v>
      </c>
      <c r="N8" s="54" t="n">
        <f aca="false">IFERROR(IF(COUNT(N11,N12,N13,N14)=0,"",N(N11)+N(N12)+N(N13)+N(N14)),"")</f>
        <v>4658094.21174527</v>
      </c>
    </row>
    <row r="9" customFormat="false" ht="15" hidden="false" customHeight="false" outlineLevel="0" collapsed="false">
      <c r="A9" s="11" t="s">
        <v>2713</v>
      </c>
      <c r="B9" s="15" t="s">
        <v>2714</v>
      </c>
      <c r="C9" s="90" t="n">
        <f aca="false">IF(cu_P=1,P_CajaMin,V_CajaMin)</f>
        <v>3</v>
      </c>
      <c r="D9" s="48" t="n">
        <f aca="false">IF(cu_P=1,IF(SUM(Calculo!$F$16:$ES$16)=0,0,INDEX(Calculo!$F$142:$ES$142,1,SUM(Calculo!$F$16:$ES$16))),IF(SUM(Calculo!$F$172:$ES$172)=0,0,INDEX(Calculo!$F$298:$ES$298,1,SUM(Calculo!$F$172:$ES$172))))</f>
        <v>0</v>
      </c>
      <c r="E9" s="48" t="n">
        <f aca="false">IF(cu_P=1,IF(COUNTIFS(Calculo!$F$14:$ES$14,1)=0,0,INDEX(Calculo!$F$142:$ES$142,1,_xlfn.MAXIFS(Calculo!$F$4:$ES$4,Calculo!$F$14:$ES$14,1))),IF(COUNTIFS(Calculo!$F$170:$ES$170,1)=0,0,INDEX(Calculo!$F$298:$ES$298,1,_xlfn.MAXIFS(Calculo!$F$4:$ES$4,Calculo!$F$170:$ES$170,1))))</f>
        <v>39863.0136986301</v>
      </c>
      <c r="F9" s="48" t="n">
        <f aca="false">IF(cu_P=1,IF(COUNTIFS(Calculo!$F$14:$ES$14,2)=0,0,INDEX(Calculo!$F$142:$ES$142,1,_xlfn.MAXIFS(Calculo!$F$4:$ES$4,Calculo!$F$14:$ES$14,2))),IF(COUNTIFS(Calculo!$F$170:$ES$170,2)=0,0,INDEX(Calculo!$F$298:$ES$298,1,_xlfn.MAXIFS(Calculo!$F$4:$ES$4,Calculo!$F$170:$ES$170,2))))</f>
        <v>50804.3835616438</v>
      </c>
      <c r="G9" s="48" t="n">
        <f aca="false">IF(cu_P=1,IF(COUNTIFS(Calculo!$F$14:$ES$14,3)=0,0,INDEX(Calculo!$F$142:$ES$142,1,_xlfn.MAXIFS(Calculo!$F$4:$ES$4,Calculo!$F$14:$ES$14,3))),IF(COUNTIFS(Calculo!$F$170:$ES$170,3)=0,0,INDEX(Calculo!$F$298:$ES$298,1,_xlfn.MAXIFS(Calculo!$F$4:$ES$4,Calculo!$F$170:$ES$170,3))))</f>
        <v>61960.5945205479</v>
      </c>
      <c r="H9" s="48" t="n">
        <f aca="false">IF(cu_P=1,IF(COUNTIFS(Calculo!$F$14:$ES$14,4)=0,0,INDEX(Calculo!$F$142:$ES$142,1,_xlfn.MAXIFS(Calculo!$F$4:$ES$4,Calculo!$F$14:$ES$14,4))),IF(COUNTIFS(Calculo!$F$170:$ES$170,4)=0,0,INDEX(Calculo!$F$298:$ES$298,1,_xlfn.MAXIFS(Calculo!$F$4:$ES$4,Calculo!$F$170:$ES$170,4))))</f>
        <v>71387.1569589041</v>
      </c>
      <c r="I9" s="48" t="n">
        <f aca="false">IF(cu_P=1,IF(COUNTIFS(Calculo!$F$14:$ES$14,5)=0,0,INDEX(Calculo!$F$142:$ES$142,1,_xlfn.MAXIFS(Calculo!$F$4:$ES$4,Calculo!$F$14:$ES$14,5))),IF(COUNTIFS(Calculo!$F$170:$ES$170,5)=0,0,INDEX(Calculo!$F$298:$ES$298,1,_xlfn.MAXIFS(Calculo!$F$4:$ES$4,Calculo!$F$170:$ES$170,5))))</f>
        <v>72101.0285284932</v>
      </c>
      <c r="J9" s="48" t="n">
        <f aca="false">IF(cu_P=1,IF(COUNTIFS(Calculo!$F$14:$ES$14,6)=0,0,INDEX(Calculo!$F$142:$ES$142,1,_xlfn.MAXIFS(Calculo!$F$4:$ES$4,Calculo!$F$14:$ES$14,6))),IF(COUNTIFS(Calculo!$F$170:$ES$170,6)=0,0,INDEX(Calculo!$F$298:$ES$298,1,_xlfn.MAXIFS(Calculo!$F$4:$ES$4,Calculo!$F$170:$ES$170,6))))</f>
        <v>72822.0388137781</v>
      </c>
      <c r="K9" s="48" t="n">
        <f aca="false">IF(cu_P=1,IF(COUNTIFS(Calculo!$F$14:$ES$14,7)=0,0,INDEX(Calculo!$F$142:$ES$142,1,_xlfn.MAXIFS(Calculo!$F$4:$ES$4,Calculo!$F$14:$ES$14,7))),IF(COUNTIFS(Calculo!$F$170:$ES$170,7)=0,0,INDEX(Calculo!$F$298:$ES$298,1,_xlfn.MAXIFS(Calculo!$F$4:$ES$4,Calculo!$F$170:$ES$170,7))))</f>
        <v>73550.2592019159</v>
      </c>
      <c r="L9" s="48" t="n">
        <f aca="false">IF(cu_P=1,IF(COUNTIFS(Calculo!$F$14:$ES$14,8)=0,0,INDEX(Calculo!$F$142:$ES$142,1,_xlfn.MAXIFS(Calculo!$F$4:$ES$4,Calculo!$F$14:$ES$14,8))),IF(COUNTIFS(Calculo!$F$170:$ES$170,8)=0,0,INDEX(Calculo!$F$298:$ES$298,1,_xlfn.MAXIFS(Calculo!$F$4:$ES$4,Calculo!$F$170:$ES$170,8))))</f>
        <v>74285.761793935</v>
      </c>
      <c r="M9" s="48" t="n">
        <f aca="false">IF(cu_P=1,IF(COUNTIFS(Calculo!$F$14:$ES$14,9)=0,0,INDEX(Calculo!$F$142:$ES$142,1,_xlfn.MAXIFS(Calculo!$F$4:$ES$4,Calculo!$F$14:$ES$14,9))),IF(COUNTIFS(Calculo!$F$170:$ES$170,9)=0,0,INDEX(Calculo!$F$298:$ES$298,1,_xlfn.MAXIFS(Calculo!$F$4:$ES$4,Calculo!$F$170:$ES$170,9))))</f>
        <v>75028.6194118744</v>
      </c>
      <c r="N9" s="48" t="n">
        <f aca="false">IF(cu_P=1,IF(COUNTIFS(Calculo!$F$14:$ES$14,10)=0,0,INDEX(Calculo!$F$142:$ES$142,1,_xlfn.MAXIFS(Calculo!$F$4:$ES$4,Calculo!$F$14:$ES$14,10))),IF(COUNTIFS(Calculo!$F$170:$ES$170,10)=0,0,INDEX(Calculo!$F$298:$ES$298,1,_xlfn.MAXIFS(Calculo!$F$4:$ES$4,Calculo!$F$170:$ES$170,10))))</f>
        <v>75778.9056059931</v>
      </c>
    </row>
    <row r="10" customFormat="false" ht="15" hidden="false" customHeight="false" outlineLevel="0" collapsed="false">
      <c r="A10" s="11" t="s">
        <v>2715</v>
      </c>
      <c r="B10" s="15" t="s">
        <v>2716</v>
      </c>
      <c r="C10" s="11" t="s">
        <v>508</v>
      </c>
      <c r="D10" s="48" t="n">
        <v>0</v>
      </c>
      <c r="E10" s="48" t="n">
        <v>0</v>
      </c>
      <c r="F10" s="48" t="n">
        <v>0</v>
      </c>
      <c r="G10" s="48" t="n">
        <v>0</v>
      </c>
      <c r="H10" s="48" t="n">
        <v>0</v>
      </c>
      <c r="I10" s="48" t="n">
        <v>0</v>
      </c>
      <c r="J10" s="48" t="n">
        <v>0</v>
      </c>
      <c r="K10" s="48" t="n">
        <v>0</v>
      </c>
      <c r="L10" s="48" t="n">
        <v>0</v>
      </c>
      <c r="M10" s="48" t="n">
        <v>0</v>
      </c>
      <c r="N10" s="48" t="n">
        <v>0</v>
      </c>
    </row>
    <row r="11" customFormat="false" ht="15" hidden="false" customHeight="false" outlineLevel="0" collapsed="false">
      <c r="A11" s="11" t="s">
        <v>2717</v>
      </c>
      <c r="B11" s="15" t="s">
        <v>2718</v>
      </c>
      <c r="C11" s="90" t="n">
        <f aca="false">IF(cu_P=1,P_DInv,V_DInv)</f>
        <v>120</v>
      </c>
      <c r="D11" s="48" t="n">
        <f aca="false">IF(cu_P=1,IF(SUM(Calculo!$F$16:$ES$16)=0,0,INDEX(Calculo!$F$93:$ES$93,1,SUM(Calculo!$F$16:$ES$16)))*P_DInv/DiasMes,IF(SUM(Calculo!$F$172:$ES$172)=0,0,INDEX(Calculo!$F$249:$ES$249,1,SUM(Calculo!$F$172:$ES$172)))*V_DInv/DiasMes)</f>
        <v>0</v>
      </c>
      <c r="E11" s="48" t="n">
        <f aca="false">IF(cu_P=1,IF(COUNTIFS(Calculo!$F$14:$ES$14,1)=0,0,INDEX(Calculo!$F$93:$ES$93,1,_xlfn.MAXIFS(Calculo!$F$4:$ES$4,Calculo!$F$14:$ES$14,1)))*P_DInv/DiasMes,IF(COUNTIFS(Calculo!$F$170:$ES$170,1)=0,0,INDEX(Calculo!$F$249:$ES$249,1,_xlfn.MAXIFS(Calculo!$F$4:$ES$4,Calculo!$F$170:$ES$170,1)))*V_DInv/DiasMes)</f>
        <v>785776.438356164</v>
      </c>
      <c r="F11" s="48" t="n">
        <f aca="false">IF(cu_P=1,IF(COUNTIFS(Calculo!$F$14:$ES$14,2)=0,0,INDEX(Calculo!$F$93:$ES$93,1,_xlfn.MAXIFS(Calculo!$F$4:$ES$4,Calculo!$F$14:$ES$14,2)))*P_DInv/DiasMes,IF(COUNTIFS(Calculo!$F$170:$ES$170,2)=0,0,INDEX(Calculo!$F$249:$ES$249,1,_xlfn.MAXIFS(Calculo!$F$4:$ES$4,Calculo!$F$170:$ES$170,2)))*V_DInv/DiasMes)</f>
        <v>998566.520547945</v>
      </c>
      <c r="G11" s="48" t="n">
        <f aca="false">IF(cu_P=1,IF(COUNTIFS(Calculo!$F$14:$ES$14,3)=0,0,INDEX(Calculo!$F$93:$ES$93,1,_xlfn.MAXIFS(Calculo!$F$4:$ES$4,Calculo!$F$14:$ES$14,3)))*P_DInv/DiasMes,IF(COUNTIFS(Calculo!$F$170:$ES$170,3)=0,0,INDEX(Calculo!$F$249:$ES$249,1,_xlfn.MAXIFS(Calculo!$F$4:$ES$4,Calculo!$F$170:$ES$170,3)))*V_DInv/DiasMes)</f>
        <v>1214037.13315068</v>
      </c>
      <c r="H11" s="48" t="n">
        <f aca="false">IF(cu_P=1,IF(COUNTIFS(Calculo!$F$14:$ES$14,4)=0,0,INDEX(Calculo!$F$93:$ES$93,1,_xlfn.MAXIFS(Calculo!$F$4:$ES$4,Calculo!$F$14:$ES$14,4)))*P_DInv/DiasMes,IF(COUNTIFS(Calculo!$F$170:$ES$170,4)=0,0,INDEX(Calculo!$F$249:$ES$249,1,_xlfn.MAXIFS(Calculo!$F$4:$ES$4,Calculo!$F$170:$ES$170,4)))*V_DInv/DiasMes)</f>
        <v>1391179.91666301</v>
      </c>
      <c r="I11" s="48" t="n">
        <f aca="false">IF(cu_P=1,IF(COUNTIFS(Calculo!$F$14:$ES$14,5)=0,0,INDEX(Calculo!$F$93:$ES$93,1,_xlfn.MAXIFS(Calculo!$F$4:$ES$4,Calculo!$F$14:$ES$14,5)))*P_DInv/DiasMes,IF(COUNTIFS(Calculo!$F$170:$ES$170,5)=0,0,INDEX(Calculo!$F$249:$ES$249,1,_xlfn.MAXIFS(Calculo!$F$4:$ES$4,Calculo!$F$170:$ES$170,5)))*V_DInv/DiasMes)</f>
        <v>1400071.04733649</v>
      </c>
      <c r="J11" s="48" t="n">
        <f aca="false">IF(cu_P=1,IF(COUNTIFS(Calculo!$F$14:$ES$14,6)=0,0,INDEX(Calculo!$F$93:$ES$93,1,_xlfn.MAXIFS(Calculo!$F$4:$ES$4,Calculo!$F$14:$ES$14,6)))*P_DInv/DiasMes,IF(COUNTIFS(Calculo!$F$170:$ES$170,6)=0,0,INDEX(Calculo!$F$249:$ES$249,1,_xlfn.MAXIFS(Calculo!$F$4:$ES$4,Calculo!$F$170:$ES$170,6)))*V_DInv/DiasMes)</f>
        <v>1409051.08931671</v>
      </c>
      <c r="K11" s="48" t="n">
        <f aca="false">IF(cu_P=1,IF(COUNTIFS(Calculo!$F$14:$ES$14,7)=0,0,INDEX(Calculo!$F$93:$ES$93,1,_xlfn.MAXIFS(Calculo!$F$4:$ES$4,Calculo!$F$14:$ES$14,7)))*P_DInv/DiasMes,IF(COUNTIFS(Calculo!$F$170:$ES$170,7)=0,0,INDEX(Calculo!$F$249:$ES$249,1,_xlfn.MAXIFS(Calculo!$F$4:$ES$4,Calculo!$F$170:$ES$170,7)))*V_DInv/DiasMes)</f>
        <v>1418120.93171672</v>
      </c>
      <c r="L11" s="48" t="n">
        <f aca="false">IF(cu_P=1,IF(COUNTIFS(Calculo!$F$14:$ES$14,8)=0,0,INDEX(Calculo!$F$93:$ES$93,1,_xlfn.MAXIFS(Calculo!$F$4:$ES$4,Calculo!$F$14:$ES$14,8)))*P_DInv/DiasMes,IF(COUNTIFS(Calculo!$F$170:$ES$170,8)=0,0,INDEX(Calculo!$F$249:$ES$249,1,_xlfn.MAXIFS(Calculo!$F$4:$ES$4,Calculo!$F$170:$ES$170,8)))*V_DInv/DiasMes)</f>
        <v>1427281.47254074</v>
      </c>
      <c r="M11" s="48" t="n">
        <f aca="false">IF(cu_P=1,IF(COUNTIFS(Calculo!$F$14:$ES$14,9)=0,0,INDEX(Calculo!$F$93:$ES$93,1,_xlfn.MAXIFS(Calculo!$F$4:$ES$4,Calculo!$F$14:$ES$14,9)))*P_DInv/DiasMes,IF(COUNTIFS(Calculo!$F$170:$ES$170,9)=0,0,INDEX(Calculo!$F$249:$ES$249,1,_xlfn.MAXIFS(Calculo!$F$4:$ES$4,Calculo!$F$170:$ES$170,9)))*V_DInv/DiasMes)</f>
        <v>1436533.618773</v>
      </c>
      <c r="N11" s="48" t="n">
        <f aca="false">IF(cu_P=1,IF(COUNTIFS(Calculo!$F$14:$ES$14,10)=0,0,INDEX(Calculo!$F$93:$ES$93,1,_xlfn.MAXIFS(Calculo!$F$4:$ES$4,Calculo!$F$14:$ES$14,10)))*P_DInv/DiasMes,IF(COUNTIFS(Calculo!$F$170:$ES$170,10)=0,0,INDEX(Calculo!$F$249:$ES$249,1,_xlfn.MAXIFS(Calculo!$F$4:$ES$4,Calculo!$F$170:$ES$170,10)))*V_DInv/DiasMes)</f>
        <v>1445878.28646758</v>
      </c>
    </row>
    <row r="12" customFormat="false" ht="15" hidden="false" customHeight="false" outlineLevel="0" collapsed="false">
      <c r="A12" s="11" t="s">
        <v>2719</v>
      </c>
      <c r="B12" s="15" t="s">
        <v>2720</v>
      </c>
      <c r="C12" s="90" t="n">
        <f aca="false">IF(cu_P=1,P_DPT,V_DPT)</f>
        <v>10</v>
      </c>
      <c r="D12" s="48" t="n">
        <f aca="false">IF(cu_P=1,IF(SUM(Calculo!$F$16:$ES$16)=0,0,INDEX(Calculo!$F$110:$ES$110,1,SUM(Calculo!$F$16:$ES$16)))-IF(SUM(Calculo!$F$16:$ES$16)=0,0,INDEX(Calculo!$F$93:$ES$93,1,SUM(Calculo!$F$16:$ES$16)))*P_DInv/DiasMes,IF(SUM(Calculo!$F$172:$ES$172)=0,0,INDEX(Calculo!$F$266:$ES$266,1,SUM(Calculo!$F$172:$ES$172)))-IF(SUM(Calculo!$F$172:$ES$172)=0,0,INDEX(Calculo!$F$249:$ES$249,1,SUM(Calculo!$F$172:$ES$172)))*V_DInv/DiasMes)</f>
        <v>0</v>
      </c>
      <c r="E12" s="48" t="n">
        <f aca="false">IF(cu_P=1,IF(COUNTIFS(Calculo!$F$14:$ES$14,1)=0,0,INDEX(Calculo!$F$110:$ES$110,1,_xlfn.MAXIFS(Calculo!$F$4:$ES$4,Calculo!$F$14:$ES$14,1)))-IF(COUNTIFS(Calculo!$F$14:$ES$14,1)=0,0,INDEX(Calculo!$F$93:$ES$93,1,_xlfn.MAXIFS(Calculo!$F$4:$ES$4,Calculo!$F$14:$ES$14,1)))*P_DInv/DiasMes,IF(COUNTIFS(Calculo!$F$170:$ES$170,1)=0,0,INDEX(Calculo!$F$266:$ES$266,1,_xlfn.MAXIFS(Calculo!$F$4:$ES$4,Calculo!$F$170:$ES$170,1)))-IF(COUNTIFS(Calculo!$F$170:$ES$170,1)=0,0,INDEX(Calculo!$F$249:$ES$249,1,_xlfn.MAXIFS(Calculo!$F$4:$ES$4,Calculo!$F$170:$ES$170,1)))*V_DInv/DiasMes)</f>
        <v>106872.393658669</v>
      </c>
      <c r="F12" s="48" t="n">
        <f aca="false">IF(cu_P=1,IF(COUNTIFS(Calculo!$F$14:$ES$14,2)=0,0,INDEX(Calculo!$F$110:$ES$110,1,_xlfn.MAXIFS(Calculo!$F$4:$ES$4,Calculo!$F$14:$ES$14,2)))-IF(COUNTIFS(Calculo!$F$14:$ES$14,2)=0,0,INDEX(Calculo!$F$93:$ES$93,1,_xlfn.MAXIFS(Calculo!$F$4:$ES$4,Calculo!$F$14:$ES$14,2)))*P_DInv/DiasMes,IF(COUNTIFS(Calculo!$F$170:$ES$170,2)=0,0,INDEX(Calculo!$F$266:$ES$266,1,_xlfn.MAXIFS(Calculo!$F$4:$ES$4,Calculo!$F$170:$ES$170,2)))-IF(COUNTIFS(Calculo!$F$170:$ES$170,2)=0,0,INDEX(Calculo!$F$249:$ES$249,1,_xlfn.MAXIFS(Calculo!$F$4:$ES$4,Calculo!$F$170:$ES$170,2)))*V_DInv/DiasMes)</f>
        <v>130310.769817011</v>
      </c>
      <c r="G12" s="48" t="n">
        <f aca="false">IF(cu_P=1,IF(COUNTIFS(Calculo!$F$14:$ES$14,3)=0,0,INDEX(Calculo!$F$110:$ES$110,1,_xlfn.MAXIFS(Calculo!$F$4:$ES$4,Calculo!$F$14:$ES$14,3)))-IF(COUNTIFS(Calculo!$F$14:$ES$14,3)=0,0,INDEX(Calculo!$F$93:$ES$93,1,_xlfn.MAXIFS(Calculo!$F$4:$ES$4,Calculo!$F$14:$ES$14,3)))*P_DInv/DiasMes,IF(COUNTIFS(Calculo!$F$170:$ES$170,3)=0,0,INDEX(Calculo!$F$266:$ES$266,1,_xlfn.MAXIFS(Calculo!$F$4:$ES$4,Calculo!$F$170:$ES$170,3)))-IF(COUNTIFS(Calculo!$F$170:$ES$170,3)=0,0,INDEX(Calculo!$F$249:$ES$249,1,_xlfn.MAXIFS(Calculo!$F$4:$ES$4,Calculo!$F$170:$ES$170,3)))*V_DInv/DiasMes)</f>
        <v>154916.512894986</v>
      </c>
      <c r="H12" s="48" t="n">
        <f aca="false">IF(cu_P=1,IF(COUNTIFS(Calculo!$F$14:$ES$14,4)=0,0,INDEX(Calculo!$F$110:$ES$110,1,_xlfn.MAXIFS(Calculo!$F$4:$ES$4,Calculo!$F$14:$ES$14,4)))-IF(COUNTIFS(Calculo!$F$14:$ES$14,4)=0,0,INDEX(Calculo!$F$93:$ES$93,1,_xlfn.MAXIFS(Calculo!$F$4:$ES$4,Calculo!$F$14:$ES$14,4)))*P_DInv/DiasMes,IF(COUNTIFS(Calculo!$F$170:$ES$170,4)=0,0,INDEX(Calculo!$F$266:$ES$266,1,_xlfn.MAXIFS(Calculo!$F$4:$ES$4,Calculo!$F$170:$ES$170,4)))-IF(COUNTIFS(Calculo!$F$170:$ES$170,4)=0,0,INDEX(Calculo!$F$249:$ES$249,1,_xlfn.MAXIFS(Calculo!$F$4:$ES$4,Calculo!$F$170:$ES$170,4)))*V_DInv/DiasMes)</f>
        <v>175051.763051895</v>
      </c>
      <c r="I12" s="48" t="n">
        <f aca="false">IF(cu_P=1,IF(COUNTIFS(Calculo!$F$14:$ES$14,5)=0,0,INDEX(Calculo!$F$110:$ES$110,1,_xlfn.MAXIFS(Calculo!$F$4:$ES$4,Calculo!$F$14:$ES$14,5)))-IF(COUNTIFS(Calculo!$F$14:$ES$14,5)=0,0,INDEX(Calculo!$F$93:$ES$93,1,_xlfn.MAXIFS(Calculo!$F$4:$ES$4,Calculo!$F$14:$ES$14,5)))*P_DInv/DiasMes,IF(COUNTIFS(Calculo!$F$170:$ES$170,5)=0,0,INDEX(Calculo!$F$266:$ES$266,1,_xlfn.MAXIFS(Calculo!$F$4:$ES$4,Calculo!$F$170:$ES$170,5)))-IF(COUNTIFS(Calculo!$F$170:$ES$170,5)=0,0,INDEX(Calculo!$F$249:$ES$249,1,_xlfn.MAXIFS(Calculo!$F$4:$ES$4,Calculo!$F$170:$ES$170,5)))*V_DInv/DiasMes)</f>
        <v>176782.088449127</v>
      </c>
      <c r="J12" s="48" t="n">
        <f aca="false">IF(cu_P=1,IF(COUNTIFS(Calculo!$F$14:$ES$14,6)=0,0,INDEX(Calculo!$F$110:$ES$110,1,_xlfn.MAXIFS(Calculo!$F$4:$ES$4,Calculo!$F$14:$ES$14,6)))-IF(COUNTIFS(Calculo!$F$14:$ES$14,6)=0,0,INDEX(Calculo!$F$93:$ES$93,1,_xlfn.MAXIFS(Calculo!$F$4:$ES$4,Calculo!$F$14:$ES$14,6)))*P_DInv/DiasMes,IF(COUNTIFS(Calculo!$F$170:$ES$170,6)=0,0,INDEX(Calculo!$F$266:$ES$266,1,_xlfn.MAXIFS(Calculo!$F$4:$ES$4,Calculo!$F$170:$ES$170,6)))-IF(COUNTIFS(Calculo!$F$170:$ES$170,6)=0,0,INDEX(Calculo!$F$249:$ES$249,1,_xlfn.MAXIFS(Calculo!$F$4:$ES$4,Calculo!$F$170:$ES$170,6)))*V_DInv/DiasMes)</f>
        <v>177620.297057271</v>
      </c>
      <c r="K12" s="48" t="n">
        <f aca="false">IF(cu_P=1,IF(COUNTIFS(Calculo!$F$14:$ES$14,7)=0,0,INDEX(Calculo!$F$110:$ES$110,1,_xlfn.MAXIFS(Calculo!$F$4:$ES$4,Calculo!$F$14:$ES$14,7)))-IF(COUNTIFS(Calculo!$F$14:$ES$14,7)=0,0,INDEX(Calculo!$F$93:$ES$93,1,_xlfn.MAXIFS(Calculo!$F$4:$ES$4,Calculo!$F$14:$ES$14,7)))*P_DInv/DiasMes,IF(COUNTIFS(Calculo!$F$170:$ES$170,7)=0,0,INDEX(Calculo!$F$266:$ES$266,1,_xlfn.MAXIFS(Calculo!$F$4:$ES$4,Calculo!$F$170:$ES$170,7)))-IF(COUNTIFS(Calculo!$F$170:$ES$170,7)=0,0,INDEX(Calculo!$F$249:$ES$249,1,_xlfn.MAXIFS(Calculo!$F$4:$ES$4,Calculo!$F$170:$ES$170,7)))*V_DInv/DiasMes)</f>
        <v>178467.072764016</v>
      </c>
      <c r="L12" s="48" t="n">
        <f aca="false">IF(cu_P=1,IF(COUNTIFS(Calculo!$F$14:$ES$14,8)=0,0,INDEX(Calculo!$F$110:$ES$110,1,_xlfn.MAXIFS(Calculo!$F$4:$ES$4,Calculo!$F$14:$ES$14,8)))-IF(COUNTIFS(Calculo!$F$14:$ES$14,8)=0,0,INDEX(Calculo!$F$93:$ES$93,1,_xlfn.MAXIFS(Calculo!$F$4:$ES$4,Calculo!$F$14:$ES$14,8)))*P_DInv/DiasMes,IF(COUNTIFS(Calculo!$F$170:$ES$170,8)=0,0,INDEX(Calculo!$F$266:$ES$266,1,_xlfn.MAXIFS(Calculo!$F$4:$ES$4,Calculo!$F$170:$ES$170,8)))-IF(COUNTIFS(Calculo!$F$170:$ES$170,8)=0,0,INDEX(Calculo!$F$249:$ES$249,1,_xlfn.MAXIFS(Calculo!$F$4:$ES$4,Calculo!$F$170:$ES$170,8)))*V_DInv/DiasMes)</f>
        <v>179322.504940599</v>
      </c>
      <c r="M12" s="48" t="n">
        <f aca="false">IF(cu_P=1,IF(COUNTIFS(Calculo!$F$14:$ES$14,9)=0,0,INDEX(Calculo!$F$110:$ES$110,1,_xlfn.MAXIFS(Calculo!$F$4:$ES$4,Calculo!$F$14:$ES$14,9)))-IF(COUNTIFS(Calculo!$F$14:$ES$14,9)=0,0,INDEX(Calculo!$F$93:$ES$93,1,_xlfn.MAXIFS(Calculo!$F$4:$ES$4,Calculo!$F$14:$ES$14,9)))*P_DInv/DiasMes,IF(COUNTIFS(Calculo!$F$170:$ES$170,9)=0,0,INDEX(Calculo!$F$266:$ES$266,1,_xlfn.MAXIFS(Calculo!$F$4:$ES$4,Calculo!$F$170:$ES$170,9)))-IF(COUNTIFS(Calculo!$F$170:$ES$170,9)=0,0,INDEX(Calculo!$F$249:$ES$249,1,_xlfn.MAXIFS(Calculo!$F$4:$ES$4,Calculo!$F$170:$ES$170,9)))*V_DInv/DiasMes)</f>
        <v>180186.683925972</v>
      </c>
      <c r="N12" s="48" t="n">
        <f aca="false">IF(cu_P=1,IF(COUNTIFS(Calculo!$F$14:$ES$14,10)=0,0,INDEX(Calculo!$F$110:$ES$110,1,_xlfn.MAXIFS(Calculo!$F$4:$ES$4,Calculo!$F$14:$ES$14,10)))-IF(COUNTIFS(Calculo!$F$14:$ES$14,10)=0,0,INDEX(Calculo!$F$93:$ES$93,1,_xlfn.MAXIFS(Calculo!$F$4:$ES$4,Calculo!$F$14:$ES$14,10)))*P_DInv/DiasMes,IF(COUNTIFS(Calculo!$F$170:$ES$170,10)=0,0,INDEX(Calculo!$F$266:$ES$266,1,_xlfn.MAXIFS(Calculo!$F$4:$ES$4,Calculo!$F$170:$ES$170,10)))-IF(COUNTIFS(Calculo!$F$170:$ES$170,10)=0,0,INDEX(Calculo!$F$249:$ES$249,1,_xlfn.MAXIFS(Calculo!$F$4:$ES$4,Calculo!$F$170:$ES$170,10)))*V_DInv/DiasMes)</f>
        <v>181059.701037965</v>
      </c>
    </row>
    <row r="13" customFormat="false" ht="15" hidden="false" customHeight="false" outlineLevel="0" collapsed="false">
      <c r="A13" s="11" t="s">
        <v>2721</v>
      </c>
      <c r="B13" s="15" t="s">
        <v>2722</v>
      </c>
      <c r="C13" s="90" t="n">
        <f aca="false">IF(cu_P=1,P_DSO,V_DSO)</f>
        <v>120</v>
      </c>
      <c r="D13" s="48" t="n">
        <f aca="false">IF(cu_P=1,IF(SUM(Calculo!$F$16:$ES$16)=0,0,INDEX(Calculo!$F$109:$ES$109,1,SUM(Calculo!$F$16:$ES$16))),IF(SUM(Calculo!$F$172:$ES$172)=0,0,INDEX(Calculo!$F$265:$ES$265,1,SUM(Calculo!$F$172:$ES$172))))</f>
        <v>0</v>
      </c>
      <c r="E13" s="48" t="n">
        <f aca="false">IF(cu_P=1,IF(COUNTIFS(Calculo!$F$14:$ES$14,1)=0,0,INDEX(Calculo!$F$109:$ES$109,1,_xlfn.MAXIFS(Calculo!$F$4:$ES$4,Calculo!$F$14:$ES$14,1))),IF(COUNTIFS(Calculo!$F$170:$ES$170,1)=0,0,INDEX(Calculo!$F$265:$ES$265,1,_xlfn.MAXIFS(Calculo!$F$4:$ES$4,Calculo!$F$170:$ES$170,1))))</f>
        <v>1594520.54794521</v>
      </c>
      <c r="F13" s="48" t="n">
        <f aca="false">IF(cu_P=1,IF(COUNTIFS(Calculo!$F$14:$ES$14,2)=0,0,INDEX(Calculo!$F$109:$ES$109,1,_xlfn.MAXIFS(Calculo!$F$4:$ES$4,Calculo!$F$14:$ES$14,2))),IF(COUNTIFS(Calculo!$F$170:$ES$170,2)=0,0,INDEX(Calculo!$F$265:$ES$265,1,_xlfn.MAXIFS(Calculo!$F$4:$ES$4,Calculo!$F$170:$ES$170,2))))</f>
        <v>2032175.34246575</v>
      </c>
      <c r="G13" s="48" t="n">
        <f aca="false">IF(cu_P=1,IF(COUNTIFS(Calculo!$F$14:$ES$14,3)=0,0,INDEX(Calculo!$F$109:$ES$109,1,_xlfn.MAXIFS(Calculo!$F$4:$ES$4,Calculo!$F$14:$ES$14,3))),IF(COUNTIFS(Calculo!$F$170:$ES$170,3)=0,0,INDEX(Calculo!$F$265:$ES$265,1,_xlfn.MAXIFS(Calculo!$F$4:$ES$4,Calculo!$F$170:$ES$170,3))))</f>
        <v>2478423.78082192</v>
      </c>
      <c r="H13" s="48" t="n">
        <f aca="false">IF(cu_P=1,IF(COUNTIFS(Calculo!$F$14:$ES$14,4)=0,0,INDEX(Calculo!$F$109:$ES$109,1,_xlfn.MAXIFS(Calculo!$F$4:$ES$4,Calculo!$F$14:$ES$14,4))),IF(COUNTIFS(Calculo!$F$170:$ES$170,4)=0,0,INDEX(Calculo!$F$265:$ES$265,1,_xlfn.MAXIFS(Calculo!$F$4:$ES$4,Calculo!$F$170:$ES$170,4))))</f>
        <v>2855486.27835616</v>
      </c>
      <c r="I13" s="48" t="n">
        <f aca="false">IF(cu_P=1,IF(COUNTIFS(Calculo!$F$14:$ES$14,5)=0,0,INDEX(Calculo!$F$109:$ES$109,1,_xlfn.MAXIFS(Calculo!$F$4:$ES$4,Calculo!$F$14:$ES$14,5))),IF(COUNTIFS(Calculo!$F$170:$ES$170,5)=0,0,INDEX(Calculo!$F$265:$ES$265,1,_xlfn.MAXIFS(Calculo!$F$4:$ES$4,Calculo!$F$170:$ES$170,5))))</f>
        <v>2884041.14113973</v>
      </c>
      <c r="J13" s="48" t="n">
        <f aca="false">IF(cu_P=1,IF(COUNTIFS(Calculo!$F$14:$ES$14,6)=0,0,INDEX(Calculo!$F$109:$ES$109,1,_xlfn.MAXIFS(Calculo!$F$4:$ES$4,Calculo!$F$14:$ES$14,6))),IF(COUNTIFS(Calculo!$F$170:$ES$170,6)=0,0,INDEX(Calculo!$F$265:$ES$265,1,_xlfn.MAXIFS(Calculo!$F$4:$ES$4,Calculo!$F$170:$ES$170,6))))</f>
        <v>2912881.55255112</v>
      </c>
      <c r="K13" s="48" t="n">
        <f aca="false">IF(cu_P=1,IF(COUNTIFS(Calculo!$F$14:$ES$14,7)=0,0,INDEX(Calculo!$F$109:$ES$109,1,_xlfn.MAXIFS(Calculo!$F$4:$ES$4,Calculo!$F$14:$ES$14,7))),IF(COUNTIFS(Calculo!$F$170:$ES$170,7)=0,0,INDEX(Calculo!$F$265:$ES$265,1,_xlfn.MAXIFS(Calculo!$F$4:$ES$4,Calculo!$F$170:$ES$170,7))))</f>
        <v>2942010.36807663</v>
      </c>
      <c r="L13" s="48" t="n">
        <f aca="false">IF(cu_P=1,IF(COUNTIFS(Calculo!$F$14:$ES$14,8)=0,0,INDEX(Calculo!$F$109:$ES$109,1,_xlfn.MAXIFS(Calculo!$F$4:$ES$4,Calculo!$F$14:$ES$14,8))),IF(COUNTIFS(Calculo!$F$170:$ES$170,8)=0,0,INDEX(Calculo!$F$265:$ES$265,1,_xlfn.MAXIFS(Calculo!$F$4:$ES$4,Calculo!$F$170:$ES$170,8))))</f>
        <v>2971430.4717574</v>
      </c>
      <c r="M13" s="48" t="n">
        <f aca="false">IF(cu_P=1,IF(COUNTIFS(Calculo!$F$14:$ES$14,9)=0,0,INDEX(Calculo!$F$109:$ES$109,1,_xlfn.MAXIFS(Calculo!$F$4:$ES$4,Calculo!$F$14:$ES$14,9))),IF(COUNTIFS(Calculo!$F$170:$ES$170,9)=0,0,INDEX(Calculo!$F$265:$ES$265,1,_xlfn.MAXIFS(Calculo!$F$4:$ES$4,Calculo!$F$170:$ES$170,9))))</f>
        <v>3001144.77647497</v>
      </c>
      <c r="N13" s="48" t="n">
        <f aca="false">IF(cu_P=1,IF(COUNTIFS(Calculo!$F$14:$ES$14,10)=0,0,INDEX(Calculo!$F$109:$ES$109,1,_xlfn.MAXIFS(Calculo!$F$4:$ES$4,Calculo!$F$14:$ES$14,10))),IF(COUNTIFS(Calculo!$F$170:$ES$170,10)=0,0,INDEX(Calculo!$F$265:$ES$265,1,_xlfn.MAXIFS(Calculo!$F$4:$ES$4,Calculo!$F$170:$ES$170,10))))</f>
        <v>3031156.22423972</v>
      </c>
    </row>
    <row r="14" customFormat="false" ht="15" hidden="false" customHeight="false" outlineLevel="0" collapsed="false">
      <c r="A14" s="11" t="s">
        <v>2723</v>
      </c>
      <c r="B14" s="15" t="s">
        <v>1190</v>
      </c>
      <c r="C14" s="11" t="s">
        <v>508</v>
      </c>
      <c r="D14" s="48" t="n">
        <f aca="false">IF(cu_P=1,IF(SUM(Calculo!$F$16:$ES$16)=0,0,INDEX(Calculo!$F$111:$ES$111,1,SUM(Calculo!$F$16:$ES$16))),IF(SUM(Calculo!$F$172:$ES$172)=0,0,INDEX(Calculo!$F$267:$ES$267,1,SUM(Calculo!$F$172:$ES$172))))</f>
        <v>0</v>
      </c>
      <c r="E14" s="48" t="n">
        <f aca="false">IF(cu_P=1,IF(COUNTIFS(Calculo!$F$14:$ES$14,1)=0,0,INDEX(Calculo!$F$111:$ES$111,1,_xlfn.MAXIFS(Calculo!$F$4:$ES$4,Calculo!$F$14:$ES$14,1))),IF(COUNTIFS(Calculo!$F$170:$ES$170,1)=0,0,INDEX(Calculo!$F$267:$ES$267,1,_xlfn.MAXIFS(Calculo!$F$4:$ES$4,Calculo!$F$170:$ES$170,1))))</f>
        <v>0</v>
      </c>
      <c r="F14" s="48" t="n">
        <f aca="false">IF(cu_P=1,IF(COUNTIFS(Calculo!$F$14:$ES$14,2)=0,0,INDEX(Calculo!$F$111:$ES$111,1,_xlfn.MAXIFS(Calculo!$F$4:$ES$4,Calculo!$F$14:$ES$14,2))),IF(COUNTIFS(Calculo!$F$170:$ES$170,2)=0,0,INDEX(Calculo!$F$267:$ES$267,1,_xlfn.MAXIFS(Calculo!$F$4:$ES$4,Calculo!$F$170:$ES$170,2))))</f>
        <v>0</v>
      </c>
      <c r="G14" s="48" t="n">
        <f aca="false">IF(cu_P=1,IF(COUNTIFS(Calculo!$F$14:$ES$14,3)=0,0,INDEX(Calculo!$F$111:$ES$111,1,_xlfn.MAXIFS(Calculo!$F$4:$ES$4,Calculo!$F$14:$ES$14,3))),IF(COUNTIFS(Calculo!$F$170:$ES$170,3)=0,0,INDEX(Calculo!$F$267:$ES$267,1,_xlfn.MAXIFS(Calculo!$F$4:$ES$4,Calculo!$F$170:$ES$170,3))))</f>
        <v>0</v>
      </c>
      <c r="H14" s="48" t="n">
        <f aca="false">IF(cu_P=1,IF(COUNTIFS(Calculo!$F$14:$ES$14,4)=0,0,INDEX(Calculo!$F$111:$ES$111,1,_xlfn.MAXIFS(Calculo!$F$4:$ES$4,Calculo!$F$14:$ES$14,4))),IF(COUNTIFS(Calculo!$F$170:$ES$170,4)=0,0,INDEX(Calculo!$F$267:$ES$267,1,_xlfn.MAXIFS(Calculo!$F$4:$ES$4,Calculo!$F$170:$ES$170,4))))</f>
        <v>0</v>
      </c>
      <c r="I14" s="48" t="n">
        <f aca="false">IF(cu_P=1,IF(COUNTIFS(Calculo!$F$14:$ES$14,5)=0,0,INDEX(Calculo!$F$111:$ES$111,1,_xlfn.MAXIFS(Calculo!$F$4:$ES$4,Calculo!$F$14:$ES$14,5))),IF(COUNTIFS(Calculo!$F$170:$ES$170,5)=0,0,INDEX(Calculo!$F$267:$ES$267,1,_xlfn.MAXIFS(Calculo!$F$4:$ES$4,Calculo!$F$170:$ES$170,5))))</f>
        <v>0</v>
      </c>
      <c r="J14" s="48" t="n">
        <f aca="false">IF(cu_P=1,IF(COUNTIFS(Calculo!$F$14:$ES$14,6)=0,0,INDEX(Calculo!$F$111:$ES$111,1,_xlfn.MAXIFS(Calculo!$F$4:$ES$4,Calculo!$F$14:$ES$14,6))),IF(COUNTIFS(Calculo!$F$170:$ES$170,6)=0,0,INDEX(Calculo!$F$267:$ES$267,1,_xlfn.MAXIFS(Calculo!$F$4:$ES$4,Calculo!$F$170:$ES$170,6))))</f>
        <v>0</v>
      </c>
      <c r="K14" s="48" t="n">
        <f aca="false">IF(cu_P=1,IF(COUNTIFS(Calculo!$F$14:$ES$14,7)=0,0,INDEX(Calculo!$F$111:$ES$111,1,_xlfn.MAXIFS(Calculo!$F$4:$ES$4,Calculo!$F$14:$ES$14,7))),IF(COUNTIFS(Calculo!$F$170:$ES$170,7)=0,0,INDEX(Calculo!$F$267:$ES$267,1,_xlfn.MAXIFS(Calculo!$F$4:$ES$4,Calculo!$F$170:$ES$170,7))))</f>
        <v>0</v>
      </c>
      <c r="L14" s="48" t="n">
        <f aca="false">IF(cu_P=1,IF(COUNTIFS(Calculo!$F$14:$ES$14,8)=0,0,INDEX(Calculo!$F$111:$ES$111,1,_xlfn.MAXIFS(Calculo!$F$4:$ES$4,Calculo!$F$14:$ES$14,8))),IF(COUNTIFS(Calculo!$F$170:$ES$170,8)=0,0,INDEX(Calculo!$F$267:$ES$267,1,_xlfn.MAXIFS(Calculo!$F$4:$ES$4,Calculo!$F$170:$ES$170,8))))</f>
        <v>0</v>
      </c>
      <c r="M14" s="48" t="n">
        <f aca="false">IF(cu_P=1,IF(COUNTIFS(Calculo!$F$14:$ES$14,9)=0,0,INDEX(Calculo!$F$111:$ES$111,1,_xlfn.MAXIFS(Calculo!$F$4:$ES$4,Calculo!$F$14:$ES$14,9))),IF(COUNTIFS(Calculo!$F$170:$ES$170,9)=0,0,INDEX(Calculo!$F$267:$ES$267,1,_xlfn.MAXIFS(Calculo!$F$4:$ES$4,Calculo!$F$170:$ES$170,9))))</f>
        <v>0</v>
      </c>
      <c r="N14" s="48" t="n">
        <f aca="false">IF(cu_P=1,IF(COUNTIFS(Calculo!$F$14:$ES$14,10)=0,0,INDEX(Calculo!$F$111:$ES$111,1,_xlfn.MAXIFS(Calculo!$F$4:$ES$4,Calculo!$F$14:$ES$14,10))),IF(COUNTIFS(Calculo!$F$170:$ES$170,10)=0,0,INDEX(Calculo!$F$267:$ES$267,1,_xlfn.MAXIFS(Calculo!$F$4:$ES$4,Calculo!$F$170:$ES$170,10))))</f>
        <v>0</v>
      </c>
    </row>
    <row r="15" customFormat="false" ht="15" hidden="false" customHeight="false" outlineLevel="0" collapsed="false">
      <c r="A15" s="11" t="s">
        <v>2724</v>
      </c>
      <c r="B15" s="67" t="s">
        <v>2725</v>
      </c>
      <c r="C15" s="11" t="s">
        <v>508</v>
      </c>
      <c r="D15" s="54" t="n">
        <f aca="false">IF(cu_P=1,IF(SUM(Calculo!$F$16:$ES$16)=0,0,INDEX(Calculo!$F$112:$ES$112,1,SUM(Calculo!$F$16:$ES$16))),IF(SUM(Calculo!$F$172:$ES$172)=0,0,INDEX(Calculo!$F$268:$ES$268,1,SUM(Calculo!$F$172:$ES$172))))</f>
        <v>0</v>
      </c>
      <c r="E15" s="54" t="n">
        <f aca="false">IF(cu_P=1,IF(COUNTIFS(Calculo!$F$14:$ES$14,1)=0,0,INDEX(Calculo!$F$112:$ES$112,1,_xlfn.MAXIFS(Calculo!$F$4:$ES$4,Calculo!$F$14:$ES$14,1))),IF(COUNTIFS(Calculo!$F$170:$ES$170,1)=0,0,INDEX(Calculo!$F$268:$ES$268,1,_xlfn.MAXIFS(Calculo!$F$4:$ES$4,Calculo!$F$170:$ES$170,1))))</f>
        <v>99105.4926010081</v>
      </c>
      <c r="F15" s="54" t="n">
        <f aca="false">IF(cu_P=1,IF(COUNTIFS(Calculo!$F$14:$ES$14,2)=0,0,INDEX(Calculo!$F$112:$ES$112,1,_xlfn.MAXIFS(Calculo!$F$4:$ES$4,Calculo!$F$14:$ES$14,2))),IF(COUNTIFS(Calculo!$F$170:$ES$170,2)=0,0,INDEX(Calculo!$F$268:$ES$268,1,_xlfn.MAXIFS(Calculo!$F$4:$ES$4,Calculo!$F$170:$ES$170,2))))</f>
        <v>117843.301076035</v>
      </c>
      <c r="G15" s="54" t="n">
        <f aca="false">IF(cu_P=1,IF(COUNTIFS(Calculo!$F$14:$ES$14,3)=0,0,INDEX(Calculo!$F$112:$ES$112,1,_xlfn.MAXIFS(Calculo!$F$4:$ES$4,Calculo!$F$14:$ES$14,3))),IF(COUNTIFS(Calculo!$F$170:$ES$170,3)=0,0,INDEX(Calculo!$F$268:$ES$268,1,_xlfn.MAXIFS(Calculo!$F$4:$ES$4,Calculo!$F$170:$ES$170,3))))</f>
        <v>136841.164480491</v>
      </c>
      <c r="H15" s="54" t="n">
        <f aca="false">IF(cu_P=1,IF(COUNTIFS(Calculo!$F$14:$ES$14,4)=0,0,INDEX(Calculo!$F$112:$ES$112,1,_xlfn.MAXIFS(Calculo!$F$4:$ES$4,Calculo!$F$14:$ES$14,4))),IF(COUNTIFS(Calculo!$F$170:$ES$170,4)=0,0,INDEX(Calculo!$F$268:$ES$268,1,_xlfn.MAXIFS(Calculo!$F$4:$ES$4,Calculo!$F$170:$ES$170,4))))</f>
        <v>152372.625750663</v>
      </c>
      <c r="I15" s="54" t="n">
        <f aca="false">IF(cu_P=1,IF(COUNTIFS(Calculo!$F$14:$ES$14,5)=0,0,INDEX(Calculo!$F$112:$ES$112,1,_xlfn.MAXIFS(Calculo!$F$4:$ES$4,Calculo!$F$14:$ES$14,5))),IF(COUNTIFS(Calculo!$F$170:$ES$170,5)=0,0,INDEX(Calculo!$F$268:$ES$268,1,_xlfn.MAXIFS(Calculo!$F$4:$ES$4,Calculo!$F$170:$ES$170,5))))</f>
        <v>153439.396899076</v>
      </c>
      <c r="J15" s="54" t="n">
        <f aca="false">IF(cu_P=1,IF(COUNTIFS(Calculo!$F$14:$ES$14,6)=0,0,INDEX(Calculo!$F$112:$ES$112,1,_xlfn.MAXIFS(Calculo!$F$4:$ES$4,Calculo!$F$14:$ES$14,6))),IF(COUNTIFS(Calculo!$F$170:$ES$170,6)=0,0,INDEX(Calculo!$F$268:$ES$268,1,_xlfn.MAXIFS(Calculo!$F$4:$ES$4,Calculo!$F$170:$ES$170,6))))</f>
        <v>154373.202430234</v>
      </c>
      <c r="K15" s="54" t="n">
        <f aca="false">IF(cu_P=1,IF(COUNTIFS(Calculo!$F$14:$ES$14,7)=0,0,INDEX(Calculo!$F$112:$ES$112,1,_xlfn.MAXIFS(Calculo!$F$4:$ES$4,Calculo!$F$14:$ES$14,7))),IF(COUNTIFS(Calculo!$F$170:$ES$170,7)=0,0,INDEX(Calculo!$F$268:$ES$268,1,_xlfn.MAXIFS(Calculo!$F$4:$ES$4,Calculo!$F$170:$ES$170,7))))</f>
        <v>155328.742837727</v>
      </c>
      <c r="L15" s="54" t="n">
        <f aca="false">IF(cu_P=1,IF(COUNTIFS(Calculo!$F$14:$ES$14,8)=0,0,INDEX(Calculo!$F$112:$ES$112,1,_xlfn.MAXIFS(Calculo!$F$4:$ES$4,Calculo!$F$14:$ES$14,8))),IF(COUNTIFS(Calculo!$F$170:$ES$170,8)=0,0,INDEX(Calculo!$F$268:$ES$268,1,_xlfn.MAXIFS(Calculo!$F$4:$ES$4,Calculo!$F$170:$ES$170,8))))</f>
        <v>156306.601824573</v>
      </c>
      <c r="M15" s="54" t="n">
        <f aca="false">IF(cu_P=1,IF(COUNTIFS(Calculo!$F$14:$ES$14,9)=0,0,INDEX(Calculo!$F$112:$ES$112,1,_xlfn.MAXIFS(Calculo!$F$4:$ES$4,Calculo!$F$14:$ES$14,9))),IF(COUNTIFS(Calculo!$F$170:$ES$170,9)=0,0,INDEX(Calculo!$F$268:$ES$268,1,_xlfn.MAXIFS(Calculo!$F$4:$ES$4,Calculo!$F$170:$ES$170,9))))</f>
        <v>157307.379810441</v>
      </c>
      <c r="N15" s="54" t="n">
        <f aca="false">IF(cu_P=1,IF(COUNTIFS(Calculo!$F$14:$ES$14,10)=0,0,INDEX(Calculo!$F$112:$ES$112,1,_xlfn.MAXIFS(Calculo!$F$4:$ES$4,Calculo!$F$14:$ES$14,10))),IF(COUNTIFS(Calculo!$F$170:$ES$170,10)=0,0,INDEX(Calculo!$F$268:$ES$268,1,_xlfn.MAXIFS(Calculo!$F$4:$ES$4,Calculo!$F$170:$ES$170,10))))</f>
        <v>158331.694422986</v>
      </c>
    </row>
    <row r="16" customFormat="false" ht="15" hidden="false" customHeight="false" outlineLevel="0" collapsed="false">
      <c r="A16" s="11" t="s">
        <v>2726</v>
      </c>
      <c r="B16" s="15" t="s">
        <v>2727</v>
      </c>
      <c r="C16" s="90" t="n">
        <f aca="false">IF(cu_P=1,P_DPOmp,V_DPOmp)</f>
        <v>0</v>
      </c>
      <c r="D16" s="48" t="n">
        <f aca="false">IF(cu_P=1,IF(SUM(Calculo!$F$16:$ES$16)=0,0,INDEX(Calculo!$F$93:$ES$93,1,SUM(Calculo!$F$16:$ES$16)))*P_DPOmp/DiasMes,IF(SUM(Calculo!$F$172:$ES$172)=0,0,INDEX(Calculo!$F$249:$ES$249,1,SUM(Calculo!$F$172:$ES$172)))*V_DPOmp/DiasMes)</f>
        <v>0</v>
      </c>
      <c r="E16" s="48" t="n">
        <f aca="false">IF(cu_P=1,IF(COUNTIFS(Calculo!$F$14:$ES$14,1)=0,0,INDEX(Calculo!$F$93:$ES$93,1,_xlfn.MAXIFS(Calculo!$F$4:$ES$4,Calculo!$F$14:$ES$14,1)))*P_DPOmp/DiasMes,IF(COUNTIFS(Calculo!$F$170:$ES$170,1)=0,0,INDEX(Calculo!$F$249:$ES$249,1,_xlfn.MAXIFS(Calculo!$F$4:$ES$4,Calculo!$F$170:$ES$170,1)))*V_DPOmp/DiasMes)</f>
        <v>0</v>
      </c>
      <c r="F16" s="48" t="n">
        <f aca="false">IF(cu_P=1,IF(COUNTIFS(Calculo!$F$14:$ES$14,2)=0,0,INDEX(Calculo!$F$93:$ES$93,1,_xlfn.MAXIFS(Calculo!$F$4:$ES$4,Calculo!$F$14:$ES$14,2)))*P_DPOmp/DiasMes,IF(COUNTIFS(Calculo!$F$170:$ES$170,2)=0,0,INDEX(Calculo!$F$249:$ES$249,1,_xlfn.MAXIFS(Calculo!$F$4:$ES$4,Calculo!$F$170:$ES$170,2)))*V_DPOmp/DiasMes)</f>
        <v>0</v>
      </c>
      <c r="G16" s="48" t="n">
        <f aca="false">IF(cu_P=1,IF(COUNTIFS(Calculo!$F$14:$ES$14,3)=0,0,INDEX(Calculo!$F$93:$ES$93,1,_xlfn.MAXIFS(Calculo!$F$4:$ES$4,Calculo!$F$14:$ES$14,3)))*P_DPOmp/DiasMes,IF(COUNTIFS(Calculo!$F$170:$ES$170,3)=0,0,INDEX(Calculo!$F$249:$ES$249,1,_xlfn.MAXIFS(Calculo!$F$4:$ES$4,Calculo!$F$170:$ES$170,3)))*V_DPOmp/DiasMes)</f>
        <v>0</v>
      </c>
      <c r="H16" s="48" t="n">
        <f aca="false">IF(cu_P=1,IF(COUNTIFS(Calculo!$F$14:$ES$14,4)=0,0,INDEX(Calculo!$F$93:$ES$93,1,_xlfn.MAXIFS(Calculo!$F$4:$ES$4,Calculo!$F$14:$ES$14,4)))*P_DPOmp/DiasMes,IF(COUNTIFS(Calculo!$F$170:$ES$170,4)=0,0,INDEX(Calculo!$F$249:$ES$249,1,_xlfn.MAXIFS(Calculo!$F$4:$ES$4,Calculo!$F$170:$ES$170,4)))*V_DPOmp/DiasMes)</f>
        <v>0</v>
      </c>
      <c r="I16" s="48" t="n">
        <f aca="false">IF(cu_P=1,IF(COUNTIFS(Calculo!$F$14:$ES$14,5)=0,0,INDEX(Calculo!$F$93:$ES$93,1,_xlfn.MAXIFS(Calculo!$F$4:$ES$4,Calculo!$F$14:$ES$14,5)))*P_DPOmp/DiasMes,IF(COUNTIFS(Calculo!$F$170:$ES$170,5)=0,0,INDEX(Calculo!$F$249:$ES$249,1,_xlfn.MAXIFS(Calculo!$F$4:$ES$4,Calculo!$F$170:$ES$170,5)))*V_DPOmp/DiasMes)</f>
        <v>0</v>
      </c>
      <c r="J16" s="48" t="n">
        <f aca="false">IF(cu_P=1,IF(COUNTIFS(Calculo!$F$14:$ES$14,6)=0,0,INDEX(Calculo!$F$93:$ES$93,1,_xlfn.MAXIFS(Calculo!$F$4:$ES$4,Calculo!$F$14:$ES$14,6)))*P_DPOmp/DiasMes,IF(COUNTIFS(Calculo!$F$170:$ES$170,6)=0,0,INDEX(Calculo!$F$249:$ES$249,1,_xlfn.MAXIFS(Calculo!$F$4:$ES$4,Calculo!$F$170:$ES$170,6)))*V_DPOmp/DiasMes)</f>
        <v>0</v>
      </c>
      <c r="K16" s="48" t="n">
        <f aca="false">IF(cu_P=1,IF(COUNTIFS(Calculo!$F$14:$ES$14,7)=0,0,INDEX(Calculo!$F$93:$ES$93,1,_xlfn.MAXIFS(Calculo!$F$4:$ES$4,Calculo!$F$14:$ES$14,7)))*P_DPOmp/DiasMes,IF(COUNTIFS(Calculo!$F$170:$ES$170,7)=0,0,INDEX(Calculo!$F$249:$ES$249,1,_xlfn.MAXIFS(Calculo!$F$4:$ES$4,Calculo!$F$170:$ES$170,7)))*V_DPOmp/DiasMes)</f>
        <v>0</v>
      </c>
      <c r="L16" s="48" t="n">
        <f aca="false">IF(cu_P=1,IF(COUNTIFS(Calculo!$F$14:$ES$14,8)=0,0,INDEX(Calculo!$F$93:$ES$93,1,_xlfn.MAXIFS(Calculo!$F$4:$ES$4,Calculo!$F$14:$ES$14,8)))*P_DPOmp/DiasMes,IF(COUNTIFS(Calculo!$F$170:$ES$170,8)=0,0,INDEX(Calculo!$F$249:$ES$249,1,_xlfn.MAXIFS(Calculo!$F$4:$ES$4,Calculo!$F$170:$ES$170,8)))*V_DPOmp/DiasMes)</f>
        <v>0</v>
      </c>
      <c r="M16" s="48" t="n">
        <f aca="false">IF(cu_P=1,IF(COUNTIFS(Calculo!$F$14:$ES$14,9)=0,0,INDEX(Calculo!$F$93:$ES$93,1,_xlfn.MAXIFS(Calculo!$F$4:$ES$4,Calculo!$F$14:$ES$14,9)))*P_DPOmp/DiasMes,IF(COUNTIFS(Calculo!$F$170:$ES$170,9)=0,0,INDEX(Calculo!$F$249:$ES$249,1,_xlfn.MAXIFS(Calculo!$F$4:$ES$4,Calculo!$F$170:$ES$170,9)))*V_DPOmp/DiasMes)</f>
        <v>0</v>
      </c>
      <c r="N16" s="48" t="n">
        <f aca="false">IF(cu_P=1,IF(COUNTIFS(Calculo!$F$14:$ES$14,10)=0,0,INDEX(Calculo!$F$93:$ES$93,1,_xlfn.MAXIFS(Calculo!$F$4:$ES$4,Calculo!$F$14:$ES$14,10)))*P_DPOmp/DiasMes,IF(COUNTIFS(Calculo!$F$170:$ES$170,10)=0,0,INDEX(Calculo!$F$249:$ES$249,1,_xlfn.MAXIFS(Calculo!$F$4:$ES$4,Calculo!$F$170:$ES$170,10)))*V_DPOmp/DiasMes)</f>
        <v>0</v>
      </c>
    </row>
    <row r="17" customFormat="false" ht="15" hidden="false" customHeight="false" outlineLevel="0" collapsed="false">
      <c r="A17" s="11" t="s">
        <v>2728</v>
      </c>
      <c r="B17" s="15" t="s">
        <v>2729</v>
      </c>
      <c r="C17" s="90" t="n">
        <f aca="false">IF(cu_P=1,P_DPOot,V_DPOot)</f>
        <v>30</v>
      </c>
      <c r="D17" s="48" t="n">
        <f aca="false">IF(cu_P=1,IF(SUM(Calculo!$F$16:$ES$16)=0,0,INDEX(Calculo!$F$112:$ES$112,1,SUM(Calculo!$F$16:$ES$16)))-IF(SUM(Calculo!$F$16:$ES$16)=0,0,INDEX(Calculo!$F$93:$ES$93,1,SUM(Calculo!$F$16:$ES$16)))*P_DPOmp/DiasMes,IF(SUM(Calculo!$F$172:$ES$172)=0,0,INDEX(Calculo!$F$268:$ES$268,1,SUM(Calculo!$F$172:$ES$172)))-IF(SUM(Calculo!$F$172:$ES$172)=0,0,INDEX(Calculo!$F$249:$ES$249,1,SUM(Calculo!$F$172:$ES$172)))*V_DPOmp/DiasMes)</f>
        <v>0</v>
      </c>
      <c r="E17" s="48" t="n">
        <f aca="false">IF(cu_P=1,IF(COUNTIFS(Calculo!$F$14:$ES$14,1)=0,0,INDEX(Calculo!$F$112:$ES$112,1,_xlfn.MAXIFS(Calculo!$F$4:$ES$4,Calculo!$F$14:$ES$14,1)))-IF(COUNTIFS(Calculo!$F$14:$ES$14,1)=0,0,INDEX(Calculo!$F$93:$ES$93,1,_xlfn.MAXIFS(Calculo!$F$4:$ES$4,Calculo!$F$14:$ES$14,1)))*P_DPOmp/DiasMes,IF(COUNTIFS(Calculo!$F$170:$ES$170,1)=0,0,INDEX(Calculo!$F$268:$ES$268,1,_xlfn.MAXIFS(Calculo!$F$4:$ES$4,Calculo!$F$170:$ES$170,1)))-IF(COUNTIFS(Calculo!$F$170:$ES$170,1)=0,0,INDEX(Calculo!$F$249:$ES$249,1,_xlfn.MAXIFS(Calculo!$F$4:$ES$4,Calculo!$F$170:$ES$170,1)))*V_DPOmp/DiasMes)</f>
        <v>99105.4926010081</v>
      </c>
      <c r="F17" s="48" t="n">
        <f aca="false">IF(cu_P=1,IF(COUNTIFS(Calculo!$F$14:$ES$14,2)=0,0,INDEX(Calculo!$F$112:$ES$112,1,_xlfn.MAXIFS(Calculo!$F$4:$ES$4,Calculo!$F$14:$ES$14,2)))-IF(COUNTIFS(Calculo!$F$14:$ES$14,2)=0,0,INDEX(Calculo!$F$93:$ES$93,1,_xlfn.MAXIFS(Calculo!$F$4:$ES$4,Calculo!$F$14:$ES$14,2)))*P_DPOmp/DiasMes,IF(COUNTIFS(Calculo!$F$170:$ES$170,2)=0,0,INDEX(Calculo!$F$268:$ES$268,1,_xlfn.MAXIFS(Calculo!$F$4:$ES$4,Calculo!$F$170:$ES$170,2)))-IF(COUNTIFS(Calculo!$F$170:$ES$170,2)=0,0,INDEX(Calculo!$F$249:$ES$249,1,_xlfn.MAXIFS(Calculo!$F$4:$ES$4,Calculo!$F$170:$ES$170,2)))*V_DPOmp/DiasMes)</f>
        <v>117843.301076035</v>
      </c>
      <c r="G17" s="48" t="n">
        <f aca="false">IF(cu_P=1,IF(COUNTIFS(Calculo!$F$14:$ES$14,3)=0,0,INDEX(Calculo!$F$112:$ES$112,1,_xlfn.MAXIFS(Calculo!$F$4:$ES$4,Calculo!$F$14:$ES$14,3)))-IF(COUNTIFS(Calculo!$F$14:$ES$14,3)=0,0,INDEX(Calculo!$F$93:$ES$93,1,_xlfn.MAXIFS(Calculo!$F$4:$ES$4,Calculo!$F$14:$ES$14,3)))*P_DPOmp/DiasMes,IF(COUNTIFS(Calculo!$F$170:$ES$170,3)=0,0,INDEX(Calculo!$F$268:$ES$268,1,_xlfn.MAXIFS(Calculo!$F$4:$ES$4,Calculo!$F$170:$ES$170,3)))-IF(COUNTIFS(Calculo!$F$170:$ES$170,3)=0,0,INDEX(Calculo!$F$249:$ES$249,1,_xlfn.MAXIFS(Calculo!$F$4:$ES$4,Calculo!$F$170:$ES$170,3)))*V_DPOmp/DiasMes)</f>
        <v>136841.164480491</v>
      </c>
      <c r="H17" s="48" t="n">
        <f aca="false">IF(cu_P=1,IF(COUNTIFS(Calculo!$F$14:$ES$14,4)=0,0,INDEX(Calculo!$F$112:$ES$112,1,_xlfn.MAXIFS(Calculo!$F$4:$ES$4,Calculo!$F$14:$ES$14,4)))-IF(COUNTIFS(Calculo!$F$14:$ES$14,4)=0,0,INDEX(Calculo!$F$93:$ES$93,1,_xlfn.MAXIFS(Calculo!$F$4:$ES$4,Calculo!$F$14:$ES$14,4)))*P_DPOmp/DiasMes,IF(COUNTIFS(Calculo!$F$170:$ES$170,4)=0,0,INDEX(Calculo!$F$268:$ES$268,1,_xlfn.MAXIFS(Calculo!$F$4:$ES$4,Calculo!$F$170:$ES$170,4)))-IF(COUNTIFS(Calculo!$F$170:$ES$170,4)=0,0,INDEX(Calculo!$F$249:$ES$249,1,_xlfn.MAXIFS(Calculo!$F$4:$ES$4,Calculo!$F$170:$ES$170,4)))*V_DPOmp/DiasMes)</f>
        <v>152372.625750663</v>
      </c>
      <c r="I17" s="48" t="n">
        <f aca="false">IF(cu_P=1,IF(COUNTIFS(Calculo!$F$14:$ES$14,5)=0,0,INDEX(Calculo!$F$112:$ES$112,1,_xlfn.MAXIFS(Calculo!$F$4:$ES$4,Calculo!$F$14:$ES$14,5)))-IF(COUNTIFS(Calculo!$F$14:$ES$14,5)=0,0,INDEX(Calculo!$F$93:$ES$93,1,_xlfn.MAXIFS(Calculo!$F$4:$ES$4,Calculo!$F$14:$ES$14,5)))*P_DPOmp/DiasMes,IF(COUNTIFS(Calculo!$F$170:$ES$170,5)=0,0,INDEX(Calculo!$F$268:$ES$268,1,_xlfn.MAXIFS(Calculo!$F$4:$ES$4,Calculo!$F$170:$ES$170,5)))-IF(COUNTIFS(Calculo!$F$170:$ES$170,5)=0,0,INDEX(Calculo!$F$249:$ES$249,1,_xlfn.MAXIFS(Calculo!$F$4:$ES$4,Calculo!$F$170:$ES$170,5)))*V_DPOmp/DiasMes)</f>
        <v>153439.396899076</v>
      </c>
      <c r="J17" s="48" t="n">
        <f aca="false">IF(cu_P=1,IF(COUNTIFS(Calculo!$F$14:$ES$14,6)=0,0,INDEX(Calculo!$F$112:$ES$112,1,_xlfn.MAXIFS(Calculo!$F$4:$ES$4,Calculo!$F$14:$ES$14,6)))-IF(COUNTIFS(Calculo!$F$14:$ES$14,6)=0,0,INDEX(Calculo!$F$93:$ES$93,1,_xlfn.MAXIFS(Calculo!$F$4:$ES$4,Calculo!$F$14:$ES$14,6)))*P_DPOmp/DiasMes,IF(COUNTIFS(Calculo!$F$170:$ES$170,6)=0,0,INDEX(Calculo!$F$268:$ES$268,1,_xlfn.MAXIFS(Calculo!$F$4:$ES$4,Calculo!$F$170:$ES$170,6)))-IF(COUNTIFS(Calculo!$F$170:$ES$170,6)=0,0,INDEX(Calculo!$F$249:$ES$249,1,_xlfn.MAXIFS(Calculo!$F$4:$ES$4,Calculo!$F$170:$ES$170,6)))*V_DPOmp/DiasMes)</f>
        <v>154373.202430234</v>
      </c>
      <c r="K17" s="48" t="n">
        <f aca="false">IF(cu_P=1,IF(COUNTIFS(Calculo!$F$14:$ES$14,7)=0,0,INDEX(Calculo!$F$112:$ES$112,1,_xlfn.MAXIFS(Calculo!$F$4:$ES$4,Calculo!$F$14:$ES$14,7)))-IF(COUNTIFS(Calculo!$F$14:$ES$14,7)=0,0,INDEX(Calculo!$F$93:$ES$93,1,_xlfn.MAXIFS(Calculo!$F$4:$ES$4,Calculo!$F$14:$ES$14,7)))*P_DPOmp/DiasMes,IF(COUNTIFS(Calculo!$F$170:$ES$170,7)=0,0,INDEX(Calculo!$F$268:$ES$268,1,_xlfn.MAXIFS(Calculo!$F$4:$ES$4,Calculo!$F$170:$ES$170,7)))-IF(COUNTIFS(Calculo!$F$170:$ES$170,7)=0,0,INDEX(Calculo!$F$249:$ES$249,1,_xlfn.MAXIFS(Calculo!$F$4:$ES$4,Calculo!$F$170:$ES$170,7)))*V_DPOmp/DiasMes)</f>
        <v>155328.742837727</v>
      </c>
      <c r="L17" s="48" t="n">
        <f aca="false">IF(cu_P=1,IF(COUNTIFS(Calculo!$F$14:$ES$14,8)=0,0,INDEX(Calculo!$F$112:$ES$112,1,_xlfn.MAXIFS(Calculo!$F$4:$ES$4,Calculo!$F$14:$ES$14,8)))-IF(COUNTIFS(Calculo!$F$14:$ES$14,8)=0,0,INDEX(Calculo!$F$93:$ES$93,1,_xlfn.MAXIFS(Calculo!$F$4:$ES$4,Calculo!$F$14:$ES$14,8)))*P_DPOmp/DiasMes,IF(COUNTIFS(Calculo!$F$170:$ES$170,8)=0,0,INDEX(Calculo!$F$268:$ES$268,1,_xlfn.MAXIFS(Calculo!$F$4:$ES$4,Calculo!$F$170:$ES$170,8)))-IF(COUNTIFS(Calculo!$F$170:$ES$170,8)=0,0,INDEX(Calculo!$F$249:$ES$249,1,_xlfn.MAXIFS(Calculo!$F$4:$ES$4,Calculo!$F$170:$ES$170,8)))*V_DPOmp/DiasMes)</f>
        <v>156306.601824573</v>
      </c>
      <c r="M17" s="48" t="n">
        <f aca="false">IF(cu_P=1,IF(COUNTIFS(Calculo!$F$14:$ES$14,9)=0,0,INDEX(Calculo!$F$112:$ES$112,1,_xlfn.MAXIFS(Calculo!$F$4:$ES$4,Calculo!$F$14:$ES$14,9)))-IF(COUNTIFS(Calculo!$F$14:$ES$14,9)=0,0,INDEX(Calculo!$F$93:$ES$93,1,_xlfn.MAXIFS(Calculo!$F$4:$ES$4,Calculo!$F$14:$ES$14,9)))*P_DPOmp/DiasMes,IF(COUNTIFS(Calculo!$F$170:$ES$170,9)=0,0,INDEX(Calculo!$F$268:$ES$268,1,_xlfn.MAXIFS(Calculo!$F$4:$ES$4,Calculo!$F$170:$ES$170,9)))-IF(COUNTIFS(Calculo!$F$170:$ES$170,9)=0,0,INDEX(Calculo!$F$249:$ES$249,1,_xlfn.MAXIFS(Calculo!$F$4:$ES$4,Calculo!$F$170:$ES$170,9)))*V_DPOmp/DiasMes)</f>
        <v>157307.379810441</v>
      </c>
      <c r="N17" s="48" t="n">
        <f aca="false">IF(cu_P=1,IF(COUNTIFS(Calculo!$F$14:$ES$14,10)=0,0,INDEX(Calculo!$F$112:$ES$112,1,_xlfn.MAXIFS(Calculo!$F$4:$ES$4,Calculo!$F$14:$ES$14,10)))-IF(COUNTIFS(Calculo!$F$14:$ES$14,10)=0,0,INDEX(Calculo!$F$93:$ES$93,1,_xlfn.MAXIFS(Calculo!$F$4:$ES$4,Calculo!$F$14:$ES$14,10)))*P_DPOmp/DiasMes,IF(COUNTIFS(Calculo!$F$170:$ES$170,10)=0,0,INDEX(Calculo!$F$268:$ES$268,1,_xlfn.MAXIFS(Calculo!$F$4:$ES$4,Calculo!$F$170:$ES$170,10)))-IF(COUNTIFS(Calculo!$F$170:$ES$170,10)=0,0,INDEX(Calculo!$F$249:$ES$249,1,_xlfn.MAXIFS(Calculo!$F$4:$ES$4,Calculo!$F$170:$ES$170,10)))*V_DPOmp/DiasMes)</f>
        <v>158331.694422986</v>
      </c>
    </row>
    <row r="18" customFormat="false" ht="15" hidden="false" customHeight="false" outlineLevel="0" collapsed="false">
      <c r="A18" s="11" t="s">
        <v>2730</v>
      </c>
      <c r="B18" s="67" t="s">
        <v>1194</v>
      </c>
      <c r="C18" s="11" t="s">
        <v>508</v>
      </c>
      <c r="D18" s="54" t="n">
        <f aca="false">IF(cu_P=1,IF(SUM(Calculo!$F$16:$ES$16)=0,0,INDEX(Calculo!$F$113:$ES$113,1,SUM(Calculo!$F$16:$ES$16))),IF(SUM(Calculo!$F$172:$ES$172)=0,0,INDEX(Calculo!$F$269:$ES$269,1,SUM(Calculo!$F$172:$ES$172))))</f>
        <v>0</v>
      </c>
      <c r="E18" s="54" t="n">
        <f aca="false">IF(cu_P=1,IF(COUNTIFS(Calculo!$F$14:$ES$14,1)=0,0,INDEX(Calculo!$F$113:$ES$113,1,_xlfn.MAXIFS(Calculo!$F$4:$ES$4,Calculo!$F$14:$ES$14,1))),IF(COUNTIFS(Calculo!$F$170:$ES$170,1)=0,0,INDEX(Calculo!$F$269:$ES$269,1,_xlfn.MAXIFS(Calculo!$F$4:$ES$4,Calculo!$F$170:$ES$170,1))))</f>
        <v>2388063.88735903</v>
      </c>
      <c r="F18" s="54" t="n">
        <f aca="false">IF(cu_P=1,IF(COUNTIFS(Calculo!$F$14:$ES$14,2)=0,0,INDEX(Calculo!$F$113:$ES$113,1,_xlfn.MAXIFS(Calculo!$F$4:$ES$4,Calculo!$F$14:$ES$14,2))),IF(COUNTIFS(Calculo!$F$170:$ES$170,2)=0,0,INDEX(Calculo!$F$269:$ES$269,1,_xlfn.MAXIFS(Calculo!$F$4:$ES$4,Calculo!$F$170:$ES$170,2))))</f>
        <v>3043209.33175467</v>
      </c>
      <c r="G18" s="54" t="n">
        <f aca="false">IF(cu_P=1,IF(COUNTIFS(Calculo!$F$14:$ES$14,3)=0,0,INDEX(Calculo!$F$113:$ES$113,1,_xlfn.MAXIFS(Calculo!$F$4:$ES$4,Calculo!$F$14:$ES$14,3))),IF(COUNTIFS(Calculo!$F$170:$ES$170,3)=0,0,INDEX(Calculo!$F$269:$ES$269,1,_xlfn.MAXIFS(Calculo!$F$4:$ES$4,Calculo!$F$170:$ES$170,3))))</f>
        <v>3710536.2623871</v>
      </c>
      <c r="H18" s="54" t="n">
        <f aca="false">IF(cu_P=1,IF(COUNTIFS(Calculo!$F$14:$ES$14,4)=0,0,INDEX(Calculo!$F$113:$ES$113,1,_xlfn.MAXIFS(Calculo!$F$4:$ES$4,Calculo!$F$14:$ES$14,4))),IF(COUNTIFS(Calculo!$F$170:$ES$170,4)=0,0,INDEX(Calculo!$F$269:$ES$269,1,_xlfn.MAXIFS(Calculo!$F$4:$ES$4,Calculo!$F$170:$ES$170,4))))</f>
        <v>4269345.33232041</v>
      </c>
      <c r="I18" s="54" t="n">
        <f aca="false">IF(cu_P=1,IF(COUNTIFS(Calculo!$F$14:$ES$14,5)=0,0,INDEX(Calculo!$F$113:$ES$113,1,_xlfn.MAXIFS(Calculo!$F$4:$ES$4,Calculo!$F$14:$ES$14,5))),IF(COUNTIFS(Calculo!$F$170:$ES$170,5)=0,0,INDEX(Calculo!$F$269:$ES$269,1,_xlfn.MAXIFS(Calculo!$F$4:$ES$4,Calculo!$F$170:$ES$170,5))))</f>
        <v>4307454.88002627</v>
      </c>
      <c r="J18" s="54" t="n">
        <f aca="false">IF(cu_P=1,IF(COUNTIFS(Calculo!$F$14:$ES$14,6)=0,0,INDEX(Calculo!$F$113:$ES$113,1,_xlfn.MAXIFS(Calculo!$F$4:$ES$4,Calculo!$F$14:$ES$14,6))),IF(COUNTIFS(Calculo!$F$170:$ES$170,6)=0,0,INDEX(Calculo!$F$269:$ES$269,1,_xlfn.MAXIFS(Calculo!$F$4:$ES$4,Calculo!$F$170:$ES$170,6))))</f>
        <v>4345179.73649487</v>
      </c>
      <c r="K18" s="54" t="n">
        <f aca="false">IF(cu_P=1,IF(COUNTIFS(Calculo!$F$14:$ES$14,7)=0,0,INDEX(Calculo!$F$113:$ES$113,1,_xlfn.MAXIFS(Calculo!$F$4:$ES$4,Calculo!$F$14:$ES$14,7))),IF(COUNTIFS(Calculo!$F$170:$ES$170,7)=0,0,INDEX(Calculo!$F$269:$ES$269,1,_xlfn.MAXIFS(Calculo!$F$4:$ES$4,Calculo!$F$170:$ES$170,7))))</f>
        <v>4383269.62971965</v>
      </c>
      <c r="L18" s="54" t="n">
        <f aca="false">IF(cu_P=1,IF(COUNTIFS(Calculo!$F$14:$ES$14,8)=0,0,INDEX(Calculo!$F$113:$ES$113,1,_xlfn.MAXIFS(Calculo!$F$4:$ES$4,Calculo!$F$14:$ES$14,8))),IF(COUNTIFS(Calculo!$F$170:$ES$170,8)=0,0,INDEX(Calculo!$F$269:$ES$269,1,_xlfn.MAXIFS(Calculo!$F$4:$ES$4,Calculo!$F$170:$ES$170,8))))</f>
        <v>4421727.84741417</v>
      </c>
      <c r="M18" s="54" t="n">
        <f aca="false">IF(cu_P=1,IF(COUNTIFS(Calculo!$F$14:$ES$14,9)=0,0,INDEX(Calculo!$F$113:$ES$113,1,_xlfn.MAXIFS(Calculo!$F$4:$ES$4,Calculo!$F$14:$ES$14,9))),IF(COUNTIFS(Calculo!$F$170:$ES$170,9)=0,0,INDEX(Calculo!$F$269:$ES$269,1,_xlfn.MAXIFS(Calculo!$F$4:$ES$4,Calculo!$F$170:$ES$170,9))))</f>
        <v>4460557.6993635</v>
      </c>
      <c r="N18" s="54" t="n">
        <f aca="false">IF(cu_P=1,IF(COUNTIFS(Calculo!$F$14:$ES$14,10)=0,0,INDEX(Calculo!$F$113:$ES$113,1,_xlfn.MAXIFS(Calculo!$F$4:$ES$4,Calculo!$F$14:$ES$14,10))),IF(COUNTIFS(Calculo!$F$170:$ES$170,10)=0,0,INDEX(Calculo!$F$269:$ES$269,1,_xlfn.MAXIFS(Calculo!$F$4:$ES$4,Calculo!$F$170:$ES$170,10))))</f>
        <v>4499762.51732228</v>
      </c>
    </row>
    <row r="19" customFormat="false" ht="15" hidden="false" customHeight="false" outlineLevel="0" collapsed="false">
      <c r="A19" s="11" t="s">
        <v>2731</v>
      </c>
      <c r="B19" s="15" t="s">
        <v>2732</v>
      </c>
      <c r="C19" s="11" t="s">
        <v>508</v>
      </c>
      <c r="D19" s="48" t="n">
        <f aca="false">IF(cu_P=1,SUMIFS(Calculo!$F$114:$ES$114,Calculo!$F$16:$ES$16,1),SUMIFS(Calculo!$F$270:$ES$270,Calculo!$F$172:$ES$172,1))</f>
        <v>0</v>
      </c>
      <c r="E19" s="48" t="n">
        <f aca="false">IF(cu_P=1,SUMIFS(Calculo!$F$114:$ES$114,Calculo!$F$14:$ES$14,1),SUMIFS(Calculo!$F$270:$ES$270,Calculo!$F$170:$ES$170,1))</f>
        <v>2388063.88735903</v>
      </c>
      <c r="F19" s="48" t="n">
        <f aca="false">IF(cu_P=1,SUMIFS(Calculo!$F$114:$ES$114,Calculo!$F$14:$ES$14,2),SUMIFS(Calculo!$F$270:$ES$270,Calculo!$F$170:$ES$170,2))</f>
        <v>655145.444395644</v>
      </c>
      <c r="G19" s="48" t="n">
        <f aca="false">IF(cu_P=1,SUMIFS(Calculo!$F$114:$ES$114,Calculo!$F$14:$ES$14,3),SUMIFS(Calculo!$F$270:$ES$270,Calculo!$F$170:$ES$170,3))</f>
        <v>667326.930632423</v>
      </c>
      <c r="H19" s="48" t="n">
        <f aca="false">IF(cu_P=1,SUMIFS(Calculo!$F$114:$ES$114,Calculo!$F$14:$ES$14,4),SUMIFS(Calculo!$F$270:$ES$270,Calculo!$F$170:$ES$170,4))</f>
        <v>558809.069933313</v>
      </c>
      <c r="I19" s="48" t="n">
        <f aca="false">IF(cu_P=1,SUMIFS(Calculo!$F$114:$ES$114,Calculo!$F$14:$ES$14,5),SUMIFS(Calculo!$F$270:$ES$270,Calculo!$F$170:$ES$170,5))</f>
        <v>38109.5477058599</v>
      </c>
      <c r="J19" s="48" t="n">
        <f aca="false">IF(cu_P=1,SUMIFS(Calculo!$F$114:$ES$114,Calculo!$F$14:$ES$14,6),SUMIFS(Calculo!$F$270:$ES$270,Calculo!$F$170:$ES$170,6))</f>
        <v>37724.8564685965</v>
      </c>
      <c r="K19" s="48" t="n">
        <f aca="false">IF(cu_P=1,SUMIFS(Calculo!$F$114:$ES$114,Calculo!$F$14:$ES$14,7),SUMIFS(Calculo!$F$270:$ES$270,Calculo!$F$170:$ES$170,7))</f>
        <v>38089.8932247814</v>
      </c>
      <c r="L19" s="48" t="n">
        <f aca="false">IF(cu_P=1,SUMIFS(Calculo!$F$114:$ES$114,Calculo!$F$14:$ES$14,8),SUMIFS(Calculo!$F$270:$ES$270,Calculo!$F$170:$ES$170,8))</f>
        <v>38458.2176945182</v>
      </c>
      <c r="M19" s="48" t="n">
        <f aca="false">IF(cu_P=1,SUMIFS(Calculo!$F$114:$ES$114,Calculo!$F$14:$ES$14,9),SUMIFS(Calculo!$F$270:$ES$270,Calculo!$F$170:$ES$170,9))</f>
        <v>38829.851949336</v>
      </c>
      <c r="N19" s="48" t="n">
        <f aca="false">IF(cu_P=1,SUMIFS(Calculo!$F$114:$ES$114,Calculo!$F$14:$ES$14,10),SUMIFS(Calculo!$F$270:$ES$270,Calculo!$F$170:$ES$170,10))</f>
        <v>39204.8179587778</v>
      </c>
      <c r="O19" s="54" t="n">
        <f aca="false">SUM(D19:N19)</f>
        <v>4499762.51732228</v>
      </c>
    </row>
    <row r="21" customFormat="false" ht="15" hidden="false" customHeight="false" outlineLevel="0" collapsed="false">
      <c r="A21" s="65" t="s">
        <v>1992</v>
      </c>
      <c r="B21" s="64"/>
      <c r="C21" s="64"/>
      <c r="D21" s="64"/>
      <c r="E21" s="64"/>
      <c r="F21" s="64"/>
      <c r="G21" s="64"/>
      <c r="H21" s="64"/>
      <c r="I21" s="64"/>
      <c r="J21" s="64"/>
      <c r="K21" s="64"/>
      <c r="L21" s="64"/>
      <c r="M21" s="64"/>
      <c r="N21" s="64"/>
      <c r="O21" s="64"/>
    </row>
    <row r="22" customFormat="false" ht="24" hidden="false" customHeight="true" outlineLevel="0" collapsed="false">
      <c r="A22" s="14"/>
      <c r="B22" s="14" t="s">
        <v>1530</v>
      </c>
      <c r="C22" s="14" t="s">
        <v>355</v>
      </c>
      <c r="D22" s="14" t="s">
        <v>1857</v>
      </c>
      <c r="E22" s="14" t="s">
        <v>452</v>
      </c>
      <c r="F22" s="14" t="s">
        <v>453</v>
      </c>
      <c r="G22" s="14" t="s">
        <v>454</v>
      </c>
      <c r="H22" s="14" t="s">
        <v>455</v>
      </c>
      <c r="I22" s="14" t="s">
        <v>456</v>
      </c>
      <c r="J22" s="14" t="s">
        <v>457</v>
      </c>
      <c r="K22" s="14" t="s">
        <v>458</v>
      </c>
      <c r="L22" s="14" t="s">
        <v>459</v>
      </c>
      <c r="M22" s="14" t="s">
        <v>460</v>
      </c>
      <c r="N22" s="14" t="s">
        <v>461</v>
      </c>
      <c r="O22" s="14" t="s">
        <v>549</v>
      </c>
    </row>
    <row r="23" customFormat="false" ht="15" hidden="false" customHeight="false" outlineLevel="0" collapsed="false">
      <c r="B23" s="11" t="s">
        <v>1993</v>
      </c>
      <c r="D23" s="86" t="str">
        <f aca="false">IF(OR(n_Fecha1="",IF(cu_P=1,P_Inicio,V_Inicio)=1),"",YEAR(n_Fecha1))</f>
        <v/>
      </c>
      <c r="E23" s="86" t="str">
        <f aca="false">IF(n_Fecha1="","",YEAR(EOMONTH(n_Fecha1,IF(cu_P=1,P_Inicio,V_Inicio)-1+0)))</f>
        <v/>
      </c>
      <c r="F23" s="86" t="str">
        <f aca="false">IF(n_Fecha1="","",YEAR(EOMONTH(n_Fecha1,IF(cu_P=1,P_Inicio,V_Inicio)-1+12)))</f>
        <v/>
      </c>
      <c r="G23" s="86" t="str">
        <f aca="false">IF(n_Fecha1="","",YEAR(EOMONTH(n_Fecha1,IF(cu_P=1,P_Inicio,V_Inicio)-1+24)))</f>
        <v/>
      </c>
      <c r="H23" s="86" t="str">
        <f aca="false">IF(n_Fecha1="","",YEAR(EOMONTH(n_Fecha1,IF(cu_P=1,P_Inicio,V_Inicio)-1+36)))</f>
        <v/>
      </c>
      <c r="I23" s="86" t="str">
        <f aca="false">IF(n_Fecha1="","",YEAR(EOMONTH(n_Fecha1,IF(cu_P=1,P_Inicio,V_Inicio)-1+48)))</f>
        <v/>
      </c>
      <c r="J23" s="86" t="str">
        <f aca="false">IF(n_Fecha1="","",YEAR(EOMONTH(n_Fecha1,IF(cu_P=1,P_Inicio,V_Inicio)-1+60)))</f>
        <v/>
      </c>
      <c r="K23" s="86" t="str">
        <f aca="false">IF(n_Fecha1="","",YEAR(EOMONTH(n_Fecha1,IF(cu_P=1,P_Inicio,V_Inicio)-1+72)))</f>
        <v/>
      </c>
      <c r="L23" s="86" t="str">
        <f aca="false">IF(n_Fecha1="","",YEAR(EOMONTH(n_Fecha1,IF(cu_P=1,P_Inicio,V_Inicio)-1+84)))</f>
        <v/>
      </c>
      <c r="M23" s="86" t="str">
        <f aca="false">IF(n_Fecha1="","",YEAR(EOMONTH(n_Fecha1,IF(cu_P=1,P_Inicio,V_Inicio)-1+96)))</f>
        <v/>
      </c>
      <c r="N23" s="86" t="str">
        <f aca="false">IF(n_Fecha1="","",YEAR(EOMONTH(n_Fecha1,IF(cu_P=1,P_Inicio,V_Inicio)-1+108)))</f>
        <v/>
      </c>
    </row>
    <row r="24" customFormat="false" ht="15" hidden="false" customHeight="false" outlineLevel="0" collapsed="false">
      <c r="A24" s="11" t="s">
        <v>2711</v>
      </c>
      <c r="B24" s="67" t="s">
        <v>2712</v>
      </c>
      <c r="C24" s="11" t="s">
        <v>508</v>
      </c>
      <c r="D24" s="37"/>
      <c r="E24" s="37" t="n">
        <v>2400374</v>
      </c>
      <c r="F24" s="37" t="n">
        <v>2944744</v>
      </c>
      <c r="G24" s="37" t="n">
        <v>3501236</v>
      </c>
      <c r="H24" s="37" t="n">
        <v>3955637</v>
      </c>
      <c r="I24" s="37" t="n">
        <v>3983755</v>
      </c>
      <c r="J24" s="37" t="n">
        <v>4000572</v>
      </c>
      <c r="K24" s="37" t="n">
        <v>4017606</v>
      </c>
      <c r="L24" s="37" t="n">
        <v>4034861</v>
      </c>
      <c r="M24" s="37" t="n">
        <v>4052341</v>
      </c>
      <c r="N24" s="37" t="n">
        <v>4070049</v>
      </c>
    </row>
    <row r="25" customFormat="false" ht="15" hidden="false" customHeight="false" outlineLevel="0" collapsed="false">
      <c r="A25" s="11" t="s">
        <v>2713</v>
      </c>
      <c r="B25" s="15" t="s">
        <v>2714</v>
      </c>
      <c r="C25" s="90" t="n">
        <f aca="false">IF(cu_P=1,P_CajaMin,V_CajaMin)</f>
        <v>3</v>
      </c>
      <c r="D25" s="37"/>
      <c r="E25" s="37" t="n">
        <v>39863</v>
      </c>
      <c r="F25" s="37" t="n">
        <v>50804</v>
      </c>
      <c r="G25" s="37" t="n">
        <v>61961</v>
      </c>
      <c r="H25" s="37" t="n">
        <v>71387</v>
      </c>
      <c r="I25" s="37" t="n">
        <v>72101</v>
      </c>
      <c r="J25" s="37" t="n">
        <v>72822</v>
      </c>
      <c r="K25" s="37" t="n">
        <v>73550</v>
      </c>
      <c r="L25" s="37" t="n">
        <v>74286</v>
      </c>
      <c r="M25" s="37" t="n">
        <v>75029</v>
      </c>
      <c r="N25" s="37" t="n">
        <v>75779</v>
      </c>
    </row>
    <row r="26" customFormat="false" ht="15" hidden="false" customHeight="false" outlineLevel="0" collapsed="false">
      <c r="A26" s="11" t="s">
        <v>2715</v>
      </c>
      <c r="B26" s="15" t="s">
        <v>2716</v>
      </c>
      <c r="C26" s="11" t="s">
        <v>508</v>
      </c>
      <c r="D26" s="37"/>
      <c r="E26" s="37" t="n">
        <v>17890</v>
      </c>
      <c r="F26" s="37" t="n">
        <v>17890</v>
      </c>
      <c r="G26" s="37" t="n">
        <v>18647</v>
      </c>
      <c r="H26" s="37" t="n">
        <v>19239</v>
      </c>
      <c r="I26" s="37" t="n">
        <v>19977</v>
      </c>
      <c r="J26" s="37" t="n">
        <v>19977</v>
      </c>
      <c r="K26" s="37" t="n">
        <v>19977</v>
      </c>
      <c r="L26" s="37" t="n">
        <v>19977</v>
      </c>
      <c r="M26" s="37" t="n">
        <v>19977</v>
      </c>
      <c r="N26" s="37" t="n">
        <v>19977</v>
      </c>
    </row>
    <row r="27" customFormat="false" ht="15" hidden="false" customHeight="false" outlineLevel="0" collapsed="false">
      <c r="A27" s="11" t="s">
        <v>2717</v>
      </c>
      <c r="B27" s="15" t="s">
        <v>2718</v>
      </c>
      <c r="C27" s="90" t="n">
        <f aca="false">IF(cu_P=1,P_DInv,V_DInv)</f>
        <v>120</v>
      </c>
      <c r="D27" s="37"/>
      <c r="E27" s="37" t="n">
        <v>819315</v>
      </c>
      <c r="F27" s="37" t="n">
        <v>1041023</v>
      </c>
      <c r="G27" s="37" t="n">
        <v>1262706</v>
      </c>
      <c r="H27" s="37" t="n">
        <v>1443403</v>
      </c>
      <c r="I27" s="37" t="n">
        <v>1449282</v>
      </c>
      <c r="J27" s="37" t="n">
        <v>1455220</v>
      </c>
      <c r="K27" s="37" t="n">
        <v>1461217</v>
      </c>
      <c r="L27" s="37" t="n">
        <v>1467274</v>
      </c>
      <c r="M27" s="37" t="n">
        <v>1473392</v>
      </c>
      <c r="N27" s="37" t="n">
        <v>1479571</v>
      </c>
    </row>
    <row r="28" customFormat="false" ht="15" hidden="false" customHeight="false" outlineLevel="0" collapsed="false">
      <c r="A28" s="11" t="s">
        <v>2719</v>
      </c>
      <c r="B28" s="15" t="s">
        <v>2720</v>
      </c>
      <c r="C28" s="90" t="n">
        <f aca="false">IF(cu_P=1,P_DPT,V_DPT)</f>
        <v>10</v>
      </c>
      <c r="D28" s="37"/>
      <c r="E28" s="37" t="n">
        <v>117177</v>
      </c>
      <c r="F28" s="37" t="n">
        <v>141156</v>
      </c>
      <c r="G28" s="37" t="n">
        <v>165994</v>
      </c>
      <c r="H28" s="37" t="n">
        <v>186278</v>
      </c>
      <c r="I28" s="37" t="n">
        <v>187877</v>
      </c>
      <c r="J28" s="37" t="n">
        <v>188658</v>
      </c>
      <c r="K28" s="37" t="n">
        <v>189451</v>
      </c>
      <c r="L28" s="37" t="n">
        <v>190256</v>
      </c>
      <c r="M28" s="37" t="n">
        <v>191073</v>
      </c>
      <c r="N28" s="37" t="n">
        <v>191902</v>
      </c>
    </row>
    <row r="29" customFormat="false" ht="15" hidden="false" customHeight="false" outlineLevel="0" collapsed="false">
      <c r="A29" s="11" t="s">
        <v>2721</v>
      </c>
      <c r="B29" s="15" t="s">
        <v>2722</v>
      </c>
      <c r="C29" s="90" t="n">
        <f aca="false">IF(cu_P=1,P_DSO,V_DSO)</f>
        <v>120</v>
      </c>
      <c r="D29" s="37"/>
      <c r="E29" s="37" t="n">
        <v>1406129</v>
      </c>
      <c r="F29" s="37" t="n">
        <v>1693870</v>
      </c>
      <c r="G29" s="37" t="n">
        <v>1991928</v>
      </c>
      <c r="H29" s="37" t="n">
        <v>2235331</v>
      </c>
      <c r="I29" s="37" t="n">
        <v>2254519</v>
      </c>
      <c r="J29" s="37" t="n">
        <v>2263895</v>
      </c>
      <c r="K29" s="37" t="n">
        <v>2273411</v>
      </c>
      <c r="L29" s="37" t="n">
        <v>2283068</v>
      </c>
      <c r="M29" s="37" t="n">
        <v>2292870</v>
      </c>
      <c r="N29" s="37" t="n">
        <v>2302820</v>
      </c>
    </row>
    <row r="30" customFormat="false" ht="15" hidden="false" customHeight="false" outlineLevel="0" collapsed="false">
      <c r="A30" s="11" t="s">
        <v>2723</v>
      </c>
      <c r="B30" s="15" t="s">
        <v>1190</v>
      </c>
      <c r="C30" s="11" t="s">
        <v>508</v>
      </c>
      <c r="D30" s="37"/>
      <c r="E30" s="37" t="n">
        <v>0</v>
      </c>
      <c r="F30" s="37" t="n">
        <v>0</v>
      </c>
      <c r="G30" s="37" t="n">
        <v>0</v>
      </c>
      <c r="H30" s="37" t="n">
        <v>0</v>
      </c>
      <c r="I30" s="37" t="n">
        <v>0</v>
      </c>
      <c r="J30" s="37" t="n">
        <v>0</v>
      </c>
      <c r="K30" s="37" t="n">
        <v>0</v>
      </c>
      <c r="L30" s="37" t="n">
        <v>0</v>
      </c>
      <c r="M30" s="37" t="n">
        <v>0</v>
      </c>
      <c r="N30" s="37" t="n">
        <v>0</v>
      </c>
    </row>
    <row r="31" customFormat="false" ht="15" hidden="false" customHeight="false" outlineLevel="0" collapsed="false">
      <c r="A31" s="11" t="s">
        <v>2724</v>
      </c>
      <c r="B31" s="67" t="s">
        <v>2725</v>
      </c>
      <c r="C31" s="11" t="s">
        <v>508</v>
      </c>
      <c r="D31" s="37"/>
      <c r="E31" s="37" t="n">
        <v>63831</v>
      </c>
      <c r="F31" s="37" t="n">
        <v>70082</v>
      </c>
      <c r="G31" s="37" t="n">
        <v>77382</v>
      </c>
      <c r="H31" s="37" t="n">
        <v>83478</v>
      </c>
      <c r="I31" s="37" t="n">
        <v>85233</v>
      </c>
      <c r="J31" s="37" t="n">
        <v>85995</v>
      </c>
      <c r="K31" s="37" t="n">
        <v>86775</v>
      </c>
      <c r="L31" s="37" t="n">
        <v>87574</v>
      </c>
      <c r="M31" s="37" t="n">
        <v>88393</v>
      </c>
      <c r="N31" s="37" t="n">
        <v>89232</v>
      </c>
    </row>
    <row r="32" customFormat="false" ht="15" hidden="false" customHeight="false" outlineLevel="0" collapsed="false">
      <c r="A32" s="11" t="s">
        <v>2726</v>
      </c>
      <c r="B32" s="15" t="s">
        <v>2727</v>
      </c>
      <c r="C32" s="90" t="n">
        <f aca="false">IF(cu_P=1,P_DPOmp,V_DPOmp)</f>
        <v>0</v>
      </c>
      <c r="D32" s="37"/>
      <c r="E32" s="37" t="n">
        <v>0</v>
      </c>
      <c r="F32" s="37" t="n">
        <v>0</v>
      </c>
      <c r="G32" s="37" t="n">
        <v>0</v>
      </c>
      <c r="H32" s="37" t="n">
        <v>0</v>
      </c>
      <c r="I32" s="37" t="n">
        <v>0</v>
      </c>
      <c r="J32" s="37" t="n">
        <v>0</v>
      </c>
      <c r="K32" s="37" t="n">
        <v>0</v>
      </c>
      <c r="L32" s="37" t="n">
        <v>0</v>
      </c>
      <c r="M32" s="37" t="n">
        <v>0</v>
      </c>
      <c r="N32" s="37" t="n">
        <v>0</v>
      </c>
    </row>
    <row r="33" customFormat="false" ht="15" hidden="false" customHeight="false" outlineLevel="0" collapsed="false">
      <c r="A33" s="11" t="s">
        <v>2728</v>
      </c>
      <c r="B33" s="15" t="s">
        <v>2729</v>
      </c>
      <c r="C33" s="90" t="n">
        <f aca="false">IF(cu_P=1,P_DPOot,V_DPOot)</f>
        <v>30</v>
      </c>
      <c r="D33" s="37"/>
      <c r="E33" s="37" t="n">
        <v>63831</v>
      </c>
      <c r="F33" s="37" t="n">
        <v>70082</v>
      </c>
      <c r="G33" s="37" t="n">
        <v>77382</v>
      </c>
      <c r="H33" s="37" t="n">
        <v>83478</v>
      </c>
      <c r="I33" s="37" t="n">
        <v>85233</v>
      </c>
      <c r="J33" s="37" t="n">
        <v>85995</v>
      </c>
      <c r="K33" s="37" t="n">
        <v>86775</v>
      </c>
      <c r="L33" s="37" t="n">
        <v>87574</v>
      </c>
      <c r="M33" s="37" t="n">
        <v>88393</v>
      </c>
      <c r="N33" s="37" t="n">
        <v>89232</v>
      </c>
    </row>
    <row r="34" customFormat="false" ht="15" hidden="false" customHeight="false" outlineLevel="0" collapsed="false">
      <c r="A34" s="11" t="s">
        <v>2730</v>
      </c>
      <c r="B34" s="67" t="s">
        <v>1194</v>
      </c>
      <c r="C34" s="11" t="s">
        <v>508</v>
      </c>
      <c r="D34" s="37"/>
      <c r="E34" s="37" t="n">
        <v>2336543</v>
      </c>
      <c r="F34" s="37" t="n">
        <v>2874662</v>
      </c>
      <c r="G34" s="37" t="n">
        <v>3423854</v>
      </c>
      <c r="H34" s="37" t="n">
        <v>3872159</v>
      </c>
      <c r="I34" s="37" t="n">
        <v>3898522</v>
      </c>
      <c r="J34" s="37" t="n">
        <v>3914577</v>
      </c>
      <c r="K34" s="37" t="n">
        <v>3930831</v>
      </c>
      <c r="L34" s="37" t="n">
        <v>3947287</v>
      </c>
      <c r="M34" s="37" t="n">
        <v>3963948</v>
      </c>
      <c r="N34" s="37" t="n">
        <v>3980818</v>
      </c>
    </row>
    <row r="35" customFormat="false" ht="15" hidden="false" customHeight="false" outlineLevel="0" collapsed="false">
      <c r="A35" s="11" t="s">
        <v>2731</v>
      </c>
      <c r="B35" s="15" t="s">
        <v>2732</v>
      </c>
      <c r="C35" s="11" t="s">
        <v>508</v>
      </c>
      <c r="D35" s="37" t="n">
        <v>2336543</v>
      </c>
      <c r="E35" s="37" t="n">
        <v>538119</v>
      </c>
      <c r="F35" s="37" t="n">
        <v>549192</v>
      </c>
      <c r="G35" s="37" t="n">
        <v>448306</v>
      </c>
      <c r="H35" s="37" t="n">
        <v>26363</v>
      </c>
      <c r="I35" s="37" t="n">
        <v>16055</v>
      </c>
      <c r="J35" s="37" t="n">
        <v>16254</v>
      </c>
      <c r="K35" s="37" t="n">
        <v>16456</v>
      </c>
      <c r="L35" s="37" t="n">
        <v>16661</v>
      </c>
      <c r="M35" s="37" t="n">
        <v>16870</v>
      </c>
      <c r="N35" s="37" t="n">
        <v>0</v>
      </c>
      <c r="O35" s="54" t="n">
        <f aca="false">IF(COUNT(D35:N35)=0,"",SUM(D35:N35))</f>
        <v>3980819</v>
      </c>
    </row>
    <row r="37" customFormat="false" ht="15" hidden="false" customHeight="false" outlineLevel="0" collapsed="false">
      <c r="A37" s="101" t="s">
        <v>1994</v>
      </c>
      <c r="B37" s="102"/>
      <c r="C37" s="102"/>
      <c r="D37" s="102"/>
      <c r="E37" s="102"/>
      <c r="F37" s="102"/>
      <c r="G37" s="102"/>
      <c r="H37" s="102"/>
      <c r="I37" s="102"/>
      <c r="J37" s="102"/>
      <c r="K37" s="102"/>
      <c r="L37" s="102"/>
      <c r="M37" s="102"/>
      <c r="N37" s="102"/>
      <c r="O37" s="102"/>
      <c r="P37" s="102"/>
    </row>
    <row r="38" customFormat="false" ht="24" hidden="false" customHeight="true" outlineLevel="0" collapsed="false">
      <c r="A38" s="14"/>
      <c r="B38" s="14" t="s">
        <v>1530</v>
      </c>
      <c r="C38" s="14" t="s">
        <v>355</v>
      </c>
      <c r="D38" s="14" t="s">
        <v>1857</v>
      </c>
      <c r="E38" s="14" t="s">
        <v>452</v>
      </c>
      <c r="F38" s="14" t="s">
        <v>453</v>
      </c>
      <c r="G38" s="14" t="s">
        <v>454</v>
      </c>
      <c r="H38" s="14" t="s">
        <v>455</v>
      </c>
      <c r="I38" s="14" t="s">
        <v>456</v>
      </c>
      <c r="J38" s="14" t="s">
        <v>457</v>
      </c>
      <c r="K38" s="14" t="s">
        <v>458</v>
      </c>
      <c r="L38" s="14" t="s">
        <v>459</v>
      </c>
      <c r="M38" s="14" t="s">
        <v>460</v>
      </c>
      <c r="N38" s="14" t="s">
        <v>461</v>
      </c>
      <c r="O38" s="14" t="s">
        <v>549</v>
      </c>
      <c r="P38" s="14" t="s">
        <v>1822</v>
      </c>
    </row>
    <row r="39" customFormat="false" ht="15" hidden="false" customHeight="false" outlineLevel="0" collapsed="false">
      <c r="B39" s="11" t="s">
        <v>1993</v>
      </c>
      <c r="D39" s="86" t="str">
        <f aca="false">IF(OR(n_Fecha1="",IF(cu_P=1,P_Inicio,V_Inicio)=1),"",YEAR(n_Fecha1))</f>
        <v/>
      </c>
      <c r="E39" s="86" t="str">
        <f aca="false">IF(n_Fecha1="","",YEAR(EOMONTH(n_Fecha1,IF(cu_P=1,P_Inicio,V_Inicio)-1+0)))</f>
        <v/>
      </c>
      <c r="F39" s="86" t="str">
        <f aca="false">IF(n_Fecha1="","",YEAR(EOMONTH(n_Fecha1,IF(cu_P=1,P_Inicio,V_Inicio)-1+12)))</f>
        <v/>
      </c>
      <c r="G39" s="86" t="str">
        <f aca="false">IF(n_Fecha1="","",YEAR(EOMONTH(n_Fecha1,IF(cu_P=1,P_Inicio,V_Inicio)-1+24)))</f>
        <v/>
      </c>
      <c r="H39" s="86" t="str">
        <f aca="false">IF(n_Fecha1="","",YEAR(EOMONTH(n_Fecha1,IF(cu_P=1,P_Inicio,V_Inicio)-1+36)))</f>
        <v/>
      </c>
      <c r="I39" s="86" t="str">
        <f aca="false">IF(n_Fecha1="","",YEAR(EOMONTH(n_Fecha1,IF(cu_P=1,P_Inicio,V_Inicio)-1+48)))</f>
        <v/>
      </c>
      <c r="J39" s="86" t="str">
        <f aca="false">IF(n_Fecha1="","",YEAR(EOMONTH(n_Fecha1,IF(cu_P=1,P_Inicio,V_Inicio)-1+60)))</f>
        <v/>
      </c>
      <c r="K39" s="86" t="str">
        <f aca="false">IF(n_Fecha1="","",YEAR(EOMONTH(n_Fecha1,IF(cu_P=1,P_Inicio,V_Inicio)-1+72)))</f>
        <v/>
      </c>
      <c r="L39" s="86" t="str">
        <f aca="false">IF(n_Fecha1="","",YEAR(EOMONTH(n_Fecha1,IF(cu_P=1,P_Inicio,V_Inicio)-1+84)))</f>
        <v/>
      </c>
      <c r="M39" s="86" t="str">
        <f aca="false">IF(n_Fecha1="","",YEAR(EOMONTH(n_Fecha1,IF(cu_P=1,P_Inicio,V_Inicio)-1+96)))</f>
        <v/>
      </c>
      <c r="N39" s="86" t="str">
        <f aca="false">IF(n_Fecha1="","",YEAR(EOMONTH(n_Fecha1,IF(cu_P=1,P_Inicio,V_Inicio)-1+108)))</f>
        <v/>
      </c>
    </row>
    <row r="40" customFormat="false" ht="15" hidden="false" customHeight="false" outlineLevel="0" collapsed="false">
      <c r="A40" s="11" t="s">
        <v>2711</v>
      </c>
      <c r="B40" s="67" t="s">
        <v>2712</v>
      </c>
      <c r="C40" s="11" t="s">
        <v>508</v>
      </c>
      <c r="D40" s="54" t="str">
        <f aca="false">IF(OR(NOT(ISNUMBER(D8)),NOT(ISNUMBER(D24))),"",D8-D24)</f>
        <v/>
      </c>
      <c r="E40" s="54" t="n">
        <f aca="false">IF(OR(NOT(ISNUMBER(E8)),NOT(ISNUMBER(E24))),"",E8-E24)</f>
        <v>86795.3799600382</v>
      </c>
      <c r="F40" s="54" t="n">
        <f aca="false">IF(OR(NOT(ISNUMBER(F8)),NOT(ISNUMBER(F24))),"",F8-F24)</f>
        <v>216308.63283071</v>
      </c>
      <c r="G40" s="54" t="n">
        <f aca="false">IF(OR(NOT(ISNUMBER(G8)),NOT(ISNUMBER(G24))),"",G8-G24)</f>
        <v>346141.426867588</v>
      </c>
      <c r="H40" s="54" t="n">
        <f aca="false">IF(OR(NOT(ISNUMBER(H8)),NOT(ISNUMBER(H24))),"",H8-H24)</f>
        <v>466080.958071073</v>
      </c>
      <c r="I40" s="54" t="n">
        <f aca="false">IF(OR(NOT(ISNUMBER(I8)),NOT(ISNUMBER(I24))),"",I8-I24)</f>
        <v>477139.276925346</v>
      </c>
      <c r="J40" s="54" t="n">
        <f aca="false">IF(OR(NOT(ISNUMBER(J8)),NOT(ISNUMBER(J24))),"",J8-J24)</f>
        <v>498980.938925101</v>
      </c>
      <c r="K40" s="54" t="n">
        <f aca="false">IF(OR(NOT(ISNUMBER(K8)),NOT(ISNUMBER(K24))),"",K8-K24)</f>
        <v>520992.372557375</v>
      </c>
      <c r="L40" s="54" t="n">
        <f aca="false">IF(OR(NOT(ISNUMBER(L8)),NOT(ISNUMBER(L24))),"",L8-L24)</f>
        <v>543173.449238739</v>
      </c>
      <c r="M40" s="54" t="n">
        <f aca="false">IF(OR(NOT(ISNUMBER(M8)),NOT(ISNUMBER(M24))),"",M8-M24)</f>
        <v>565524.079173943</v>
      </c>
      <c r="N40" s="54" t="n">
        <f aca="false">IF(OR(NOT(ISNUMBER(N8)),NOT(ISNUMBER(N24))),"",N8-N24)</f>
        <v>588045.211745266</v>
      </c>
      <c r="P40" s="11" t="str">
        <f aca="false">IF(COUNT(D40:N40)=0,"",IF(AND(MAX(D40:N40)&lt;2,MIN(D40:N40)&gt;-2),"Sin diferencia","El plan incluye caja (3 días) y sueldos (15 días) y valúa clientes al costo; el modelo, a precio de venta."))</f>
        <v>El plan incluye caja (3 días) y sueldos (15 días) y valúa clientes al costo; el modelo, a precio de venta.</v>
      </c>
    </row>
    <row r="41" customFormat="false" ht="15" hidden="false" customHeight="false" outlineLevel="0" collapsed="false">
      <c r="A41" s="11" t="s">
        <v>2713</v>
      </c>
      <c r="B41" s="15" t="s">
        <v>2714</v>
      </c>
      <c r="C41" s="90" t="n">
        <f aca="false">IF(cu_P=1,P_CajaMin,V_CajaMin)</f>
        <v>3</v>
      </c>
      <c r="D41" s="48" t="str">
        <f aca="false">IF(OR(NOT(ISNUMBER(D9)),NOT(ISNUMBER(D25))),"",D9-D25)</f>
        <v/>
      </c>
      <c r="E41" s="48" t="n">
        <f aca="false">IF(OR(NOT(ISNUMBER(E9)),NOT(ISNUMBER(E25))),"",E9-E25)</f>
        <v>0.013698630136787</v>
      </c>
      <c r="F41" s="48" t="n">
        <f aca="false">IF(OR(NOT(ISNUMBER(F9)),NOT(ISNUMBER(F25))),"",F9-F25)</f>
        <v>0.383561643830035</v>
      </c>
      <c r="G41" s="48" t="n">
        <f aca="false">IF(OR(NOT(ISNUMBER(G9)),NOT(ISNUMBER(G25))),"",G9-G25)</f>
        <v>-0.40547945205617</v>
      </c>
      <c r="H41" s="48" t="n">
        <f aca="false">IF(OR(NOT(ISNUMBER(H9)),NOT(ISNUMBER(H25))),"",H9-H25)</f>
        <v>0.156958904102794</v>
      </c>
      <c r="I41" s="48" t="n">
        <f aca="false">IF(OR(NOT(ISNUMBER(I9)),NOT(ISNUMBER(I25))),"",I9-I25)</f>
        <v>0.0285284931596834</v>
      </c>
      <c r="J41" s="48" t="n">
        <f aca="false">IF(OR(NOT(ISNUMBER(J9)),NOT(ISNUMBER(J25))),"",J9-J25)</f>
        <v>0.0388137780828401</v>
      </c>
      <c r="K41" s="48" t="n">
        <f aca="false">IF(OR(NOT(ISNUMBER(K9)),NOT(ISNUMBER(K25))),"",K9-K25)</f>
        <v>0.259201915861922</v>
      </c>
      <c r="L41" s="48" t="n">
        <f aca="false">IF(OR(NOT(ISNUMBER(L9)),NOT(ISNUMBER(L25))),"",L9-L25)</f>
        <v>-0.238206064997939</v>
      </c>
      <c r="M41" s="48" t="n">
        <f aca="false">IF(OR(NOT(ISNUMBER(M9)),NOT(ISNUMBER(M25))),"",M9-M25)</f>
        <v>-0.380588125641225</v>
      </c>
      <c r="N41" s="48" t="n">
        <f aca="false">IF(OR(NOT(ISNUMBER(N9)),NOT(ISNUMBER(N25))),"",N9-N25)</f>
        <v>-0.0943940068827942</v>
      </c>
      <c r="P41" s="11" t="str">
        <f aca="false">IF(COUNT(D41:N41)=0,"",IF(AND(MAX(D41:N41)&lt;2,MIN(D41:N41)&gt;-2),"Sin diferencia","Diferencia a explicar"))</f>
        <v>Sin diferencia</v>
      </c>
    </row>
    <row r="42" customFormat="false" ht="15" hidden="false" customHeight="false" outlineLevel="0" collapsed="false">
      <c r="A42" s="11" t="s">
        <v>2715</v>
      </c>
      <c r="B42" s="15" t="s">
        <v>2716</v>
      </c>
      <c r="C42" s="11" t="s">
        <v>508</v>
      </c>
      <c r="D42" s="48" t="str">
        <f aca="false">IF(OR(NOT(ISNUMBER(D10)),NOT(ISNUMBER(D26))),"",D10-D26)</f>
        <v/>
      </c>
      <c r="E42" s="48" t="n">
        <f aca="false">IF(OR(NOT(ISNUMBER(E10)),NOT(ISNUMBER(E26))),"",E10-E26)</f>
        <v>-17890</v>
      </c>
      <c r="F42" s="48" t="n">
        <f aca="false">IF(OR(NOT(ISNUMBER(F10)),NOT(ISNUMBER(F26))),"",F10-F26)</f>
        <v>-17890</v>
      </c>
      <c r="G42" s="48" t="n">
        <f aca="false">IF(OR(NOT(ISNUMBER(G10)),NOT(ISNUMBER(G26))),"",G10-G26)</f>
        <v>-18647</v>
      </c>
      <c r="H42" s="48" t="n">
        <f aca="false">IF(OR(NOT(ISNUMBER(H10)),NOT(ISNUMBER(H26))),"",H10-H26)</f>
        <v>-19239</v>
      </c>
      <c r="I42" s="48" t="n">
        <f aca="false">IF(OR(NOT(ISNUMBER(I10)),NOT(ISNUMBER(I26))),"",I10-I26)</f>
        <v>-19977</v>
      </c>
      <c r="J42" s="48" t="n">
        <f aca="false">IF(OR(NOT(ISNUMBER(J10)),NOT(ISNUMBER(J26))),"",J10-J26)</f>
        <v>-19977</v>
      </c>
      <c r="K42" s="48" t="n">
        <f aca="false">IF(OR(NOT(ISNUMBER(K10)),NOT(ISNUMBER(K26))),"",K10-K26)</f>
        <v>-19977</v>
      </c>
      <c r="L42" s="48" t="n">
        <f aca="false">IF(OR(NOT(ISNUMBER(L10)),NOT(ISNUMBER(L26))),"",L10-L26)</f>
        <v>-19977</v>
      </c>
      <c r="M42" s="48" t="n">
        <f aca="false">IF(OR(NOT(ISNUMBER(M10)),NOT(ISNUMBER(M26))),"",M10-M26)</f>
        <v>-19977</v>
      </c>
      <c r="N42" s="48" t="n">
        <f aca="false">IF(OR(NOT(ISNUMBER(N10)),NOT(ISNUMBER(N26))),"",N10-N26)</f>
        <v>-19977</v>
      </c>
      <c r="P42" s="11" t="str">
        <f aca="false">IF(COUNT(D42:N42)=0,"",IF(AND(MAX(D42:N42)&lt;2,MIN(D42:N42)&gt;-2),"Sin diferencia","El modelo no incluye sueldos y anticipos (punto abierto para decidir)."))</f>
        <v>El modelo no incluye sueldos y anticipos (punto abierto para decidir).</v>
      </c>
    </row>
    <row r="43" customFormat="false" ht="15" hidden="false" customHeight="false" outlineLevel="0" collapsed="false">
      <c r="A43" s="11" t="s">
        <v>2717</v>
      </c>
      <c r="B43" s="15" t="s">
        <v>2718</v>
      </c>
      <c r="C43" s="90" t="n">
        <f aca="false">IF(cu_P=1,P_DInv,V_DInv)</f>
        <v>120</v>
      </c>
      <c r="D43" s="48" t="str">
        <f aca="false">IF(OR(NOT(ISNUMBER(D11)),NOT(ISNUMBER(D27))),"",D11-D27)</f>
        <v/>
      </c>
      <c r="E43" s="48" t="n">
        <f aca="false">IF(OR(NOT(ISNUMBER(E11)),NOT(ISNUMBER(E27))),"",E11-E27)</f>
        <v>-33538.5616438356</v>
      </c>
      <c r="F43" s="48" t="n">
        <f aca="false">IF(OR(NOT(ISNUMBER(F11)),NOT(ISNUMBER(F27))),"",F11-F27)</f>
        <v>-42456.4794520548</v>
      </c>
      <c r="G43" s="48" t="n">
        <f aca="false">IF(OR(NOT(ISNUMBER(G11)),NOT(ISNUMBER(G27))),"",G11-G27)</f>
        <v>-48668.8668493151</v>
      </c>
      <c r="H43" s="48" t="n">
        <f aca="false">IF(OR(NOT(ISNUMBER(H11)),NOT(ISNUMBER(H27))),"",H11-H27)</f>
        <v>-52223.0833369864</v>
      </c>
      <c r="I43" s="48" t="n">
        <f aca="false">IF(OR(NOT(ISNUMBER(I11)),NOT(ISNUMBER(I27))),"",I11-I27)</f>
        <v>-49210.9526635069</v>
      </c>
      <c r="J43" s="48" t="n">
        <f aca="false">IF(OR(NOT(ISNUMBER(J11)),NOT(ISNUMBER(J27))),"",J11-J27)</f>
        <v>-46168.9106832927</v>
      </c>
      <c r="K43" s="48" t="n">
        <f aca="false">IF(OR(NOT(ISNUMBER(K11)),NOT(ISNUMBER(K27))),"",K11-K27)</f>
        <v>-43096.0682832762</v>
      </c>
      <c r="L43" s="48" t="n">
        <f aca="false">IF(OR(NOT(ISNUMBER(L11)),NOT(ISNUMBER(L27))),"",L11-L27)</f>
        <v>-39992.5274592596</v>
      </c>
      <c r="M43" s="48" t="n">
        <f aca="false">IF(OR(NOT(ISNUMBER(M11)),NOT(ISNUMBER(M27))),"",M11-M27)</f>
        <v>-36858.3812270029</v>
      </c>
      <c r="N43" s="48" t="n">
        <f aca="false">IF(OR(NOT(ISNUMBER(N11)),NOT(ISNUMBER(N27))),"",N11-N27)</f>
        <v>-33692.7135324236</v>
      </c>
      <c r="P43" s="11" t="str">
        <f aca="false">IF(COUNT(D43:N43)=0,"",IF(AND(MAX(D43:N43)&lt;2,MIN(D43:N43)&gt;-2),"Sin diferencia","Base distinta: el modelo calcula 120 días sobre materia prima e insumos del último mes; el plan, sobre el costo anual de materiales con consumibles."))</f>
        <v>Base distinta: el modelo calcula 120 días sobre materia prima e insumos del último mes; el plan, sobre el costo anual de materiales con consumibles.</v>
      </c>
    </row>
    <row r="44" customFormat="false" ht="15" hidden="false" customHeight="false" outlineLevel="0" collapsed="false">
      <c r="A44" s="11" t="s">
        <v>2719</v>
      </c>
      <c r="B44" s="15" t="s">
        <v>2720</v>
      </c>
      <c r="C44" s="90" t="n">
        <f aca="false">IF(cu_P=1,P_DPT,V_DPT)</f>
        <v>10</v>
      </c>
      <c r="D44" s="48" t="str">
        <f aca="false">IF(OR(NOT(ISNUMBER(D12)),NOT(ISNUMBER(D28))),"",D12-D28)</f>
        <v/>
      </c>
      <c r="E44" s="48" t="n">
        <f aca="false">IF(OR(NOT(ISNUMBER(E12)),NOT(ISNUMBER(E28))),"",E12-E28)</f>
        <v>-10304.6063413313</v>
      </c>
      <c r="F44" s="48" t="n">
        <f aca="false">IF(OR(NOT(ISNUMBER(F12)),NOT(ISNUMBER(F28))),"",F12-F28)</f>
        <v>-10845.2301829889</v>
      </c>
      <c r="G44" s="48" t="n">
        <f aca="false">IF(OR(NOT(ISNUMBER(G12)),NOT(ISNUMBER(G28))),"",G12-G28)</f>
        <v>-11077.487105014</v>
      </c>
      <c r="H44" s="48" t="n">
        <f aca="false">IF(OR(NOT(ISNUMBER(H12)),NOT(ISNUMBER(H28))),"",H12-H28)</f>
        <v>-11226.2369481046</v>
      </c>
      <c r="I44" s="48" t="n">
        <f aca="false">IF(OR(NOT(ISNUMBER(I12)),NOT(ISNUMBER(I28))),"",I12-I28)</f>
        <v>-11094.9115508734</v>
      </c>
      <c r="J44" s="48" t="n">
        <f aca="false">IF(OR(NOT(ISNUMBER(J12)),NOT(ISNUMBER(J28))),"",J12-J28)</f>
        <v>-11037.7029427292</v>
      </c>
      <c r="K44" s="48" t="n">
        <f aca="false">IF(OR(NOT(ISNUMBER(K12)),NOT(ISNUMBER(K28))),"",K12-K28)</f>
        <v>-10983.927235984</v>
      </c>
      <c r="L44" s="48" t="n">
        <f aca="false">IF(OR(NOT(ISNUMBER(L12)),NOT(ISNUMBER(L28))),"",L12-L28)</f>
        <v>-10933.4950594015</v>
      </c>
      <c r="M44" s="48" t="n">
        <f aca="false">IF(OR(NOT(ISNUMBER(M12)),NOT(ISNUMBER(M28))),"",M12-M28)</f>
        <v>-10886.3160740281</v>
      </c>
      <c r="N44" s="48" t="n">
        <f aca="false">IF(OR(NOT(ISNUMBER(N12)),NOT(ISNUMBER(N28))),"",N12-N28)</f>
        <v>-10842.298962035</v>
      </c>
      <c r="P44" s="11" t="str">
        <f aca="false">IF(COUNT(D44:N44)=0,"",IF(AND(MAX(D44:N44)&lt;2,MIN(D44:N44)&gt;-2),"Sin diferencia","El modelo valúa el producto terminado al costo de producción del último mes."))</f>
        <v>El modelo valúa el producto terminado al costo de producción del último mes.</v>
      </c>
    </row>
    <row r="45" customFormat="false" ht="15" hidden="false" customHeight="false" outlineLevel="0" collapsed="false">
      <c r="A45" s="11" t="s">
        <v>2721</v>
      </c>
      <c r="B45" s="15" t="s">
        <v>2722</v>
      </c>
      <c r="C45" s="90" t="n">
        <f aca="false">IF(cu_P=1,P_DSO,V_DSO)</f>
        <v>120</v>
      </c>
      <c r="D45" s="48" t="str">
        <f aca="false">IF(OR(NOT(ISNUMBER(D13)),NOT(ISNUMBER(D29))),"",D13-D29)</f>
        <v/>
      </c>
      <c r="E45" s="48" t="n">
        <f aca="false">IF(OR(NOT(ISNUMBER(E13)),NOT(ISNUMBER(E29))),"",E13-E29)</f>
        <v>188391.547945205</v>
      </c>
      <c r="F45" s="48" t="n">
        <f aca="false">IF(OR(NOT(ISNUMBER(F13)),NOT(ISNUMBER(F29))),"",F13-F29)</f>
        <v>338305.342465753</v>
      </c>
      <c r="G45" s="48" t="n">
        <f aca="false">IF(OR(NOT(ISNUMBER(G13)),NOT(ISNUMBER(G29))),"",G13-G29)</f>
        <v>486495.780821918</v>
      </c>
      <c r="H45" s="48" t="n">
        <f aca="false">IF(OR(NOT(ISNUMBER(H13)),NOT(ISNUMBER(H29))),"",H13-H29)</f>
        <v>620155.278356164</v>
      </c>
      <c r="I45" s="48" t="n">
        <f aca="false">IF(OR(NOT(ISNUMBER(I13)),NOT(ISNUMBER(I29))),"",I13-I29)</f>
        <v>629522.141139726</v>
      </c>
      <c r="J45" s="48" t="n">
        <f aca="false">IF(OR(NOT(ISNUMBER(J13)),NOT(ISNUMBER(J29))),"",J13-J29)</f>
        <v>648986.552551123</v>
      </c>
      <c r="K45" s="48" t="n">
        <f aca="false">IF(OR(NOT(ISNUMBER(K13)),NOT(ISNUMBER(K29))),"",K13-K29)</f>
        <v>668599.368076635</v>
      </c>
      <c r="L45" s="48" t="n">
        <f aca="false">IF(OR(NOT(ISNUMBER(L13)),NOT(ISNUMBER(L29))),"",L13-L29)</f>
        <v>688362.4717574</v>
      </c>
      <c r="M45" s="48" t="n">
        <f aca="false">IF(OR(NOT(ISNUMBER(M13)),NOT(ISNUMBER(M29))),"",M13-M29)</f>
        <v>708274.776474974</v>
      </c>
      <c r="N45" s="48" t="n">
        <f aca="false">IF(OR(NOT(ISNUMBER(N13)),NOT(ISNUMBER(N29))),"",N13-N29)</f>
        <v>728336.224239724</v>
      </c>
      <c r="P45" s="11" t="str">
        <f aca="false">IF(COUNT(D45:N45)=0,"",IF(AND(MAX(D45:N45)&lt;2,MIN(D45:N45)&gt;-2),"Sin diferencia","El plan valúa clientes al costo (120 días de costos); el modelo, al precio de venta (120 días de ventas)."))</f>
        <v>El plan valúa clientes al costo (120 días de costos); el modelo, al precio de venta (120 días de ventas).</v>
      </c>
    </row>
    <row r="46" customFormat="false" ht="15" hidden="false" customHeight="false" outlineLevel="0" collapsed="false">
      <c r="A46" s="11" t="s">
        <v>2723</v>
      </c>
      <c r="B46" s="15" t="s">
        <v>1190</v>
      </c>
      <c r="C46" s="11" t="s">
        <v>508</v>
      </c>
      <c r="D46" s="48" t="str">
        <f aca="false">IF(OR(NOT(ISNUMBER(D14)),NOT(ISNUMBER(D30))),"",D14-D30)</f>
        <v/>
      </c>
      <c r="E46" s="48" t="n">
        <f aca="false">IF(OR(NOT(ISNUMBER(E14)),NOT(ISNUMBER(E30))),"",E14-E30)</f>
        <v>0</v>
      </c>
      <c r="F46" s="48" t="n">
        <f aca="false">IF(OR(NOT(ISNUMBER(F14)),NOT(ISNUMBER(F30))),"",F14-F30)</f>
        <v>0</v>
      </c>
      <c r="G46" s="48" t="n">
        <f aca="false">IF(OR(NOT(ISNUMBER(G14)),NOT(ISNUMBER(G30))),"",G14-G30)</f>
        <v>0</v>
      </c>
      <c r="H46" s="48" t="n">
        <f aca="false">IF(OR(NOT(ISNUMBER(H14)),NOT(ISNUMBER(H30))),"",H14-H30)</f>
        <v>0</v>
      </c>
      <c r="I46" s="48" t="n">
        <f aca="false">IF(OR(NOT(ISNUMBER(I14)),NOT(ISNUMBER(I30))),"",I14-I30)</f>
        <v>0</v>
      </c>
      <c r="J46" s="48" t="n">
        <f aca="false">IF(OR(NOT(ISNUMBER(J14)),NOT(ISNUMBER(J30))),"",J14-J30)</f>
        <v>0</v>
      </c>
      <c r="K46" s="48" t="n">
        <f aca="false">IF(OR(NOT(ISNUMBER(K14)),NOT(ISNUMBER(K30))),"",K14-K30)</f>
        <v>0</v>
      </c>
      <c r="L46" s="48" t="n">
        <f aca="false">IF(OR(NOT(ISNUMBER(L14)),NOT(ISNUMBER(L30))),"",L14-L30)</f>
        <v>0</v>
      </c>
      <c r="M46" s="48" t="n">
        <f aca="false">IF(OR(NOT(ISNUMBER(M14)),NOT(ISNUMBER(M30))),"",M14-M30)</f>
        <v>0</v>
      </c>
      <c r="N46" s="48" t="n">
        <f aca="false">IF(OR(NOT(ISNUMBER(N14)),NOT(ISNUMBER(N30))),"",N14-N30)</f>
        <v>0</v>
      </c>
      <c r="P46" s="11" t="str">
        <f aca="false">IF(COUNT(D46:N46)=0,"",IF(AND(MAX(D46:N46)&lt;2,MIN(D46:N46)&gt;-2),"Sin diferencia","Diferencia a explicar"))</f>
        <v>Sin diferencia</v>
      </c>
    </row>
    <row r="47" customFormat="false" ht="15" hidden="false" customHeight="false" outlineLevel="0" collapsed="false">
      <c r="A47" s="11" t="s">
        <v>2724</v>
      </c>
      <c r="B47" s="67" t="s">
        <v>2725</v>
      </c>
      <c r="C47" s="11" t="s">
        <v>508</v>
      </c>
      <c r="D47" s="54" t="str">
        <f aca="false">IF(OR(NOT(ISNUMBER(D15)),NOT(ISNUMBER(D31))),"",D15-D31)</f>
        <v/>
      </c>
      <c r="E47" s="54" t="n">
        <f aca="false">IF(OR(NOT(ISNUMBER(E15)),NOT(ISNUMBER(E31))),"",E15-E31)</f>
        <v>35274.4926010081</v>
      </c>
      <c r="F47" s="54" t="n">
        <f aca="false">IF(OR(NOT(ISNUMBER(F15)),NOT(ISNUMBER(F31))),"",F15-F31)</f>
        <v>47761.3010760355</v>
      </c>
      <c r="G47" s="54" t="n">
        <f aca="false">IF(OR(NOT(ISNUMBER(G15)),NOT(ISNUMBER(G31))),"",G15-G31)</f>
        <v>59459.164480491</v>
      </c>
      <c r="H47" s="54" t="n">
        <f aca="false">IF(OR(NOT(ISNUMBER(H15)),NOT(ISNUMBER(H31))),"",H15-H31)</f>
        <v>68894.6257506632</v>
      </c>
      <c r="I47" s="54" t="n">
        <f aca="false">IF(OR(NOT(ISNUMBER(I15)),NOT(ISNUMBER(I31))),"",I15-I31)</f>
        <v>68206.3968990762</v>
      </c>
      <c r="J47" s="54" t="n">
        <f aca="false">IF(OR(NOT(ISNUMBER(J15)),NOT(ISNUMBER(J31))),"",J15-J31)</f>
        <v>68378.2024302339</v>
      </c>
      <c r="K47" s="54" t="n">
        <f aca="false">IF(OR(NOT(ISNUMBER(K15)),NOT(ISNUMBER(K31))),"",K15-K31)</f>
        <v>68553.7428377267</v>
      </c>
      <c r="L47" s="54" t="n">
        <f aca="false">IF(OR(NOT(ISNUMBER(L15)),NOT(ISNUMBER(L31))),"",L15-L31)</f>
        <v>68732.6018245728</v>
      </c>
      <c r="M47" s="54" t="n">
        <f aca="false">IF(OR(NOT(ISNUMBER(M15)),NOT(ISNUMBER(M31))),"",M15-M31)</f>
        <v>68914.3798104412</v>
      </c>
      <c r="N47" s="54" t="n">
        <f aca="false">IF(OR(NOT(ISNUMBER(N15)),NOT(ISNUMBER(N31))),"",N15-N31)</f>
        <v>69099.6944229859</v>
      </c>
      <c r="P47" s="11" t="str">
        <f aca="false">IF(COUNT(D47:N47)=0,"",IF(AND(MAX(D47:N47)&lt;2,MIN(D47:N47)&gt;-2),"Sin diferencia","Base distinta de proveedores menores (30 días): el modelo incluye otros variables, fijos, administración y tributo."))</f>
        <v>Base distinta de proveedores menores (30 días): el modelo incluye otros variables, fijos, administración y tributo.</v>
      </c>
    </row>
    <row r="48" customFormat="false" ht="15" hidden="false" customHeight="false" outlineLevel="0" collapsed="false">
      <c r="A48" s="11" t="s">
        <v>2726</v>
      </c>
      <c r="B48" s="15" t="s">
        <v>2727</v>
      </c>
      <c r="C48" s="90" t="n">
        <f aca="false">IF(cu_P=1,P_DPOmp,V_DPOmp)</f>
        <v>0</v>
      </c>
      <c r="D48" s="48" t="str">
        <f aca="false">IF(OR(NOT(ISNUMBER(D16)),NOT(ISNUMBER(D32))),"",D16-D32)</f>
        <v/>
      </c>
      <c r="E48" s="48" t="n">
        <f aca="false">IF(OR(NOT(ISNUMBER(E16)),NOT(ISNUMBER(E32))),"",E16-E32)</f>
        <v>0</v>
      </c>
      <c r="F48" s="48" t="n">
        <f aca="false">IF(OR(NOT(ISNUMBER(F16)),NOT(ISNUMBER(F32))),"",F16-F32)</f>
        <v>0</v>
      </c>
      <c r="G48" s="48" t="n">
        <f aca="false">IF(OR(NOT(ISNUMBER(G16)),NOT(ISNUMBER(G32))),"",G16-G32)</f>
        <v>0</v>
      </c>
      <c r="H48" s="48" t="n">
        <f aca="false">IF(OR(NOT(ISNUMBER(H16)),NOT(ISNUMBER(H32))),"",H16-H32)</f>
        <v>0</v>
      </c>
      <c r="I48" s="48" t="n">
        <f aca="false">IF(OR(NOT(ISNUMBER(I16)),NOT(ISNUMBER(I32))),"",I16-I32)</f>
        <v>0</v>
      </c>
      <c r="J48" s="48" t="n">
        <f aca="false">IF(OR(NOT(ISNUMBER(J16)),NOT(ISNUMBER(J32))),"",J16-J32)</f>
        <v>0</v>
      </c>
      <c r="K48" s="48" t="n">
        <f aca="false">IF(OR(NOT(ISNUMBER(K16)),NOT(ISNUMBER(K32))),"",K16-K32)</f>
        <v>0</v>
      </c>
      <c r="L48" s="48" t="n">
        <f aca="false">IF(OR(NOT(ISNUMBER(L16)),NOT(ISNUMBER(L32))),"",L16-L32)</f>
        <v>0</v>
      </c>
      <c r="M48" s="48" t="n">
        <f aca="false">IF(OR(NOT(ISNUMBER(M16)),NOT(ISNUMBER(M32))),"",M16-M32)</f>
        <v>0</v>
      </c>
      <c r="N48" s="48" t="n">
        <f aca="false">IF(OR(NOT(ISNUMBER(N16)),NOT(ISNUMBER(N32))),"",N16-N32)</f>
        <v>0</v>
      </c>
      <c r="P48" s="11" t="str">
        <f aca="false">IF(COUNT(D48:N48)=0,"",IF(AND(MAX(D48:N48)&lt;2,MIN(D48:N48)&gt;-2),"Sin diferencia","Diferencia a explicar"))</f>
        <v>Sin diferencia</v>
      </c>
    </row>
    <row r="49" customFormat="false" ht="15" hidden="false" customHeight="false" outlineLevel="0" collapsed="false">
      <c r="A49" s="11" t="s">
        <v>2728</v>
      </c>
      <c r="B49" s="15" t="s">
        <v>2729</v>
      </c>
      <c r="C49" s="90" t="n">
        <f aca="false">IF(cu_P=1,P_DPOot,V_DPOot)</f>
        <v>30</v>
      </c>
      <c r="D49" s="48" t="str">
        <f aca="false">IF(OR(NOT(ISNUMBER(D17)),NOT(ISNUMBER(D33))),"",D17-D33)</f>
        <v/>
      </c>
      <c r="E49" s="48" t="n">
        <f aca="false">IF(OR(NOT(ISNUMBER(E17)),NOT(ISNUMBER(E33))),"",E17-E33)</f>
        <v>35274.4926010081</v>
      </c>
      <c r="F49" s="48" t="n">
        <f aca="false">IF(OR(NOT(ISNUMBER(F17)),NOT(ISNUMBER(F33))),"",F17-F33)</f>
        <v>47761.3010760355</v>
      </c>
      <c r="G49" s="48" t="n">
        <f aca="false">IF(OR(NOT(ISNUMBER(G17)),NOT(ISNUMBER(G33))),"",G17-G33)</f>
        <v>59459.164480491</v>
      </c>
      <c r="H49" s="48" t="n">
        <f aca="false">IF(OR(NOT(ISNUMBER(H17)),NOT(ISNUMBER(H33))),"",H17-H33)</f>
        <v>68894.6257506632</v>
      </c>
      <c r="I49" s="48" t="n">
        <f aca="false">IF(OR(NOT(ISNUMBER(I17)),NOT(ISNUMBER(I33))),"",I17-I33)</f>
        <v>68206.3968990762</v>
      </c>
      <c r="J49" s="48" t="n">
        <f aca="false">IF(OR(NOT(ISNUMBER(J17)),NOT(ISNUMBER(J33))),"",J17-J33)</f>
        <v>68378.2024302339</v>
      </c>
      <c r="K49" s="48" t="n">
        <f aca="false">IF(OR(NOT(ISNUMBER(K17)),NOT(ISNUMBER(K33))),"",K17-K33)</f>
        <v>68553.7428377267</v>
      </c>
      <c r="L49" s="48" t="n">
        <f aca="false">IF(OR(NOT(ISNUMBER(L17)),NOT(ISNUMBER(L33))),"",L17-L33)</f>
        <v>68732.6018245728</v>
      </c>
      <c r="M49" s="48" t="n">
        <f aca="false">IF(OR(NOT(ISNUMBER(M17)),NOT(ISNUMBER(M33))),"",M17-M33)</f>
        <v>68914.3798104412</v>
      </c>
      <c r="N49" s="48" t="n">
        <f aca="false">IF(OR(NOT(ISNUMBER(N17)),NOT(ISNUMBER(N33))),"",N17-N33)</f>
        <v>69099.6944229859</v>
      </c>
      <c r="P49" s="11" t="str">
        <f aca="false">IF(COUNT(D49:N49)=0,"",IF(AND(MAX(D49:N49)&lt;2,MIN(D49:N49)&gt;-2),"Sin diferencia","Base distinta de proveedores menores (30 días): el modelo incluye otros variables, fijos, administración y tributo."))</f>
        <v>Base distinta de proveedores menores (30 días): el modelo incluye otros variables, fijos, administración y tributo.</v>
      </c>
    </row>
    <row r="50" customFormat="false" ht="15" hidden="false" customHeight="false" outlineLevel="0" collapsed="false">
      <c r="A50" s="11" t="s">
        <v>2730</v>
      </c>
      <c r="B50" s="67" t="s">
        <v>1194</v>
      </c>
      <c r="C50" s="11" t="s">
        <v>508</v>
      </c>
      <c r="D50" s="54" t="str">
        <f aca="false">IF(OR(NOT(ISNUMBER(D18)),NOT(ISNUMBER(D34))),"",D18-D34)</f>
        <v/>
      </c>
      <c r="E50" s="54" t="n">
        <f aca="false">IF(OR(NOT(ISNUMBER(E18)),NOT(ISNUMBER(E34))),"",E18-E34)</f>
        <v>51520.8873590301</v>
      </c>
      <c r="F50" s="54" t="n">
        <f aca="false">IF(OR(NOT(ISNUMBER(F18)),NOT(ISNUMBER(F34))),"",F18-F34)</f>
        <v>168547.331754674</v>
      </c>
      <c r="G50" s="54" t="n">
        <f aca="false">IF(OR(NOT(ISNUMBER(G18)),NOT(ISNUMBER(G34))),"",G18-G34)</f>
        <v>286682.262387097</v>
      </c>
      <c r="H50" s="54" t="n">
        <f aca="false">IF(OR(NOT(ISNUMBER(H18)),NOT(ISNUMBER(H34))),"",H18-H34)</f>
        <v>397186.33232041</v>
      </c>
      <c r="I50" s="54" t="n">
        <f aca="false">IF(OR(NOT(ISNUMBER(I18)),NOT(ISNUMBER(I34))),"",I18-I34)</f>
        <v>408932.88002627</v>
      </c>
      <c r="J50" s="54" t="n">
        <f aca="false">IF(OR(NOT(ISNUMBER(J18)),NOT(ISNUMBER(J34))),"",J18-J34)</f>
        <v>430602.736494866</v>
      </c>
      <c r="K50" s="54" t="n">
        <f aca="false">IF(OR(NOT(ISNUMBER(K18)),NOT(ISNUMBER(K34))),"",K18-K34)</f>
        <v>452438.629719648</v>
      </c>
      <c r="L50" s="54" t="n">
        <f aca="false">IF(OR(NOT(ISNUMBER(L18)),NOT(ISNUMBER(L34))),"",L18-L34)</f>
        <v>474440.847414166</v>
      </c>
      <c r="M50" s="54" t="n">
        <f aca="false">IF(OR(NOT(ISNUMBER(M18)),NOT(ISNUMBER(M34))),"",M18-M34)</f>
        <v>496609.699363502</v>
      </c>
      <c r="N50" s="54" t="n">
        <f aca="false">IF(OR(NOT(ISNUMBER(N18)),NOT(ISNUMBER(N34))),"",N18-N34)</f>
        <v>518944.51732228</v>
      </c>
      <c r="P50" s="11" t="str">
        <f aca="false">IF(COUNT(D50:N50)=0,"",IF(AND(MAX(D50:N50)&lt;2,MIN(D50:N50)&gt;-2),"Sin diferencia","Suma de las diferencias de clientes, stock y proveedores."))</f>
        <v>Suma de las diferencias de clientes, stock y proveedores.</v>
      </c>
    </row>
    <row r="51" customFormat="false" ht="15" hidden="false" customHeight="false" outlineLevel="0" collapsed="false">
      <c r="A51" s="11" t="s">
        <v>2731</v>
      </c>
      <c r="B51" s="15" t="s">
        <v>2732</v>
      </c>
      <c r="C51" s="11" t="s">
        <v>508</v>
      </c>
      <c r="D51" s="48" t="n">
        <f aca="false">IF(OR(NOT(ISNUMBER(D19)),NOT(ISNUMBER(D35))),"",D19-D35)</f>
        <v>-2336543</v>
      </c>
      <c r="E51" s="48" t="n">
        <f aca="false">IF(OR(NOT(ISNUMBER(E19)),NOT(ISNUMBER(E35))),"",E19-E35)</f>
        <v>1849944.88735903</v>
      </c>
      <c r="F51" s="48" t="n">
        <f aca="false">IF(OR(NOT(ISNUMBER(F19)),NOT(ISNUMBER(F35))),"",F19-F35)</f>
        <v>105953.444395644</v>
      </c>
      <c r="G51" s="48" t="n">
        <f aca="false">IF(OR(NOT(ISNUMBER(G19)),NOT(ISNUMBER(G35))),"",G19-G35)</f>
        <v>219020.930632423</v>
      </c>
      <c r="H51" s="48" t="n">
        <f aca="false">IF(OR(NOT(ISNUMBER(H19)),NOT(ISNUMBER(H35))),"",H19-H35)</f>
        <v>532446.069933313</v>
      </c>
      <c r="I51" s="48" t="n">
        <f aca="false">IF(OR(NOT(ISNUMBER(I19)),NOT(ISNUMBER(I35))),"",I19-I35)</f>
        <v>22054.5477058599</v>
      </c>
      <c r="J51" s="48" t="n">
        <f aca="false">IF(OR(NOT(ISNUMBER(J19)),NOT(ISNUMBER(J35))),"",J19-J35)</f>
        <v>21470.8564685965</v>
      </c>
      <c r="K51" s="48" t="n">
        <f aca="false">IF(OR(NOT(ISNUMBER(K19)),NOT(ISNUMBER(K35))),"",K19-K35)</f>
        <v>21633.8932247814</v>
      </c>
      <c r="L51" s="48" t="n">
        <f aca="false">IF(OR(NOT(ISNUMBER(L19)),NOT(ISNUMBER(L35))),"",L19-L35)</f>
        <v>21797.2176945182</v>
      </c>
      <c r="M51" s="48" t="n">
        <f aca="false">IF(OR(NOT(ISNUMBER(M19)),NOT(ISNUMBER(M35))),"",M19-M35)</f>
        <v>21959.851949336</v>
      </c>
      <c r="N51" s="48" t="n">
        <f aca="false">IF(OR(NOT(ISNUMBER(N19)),NOT(ISNUMBER(N35))),"",N19-N35)</f>
        <v>39204.8179587778</v>
      </c>
      <c r="O51" s="54" t="n">
        <f aca="false">IF(OR(NOT(ISNUMBER(O19)),NOT(ISNUMBER(O35))),"",O19-O35)</f>
        <v>518943.51732228</v>
      </c>
      <c r="P51" s="11" t="str">
        <f aca="false">IF(COUNT(D51:N51)=0,"",IF(AND(MAX(D51:N51)&lt;2,MIN(D51:N51)&gt;-2),"Sin diferencia","Calendario del capital de trabajo: el plan financia en el año 0 el capital del año 1; el modelo lo forma mes a mes."))</f>
        <v>Calendario del capital de trabajo: el plan financia en el año 0 el capital del año 1; el modelo lo forma mes a mes.</v>
      </c>
    </row>
    <row r="53" customFormat="false" ht="15" hidden="false" customHeight="false" outlineLevel="0" collapsed="false">
      <c r="A53" s="12" t="s">
        <v>240</v>
      </c>
      <c r="B53" s="13"/>
      <c r="C53" s="13"/>
      <c r="D53" s="13"/>
      <c r="E53" s="13"/>
      <c r="F53" s="13"/>
      <c r="G53" s="13"/>
      <c r="H53" s="13"/>
      <c r="I53" s="13"/>
      <c r="J53" s="13"/>
      <c r="K53" s="13"/>
      <c r="L53" s="13"/>
      <c r="M53" s="13"/>
      <c r="N53" s="13"/>
      <c r="O53" s="13"/>
    </row>
    <row r="54" customFormat="false" ht="15" hidden="false" customHeight="false" outlineLevel="0" collapsed="false">
      <c r="B54" s="11" t="s">
        <v>2733</v>
      </c>
    </row>
    <row r="55" customFormat="false" ht="15" hidden="false" customHeight="false" outlineLevel="0" collapsed="false">
      <c r="B55" s="11" t="s">
        <v>2734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8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2735</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17, pág. 25"</f>
        <v>Plan de referencia: Plan CIE–PERG Oct-2025 — cuadro 17, pág. 25</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2736</v>
      </c>
      <c r="B8" s="67" t="s">
        <v>2684</v>
      </c>
      <c r="C8" s="11" t="s">
        <v>508</v>
      </c>
      <c r="D8" s="54" t="n">
        <f aca="false">IF(cu_P=1,SUMIFS(Calculo!$F$71:$ES$71,Calculo!$F$16:$ES$16,1),SUMIFS(Calculo!$F$227:$ES$227,Calculo!$F$172:$ES$172,1))</f>
        <v>0</v>
      </c>
      <c r="E8" s="54" t="n">
        <f aca="false">IF(cu_P=1,SUMIFS(Calculo!$F$71:$ES$71,Calculo!$F$14:$ES$14,1),SUMIFS(Calculo!$F$227:$ES$227,Calculo!$F$170:$ES$170,1))</f>
        <v>4850000</v>
      </c>
      <c r="F8" s="54" t="n">
        <f aca="false">IF(cu_P=1,SUMIFS(Calculo!$F$71:$ES$71,Calculo!$F$14:$ES$14,2),SUMIFS(Calculo!$F$227:$ES$227,Calculo!$F$170:$ES$170,2))</f>
        <v>6181200</v>
      </c>
      <c r="G8" s="54" t="n">
        <f aca="false">IF(cu_P=1,SUMIFS(Calculo!$F$71:$ES$71,Calculo!$F$14:$ES$14,3),SUMIFS(Calculo!$F$227:$ES$227,Calculo!$F$170:$ES$170,3))</f>
        <v>7538539</v>
      </c>
      <c r="H8" s="54" t="n">
        <f aca="false">IF(cu_P=1,SUMIFS(Calculo!$F$71:$ES$71,Calculo!$F$14:$ES$14,4),SUMIFS(Calculo!$F$227:$ES$227,Calculo!$F$170:$ES$170,4))</f>
        <v>8685437.43</v>
      </c>
      <c r="I8" s="54" t="n">
        <f aca="false">IF(cu_P=1,SUMIFS(Calculo!$F$71:$ES$71,Calculo!$F$14:$ES$14,5),SUMIFS(Calculo!$F$227:$ES$227,Calculo!$F$170:$ES$170,5))</f>
        <v>8772291.8043</v>
      </c>
      <c r="J8" s="54" t="n">
        <f aca="false">IF(cu_P=1,SUMIFS(Calculo!$F$71:$ES$71,Calculo!$F$14:$ES$14,6),SUMIFS(Calculo!$F$227:$ES$227,Calculo!$F$170:$ES$170,6))</f>
        <v>8860014.722343</v>
      </c>
      <c r="K8" s="54" t="n">
        <f aca="false">IF(cu_P=1,SUMIFS(Calculo!$F$71:$ES$71,Calculo!$F$14:$ES$14,7),SUMIFS(Calculo!$F$227:$ES$227,Calculo!$F$170:$ES$170,7))</f>
        <v>8948614.86956643</v>
      </c>
      <c r="L8" s="54" t="n">
        <f aca="false">IF(cu_P=1,SUMIFS(Calculo!$F$71:$ES$71,Calculo!$F$14:$ES$14,8),SUMIFS(Calculo!$F$227:$ES$227,Calculo!$F$170:$ES$170,8))</f>
        <v>9038101.01826209</v>
      </c>
      <c r="M8" s="54" t="n">
        <f aca="false">IF(cu_P=1,SUMIFS(Calculo!$F$71:$ES$71,Calculo!$F$14:$ES$14,9),SUMIFS(Calculo!$F$227:$ES$227,Calculo!$F$170:$ES$170,9))</f>
        <v>9128482.02844472</v>
      </c>
      <c r="N8" s="54" t="n">
        <f aca="false">IF(cu_P=1,SUMIFS(Calculo!$F$71:$ES$71,Calculo!$F$14:$ES$14,10),SUMIFS(Calculo!$F$227:$ES$227,Calculo!$F$170:$ES$170,10))</f>
        <v>9219766.84872916</v>
      </c>
      <c r="O8" s="54" t="n">
        <f aca="false">SUM(D8:N8)</f>
        <v>81222447.7216454</v>
      </c>
    </row>
    <row r="9" customFormat="false" ht="15" hidden="false" customHeight="false" outlineLevel="0" collapsed="false">
      <c r="A9" s="11" t="s">
        <v>2737</v>
      </c>
      <c r="B9" s="67" t="s">
        <v>2603</v>
      </c>
      <c r="C9" s="11" t="s">
        <v>508</v>
      </c>
      <c r="D9" s="54" t="n">
        <f aca="false">IF(cu_P=1,(SUMIFS(Calculo!$F$93:$ES$93,Calculo!$F$16:$ES$16,1)+SUMIFS(Calculo!$F$94:$ES$94,Calculo!$F$16:$ES$16,1)+SUMIFS(Calculo!$F$95:$ES$95,Calculo!$F$16:$ES$16,1)+SUMIFS(Calculo!$F$96:$ES$96,Calculo!$F$16:$ES$16,1)+SUMIFS(Calculo!$F$100:$ES$100,Calculo!$F$16:$ES$16,1)+SUMIFS(Calculo!$F$98:$ES$98,Calculo!$F$16:$ES$16,1)+SUMIFS(Calculo!$F$99:$ES$99,Calculo!$F$16:$ES$16,1)-SUMIFS(Calculo!$F$101:$ES$101,Calculo!$F$16:$ES$16,1)+SUMIFS(Calculo!$F$103:$ES$103,Calculo!$F$16:$ES$16,1)+SUMIFS(Calculo!$F$105:$ES$105,Calculo!$F$16:$ES$16,1)),(SUMIFS(Calculo!$F$249:$ES$249,Calculo!$F$172:$ES$172,1)+SUMIFS(Calculo!$F$250:$ES$250,Calculo!$F$172:$ES$172,1)+SUMIFS(Calculo!$F$251:$ES$251,Calculo!$F$172:$ES$172,1)+SUMIFS(Calculo!$F$252:$ES$252,Calculo!$F$172:$ES$172,1)+SUMIFS(Calculo!$F$256:$ES$256,Calculo!$F$172:$ES$172,1)+SUMIFS(Calculo!$F$254:$ES$254,Calculo!$F$172:$ES$172,1)+SUMIFS(Calculo!$F$255:$ES$255,Calculo!$F$172:$ES$172,1)-SUMIFS(Calculo!$F$257:$ES$257,Calculo!$F$172:$ES$172,1)+SUMIFS(Calculo!$F$259:$ES$259,Calculo!$F$172:$ES$172,1)+SUMIFS(Calculo!$F$261:$ES$261,Calculo!$F$172:$ES$172,1)))</f>
        <v>0</v>
      </c>
      <c r="E9" s="54" t="n">
        <f aca="false">IF(cu_P=1,(SUMIFS(Calculo!$F$93:$ES$93,Calculo!$F$14:$ES$14,1)+SUMIFS(Calculo!$F$94:$ES$94,Calculo!$F$14:$ES$14,1)+SUMIFS(Calculo!$F$95:$ES$95,Calculo!$F$14:$ES$14,1)+SUMIFS(Calculo!$F$96:$ES$96,Calculo!$F$14:$ES$14,1)+SUMIFS(Calculo!$F$100:$ES$100,Calculo!$F$14:$ES$14,1)+SUMIFS(Calculo!$F$98:$ES$98,Calculo!$F$14:$ES$14,1)+SUMIFS(Calculo!$F$99:$ES$99,Calculo!$F$14:$ES$14,1)-SUMIFS(Calculo!$F$101:$ES$101,Calculo!$F$14:$ES$14,1)+SUMIFS(Calculo!$F$103:$ES$103,Calculo!$F$14:$ES$14,1)+SUMIFS(Calculo!$F$105:$ES$105,Calculo!$F$14:$ES$14,1)),(SUMIFS(Calculo!$F$249:$ES$249,Calculo!$F$170:$ES$170,1)+SUMIFS(Calculo!$F$250:$ES$250,Calculo!$F$170:$ES$170,1)+SUMIFS(Calculo!$F$251:$ES$251,Calculo!$F$170:$ES$170,1)+SUMIFS(Calculo!$F$252:$ES$252,Calculo!$F$170:$ES$170,1)+SUMIFS(Calculo!$F$256:$ES$256,Calculo!$F$170:$ES$170,1)+SUMIFS(Calculo!$F$254:$ES$254,Calculo!$F$170:$ES$170,1)+SUMIFS(Calculo!$F$255:$ES$255,Calculo!$F$170:$ES$170,1)-SUMIFS(Calculo!$F$257:$ES$257,Calculo!$F$170:$ES$170,1)+SUMIFS(Calculo!$F$259:$ES$259,Calculo!$F$170:$ES$170,1)+SUMIFS(Calculo!$F$261:$ES$261,Calculo!$F$170:$ES$170,1)))</f>
        <v>4682724.13572395</v>
      </c>
      <c r="F9" s="54" t="n">
        <f aca="false">IF(cu_P=1,(SUMIFS(Calculo!$F$93:$ES$93,Calculo!$F$14:$ES$14,2)+SUMIFS(Calculo!$F$94:$ES$94,Calculo!$F$14:$ES$14,2)+SUMIFS(Calculo!$F$95:$ES$95,Calculo!$F$14:$ES$14,2)+SUMIFS(Calculo!$F$96:$ES$96,Calculo!$F$14:$ES$14,2)+SUMIFS(Calculo!$F$100:$ES$100,Calculo!$F$14:$ES$14,2)+SUMIFS(Calculo!$F$98:$ES$98,Calculo!$F$14:$ES$14,2)+SUMIFS(Calculo!$F$99:$ES$99,Calculo!$F$14:$ES$14,2)-SUMIFS(Calculo!$F$101:$ES$101,Calculo!$F$14:$ES$14,2)+SUMIFS(Calculo!$F$103:$ES$103,Calculo!$F$14:$ES$14,2)+SUMIFS(Calculo!$F$105:$ES$105,Calculo!$F$14:$ES$14,2)),(SUMIFS(Calculo!$F$249:$ES$249,Calculo!$F$170:$ES$170,2)+SUMIFS(Calculo!$F$250:$ES$250,Calculo!$F$170:$ES$170,2)+SUMIFS(Calculo!$F$251:$ES$251,Calculo!$F$170:$ES$170,2)+SUMIFS(Calculo!$F$252:$ES$252,Calculo!$F$170:$ES$170,2)+SUMIFS(Calculo!$F$256:$ES$256,Calculo!$F$170:$ES$170,2)+SUMIFS(Calculo!$F$254:$ES$254,Calculo!$F$170:$ES$170,2)+SUMIFS(Calculo!$F$255:$ES$255,Calculo!$F$170:$ES$170,2)-SUMIFS(Calculo!$F$257:$ES$257,Calculo!$F$170:$ES$170,2)+SUMIFS(Calculo!$F$259:$ES$259,Calculo!$F$170:$ES$170,2)+SUMIFS(Calculo!$F$261:$ES$261,Calculo!$F$170:$ES$170,2)))</f>
        <v>5523109.62719388</v>
      </c>
      <c r="G9" s="54" t="n">
        <f aca="false">IF(cu_P=1,(SUMIFS(Calculo!$F$93:$ES$93,Calculo!$F$14:$ES$14,3)+SUMIFS(Calculo!$F$94:$ES$94,Calculo!$F$14:$ES$14,3)+SUMIFS(Calculo!$F$95:$ES$95,Calculo!$F$14:$ES$14,3)+SUMIFS(Calculo!$F$96:$ES$96,Calculo!$F$14:$ES$14,3)+SUMIFS(Calculo!$F$100:$ES$100,Calculo!$F$14:$ES$14,3)+SUMIFS(Calculo!$F$98:$ES$98,Calculo!$F$14:$ES$14,3)+SUMIFS(Calculo!$F$99:$ES$99,Calculo!$F$14:$ES$14,3)-SUMIFS(Calculo!$F$101:$ES$101,Calculo!$F$14:$ES$14,3)+SUMIFS(Calculo!$F$103:$ES$103,Calculo!$F$14:$ES$14,3)+SUMIFS(Calculo!$F$105:$ES$105,Calculo!$F$14:$ES$14,3)),(SUMIFS(Calculo!$F$249:$ES$249,Calculo!$F$170:$ES$170,3)+SUMIFS(Calculo!$F$250:$ES$250,Calculo!$F$170:$ES$170,3)+SUMIFS(Calculo!$F$251:$ES$251,Calculo!$F$170:$ES$170,3)+SUMIFS(Calculo!$F$252:$ES$252,Calculo!$F$170:$ES$170,3)+SUMIFS(Calculo!$F$256:$ES$256,Calculo!$F$170:$ES$170,3)+SUMIFS(Calculo!$F$254:$ES$254,Calculo!$F$170:$ES$170,3)+SUMIFS(Calculo!$F$255:$ES$255,Calculo!$F$170:$ES$170,3)-SUMIFS(Calculo!$F$257:$ES$257,Calculo!$F$170:$ES$170,3)+SUMIFS(Calculo!$F$259:$ES$259,Calculo!$F$170:$ES$170,3)+SUMIFS(Calculo!$F$261:$ES$261,Calculo!$F$170:$ES$170,3)))</f>
        <v>6384526.81155967</v>
      </c>
      <c r="H9" s="54" t="n">
        <f aca="false">IF(cu_P=1,(SUMIFS(Calculo!$F$93:$ES$93,Calculo!$F$14:$ES$14,4)+SUMIFS(Calculo!$F$94:$ES$94,Calculo!$F$14:$ES$14,4)+SUMIFS(Calculo!$F$95:$ES$95,Calculo!$F$14:$ES$14,4)+SUMIFS(Calculo!$F$96:$ES$96,Calculo!$F$14:$ES$14,4)+SUMIFS(Calculo!$F$100:$ES$100,Calculo!$F$14:$ES$14,4)+SUMIFS(Calculo!$F$98:$ES$98,Calculo!$F$14:$ES$14,4)+SUMIFS(Calculo!$F$99:$ES$99,Calculo!$F$14:$ES$14,4)-SUMIFS(Calculo!$F$101:$ES$101,Calculo!$F$14:$ES$14,4)+SUMIFS(Calculo!$F$103:$ES$103,Calculo!$F$14:$ES$14,4)+SUMIFS(Calculo!$F$105:$ES$105,Calculo!$F$14:$ES$14,4)),(SUMIFS(Calculo!$F$249:$ES$249,Calculo!$F$170:$ES$170,4)+SUMIFS(Calculo!$F$250:$ES$250,Calculo!$F$170:$ES$170,4)+SUMIFS(Calculo!$F$251:$ES$251,Calculo!$F$170:$ES$170,4)+SUMIFS(Calculo!$F$252:$ES$252,Calculo!$F$170:$ES$170,4)+SUMIFS(Calculo!$F$256:$ES$256,Calculo!$F$170:$ES$170,4)+SUMIFS(Calculo!$F$254:$ES$254,Calculo!$F$170:$ES$170,4)+SUMIFS(Calculo!$F$255:$ES$255,Calculo!$F$170:$ES$170,4)-SUMIFS(Calculo!$F$257:$ES$257,Calculo!$F$170:$ES$170,4)+SUMIFS(Calculo!$F$259:$ES$259,Calculo!$F$170:$ES$170,4)+SUMIFS(Calculo!$F$261:$ES$261,Calculo!$F$170:$ES$170,4)))</f>
        <v>7075530.67323815</v>
      </c>
      <c r="I9" s="54" t="n">
        <f aca="false">IF(cu_P=1,(SUMIFS(Calculo!$F$93:$ES$93,Calculo!$F$14:$ES$14,5)+SUMIFS(Calculo!$F$94:$ES$94,Calculo!$F$14:$ES$14,5)+SUMIFS(Calculo!$F$95:$ES$95,Calculo!$F$14:$ES$14,5)+SUMIFS(Calculo!$F$96:$ES$96,Calculo!$F$14:$ES$14,5)+SUMIFS(Calculo!$F$100:$ES$100,Calculo!$F$14:$ES$14,5)+SUMIFS(Calculo!$F$98:$ES$98,Calculo!$F$14:$ES$14,5)+SUMIFS(Calculo!$F$99:$ES$99,Calculo!$F$14:$ES$14,5)-SUMIFS(Calculo!$F$101:$ES$101,Calculo!$F$14:$ES$14,5)+SUMIFS(Calculo!$F$103:$ES$103,Calculo!$F$14:$ES$14,5)+SUMIFS(Calculo!$F$105:$ES$105,Calculo!$F$14:$ES$14,5)),(SUMIFS(Calculo!$F$249:$ES$249,Calculo!$F$170:$ES$170,5)+SUMIFS(Calculo!$F$250:$ES$250,Calculo!$F$170:$ES$170,5)+SUMIFS(Calculo!$F$251:$ES$251,Calculo!$F$170:$ES$170,5)+SUMIFS(Calculo!$F$252:$ES$252,Calculo!$F$170:$ES$170,5)+SUMIFS(Calculo!$F$256:$ES$256,Calculo!$F$170:$ES$170,5)+SUMIFS(Calculo!$F$254:$ES$254,Calculo!$F$170:$ES$170,5)+SUMIFS(Calculo!$F$255:$ES$255,Calculo!$F$170:$ES$170,5)-SUMIFS(Calculo!$F$257:$ES$257,Calculo!$F$170:$ES$170,5)+SUMIFS(Calculo!$F$259:$ES$259,Calculo!$F$170:$ES$170,5)+SUMIFS(Calculo!$F$261:$ES$261,Calculo!$F$170:$ES$170,5)))</f>
        <v>7078524.01071787</v>
      </c>
      <c r="J9" s="54" t="n">
        <f aca="false">IF(cu_P=1,(SUMIFS(Calculo!$F$93:$ES$93,Calculo!$F$14:$ES$14,6)+SUMIFS(Calculo!$F$94:$ES$94,Calculo!$F$14:$ES$14,6)+SUMIFS(Calculo!$F$95:$ES$95,Calculo!$F$14:$ES$14,6)+SUMIFS(Calculo!$F$96:$ES$96,Calculo!$F$14:$ES$14,6)+SUMIFS(Calculo!$F$100:$ES$100,Calculo!$F$14:$ES$14,6)+SUMIFS(Calculo!$F$98:$ES$98,Calculo!$F$14:$ES$14,6)+SUMIFS(Calculo!$F$99:$ES$99,Calculo!$F$14:$ES$14,6)-SUMIFS(Calculo!$F$101:$ES$101,Calculo!$F$14:$ES$14,6)+SUMIFS(Calculo!$F$103:$ES$103,Calculo!$F$14:$ES$14,6)+SUMIFS(Calculo!$F$105:$ES$105,Calculo!$F$14:$ES$14,6)),(SUMIFS(Calculo!$F$249:$ES$249,Calculo!$F$170:$ES$170,6)+SUMIFS(Calculo!$F$250:$ES$250,Calculo!$F$170:$ES$170,6)+SUMIFS(Calculo!$F$251:$ES$251,Calculo!$F$170:$ES$170,6)+SUMIFS(Calculo!$F$252:$ES$252,Calculo!$F$170:$ES$170,6)+SUMIFS(Calculo!$F$256:$ES$256,Calculo!$F$170:$ES$170,6)+SUMIFS(Calculo!$F$254:$ES$254,Calculo!$F$170:$ES$170,6)+SUMIFS(Calculo!$F$255:$ES$255,Calculo!$F$170:$ES$170,6)-SUMIFS(Calculo!$F$257:$ES$257,Calculo!$F$170:$ES$170,6)+SUMIFS(Calculo!$F$259:$ES$259,Calculo!$F$170:$ES$170,6)+SUMIFS(Calculo!$F$261:$ES$261,Calculo!$F$170:$ES$170,6)))</f>
        <v>7065826.02976909</v>
      </c>
      <c r="K9" s="54" t="n">
        <f aca="false">IF(cu_P=1,(SUMIFS(Calculo!$F$93:$ES$93,Calculo!$F$14:$ES$14,7)+SUMIFS(Calculo!$F$94:$ES$94,Calculo!$F$14:$ES$14,7)+SUMIFS(Calculo!$F$95:$ES$95,Calculo!$F$14:$ES$14,7)+SUMIFS(Calculo!$F$96:$ES$96,Calculo!$F$14:$ES$14,7)+SUMIFS(Calculo!$F$100:$ES$100,Calculo!$F$14:$ES$14,7)+SUMIFS(Calculo!$F$98:$ES$98,Calculo!$F$14:$ES$14,7)+SUMIFS(Calculo!$F$99:$ES$99,Calculo!$F$14:$ES$14,7)-SUMIFS(Calculo!$F$101:$ES$101,Calculo!$F$14:$ES$14,7)+SUMIFS(Calculo!$F$103:$ES$103,Calculo!$F$14:$ES$14,7)+SUMIFS(Calculo!$F$105:$ES$105,Calculo!$F$14:$ES$14,7)),(SUMIFS(Calculo!$F$249:$ES$249,Calculo!$F$170:$ES$170,7)+SUMIFS(Calculo!$F$250:$ES$250,Calculo!$F$170:$ES$170,7)+SUMIFS(Calculo!$F$251:$ES$251,Calculo!$F$170:$ES$170,7)+SUMIFS(Calculo!$F$252:$ES$252,Calculo!$F$170:$ES$170,7)+SUMIFS(Calculo!$F$256:$ES$256,Calculo!$F$170:$ES$170,7)+SUMIFS(Calculo!$F$254:$ES$254,Calculo!$F$170:$ES$170,7)+SUMIFS(Calculo!$F$255:$ES$255,Calculo!$F$170:$ES$170,7)-SUMIFS(Calculo!$F$257:$ES$257,Calculo!$F$170:$ES$170,7)+SUMIFS(Calculo!$F$259:$ES$259,Calculo!$F$170:$ES$170,7)+SUMIFS(Calculo!$F$261:$ES$261,Calculo!$F$170:$ES$170,7)))</f>
        <v>7105039.20869363</v>
      </c>
      <c r="L9" s="54" t="n">
        <f aca="false">IF(cu_P=1,(SUMIFS(Calculo!$F$93:$ES$93,Calculo!$F$14:$ES$14,8)+SUMIFS(Calculo!$F$94:$ES$94,Calculo!$F$14:$ES$14,8)+SUMIFS(Calculo!$F$95:$ES$95,Calculo!$F$14:$ES$14,8)+SUMIFS(Calculo!$F$96:$ES$96,Calculo!$F$14:$ES$14,8)+SUMIFS(Calculo!$F$100:$ES$100,Calculo!$F$14:$ES$14,8)+SUMIFS(Calculo!$F$98:$ES$98,Calculo!$F$14:$ES$14,8)+SUMIFS(Calculo!$F$99:$ES$99,Calculo!$F$14:$ES$14,8)-SUMIFS(Calculo!$F$101:$ES$101,Calculo!$F$14:$ES$14,8)+SUMIFS(Calculo!$F$103:$ES$103,Calculo!$F$14:$ES$14,8)+SUMIFS(Calculo!$F$105:$ES$105,Calculo!$F$14:$ES$14,8)),(SUMIFS(Calculo!$F$249:$ES$249,Calculo!$F$170:$ES$170,8)+SUMIFS(Calculo!$F$250:$ES$250,Calculo!$F$170:$ES$170,8)+SUMIFS(Calculo!$F$251:$ES$251,Calculo!$F$170:$ES$170,8)+SUMIFS(Calculo!$F$252:$ES$252,Calculo!$F$170:$ES$170,8)+SUMIFS(Calculo!$F$256:$ES$256,Calculo!$F$170:$ES$170,8)+SUMIFS(Calculo!$F$254:$ES$254,Calculo!$F$170:$ES$170,8)+SUMIFS(Calculo!$F$255:$ES$255,Calculo!$F$170:$ES$170,8)-SUMIFS(Calculo!$F$257:$ES$257,Calculo!$F$170:$ES$170,8)+SUMIFS(Calculo!$F$259:$ES$259,Calculo!$F$170:$ES$170,8)+SUMIFS(Calculo!$F$261:$ES$261,Calculo!$F$170:$ES$170,8)))</f>
        <v>7144799.80470664</v>
      </c>
      <c r="M9" s="54" t="n">
        <f aca="false">IF(cu_P=1,(SUMIFS(Calculo!$F$93:$ES$93,Calculo!$F$14:$ES$14,9)+SUMIFS(Calculo!$F$94:$ES$94,Calculo!$F$14:$ES$14,9)+SUMIFS(Calculo!$F$95:$ES$95,Calculo!$F$14:$ES$14,9)+SUMIFS(Calculo!$F$96:$ES$96,Calculo!$F$14:$ES$14,9)+SUMIFS(Calculo!$F$100:$ES$100,Calculo!$F$14:$ES$14,9)+SUMIFS(Calculo!$F$98:$ES$98,Calculo!$F$14:$ES$14,9)+SUMIFS(Calculo!$F$99:$ES$99,Calculo!$F$14:$ES$14,9)-SUMIFS(Calculo!$F$101:$ES$101,Calculo!$F$14:$ES$14,9)+SUMIFS(Calculo!$F$103:$ES$103,Calculo!$F$14:$ES$14,9)+SUMIFS(Calculo!$F$105:$ES$105,Calculo!$F$14:$ES$14,9)),(SUMIFS(Calculo!$F$249:$ES$249,Calculo!$F$170:$ES$170,9)+SUMIFS(Calculo!$F$250:$ES$250,Calculo!$F$170:$ES$170,9)+SUMIFS(Calculo!$F$251:$ES$251,Calculo!$F$170:$ES$170,9)+SUMIFS(Calculo!$F$252:$ES$252,Calculo!$F$170:$ES$170,9)+SUMIFS(Calculo!$F$256:$ES$256,Calculo!$F$170:$ES$170,9)+SUMIFS(Calculo!$F$254:$ES$254,Calculo!$F$170:$ES$170,9)+SUMIFS(Calculo!$F$255:$ES$255,Calculo!$F$170:$ES$170,9)-SUMIFS(Calculo!$F$257:$ES$257,Calculo!$F$170:$ES$170,9)+SUMIFS(Calculo!$F$259:$ES$259,Calculo!$F$170:$ES$170,9)+SUMIFS(Calculo!$F$261:$ES$261,Calculo!$F$170:$ES$170,9)))</f>
        <v>7185117.88165782</v>
      </c>
      <c r="N9" s="54" t="n">
        <f aca="false">IF(cu_P=1,(SUMIFS(Calculo!$F$93:$ES$93,Calculo!$F$14:$ES$14,10)+SUMIFS(Calculo!$F$94:$ES$94,Calculo!$F$14:$ES$14,10)+SUMIFS(Calculo!$F$95:$ES$95,Calculo!$F$14:$ES$14,10)+SUMIFS(Calculo!$F$96:$ES$96,Calculo!$F$14:$ES$14,10)+SUMIFS(Calculo!$F$100:$ES$100,Calculo!$F$14:$ES$14,10)+SUMIFS(Calculo!$F$98:$ES$98,Calculo!$F$14:$ES$14,10)+SUMIFS(Calculo!$F$99:$ES$99,Calculo!$F$14:$ES$14,10)-SUMIFS(Calculo!$F$101:$ES$101,Calculo!$F$14:$ES$14,10)+SUMIFS(Calculo!$F$103:$ES$103,Calculo!$F$14:$ES$14,10)+SUMIFS(Calculo!$F$105:$ES$105,Calculo!$F$14:$ES$14,10)),(SUMIFS(Calculo!$F$249:$ES$249,Calculo!$F$170:$ES$170,10)+SUMIFS(Calculo!$F$250:$ES$250,Calculo!$F$170:$ES$170,10)+SUMIFS(Calculo!$F$251:$ES$251,Calculo!$F$170:$ES$170,10)+SUMIFS(Calculo!$F$252:$ES$252,Calculo!$F$170:$ES$170,10)+SUMIFS(Calculo!$F$256:$ES$256,Calculo!$F$170:$ES$170,10)+SUMIFS(Calculo!$F$254:$ES$254,Calculo!$F$170:$ES$170,10)+SUMIFS(Calculo!$F$255:$ES$255,Calculo!$F$170:$ES$170,10)-SUMIFS(Calculo!$F$257:$ES$257,Calculo!$F$170:$ES$170,10)+SUMIFS(Calculo!$F$259:$ES$259,Calculo!$F$170:$ES$170,10)+SUMIFS(Calculo!$F$261:$ES$261,Calculo!$F$170:$ES$170,10)))</f>
        <v>7226003.74034813</v>
      </c>
      <c r="O9" s="54" t="n">
        <f aca="false">SUM(D9:N9)</f>
        <v>66471201.9236088</v>
      </c>
    </row>
    <row r="10" customFormat="false" ht="15" hidden="false" customHeight="false" outlineLevel="0" collapsed="false">
      <c r="A10" s="11" t="s">
        <v>2738</v>
      </c>
      <c r="B10" s="67" t="s">
        <v>2739</v>
      </c>
      <c r="C10" s="11" t="s">
        <v>508</v>
      </c>
      <c r="D10" s="54" t="n">
        <f aca="false">IFERROR(IF(COUNT(D11,D12,D13,D14,D15,D16)=0,"",N(D11)+N(D12)+N(D13)+N(D14)+N(D15)+N(D16)),"")</f>
        <v>0</v>
      </c>
      <c r="E10" s="54" t="n">
        <f aca="false">IFERROR(IF(COUNT(E11,E12,E13,E14,E15,E16)=0,"",N(E11)+N(E12)+N(E13)+N(E14)+N(E15)+N(E16)),"")</f>
        <v>3259963.98155763</v>
      </c>
      <c r="F10" s="54" t="n">
        <f aca="false">IFERROR(IF(COUNT(F11,F12,F13,F14,F15,F16)=0,"",N(F11)+N(F12)+N(F13)+N(F14)+N(F15)+N(F16)),"")</f>
        <v>4128182.55053713</v>
      </c>
      <c r="G10" s="54" t="n">
        <f aca="false">IFERROR(IF(COUNT(G11,G12,G13,G14,G15,G16)=0,"",N(G11)+N(G12)+N(G13)+N(G14)+N(G15)+N(G16)),"")</f>
        <v>5007514.504742</v>
      </c>
      <c r="H10" s="54" t="n">
        <f aca="false">IFERROR(IF(COUNT(H11,H12,H13,H14,H15,H16)=0,"",N(H11)+N(H12)+N(H13)+N(H14)+N(H15)+N(H16)),"")</f>
        <v>5727881.52502011</v>
      </c>
      <c r="I10" s="54" t="n">
        <f aca="false">IFERROR(IF(COUNT(I11,I12,I13,I14,I15,I16)=0,"",N(I11)+N(I12)+N(I13)+N(I14)+N(I15)+N(I16)),"")</f>
        <v>5760279.96799684</v>
      </c>
      <c r="J10" s="54" t="n">
        <f aca="false">IFERROR(IF(COUNT(J11,J12,J13,J14,J15,J16)=0,"",N(J11)+N(J12)+N(J13)+N(J14)+N(J15)+N(J16)),"")</f>
        <v>5791108.6726164</v>
      </c>
      <c r="K10" s="54" t="n">
        <f aca="false">IFERROR(IF(COUNT(K11,K12,K13,K14,K15,K16)=0,"",N(K11)+N(K12)+N(K13)+N(K14)+N(K15)+N(K16)),"")</f>
        <v>5822245.98585155</v>
      </c>
      <c r="L10" s="54" t="n">
        <f aca="false">IFERROR(IF(COUNT(L11,L12,L13,L14,L15,L16)=0,"",N(L11)+N(L12)+N(L13)+N(L14)+N(L15)+N(L16)),"")</f>
        <v>5853695.0002198</v>
      </c>
      <c r="M10" s="54" t="n">
        <f aca="false">IFERROR(IF(COUNT(M11,M12,M13,M14,M15,M16)=0,"",N(M11)+N(M12)+N(M13)+N(M14)+N(M15)+N(M16)),"")</f>
        <v>5885458.83929252</v>
      </c>
      <c r="N10" s="54" t="n">
        <f aca="false">IFERROR(IF(COUNT(N11,N12,N13,N14,N15,N16)=0,"",N(N11)+N(N12)+N(N13)+N(N14)+N(N15)+N(N16)),"")</f>
        <v>5917540.65800797</v>
      </c>
      <c r="O10" s="54" t="n">
        <f aca="false">SUM(D10:N10)</f>
        <v>53153871.6858419</v>
      </c>
    </row>
    <row r="11" customFormat="false" ht="15" hidden="false" customHeight="false" outlineLevel="0" collapsed="false">
      <c r="A11" s="11" t="s">
        <v>2740</v>
      </c>
      <c r="B11" s="15" t="s">
        <v>2607</v>
      </c>
      <c r="C11" s="11" t="s">
        <v>508</v>
      </c>
      <c r="D11" s="48" t="n">
        <f aca="false">IF(cu_P=1,(SUMIFS(Calculo!$F$73:$ES$73,Calculo!$F$16:$ES$16,1)+SUMIFS(Calculo!$F$74:$ES$74,Calculo!$F$16:$ES$16,1)+SUMIFS(Calculo!$F$75:$ES$75,Calculo!$F$16:$ES$16,1)),(SUMIFS(Calculo!$F$229:$ES$229,Calculo!$F$172:$ES$172,1)+SUMIFS(Calculo!$F$230:$ES$230,Calculo!$F$172:$ES$172,1)+SUMIFS(Calculo!$F$231:$ES$231,Calculo!$F$172:$ES$172,1)))</f>
        <v>0</v>
      </c>
      <c r="E11" s="48" t="n">
        <f aca="false">IF(cu_P=1,(SUMIFS(Calculo!$F$73:$ES$73,Calculo!$F$14:$ES$14,1)+SUMIFS(Calculo!$F$74:$ES$74,Calculo!$F$14:$ES$14,1)+SUMIFS(Calculo!$F$75:$ES$75,Calculo!$F$14:$ES$14,1)),(SUMIFS(Calculo!$F$229:$ES$229,Calculo!$F$170:$ES$170,1)+SUMIFS(Calculo!$F$230:$ES$230,Calculo!$F$170:$ES$170,1)+SUMIFS(Calculo!$F$231:$ES$231,Calculo!$F$170:$ES$170,1)))</f>
        <v>2916081.996</v>
      </c>
      <c r="F11" s="48" t="n">
        <f aca="false">IF(cu_P=1,(SUMIFS(Calculo!$F$73:$ES$73,Calculo!$F$14:$ES$14,2)+SUMIFS(Calculo!$F$74:$ES$74,Calculo!$F$14:$ES$14,2)+SUMIFS(Calculo!$F$75:$ES$75,Calculo!$F$14:$ES$14,2)),(SUMIFS(Calculo!$F$229:$ES$229,Calculo!$F$170:$ES$170,2)+SUMIFS(Calculo!$F$230:$ES$230,Calculo!$F$170:$ES$170,2)+SUMIFS(Calculo!$F$231:$ES$231,Calculo!$F$170:$ES$170,2)))</f>
        <v>3701646.495</v>
      </c>
      <c r="G11" s="48" t="n">
        <f aca="false">IF(cu_P=1,(SUMIFS(Calculo!$F$73:$ES$73,Calculo!$F$14:$ES$14,3)+SUMIFS(Calculo!$F$74:$ES$74,Calculo!$F$14:$ES$14,3)+SUMIFS(Calculo!$F$75:$ES$75,Calculo!$F$14:$ES$14,3)),(SUMIFS(Calculo!$F$229:$ES$229,Calculo!$F$170:$ES$170,3)+SUMIFS(Calculo!$F$230:$ES$230,Calculo!$F$170:$ES$170,3)+SUMIFS(Calculo!$F$231:$ES$231,Calculo!$F$170:$ES$170,3)))</f>
        <v>4495364.274</v>
      </c>
      <c r="H11" s="48" t="n">
        <f aca="false">IF(cu_P=1,(SUMIFS(Calculo!$F$73:$ES$73,Calculo!$F$14:$ES$14,4)+SUMIFS(Calculo!$F$74:$ES$74,Calculo!$F$14:$ES$14,4)+SUMIFS(Calculo!$F$75:$ES$75,Calculo!$F$14:$ES$14,4)),(SUMIFS(Calculo!$F$229:$ES$229,Calculo!$F$170:$ES$170,4)+SUMIFS(Calculo!$F$230:$ES$230,Calculo!$F$170:$ES$170,4)+SUMIFS(Calculo!$F$231:$ES$231,Calculo!$F$170:$ES$170,4)))</f>
        <v>5145201.57285</v>
      </c>
      <c r="I11" s="48" t="n">
        <f aca="false">IF(cu_P=1,(SUMIFS(Calculo!$F$73:$ES$73,Calculo!$F$14:$ES$14,5)+SUMIFS(Calculo!$F$74:$ES$74,Calculo!$F$14:$ES$14,5)+SUMIFS(Calculo!$F$75:$ES$75,Calculo!$F$14:$ES$14,5)),(SUMIFS(Calculo!$F$229:$ES$229,Calculo!$F$170:$ES$170,5)+SUMIFS(Calculo!$F$230:$ES$230,Calculo!$F$170:$ES$170,5)+SUMIFS(Calculo!$F$231:$ES$231,Calculo!$F$170:$ES$170,5)))</f>
        <v>5172245.4286485</v>
      </c>
      <c r="J11" s="48" t="n">
        <f aca="false">IF(cu_P=1,(SUMIFS(Calculo!$F$73:$ES$73,Calculo!$F$14:$ES$14,6)+SUMIFS(Calculo!$F$74:$ES$74,Calculo!$F$14:$ES$14,6)+SUMIFS(Calculo!$F$75:$ES$75,Calculo!$F$14:$ES$14,6)),(SUMIFS(Calculo!$F$229:$ES$229,Calculo!$F$170:$ES$170,6)+SUMIFS(Calculo!$F$230:$ES$230,Calculo!$F$170:$ES$170,6)+SUMIFS(Calculo!$F$231:$ES$231,Calculo!$F$170:$ES$170,6)))</f>
        <v>5199559.72300499</v>
      </c>
      <c r="K11" s="48" t="n">
        <f aca="false">IF(cu_P=1,(SUMIFS(Calculo!$F$73:$ES$73,Calculo!$F$14:$ES$14,7)+SUMIFS(Calculo!$F$74:$ES$74,Calculo!$F$14:$ES$14,7)+SUMIFS(Calculo!$F$75:$ES$75,Calculo!$F$14:$ES$14,7)),(SUMIFS(Calculo!$F$229:$ES$229,Calculo!$F$170:$ES$170,7)+SUMIFS(Calculo!$F$230:$ES$230,Calculo!$F$170:$ES$170,7)+SUMIFS(Calculo!$F$231:$ES$231,Calculo!$F$170:$ES$170,7)))</f>
        <v>5227147.16030504</v>
      </c>
      <c r="L11" s="48" t="n">
        <f aca="false">IF(cu_P=1,(SUMIFS(Calculo!$F$73:$ES$73,Calculo!$F$14:$ES$14,8)+SUMIFS(Calculo!$F$74:$ES$74,Calculo!$F$14:$ES$14,8)+SUMIFS(Calculo!$F$75:$ES$75,Calculo!$F$14:$ES$14,8)),(SUMIFS(Calculo!$F$229:$ES$229,Calculo!$F$170:$ES$170,8)+SUMIFS(Calculo!$F$230:$ES$230,Calculo!$F$170:$ES$170,8)+SUMIFS(Calculo!$F$231:$ES$231,Calculo!$F$170:$ES$170,8)))</f>
        <v>5255010.47197808</v>
      </c>
      <c r="M11" s="48" t="n">
        <f aca="false">IF(cu_P=1,(SUMIFS(Calculo!$F$73:$ES$73,Calculo!$F$14:$ES$14,9)+SUMIFS(Calculo!$F$74:$ES$74,Calculo!$F$14:$ES$14,9)+SUMIFS(Calculo!$F$75:$ES$75,Calculo!$F$14:$ES$14,9)),(SUMIFS(Calculo!$F$229:$ES$229,Calculo!$F$170:$ES$170,9)+SUMIFS(Calculo!$F$230:$ES$230,Calculo!$F$170:$ES$170,9)+SUMIFS(Calculo!$F$231:$ES$231,Calculo!$F$170:$ES$170,9)))</f>
        <v>5283152.41676787</v>
      </c>
      <c r="N11" s="48" t="n">
        <f aca="false">IF(cu_P=1,(SUMIFS(Calculo!$F$73:$ES$73,Calculo!$F$14:$ES$14,10)+SUMIFS(Calculo!$F$74:$ES$74,Calculo!$F$14:$ES$14,10)+SUMIFS(Calculo!$F$75:$ES$75,Calculo!$F$14:$ES$14,10)),(SUMIFS(Calculo!$F$229:$ES$229,Calculo!$F$170:$ES$170,10)+SUMIFS(Calculo!$F$230:$ES$230,Calculo!$F$170:$ES$170,10)+SUMIFS(Calculo!$F$231:$ES$231,Calculo!$F$170:$ES$170,10)))</f>
        <v>5311575.78100555</v>
      </c>
      <c r="O11" s="54" t="n">
        <f aca="false">SUM(D11:N11)</f>
        <v>47706985.31956</v>
      </c>
    </row>
    <row r="12" customFormat="false" ht="15" hidden="false" customHeight="false" outlineLevel="0" collapsed="false">
      <c r="A12" s="11" t="s">
        <v>2741</v>
      </c>
      <c r="B12" s="15" t="s">
        <v>2293</v>
      </c>
      <c r="C12" s="11" t="s">
        <v>508</v>
      </c>
      <c r="D12" s="48" t="n">
        <f aca="false">IF(cu_P=1,(SUMIFS(Calculo!$F$76:$ES$76,Calculo!$F$16:$ES$16,1)),(SUMIFS(Calculo!$F$232:$ES$232,Calculo!$F$172:$ES$172,1)))</f>
        <v>0</v>
      </c>
      <c r="E12" s="48" t="n">
        <f aca="false">IF(cu_P=1,(SUMIFS(Calculo!$F$76:$ES$76,Calculo!$F$14:$ES$14,1)),(SUMIFS(Calculo!$F$232:$ES$232,Calculo!$F$170:$ES$170,1)))</f>
        <v>71702.1</v>
      </c>
      <c r="F12" s="48" t="n">
        <f aca="false">IF(cu_P=1,(SUMIFS(Calculo!$F$76:$ES$76,Calculo!$F$14:$ES$14,2)),(SUMIFS(Calculo!$F$232:$ES$232,Calculo!$F$170:$ES$170,2)))</f>
        <v>91119.195</v>
      </c>
      <c r="G12" s="48" t="n">
        <f aca="false">IF(cu_P=1,(SUMIFS(Calculo!$F$76:$ES$76,Calculo!$F$14:$ES$14,3)),(SUMIFS(Calculo!$F$232:$ES$232,Calculo!$F$170:$ES$170,3)))</f>
        <v>110780.8884</v>
      </c>
      <c r="H12" s="48" t="n">
        <f aca="false">IF(cu_P=1,(SUMIFS(Calculo!$F$76:$ES$76,Calculo!$F$14:$ES$14,4)),(SUMIFS(Calculo!$F$232:$ES$232,Calculo!$F$170:$ES$170,4)))</f>
        <v>126945.1673955</v>
      </c>
      <c r="I12" s="48" t="n">
        <f aca="false">IF(cu_P=1,(SUMIFS(Calculo!$F$76:$ES$76,Calculo!$F$14:$ES$14,5)),(SUMIFS(Calculo!$F$232:$ES$232,Calculo!$F$170:$ES$170,5)))</f>
        <v>127756.483069455</v>
      </c>
      <c r="J12" s="48" t="n">
        <f aca="false">IF(cu_P=1,(SUMIFS(Calculo!$F$76:$ES$76,Calculo!$F$14:$ES$14,6)),(SUMIFS(Calculo!$F$232:$ES$232,Calculo!$F$170:$ES$170,6)))</f>
        <v>128575.91190015</v>
      </c>
      <c r="K12" s="48" t="n">
        <f aca="false">IF(cu_P=1,(SUMIFS(Calculo!$F$76:$ES$76,Calculo!$F$14:$ES$14,7)),(SUMIFS(Calculo!$F$232:$ES$232,Calculo!$F$170:$ES$170,7)))</f>
        <v>129403.535019151</v>
      </c>
      <c r="L12" s="48" t="n">
        <f aca="false">IF(cu_P=1,(SUMIFS(Calculo!$F$76:$ES$76,Calculo!$F$14:$ES$14,8)),(SUMIFS(Calculo!$F$232:$ES$232,Calculo!$F$170:$ES$170,8)))</f>
        <v>130239.434369343</v>
      </c>
      <c r="M12" s="48" t="n">
        <f aca="false">IF(cu_P=1,(SUMIFS(Calculo!$F$76:$ES$76,Calculo!$F$14:$ES$14,9)),(SUMIFS(Calculo!$F$232:$ES$232,Calculo!$F$170:$ES$170,9)))</f>
        <v>131083.692713036</v>
      </c>
      <c r="N12" s="48" t="n">
        <f aca="false">IF(cu_P=1,(SUMIFS(Calculo!$F$76:$ES$76,Calculo!$F$14:$ES$14,10)),(SUMIFS(Calculo!$F$232:$ES$232,Calculo!$F$170:$ES$170,10)))</f>
        <v>131936.393640166</v>
      </c>
      <c r="O12" s="54" t="n">
        <f aca="false">SUM(D12:N12)</f>
        <v>1179542.8015068</v>
      </c>
    </row>
    <row r="13" customFormat="false" ht="15" hidden="false" customHeight="false" outlineLevel="0" collapsed="false">
      <c r="A13" s="11" t="s">
        <v>2742</v>
      </c>
      <c r="B13" s="15" t="s">
        <v>1140</v>
      </c>
      <c r="C13" s="11" t="s">
        <v>508</v>
      </c>
      <c r="D13" s="48" t="n">
        <f aca="false">IF(cu_P=1,(SUMIFS(Calculo!$F$83:$ES$83,Calculo!$F$16:$ES$16,1)),(SUMIFS(Calculo!$F$239:$ES$239,Calculo!$F$172:$ES$172,1)))</f>
        <v>0</v>
      </c>
      <c r="E13" s="48" t="n">
        <f aca="false">IF(cu_P=1,(SUMIFS(Calculo!$F$83:$ES$83,Calculo!$F$14:$ES$14,1)),(SUMIFS(Calculo!$F$239:$ES$239,Calculo!$F$170:$ES$170,1)))</f>
        <v>33075.4870556548</v>
      </c>
      <c r="F13" s="48" t="n">
        <f aca="false">IF(cu_P=1,(SUMIFS(Calculo!$F$83:$ES$83,Calculo!$F$14:$ES$14,2)),(SUMIFS(Calculo!$F$239:$ES$239,Calculo!$F$170:$ES$170,2)))</f>
        <v>40931.1320456548</v>
      </c>
      <c r="G13" s="48" t="n">
        <f aca="false">IF(cu_P=1,(SUMIFS(Calculo!$F$83:$ES$83,Calculo!$F$14:$ES$14,3)),(SUMIFS(Calculo!$F$239:$ES$239,Calculo!$F$170:$ES$170,3)))</f>
        <v>49185.7599769069</v>
      </c>
      <c r="H13" s="48" t="n">
        <f aca="false">IF(cu_P=1,(SUMIFS(Calculo!$F$83:$ES$83,Calculo!$F$14:$ES$14,4)),(SUMIFS(Calculo!$F$239:$ES$239,Calculo!$F$170:$ES$170,4)))</f>
        <v>55938.3372639345</v>
      </c>
      <c r="I13" s="48" t="n">
        <f aca="false">IF(cu_P=1,(SUMIFS(Calculo!$F$83:$ES$83,Calculo!$F$14:$ES$14,5)),(SUMIFS(Calculo!$F$239:$ES$239,Calculo!$F$170:$ES$170,5)))</f>
        <v>56518.7403176291</v>
      </c>
      <c r="J13" s="48" t="n">
        <f aca="false">IF(cu_P=1,(SUMIFS(Calculo!$F$83:$ES$83,Calculo!$F$14:$ES$14,6)),(SUMIFS(Calculo!$F$239:$ES$239,Calculo!$F$170:$ES$170,6)))</f>
        <v>56791.883261194</v>
      </c>
      <c r="K13" s="48" t="n">
        <f aca="false">IF(cu_P=1,(SUMIFS(Calculo!$F$83:$ES$83,Calculo!$F$14:$ES$14,7)),(SUMIFS(Calculo!$F$239:$ES$239,Calculo!$F$170:$ES$170,7)))</f>
        <v>57067.7576341945</v>
      </c>
      <c r="L13" s="48" t="n">
        <f aca="false">IF(cu_P=1,(SUMIFS(Calculo!$F$83:$ES$83,Calculo!$F$14:$ES$14,8)),(SUMIFS(Calculo!$F$239:$ES$239,Calculo!$F$170:$ES$170,8)))</f>
        <v>57346.390750925</v>
      </c>
      <c r="M13" s="48" t="n">
        <f aca="false">IF(cu_P=1,(SUMIFS(Calculo!$F$83:$ES$83,Calculo!$F$14:$ES$14,9)),(SUMIFS(Calculo!$F$239:$ES$239,Calculo!$F$170:$ES$170,9)))</f>
        <v>57627.8101988228</v>
      </c>
      <c r="N13" s="48" t="n">
        <f aca="false">IF(cu_P=1,(SUMIFS(Calculo!$F$83:$ES$83,Calculo!$F$14:$ES$14,10)),(SUMIFS(Calculo!$F$239:$ES$239,Calculo!$F$170:$ES$170,10)))</f>
        <v>57912.0438411996</v>
      </c>
      <c r="O13" s="54" t="n">
        <f aca="false">SUM(D13:N13)</f>
        <v>522395.342346116</v>
      </c>
    </row>
    <row r="14" customFormat="false" ht="15" hidden="false" customHeight="false" outlineLevel="0" collapsed="false">
      <c r="A14" s="11" t="s">
        <v>2743</v>
      </c>
      <c r="B14" s="15" t="s">
        <v>1142</v>
      </c>
      <c r="C14" s="11" t="s">
        <v>508</v>
      </c>
      <c r="D14" s="48" t="n">
        <f aca="false">IF(cu_P=1,(SUMIFS(Calculo!$F$84:$ES$84,Calculo!$F$16:$ES$16,1)),(SUMIFS(Calculo!$F$240:$ES$240,Calculo!$F$172:$ES$172,1)))</f>
        <v>0</v>
      </c>
      <c r="E14" s="48" t="n">
        <f aca="false">IF(cu_P=1,(SUMIFS(Calculo!$F$84:$ES$84,Calculo!$F$14:$ES$14,1)),(SUMIFS(Calculo!$F$240:$ES$240,Calculo!$F$170:$ES$170,1)))</f>
        <v>4850</v>
      </c>
      <c r="F14" s="48" t="n">
        <f aca="false">IF(cu_P=1,(SUMIFS(Calculo!$F$84:$ES$84,Calculo!$F$14:$ES$14,2)),(SUMIFS(Calculo!$F$240:$ES$240,Calculo!$F$170:$ES$170,2)))</f>
        <v>6181.2</v>
      </c>
      <c r="G14" s="48" t="n">
        <f aca="false">IF(cu_P=1,(SUMIFS(Calculo!$F$84:$ES$84,Calculo!$F$14:$ES$14,3)),(SUMIFS(Calculo!$F$240:$ES$240,Calculo!$F$170:$ES$170,3)))</f>
        <v>7538.539</v>
      </c>
      <c r="H14" s="48" t="n">
        <f aca="false">IF(cu_P=1,(SUMIFS(Calculo!$F$84:$ES$84,Calculo!$F$14:$ES$14,4)),(SUMIFS(Calculo!$F$240:$ES$240,Calculo!$F$170:$ES$170,4)))</f>
        <v>8685.43743</v>
      </c>
      <c r="I14" s="48" t="n">
        <f aca="false">IF(cu_P=1,(SUMIFS(Calculo!$F$84:$ES$84,Calculo!$F$14:$ES$14,5)),(SUMIFS(Calculo!$F$240:$ES$240,Calculo!$F$170:$ES$170,5)))</f>
        <v>8772.2918043</v>
      </c>
      <c r="J14" s="48" t="n">
        <f aca="false">IF(cu_P=1,(SUMIFS(Calculo!$F$84:$ES$84,Calculo!$F$14:$ES$14,6)),(SUMIFS(Calculo!$F$240:$ES$240,Calculo!$F$170:$ES$170,6)))</f>
        <v>8860.014722343</v>
      </c>
      <c r="K14" s="48" t="n">
        <f aca="false">IF(cu_P=1,(SUMIFS(Calculo!$F$84:$ES$84,Calculo!$F$14:$ES$14,7)),(SUMIFS(Calculo!$F$240:$ES$240,Calculo!$F$170:$ES$170,7)))</f>
        <v>8948.61486956643</v>
      </c>
      <c r="L14" s="48" t="n">
        <f aca="false">IF(cu_P=1,(SUMIFS(Calculo!$F$84:$ES$84,Calculo!$F$14:$ES$14,8)),(SUMIFS(Calculo!$F$240:$ES$240,Calculo!$F$170:$ES$170,8)))</f>
        <v>9038.10101826209</v>
      </c>
      <c r="M14" s="48" t="n">
        <f aca="false">IF(cu_P=1,(SUMIFS(Calculo!$F$84:$ES$84,Calculo!$F$14:$ES$14,9)),(SUMIFS(Calculo!$F$240:$ES$240,Calculo!$F$170:$ES$170,9)))</f>
        <v>9128.48202844471</v>
      </c>
      <c r="N14" s="48" t="n">
        <f aca="false">IF(cu_P=1,(SUMIFS(Calculo!$F$84:$ES$84,Calculo!$F$14:$ES$14,10)),(SUMIFS(Calculo!$F$240:$ES$240,Calculo!$F$170:$ES$170,10)))</f>
        <v>9219.76684872916</v>
      </c>
      <c r="O14" s="54" t="n">
        <f aca="false">SUM(D14:N14)</f>
        <v>81222.4477216454</v>
      </c>
    </row>
    <row r="15" customFormat="false" ht="15" hidden="false" customHeight="false" outlineLevel="0" collapsed="false">
      <c r="A15" s="11" t="s">
        <v>2744</v>
      </c>
      <c r="B15" s="15" t="s">
        <v>1011</v>
      </c>
      <c r="C15" s="11" t="s">
        <v>508</v>
      </c>
      <c r="D15" s="48" t="n">
        <f aca="false">IF(cu_P=1,(SUMIFS(Calculo!$F$85:$ES$85,Calculo!$F$16:$ES$16,1)),(SUMIFS(Calculo!$F$241:$ES$241,Calculo!$F$172:$ES$172,1)))</f>
        <v>0</v>
      </c>
      <c r="E15" s="48" t="n">
        <f aca="false">IF(cu_P=1,(SUMIFS(Calculo!$F$85:$ES$85,Calculo!$F$14:$ES$14,1)),(SUMIFS(Calculo!$F$241:$ES$241,Calculo!$F$170:$ES$170,1)))</f>
        <v>48500</v>
      </c>
      <c r="F15" s="48" t="n">
        <f aca="false">IF(cu_P=1,(SUMIFS(Calculo!$F$85:$ES$85,Calculo!$F$14:$ES$14,2)),(SUMIFS(Calculo!$F$241:$ES$241,Calculo!$F$170:$ES$170,2)))</f>
        <v>61812</v>
      </c>
      <c r="G15" s="48" t="n">
        <f aca="false">IF(cu_P=1,(SUMIFS(Calculo!$F$85:$ES$85,Calculo!$F$14:$ES$14,3)),(SUMIFS(Calculo!$F$241:$ES$241,Calculo!$F$170:$ES$170,3)))</f>
        <v>75385.39</v>
      </c>
      <c r="H15" s="48" t="n">
        <f aca="false">IF(cu_P=1,(SUMIFS(Calculo!$F$85:$ES$85,Calculo!$F$14:$ES$14,4)),(SUMIFS(Calculo!$F$241:$ES$241,Calculo!$F$170:$ES$170,4)))</f>
        <v>86854.3743</v>
      </c>
      <c r="I15" s="48" t="n">
        <f aca="false">IF(cu_P=1,(SUMIFS(Calculo!$F$85:$ES$85,Calculo!$F$14:$ES$14,5)),(SUMIFS(Calculo!$F$241:$ES$241,Calculo!$F$170:$ES$170,5)))</f>
        <v>87722.918043</v>
      </c>
      <c r="J15" s="48" t="n">
        <f aca="false">IF(cu_P=1,(SUMIFS(Calculo!$F$85:$ES$85,Calculo!$F$14:$ES$14,6)),(SUMIFS(Calculo!$F$241:$ES$241,Calculo!$F$170:$ES$170,6)))</f>
        <v>88600.14722343</v>
      </c>
      <c r="K15" s="48" t="n">
        <f aca="false">IF(cu_P=1,(SUMIFS(Calculo!$F$85:$ES$85,Calculo!$F$14:$ES$14,7)),(SUMIFS(Calculo!$F$241:$ES$241,Calculo!$F$170:$ES$170,7)))</f>
        <v>89486.1486956643</v>
      </c>
      <c r="L15" s="48" t="n">
        <f aca="false">IF(cu_P=1,(SUMIFS(Calculo!$F$85:$ES$85,Calculo!$F$14:$ES$14,8)),(SUMIFS(Calculo!$F$241:$ES$241,Calculo!$F$170:$ES$170,8)))</f>
        <v>90381.0101826209</v>
      </c>
      <c r="M15" s="48" t="n">
        <f aca="false">IF(cu_P=1,(SUMIFS(Calculo!$F$85:$ES$85,Calculo!$F$14:$ES$14,9)),(SUMIFS(Calculo!$F$241:$ES$241,Calculo!$F$170:$ES$170,9)))</f>
        <v>91284.8202844471</v>
      </c>
      <c r="N15" s="48" t="n">
        <f aca="false">IF(cu_P=1,(SUMIFS(Calculo!$F$85:$ES$85,Calculo!$F$14:$ES$14,10)),(SUMIFS(Calculo!$F$241:$ES$241,Calculo!$F$170:$ES$170,10)))</f>
        <v>92197.6684872916</v>
      </c>
      <c r="O15" s="54" t="n">
        <f aca="false">SUM(D15:N15)</f>
        <v>812224.477216454</v>
      </c>
    </row>
    <row r="16" customFormat="false" ht="15" hidden="false" customHeight="false" outlineLevel="0" collapsed="false">
      <c r="A16" s="11" t="s">
        <v>2745</v>
      </c>
      <c r="B16" s="15" t="s">
        <v>1151</v>
      </c>
      <c r="C16" s="11" t="s">
        <v>508</v>
      </c>
      <c r="D16" s="48" t="n">
        <f aca="false">IF(cu_P=1,(SUMIFS(Calculo!$F$89:$ES$89,Calculo!$F$16:$ES$16,1)),(SUMIFS(Calculo!$F$245:$ES$245,Calculo!$F$172:$ES$172,1)))</f>
        <v>0</v>
      </c>
      <c r="E16" s="48" t="n">
        <f aca="false">IF(cu_P=1,(SUMIFS(Calculo!$F$89:$ES$89,Calculo!$F$14:$ES$14,1)),(SUMIFS(Calculo!$F$245:$ES$245,Calculo!$F$170:$ES$170,1)))</f>
        <v>185754.398501972</v>
      </c>
      <c r="F16" s="48" t="n">
        <f aca="false">IF(cu_P=1,(SUMIFS(Calculo!$F$89:$ES$89,Calculo!$F$14:$ES$14,2)),(SUMIFS(Calculo!$F$245:$ES$245,Calculo!$F$170:$ES$170,2)))</f>
        <v>226492.528491472</v>
      </c>
      <c r="G16" s="48" t="n">
        <f aca="false">IF(cu_P=1,(SUMIFS(Calculo!$F$89:$ES$89,Calculo!$F$14:$ES$14,3)),(SUMIFS(Calculo!$F$245:$ES$245,Calculo!$F$170:$ES$170,3)))</f>
        <v>269259.653365095</v>
      </c>
      <c r="H16" s="48" t="n">
        <f aca="false">IF(cu_P=1,(SUMIFS(Calculo!$F$89:$ES$89,Calculo!$F$14:$ES$14,4)),(SUMIFS(Calculo!$F$245:$ES$245,Calculo!$F$170:$ES$170,4)))</f>
        <v>304256.635780675</v>
      </c>
      <c r="I16" s="48" t="n">
        <f aca="false">IF(cu_P=1,(SUMIFS(Calculo!$F$89:$ES$89,Calculo!$F$14:$ES$14,5)),(SUMIFS(Calculo!$F$245:$ES$245,Calculo!$F$170:$ES$170,5)))</f>
        <v>307264.106113958</v>
      </c>
      <c r="J16" s="48" t="n">
        <f aca="false">IF(cu_P=1,(SUMIFS(Calculo!$F$89:$ES$89,Calculo!$F$14:$ES$14,6)),(SUMIFS(Calculo!$F$245:$ES$245,Calculo!$F$170:$ES$170,6)))</f>
        <v>308720.992504304</v>
      </c>
      <c r="K16" s="48" t="n">
        <f aca="false">IF(cu_P=1,(SUMIFS(Calculo!$F$89:$ES$89,Calculo!$F$14:$ES$14,7)),(SUMIFS(Calculo!$F$245:$ES$245,Calculo!$F$170:$ES$170,7)))</f>
        <v>310192.769327933</v>
      </c>
      <c r="L16" s="48" t="n">
        <f aca="false">IF(cu_P=1,(SUMIFS(Calculo!$F$89:$ES$89,Calculo!$F$14:$ES$14,8)),(SUMIFS(Calculo!$F$245:$ES$245,Calculo!$F$170:$ES$170,8)))</f>
        <v>311679.591920564</v>
      </c>
      <c r="M16" s="48" t="n">
        <f aca="false">IF(cu_P=1,(SUMIFS(Calculo!$F$89:$ES$89,Calculo!$F$14:$ES$14,9)),(SUMIFS(Calculo!$F$245:$ES$245,Calculo!$F$170:$ES$170,9)))</f>
        <v>313181.617299904</v>
      </c>
      <c r="N16" s="48" t="n">
        <f aca="false">IF(cu_P=1,(SUMIFS(Calculo!$F$89:$ES$89,Calculo!$F$14:$ES$14,10)),(SUMIFS(Calculo!$F$245:$ES$245,Calculo!$F$170:$ES$170,10)))</f>
        <v>314699.004185034</v>
      </c>
      <c r="O16" s="54" t="n">
        <f aca="false">SUM(D16:N16)</f>
        <v>2851501.29749091</v>
      </c>
    </row>
    <row r="17" customFormat="false" ht="15" hidden="false" customHeight="false" outlineLevel="0" collapsed="false">
      <c r="A17" s="11" t="s">
        <v>2746</v>
      </c>
      <c r="B17" s="67" t="s">
        <v>2747</v>
      </c>
      <c r="C17" s="11" t="s">
        <v>508</v>
      </c>
      <c r="D17" s="54" t="n">
        <f aca="false">IFERROR(IF(COUNT(D9,D10)=0,"",N(D9)-N(D10)),"")</f>
        <v>0</v>
      </c>
      <c r="E17" s="54" t="n">
        <f aca="false">IFERROR(IF(COUNT(E9,E10)=0,"",N(E9)-N(E10)),"")</f>
        <v>1422760.15416632</v>
      </c>
      <c r="F17" s="54" t="n">
        <f aca="false">IFERROR(IF(COUNT(F9,F10)=0,"",N(F9)-N(F10)),"")</f>
        <v>1394927.07665675</v>
      </c>
      <c r="G17" s="54" t="n">
        <f aca="false">IFERROR(IF(COUNT(G9,G10)=0,"",N(G9)-N(G10)),"")</f>
        <v>1377012.30681767</v>
      </c>
      <c r="H17" s="54" t="n">
        <f aca="false">IFERROR(IF(COUNT(H9,H10)=0,"",N(H9)-N(H10)),"")</f>
        <v>1347649.14821804</v>
      </c>
      <c r="I17" s="54" t="n">
        <f aca="false">IFERROR(IF(COUNT(I9,I10)=0,"",N(I9)-N(I10)),"")</f>
        <v>1318244.04272103</v>
      </c>
      <c r="J17" s="54" t="n">
        <f aca="false">IFERROR(IF(COUNT(J9,J10)=0,"",N(J9)-N(J10)),"")</f>
        <v>1274717.35715268</v>
      </c>
      <c r="K17" s="54" t="n">
        <f aca="false">IFERROR(IF(COUNT(K9,K10)=0,"",N(K9)-N(K10)),"")</f>
        <v>1282793.22284209</v>
      </c>
      <c r="L17" s="54" t="n">
        <f aca="false">IFERROR(IF(COUNT(L9,L10)=0,"",N(L9)-N(L10)),"")</f>
        <v>1291104.80448685</v>
      </c>
      <c r="M17" s="54" t="n">
        <f aca="false">IFERROR(IF(COUNT(M9,M10)=0,"",N(M9)-N(M10)),"")</f>
        <v>1299659.0423653</v>
      </c>
      <c r="N17" s="54" t="n">
        <f aca="false">IFERROR(IF(COUNT(N9,N10)=0,"",N(N9)-N(N10)),"")</f>
        <v>1308463.08234016</v>
      </c>
      <c r="O17" s="54" t="n">
        <f aca="false">SUM(D17:N17)</f>
        <v>13317330.2377669</v>
      </c>
    </row>
    <row r="18" customFormat="false" ht="15" hidden="false" customHeight="false" outlineLevel="0" collapsed="false">
      <c r="A18" s="11" t="s">
        <v>2748</v>
      </c>
      <c r="B18" s="15" t="s">
        <v>2749</v>
      </c>
      <c r="C18" s="11" t="s">
        <v>508</v>
      </c>
      <c r="D18" s="48" t="n">
        <f aca="false">IF(cu_P=1,(SUMIFS(Calculo!$F$78:$ES$78,Calculo!$F$16:$ES$16,1)+SUMIFS(Calculo!$F$80:$ES$80,Calculo!$F$16:$ES$16,1)+SUMIFS(Calculo!$F$82:$ES$82,Calculo!$F$16:$ES$16,1)),(SUMIFS(Calculo!$F$234:$ES$234,Calculo!$F$172:$ES$172,1)+SUMIFS(Calculo!$F$236:$ES$236,Calculo!$F$172:$ES$172,1)+SUMIFS(Calculo!$F$238:$ES$238,Calculo!$F$172:$ES$172,1)))</f>
        <v>0</v>
      </c>
      <c r="E18" s="48" t="n">
        <f aca="false">IF(cu_P=1,(SUMIFS(Calculo!$F$78:$ES$78,Calculo!$F$14:$ES$14,1)+SUMIFS(Calculo!$F$80:$ES$80,Calculo!$F$14:$ES$14,1)+SUMIFS(Calculo!$F$82:$ES$82,Calculo!$F$14:$ES$14,1)),(SUMIFS(Calculo!$F$234:$ES$234,Calculo!$F$170:$ES$170,1)+SUMIFS(Calculo!$F$236:$ES$236,Calculo!$F$170:$ES$170,1)+SUMIFS(Calculo!$F$238:$ES$238,Calculo!$F$170:$ES$170,1)))</f>
        <v>744176.500980658</v>
      </c>
      <c r="F18" s="48" t="n">
        <f aca="false">IF(cu_P=1,(SUMIFS(Calculo!$F$78:$ES$78,Calculo!$F$14:$ES$14,2)+SUMIFS(Calculo!$F$80:$ES$80,Calculo!$F$14:$ES$14,2)+SUMIFS(Calculo!$F$82:$ES$82,Calculo!$F$14:$ES$14,2)),(SUMIFS(Calculo!$F$234:$ES$234,Calculo!$F$170:$ES$170,2)+SUMIFS(Calculo!$F$236:$ES$236,Calculo!$F$170:$ES$170,2)+SUMIFS(Calculo!$F$238:$ES$238,Calculo!$F$170:$ES$170,2)))</f>
        <v>744176.500980658</v>
      </c>
      <c r="G18" s="48" t="n">
        <f aca="false">IF(cu_P=1,(SUMIFS(Calculo!$F$78:$ES$78,Calculo!$F$14:$ES$14,3)+SUMIFS(Calculo!$F$80:$ES$80,Calculo!$F$14:$ES$14,3)+SUMIFS(Calculo!$F$82:$ES$82,Calculo!$F$14:$ES$14,3)),(SUMIFS(Calculo!$F$234:$ES$234,Calculo!$F$170:$ES$170,3)+SUMIFS(Calculo!$F$236:$ES$236,Calculo!$F$170:$ES$170,3)+SUMIFS(Calculo!$F$238:$ES$238,Calculo!$F$170:$ES$170,3)))</f>
        <v>775921.515105863</v>
      </c>
      <c r="H18" s="48" t="n">
        <f aca="false">IF(cu_P=1,(SUMIFS(Calculo!$F$78:$ES$78,Calculo!$F$14:$ES$14,4)+SUMIFS(Calculo!$F$80:$ES$80,Calculo!$F$14:$ES$14,4)+SUMIFS(Calculo!$F$82:$ES$82,Calculo!$F$14:$ES$14,4)),(SUMIFS(Calculo!$F$234:$ES$234,Calculo!$F$170:$ES$170,4)+SUMIFS(Calculo!$F$236:$ES$236,Calculo!$F$170:$ES$170,4)+SUMIFS(Calculo!$F$238:$ES$238,Calculo!$F$170:$ES$170,4)))</f>
        <v>801341.94495863</v>
      </c>
      <c r="I18" s="48" t="n">
        <f aca="false">IF(cu_P=1,(SUMIFS(Calculo!$F$78:$ES$78,Calculo!$F$14:$ES$14,5)+SUMIFS(Calculo!$F$80:$ES$80,Calculo!$F$14:$ES$14,5)+SUMIFS(Calculo!$F$82:$ES$82,Calculo!$F$14:$ES$14,5)),(SUMIFS(Calculo!$F$234:$ES$234,Calculo!$F$170:$ES$170,5)+SUMIFS(Calculo!$F$236:$ES$236,Calculo!$F$170:$ES$170,5)+SUMIFS(Calculo!$F$238:$ES$238,Calculo!$F$170:$ES$170,5)))</f>
        <v>832338.394529589</v>
      </c>
      <c r="J18" s="48" t="n">
        <f aca="false">IF(cu_P=1,(SUMIFS(Calculo!$F$78:$ES$78,Calculo!$F$14:$ES$14,6)+SUMIFS(Calculo!$F$80:$ES$80,Calculo!$F$14:$ES$14,6)+SUMIFS(Calculo!$F$82:$ES$82,Calculo!$F$14:$ES$14,6)),(SUMIFS(Calculo!$F$234:$ES$234,Calculo!$F$170:$ES$170,6)+SUMIFS(Calculo!$F$236:$ES$236,Calculo!$F$170:$ES$170,6)+SUMIFS(Calculo!$F$238:$ES$238,Calculo!$F$170:$ES$170,6)))</f>
        <v>832338.394529589</v>
      </c>
      <c r="K18" s="48" t="n">
        <f aca="false">IF(cu_P=1,(SUMIFS(Calculo!$F$78:$ES$78,Calculo!$F$14:$ES$14,7)+SUMIFS(Calculo!$F$80:$ES$80,Calculo!$F$14:$ES$14,7)+SUMIFS(Calculo!$F$82:$ES$82,Calculo!$F$14:$ES$14,7)),(SUMIFS(Calculo!$F$234:$ES$234,Calculo!$F$170:$ES$170,7)+SUMIFS(Calculo!$F$236:$ES$236,Calculo!$F$170:$ES$170,7)+SUMIFS(Calculo!$F$238:$ES$238,Calculo!$F$170:$ES$170,7)))</f>
        <v>832338.394529589</v>
      </c>
      <c r="L18" s="48" t="n">
        <f aca="false">IF(cu_P=1,(SUMIFS(Calculo!$F$78:$ES$78,Calculo!$F$14:$ES$14,8)+SUMIFS(Calculo!$F$80:$ES$80,Calculo!$F$14:$ES$14,8)+SUMIFS(Calculo!$F$82:$ES$82,Calculo!$F$14:$ES$14,8)),(SUMIFS(Calculo!$F$234:$ES$234,Calculo!$F$170:$ES$170,8)+SUMIFS(Calculo!$F$236:$ES$236,Calculo!$F$170:$ES$170,8)+SUMIFS(Calculo!$F$238:$ES$238,Calculo!$F$170:$ES$170,8)))</f>
        <v>832338.394529589</v>
      </c>
      <c r="M18" s="48" t="n">
        <f aca="false">IF(cu_P=1,(SUMIFS(Calculo!$F$78:$ES$78,Calculo!$F$14:$ES$14,9)+SUMIFS(Calculo!$F$80:$ES$80,Calculo!$F$14:$ES$14,9)+SUMIFS(Calculo!$F$82:$ES$82,Calculo!$F$14:$ES$14,9)),(SUMIFS(Calculo!$F$234:$ES$234,Calculo!$F$170:$ES$170,9)+SUMIFS(Calculo!$F$236:$ES$236,Calculo!$F$170:$ES$170,9)+SUMIFS(Calculo!$F$238:$ES$238,Calculo!$F$170:$ES$170,9)))</f>
        <v>832338.394529589</v>
      </c>
      <c r="N18" s="48" t="n">
        <f aca="false">IF(cu_P=1,(SUMIFS(Calculo!$F$78:$ES$78,Calculo!$F$14:$ES$14,10)+SUMIFS(Calculo!$F$80:$ES$80,Calculo!$F$14:$ES$14,10)+SUMIFS(Calculo!$F$82:$ES$82,Calculo!$F$14:$ES$14,10)),(SUMIFS(Calculo!$F$234:$ES$234,Calculo!$F$170:$ES$170,10)+SUMIFS(Calculo!$F$236:$ES$236,Calculo!$F$170:$ES$170,10)+SUMIFS(Calculo!$F$238:$ES$238,Calculo!$F$170:$ES$170,10)))</f>
        <v>832338.394529589</v>
      </c>
      <c r="O18" s="54" t="n">
        <f aca="false">SUM(D18:N18)</f>
        <v>8059646.82920334</v>
      </c>
    </row>
    <row r="19" customFormat="false" ht="15" hidden="false" customHeight="false" outlineLevel="0" collapsed="false">
      <c r="A19" s="11" t="s">
        <v>2750</v>
      </c>
      <c r="B19" s="15" t="s">
        <v>2751</v>
      </c>
      <c r="C19" s="11" t="s">
        <v>508</v>
      </c>
      <c r="D19" s="48" t="n">
        <f aca="false">IF(cu_P=1,(SUMIFS(Calculo!$F$86:$ES$86,Calculo!$F$16:$ES$16,1)+SUMIFS(Calculo!$F$87:$ES$87,Calculo!$F$16:$ES$16,1)+SUMIFS(Calculo!$F$90:$ES$90,Calculo!$F$16:$ES$16,1)-SUMIFS(Calculo!$F$101:$ES$101,Calculo!$F$16:$ES$16,1)),(SUMIFS(Calculo!$F$242:$ES$242,Calculo!$F$172:$ES$172,1)+SUMIFS(Calculo!$F$243:$ES$243,Calculo!$F$172:$ES$172,1)+SUMIFS(Calculo!$F$246:$ES$246,Calculo!$F$172:$ES$172,1)-SUMIFS(Calculo!$F$257:$ES$257,Calculo!$F$172:$ES$172,1)))</f>
        <v>0</v>
      </c>
      <c r="E19" s="48" t="n">
        <f aca="false">IF(cu_P=1,(SUMIFS(Calculo!$F$86:$ES$86,Calculo!$F$14:$ES$14,1)+SUMIFS(Calculo!$F$87:$ES$87,Calculo!$F$14:$ES$14,1)+SUMIFS(Calculo!$F$90:$ES$90,Calculo!$F$14:$ES$14,1)-SUMIFS(Calculo!$F$101:$ES$101,Calculo!$F$14:$ES$14,1)),(SUMIFS(Calculo!$F$242:$ES$242,Calculo!$F$170:$ES$170,1)+SUMIFS(Calculo!$F$243:$ES$243,Calculo!$F$170:$ES$170,1)+SUMIFS(Calculo!$F$246:$ES$246,Calculo!$F$170:$ES$170,1)-SUMIFS(Calculo!$F$257:$ES$257,Calculo!$F$170:$ES$170,1)))</f>
        <v>335889.511754638</v>
      </c>
      <c r="F19" s="48" t="n">
        <f aca="false">IF(cu_P=1,(SUMIFS(Calculo!$F$86:$ES$86,Calculo!$F$14:$ES$14,2)+SUMIFS(Calculo!$F$87:$ES$87,Calculo!$F$14:$ES$14,2)+SUMIFS(Calculo!$F$90:$ES$90,Calculo!$F$14:$ES$14,2)-SUMIFS(Calculo!$F$101:$ES$101,Calculo!$F$14:$ES$14,2)),(SUMIFS(Calculo!$F$242:$ES$242,Calculo!$F$170:$ES$170,2)+SUMIFS(Calculo!$F$243:$ES$243,Calculo!$F$170:$ES$170,2)+SUMIFS(Calculo!$F$246:$ES$246,Calculo!$F$170:$ES$170,2)-SUMIFS(Calculo!$F$257:$ES$257,Calculo!$F$170:$ES$170,2)))</f>
        <v>342884.112554638</v>
      </c>
      <c r="G19" s="48" t="n">
        <f aca="false">IF(cu_P=1,(SUMIFS(Calculo!$F$86:$ES$86,Calculo!$F$14:$ES$14,3)+SUMIFS(Calculo!$F$87:$ES$87,Calculo!$F$14:$ES$14,3)+SUMIFS(Calculo!$F$90:$ES$90,Calculo!$F$14:$ES$14,3)-SUMIFS(Calculo!$F$101:$ES$101,Calculo!$F$14:$ES$14,3)),(SUMIFS(Calculo!$F$242:$ES$242,Calculo!$F$170:$ES$170,3)+SUMIFS(Calculo!$F$243:$ES$243,Calculo!$F$170:$ES$170,3)+SUMIFS(Calculo!$F$246:$ES$246,Calculo!$F$170:$ES$170,3)-SUMIFS(Calculo!$F$257:$ES$257,Calculo!$F$170:$ES$170,3)))</f>
        <v>350082.609770638</v>
      </c>
      <c r="H19" s="48" t="n">
        <f aca="false">IF(cu_P=1,(SUMIFS(Calculo!$F$86:$ES$86,Calculo!$F$14:$ES$14,4)+SUMIFS(Calculo!$F$87:$ES$87,Calculo!$F$14:$ES$14,4)+SUMIFS(Calculo!$F$90:$ES$90,Calculo!$F$14:$ES$14,4)-SUMIFS(Calculo!$F$101:$ES$101,Calculo!$F$14:$ES$14,4)),(SUMIFS(Calculo!$F$242:$ES$242,Calculo!$F$170:$ES$170,4)+SUMIFS(Calculo!$F$243:$ES$243,Calculo!$F$170:$ES$170,4)+SUMIFS(Calculo!$F$246:$ES$246,Calculo!$F$170:$ES$170,4)-SUMIFS(Calculo!$F$257:$ES$257,Calculo!$F$170:$ES$170,4)))</f>
        <v>357491.001462958</v>
      </c>
      <c r="I19" s="48" t="n">
        <f aca="false">IF(cu_P=1,(SUMIFS(Calculo!$F$86:$ES$86,Calculo!$F$14:$ES$14,5)+SUMIFS(Calculo!$F$87:$ES$87,Calculo!$F$14:$ES$14,5)+SUMIFS(Calculo!$F$90:$ES$90,Calculo!$F$14:$ES$14,5)-SUMIFS(Calculo!$F$101:$ES$101,Calculo!$F$14:$ES$14,5)),(SUMIFS(Calculo!$F$242:$ES$242,Calculo!$F$170:$ES$170,5)+SUMIFS(Calculo!$F$243:$ES$243,Calculo!$F$170:$ES$170,5)+SUMIFS(Calculo!$F$246:$ES$246,Calculo!$F$170:$ES$170,5)-SUMIFS(Calculo!$F$257:$ES$257,Calculo!$F$170:$ES$170,5)))</f>
        <v>365115.463257085</v>
      </c>
      <c r="J19" s="48" t="n">
        <f aca="false">IF(cu_P=1,(SUMIFS(Calculo!$F$86:$ES$86,Calculo!$F$14:$ES$14,6)+SUMIFS(Calculo!$F$87:$ES$87,Calculo!$F$14:$ES$14,6)+SUMIFS(Calculo!$F$90:$ES$90,Calculo!$F$14:$ES$14,6)-SUMIFS(Calculo!$F$101:$ES$101,Calculo!$F$14:$ES$14,6)),(SUMIFS(Calculo!$F$242:$ES$242,Calculo!$F$170:$ES$170,6)+SUMIFS(Calculo!$F$243:$ES$243,Calculo!$F$170:$ES$170,6)+SUMIFS(Calculo!$F$246:$ES$246,Calculo!$F$170:$ES$170,6)-SUMIFS(Calculo!$F$257:$ES$257,Calculo!$F$170:$ES$170,6)))</f>
        <v>372962.353623092</v>
      </c>
      <c r="K19" s="48" t="n">
        <f aca="false">IF(cu_P=1,(SUMIFS(Calculo!$F$86:$ES$86,Calculo!$F$14:$ES$14,7)+SUMIFS(Calculo!$F$87:$ES$87,Calculo!$F$14:$ES$14,7)+SUMIFS(Calculo!$F$90:$ES$90,Calculo!$F$14:$ES$14,7)-SUMIFS(Calculo!$F$101:$ES$101,Calculo!$F$14:$ES$14,7)),(SUMIFS(Calculo!$F$242:$ES$242,Calculo!$F$170:$ES$170,7)+SUMIFS(Calculo!$F$243:$ES$243,Calculo!$F$170:$ES$170,7)+SUMIFS(Calculo!$F$246:$ES$246,Calculo!$F$170:$ES$170,7)-SUMIFS(Calculo!$F$257:$ES$257,Calculo!$F$170:$ES$170,7)))</f>
        <v>381038.219312499</v>
      </c>
      <c r="L19" s="48" t="n">
        <f aca="false">IF(cu_P=1,(SUMIFS(Calculo!$F$86:$ES$86,Calculo!$F$14:$ES$14,8)+SUMIFS(Calculo!$F$87:$ES$87,Calculo!$F$14:$ES$14,8)+SUMIFS(Calculo!$F$90:$ES$90,Calculo!$F$14:$ES$14,8)-SUMIFS(Calculo!$F$101:$ES$101,Calculo!$F$14:$ES$14,8)),(SUMIFS(Calculo!$F$242:$ES$242,Calculo!$F$170:$ES$170,8)+SUMIFS(Calculo!$F$243:$ES$243,Calculo!$F$170:$ES$170,8)+SUMIFS(Calculo!$F$246:$ES$246,Calculo!$F$170:$ES$170,8)-SUMIFS(Calculo!$F$257:$ES$257,Calculo!$F$170:$ES$170,8)))</f>
        <v>389349.800957255</v>
      </c>
      <c r="M19" s="48" t="n">
        <f aca="false">IF(cu_P=1,(SUMIFS(Calculo!$F$86:$ES$86,Calculo!$F$14:$ES$14,9)+SUMIFS(Calculo!$F$87:$ES$87,Calculo!$F$14:$ES$14,9)+SUMIFS(Calculo!$F$90:$ES$90,Calculo!$F$14:$ES$14,9)-SUMIFS(Calculo!$F$101:$ES$101,Calculo!$F$14:$ES$14,9)),(SUMIFS(Calculo!$F$242:$ES$242,Calculo!$F$170:$ES$170,9)+SUMIFS(Calculo!$F$243:$ES$243,Calculo!$F$170:$ES$170,9)+SUMIFS(Calculo!$F$246:$ES$246,Calculo!$F$170:$ES$170,9)-SUMIFS(Calculo!$F$257:$ES$257,Calculo!$F$170:$ES$170,9)))</f>
        <v>397904.038835714</v>
      </c>
      <c r="N19" s="48" t="n">
        <f aca="false">IF(cu_P=1,(SUMIFS(Calculo!$F$86:$ES$86,Calculo!$F$14:$ES$14,10)+SUMIFS(Calculo!$F$87:$ES$87,Calculo!$F$14:$ES$14,10)+SUMIFS(Calculo!$F$90:$ES$90,Calculo!$F$14:$ES$14,10)-SUMIFS(Calculo!$F$101:$ES$101,Calculo!$F$14:$ES$14,10)),(SUMIFS(Calculo!$F$242:$ES$242,Calculo!$F$170:$ES$170,10)+SUMIFS(Calculo!$F$243:$ES$243,Calculo!$F$170:$ES$170,10)+SUMIFS(Calculo!$F$246:$ES$246,Calculo!$F$170:$ES$170,10)-SUMIFS(Calculo!$F$257:$ES$257,Calculo!$F$170:$ES$170,10)))</f>
        <v>406708.078810575</v>
      </c>
      <c r="O19" s="54" t="n">
        <f aca="false">SUM(D19:N19)</f>
        <v>3699425.19033909</v>
      </c>
    </row>
    <row r="20" customFormat="false" ht="15" hidden="false" customHeight="false" outlineLevel="0" collapsed="false">
      <c r="A20" s="11" t="s">
        <v>2752</v>
      </c>
      <c r="B20" s="15" t="s">
        <v>2613</v>
      </c>
      <c r="C20" s="11" t="s">
        <v>508</v>
      </c>
      <c r="D20" s="48" t="n">
        <f aca="false">IF(cu_P=1,(SUMIFS(Calculo!$F$105:$ES$105,Calculo!$F$16:$ES$16,1)),(SUMIFS(Calculo!$F$261:$ES$261,Calculo!$F$172:$ES$172,1)))</f>
        <v>0</v>
      </c>
      <c r="E20" s="48" t="n">
        <f aca="false">IF(cu_P=1,(SUMIFS(Calculo!$F$105:$ES$105,Calculo!$F$14:$ES$14,1)),(SUMIFS(Calculo!$F$261:$ES$261,Calculo!$F$170:$ES$170,1)))</f>
        <v>271101.932431026</v>
      </c>
      <c r="F20" s="48" t="n">
        <f aca="false">IF(cu_P=1,(SUMIFS(Calculo!$F$105:$ES$105,Calculo!$F$14:$ES$14,2)),(SUMIFS(Calculo!$F$261:$ES$261,Calculo!$F$170:$ES$170,2)))</f>
        <v>226274.254121452</v>
      </c>
      <c r="G20" s="48" t="n">
        <f aca="false">IF(cu_P=1,(SUMIFS(Calculo!$F$105:$ES$105,Calculo!$F$14:$ES$14,3)),(SUMIFS(Calculo!$F$261:$ES$261,Calculo!$F$170:$ES$170,3)))</f>
        <v>169415.972941167</v>
      </c>
      <c r="H20" s="48" t="n">
        <f aca="false">IF(cu_P=1,(SUMIFS(Calculo!$F$105:$ES$105,Calculo!$F$14:$ES$14,4)),(SUMIFS(Calculo!$F$261:$ES$261,Calculo!$F$170:$ES$170,4)))</f>
        <v>107223.992796456</v>
      </c>
      <c r="I20" s="48" t="n">
        <f aca="false">IF(cu_P=1,(SUMIFS(Calculo!$F$105:$ES$105,Calculo!$F$14:$ES$14,5)),(SUMIFS(Calculo!$F$261:$ES$261,Calculo!$F$170:$ES$170,5)))</f>
        <v>39197.9759343531</v>
      </c>
      <c r="J20" s="48" t="n">
        <f aca="false">IF(cu_P=1,(SUMIFS(Calculo!$F$105:$ES$105,Calculo!$F$14:$ES$14,6)),(SUMIFS(Calculo!$F$261:$ES$261,Calculo!$F$170:$ES$170,6)))</f>
        <v>0</v>
      </c>
      <c r="K20" s="48" t="n">
        <f aca="false">IF(cu_P=1,(SUMIFS(Calculo!$F$105:$ES$105,Calculo!$F$14:$ES$14,7)),(SUMIFS(Calculo!$F$261:$ES$261,Calculo!$F$170:$ES$170,7)))</f>
        <v>0</v>
      </c>
      <c r="L20" s="48" t="n">
        <f aca="false">IF(cu_P=1,(SUMIFS(Calculo!$F$105:$ES$105,Calculo!$F$14:$ES$14,8)),(SUMIFS(Calculo!$F$261:$ES$261,Calculo!$F$170:$ES$170,8)))</f>
        <v>0</v>
      </c>
      <c r="M20" s="48" t="n">
        <f aca="false">IF(cu_P=1,(SUMIFS(Calculo!$F$105:$ES$105,Calculo!$F$14:$ES$14,9)),(SUMIFS(Calculo!$F$261:$ES$261,Calculo!$F$170:$ES$170,9)))</f>
        <v>0</v>
      </c>
      <c r="N20" s="48" t="n">
        <f aca="false">IF(cu_P=1,(SUMIFS(Calculo!$F$105:$ES$105,Calculo!$F$14:$ES$14,10)),(SUMIFS(Calculo!$F$261:$ES$261,Calculo!$F$170:$ES$170,10)))</f>
        <v>0</v>
      </c>
      <c r="O20" s="54" t="n">
        <f aca="false">SUM(D20:N20)</f>
        <v>813214.128224454</v>
      </c>
    </row>
    <row r="21" customFormat="false" ht="15" hidden="false" customHeight="false" outlineLevel="0" collapsed="false">
      <c r="A21" s="11" t="s">
        <v>2753</v>
      </c>
      <c r="B21" s="15" t="s">
        <v>2615</v>
      </c>
      <c r="C21" s="11" t="s">
        <v>508</v>
      </c>
      <c r="D21" s="48" t="n">
        <f aca="false">IF(cu_P=1,(SUMIFS(Calculo!$F$103:$ES$103,Calculo!$F$16:$ES$16,1)),(SUMIFS(Calculo!$F$259:$ES$259,Calculo!$F$172:$ES$172,1)))</f>
        <v>0</v>
      </c>
      <c r="E21" s="48" t="n">
        <f aca="false">IF(cu_P=1,(SUMIFS(Calculo!$F$103:$ES$103,Calculo!$F$14:$ES$14,1)),(SUMIFS(Calculo!$F$259:$ES$259,Calculo!$F$170:$ES$170,1)))</f>
        <v>71592.209</v>
      </c>
      <c r="F21" s="48" t="n">
        <f aca="false">IF(cu_P=1,(SUMIFS(Calculo!$F$103:$ES$103,Calculo!$F$14:$ES$14,2)),(SUMIFS(Calculo!$F$259:$ES$259,Calculo!$F$170:$ES$170,2)))</f>
        <v>81592.209</v>
      </c>
      <c r="G21" s="48" t="n">
        <f aca="false">IF(cu_P=1,(SUMIFS(Calculo!$F$103:$ES$103,Calculo!$F$14:$ES$14,3)),(SUMIFS(Calculo!$F$259:$ES$259,Calculo!$F$170:$ES$170,3)))</f>
        <v>81592.209</v>
      </c>
      <c r="H21" s="48" t="n">
        <f aca="false">IF(cu_P=1,(SUMIFS(Calculo!$F$103:$ES$103,Calculo!$F$14:$ES$14,4)),(SUMIFS(Calculo!$F$259:$ES$259,Calculo!$F$170:$ES$170,4)))</f>
        <v>81592.209</v>
      </c>
      <c r="I21" s="48" t="n">
        <f aca="false">IF(cu_P=1,(SUMIFS(Calculo!$F$103:$ES$103,Calculo!$F$14:$ES$14,5)),(SUMIFS(Calculo!$F$259:$ES$259,Calculo!$F$170:$ES$170,5)))</f>
        <v>81592.209</v>
      </c>
      <c r="J21" s="48" t="n">
        <f aca="false">IF(cu_P=1,(SUMIFS(Calculo!$F$103:$ES$103,Calculo!$F$14:$ES$14,6)),(SUMIFS(Calculo!$F$259:$ES$259,Calculo!$F$170:$ES$170,6)))</f>
        <v>69416.609</v>
      </c>
      <c r="K21" s="48" t="n">
        <f aca="false">IF(cu_P=1,(SUMIFS(Calculo!$F$103:$ES$103,Calculo!$F$14:$ES$14,7)),(SUMIFS(Calculo!$F$259:$ES$259,Calculo!$F$170:$ES$170,7)))</f>
        <v>69416.609</v>
      </c>
      <c r="L21" s="48" t="n">
        <f aca="false">IF(cu_P=1,(SUMIFS(Calculo!$F$103:$ES$103,Calculo!$F$14:$ES$14,8)),(SUMIFS(Calculo!$F$259:$ES$259,Calculo!$F$170:$ES$170,8)))</f>
        <v>69416.609</v>
      </c>
      <c r="M21" s="48" t="n">
        <f aca="false">IF(cu_P=1,(SUMIFS(Calculo!$F$103:$ES$103,Calculo!$F$14:$ES$14,9)),(SUMIFS(Calculo!$F$259:$ES$259,Calculo!$F$170:$ES$170,9)))</f>
        <v>69416.609</v>
      </c>
      <c r="N21" s="48" t="n">
        <f aca="false">IF(cu_P=1,(SUMIFS(Calculo!$F$103:$ES$103,Calculo!$F$14:$ES$14,10)),(SUMIFS(Calculo!$F$259:$ES$259,Calculo!$F$170:$ES$170,10)))</f>
        <v>69416.609</v>
      </c>
      <c r="O21" s="54" t="n">
        <f aca="false">SUM(D21:N21)</f>
        <v>745044.09</v>
      </c>
    </row>
    <row r="22" customFormat="false" ht="15" hidden="false" customHeight="false" outlineLevel="0" collapsed="false">
      <c r="A22" s="11" t="s">
        <v>2754</v>
      </c>
      <c r="B22" s="15" t="s">
        <v>2755</v>
      </c>
      <c r="C22" s="11" t="s">
        <v>508</v>
      </c>
      <c r="D22" s="48" t="n">
        <f aca="false">IFERROR(IF(COUNT(D17,D18,D19,D20,D21)=0,"",N(D17)-(N(D18)+N(D19)+N(D20)+N(D21))),"")</f>
        <v>0</v>
      </c>
      <c r="E22" s="48" t="n">
        <f aca="false">IFERROR(IF(COUNT(E17,E18,E19,E20,E21)=0,"",N(E17)-(N(E18)+N(E19)+N(E20)+N(E21))),"")</f>
        <v>0</v>
      </c>
      <c r="F22" s="48" t="n">
        <f aca="false">IFERROR(IF(COUNT(F17,F18,F19,F20,F21)=0,"",N(F17)-(N(F18)+N(F19)+N(F20)+N(F21))),"")</f>
        <v>0</v>
      </c>
      <c r="G22" s="48" t="n">
        <f aca="false">IFERROR(IF(COUNT(G17,G18,G19,G20,G21)=0,"",N(G17)-(N(G18)+N(G19)+N(G20)+N(G21))),"")</f>
        <v>0</v>
      </c>
      <c r="H22" s="48" t="n">
        <f aca="false">IFERROR(IF(COUNT(H17,H18,H19,H20,H21)=0,"",N(H17)-(N(H18)+N(H19)+N(H20)+N(H21))),"")</f>
        <v>0</v>
      </c>
      <c r="I22" s="48" t="n">
        <f aca="false">IFERROR(IF(COUNT(I17,I18,I19,I20,I21)=0,"",N(I17)-(N(I18)+N(I19)+N(I20)+N(I21))),"")</f>
        <v>0</v>
      </c>
      <c r="J22" s="48" t="n">
        <f aca="false">IFERROR(IF(COUNT(J17,J18,J19,J20,J21)=0,"",N(J17)-(N(J18)+N(J19)+N(J20)+N(J21))),"")</f>
        <v>0</v>
      </c>
      <c r="K22" s="48" t="n">
        <f aca="false">IFERROR(IF(COUNT(K17,K18,K19,K20,K21)=0,"",N(K17)-(N(K18)+N(K19)+N(K20)+N(K21))),"")</f>
        <v>0</v>
      </c>
      <c r="L22" s="48" t="n">
        <f aca="false">IFERROR(IF(COUNT(L17,L18,L19,L20,L21)=0,"",N(L17)-(N(L18)+N(L19)+N(L20)+N(L21))),"")</f>
        <v>0</v>
      </c>
      <c r="M22" s="48" t="n">
        <f aca="false">IFERROR(IF(COUNT(M17,M18,M19,M20,M21)=0,"",N(M17)-(N(M18)+N(M19)+N(M20)+N(M21))),"")</f>
        <v>0</v>
      </c>
      <c r="N22" s="48" t="n">
        <f aca="false">IFERROR(IF(COUNT(N17,N18,N19,N20,N21)=0,"",N(N17)-(N(N18)+N(N19)+N(N20)+N(N21))),"")</f>
        <v>0</v>
      </c>
      <c r="O22" s="54" t="n">
        <f aca="false">SUM(D22:N22)</f>
        <v>0</v>
      </c>
    </row>
    <row r="23" customFormat="false" ht="15" hidden="false" customHeight="false" outlineLevel="0" collapsed="false">
      <c r="A23" s="11" t="s">
        <v>2756</v>
      </c>
      <c r="B23" s="15" t="s">
        <v>2757</v>
      </c>
      <c r="C23" s="11" t="s">
        <v>508</v>
      </c>
      <c r="D23" s="48" t="n">
        <f aca="false">IFERROR(IF(COUNT(D8,D10)=0,"",N(D8)-N(D10)),"")</f>
        <v>0</v>
      </c>
      <c r="E23" s="48" t="n">
        <f aca="false">IFERROR(IF(COUNT(E8,E10)=0,"",N(E8)-N(E10)),"")</f>
        <v>1590036.01844237</v>
      </c>
      <c r="F23" s="48" t="n">
        <f aca="false">IFERROR(IF(COUNT(F8,F10)=0,"",N(F8)-N(F10)),"")</f>
        <v>2053017.44946287</v>
      </c>
      <c r="G23" s="48" t="n">
        <f aca="false">IFERROR(IF(COUNT(G8,G10)=0,"",N(G8)-N(G10)),"")</f>
        <v>2531024.495258</v>
      </c>
      <c r="H23" s="48" t="n">
        <f aca="false">IFERROR(IF(COUNT(H8,H10)=0,"",N(H8)-N(H10)),"")</f>
        <v>2957555.90497989</v>
      </c>
      <c r="I23" s="48" t="n">
        <f aca="false">IFERROR(IF(COUNT(I8,I10)=0,"",N(I8)-N(I10)),"")</f>
        <v>3012011.83630316</v>
      </c>
      <c r="J23" s="48" t="n">
        <f aca="false">IFERROR(IF(COUNT(J8,J10)=0,"",N(J8)-N(J10)),"")</f>
        <v>3068906.0497266</v>
      </c>
      <c r="K23" s="48" t="n">
        <f aca="false">IFERROR(IF(COUNT(K8,K10)=0,"",N(K8)-N(K10)),"")</f>
        <v>3126368.88371488</v>
      </c>
      <c r="L23" s="48" t="n">
        <f aca="false">IFERROR(IF(COUNT(L8,L10)=0,"",N(L8)-N(L10)),"")</f>
        <v>3184406.01804229</v>
      </c>
      <c r="M23" s="48" t="n">
        <f aca="false">IFERROR(IF(COUNT(M8,M10)=0,"",N(M8)-N(M10)),"")</f>
        <v>3243023.18915219</v>
      </c>
      <c r="N23" s="48" t="n">
        <f aca="false">IFERROR(IF(COUNT(N8,N10)=0,"",N(N8)-N(N10)),"")</f>
        <v>3302226.1907212</v>
      </c>
      <c r="O23" s="54" t="n">
        <f aca="false">SUM(D23:N23)</f>
        <v>28068576.0358035</v>
      </c>
    </row>
    <row r="24" customFormat="false" ht="15" hidden="false" customHeight="false" outlineLevel="0" collapsed="false">
      <c r="A24" s="11" t="s">
        <v>2758</v>
      </c>
      <c r="B24" s="15" t="s">
        <v>2759</v>
      </c>
      <c r="C24" s="11" t="s">
        <v>367</v>
      </c>
      <c r="D24" s="49" t="str">
        <f aca="false">IFERROR(IF(OR(NOT(ISNUMBER(D23)),N(D8)=0),"",D23/D8),"")</f>
        <v/>
      </c>
      <c r="E24" s="49" t="n">
        <f aca="false">IFERROR(IF(OR(NOT(ISNUMBER(E23)),N(E8)=0),"",E23/E8),"")</f>
        <v>0.327842478029355</v>
      </c>
      <c r="F24" s="49" t="n">
        <f aca="false">IFERROR(IF(OR(NOT(ISNUMBER(F23)),N(F8)=0),"",F23/F8),"")</f>
        <v>0.332138977781478</v>
      </c>
      <c r="G24" s="49" t="n">
        <f aca="false">IFERROR(IF(OR(NOT(ISNUMBER(G23)),N(G8)=0),"",G23/G8),"")</f>
        <v>0.335744697382079</v>
      </c>
      <c r="H24" s="49" t="n">
        <f aca="false">IFERROR(IF(OR(NOT(ISNUMBER(H23)),N(H8)=0),"",H23/H8),"")</f>
        <v>0.3405189351505</v>
      </c>
      <c r="I24" s="49" t="n">
        <f aca="false">IFERROR(IF(OR(NOT(ISNUMBER(I23)),N(I8)=0),"",I23/I8),"")</f>
        <v>0.343355180550051</v>
      </c>
      <c r="J24" s="49" t="n">
        <f aca="false">IFERROR(IF(OR(NOT(ISNUMBER(J23)),N(J8)=0),"",J23/J8),"")</f>
        <v>0.346377082420359</v>
      </c>
      <c r="K24" s="49" t="n">
        <f aca="false">IFERROR(IF(OR(NOT(ISNUMBER(K23)),N(K8)=0),"",K23/K8),"")</f>
        <v>0.349369028535068</v>
      </c>
      <c r="L24" s="49" t="n">
        <f aca="false">IFERROR(IF(OR(NOT(ISNUMBER(L23)),N(L8)=0),"",L23/L8),"")</f>
        <v>0.352331315130024</v>
      </c>
      <c r="M24" s="49" t="n">
        <f aca="false">IFERROR(IF(OR(NOT(ISNUMBER(M23)),N(M8)=0),"",M23/M8),"")</f>
        <v>0.355264235504524</v>
      </c>
      <c r="N24" s="49" t="n">
        <f aca="false">IFERROR(IF(OR(NOT(ISNUMBER(N23)),N(N8)=0),"",N23/N8),"")</f>
        <v>0.358168080050351</v>
      </c>
      <c r="O24" s="99" t="n">
        <f aca="false">IFERROR(IF(OR(NOT(ISNUMBER(O23)),N(O8)=0),"",O23/O8),"")</f>
        <v>0.345576584098971</v>
      </c>
    </row>
    <row r="25" customFormat="false" ht="15" hidden="false" customHeight="false" outlineLevel="0" collapsed="false">
      <c r="A25" s="11" t="s">
        <v>2760</v>
      </c>
      <c r="B25" s="67" t="s">
        <v>2761</v>
      </c>
      <c r="C25" s="11" t="s">
        <v>508</v>
      </c>
      <c r="D25" s="54" t="str">
        <f aca="false">IFERROR(IF(N(D24)&lt;=0,"",D17/D24),"")</f>
        <v/>
      </c>
      <c r="E25" s="54" t="n">
        <f aca="false">IFERROR(IF(N(E24)&lt;=0,"",E17/E24),"")</f>
        <v>4339767.56983555</v>
      </c>
      <c r="F25" s="54" t="n">
        <f aca="false">IFERROR(IF(N(F24)&lt;=0,"",F17/F24),"")</f>
        <v>4199829.4990072</v>
      </c>
      <c r="G25" s="54" t="n">
        <f aca="false">IFERROR(IF(N(G24)&lt;=0,"",G17/G24),"")</f>
        <v>4101367.25182773</v>
      </c>
      <c r="H25" s="54" t="n">
        <f aca="false">IFERROR(IF(N(H24)&lt;=0,"",H17/H24),"")</f>
        <v>3957633.50905118</v>
      </c>
      <c r="I25" s="54" t="n">
        <f aca="false">IFERROR(IF(N(I24)&lt;=0,"",I17/I24),"")</f>
        <v>3839301.45049571</v>
      </c>
      <c r="J25" s="54" t="n">
        <f aca="false">IFERROR(IF(N(J24)&lt;=0,"",J17/J24),"")</f>
        <v>3680143.46747601</v>
      </c>
      <c r="K25" s="54" t="n">
        <f aca="false">IFERROR(IF(N(K24)&lt;=0,"",K17/K24),"")</f>
        <v>3671742.82225572</v>
      </c>
      <c r="L25" s="54" t="n">
        <f aca="false">IFERROR(IF(N(L24)&lt;=0,"",L17/L24),"")</f>
        <v>3664462.25198682</v>
      </c>
      <c r="M25" s="54" t="n">
        <f aca="false">IFERROR(IF(N(M24)&lt;=0,"",M17/M24),"")</f>
        <v>3658288.43007406</v>
      </c>
      <c r="N25" s="54" t="n">
        <f aca="false">IFERROR(IF(N(N24)&lt;=0,"",N17/N24),"")</f>
        <v>3653209.63877133</v>
      </c>
    </row>
    <row r="26" customFormat="false" ht="15" hidden="false" customHeight="false" outlineLevel="0" collapsed="false">
      <c r="A26" s="11" t="s">
        <v>2762</v>
      </c>
      <c r="B26" s="15" t="s">
        <v>2763</v>
      </c>
      <c r="C26" s="11" t="s">
        <v>544</v>
      </c>
      <c r="D26" s="48" t="n">
        <f aca="false">IF(cu_P=1,SUMPRODUCT((Calculo!$F$16:$ES$16=1)*Calculo!$F$21:$ES$45),SUMPRODUCT((Calculo!$F$172:$ES$172=1)*Calculo!$F$177:$ES$201))</f>
        <v>0</v>
      </c>
      <c r="E26" s="48" t="n">
        <f aca="false">IF(cu_P=1,SUMPRODUCT((Calculo!$F$14:$ES$14=1)*Calculo!$F$21:$ES$45),SUMPRODUCT((Calculo!$F$170:$ES$170=1)*Calculo!$F$177:$ES$201))</f>
        <v>82000</v>
      </c>
      <c r="F26" s="48" t="n">
        <f aca="false">IF(cu_P=1,SUMPRODUCT((Calculo!$F$14:$ES$14=2)*Calculo!$F$21:$ES$45),SUMPRODUCT((Calculo!$F$170:$ES$170=2)*Calculo!$F$177:$ES$201))</f>
        <v>105000</v>
      </c>
      <c r="G26" s="48" t="n">
        <f aca="false">IF(cu_P=1,SUMPRODUCT((Calculo!$F$14:$ES$14=3)*Calculo!$F$21:$ES$45),SUMPRODUCT((Calculo!$F$170:$ES$170=3)*Calculo!$F$177:$ES$201))</f>
        <v>128000</v>
      </c>
      <c r="H26" s="48" t="n">
        <f aca="false">IF(cu_P=1,SUMPRODUCT((Calculo!$F$14:$ES$14=4)*Calculo!$F$21:$ES$45),SUMPRODUCT((Calculo!$F$170:$ES$170=4)*Calculo!$F$177:$ES$201))</f>
        <v>141000</v>
      </c>
      <c r="I26" s="48" t="n">
        <f aca="false">IF(cu_P=1,SUMPRODUCT((Calculo!$F$14:$ES$14=5)*Calculo!$F$21:$ES$45),SUMPRODUCT((Calculo!$F$170:$ES$170=5)*Calculo!$F$177:$ES$201))</f>
        <v>141000</v>
      </c>
      <c r="J26" s="48" t="n">
        <f aca="false">IF(cu_P=1,SUMPRODUCT((Calculo!$F$14:$ES$14=6)*Calculo!$F$21:$ES$45),SUMPRODUCT((Calculo!$F$170:$ES$170=6)*Calculo!$F$177:$ES$201))</f>
        <v>141000</v>
      </c>
      <c r="K26" s="48" t="n">
        <f aca="false">IF(cu_P=1,SUMPRODUCT((Calculo!$F$14:$ES$14=7)*Calculo!$F$21:$ES$45),SUMPRODUCT((Calculo!$F$170:$ES$170=7)*Calculo!$F$177:$ES$201))</f>
        <v>141000</v>
      </c>
      <c r="L26" s="48" t="n">
        <f aca="false">IF(cu_P=1,SUMPRODUCT((Calculo!$F$14:$ES$14=8)*Calculo!$F$21:$ES$45),SUMPRODUCT((Calculo!$F$170:$ES$170=8)*Calculo!$F$177:$ES$201))</f>
        <v>141000</v>
      </c>
      <c r="M26" s="48" t="n">
        <f aca="false">IF(cu_P=1,SUMPRODUCT((Calculo!$F$14:$ES$14=9)*Calculo!$F$21:$ES$45),SUMPRODUCT((Calculo!$F$170:$ES$170=9)*Calculo!$F$177:$ES$201))</f>
        <v>141000</v>
      </c>
      <c r="N26" s="48" t="n">
        <f aca="false">IF(cu_P=1,SUMPRODUCT((Calculo!$F$14:$ES$14=10)*Calculo!$F$21:$ES$45),SUMPRODUCT((Calculo!$F$170:$ES$170=10)*Calculo!$F$177:$ES$201))</f>
        <v>141000</v>
      </c>
      <c r="O26" s="54" t="n">
        <f aca="false">SUM(D26:N26)</f>
        <v>1302000</v>
      </c>
    </row>
    <row r="27" customFormat="false" ht="15" hidden="false" customHeight="false" outlineLevel="0" collapsed="false">
      <c r="A27" s="11" t="s">
        <v>2764</v>
      </c>
      <c r="B27" s="67" t="s">
        <v>2765</v>
      </c>
      <c r="C27" s="11" t="s">
        <v>544</v>
      </c>
      <c r="D27" s="54" t="str">
        <f aca="false">IFERROR(IF(N(D8)=0,"",D25*D26/D8),"")</f>
        <v/>
      </c>
      <c r="E27" s="54" t="n">
        <f aca="false">IFERROR(IF(N(E8)=0,"",E25*E26/E8),"")</f>
        <v>73373.3898405186</v>
      </c>
      <c r="F27" s="54" t="n">
        <f aca="false">IFERROR(IF(N(F8)=0,"",F25*F26/F8),"")</f>
        <v>71342.4735319607</v>
      </c>
      <c r="G27" s="54" t="n">
        <f aca="false">IFERROR(IF(N(G8)=0,"",G25*G26/G8),"")</f>
        <v>69638.8263341145</v>
      </c>
      <c r="H27" s="54" t="n">
        <f aca="false">IFERROR(IF(N(H8)=0,"",H25*H26/H8),"")</f>
        <v>64248.4997760461</v>
      </c>
      <c r="I27" s="54" t="n">
        <f aca="false">IFERROR(IF(N(I8)=0,"",I25*I26/I8),"")</f>
        <v>61710.3849936388</v>
      </c>
      <c r="J27" s="54" t="n">
        <f aca="false">IFERROR(IF(N(J8)=0,"",J25*J26/J8),"")</f>
        <v>58566.5199410522</v>
      </c>
      <c r="K27" s="54" t="n">
        <f aca="false">IFERROR(IF(N(K8)=0,"",K25*K26/K8),"")</f>
        <v>57854.2875611698</v>
      </c>
      <c r="L27" s="54" t="n">
        <f aca="false">IFERROR(IF(N(L8)=0,"",L25*L26/L8),"")</f>
        <v>57167.8914061855</v>
      </c>
      <c r="M27" s="54" t="n">
        <f aca="false">IFERROR(IF(N(M8)=0,"",M25*M26/M8),"")</f>
        <v>56506.5108342362</v>
      </c>
      <c r="N27" s="54" t="n">
        <f aca="false">IFERROR(IF(N(N8)=0,"",N25*N26/N8),"")</f>
        <v>55869.3693146654</v>
      </c>
    </row>
    <row r="28" customFormat="false" ht="15" hidden="false" customHeight="false" outlineLevel="0" collapsed="false">
      <c r="A28" s="11" t="s">
        <v>2766</v>
      </c>
      <c r="B28" s="15" t="s">
        <v>2767</v>
      </c>
      <c r="C28" s="11" t="s">
        <v>367</v>
      </c>
      <c r="D28" s="49" t="str">
        <f aca="false">IFERROR(IF(N(D8)=0,"",1-D25/D8),"")</f>
        <v/>
      </c>
      <c r="E28" s="49" t="n">
        <f aca="false">IFERROR(IF(N(E8)=0,"",1-E25/E8),"")</f>
        <v>0.105202562920505</v>
      </c>
      <c r="F28" s="49" t="n">
        <f aca="false">IFERROR(IF(N(F8)=0,"",1-F25/F8),"")</f>
        <v>0.320547871124184</v>
      </c>
      <c r="G28" s="49" t="n">
        <f aca="false">IFERROR(IF(N(G8)=0,"",1-G25/G8),"")</f>
        <v>0.45594666926473</v>
      </c>
      <c r="H28" s="49" t="n">
        <f aca="false">IFERROR(IF(N(H8)=0,"",1-H25/H8),"")</f>
        <v>0.54433688102095</v>
      </c>
      <c r="I28" s="49" t="n">
        <f aca="false">IFERROR(IF(N(I8)=0,"",1-I25/I8),"")</f>
        <v>0.562337695080576</v>
      </c>
      <c r="J28" s="49" t="n">
        <f aca="false">IFERROR(IF(N(J8)=0,"",1-J25/J8),"")</f>
        <v>0.584634610347148</v>
      </c>
      <c r="K28" s="49" t="n">
        <f aca="false">IFERROR(IF(N(K8)=0,"",1-K25/K8),"")</f>
        <v>0.589685903821491</v>
      </c>
      <c r="L28" s="49" t="n">
        <f aca="false">IFERROR(IF(N(L8)=0,"",1-L25/L8),"")</f>
        <v>0.594553961658259</v>
      </c>
      <c r="M28" s="49" t="n">
        <f aca="false">IFERROR(IF(N(M8)=0,"",1-M25/M8),"")</f>
        <v>0.599244604012509</v>
      </c>
      <c r="N28" s="49" t="n">
        <f aca="false">IFERROR(IF(N(N8)=0,"",1-N25/N8),"")</f>
        <v>0.603763338193863</v>
      </c>
    </row>
    <row r="30" customFormat="false" ht="15" hidden="false" customHeight="false" outlineLevel="0" collapsed="false">
      <c r="A30" s="65" t="s">
        <v>1992</v>
      </c>
      <c r="B30" s="64"/>
      <c r="C30" s="64"/>
      <c r="D30" s="64"/>
      <c r="E30" s="64"/>
      <c r="F30" s="64"/>
      <c r="G30" s="64"/>
      <c r="H30" s="64"/>
      <c r="I30" s="64"/>
      <c r="J30" s="64"/>
      <c r="K30" s="64"/>
      <c r="L30" s="64"/>
      <c r="M30" s="64"/>
      <c r="N30" s="64"/>
      <c r="O30" s="64"/>
    </row>
    <row r="31" customFormat="false" ht="24" hidden="false" customHeight="true" outlineLevel="0" collapsed="false">
      <c r="A31" s="14"/>
      <c r="B31" s="14" t="s">
        <v>1530</v>
      </c>
      <c r="C31" s="14" t="s">
        <v>355</v>
      </c>
      <c r="D31" s="14" t="s">
        <v>1857</v>
      </c>
      <c r="E31" s="14" t="s">
        <v>452</v>
      </c>
      <c r="F31" s="14" t="s">
        <v>453</v>
      </c>
      <c r="G31" s="14" t="s">
        <v>454</v>
      </c>
      <c r="H31" s="14" t="s">
        <v>455</v>
      </c>
      <c r="I31" s="14" t="s">
        <v>456</v>
      </c>
      <c r="J31" s="14" t="s">
        <v>457</v>
      </c>
      <c r="K31" s="14" t="s">
        <v>458</v>
      </c>
      <c r="L31" s="14" t="s">
        <v>459</v>
      </c>
      <c r="M31" s="14" t="s">
        <v>460</v>
      </c>
      <c r="N31" s="14" t="s">
        <v>461</v>
      </c>
      <c r="O31" s="14" t="s">
        <v>549</v>
      </c>
    </row>
    <row r="32" customFormat="false" ht="15" hidden="false" customHeight="false" outlineLevel="0" collapsed="false">
      <c r="B32" s="11" t="s">
        <v>1993</v>
      </c>
      <c r="D32" s="86" t="str">
        <f aca="false">IF(OR(n_Fecha1="",IF(cu_P=1,P_Inicio,V_Inicio)=1),"",YEAR(n_Fecha1))</f>
        <v/>
      </c>
      <c r="E32" s="86" t="str">
        <f aca="false">IF(n_Fecha1="","",YEAR(EOMONTH(n_Fecha1,IF(cu_P=1,P_Inicio,V_Inicio)-1+0)))</f>
        <v/>
      </c>
      <c r="F32" s="86" t="str">
        <f aca="false">IF(n_Fecha1="","",YEAR(EOMONTH(n_Fecha1,IF(cu_P=1,P_Inicio,V_Inicio)-1+12)))</f>
        <v/>
      </c>
      <c r="G32" s="86" t="str">
        <f aca="false">IF(n_Fecha1="","",YEAR(EOMONTH(n_Fecha1,IF(cu_P=1,P_Inicio,V_Inicio)-1+24)))</f>
        <v/>
      </c>
      <c r="H32" s="86" t="str">
        <f aca="false">IF(n_Fecha1="","",YEAR(EOMONTH(n_Fecha1,IF(cu_P=1,P_Inicio,V_Inicio)-1+36)))</f>
        <v/>
      </c>
      <c r="I32" s="86" t="str">
        <f aca="false">IF(n_Fecha1="","",YEAR(EOMONTH(n_Fecha1,IF(cu_P=1,P_Inicio,V_Inicio)-1+48)))</f>
        <v/>
      </c>
      <c r="J32" s="86" t="str">
        <f aca="false">IF(n_Fecha1="","",YEAR(EOMONTH(n_Fecha1,IF(cu_P=1,P_Inicio,V_Inicio)-1+60)))</f>
        <v/>
      </c>
      <c r="K32" s="86" t="str">
        <f aca="false">IF(n_Fecha1="","",YEAR(EOMONTH(n_Fecha1,IF(cu_P=1,P_Inicio,V_Inicio)-1+72)))</f>
        <v/>
      </c>
      <c r="L32" s="86" t="str">
        <f aca="false">IF(n_Fecha1="","",YEAR(EOMONTH(n_Fecha1,IF(cu_P=1,P_Inicio,V_Inicio)-1+84)))</f>
        <v/>
      </c>
      <c r="M32" s="86" t="str">
        <f aca="false">IF(n_Fecha1="","",YEAR(EOMONTH(n_Fecha1,IF(cu_P=1,P_Inicio,V_Inicio)-1+96)))</f>
        <v/>
      </c>
      <c r="N32" s="86" t="str">
        <f aca="false">IF(n_Fecha1="","",YEAR(EOMONTH(n_Fecha1,IF(cu_P=1,P_Inicio,V_Inicio)-1+108)))</f>
        <v/>
      </c>
    </row>
    <row r="33" customFormat="false" ht="15" hidden="false" customHeight="false" outlineLevel="0" collapsed="false">
      <c r="A33" s="11" t="s">
        <v>2736</v>
      </c>
      <c r="B33" s="67" t="s">
        <v>2684</v>
      </c>
      <c r="C33" s="11" t="s">
        <v>508</v>
      </c>
      <c r="D33" s="37"/>
      <c r="E33" s="37" t="n">
        <v>4850000</v>
      </c>
      <c r="F33" s="37" t="n">
        <v>6181200</v>
      </c>
      <c r="G33" s="37" t="n">
        <v>7538539</v>
      </c>
      <c r="H33" s="37" t="n">
        <v>8685437</v>
      </c>
      <c r="I33" s="37" t="n">
        <v>8772292</v>
      </c>
      <c r="J33" s="37" t="n">
        <v>8860015</v>
      </c>
      <c r="K33" s="37" t="n">
        <v>8948615</v>
      </c>
      <c r="L33" s="37" t="n">
        <v>9038101</v>
      </c>
      <c r="M33" s="37" t="n">
        <v>9128482</v>
      </c>
      <c r="N33" s="37" t="n">
        <v>9219767</v>
      </c>
      <c r="O33" s="54" t="n">
        <f aca="false">IF(COUNT(D33:N33)=0,"",SUM(D33:N33))</f>
        <v>81222448</v>
      </c>
    </row>
    <row r="34" customFormat="false" ht="15" hidden="false" customHeight="false" outlineLevel="0" collapsed="false">
      <c r="A34" s="11" t="s">
        <v>2737</v>
      </c>
      <c r="B34" s="67" t="s">
        <v>2603</v>
      </c>
      <c r="C34" s="11" t="s">
        <v>508</v>
      </c>
      <c r="D34" s="37"/>
      <c r="E34" s="37" t="n">
        <v>4548078</v>
      </c>
      <c r="F34" s="37" t="n">
        <v>5450056</v>
      </c>
      <c r="G34" s="37" t="n">
        <v>6299788</v>
      </c>
      <c r="H34" s="37" t="n">
        <v>6977948</v>
      </c>
      <c r="I34" s="37" t="n">
        <v>6968286</v>
      </c>
      <c r="J34" s="37" t="n">
        <v>6957607</v>
      </c>
      <c r="K34" s="37" t="n">
        <v>6974375</v>
      </c>
      <c r="L34" s="37" t="n">
        <v>7003749</v>
      </c>
      <c r="M34" s="37" t="n">
        <v>7033564</v>
      </c>
      <c r="N34" s="37" t="n">
        <v>7063828</v>
      </c>
      <c r="O34" s="54" t="n">
        <f aca="false">IF(COUNT(D34:N34)=0,"",SUM(D34:N34))</f>
        <v>65277279</v>
      </c>
    </row>
    <row r="35" customFormat="false" ht="15" hidden="false" customHeight="false" outlineLevel="0" collapsed="false">
      <c r="A35" s="11" t="s">
        <v>2738</v>
      </c>
      <c r="B35" s="67" t="s">
        <v>2739</v>
      </c>
      <c r="C35" s="11" t="s">
        <v>508</v>
      </c>
      <c r="D35" s="37"/>
      <c r="E35" s="37" t="n">
        <v>3298569</v>
      </c>
      <c r="F35" s="37" t="n">
        <v>4167382</v>
      </c>
      <c r="G35" s="37" t="n">
        <v>5038164</v>
      </c>
      <c r="H35" s="37" t="n">
        <v>5748282</v>
      </c>
      <c r="I35" s="37" t="n">
        <v>5771119</v>
      </c>
      <c r="J35" s="37" t="n">
        <v>5792435</v>
      </c>
      <c r="K35" s="37" t="n">
        <v>5813958</v>
      </c>
      <c r="L35" s="37" t="n">
        <v>5835690</v>
      </c>
      <c r="M35" s="37" t="n">
        <v>5857633</v>
      </c>
      <c r="N35" s="37" t="n">
        <v>5879790</v>
      </c>
      <c r="O35" s="54" t="n">
        <f aca="false">IF(COUNT(D35:N35)=0,"",SUM(D35:N35))</f>
        <v>53203022</v>
      </c>
    </row>
    <row r="36" customFormat="false" ht="15" hidden="false" customHeight="false" outlineLevel="0" collapsed="false">
      <c r="A36" s="11" t="s">
        <v>2740</v>
      </c>
      <c r="B36" s="15" t="s">
        <v>2607</v>
      </c>
      <c r="C36" s="11" t="s">
        <v>508</v>
      </c>
      <c r="D36" s="37"/>
      <c r="E36" s="37"/>
      <c r="F36" s="37"/>
      <c r="G36" s="37"/>
      <c r="H36" s="37"/>
      <c r="I36" s="37"/>
      <c r="J36" s="37"/>
      <c r="K36" s="37"/>
      <c r="L36" s="37"/>
      <c r="M36" s="37"/>
      <c r="N36" s="37"/>
      <c r="O36" s="54" t="str">
        <f aca="false">IF(COUNT(D36:N36)=0,"",SUM(D36:N36))</f>
        <v/>
      </c>
    </row>
    <row r="37" customFormat="false" ht="15" hidden="false" customHeight="false" outlineLevel="0" collapsed="false">
      <c r="A37" s="11" t="s">
        <v>2741</v>
      </c>
      <c r="B37" s="15" t="s">
        <v>2293</v>
      </c>
      <c r="C37" s="11" t="s">
        <v>508</v>
      </c>
      <c r="D37" s="37"/>
      <c r="E37" s="37"/>
      <c r="F37" s="37"/>
      <c r="G37" s="37"/>
      <c r="H37" s="37"/>
      <c r="I37" s="37"/>
      <c r="J37" s="37"/>
      <c r="K37" s="37"/>
      <c r="L37" s="37"/>
      <c r="M37" s="37"/>
      <c r="N37" s="37"/>
      <c r="O37" s="54" t="str">
        <f aca="false">IF(COUNT(D37:N37)=0,"",SUM(D37:N37))</f>
        <v/>
      </c>
    </row>
    <row r="38" customFormat="false" ht="15" hidden="false" customHeight="false" outlineLevel="0" collapsed="false">
      <c r="A38" s="11" t="s">
        <v>2742</v>
      </c>
      <c r="B38" s="15" t="s">
        <v>1140</v>
      </c>
      <c r="C38" s="11" t="s">
        <v>508</v>
      </c>
      <c r="D38" s="37"/>
      <c r="E38" s="37"/>
      <c r="F38" s="37"/>
      <c r="G38" s="37"/>
      <c r="H38" s="37"/>
      <c r="I38" s="37"/>
      <c r="J38" s="37"/>
      <c r="K38" s="37"/>
      <c r="L38" s="37"/>
      <c r="M38" s="37"/>
      <c r="N38" s="37"/>
      <c r="O38" s="54" t="str">
        <f aca="false">IF(COUNT(D38:N38)=0,"",SUM(D38:N38))</f>
        <v/>
      </c>
    </row>
    <row r="39" customFormat="false" ht="15" hidden="false" customHeight="false" outlineLevel="0" collapsed="false">
      <c r="A39" s="11" t="s">
        <v>2743</v>
      </c>
      <c r="B39" s="15" t="s">
        <v>1142</v>
      </c>
      <c r="C39" s="11" t="s">
        <v>508</v>
      </c>
      <c r="D39" s="37"/>
      <c r="E39" s="37"/>
      <c r="F39" s="37"/>
      <c r="G39" s="37"/>
      <c r="H39" s="37"/>
      <c r="I39" s="37"/>
      <c r="J39" s="37"/>
      <c r="K39" s="37"/>
      <c r="L39" s="37"/>
      <c r="M39" s="37"/>
      <c r="N39" s="37"/>
      <c r="O39" s="54" t="str">
        <f aca="false">IF(COUNT(D39:N39)=0,"",SUM(D39:N39))</f>
        <v/>
      </c>
    </row>
    <row r="40" customFormat="false" ht="15" hidden="false" customHeight="false" outlineLevel="0" collapsed="false">
      <c r="A40" s="11" t="s">
        <v>2744</v>
      </c>
      <c r="B40" s="15" t="s">
        <v>1011</v>
      </c>
      <c r="C40" s="11" t="s">
        <v>508</v>
      </c>
      <c r="D40" s="37"/>
      <c r="E40" s="37"/>
      <c r="F40" s="37"/>
      <c r="G40" s="37"/>
      <c r="H40" s="37"/>
      <c r="I40" s="37"/>
      <c r="J40" s="37"/>
      <c r="K40" s="37"/>
      <c r="L40" s="37"/>
      <c r="M40" s="37"/>
      <c r="N40" s="37"/>
      <c r="O40" s="54" t="str">
        <f aca="false">IF(COUNT(D40:N40)=0,"",SUM(D40:N40))</f>
        <v/>
      </c>
    </row>
    <row r="41" customFormat="false" ht="15" hidden="false" customHeight="false" outlineLevel="0" collapsed="false">
      <c r="A41" s="11" t="s">
        <v>2745</v>
      </c>
      <c r="B41" s="15" t="s">
        <v>1151</v>
      </c>
      <c r="C41" s="11" t="s">
        <v>508</v>
      </c>
      <c r="D41" s="37"/>
      <c r="E41" s="37"/>
      <c r="F41" s="37"/>
      <c r="G41" s="37"/>
      <c r="H41" s="37"/>
      <c r="I41" s="37"/>
      <c r="J41" s="37"/>
      <c r="K41" s="37"/>
      <c r="L41" s="37"/>
      <c r="M41" s="37"/>
      <c r="N41" s="37"/>
      <c r="O41" s="54" t="str">
        <f aca="false">IF(COUNT(D41:N41)=0,"",SUM(D41:N41))</f>
        <v/>
      </c>
    </row>
    <row r="42" customFormat="false" ht="15" hidden="false" customHeight="false" outlineLevel="0" collapsed="false">
      <c r="A42" s="11" t="s">
        <v>2746</v>
      </c>
      <c r="B42" s="67" t="s">
        <v>2747</v>
      </c>
      <c r="C42" s="11" t="s">
        <v>508</v>
      </c>
      <c r="D42" s="54" t="str">
        <f aca="false">IFERROR(IF(COUNT(D34,D35)=0,"",N(D34)-N(D35)),"")</f>
        <v/>
      </c>
      <c r="E42" s="54" t="n">
        <f aca="false">IFERROR(IF(COUNT(E34,E35)=0,"",N(E34)-N(E35)),"")</f>
        <v>1249509</v>
      </c>
      <c r="F42" s="54" t="n">
        <f aca="false">IFERROR(IF(COUNT(F34,F35)=0,"",N(F34)-N(F35)),"")</f>
        <v>1282674</v>
      </c>
      <c r="G42" s="54" t="n">
        <f aca="false">IFERROR(IF(COUNT(G34,G35)=0,"",N(G34)-N(G35)),"")</f>
        <v>1261624</v>
      </c>
      <c r="H42" s="54" t="n">
        <f aca="false">IFERROR(IF(COUNT(H34,H35)=0,"",N(H34)-N(H35)),"")</f>
        <v>1229666</v>
      </c>
      <c r="I42" s="54" t="n">
        <f aca="false">IFERROR(IF(COUNT(I34,I35)=0,"",N(I34)-N(I35)),"")</f>
        <v>1197167</v>
      </c>
      <c r="J42" s="54" t="n">
        <f aca="false">IFERROR(IF(COUNT(J34,J35)=0,"",N(J34)-N(J35)),"")</f>
        <v>1165172</v>
      </c>
      <c r="K42" s="54" t="n">
        <f aca="false">IFERROR(IF(COUNT(K34,K35)=0,"",N(K34)-N(K35)),"")</f>
        <v>1160417</v>
      </c>
      <c r="L42" s="54" t="n">
        <f aca="false">IFERROR(IF(COUNT(L34,L35)=0,"",N(L34)-N(L35)),"")</f>
        <v>1168059</v>
      </c>
      <c r="M42" s="54" t="n">
        <f aca="false">IFERROR(IF(COUNT(M34,M35)=0,"",N(M34)-N(M35)),"")</f>
        <v>1175931</v>
      </c>
      <c r="N42" s="54" t="n">
        <f aca="false">IFERROR(IF(COUNT(N34,N35)=0,"",N(N34)-N(N35)),"")</f>
        <v>1184038</v>
      </c>
      <c r="O42" s="54" t="n">
        <f aca="false">IF(COUNT(D42:N42)=0,"",SUM(D42:N42))</f>
        <v>12074257</v>
      </c>
    </row>
    <row r="43" customFormat="false" ht="15" hidden="false" customHeight="false" outlineLevel="0" collapsed="false">
      <c r="A43" s="11" t="s">
        <v>2748</v>
      </c>
      <c r="B43" s="15" t="s">
        <v>2749</v>
      </c>
      <c r="C43" s="11" t="s">
        <v>508</v>
      </c>
      <c r="D43" s="37"/>
      <c r="E43" s="37"/>
      <c r="F43" s="37"/>
      <c r="G43" s="37"/>
      <c r="H43" s="37"/>
      <c r="I43" s="37"/>
      <c r="J43" s="37"/>
      <c r="K43" s="37"/>
      <c r="L43" s="37"/>
      <c r="M43" s="37"/>
      <c r="N43" s="37"/>
      <c r="O43" s="54" t="str">
        <f aca="false">IF(COUNT(D43:N43)=0,"",SUM(D43:N43))</f>
        <v/>
      </c>
    </row>
    <row r="44" customFormat="false" ht="15" hidden="false" customHeight="false" outlineLevel="0" collapsed="false">
      <c r="A44" s="11" t="s">
        <v>2750</v>
      </c>
      <c r="B44" s="15" t="s">
        <v>2751</v>
      </c>
      <c r="C44" s="11" t="s">
        <v>508</v>
      </c>
      <c r="D44" s="37"/>
      <c r="E44" s="37"/>
      <c r="F44" s="37"/>
      <c r="G44" s="37"/>
      <c r="H44" s="37"/>
      <c r="I44" s="37"/>
      <c r="J44" s="37"/>
      <c r="K44" s="37"/>
      <c r="L44" s="37"/>
      <c r="M44" s="37"/>
      <c r="N44" s="37"/>
      <c r="O44" s="54" t="str">
        <f aca="false">IF(COUNT(D44:N44)=0,"",SUM(D44:N44))</f>
        <v/>
      </c>
    </row>
    <row r="45" customFormat="false" ht="15" hidden="false" customHeight="false" outlineLevel="0" collapsed="false">
      <c r="A45" s="11" t="s">
        <v>2752</v>
      </c>
      <c r="B45" s="15" t="s">
        <v>2613</v>
      </c>
      <c r="C45" s="11" t="s">
        <v>508</v>
      </c>
      <c r="D45" s="37"/>
      <c r="E45" s="37"/>
      <c r="F45" s="37"/>
      <c r="G45" s="37"/>
      <c r="H45" s="37"/>
      <c r="I45" s="37"/>
      <c r="J45" s="37"/>
      <c r="K45" s="37"/>
      <c r="L45" s="37"/>
      <c r="M45" s="37"/>
      <c r="N45" s="37"/>
      <c r="O45" s="54" t="str">
        <f aca="false">IF(COUNT(D45:N45)=0,"",SUM(D45:N45))</f>
        <v/>
      </c>
    </row>
    <row r="46" customFormat="false" ht="15" hidden="false" customHeight="false" outlineLevel="0" collapsed="false">
      <c r="A46" s="11" t="s">
        <v>2753</v>
      </c>
      <c r="B46" s="15" t="s">
        <v>2615</v>
      </c>
      <c r="C46" s="11" t="s">
        <v>508</v>
      </c>
      <c r="D46" s="37"/>
      <c r="E46" s="37"/>
      <c r="F46" s="37"/>
      <c r="G46" s="37"/>
      <c r="H46" s="37"/>
      <c r="I46" s="37"/>
      <c r="J46" s="37"/>
      <c r="K46" s="37"/>
      <c r="L46" s="37"/>
      <c r="M46" s="37"/>
      <c r="N46" s="37"/>
      <c r="O46" s="54" t="str">
        <f aca="false">IF(COUNT(D46:N46)=0,"",SUM(D46:N46))</f>
        <v/>
      </c>
    </row>
    <row r="47" customFormat="false" ht="15" hidden="false" customHeight="false" outlineLevel="0" collapsed="false">
      <c r="A47" s="11" t="s">
        <v>2754</v>
      </c>
      <c r="B47" s="15" t="s">
        <v>2755</v>
      </c>
      <c r="C47" s="11" t="s">
        <v>508</v>
      </c>
      <c r="D47" s="48" t="str">
        <f aca="false">IFERROR(IF(COUNT(D42,D43,D44,D45,D46)=0,"",N(D42)-(N(D43)+N(D44)+N(D45)+N(D46))),"")</f>
        <v/>
      </c>
      <c r="E47" s="48" t="n">
        <f aca="false">IFERROR(IF(COUNT(E42,E43,E44,E45,E46)=0,"",N(E42)-(N(E43)+N(E44)+N(E45)+N(E46))),"")</f>
        <v>1249509</v>
      </c>
      <c r="F47" s="48" t="n">
        <f aca="false">IFERROR(IF(COUNT(F42,F43,F44,F45,F46)=0,"",N(F42)-(N(F43)+N(F44)+N(F45)+N(F46))),"")</f>
        <v>1282674</v>
      </c>
      <c r="G47" s="48" t="n">
        <f aca="false">IFERROR(IF(COUNT(G42,G43,G44,G45,G46)=0,"",N(G42)-(N(G43)+N(G44)+N(G45)+N(G46))),"")</f>
        <v>1261624</v>
      </c>
      <c r="H47" s="48" t="n">
        <f aca="false">IFERROR(IF(COUNT(H42,H43,H44,H45,H46)=0,"",N(H42)-(N(H43)+N(H44)+N(H45)+N(H46))),"")</f>
        <v>1229666</v>
      </c>
      <c r="I47" s="48" t="n">
        <f aca="false">IFERROR(IF(COUNT(I42,I43,I44,I45,I46)=0,"",N(I42)-(N(I43)+N(I44)+N(I45)+N(I46))),"")</f>
        <v>1197167</v>
      </c>
      <c r="J47" s="48" t="n">
        <f aca="false">IFERROR(IF(COUNT(J42,J43,J44,J45,J46)=0,"",N(J42)-(N(J43)+N(J44)+N(J45)+N(J46))),"")</f>
        <v>1165172</v>
      </c>
      <c r="K47" s="48" t="n">
        <f aca="false">IFERROR(IF(COUNT(K42,K43,K44,K45,K46)=0,"",N(K42)-(N(K43)+N(K44)+N(K45)+N(K46))),"")</f>
        <v>1160417</v>
      </c>
      <c r="L47" s="48" t="n">
        <f aca="false">IFERROR(IF(COUNT(L42,L43,L44,L45,L46)=0,"",N(L42)-(N(L43)+N(L44)+N(L45)+N(L46))),"")</f>
        <v>1168059</v>
      </c>
      <c r="M47" s="48" t="n">
        <f aca="false">IFERROR(IF(COUNT(M42,M43,M44,M45,M46)=0,"",N(M42)-(N(M43)+N(M44)+N(M45)+N(M46))),"")</f>
        <v>1175931</v>
      </c>
      <c r="N47" s="48" t="n">
        <f aca="false">IFERROR(IF(COUNT(N42,N43,N44,N45,N46)=0,"",N(N42)-(N(N43)+N(N44)+N(N45)+N(N46))),"")</f>
        <v>1184038</v>
      </c>
      <c r="O47" s="54" t="n">
        <f aca="false">IF(COUNT(D47:N47)=0,"",SUM(D47:N47))</f>
        <v>12074257</v>
      </c>
    </row>
    <row r="48" customFormat="false" ht="15" hidden="false" customHeight="false" outlineLevel="0" collapsed="false">
      <c r="A48" s="11" t="s">
        <v>2756</v>
      </c>
      <c r="B48" s="15" t="s">
        <v>2757</v>
      </c>
      <c r="C48" s="11" t="s">
        <v>508</v>
      </c>
      <c r="D48" s="48" t="str">
        <f aca="false">IFERROR(IF(COUNT(D33,D35)=0,"",N(D33)-N(D35)),"")</f>
        <v/>
      </c>
      <c r="E48" s="48" t="n">
        <f aca="false">IFERROR(IF(COUNT(E33,E35)=0,"",N(E33)-N(E35)),"")</f>
        <v>1551431</v>
      </c>
      <c r="F48" s="48" t="n">
        <f aca="false">IFERROR(IF(COUNT(F33,F35)=0,"",N(F33)-N(F35)),"")</f>
        <v>2013818</v>
      </c>
      <c r="G48" s="48" t="n">
        <f aca="false">IFERROR(IF(COUNT(G33,G35)=0,"",N(G33)-N(G35)),"")</f>
        <v>2500375</v>
      </c>
      <c r="H48" s="48" t="n">
        <f aca="false">IFERROR(IF(COUNT(H33,H35)=0,"",N(H33)-N(H35)),"")</f>
        <v>2937155</v>
      </c>
      <c r="I48" s="48" t="n">
        <f aca="false">IFERROR(IF(COUNT(I33,I35)=0,"",N(I33)-N(I35)),"")</f>
        <v>3001173</v>
      </c>
      <c r="J48" s="48" t="n">
        <f aca="false">IFERROR(IF(COUNT(J33,J35)=0,"",N(J33)-N(J35)),"")</f>
        <v>3067580</v>
      </c>
      <c r="K48" s="48" t="n">
        <f aca="false">IFERROR(IF(COUNT(K33,K35)=0,"",N(K33)-N(K35)),"")</f>
        <v>3134657</v>
      </c>
      <c r="L48" s="48" t="n">
        <f aca="false">IFERROR(IF(COUNT(L33,L35)=0,"",N(L33)-N(L35)),"")</f>
        <v>3202411</v>
      </c>
      <c r="M48" s="48" t="n">
        <f aca="false">IFERROR(IF(COUNT(M33,M35)=0,"",N(M33)-N(M35)),"")</f>
        <v>3270849</v>
      </c>
      <c r="N48" s="48" t="n">
        <f aca="false">IFERROR(IF(COUNT(N33,N35)=0,"",N(N33)-N(N35)),"")</f>
        <v>3339977</v>
      </c>
      <c r="O48" s="54" t="n">
        <f aca="false">IF(COUNT(D48:N48)=0,"",SUM(D48:N48))</f>
        <v>28019426</v>
      </c>
    </row>
    <row r="49" customFormat="false" ht="15" hidden="false" customHeight="false" outlineLevel="0" collapsed="false">
      <c r="A49" s="11" t="s">
        <v>2758</v>
      </c>
      <c r="B49" s="15" t="s">
        <v>2759</v>
      </c>
      <c r="C49" s="11" t="s">
        <v>367</v>
      </c>
      <c r="D49" s="49" t="str">
        <f aca="false">IFERROR(IF(OR(NOT(ISNUMBER(D48)),N(D33)=0),"",D48/D33),"")</f>
        <v/>
      </c>
      <c r="E49" s="49" t="n">
        <f aca="false">IFERROR(IF(OR(NOT(ISNUMBER(E48)),N(E33)=0),"",E48/E33),"")</f>
        <v>0.319882680412371</v>
      </c>
      <c r="F49" s="49" t="n">
        <f aca="false">IFERROR(IF(OR(NOT(ISNUMBER(F48)),N(F33)=0),"",F48/F33),"")</f>
        <v>0.325797256196208</v>
      </c>
      <c r="G49" s="49" t="n">
        <f aca="false">IFERROR(IF(OR(NOT(ISNUMBER(G48)),N(G33)=0),"",G48/G33),"")</f>
        <v>0.33167898978834</v>
      </c>
      <c r="H49" s="49" t="n">
        <f aca="false">IFERROR(IF(OR(NOT(ISNUMBER(H48)),N(H33)=0),"",H48/H33),"")</f>
        <v>0.338170088620757</v>
      </c>
      <c r="I49" s="49" t="n">
        <f aca="false">IFERROR(IF(OR(NOT(ISNUMBER(I48)),N(I33)=0),"",I48/I33),"")</f>
        <v>0.342119596566097</v>
      </c>
      <c r="J49" s="49" t="n">
        <f aca="false">IFERROR(IF(OR(NOT(ISNUMBER(J48)),N(J33)=0),"",J48/J33),"")</f>
        <v>0.346227404806877</v>
      </c>
      <c r="K49" s="49" t="n">
        <f aca="false">IFERROR(IF(OR(NOT(ISNUMBER(K48)),N(K33)=0),"",K48/K33),"")</f>
        <v>0.350295213281608</v>
      </c>
      <c r="L49" s="49" t="n">
        <f aca="false">IFERROR(IF(OR(NOT(ISNUMBER(L48)),N(L33)=0),"",L48/L33),"")</f>
        <v>0.354323435863352</v>
      </c>
      <c r="M49" s="49" t="n">
        <f aca="false">IFERROR(IF(OR(NOT(ISNUMBER(M48)),N(M33)=0),"",M48/M33),"")</f>
        <v>0.358312477364802</v>
      </c>
      <c r="N49" s="49" t="n">
        <f aca="false">IFERROR(IF(OR(NOT(ISNUMBER(N48)),N(N33)=0),"",N48/N33),"")</f>
        <v>0.362262625508866</v>
      </c>
      <c r="O49" s="99" t="n">
        <f aca="false">IFERROR(IF(OR(NOT(ISNUMBER(O48)),N(O33)=0),"",O48/O33),"")</f>
        <v>0.344971454196997</v>
      </c>
    </row>
    <row r="50" customFormat="false" ht="15" hidden="false" customHeight="false" outlineLevel="0" collapsed="false">
      <c r="A50" s="11" t="s">
        <v>2760</v>
      </c>
      <c r="B50" s="67" t="s">
        <v>2761</v>
      </c>
      <c r="C50" s="11" t="s">
        <v>508</v>
      </c>
      <c r="D50" s="54" t="str">
        <f aca="false">IFERROR(IF(N(D49)&lt;=0,"",D42/D49),"")</f>
        <v/>
      </c>
      <c r="E50" s="54" t="n">
        <f aca="false">IFERROR(IF(N(E49)&lt;=0,"",E42/E49),"")</f>
        <v>3906147.71137099</v>
      </c>
      <c r="F50" s="54" t="n">
        <f aca="false">IFERROR(IF(N(F49)&lt;=0,"",F42/F49),"")</f>
        <v>3937031.31504436</v>
      </c>
      <c r="G50" s="54" t="n">
        <f aca="false">IFERROR(IF(N(G49)&lt;=0,"",G42/G49),"")</f>
        <v>3803750.12841514</v>
      </c>
      <c r="H50" s="54" t="n">
        <f aca="false">IFERROR(IF(N(H49)&lt;=0,"",H42/H49),"")</f>
        <v>3636235.25964479</v>
      </c>
      <c r="I50" s="54" t="n">
        <f aca="false">IFERROR(IF(N(I49)&lt;=0,"",I42/I49),"")</f>
        <v>3499264.61978833</v>
      </c>
      <c r="J50" s="54" t="n">
        <f aca="false">IFERROR(IF(N(J49)&lt;=0,"",J42/J49),"")</f>
        <v>3365337.30092777</v>
      </c>
      <c r="K50" s="54" t="n">
        <f aca="false">IFERROR(IF(N(K49)&lt;=0,"",K42/K49),"")</f>
        <v>3312683.00565421</v>
      </c>
      <c r="L50" s="54" t="n">
        <f aca="false">IFERROR(IF(N(L49)&lt;=0,"",L42/L49),"")</f>
        <v>3296589.73066199</v>
      </c>
      <c r="M50" s="54" t="n">
        <f aca="false">IFERROR(IF(N(M49)&lt;=0,"",M42/M49),"")</f>
        <v>3281858.92003636</v>
      </c>
      <c r="N50" s="54" t="n">
        <f aca="false">IFERROR(IF(N(N49)&lt;=0,"",N42/N49),"")</f>
        <v>3268451.99207839</v>
      </c>
    </row>
    <row r="51" customFormat="false" ht="15" hidden="false" customHeight="false" outlineLevel="0" collapsed="false">
      <c r="A51" s="11" t="s">
        <v>2762</v>
      </c>
      <c r="B51" s="15" t="s">
        <v>2763</v>
      </c>
      <c r="C51" s="11" t="s">
        <v>544</v>
      </c>
      <c r="D51" s="37"/>
      <c r="E51" s="37" t="n">
        <v>82000</v>
      </c>
      <c r="F51" s="37" t="n">
        <v>105000</v>
      </c>
      <c r="G51" s="37" t="n">
        <v>128000</v>
      </c>
      <c r="H51" s="37" t="n">
        <v>141000</v>
      </c>
      <c r="I51" s="37" t="n">
        <v>141000</v>
      </c>
      <c r="J51" s="37" t="n">
        <v>141000</v>
      </c>
      <c r="K51" s="37" t="n">
        <v>141000</v>
      </c>
      <c r="L51" s="37" t="n">
        <v>141000</v>
      </c>
      <c r="M51" s="37" t="n">
        <v>141000</v>
      </c>
      <c r="N51" s="37" t="n">
        <v>141000</v>
      </c>
      <c r="O51" s="54" t="n">
        <f aca="false">IF(COUNT(D51:N51)=0,"",SUM(D51:N51))</f>
        <v>1302000</v>
      </c>
    </row>
    <row r="52" customFormat="false" ht="15" hidden="false" customHeight="false" outlineLevel="0" collapsed="false">
      <c r="A52" s="11" t="s">
        <v>2764</v>
      </c>
      <c r="B52" s="67" t="s">
        <v>2765</v>
      </c>
      <c r="C52" s="11" t="s">
        <v>544</v>
      </c>
      <c r="D52" s="54" t="str">
        <f aca="false">IFERROR(IF(N(D33)=0,"",D50*D51/D33),"")</f>
        <v/>
      </c>
      <c r="E52" s="54" t="n">
        <f aca="false">IFERROR(IF(N(E33)=0,"",E50*E51/E33),"")</f>
        <v>66042.085016994</v>
      </c>
      <c r="F52" s="54" t="n">
        <f aca="false">IFERROR(IF(N(F33)=0,"",F50*F51/F33),"")</f>
        <v>66878.3226686821</v>
      </c>
      <c r="G52" s="54" t="n">
        <f aca="false">IFERROR(IF(N(G33)=0,"",G50*G51/G33),"")</f>
        <v>64585.4609808529</v>
      </c>
      <c r="H52" s="54" t="n">
        <f aca="false">IFERROR(IF(N(H33)=0,"",H50*H51/H33),"")</f>
        <v>59030.9009909249</v>
      </c>
      <c r="I52" s="54" t="n">
        <f aca="false">IFERROR(IF(N(I33)=0,"",I50*I51/I33),"")</f>
        <v>56244.857260811</v>
      </c>
      <c r="J52" s="54" t="n">
        <f aca="false">IFERROR(IF(N(J33)=0,"",J50*J51/J33),"")</f>
        <v>53556.6316118895</v>
      </c>
      <c r="K52" s="54" t="n">
        <f aca="false">IFERROR(IF(N(K33)=0,"",K50*K51/K33),"")</f>
        <v>52196.7146644753</v>
      </c>
      <c r="L52" s="54" t="n">
        <f aca="false">IFERROR(IF(N(L33)=0,"",L50*L51/L33),"")</f>
        <v>51428.851262377</v>
      </c>
      <c r="M52" s="54" t="n">
        <f aca="false">IFERROR(IF(N(M33)=0,"",M50*M51/M33),"")</f>
        <v>50692.1203027104</v>
      </c>
      <c r="N52" s="54" t="n">
        <f aca="false">IFERROR(IF(N(N33)=0,"",N50*N51/N33),"")</f>
        <v>49985.1819338876</v>
      </c>
    </row>
    <row r="53" customFormat="false" ht="15" hidden="false" customHeight="false" outlineLevel="0" collapsed="false">
      <c r="A53" s="11" t="s">
        <v>2766</v>
      </c>
      <c r="B53" s="15" t="s">
        <v>2767</v>
      </c>
      <c r="C53" s="11" t="s">
        <v>367</v>
      </c>
      <c r="D53" s="49" t="str">
        <f aca="false">IFERROR(IF(N(D33)=0,"",1-D50/D33),"")</f>
        <v/>
      </c>
      <c r="E53" s="49" t="n">
        <f aca="false">IFERROR(IF(N(E33)=0,"",1-E50/E33),"")</f>
        <v>0.194608719304951</v>
      </c>
      <c r="F53" s="49" t="n">
        <f aca="false">IFERROR(IF(N(F33)=0,"",1-F50/F33),"")</f>
        <v>0.363063593631599</v>
      </c>
      <c r="G53" s="49" t="n">
        <f aca="false">IFERROR(IF(N(G33)=0,"",1-G50/G33),"")</f>
        <v>0.495426086087087</v>
      </c>
      <c r="H53" s="49" t="n">
        <f aca="false">IFERROR(IF(N(H33)=0,"",1-H50/H33),"")</f>
        <v>0.581341127723937</v>
      </c>
      <c r="I53" s="49" t="n">
        <f aca="false">IFERROR(IF(N(I33)=0,"",1-I50/I33),"")</f>
        <v>0.601100303114815</v>
      </c>
      <c r="J53" s="49" t="n">
        <f aca="false">IFERROR(IF(N(J33)=0,"",1-J50/J33),"")</f>
        <v>0.620165733249011</v>
      </c>
      <c r="K53" s="49" t="n">
        <f aca="false">IFERROR(IF(N(K33)=0,"",1-K50/K33),"")</f>
        <v>0.629810534294502</v>
      </c>
      <c r="L53" s="49" t="n">
        <f aca="false">IFERROR(IF(N(L33)=0,"",1-L50/L33),"")</f>
        <v>0.635256374025695</v>
      </c>
      <c r="M53" s="49" t="n">
        <f aca="false">IFERROR(IF(N(M33)=0,"",1-M50/M33),"")</f>
        <v>0.640481416292834</v>
      </c>
      <c r="N53" s="49" t="n">
        <f aca="false">IFERROR(IF(N(N33)=0,"",1-N50/N33),"")</f>
        <v>0.64549516358945</v>
      </c>
    </row>
    <row r="55" customFormat="false" ht="15" hidden="false" customHeight="false" outlineLevel="0" collapsed="false">
      <c r="A55" s="101" t="s">
        <v>1994</v>
      </c>
      <c r="B55" s="102"/>
      <c r="C55" s="102"/>
      <c r="D55" s="102"/>
      <c r="E55" s="102"/>
      <c r="F55" s="102"/>
      <c r="G55" s="102"/>
      <c r="H55" s="102"/>
      <c r="I55" s="102"/>
      <c r="J55" s="102"/>
      <c r="K55" s="102"/>
      <c r="L55" s="102"/>
      <c r="M55" s="102"/>
      <c r="N55" s="102"/>
      <c r="O55" s="102"/>
      <c r="P55" s="102"/>
    </row>
    <row r="56" customFormat="false" ht="24" hidden="false" customHeight="true" outlineLevel="0" collapsed="false">
      <c r="A56" s="14"/>
      <c r="B56" s="14" t="s">
        <v>1530</v>
      </c>
      <c r="C56" s="14" t="s">
        <v>355</v>
      </c>
      <c r="D56" s="14" t="s">
        <v>1857</v>
      </c>
      <c r="E56" s="14" t="s">
        <v>452</v>
      </c>
      <c r="F56" s="14" t="s">
        <v>453</v>
      </c>
      <c r="G56" s="14" t="s">
        <v>454</v>
      </c>
      <c r="H56" s="14" t="s">
        <v>455</v>
      </c>
      <c r="I56" s="14" t="s">
        <v>456</v>
      </c>
      <c r="J56" s="14" t="s">
        <v>457</v>
      </c>
      <c r="K56" s="14" t="s">
        <v>458</v>
      </c>
      <c r="L56" s="14" t="s">
        <v>459</v>
      </c>
      <c r="M56" s="14" t="s">
        <v>460</v>
      </c>
      <c r="N56" s="14" t="s">
        <v>461</v>
      </c>
      <c r="O56" s="14" t="s">
        <v>549</v>
      </c>
      <c r="P56" s="14" t="s">
        <v>1822</v>
      </c>
    </row>
    <row r="57" customFormat="false" ht="15" hidden="false" customHeight="false" outlineLevel="0" collapsed="false">
      <c r="B57" s="11" t="s">
        <v>1993</v>
      </c>
      <c r="D57" s="86" t="str">
        <f aca="false">IF(OR(n_Fecha1="",IF(cu_P=1,P_Inicio,V_Inicio)=1),"",YEAR(n_Fecha1))</f>
        <v/>
      </c>
      <c r="E57" s="86" t="str">
        <f aca="false">IF(n_Fecha1="","",YEAR(EOMONTH(n_Fecha1,IF(cu_P=1,P_Inicio,V_Inicio)-1+0)))</f>
        <v/>
      </c>
      <c r="F57" s="86" t="str">
        <f aca="false">IF(n_Fecha1="","",YEAR(EOMONTH(n_Fecha1,IF(cu_P=1,P_Inicio,V_Inicio)-1+12)))</f>
        <v/>
      </c>
      <c r="G57" s="86" t="str">
        <f aca="false">IF(n_Fecha1="","",YEAR(EOMONTH(n_Fecha1,IF(cu_P=1,P_Inicio,V_Inicio)-1+24)))</f>
        <v/>
      </c>
      <c r="H57" s="86" t="str">
        <f aca="false">IF(n_Fecha1="","",YEAR(EOMONTH(n_Fecha1,IF(cu_P=1,P_Inicio,V_Inicio)-1+36)))</f>
        <v/>
      </c>
      <c r="I57" s="86" t="str">
        <f aca="false">IF(n_Fecha1="","",YEAR(EOMONTH(n_Fecha1,IF(cu_P=1,P_Inicio,V_Inicio)-1+48)))</f>
        <v/>
      </c>
      <c r="J57" s="86" t="str">
        <f aca="false">IF(n_Fecha1="","",YEAR(EOMONTH(n_Fecha1,IF(cu_P=1,P_Inicio,V_Inicio)-1+60)))</f>
        <v/>
      </c>
      <c r="K57" s="86" t="str">
        <f aca="false">IF(n_Fecha1="","",YEAR(EOMONTH(n_Fecha1,IF(cu_P=1,P_Inicio,V_Inicio)-1+72)))</f>
        <v/>
      </c>
      <c r="L57" s="86" t="str">
        <f aca="false">IF(n_Fecha1="","",YEAR(EOMONTH(n_Fecha1,IF(cu_P=1,P_Inicio,V_Inicio)-1+84)))</f>
        <v/>
      </c>
      <c r="M57" s="86" t="str">
        <f aca="false">IF(n_Fecha1="","",YEAR(EOMONTH(n_Fecha1,IF(cu_P=1,P_Inicio,V_Inicio)-1+96)))</f>
        <v/>
      </c>
      <c r="N57" s="86" t="str">
        <f aca="false">IF(n_Fecha1="","",YEAR(EOMONTH(n_Fecha1,IF(cu_P=1,P_Inicio,V_Inicio)-1+108)))</f>
        <v/>
      </c>
    </row>
    <row r="58" customFormat="false" ht="15" hidden="false" customHeight="false" outlineLevel="0" collapsed="false">
      <c r="A58" s="11" t="s">
        <v>2736</v>
      </c>
      <c r="B58" s="67" t="s">
        <v>2684</v>
      </c>
      <c r="C58" s="11" t="s">
        <v>508</v>
      </c>
      <c r="D58" s="54" t="str">
        <f aca="false">IF(OR(NOT(ISNUMBER(D8)),NOT(ISNUMBER(D33))),"",D8-D33)</f>
        <v/>
      </c>
      <c r="E58" s="54" t="n">
        <f aca="false">IF(OR(NOT(ISNUMBER(E8)),NOT(ISNUMBER(E33))),"",E8-E33)</f>
        <v>0</v>
      </c>
      <c r="F58" s="54" t="n">
        <f aca="false">IF(OR(NOT(ISNUMBER(F8)),NOT(ISNUMBER(F33))),"",F8-F33)</f>
        <v>0</v>
      </c>
      <c r="G58" s="54" t="n">
        <f aca="false">IF(OR(NOT(ISNUMBER(G8)),NOT(ISNUMBER(G33))),"",G8-G33)</f>
        <v>0</v>
      </c>
      <c r="H58" s="54" t="n">
        <f aca="false">IF(OR(NOT(ISNUMBER(H8)),NOT(ISNUMBER(H33))),"",H8-H33)</f>
        <v>0.429999999701977</v>
      </c>
      <c r="I58" s="54" t="n">
        <f aca="false">IF(OR(NOT(ISNUMBER(I8)),NOT(ISNUMBER(I33))),"",I8-I33)</f>
        <v>-0.195699999108911</v>
      </c>
      <c r="J58" s="54" t="n">
        <f aca="false">IF(OR(NOT(ISNUMBER(J8)),NOT(ISNUMBER(J33))),"",J8-J33)</f>
        <v>-0.277657000347972</v>
      </c>
      <c r="K58" s="54" t="n">
        <f aca="false">IF(OR(NOT(ISNUMBER(K8)),NOT(ISNUMBER(K33))),"",K8-K33)</f>
        <v>-0.130433570593596</v>
      </c>
      <c r="L58" s="54" t="n">
        <f aca="false">IF(OR(NOT(ISNUMBER(L8)),NOT(ISNUMBER(L33))),"",L8-L33)</f>
        <v>0.0182620920240879</v>
      </c>
      <c r="M58" s="54" t="n">
        <f aca="false">IF(OR(NOT(ISNUMBER(M8)),NOT(ISNUMBER(M33))),"",M8-M33)</f>
        <v>0.0284447148442268</v>
      </c>
      <c r="N58" s="54" t="n">
        <f aca="false">IF(OR(NOT(ISNUMBER(N8)),NOT(ISNUMBER(N33))),"",N8-N33)</f>
        <v>-0.151270836591721</v>
      </c>
      <c r="O58" s="54" t="n">
        <f aca="false">IF(OR(NOT(ISNUMBER(O8)),NOT(ISNUMBER(O33))),"",O8-O33)</f>
        <v>-0.278354600071907</v>
      </c>
      <c r="P58" s="11" t="str">
        <f aca="false">IF(COUNT(D58:N58)=0,"",IF(AND(MAX(D58:N58)&lt;2,MIN(D58:N58)&gt;-2),"Sin diferencia","Diferencia a explicar"))</f>
        <v>Sin diferencia</v>
      </c>
    </row>
    <row r="59" customFormat="false" ht="15" hidden="false" customHeight="false" outlineLevel="0" collapsed="false">
      <c r="A59" s="11" t="s">
        <v>2737</v>
      </c>
      <c r="B59" s="67" t="s">
        <v>2603</v>
      </c>
      <c r="C59" s="11" t="s">
        <v>508</v>
      </c>
      <c r="D59" s="54" t="str">
        <f aca="false">IF(OR(NOT(ISNUMBER(D9)),NOT(ISNUMBER(D34))),"",D9-D34)</f>
        <v/>
      </c>
      <c r="E59" s="54" t="n">
        <f aca="false">IF(OR(NOT(ISNUMBER(E9)),NOT(ISNUMBER(E34))),"",E9-E34)</f>
        <v>134646.135723948</v>
      </c>
      <c r="F59" s="54" t="n">
        <f aca="false">IF(OR(NOT(ISNUMBER(F9)),NOT(ISNUMBER(F34))),"",F9-F34)</f>
        <v>73053.6271938747</v>
      </c>
      <c r="G59" s="54" t="n">
        <f aca="false">IF(OR(NOT(ISNUMBER(G9)),NOT(ISNUMBER(G34))),"",G9-G34)</f>
        <v>84738.8115596697</v>
      </c>
      <c r="H59" s="54" t="n">
        <f aca="false">IF(OR(NOT(ISNUMBER(H9)),NOT(ISNUMBER(H34))),"",H9-H34)</f>
        <v>97582.6732381526</v>
      </c>
      <c r="I59" s="54" t="n">
        <f aca="false">IF(OR(NOT(ISNUMBER(I9)),NOT(ISNUMBER(I34))),"",I9-I34)</f>
        <v>110238.010717869</v>
      </c>
      <c r="J59" s="54" t="n">
        <f aca="false">IF(OR(NOT(ISNUMBER(J9)),NOT(ISNUMBER(J34))),"",J9-J34)</f>
        <v>108219.029769087</v>
      </c>
      <c r="K59" s="54" t="n">
        <f aca="false">IF(OR(NOT(ISNUMBER(K9)),NOT(ISNUMBER(K34))),"",K9-K34)</f>
        <v>130664.208693633</v>
      </c>
      <c r="L59" s="54" t="n">
        <f aca="false">IF(OR(NOT(ISNUMBER(L9)),NOT(ISNUMBER(L34))),"",L9-L34)</f>
        <v>141050.804706644</v>
      </c>
      <c r="M59" s="54" t="n">
        <f aca="false">IF(OR(NOT(ISNUMBER(M9)),NOT(ISNUMBER(M34))),"",M9-M34)</f>
        <v>151553.881657824</v>
      </c>
      <c r="N59" s="54" t="n">
        <f aca="false">IF(OR(NOT(ISNUMBER(N9)),NOT(ISNUMBER(N34))),"",N9-N34)</f>
        <v>162175.74034813</v>
      </c>
      <c r="O59" s="54" t="n">
        <f aca="false">IF(OR(NOT(ISNUMBER(O9)),NOT(ISNUMBER(O34))),"",O9-O34)</f>
        <v>1193922.92360883</v>
      </c>
      <c r="P59" s="11" t="str">
        <f aca="false">IF(COUNT(D59:N59)=0,"",IF(AND(MAX(D59:N59)&lt;2,MIN(D59:N59)&gt;-2),"Sin diferencia","Ver cuadro 10a."))</f>
        <v>Ver cuadro 10a.</v>
      </c>
    </row>
    <row r="60" customFormat="false" ht="15" hidden="false" customHeight="false" outlineLevel="0" collapsed="false">
      <c r="A60" s="11" t="s">
        <v>2738</v>
      </c>
      <c r="B60" s="67" t="s">
        <v>2739</v>
      </c>
      <c r="C60" s="11" t="s">
        <v>508</v>
      </c>
      <c r="D60" s="54" t="str">
        <f aca="false">IF(OR(NOT(ISNUMBER(D10)),NOT(ISNUMBER(D35))),"",D10-D35)</f>
        <v/>
      </c>
      <c r="E60" s="54" t="n">
        <f aca="false">IF(OR(NOT(ISNUMBER(E10)),NOT(ISNUMBER(E35))),"",E10-E35)</f>
        <v>-38605.0184423733</v>
      </c>
      <c r="F60" s="54" t="n">
        <f aca="false">IF(OR(NOT(ISNUMBER(F10)),NOT(ISNUMBER(F35))),"",F10-F35)</f>
        <v>-39199.4494628734</v>
      </c>
      <c r="G60" s="54" t="n">
        <f aca="false">IF(OR(NOT(ISNUMBER(G10)),NOT(ISNUMBER(G35))),"",G10-G35)</f>
        <v>-30649.4952579997</v>
      </c>
      <c r="H60" s="54" t="n">
        <f aca="false">IF(OR(NOT(ISNUMBER(H10)),NOT(ISNUMBER(H35))),"",H10-H35)</f>
        <v>-20400.4749798914</v>
      </c>
      <c r="I60" s="54" t="n">
        <f aca="false">IF(OR(NOT(ISNUMBER(I10)),NOT(ISNUMBER(I35))),"",I10-I35)</f>
        <v>-10839.0320031587</v>
      </c>
      <c r="J60" s="54" t="n">
        <f aca="false">IF(OR(NOT(ISNUMBER(J10)),NOT(ISNUMBER(J35))),"",J10-J35)</f>
        <v>-1326.32738359552</v>
      </c>
      <c r="K60" s="54" t="n">
        <f aca="false">IF(OR(NOT(ISNUMBER(K10)),NOT(ISNUMBER(K35))),"",K10-K35)</f>
        <v>8287.98585154489</v>
      </c>
      <c r="L60" s="54" t="n">
        <f aca="false">IF(OR(NOT(ISNUMBER(L10)),NOT(ISNUMBER(L35))),"",L10-L35)</f>
        <v>18005.0002197986</v>
      </c>
      <c r="M60" s="54" t="n">
        <f aca="false">IF(OR(NOT(ISNUMBER(M10)),NOT(ISNUMBER(M35))),"",M10-M35)</f>
        <v>27825.8392925207</v>
      </c>
      <c r="N60" s="54" t="n">
        <f aca="false">IF(OR(NOT(ISNUMBER(N10)),NOT(ISNUMBER(N35))),"",N10-N35)</f>
        <v>37750.6580079654</v>
      </c>
      <c r="O60" s="54" t="n">
        <f aca="false">IF(OR(NOT(ISNUMBER(O10)),NOT(ISNUMBER(O35))),"",O10-O35)</f>
        <v>-49150.3141580671</v>
      </c>
      <c r="P60" s="11" t="str">
        <f aca="false">IF(COUNT(D60:N60)=0,"",IF(AND(MAX(D60:N60)&lt;2,MIN(D60:N60)&gt;-2),"Sin diferencia","Clasificación: el plan trata energía y mantenimiento como variables; el modelo, como fijos. Además C2."))</f>
        <v>Clasificación: el plan trata energía y mantenimiento como variables; el modelo, como fijos. Además C2.</v>
      </c>
    </row>
    <row r="61" customFormat="false" ht="15" hidden="false" customHeight="false" outlineLevel="0" collapsed="false">
      <c r="A61" s="11" t="s">
        <v>2740</v>
      </c>
      <c r="B61" s="15" t="s">
        <v>2607</v>
      </c>
      <c r="C61" s="11" t="s">
        <v>508</v>
      </c>
      <c r="D61" s="48" t="str">
        <f aca="false">IF(OR(NOT(ISNUMBER(D11)),NOT(ISNUMBER(D36))),"",D11-D36)</f>
        <v/>
      </c>
      <c r="E61" s="48" t="str">
        <f aca="false">IF(OR(NOT(ISNUMBER(E11)),NOT(ISNUMBER(E36))),"",E11-E36)</f>
        <v/>
      </c>
      <c r="F61" s="48" t="str">
        <f aca="false">IF(OR(NOT(ISNUMBER(F11)),NOT(ISNUMBER(F36))),"",F11-F36)</f>
        <v/>
      </c>
      <c r="G61" s="48" t="str">
        <f aca="false">IF(OR(NOT(ISNUMBER(G11)),NOT(ISNUMBER(G36))),"",G11-G36)</f>
        <v/>
      </c>
      <c r="H61" s="48" t="str">
        <f aca="false">IF(OR(NOT(ISNUMBER(H11)),NOT(ISNUMBER(H36))),"",H11-H36)</f>
        <v/>
      </c>
      <c r="I61" s="48" t="str">
        <f aca="false">IF(OR(NOT(ISNUMBER(I11)),NOT(ISNUMBER(I36))),"",I11-I36)</f>
        <v/>
      </c>
      <c r="J61" s="48" t="str">
        <f aca="false">IF(OR(NOT(ISNUMBER(J11)),NOT(ISNUMBER(J36))),"",J11-J36)</f>
        <v/>
      </c>
      <c r="K61" s="48" t="str">
        <f aca="false">IF(OR(NOT(ISNUMBER(K11)),NOT(ISNUMBER(K36))),"",K11-K36)</f>
        <v/>
      </c>
      <c r="L61" s="48" t="str">
        <f aca="false">IF(OR(NOT(ISNUMBER(L11)),NOT(ISNUMBER(L36))),"",L11-L36)</f>
        <v/>
      </c>
      <c r="M61" s="48" t="str">
        <f aca="false">IF(OR(NOT(ISNUMBER(M11)),NOT(ISNUMBER(M36))),"",M11-M36)</f>
        <v/>
      </c>
      <c r="N61" s="48" t="str">
        <f aca="false">IF(OR(NOT(ISNUMBER(N11)),NOT(ISNUMBER(N36))),"",N11-N36)</f>
        <v/>
      </c>
      <c r="O61" s="54" t="str">
        <f aca="false">IF(OR(NOT(ISNUMBER(O11)),NOT(ISNUMBER(O36))),"",O11-O36)</f>
        <v/>
      </c>
      <c r="P61" s="11" t="str">
        <f aca="false">IF(COUNT(D61:N61)=0,"",IF(AND(MAX(D61:N61)&lt;2,MIN(D61:N61)&gt;-2),"Sin diferencia","Diferencia a explicar"))</f>
        <v/>
      </c>
    </row>
    <row r="62" customFormat="false" ht="15" hidden="false" customHeight="false" outlineLevel="0" collapsed="false">
      <c r="A62" s="11" t="s">
        <v>2741</v>
      </c>
      <c r="B62" s="15" t="s">
        <v>2293</v>
      </c>
      <c r="C62" s="11" t="s">
        <v>508</v>
      </c>
      <c r="D62" s="48" t="str">
        <f aca="false">IF(OR(NOT(ISNUMBER(D12)),NOT(ISNUMBER(D37))),"",D12-D37)</f>
        <v/>
      </c>
      <c r="E62" s="48" t="str">
        <f aca="false">IF(OR(NOT(ISNUMBER(E12)),NOT(ISNUMBER(E37))),"",E12-E37)</f>
        <v/>
      </c>
      <c r="F62" s="48" t="str">
        <f aca="false">IF(OR(NOT(ISNUMBER(F12)),NOT(ISNUMBER(F37))),"",F12-F37)</f>
        <v/>
      </c>
      <c r="G62" s="48" t="str">
        <f aca="false">IF(OR(NOT(ISNUMBER(G12)),NOT(ISNUMBER(G37))),"",G12-G37)</f>
        <v/>
      </c>
      <c r="H62" s="48" t="str">
        <f aca="false">IF(OR(NOT(ISNUMBER(H12)),NOT(ISNUMBER(H37))),"",H12-H37)</f>
        <v/>
      </c>
      <c r="I62" s="48" t="str">
        <f aca="false">IF(OR(NOT(ISNUMBER(I12)),NOT(ISNUMBER(I37))),"",I12-I37)</f>
        <v/>
      </c>
      <c r="J62" s="48" t="str">
        <f aca="false">IF(OR(NOT(ISNUMBER(J12)),NOT(ISNUMBER(J37))),"",J12-J37)</f>
        <v/>
      </c>
      <c r="K62" s="48" t="str">
        <f aca="false">IF(OR(NOT(ISNUMBER(K12)),NOT(ISNUMBER(K37))),"",K12-K37)</f>
        <v/>
      </c>
      <c r="L62" s="48" t="str">
        <f aca="false">IF(OR(NOT(ISNUMBER(L12)),NOT(ISNUMBER(L37))),"",L12-L37)</f>
        <v/>
      </c>
      <c r="M62" s="48" t="str">
        <f aca="false">IF(OR(NOT(ISNUMBER(M12)),NOT(ISNUMBER(M37))),"",M12-M37)</f>
        <v/>
      </c>
      <c r="N62" s="48" t="str">
        <f aca="false">IF(OR(NOT(ISNUMBER(N12)),NOT(ISNUMBER(N37))),"",N12-N37)</f>
        <v/>
      </c>
      <c r="O62" s="54" t="str">
        <f aca="false">IF(OR(NOT(ISNUMBER(O12)),NOT(ISNUMBER(O37))),"",O12-O37)</f>
        <v/>
      </c>
      <c r="P62" s="11" t="str">
        <f aca="false">IF(COUNT(D62:N62)=0,"",IF(AND(MAX(D62:N62)&lt;2,MIN(D62:N62)&gt;-2),"Sin diferencia","Diferencia a explicar"))</f>
        <v/>
      </c>
    </row>
    <row r="63" customFormat="false" ht="15" hidden="false" customHeight="false" outlineLevel="0" collapsed="false">
      <c r="A63" s="11" t="s">
        <v>2742</v>
      </c>
      <c r="B63" s="15" t="s">
        <v>1140</v>
      </c>
      <c r="C63" s="11" t="s">
        <v>508</v>
      </c>
      <c r="D63" s="48" t="str">
        <f aca="false">IF(OR(NOT(ISNUMBER(D13)),NOT(ISNUMBER(D38))),"",D13-D38)</f>
        <v/>
      </c>
      <c r="E63" s="48" t="str">
        <f aca="false">IF(OR(NOT(ISNUMBER(E13)),NOT(ISNUMBER(E38))),"",E13-E38)</f>
        <v/>
      </c>
      <c r="F63" s="48" t="str">
        <f aca="false">IF(OR(NOT(ISNUMBER(F13)),NOT(ISNUMBER(F38))),"",F13-F38)</f>
        <v/>
      </c>
      <c r="G63" s="48" t="str">
        <f aca="false">IF(OR(NOT(ISNUMBER(G13)),NOT(ISNUMBER(G38))),"",G13-G38)</f>
        <v/>
      </c>
      <c r="H63" s="48" t="str">
        <f aca="false">IF(OR(NOT(ISNUMBER(H13)),NOT(ISNUMBER(H38))),"",H13-H38)</f>
        <v/>
      </c>
      <c r="I63" s="48" t="str">
        <f aca="false">IF(OR(NOT(ISNUMBER(I13)),NOT(ISNUMBER(I38))),"",I13-I38)</f>
        <v/>
      </c>
      <c r="J63" s="48" t="str">
        <f aca="false">IF(OR(NOT(ISNUMBER(J13)),NOT(ISNUMBER(J38))),"",J13-J38)</f>
        <v/>
      </c>
      <c r="K63" s="48" t="str">
        <f aca="false">IF(OR(NOT(ISNUMBER(K13)),NOT(ISNUMBER(K38))),"",K13-K38)</f>
        <v/>
      </c>
      <c r="L63" s="48" t="str">
        <f aca="false">IF(OR(NOT(ISNUMBER(L13)),NOT(ISNUMBER(L38))),"",L13-L38)</f>
        <v/>
      </c>
      <c r="M63" s="48" t="str">
        <f aca="false">IF(OR(NOT(ISNUMBER(M13)),NOT(ISNUMBER(M38))),"",M13-M38)</f>
        <v/>
      </c>
      <c r="N63" s="48" t="str">
        <f aca="false">IF(OR(NOT(ISNUMBER(N13)),NOT(ISNUMBER(N38))),"",N13-N38)</f>
        <v/>
      </c>
      <c r="O63" s="54" t="str">
        <f aca="false">IF(OR(NOT(ISNUMBER(O13)),NOT(ISNUMBER(O38))),"",O13-O38)</f>
        <v/>
      </c>
      <c r="P63" s="11" t="str">
        <f aca="false">IF(COUNT(D63:N63)=0,"",IF(AND(MAX(D63:N63)&lt;2,MIN(D63:N63)&gt;-2),"Sin diferencia","Diferencia a explicar"))</f>
        <v/>
      </c>
    </row>
    <row r="64" customFormat="false" ht="15" hidden="false" customHeight="false" outlineLevel="0" collapsed="false">
      <c r="A64" s="11" t="s">
        <v>2743</v>
      </c>
      <c r="B64" s="15" t="s">
        <v>1142</v>
      </c>
      <c r="C64" s="11" t="s">
        <v>508</v>
      </c>
      <c r="D64" s="48" t="str">
        <f aca="false">IF(OR(NOT(ISNUMBER(D14)),NOT(ISNUMBER(D39))),"",D14-D39)</f>
        <v/>
      </c>
      <c r="E64" s="48" t="str">
        <f aca="false">IF(OR(NOT(ISNUMBER(E14)),NOT(ISNUMBER(E39))),"",E14-E39)</f>
        <v/>
      </c>
      <c r="F64" s="48" t="str">
        <f aca="false">IF(OR(NOT(ISNUMBER(F14)),NOT(ISNUMBER(F39))),"",F14-F39)</f>
        <v/>
      </c>
      <c r="G64" s="48" t="str">
        <f aca="false">IF(OR(NOT(ISNUMBER(G14)),NOT(ISNUMBER(G39))),"",G14-G39)</f>
        <v/>
      </c>
      <c r="H64" s="48" t="str">
        <f aca="false">IF(OR(NOT(ISNUMBER(H14)),NOT(ISNUMBER(H39))),"",H14-H39)</f>
        <v/>
      </c>
      <c r="I64" s="48" t="str">
        <f aca="false">IF(OR(NOT(ISNUMBER(I14)),NOT(ISNUMBER(I39))),"",I14-I39)</f>
        <v/>
      </c>
      <c r="J64" s="48" t="str">
        <f aca="false">IF(OR(NOT(ISNUMBER(J14)),NOT(ISNUMBER(J39))),"",J14-J39)</f>
        <v/>
      </c>
      <c r="K64" s="48" t="str">
        <f aca="false">IF(OR(NOT(ISNUMBER(K14)),NOT(ISNUMBER(K39))),"",K14-K39)</f>
        <v/>
      </c>
      <c r="L64" s="48" t="str">
        <f aca="false">IF(OR(NOT(ISNUMBER(L14)),NOT(ISNUMBER(L39))),"",L14-L39)</f>
        <v/>
      </c>
      <c r="M64" s="48" t="str">
        <f aca="false">IF(OR(NOT(ISNUMBER(M14)),NOT(ISNUMBER(M39))),"",M14-M39)</f>
        <v/>
      </c>
      <c r="N64" s="48" t="str">
        <f aca="false">IF(OR(NOT(ISNUMBER(N14)),NOT(ISNUMBER(N39))),"",N14-N39)</f>
        <v/>
      </c>
      <c r="O64" s="54" t="str">
        <f aca="false">IF(OR(NOT(ISNUMBER(O14)),NOT(ISNUMBER(O39))),"",O14-O39)</f>
        <v/>
      </c>
      <c r="P64" s="11" t="str">
        <f aca="false">IF(COUNT(D64:N64)=0,"",IF(AND(MAX(D64:N64)&lt;2,MIN(D64:N64)&gt;-2),"Sin diferencia","Diferencia a explicar"))</f>
        <v/>
      </c>
    </row>
    <row r="65" customFormat="false" ht="15" hidden="false" customHeight="false" outlineLevel="0" collapsed="false">
      <c r="A65" s="11" t="s">
        <v>2744</v>
      </c>
      <c r="B65" s="15" t="s">
        <v>1011</v>
      </c>
      <c r="C65" s="11" t="s">
        <v>508</v>
      </c>
      <c r="D65" s="48" t="str">
        <f aca="false">IF(OR(NOT(ISNUMBER(D15)),NOT(ISNUMBER(D40))),"",D15-D40)</f>
        <v/>
      </c>
      <c r="E65" s="48" t="str">
        <f aca="false">IF(OR(NOT(ISNUMBER(E15)),NOT(ISNUMBER(E40))),"",E15-E40)</f>
        <v/>
      </c>
      <c r="F65" s="48" t="str">
        <f aca="false">IF(OR(NOT(ISNUMBER(F15)),NOT(ISNUMBER(F40))),"",F15-F40)</f>
        <v/>
      </c>
      <c r="G65" s="48" t="str">
        <f aca="false">IF(OR(NOT(ISNUMBER(G15)),NOT(ISNUMBER(G40))),"",G15-G40)</f>
        <v/>
      </c>
      <c r="H65" s="48" t="str">
        <f aca="false">IF(OR(NOT(ISNUMBER(H15)),NOT(ISNUMBER(H40))),"",H15-H40)</f>
        <v/>
      </c>
      <c r="I65" s="48" t="str">
        <f aca="false">IF(OR(NOT(ISNUMBER(I15)),NOT(ISNUMBER(I40))),"",I15-I40)</f>
        <v/>
      </c>
      <c r="J65" s="48" t="str">
        <f aca="false">IF(OR(NOT(ISNUMBER(J15)),NOT(ISNUMBER(J40))),"",J15-J40)</f>
        <v/>
      </c>
      <c r="K65" s="48" t="str">
        <f aca="false">IF(OR(NOT(ISNUMBER(K15)),NOT(ISNUMBER(K40))),"",K15-K40)</f>
        <v/>
      </c>
      <c r="L65" s="48" t="str">
        <f aca="false">IF(OR(NOT(ISNUMBER(L15)),NOT(ISNUMBER(L40))),"",L15-L40)</f>
        <v/>
      </c>
      <c r="M65" s="48" t="str">
        <f aca="false">IF(OR(NOT(ISNUMBER(M15)),NOT(ISNUMBER(M40))),"",M15-M40)</f>
        <v/>
      </c>
      <c r="N65" s="48" t="str">
        <f aca="false">IF(OR(NOT(ISNUMBER(N15)),NOT(ISNUMBER(N40))),"",N15-N40)</f>
        <v/>
      </c>
      <c r="O65" s="54" t="str">
        <f aca="false">IF(OR(NOT(ISNUMBER(O15)),NOT(ISNUMBER(O40))),"",O15-O40)</f>
        <v/>
      </c>
      <c r="P65" s="11" t="str">
        <f aca="false">IF(COUNT(D65:N65)=0,"",IF(AND(MAX(D65:N65)&lt;2,MIN(D65:N65)&gt;-2),"Sin diferencia","Diferencia a explicar"))</f>
        <v/>
      </c>
    </row>
    <row r="66" customFormat="false" ht="15" hidden="false" customHeight="false" outlineLevel="0" collapsed="false">
      <c r="A66" s="11" t="s">
        <v>2745</v>
      </c>
      <c r="B66" s="15" t="s">
        <v>1151</v>
      </c>
      <c r="C66" s="11" t="s">
        <v>508</v>
      </c>
      <c r="D66" s="48" t="str">
        <f aca="false">IF(OR(NOT(ISNUMBER(D16)),NOT(ISNUMBER(D41))),"",D16-D41)</f>
        <v/>
      </c>
      <c r="E66" s="48" t="str">
        <f aca="false">IF(OR(NOT(ISNUMBER(E16)),NOT(ISNUMBER(E41))),"",E16-E41)</f>
        <v/>
      </c>
      <c r="F66" s="48" t="str">
        <f aca="false">IF(OR(NOT(ISNUMBER(F16)),NOT(ISNUMBER(F41))),"",F16-F41)</f>
        <v/>
      </c>
      <c r="G66" s="48" t="str">
        <f aca="false">IF(OR(NOT(ISNUMBER(G16)),NOT(ISNUMBER(G41))),"",G16-G41)</f>
        <v/>
      </c>
      <c r="H66" s="48" t="str">
        <f aca="false">IF(OR(NOT(ISNUMBER(H16)),NOT(ISNUMBER(H41))),"",H16-H41)</f>
        <v/>
      </c>
      <c r="I66" s="48" t="str">
        <f aca="false">IF(OR(NOT(ISNUMBER(I16)),NOT(ISNUMBER(I41))),"",I16-I41)</f>
        <v/>
      </c>
      <c r="J66" s="48" t="str">
        <f aca="false">IF(OR(NOT(ISNUMBER(J16)),NOT(ISNUMBER(J41))),"",J16-J41)</f>
        <v/>
      </c>
      <c r="K66" s="48" t="str">
        <f aca="false">IF(OR(NOT(ISNUMBER(K16)),NOT(ISNUMBER(K41))),"",K16-K41)</f>
        <v/>
      </c>
      <c r="L66" s="48" t="str">
        <f aca="false">IF(OR(NOT(ISNUMBER(L16)),NOT(ISNUMBER(L41))),"",L16-L41)</f>
        <v/>
      </c>
      <c r="M66" s="48" t="str">
        <f aca="false">IF(OR(NOT(ISNUMBER(M16)),NOT(ISNUMBER(M41))),"",M16-M41)</f>
        <v/>
      </c>
      <c r="N66" s="48" t="str">
        <f aca="false">IF(OR(NOT(ISNUMBER(N16)),NOT(ISNUMBER(N41))),"",N16-N41)</f>
        <v/>
      </c>
      <c r="O66" s="54" t="str">
        <f aca="false">IF(OR(NOT(ISNUMBER(O16)),NOT(ISNUMBER(O41))),"",O16-O41)</f>
        <v/>
      </c>
      <c r="P66" s="11" t="str">
        <f aca="false">IF(COUNT(D66:N66)=0,"",IF(AND(MAX(D66:N66)&lt;2,MIN(D66:N66)&gt;-2),"Sin diferencia","Diferencia a explicar"))</f>
        <v/>
      </c>
    </row>
    <row r="67" customFormat="false" ht="15" hidden="false" customHeight="false" outlineLevel="0" collapsed="false">
      <c r="A67" s="11" t="s">
        <v>2746</v>
      </c>
      <c r="B67" s="67" t="s">
        <v>2747</v>
      </c>
      <c r="C67" s="11" t="s">
        <v>508</v>
      </c>
      <c r="D67" s="54" t="str">
        <f aca="false">IF(OR(NOT(ISNUMBER(D17)),NOT(ISNUMBER(D42))),"",D17-D42)</f>
        <v/>
      </c>
      <c r="E67" s="54" t="n">
        <f aca="false">IF(OR(NOT(ISNUMBER(E17)),NOT(ISNUMBER(E42))),"",E17-E42)</f>
        <v>173251.154166321</v>
      </c>
      <c r="F67" s="54" t="n">
        <f aca="false">IF(OR(NOT(ISNUMBER(F17)),NOT(ISNUMBER(F42))),"",F17-F42)</f>
        <v>112253.076656748</v>
      </c>
      <c r="G67" s="54" t="n">
        <f aca="false">IF(OR(NOT(ISNUMBER(G17)),NOT(ISNUMBER(G42))),"",G17-G42)</f>
        <v>115388.306817669</v>
      </c>
      <c r="H67" s="54" t="n">
        <f aca="false">IF(OR(NOT(ISNUMBER(H17)),NOT(ISNUMBER(H42))),"",H17-H42)</f>
        <v>117983.148218044</v>
      </c>
      <c r="I67" s="54" t="n">
        <f aca="false">IF(OR(NOT(ISNUMBER(I17)),NOT(ISNUMBER(I42))),"",I17-I42)</f>
        <v>121077.042721028</v>
      </c>
      <c r="J67" s="54" t="n">
        <f aca="false">IF(OR(NOT(ISNUMBER(J17)),NOT(ISNUMBER(J42))),"",J17-J42)</f>
        <v>109545.357152683</v>
      </c>
      <c r="K67" s="54" t="n">
        <f aca="false">IF(OR(NOT(ISNUMBER(K17)),NOT(ISNUMBER(K42))),"",K17-K42)</f>
        <v>122376.222842088</v>
      </c>
      <c r="L67" s="54" t="n">
        <f aca="false">IF(OR(NOT(ISNUMBER(L17)),NOT(ISNUMBER(L42))),"",L17-L42)</f>
        <v>123045.804486846</v>
      </c>
      <c r="M67" s="54" t="n">
        <f aca="false">IF(OR(NOT(ISNUMBER(M17)),NOT(ISNUMBER(M42))),"",M17-M42)</f>
        <v>123728.042365303</v>
      </c>
      <c r="N67" s="54" t="n">
        <f aca="false">IF(OR(NOT(ISNUMBER(N17)),NOT(ISNUMBER(N42))),"",N17-N42)</f>
        <v>124425.082340164</v>
      </c>
      <c r="O67" s="54" t="n">
        <f aca="false">IF(OR(NOT(ISNUMBER(O17)),NOT(ISNUMBER(O42))),"",O17-O42)</f>
        <v>1243073.23776689</v>
      </c>
      <c r="P67" s="11" t="str">
        <f aca="false">IF(COUNT(D67:N67)=0,"",IF(AND(MAX(D67:N67)&lt;2,MIN(D67:N67)&gt;-2),"Sin diferencia","Clasificación de costos fijos y variables, C1 nómina y depreciación."))</f>
        <v>Clasificación de costos fijos y variables, C1 nómina y depreciación.</v>
      </c>
    </row>
    <row r="68" customFormat="false" ht="15" hidden="false" customHeight="false" outlineLevel="0" collapsed="false">
      <c r="A68" s="11" t="s">
        <v>2748</v>
      </c>
      <c r="B68" s="15" t="s">
        <v>2749</v>
      </c>
      <c r="C68" s="11" t="s">
        <v>508</v>
      </c>
      <c r="D68" s="48" t="str">
        <f aca="false">IF(OR(NOT(ISNUMBER(D18)),NOT(ISNUMBER(D43))),"",D18-D43)</f>
        <v/>
      </c>
      <c r="E68" s="48" t="str">
        <f aca="false">IF(OR(NOT(ISNUMBER(E18)),NOT(ISNUMBER(E43))),"",E18-E43)</f>
        <v/>
      </c>
      <c r="F68" s="48" t="str">
        <f aca="false">IF(OR(NOT(ISNUMBER(F18)),NOT(ISNUMBER(F43))),"",F18-F43)</f>
        <v/>
      </c>
      <c r="G68" s="48" t="str">
        <f aca="false">IF(OR(NOT(ISNUMBER(G18)),NOT(ISNUMBER(G43))),"",G18-G43)</f>
        <v/>
      </c>
      <c r="H68" s="48" t="str">
        <f aca="false">IF(OR(NOT(ISNUMBER(H18)),NOT(ISNUMBER(H43))),"",H18-H43)</f>
        <v/>
      </c>
      <c r="I68" s="48" t="str">
        <f aca="false">IF(OR(NOT(ISNUMBER(I18)),NOT(ISNUMBER(I43))),"",I18-I43)</f>
        <v/>
      </c>
      <c r="J68" s="48" t="str">
        <f aca="false">IF(OR(NOT(ISNUMBER(J18)),NOT(ISNUMBER(J43))),"",J18-J43)</f>
        <v/>
      </c>
      <c r="K68" s="48" t="str">
        <f aca="false">IF(OR(NOT(ISNUMBER(K18)),NOT(ISNUMBER(K43))),"",K18-K43)</f>
        <v/>
      </c>
      <c r="L68" s="48" t="str">
        <f aca="false">IF(OR(NOT(ISNUMBER(L18)),NOT(ISNUMBER(L43))),"",L18-L43)</f>
        <v/>
      </c>
      <c r="M68" s="48" t="str">
        <f aca="false">IF(OR(NOT(ISNUMBER(M18)),NOT(ISNUMBER(M43))),"",M18-M43)</f>
        <v/>
      </c>
      <c r="N68" s="48" t="str">
        <f aca="false">IF(OR(NOT(ISNUMBER(N18)),NOT(ISNUMBER(N43))),"",N18-N43)</f>
        <v/>
      </c>
      <c r="O68" s="54" t="str">
        <f aca="false">IF(OR(NOT(ISNUMBER(O18)),NOT(ISNUMBER(O43))),"",O18-O43)</f>
        <v/>
      </c>
      <c r="P68" s="11" t="str">
        <f aca="false">IF(COUNT(D68:N68)=0,"",IF(AND(MAX(D68:N68)&lt;2,MIN(D68:N68)&gt;-2),"Sin diferencia","Diferencia a explicar"))</f>
        <v/>
      </c>
    </row>
    <row r="69" customFormat="false" ht="15" hidden="false" customHeight="false" outlineLevel="0" collapsed="false">
      <c r="A69" s="11" t="s">
        <v>2750</v>
      </c>
      <c r="B69" s="15" t="s">
        <v>2751</v>
      </c>
      <c r="C69" s="11" t="s">
        <v>508</v>
      </c>
      <c r="D69" s="48" t="str">
        <f aca="false">IF(OR(NOT(ISNUMBER(D19)),NOT(ISNUMBER(D44))),"",D19-D44)</f>
        <v/>
      </c>
      <c r="E69" s="48" t="str">
        <f aca="false">IF(OR(NOT(ISNUMBER(E19)),NOT(ISNUMBER(E44))),"",E19-E44)</f>
        <v/>
      </c>
      <c r="F69" s="48" t="str">
        <f aca="false">IF(OR(NOT(ISNUMBER(F19)),NOT(ISNUMBER(F44))),"",F19-F44)</f>
        <v/>
      </c>
      <c r="G69" s="48" t="str">
        <f aca="false">IF(OR(NOT(ISNUMBER(G19)),NOT(ISNUMBER(G44))),"",G19-G44)</f>
        <v/>
      </c>
      <c r="H69" s="48" t="str">
        <f aca="false">IF(OR(NOT(ISNUMBER(H19)),NOT(ISNUMBER(H44))),"",H19-H44)</f>
        <v/>
      </c>
      <c r="I69" s="48" t="str">
        <f aca="false">IF(OR(NOT(ISNUMBER(I19)),NOT(ISNUMBER(I44))),"",I19-I44)</f>
        <v/>
      </c>
      <c r="J69" s="48" t="str">
        <f aca="false">IF(OR(NOT(ISNUMBER(J19)),NOT(ISNUMBER(J44))),"",J19-J44)</f>
        <v/>
      </c>
      <c r="K69" s="48" t="str">
        <f aca="false">IF(OR(NOT(ISNUMBER(K19)),NOT(ISNUMBER(K44))),"",K19-K44)</f>
        <v/>
      </c>
      <c r="L69" s="48" t="str">
        <f aca="false">IF(OR(NOT(ISNUMBER(L19)),NOT(ISNUMBER(L44))),"",L19-L44)</f>
        <v/>
      </c>
      <c r="M69" s="48" t="str">
        <f aca="false">IF(OR(NOT(ISNUMBER(M19)),NOT(ISNUMBER(M44))),"",M19-M44)</f>
        <v/>
      </c>
      <c r="N69" s="48" t="str">
        <f aca="false">IF(OR(NOT(ISNUMBER(N19)),NOT(ISNUMBER(N44))),"",N19-N44)</f>
        <v/>
      </c>
      <c r="O69" s="54" t="str">
        <f aca="false">IF(OR(NOT(ISNUMBER(O19)),NOT(ISNUMBER(O44))),"",O19-O44)</f>
        <v/>
      </c>
      <c r="P69" s="11" t="str">
        <f aca="false">IF(COUNT(D69:N69)=0,"",IF(AND(MAX(D69:N69)&lt;2,MIN(D69:N69)&gt;-2),"Sin diferencia","Diferencia a explicar"))</f>
        <v/>
      </c>
    </row>
    <row r="70" customFormat="false" ht="15" hidden="false" customHeight="false" outlineLevel="0" collapsed="false">
      <c r="A70" s="11" t="s">
        <v>2752</v>
      </c>
      <c r="B70" s="15" t="s">
        <v>2613</v>
      </c>
      <c r="C70" s="11" t="s">
        <v>508</v>
      </c>
      <c r="D70" s="48" t="str">
        <f aca="false">IF(OR(NOT(ISNUMBER(D20)),NOT(ISNUMBER(D45))),"",D20-D45)</f>
        <v/>
      </c>
      <c r="E70" s="48" t="str">
        <f aca="false">IF(OR(NOT(ISNUMBER(E20)),NOT(ISNUMBER(E45))),"",E20-E45)</f>
        <v/>
      </c>
      <c r="F70" s="48" t="str">
        <f aca="false">IF(OR(NOT(ISNUMBER(F20)),NOT(ISNUMBER(F45))),"",F20-F45)</f>
        <v/>
      </c>
      <c r="G70" s="48" t="str">
        <f aca="false">IF(OR(NOT(ISNUMBER(G20)),NOT(ISNUMBER(G45))),"",G20-G45)</f>
        <v/>
      </c>
      <c r="H70" s="48" t="str">
        <f aca="false">IF(OR(NOT(ISNUMBER(H20)),NOT(ISNUMBER(H45))),"",H20-H45)</f>
        <v/>
      </c>
      <c r="I70" s="48" t="str">
        <f aca="false">IF(OR(NOT(ISNUMBER(I20)),NOT(ISNUMBER(I45))),"",I20-I45)</f>
        <v/>
      </c>
      <c r="J70" s="48" t="str">
        <f aca="false">IF(OR(NOT(ISNUMBER(J20)),NOT(ISNUMBER(J45))),"",J20-J45)</f>
        <v/>
      </c>
      <c r="K70" s="48" t="str">
        <f aca="false">IF(OR(NOT(ISNUMBER(K20)),NOT(ISNUMBER(K45))),"",K20-K45)</f>
        <v/>
      </c>
      <c r="L70" s="48" t="str">
        <f aca="false">IF(OR(NOT(ISNUMBER(L20)),NOT(ISNUMBER(L45))),"",L20-L45)</f>
        <v/>
      </c>
      <c r="M70" s="48" t="str">
        <f aca="false">IF(OR(NOT(ISNUMBER(M20)),NOT(ISNUMBER(M45))),"",M20-M45)</f>
        <v/>
      </c>
      <c r="N70" s="48" t="str">
        <f aca="false">IF(OR(NOT(ISNUMBER(N20)),NOT(ISNUMBER(N45))),"",N20-N45)</f>
        <v/>
      </c>
      <c r="O70" s="54" t="str">
        <f aca="false">IF(OR(NOT(ISNUMBER(O20)),NOT(ISNUMBER(O45))),"",O20-O45)</f>
        <v/>
      </c>
      <c r="P70" s="11" t="str">
        <f aca="false">IF(COUNT(D70:N70)=0,"",IF(AND(MAX(D70:N70)&lt;2,MIN(D70:N70)&gt;-2),"Sin diferencia","Diferencia a explicar"))</f>
        <v/>
      </c>
    </row>
    <row r="71" customFormat="false" ht="15" hidden="false" customHeight="false" outlineLevel="0" collapsed="false">
      <c r="A71" s="11" t="s">
        <v>2753</v>
      </c>
      <c r="B71" s="15" t="s">
        <v>2615</v>
      </c>
      <c r="C71" s="11" t="s">
        <v>508</v>
      </c>
      <c r="D71" s="48" t="str">
        <f aca="false">IF(OR(NOT(ISNUMBER(D21)),NOT(ISNUMBER(D46))),"",D21-D46)</f>
        <v/>
      </c>
      <c r="E71" s="48" t="str">
        <f aca="false">IF(OR(NOT(ISNUMBER(E21)),NOT(ISNUMBER(E46))),"",E21-E46)</f>
        <v/>
      </c>
      <c r="F71" s="48" t="str">
        <f aca="false">IF(OR(NOT(ISNUMBER(F21)),NOT(ISNUMBER(F46))),"",F21-F46)</f>
        <v/>
      </c>
      <c r="G71" s="48" t="str">
        <f aca="false">IF(OR(NOT(ISNUMBER(G21)),NOT(ISNUMBER(G46))),"",G21-G46)</f>
        <v/>
      </c>
      <c r="H71" s="48" t="str">
        <f aca="false">IF(OR(NOT(ISNUMBER(H21)),NOT(ISNUMBER(H46))),"",H21-H46)</f>
        <v/>
      </c>
      <c r="I71" s="48" t="str">
        <f aca="false">IF(OR(NOT(ISNUMBER(I21)),NOT(ISNUMBER(I46))),"",I21-I46)</f>
        <v/>
      </c>
      <c r="J71" s="48" t="str">
        <f aca="false">IF(OR(NOT(ISNUMBER(J21)),NOT(ISNUMBER(J46))),"",J21-J46)</f>
        <v/>
      </c>
      <c r="K71" s="48" t="str">
        <f aca="false">IF(OR(NOT(ISNUMBER(K21)),NOT(ISNUMBER(K46))),"",K21-K46)</f>
        <v/>
      </c>
      <c r="L71" s="48" t="str">
        <f aca="false">IF(OR(NOT(ISNUMBER(L21)),NOT(ISNUMBER(L46))),"",L21-L46)</f>
        <v/>
      </c>
      <c r="M71" s="48" t="str">
        <f aca="false">IF(OR(NOT(ISNUMBER(M21)),NOT(ISNUMBER(M46))),"",M21-M46)</f>
        <v/>
      </c>
      <c r="N71" s="48" t="str">
        <f aca="false">IF(OR(NOT(ISNUMBER(N21)),NOT(ISNUMBER(N46))),"",N21-N46)</f>
        <v/>
      </c>
      <c r="O71" s="54" t="str">
        <f aca="false">IF(OR(NOT(ISNUMBER(O21)),NOT(ISNUMBER(O46))),"",O21-O46)</f>
        <v/>
      </c>
      <c r="P71" s="11" t="str">
        <f aca="false">IF(COUNT(D71:N71)=0,"",IF(AND(MAX(D71:N71)&lt;2,MIN(D71:N71)&gt;-2),"Sin diferencia","Diferencia a explicar"))</f>
        <v/>
      </c>
    </row>
    <row r="72" customFormat="false" ht="15" hidden="false" customHeight="false" outlineLevel="0" collapsed="false">
      <c r="A72" s="11" t="s">
        <v>2754</v>
      </c>
      <c r="B72" s="15" t="s">
        <v>2755</v>
      </c>
      <c r="C72" s="11" t="s">
        <v>508</v>
      </c>
      <c r="D72" s="48"/>
      <c r="E72" s="48"/>
      <c r="F72" s="48"/>
      <c r="G72" s="48"/>
      <c r="H72" s="48"/>
      <c r="I72" s="48"/>
      <c r="J72" s="48"/>
      <c r="K72" s="48"/>
      <c r="L72" s="48"/>
      <c r="M72" s="48"/>
      <c r="N72" s="48"/>
    </row>
    <row r="73" customFormat="false" ht="15" hidden="false" customHeight="false" outlineLevel="0" collapsed="false">
      <c r="A73" s="11" t="s">
        <v>2756</v>
      </c>
      <c r="B73" s="15" t="s">
        <v>2757</v>
      </c>
      <c r="C73" s="11" t="s">
        <v>508</v>
      </c>
      <c r="D73" s="48" t="str">
        <f aca="false">IF(OR(NOT(ISNUMBER(D23)),NOT(ISNUMBER(D48))),"",D23-D48)</f>
        <v/>
      </c>
      <c r="E73" s="48" t="n">
        <f aca="false">IF(OR(NOT(ISNUMBER(E23)),NOT(ISNUMBER(E48))),"",E23-E48)</f>
        <v>38605.0184423733</v>
      </c>
      <c r="F73" s="48" t="n">
        <f aca="false">IF(OR(NOT(ISNUMBER(F23)),NOT(ISNUMBER(F48))),"",F23-F48)</f>
        <v>39199.4494628734</v>
      </c>
      <c r="G73" s="48" t="n">
        <f aca="false">IF(OR(NOT(ISNUMBER(G23)),NOT(ISNUMBER(G48))),"",G23-G48)</f>
        <v>30649.4952579997</v>
      </c>
      <c r="H73" s="48" t="n">
        <f aca="false">IF(OR(NOT(ISNUMBER(H23)),NOT(ISNUMBER(H48))),"",H23-H48)</f>
        <v>20400.9049798911</v>
      </c>
      <c r="I73" s="48" t="n">
        <f aca="false">IF(OR(NOT(ISNUMBER(I23)),NOT(ISNUMBER(I48))),"",I23-I48)</f>
        <v>10838.8363031596</v>
      </c>
      <c r="J73" s="48" t="n">
        <f aca="false">IF(OR(NOT(ISNUMBER(J23)),NOT(ISNUMBER(J48))),"",J23-J48)</f>
        <v>1326.04972659517</v>
      </c>
      <c r="K73" s="48" t="n">
        <f aca="false">IF(OR(NOT(ISNUMBER(K23)),NOT(ISNUMBER(K48))),"",K23-K48)</f>
        <v>-8288.11628511548</v>
      </c>
      <c r="L73" s="48" t="n">
        <f aca="false">IF(OR(NOT(ISNUMBER(L23)),NOT(ISNUMBER(L48))),"",L23-L48)</f>
        <v>-18004.9819577066</v>
      </c>
      <c r="M73" s="48" t="n">
        <f aca="false">IF(OR(NOT(ISNUMBER(M23)),NOT(ISNUMBER(M48))),"",M23-M48)</f>
        <v>-27825.8108478058</v>
      </c>
      <c r="N73" s="48" t="n">
        <f aca="false">IF(OR(NOT(ISNUMBER(N23)),NOT(ISNUMBER(N48))),"",N23-N48)</f>
        <v>-37750.809278802</v>
      </c>
      <c r="O73" s="54" t="n">
        <f aca="false">IF(OR(NOT(ISNUMBER(O23)),NOT(ISNUMBER(O48))),"",O23-O48)</f>
        <v>49150.0358034633</v>
      </c>
      <c r="P73" s="11" t="str">
        <f aca="false">IF(COUNT(D73:N73)=0,"",IF(AND(MAX(D73:N73)&lt;2,MIN(D73:N73)&gt;-2),"Sin diferencia","Sigue a los costos variables."))</f>
        <v>Sigue a los costos variables.</v>
      </c>
    </row>
    <row r="74" customFormat="false" ht="15" hidden="false" customHeight="false" outlineLevel="0" collapsed="false">
      <c r="A74" s="11" t="s">
        <v>2758</v>
      </c>
      <c r="B74" s="15" t="s">
        <v>2759</v>
      </c>
      <c r="C74" s="11" t="s">
        <v>367</v>
      </c>
      <c r="D74" s="49" t="str">
        <f aca="false">IF(OR(NOT(ISNUMBER(D24)),NOT(ISNUMBER(D49))),"",D24-D49)</f>
        <v/>
      </c>
      <c r="E74" s="49" t="n">
        <f aca="false">IF(OR(NOT(ISNUMBER(E24)),NOT(ISNUMBER(E49))),"",E24-E49)</f>
        <v>0.00795979761698418</v>
      </c>
      <c r="F74" s="49" t="n">
        <f aca="false">IF(OR(NOT(ISNUMBER(F24)),NOT(ISNUMBER(F49))),"",F24-F49)</f>
        <v>0.00634172158527041</v>
      </c>
      <c r="G74" s="49" t="n">
        <f aca="false">IF(OR(NOT(ISNUMBER(G24)),NOT(ISNUMBER(G49))),"",G24-G49)</f>
        <v>0.00406570759373925</v>
      </c>
      <c r="H74" s="49" t="n">
        <f aca="false">IF(OR(NOT(ISNUMBER(H24)),NOT(ISNUMBER(H49))),"",H24-H49)</f>
        <v>0.00234884652974271</v>
      </c>
      <c r="I74" s="49" t="n">
        <f aca="false">IF(OR(NOT(ISNUMBER(I24)),NOT(ISNUMBER(I49))),"",I24-I49)</f>
        <v>0.00123558398395407</v>
      </c>
      <c r="J74" s="49" t="n">
        <f aca="false">IF(OR(NOT(ISNUMBER(J24)),NOT(ISNUMBER(J49))),"",J24-J49)</f>
        <v>0.000149677613482224</v>
      </c>
      <c r="K74" s="49" t="n">
        <f aca="false">IF(OR(NOT(ISNUMBER(K24)),NOT(ISNUMBER(K49))),"",K24-K49)</f>
        <v>-0.00092618474654077</v>
      </c>
      <c r="L74" s="49" t="n">
        <f aca="false">IF(OR(NOT(ISNUMBER(L24)),NOT(ISNUMBER(L49))),"",L24-L49)</f>
        <v>-0.00199212073332811</v>
      </c>
      <c r="M74" s="49" t="n">
        <f aca="false">IF(OR(NOT(ISNUMBER(M24)),NOT(ISNUMBER(M49))),"",M24-M49)</f>
        <v>-0.00304824186027813</v>
      </c>
      <c r="N74" s="49" t="n">
        <f aca="false">IF(OR(NOT(ISNUMBER(N24)),NOT(ISNUMBER(N49))),"",N24-N49)</f>
        <v>-0.00409454545851506</v>
      </c>
      <c r="O74" s="99" t="n">
        <f aca="false">IF(OR(NOT(ISNUMBER(O24)),NOT(ISNUMBER(O49))),"",O24-O49)</f>
        <v>0.000605129901973589</v>
      </c>
      <c r="P74" s="11" t="str">
        <f aca="false">IF(COUNT(D74:N74)=0,"",IF(AND(MAX(D74:N74)&lt;0.0005,MIN(D74:N74)&gt;-0.0005),"Sin diferencia","Sigue a los costos variables."))</f>
        <v>Sigue a los costos variables.</v>
      </c>
    </row>
    <row r="75" customFormat="false" ht="15" hidden="false" customHeight="false" outlineLevel="0" collapsed="false">
      <c r="A75" s="11" t="s">
        <v>2760</v>
      </c>
      <c r="B75" s="67" t="s">
        <v>2761</v>
      </c>
      <c r="C75" s="11" t="s">
        <v>508</v>
      </c>
      <c r="D75" s="54" t="str">
        <f aca="false">IF(OR(NOT(ISNUMBER(D25)),NOT(ISNUMBER(D50))),"",D25-D50)</f>
        <v/>
      </c>
      <c r="E75" s="54" t="n">
        <f aca="false">IF(OR(NOT(ISNUMBER(E25)),NOT(ISNUMBER(E50))),"",E25-E50)</f>
        <v>433619.858464567</v>
      </c>
      <c r="F75" s="54" t="n">
        <f aca="false">IF(OR(NOT(ISNUMBER(F25)),NOT(ISNUMBER(F50))),"",F25-F50)</f>
        <v>262798.183962838</v>
      </c>
      <c r="G75" s="54" t="n">
        <f aca="false">IF(OR(NOT(ISNUMBER(G25)),NOT(ISNUMBER(G50))),"",G25-G50)</f>
        <v>297617.123412591</v>
      </c>
      <c r="H75" s="54" t="n">
        <f aca="false">IF(OR(NOT(ISNUMBER(H25)),NOT(ISNUMBER(H50))),"",H25-H50)</f>
        <v>321398.249406392</v>
      </c>
      <c r="I75" s="54" t="n">
        <f aca="false">IF(OR(NOT(ISNUMBER(I25)),NOT(ISNUMBER(I50))),"",I25-I50)</f>
        <v>340036.830707381</v>
      </c>
      <c r="J75" s="54" t="n">
        <f aca="false">IF(OR(NOT(ISNUMBER(J25)),NOT(ISNUMBER(J50))),"",J25-J50)</f>
        <v>314806.16654824</v>
      </c>
      <c r="K75" s="54" t="n">
        <f aca="false">IF(OR(NOT(ISNUMBER(K25)),NOT(ISNUMBER(K50))),"",K25-K50)</f>
        <v>359059.816601512</v>
      </c>
      <c r="L75" s="54" t="n">
        <f aca="false">IF(OR(NOT(ISNUMBER(L25)),NOT(ISNUMBER(L50))),"",L25-L50)</f>
        <v>367872.521324826</v>
      </c>
      <c r="M75" s="54" t="n">
        <f aca="false">IF(OR(NOT(ISNUMBER(M25)),NOT(ISNUMBER(M50))),"",M25-M50)</f>
        <v>376429.510037698</v>
      </c>
      <c r="N75" s="54" t="n">
        <f aca="false">IF(OR(NOT(ISNUMBER(N25)),NOT(ISNUMBER(N50))),"",N25-N50)</f>
        <v>384757.646692945</v>
      </c>
      <c r="P75" s="11" t="str">
        <f aca="false">IF(COUNT(D75:N75)=0,"",IF(AND(MAX(D75:N75)&lt;2,MIN(D75:N75)&gt;-2),"Sin diferencia","Sigue a la clasificación de costos fijos y variables y a C1."))</f>
        <v>Sigue a la clasificación de costos fijos y variables y a C1.</v>
      </c>
    </row>
    <row r="76" customFormat="false" ht="15" hidden="false" customHeight="false" outlineLevel="0" collapsed="false">
      <c r="A76" s="11" t="s">
        <v>2762</v>
      </c>
      <c r="B76" s="15" t="s">
        <v>2763</v>
      </c>
      <c r="C76" s="11" t="s">
        <v>544</v>
      </c>
      <c r="D76" s="48" t="str">
        <f aca="false">IF(OR(NOT(ISNUMBER(D26)),NOT(ISNUMBER(D51))),"",D26-D51)</f>
        <v/>
      </c>
      <c r="E76" s="48" t="n">
        <f aca="false">IF(OR(NOT(ISNUMBER(E26)),NOT(ISNUMBER(E51))),"",E26-E51)</f>
        <v>0</v>
      </c>
      <c r="F76" s="48" t="n">
        <f aca="false">IF(OR(NOT(ISNUMBER(F26)),NOT(ISNUMBER(F51))),"",F26-F51)</f>
        <v>0</v>
      </c>
      <c r="G76" s="48" t="n">
        <f aca="false">IF(OR(NOT(ISNUMBER(G26)),NOT(ISNUMBER(G51))),"",G26-G51)</f>
        <v>0</v>
      </c>
      <c r="H76" s="48" t="n">
        <f aca="false">IF(OR(NOT(ISNUMBER(H26)),NOT(ISNUMBER(H51))),"",H26-H51)</f>
        <v>0</v>
      </c>
      <c r="I76" s="48" t="n">
        <f aca="false">IF(OR(NOT(ISNUMBER(I26)),NOT(ISNUMBER(I51))),"",I26-I51)</f>
        <v>0</v>
      </c>
      <c r="J76" s="48" t="n">
        <f aca="false">IF(OR(NOT(ISNUMBER(J26)),NOT(ISNUMBER(J51))),"",J26-J51)</f>
        <v>0</v>
      </c>
      <c r="K76" s="48" t="n">
        <f aca="false">IF(OR(NOT(ISNUMBER(K26)),NOT(ISNUMBER(K51))),"",K26-K51)</f>
        <v>0</v>
      </c>
      <c r="L76" s="48" t="n">
        <f aca="false">IF(OR(NOT(ISNUMBER(L26)),NOT(ISNUMBER(L51))),"",L26-L51)</f>
        <v>0</v>
      </c>
      <c r="M76" s="48" t="n">
        <f aca="false">IF(OR(NOT(ISNUMBER(M26)),NOT(ISNUMBER(M51))),"",M26-M51)</f>
        <v>0</v>
      </c>
      <c r="N76" s="48" t="n">
        <f aca="false">IF(OR(NOT(ISNUMBER(N26)),NOT(ISNUMBER(N51))),"",N26-N51)</f>
        <v>0</v>
      </c>
      <c r="O76" s="54" t="n">
        <f aca="false">IF(OR(NOT(ISNUMBER(O26)),NOT(ISNUMBER(O51))),"",O26-O51)</f>
        <v>0</v>
      </c>
      <c r="P76" s="11" t="str">
        <f aca="false">IF(COUNT(D76:N76)=0,"",IF(AND(MAX(D76:N76)&lt;2,MIN(D76:N76)&gt;-2),"Sin diferencia","Diferencia a explicar"))</f>
        <v>Sin diferencia</v>
      </c>
    </row>
    <row r="77" customFormat="false" ht="15" hidden="false" customHeight="false" outlineLevel="0" collapsed="false">
      <c r="A77" s="11" t="s">
        <v>2764</v>
      </c>
      <c r="B77" s="67" t="s">
        <v>2765</v>
      </c>
      <c r="C77" s="11" t="s">
        <v>544</v>
      </c>
      <c r="D77" s="54" t="str">
        <f aca="false">IF(OR(NOT(ISNUMBER(D27)),NOT(ISNUMBER(D52))),"",D27-D52)</f>
        <v/>
      </c>
      <c r="E77" s="54" t="n">
        <f aca="false">IF(OR(NOT(ISNUMBER(E27)),NOT(ISNUMBER(E52))),"",E27-E52)</f>
        <v>7331.30482352464</v>
      </c>
      <c r="F77" s="54" t="n">
        <f aca="false">IF(OR(NOT(ISNUMBER(F27)),NOT(ISNUMBER(F52))),"",F27-F52)</f>
        <v>4464.15086327866</v>
      </c>
      <c r="G77" s="54" t="n">
        <f aca="false">IF(OR(NOT(ISNUMBER(G27)),NOT(ISNUMBER(G52))),"",G27-G52)</f>
        <v>5053.36535326164</v>
      </c>
      <c r="H77" s="54" t="n">
        <f aca="false">IF(OR(NOT(ISNUMBER(H27)),NOT(ISNUMBER(H52))),"",H27-H52)</f>
        <v>5217.59878512116</v>
      </c>
      <c r="I77" s="54" t="n">
        <f aca="false">IF(OR(NOT(ISNUMBER(I27)),NOT(ISNUMBER(I52))),"",I27-I52)</f>
        <v>5465.52773282775</v>
      </c>
      <c r="J77" s="54" t="n">
        <f aca="false">IF(OR(NOT(ISNUMBER(J27)),NOT(ISNUMBER(J52))),"",J27-J52)</f>
        <v>5009.88832916266</v>
      </c>
      <c r="K77" s="54" t="n">
        <f aca="false">IF(OR(NOT(ISNUMBER(K27)),NOT(ISNUMBER(K52))),"",K27-K52)</f>
        <v>5657.57289669458</v>
      </c>
      <c r="L77" s="54" t="n">
        <f aca="false">IF(OR(NOT(ISNUMBER(L27)),NOT(ISNUMBER(L52))),"",L27-L52)</f>
        <v>5739.04014380845</v>
      </c>
      <c r="M77" s="54" t="n">
        <f aca="false">IF(OR(NOT(ISNUMBER(M27)),NOT(ISNUMBER(M52))),"",M27-M52)</f>
        <v>5814.39053152582</v>
      </c>
      <c r="N77" s="54" t="n">
        <f aca="false">IF(OR(NOT(ISNUMBER(N27)),NOT(ISNUMBER(N52))),"",N27-N52)</f>
        <v>5884.18738077778</v>
      </c>
      <c r="P77" s="11" t="str">
        <f aca="false">IF(COUNT(D77:N77)=0,"",IF(AND(MAX(D77:N77)&lt;2,MIN(D77:N77)&gt;-2),"Sin diferencia","Sigue a la clasificación de costos fijos y variables y a C1."))</f>
        <v>Sigue a la clasificación de costos fijos y variables y a C1.</v>
      </c>
    </row>
    <row r="78" customFormat="false" ht="15" hidden="false" customHeight="false" outlineLevel="0" collapsed="false">
      <c r="A78" s="11" t="s">
        <v>2766</v>
      </c>
      <c r="B78" s="15" t="s">
        <v>2767</v>
      </c>
      <c r="C78" s="11" t="s">
        <v>367</v>
      </c>
      <c r="D78" s="49" t="str">
        <f aca="false">IF(OR(NOT(ISNUMBER(D28)),NOT(ISNUMBER(D53))),"",D28-D53)</f>
        <v/>
      </c>
      <c r="E78" s="49" t="n">
        <f aca="false">IF(OR(NOT(ISNUMBER(E28)),NOT(ISNUMBER(E53))),"",E28-E53)</f>
        <v>-0.0894061563844468</v>
      </c>
      <c r="F78" s="49" t="n">
        <f aca="false">IF(OR(NOT(ISNUMBER(F28)),NOT(ISNUMBER(F53))),"",F28-F53)</f>
        <v>-0.0425157225074158</v>
      </c>
      <c r="G78" s="49" t="n">
        <f aca="false">IF(OR(NOT(ISNUMBER(G28)),NOT(ISNUMBER(G53))),"",G28-G53)</f>
        <v>-0.0394794168223566</v>
      </c>
      <c r="H78" s="49" t="n">
        <f aca="false">IF(OR(NOT(ISNUMBER(H28)),NOT(ISNUMBER(H53))),"",H28-H53)</f>
        <v>-0.037004246702987</v>
      </c>
      <c r="I78" s="49" t="n">
        <f aca="false">IF(OR(NOT(ISNUMBER(I28)),NOT(ISNUMBER(I53))),"",I28-I53)</f>
        <v>-0.0387626080342394</v>
      </c>
      <c r="J78" s="49" t="n">
        <f aca="false">IF(OR(NOT(ISNUMBER(J28)),NOT(ISNUMBER(J53))),"",J28-J53)</f>
        <v>-0.0355311229018629</v>
      </c>
      <c r="K78" s="49" t="n">
        <f aca="false">IF(OR(NOT(ISNUMBER(K28)),NOT(ISNUMBER(K53))),"",K28-K53)</f>
        <v>-0.0401246304730112</v>
      </c>
      <c r="L78" s="49" t="n">
        <f aca="false">IF(OR(NOT(ISNUMBER(L28)),NOT(ISNUMBER(L53))),"",L28-L53)</f>
        <v>-0.0407024123674358</v>
      </c>
      <c r="M78" s="49" t="n">
        <f aca="false">IF(OR(NOT(ISNUMBER(M28)),NOT(ISNUMBER(M53))),"",M28-M53)</f>
        <v>-0.0412368122803251</v>
      </c>
      <c r="N78" s="49" t="n">
        <f aca="false">IF(OR(NOT(ISNUMBER(N28)),NOT(ISNUMBER(N53))),"",N28-N53)</f>
        <v>-0.0417318253955872</v>
      </c>
      <c r="P78" s="11" t="str">
        <f aca="false">IF(COUNT(D78:N78)=0,"",IF(AND(MAX(D78:N78)&lt;0.0005,MIN(D78:N78)&gt;-0.0005),"Sin diferencia","Sigue al punto de equilibrio."))</f>
        <v>Sigue al punto de equilibrio.</v>
      </c>
    </row>
    <row r="80" customFormat="false" ht="15" hidden="false" customHeight="false" outlineLevel="0" collapsed="false">
      <c r="A80" s="12" t="s">
        <v>240</v>
      </c>
      <c r="B80" s="13"/>
      <c r="C80" s="13"/>
      <c r="D80" s="13"/>
      <c r="E80" s="13"/>
      <c r="F80" s="13"/>
      <c r="G80" s="13"/>
      <c r="H80" s="13"/>
      <c r="I80" s="13"/>
      <c r="J80" s="13"/>
      <c r="K80" s="13"/>
      <c r="L80" s="13"/>
      <c r="M80" s="13"/>
      <c r="N80" s="13"/>
      <c r="O80" s="13"/>
    </row>
    <row r="81" customFormat="false" ht="15" hidden="false" customHeight="false" outlineLevel="0" collapsed="false">
      <c r="B81" s="11" t="s">
        <v>2768</v>
      </c>
    </row>
    <row r="82" customFormat="false" ht="15" hidden="false" customHeight="false" outlineLevel="0" collapsed="false">
      <c r="B82" s="11" t="s">
        <v>2769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7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2770</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18, pág. 26"</f>
        <v>Plan de referencia: Plan CIE–PERG Oct-2025 — cuadro 18, pág. 26</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2771</v>
      </c>
      <c r="C8" s="13"/>
      <c r="D8" s="13"/>
      <c r="E8" s="13"/>
      <c r="F8" s="13"/>
      <c r="G8" s="13"/>
      <c r="H8" s="13"/>
      <c r="I8" s="13"/>
      <c r="J8" s="13"/>
      <c r="K8" s="13"/>
      <c r="L8" s="13"/>
      <c r="M8" s="13"/>
      <c r="N8" s="13"/>
      <c r="O8" s="13"/>
    </row>
    <row r="9" customFormat="false" ht="15" hidden="false" customHeight="false" outlineLevel="0" collapsed="false">
      <c r="A9" s="11" t="s">
        <v>2772</v>
      </c>
      <c r="B9" s="67" t="s">
        <v>2773</v>
      </c>
      <c r="C9" s="11" t="s">
        <v>508</v>
      </c>
      <c r="D9" s="54" t="n">
        <f aca="false">IFERROR(IF(COUNT(D10,D11,D12,D13,D14)=0,"",N(D10)+N(D11)+N(D12)+N(D13)+N(D14)),"")</f>
        <v>0</v>
      </c>
      <c r="E9" s="54" t="n">
        <f aca="false">IFERROR(IF(COUNT(E10,E11,E12,E13,E14)=0,"",N(E10)+N(E11)+N(E12)+N(E13)+N(E14)),"")</f>
        <v>4069339.00570708</v>
      </c>
      <c r="F9" s="54" t="n">
        <f aca="false">IFERROR(IF(COUNT(F10,F11,F12,F13,F14)=0,"",N(F10)+N(F11)+N(F12)+N(F13)+N(F14)),"")</f>
        <v>1835487.5794865</v>
      </c>
      <c r="G9" s="54" t="n">
        <f aca="false">IFERROR(IF(COUNT(G10,G11,G12,G13,G14)=0,"",N(G10)+N(G11)+N(G12)+N(G13)+N(G14)),"")</f>
        <v>1708069.63959778</v>
      </c>
      <c r="H9" s="54" t="n">
        <f aca="false">IFERROR(IF(COUNT(H10,H11,H12,H13,H14)=0,"",N(H10)+N(H11)+N(H12)+N(H13)+N(H14)),"")</f>
        <v>2067341.73630185</v>
      </c>
      <c r="I9" s="54" t="n">
        <f aca="false">IFERROR(IF(COUNT(I10,I11,I12,I13,I14)=0,"",N(I10)+N(I11)+N(I12)+N(I13)+N(I14)),"")</f>
        <v>2556620.53004</v>
      </c>
      <c r="J9" s="54" t="n">
        <f aca="false">IFERROR(IF(COUNT(J10,J11,J12,J13,J14)=0,"",N(J10)+N(J11)+N(J12)+N(J13)+N(J14)),"")</f>
        <v>2816876.9740332</v>
      </c>
      <c r="K9" s="54" t="n">
        <f aca="false">IFERROR(IF(COUNT(K10,K11,K12,K13,K14)=0,"",N(K10)+N(K11)+N(K12)+N(K13)+N(K14)),"")</f>
        <v>3228217.84306919</v>
      </c>
      <c r="L9" s="54" t="n">
        <f aca="false">IFERROR(IF(COUNT(L10,L11,L12,L13,L14)=0,"",N(L10)+N(L11)+N(L12)+N(L13)+N(L14)),"")</f>
        <v>3358657.07982594</v>
      </c>
      <c r="M9" s="54" t="n">
        <f aca="false">IFERROR(IF(COUNT(M10,M11,M12,M13,M14)=0,"",N(M10)+N(M11)+N(M12)+N(M13)+N(M14)),"")</f>
        <v>3489403.95704551</v>
      </c>
      <c r="N9" s="54" t="n">
        <f aca="false">IFERROR(IF(COUNT(N10,N11,N12,N13,N14)=0,"",N(N10)+N(N11)+N(N12)+N(N13)+N(N14)),"")</f>
        <v>3620452.60892176</v>
      </c>
      <c r="O9" s="54" t="n">
        <f aca="false">SUM(D9:N9)</f>
        <v>28750466.9540288</v>
      </c>
    </row>
    <row r="10" customFormat="false" ht="15" hidden="false" customHeight="false" outlineLevel="0" collapsed="false">
      <c r="A10" s="11" t="s">
        <v>2774</v>
      </c>
      <c r="B10" s="15" t="s">
        <v>2775</v>
      </c>
      <c r="C10" s="11" t="s">
        <v>508</v>
      </c>
      <c r="D10" s="48" t="n">
        <f aca="false">IF(cu_P=1,SUMIFS(Calculo!$F$102:$ES$102,Calculo!$F$16:$ES$16,1),SUMIFS(Calculo!$F$258:$ES$258,Calculo!$F$172:$ES$172,1))</f>
        <v>0</v>
      </c>
      <c r="E10" s="48" t="n">
        <f aca="false">IF(cu_P=1,SUMIFS(Calculo!$F$102:$ES$102,Calculo!$F$14:$ES$14,1),SUMIFS(Calculo!$F$258:$ES$258,Calculo!$F$170:$ES$170,1))</f>
        <v>509970.005707077</v>
      </c>
      <c r="F10" s="48" t="n">
        <f aca="false">IF(cu_P=1,SUMIFS(Calculo!$F$102:$ES$102,Calculo!$F$14:$ES$14,2),SUMIFS(Calculo!$F$258:$ES$258,Calculo!$F$170:$ES$170,2))</f>
        <v>965956.835927578</v>
      </c>
      <c r="G10" s="48" t="n">
        <f aca="false">IF(cu_P=1,SUMIFS(Calculo!$F$102:$ES$102,Calculo!$F$14:$ES$14,3),SUMIFS(Calculo!$F$258:$ES$258,Calculo!$F$170:$ES$170,3))</f>
        <v>1405020.3703815</v>
      </c>
      <c r="H10" s="48" t="n">
        <f aca="false">IF(cu_P=1,SUMIFS(Calculo!$F$102:$ES$102,Calculo!$F$14:$ES$14,4),SUMIFS(Calculo!$F$258:$ES$258,Calculo!$F$170:$ES$170,4))</f>
        <v>1798722.9585583</v>
      </c>
      <c r="I10" s="48" t="n">
        <f aca="false">IF(cu_P=1,SUMIFS(Calculo!$F$102:$ES$102,Calculo!$F$14:$ES$14,5),SUMIFS(Calculo!$F$258:$ES$258,Calculo!$F$170:$ES$170,5))</f>
        <v>1814557.97851649</v>
      </c>
      <c r="J10" s="48" t="n">
        <f aca="false">IF(cu_P=1,SUMIFS(Calculo!$F$102:$ES$102,Calculo!$F$14:$ES$14,6),SUMIFS(Calculo!$F$258:$ES$258,Calculo!$F$170:$ES$170,6))</f>
        <v>1863605.30157391</v>
      </c>
      <c r="K10" s="48" t="n">
        <f aca="false">IF(cu_P=1,SUMIFS(Calculo!$F$102:$ES$102,Calculo!$F$14:$ES$14,7),SUMIFS(Calculo!$F$258:$ES$258,Calculo!$F$170:$ES$170,7))</f>
        <v>1912992.2698728</v>
      </c>
      <c r="L10" s="48" t="n">
        <f aca="false">IF(cu_P=1,SUMIFS(Calculo!$F$102:$ES$102,Calculo!$F$14:$ES$14,8),SUMIFS(Calculo!$F$258:$ES$258,Calculo!$F$170:$ES$170,8))</f>
        <v>1962717.82255545</v>
      </c>
      <c r="M10" s="48" t="n">
        <f aca="false">IF(cu_P=1,SUMIFS(Calculo!$F$102:$ES$102,Calculo!$F$14:$ES$14,9),SUMIFS(Calculo!$F$258:$ES$258,Calculo!$F$170:$ES$170,9))</f>
        <v>2012780.75578689</v>
      </c>
      <c r="N10" s="48" t="n">
        <f aca="false">IF(cu_P=1,SUMIFS(Calculo!$F$102:$ES$102,Calculo!$F$14:$ES$14,10),SUMIFS(Calculo!$F$258:$ES$258,Calculo!$F$170:$ES$170,10))</f>
        <v>2063179.71738103</v>
      </c>
      <c r="O10" s="54" t="n">
        <f aca="false">SUM(D10:N10)</f>
        <v>16309504.016261</v>
      </c>
    </row>
    <row r="11" customFormat="false" ht="15" hidden="false" customHeight="false" outlineLevel="0" collapsed="false">
      <c r="A11" s="11" t="s">
        <v>2776</v>
      </c>
      <c r="B11" s="15" t="s">
        <v>2777</v>
      </c>
      <c r="C11" s="11" t="s">
        <v>508</v>
      </c>
      <c r="D11" s="48" t="n">
        <f aca="false">IF(cu_P=1,0,0)</f>
        <v>0</v>
      </c>
      <c r="E11" s="48" t="n">
        <f aca="false">IF(cu_P=1,IF(SUM(Calculo!$F$16:$ES$16)=0,0,INDEX(Calculo!$F$154:$ES$154,1,SUM(Calculo!$F$16:$ES$16))),IF(SUM(Calculo!$F$172:$ES$172)=0,0,INDEX(Calculo!$F$310:$ES$310,1,SUM(Calculo!$F$172:$ES$172))))</f>
        <v>0</v>
      </c>
      <c r="F11" s="48" t="n">
        <f aca="false">IF(cu_P=1,IF(COUNTIFS(Calculo!$F$14:$ES$14,1)=0,0,INDEX(Calculo!$F$154:$ES$154,1,_xlfn.MAXIFS(Calculo!$F$4:$ES$4,Calculo!$F$14:$ES$14,1))),IF(COUNTIFS(Calculo!$F$170:$ES$170,1)=0,0,INDEX(Calculo!$F$310:$ES$310,1,_xlfn.MAXIFS(Calculo!$F$4:$ES$4,Calculo!$F$170:$ES$170,1))))</f>
        <v>497602.743558918</v>
      </c>
      <c r="G11" s="48" t="n">
        <f aca="false">IF(cu_P=1,IF(COUNTIFS(Calculo!$F$14:$ES$14,2)=0,0,INDEX(Calculo!$F$154:$ES$154,1,_xlfn.MAXIFS(Calculo!$F$4:$ES$4,Calculo!$F$14:$ES$14,2))),IF(COUNTIFS(Calculo!$F$170:$ES$170,2)=0,0,INDEX(Calculo!$F$310:$ES$310,1,_xlfn.MAXIFS(Calculo!$F$4:$ES$4,Calculo!$F$170:$ES$170,2))))</f>
        <v>303049.269216285</v>
      </c>
      <c r="H11" s="48" t="n">
        <f aca="false">IF(cu_P=1,IF(COUNTIFS(Calculo!$F$14:$ES$14,3)=0,0,INDEX(Calculo!$F$154:$ES$154,1,_xlfn.MAXIFS(Calculo!$F$4:$ES$4,Calculo!$F$14:$ES$14,3))),IF(COUNTIFS(Calculo!$F$170:$ES$170,3)=0,0,INDEX(Calculo!$F$310:$ES$310,1,_xlfn.MAXIFS(Calculo!$F$4:$ES$4,Calculo!$F$170:$ES$170,3))))</f>
        <v>268618.777743545</v>
      </c>
      <c r="I11" s="48" t="n">
        <f aca="false">IF(cu_P=1,IF(COUNTIFS(Calculo!$F$14:$ES$14,4)=0,0,INDEX(Calculo!$F$154:$ES$154,1,_xlfn.MAXIFS(Calculo!$F$4:$ES$4,Calculo!$F$14:$ES$14,4))),IF(COUNTIFS(Calculo!$F$170:$ES$170,4)=0,0,INDEX(Calculo!$F$310:$ES$310,1,_xlfn.MAXIFS(Calculo!$F$4:$ES$4,Calculo!$F$170:$ES$170,4))))</f>
        <v>742062.551523511</v>
      </c>
      <c r="J11" s="48" t="n">
        <f aca="false">IF(cu_P=1,IF(COUNTIFS(Calculo!$F$14:$ES$14,5)=0,0,INDEX(Calculo!$F$154:$ES$154,1,_xlfn.MAXIFS(Calculo!$F$4:$ES$4,Calculo!$F$14:$ES$14,5))),IF(COUNTIFS(Calculo!$F$170:$ES$170,5)=0,0,INDEX(Calculo!$F$310:$ES$310,1,_xlfn.MAXIFS(Calculo!$F$4:$ES$4,Calculo!$F$170:$ES$170,5))))</f>
        <v>953271.672459291</v>
      </c>
      <c r="K11" s="48" t="n">
        <f aca="false">IF(cu_P=1,IF(COUNTIFS(Calculo!$F$14:$ES$14,6)=0,0,INDEX(Calculo!$F$154:$ES$154,1,_xlfn.MAXIFS(Calculo!$F$4:$ES$4,Calculo!$F$14:$ES$14,6))),IF(COUNTIFS(Calculo!$F$170:$ES$170,6)=0,0,INDEX(Calculo!$F$310:$ES$310,1,_xlfn.MAXIFS(Calculo!$F$4:$ES$4,Calculo!$F$170:$ES$170,6))))</f>
        <v>1315225.57319639</v>
      </c>
      <c r="L11" s="48" t="n">
        <f aca="false">IF(cu_P=1,IF(COUNTIFS(Calculo!$F$14:$ES$14,7)=0,0,INDEX(Calculo!$F$154:$ES$154,1,_xlfn.MAXIFS(Calculo!$F$4:$ES$4,Calculo!$F$14:$ES$14,7))),IF(COUNTIFS(Calculo!$F$170:$ES$170,7)=0,0,INDEX(Calculo!$F$310:$ES$310,1,_xlfn.MAXIFS(Calculo!$F$4:$ES$4,Calculo!$F$170:$ES$170,7))))</f>
        <v>1395939.25727049</v>
      </c>
      <c r="M11" s="48" t="n">
        <f aca="false">IF(cu_P=1,IF(COUNTIFS(Calculo!$F$14:$ES$14,8)=0,0,INDEX(Calculo!$F$154:$ES$154,1,_xlfn.MAXIFS(Calculo!$F$4:$ES$4,Calculo!$F$14:$ES$14,8))),IF(COUNTIFS(Calculo!$F$170:$ES$170,8)=0,0,INDEX(Calculo!$F$310:$ES$310,1,_xlfn.MAXIFS(Calculo!$F$4:$ES$4,Calculo!$F$170:$ES$170,8))))</f>
        <v>1476623.20125862</v>
      </c>
      <c r="N11" s="48" t="n">
        <f aca="false">IF(cu_P=1,IF(COUNTIFS(Calculo!$F$14:$ES$14,9)=0,0,INDEX(Calculo!$F$154:$ES$154,1,_xlfn.MAXIFS(Calculo!$F$4:$ES$4,Calculo!$F$14:$ES$14,9))),IF(COUNTIFS(Calculo!$F$170:$ES$170,9)=0,0,INDEX(Calculo!$F$310:$ES$310,1,_xlfn.MAXIFS(Calculo!$F$4:$ES$4,Calculo!$F$170:$ES$170,9))))</f>
        <v>1557272.89154073</v>
      </c>
    </row>
    <row r="12" customFormat="false" ht="15" hidden="false" customHeight="false" outlineLevel="0" collapsed="false">
      <c r="A12" s="11" t="s">
        <v>2778</v>
      </c>
      <c r="B12" s="15" t="s">
        <v>2779</v>
      </c>
      <c r="C12" s="11" t="s">
        <v>508</v>
      </c>
      <c r="D12" s="48" t="n">
        <f aca="false">IF(cu_P=1,SUMIFS(Calculo!$F$136:$ES$136,Calculo!$F$16:$ES$16,1),SUMIFS(Calculo!$F$292:$ES$292,Calculo!$F$172:$ES$172,1))</f>
        <v>0</v>
      </c>
      <c r="E12" s="48" t="n">
        <f aca="false">IF(cu_P=1,SUMIFS(Calculo!$F$136:$ES$136,Calculo!$F$14:$ES$14,1),SUMIFS(Calculo!$F$292:$ES$292,Calculo!$F$170:$ES$170,1))</f>
        <v>2791587</v>
      </c>
      <c r="F12" s="48" t="n">
        <f aca="false">IF(cu_P=1,SUMIFS(Calculo!$F$136:$ES$136,Calculo!$F$14:$ES$14,2),SUMIFS(Calculo!$F$292:$ES$292,Calculo!$F$170:$ES$170,2))</f>
        <v>0</v>
      </c>
      <c r="G12" s="48" t="n">
        <f aca="false">IF(cu_P=1,SUMIFS(Calculo!$F$136:$ES$136,Calculo!$F$14:$ES$14,3),SUMIFS(Calculo!$F$292:$ES$292,Calculo!$F$170:$ES$170,3))</f>
        <v>0</v>
      </c>
      <c r="H12" s="48" t="n">
        <f aca="false">IF(cu_P=1,SUMIFS(Calculo!$F$136:$ES$136,Calculo!$F$14:$ES$14,4),SUMIFS(Calculo!$F$292:$ES$292,Calculo!$F$170:$ES$170,4))</f>
        <v>0</v>
      </c>
      <c r="I12" s="48" t="n">
        <f aca="false">IF(cu_P=1,SUMIFS(Calculo!$F$136:$ES$136,Calculo!$F$14:$ES$14,5),SUMIFS(Calculo!$F$292:$ES$292,Calculo!$F$170:$ES$170,5))</f>
        <v>0</v>
      </c>
      <c r="J12" s="48" t="n">
        <f aca="false">IF(cu_P=1,SUMIFS(Calculo!$F$136:$ES$136,Calculo!$F$14:$ES$14,6),SUMIFS(Calculo!$F$292:$ES$292,Calculo!$F$170:$ES$170,6))</f>
        <v>0</v>
      </c>
      <c r="K12" s="48" t="n">
        <f aca="false">IF(cu_P=1,SUMIFS(Calculo!$F$136:$ES$136,Calculo!$F$14:$ES$14,7),SUMIFS(Calculo!$F$292:$ES$292,Calculo!$F$170:$ES$170,7))</f>
        <v>0</v>
      </c>
      <c r="L12" s="48" t="n">
        <f aca="false">IF(cu_P=1,SUMIFS(Calculo!$F$136:$ES$136,Calculo!$F$14:$ES$14,8),SUMIFS(Calculo!$F$292:$ES$292,Calculo!$F$170:$ES$170,8))</f>
        <v>0</v>
      </c>
      <c r="M12" s="48" t="n">
        <f aca="false">IF(cu_P=1,SUMIFS(Calculo!$F$136:$ES$136,Calculo!$F$14:$ES$14,9),SUMIFS(Calculo!$F$292:$ES$292,Calculo!$F$170:$ES$170,9))</f>
        <v>0</v>
      </c>
      <c r="N12" s="48" t="n">
        <f aca="false">IF(cu_P=1,SUMIFS(Calculo!$F$136:$ES$136,Calculo!$F$14:$ES$14,10),SUMIFS(Calculo!$F$292:$ES$292,Calculo!$F$170:$ES$170,10))</f>
        <v>0</v>
      </c>
      <c r="O12" s="54" t="n">
        <f aca="false">SUM(D12:N12)</f>
        <v>2791587</v>
      </c>
    </row>
    <row r="13" customFormat="false" ht="15" hidden="false" customHeight="false" outlineLevel="0" collapsed="false">
      <c r="A13" s="11" t="s">
        <v>2780</v>
      </c>
      <c r="B13" s="15" t="s">
        <v>2781</v>
      </c>
      <c r="C13" s="11" t="s">
        <v>508</v>
      </c>
      <c r="D13" s="48" t="n">
        <f aca="false">IF(cu_P=1,SUMIFS(Calculo!$F$143:$ES$143,Calculo!$F$16:$ES$16,1),SUMIFS(Calculo!$F$299:$ES$299,Calculo!$F$172:$ES$172,1))</f>
        <v>0</v>
      </c>
      <c r="E13" s="48" t="n">
        <f aca="false">IF(cu_P=1,SUMIFS(Calculo!$F$143:$ES$143,Calculo!$F$14:$ES$14,1),SUMIFS(Calculo!$F$299:$ES$299,Calculo!$F$170:$ES$170,1))</f>
        <v>0</v>
      </c>
      <c r="F13" s="48" t="n">
        <f aca="false">IF(cu_P=1,SUMIFS(Calculo!$F$143:$ES$143,Calculo!$F$14:$ES$14,2),SUMIFS(Calculo!$F$299:$ES$299,Calculo!$F$170:$ES$170,2))</f>
        <v>0</v>
      </c>
      <c r="G13" s="48" t="n">
        <f aca="false">IF(cu_P=1,SUMIFS(Calculo!$F$143:$ES$143,Calculo!$F$14:$ES$14,3),SUMIFS(Calculo!$F$299:$ES$299,Calculo!$F$170:$ES$170,3))</f>
        <v>0</v>
      </c>
      <c r="H13" s="48" t="n">
        <f aca="false">IF(cu_P=1,SUMIFS(Calculo!$F$143:$ES$143,Calculo!$F$14:$ES$14,4),SUMIFS(Calculo!$F$299:$ES$299,Calculo!$F$170:$ES$170,4))</f>
        <v>0</v>
      </c>
      <c r="I13" s="48" t="n">
        <f aca="false">IF(cu_P=1,SUMIFS(Calculo!$F$143:$ES$143,Calculo!$F$14:$ES$14,5),SUMIFS(Calculo!$F$299:$ES$299,Calculo!$F$170:$ES$170,5))</f>
        <v>0</v>
      </c>
      <c r="J13" s="48" t="n">
        <f aca="false">IF(cu_P=1,SUMIFS(Calculo!$F$143:$ES$143,Calculo!$F$14:$ES$14,6),SUMIFS(Calculo!$F$299:$ES$299,Calculo!$F$170:$ES$170,6))</f>
        <v>0</v>
      </c>
      <c r="K13" s="48" t="n">
        <f aca="false">IF(cu_P=1,SUMIFS(Calculo!$F$143:$ES$143,Calculo!$F$14:$ES$14,7),SUMIFS(Calculo!$F$299:$ES$299,Calculo!$F$170:$ES$170,7))</f>
        <v>0</v>
      </c>
      <c r="L13" s="48" t="n">
        <f aca="false">IF(cu_P=1,SUMIFS(Calculo!$F$143:$ES$143,Calculo!$F$14:$ES$14,8),SUMIFS(Calculo!$F$299:$ES$299,Calculo!$F$170:$ES$170,8))</f>
        <v>0</v>
      </c>
      <c r="M13" s="48" t="n">
        <f aca="false">IF(cu_P=1,SUMIFS(Calculo!$F$143:$ES$143,Calculo!$F$14:$ES$14,9),SUMIFS(Calculo!$F$299:$ES$299,Calculo!$F$170:$ES$170,9))</f>
        <v>0</v>
      </c>
      <c r="N13" s="48" t="n">
        <f aca="false">IF(cu_P=1,SUMIFS(Calculo!$F$143:$ES$143,Calculo!$F$14:$ES$14,10),SUMIFS(Calculo!$F$299:$ES$299,Calculo!$F$170:$ES$170,10))</f>
        <v>0</v>
      </c>
      <c r="O13" s="54" t="n">
        <f aca="false">SUM(D13:N13)</f>
        <v>0</v>
      </c>
    </row>
    <row r="14" customFormat="false" ht="15" hidden="false" customHeight="false" outlineLevel="0" collapsed="false">
      <c r="A14" s="11" t="s">
        <v>2782</v>
      </c>
      <c r="B14" s="15" t="s">
        <v>1240</v>
      </c>
      <c r="C14" s="11" t="s">
        <v>508</v>
      </c>
      <c r="D14" s="48" t="n">
        <f aca="false">IF(cu_P=1,SUMIFS(Calculo!$F$138:$ES$138,Calculo!$F$16:$ES$16,1),SUMIFS(Calculo!$F$294:$ES$294,Calculo!$F$172:$ES$172,1))</f>
        <v>0</v>
      </c>
      <c r="E14" s="48" t="n">
        <f aca="false">IF(cu_P=1,SUMIFS(Calculo!$F$138:$ES$138,Calculo!$F$14:$ES$14,1),SUMIFS(Calculo!$F$294:$ES$294,Calculo!$F$170:$ES$170,1))</f>
        <v>767782</v>
      </c>
      <c r="F14" s="48" t="n">
        <f aca="false">IF(cu_P=1,SUMIFS(Calculo!$F$138:$ES$138,Calculo!$F$14:$ES$14,2),SUMIFS(Calculo!$F$294:$ES$294,Calculo!$F$170:$ES$170,2))</f>
        <v>371928</v>
      </c>
      <c r="G14" s="48" t="n">
        <f aca="false">IF(cu_P=1,SUMIFS(Calculo!$F$138:$ES$138,Calculo!$F$14:$ES$14,3),SUMIFS(Calculo!$F$294:$ES$294,Calculo!$F$170:$ES$170,3))</f>
        <v>0</v>
      </c>
      <c r="H14" s="48" t="n">
        <f aca="false">IF(cu_P=1,SUMIFS(Calculo!$F$138:$ES$138,Calculo!$F$14:$ES$14,4),SUMIFS(Calculo!$F$294:$ES$294,Calculo!$F$170:$ES$170,4))</f>
        <v>0</v>
      </c>
      <c r="I14" s="48" t="n">
        <f aca="false">IF(cu_P=1,SUMIFS(Calculo!$F$138:$ES$138,Calculo!$F$14:$ES$14,5),SUMIFS(Calculo!$F$294:$ES$294,Calculo!$F$170:$ES$170,5))</f>
        <v>0</v>
      </c>
      <c r="J14" s="48" t="n">
        <f aca="false">IF(cu_P=1,SUMIFS(Calculo!$F$138:$ES$138,Calculo!$F$14:$ES$14,6),SUMIFS(Calculo!$F$294:$ES$294,Calculo!$F$170:$ES$170,6))</f>
        <v>0</v>
      </c>
      <c r="K14" s="48" t="n">
        <f aca="false">IF(cu_P=1,SUMIFS(Calculo!$F$138:$ES$138,Calculo!$F$14:$ES$14,7),SUMIFS(Calculo!$F$294:$ES$294,Calculo!$F$170:$ES$170,7))</f>
        <v>0</v>
      </c>
      <c r="L14" s="48" t="n">
        <f aca="false">IF(cu_P=1,SUMIFS(Calculo!$F$138:$ES$138,Calculo!$F$14:$ES$14,8),SUMIFS(Calculo!$F$294:$ES$294,Calculo!$F$170:$ES$170,8))</f>
        <v>0</v>
      </c>
      <c r="M14" s="48" t="n">
        <f aca="false">IF(cu_P=1,SUMIFS(Calculo!$F$138:$ES$138,Calculo!$F$14:$ES$14,9),SUMIFS(Calculo!$F$294:$ES$294,Calculo!$F$170:$ES$170,9))</f>
        <v>0</v>
      </c>
      <c r="N14" s="48" t="n">
        <f aca="false">IF(cu_P=1,SUMIFS(Calculo!$F$138:$ES$138,Calculo!$F$14:$ES$14,10),SUMIFS(Calculo!$F$294:$ES$294,Calculo!$F$170:$ES$170,10))</f>
        <v>0</v>
      </c>
      <c r="O14" s="54" t="n">
        <f aca="false">SUM(D14:N14)</f>
        <v>1139710</v>
      </c>
    </row>
    <row r="15" customFormat="false" ht="15" hidden="false" customHeight="false" outlineLevel="0" collapsed="false">
      <c r="A15" s="13"/>
      <c r="B15" s="100" t="s">
        <v>2783</v>
      </c>
      <c r="C15" s="13"/>
      <c r="D15" s="13"/>
      <c r="E15" s="13"/>
      <c r="F15" s="13"/>
      <c r="G15" s="13"/>
      <c r="H15" s="13"/>
      <c r="I15" s="13"/>
      <c r="J15" s="13"/>
      <c r="K15" s="13"/>
      <c r="L15" s="13"/>
      <c r="M15" s="13"/>
      <c r="N15" s="13"/>
      <c r="O15" s="13"/>
    </row>
    <row r="16" customFormat="false" ht="15" hidden="false" customHeight="false" outlineLevel="0" collapsed="false">
      <c r="A16" s="11" t="s">
        <v>2784</v>
      </c>
      <c r="B16" s="67" t="s">
        <v>2785</v>
      </c>
      <c r="C16" s="11" t="s">
        <v>508</v>
      </c>
      <c r="D16" s="54" t="n">
        <f aca="false">IFERROR(IF(COUNT(D17,D18,D19,D20,D21,D22,D23)=0,"",N(D17)+N(D18)+N(D19)+N(D20)+N(D21)+N(D22)+N(D23)),"")</f>
        <v>0</v>
      </c>
      <c r="E16" s="54" t="n">
        <f aca="false">IFERROR(IF(COUNT(E17,E18,E19,E20,E21,E22,E23)=0,"",N(E17)+N(E18)+N(E19)+N(E20)+N(E21)+N(E22)+N(E23)),"")</f>
        <v>3571736.26214816</v>
      </c>
      <c r="F16" s="54" t="n">
        <f aca="false">IFERROR(IF(COUNT(F17,F18,F19,F20,F21,F22,F23)=0,"",N(F17)+N(F18)+N(F19)+N(F20)+N(F21)+N(F22)+N(F23)),"")</f>
        <v>1532438.31027021</v>
      </c>
      <c r="G16" s="54" t="n">
        <f aca="false">IFERROR(IF(COUNT(G17,G18,G19,G20,G21,G22,G23)=0,"",N(G17)+N(G18)+N(G19)+N(G20)+N(G21)+N(G22)+N(G23)),"")</f>
        <v>1439450.86185424</v>
      </c>
      <c r="H16" s="54" t="n">
        <f aca="false">IFERROR(IF(COUNT(H17,H18,H19,H20,H21,H22,H23)=0,"",N(H17)+N(H18)+N(H19)+N(H20)+N(H21)+N(H22)+N(H23)),"")</f>
        <v>1325279.18477833</v>
      </c>
      <c r="I16" s="54" t="n">
        <f aca="false">IFERROR(IF(COUNT(I17,I18,I19,I20,I21,I22,I23)=0,"",N(I17)+N(I18)+N(I19)+N(I20)+N(I21)+N(I22)+N(I23)),"")</f>
        <v>1603348.85758071</v>
      </c>
      <c r="J16" s="54" t="n">
        <f aca="false">IFERROR(IF(COUNT(J17,J18,J19,J20,J21,J22,J23)=0,"",N(J17)+N(J18)+N(J19)+N(J20)+N(J21)+N(J22)+N(J23)),"")</f>
        <v>1501651.40083682</v>
      </c>
      <c r="K16" s="54" t="n">
        <f aca="false">IFERROR(IF(COUNT(K17,K18,K19,K20,K21,K22,K23)=0,"",N(K17)+N(K18)+N(K19)+N(K20)+N(K21)+N(K22)+N(K23)),"")</f>
        <v>1832278.5857987</v>
      </c>
      <c r="L16" s="54" t="n">
        <f aca="false">IFERROR(IF(COUNT(L17,L18,L19,L20,L21,L22,L23)=0,"",N(L17)+N(L18)+N(L19)+N(L20)+N(L21)+N(L22)+N(L23)),"")</f>
        <v>1882033.87856732</v>
      </c>
      <c r="M16" s="54" t="n">
        <f aca="false">IFERROR(IF(COUNT(M17,M18,M19,M20,M21,M22,M23)=0,"",N(M17)+N(M18)+N(M19)+N(M20)+N(M21)+N(M22)+N(M23)),"")</f>
        <v>1932131.06550479</v>
      </c>
      <c r="N16" s="54" t="n">
        <f aca="false">IFERROR(IF(COUNT(N17,N18,N19,N20,N21,N22,N23)=0,"",N(N17)+N(N18)+N(N19)+N(N20)+N(N21)+N(N22)+N(N23)),"")</f>
        <v>1982568.96474567</v>
      </c>
      <c r="O16" s="54" t="n">
        <f aca="false">SUM(D16:N16)</f>
        <v>18602917.3720849</v>
      </c>
    </row>
    <row r="17" customFormat="false" ht="15" hidden="false" customHeight="false" outlineLevel="0" collapsed="false">
      <c r="A17" s="11" t="s">
        <v>2786</v>
      </c>
      <c r="B17" s="15" t="s">
        <v>2787</v>
      </c>
      <c r="C17" s="11" t="s">
        <v>508</v>
      </c>
      <c r="D17" s="48" t="n">
        <f aca="false">IF(cu_P=1,SUMIFS(Calculo!$F$117:$ES$117,Calculo!$F$16:$ES$16,1),SUMIFS(Calculo!$F$273:$ES$273,Calculo!$F$172:$ES$172,1))</f>
        <v>0</v>
      </c>
      <c r="E17" s="48" t="n">
        <f aca="false">IF(cu_P=1,SUMIFS(Calculo!$F$117:$ES$117,Calculo!$F$14:$ES$14,1),SUMIFS(Calculo!$F$273:$ES$273,Calculo!$F$170:$ES$170,1))</f>
        <v>655044.09</v>
      </c>
      <c r="F17" s="48" t="n">
        <f aca="false">IF(cu_P=1,SUMIFS(Calculo!$F$117:$ES$117,Calculo!$F$14:$ES$14,2),SUMIFS(Calculo!$F$273:$ES$273,Calculo!$F$170:$ES$170,2))</f>
        <v>100000</v>
      </c>
      <c r="G17" s="48" t="n">
        <f aca="false">IF(cu_P=1,SUMIFS(Calculo!$F$117:$ES$117,Calculo!$F$14:$ES$14,3),SUMIFS(Calculo!$F$273:$ES$273,Calculo!$F$170:$ES$170,3))</f>
        <v>0</v>
      </c>
      <c r="H17" s="48" t="n">
        <f aca="false">IF(cu_P=1,SUMIFS(Calculo!$F$117:$ES$117,Calculo!$F$14:$ES$14,4),SUMIFS(Calculo!$F$273:$ES$273,Calculo!$F$170:$ES$170,4))</f>
        <v>0</v>
      </c>
      <c r="I17" s="48" t="n">
        <f aca="false">IF(cu_P=1,SUMIFS(Calculo!$F$117:$ES$117,Calculo!$F$14:$ES$14,5),SUMIFS(Calculo!$F$273:$ES$273,Calculo!$F$170:$ES$170,5))</f>
        <v>0</v>
      </c>
      <c r="J17" s="48" t="n">
        <f aca="false">IF(cu_P=1,SUMIFS(Calculo!$F$117:$ES$117,Calculo!$F$14:$ES$14,6),SUMIFS(Calculo!$F$273:$ES$273,Calculo!$F$170:$ES$170,6))</f>
        <v>0</v>
      </c>
      <c r="K17" s="48" t="n">
        <f aca="false">IF(cu_P=1,SUMIFS(Calculo!$F$117:$ES$117,Calculo!$F$14:$ES$14,7),SUMIFS(Calculo!$F$273:$ES$273,Calculo!$F$170:$ES$170,7))</f>
        <v>0</v>
      </c>
      <c r="L17" s="48" t="n">
        <f aca="false">IF(cu_P=1,SUMIFS(Calculo!$F$117:$ES$117,Calculo!$F$14:$ES$14,8),SUMIFS(Calculo!$F$273:$ES$273,Calculo!$F$170:$ES$170,8))</f>
        <v>0</v>
      </c>
      <c r="M17" s="48" t="n">
        <f aca="false">IF(cu_P=1,SUMIFS(Calculo!$F$117:$ES$117,Calculo!$F$14:$ES$14,9),SUMIFS(Calculo!$F$273:$ES$273,Calculo!$F$170:$ES$170,9))</f>
        <v>0</v>
      </c>
      <c r="N17" s="48" t="n">
        <f aca="false">IF(cu_P=1,SUMIFS(Calculo!$F$117:$ES$117,Calculo!$F$14:$ES$14,10),SUMIFS(Calculo!$F$273:$ES$273,Calculo!$F$170:$ES$170,10))</f>
        <v>0</v>
      </c>
      <c r="O17" s="54" t="n">
        <f aca="false">SUM(D17:N17)</f>
        <v>755044.09</v>
      </c>
    </row>
    <row r="18" customFormat="false" ht="15" hidden="false" customHeight="false" outlineLevel="0" collapsed="false">
      <c r="A18" s="11" t="s">
        <v>2788</v>
      </c>
      <c r="B18" s="15" t="s">
        <v>2789</v>
      </c>
      <c r="C18" s="11" t="s">
        <v>508</v>
      </c>
      <c r="D18" s="48" t="n">
        <f aca="false">IF(cu_P=1,SUMIFS(Calculo!$F$114:$ES$114,Calculo!$F$16:$ES$16,1),SUMIFS(Calculo!$F$270:$ES$270,Calculo!$F$172:$ES$172,1))</f>
        <v>0</v>
      </c>
      <c r="E18" s="48" t="n">
        <f aca="false">IF(cu_P=1,SUMIFS(Calculo!$F$114:$ES$114,Calculo!$F$14:$ES$14,1),SUMIFS(Calculo!$F$270:$ES$270,Calculo!$F$170:$ES$170,1))</f>
        <v>2388063.88735903</v>
      </c>
      <c r="F18" s="48" t="n">
        <f aca="false">IF(cu_P=1,SUMIFS(Calculo!$F$114:$ES$114,Calculo!$F$14:$ES$14,2),SUMIFS(Calculo!$F$270:$ES$270,Calculo!$F$170:$ES$170,2))</f>
        <v>655145.444395644</v>
      </c>
      <c r="G18" s="48" t="n">
        <f aca="false">IF(cu_P=1,SUMIFS(Calculo!$F$114:$ES$114,Calculo!$F$14:$ES$14,3),SUMIFS(Calculo!$F$270:$ES$270,Calculo!$F$170:$ES$170,3))</f>
        <v>667326.930632423</v>
      </c>
      <c r="H18" s="48" t="n">
        <f aca="false">IF(cu_P=1,SUMIFS(Calculo!$F$114:$ES$114,Calculo!$F$14:$ES$14,4),SUMIFS(Calculo!$F$270:$ES$270,Calculo!$F$170:$ES$170,4))</f>
        <v>558809.069933313</v>
      </c>
      <c r="I18" s="48" t="n">
        <f aca="false">IF(cu_P=1,SUMIFS(Calculo!$F$114:$ES$114,Calculo!$F$14:$ES$14,5),SUMIFS(Calculo!$F$270:$ES$270,Calculo!$F$170:$ES$170,5))</f>
        <v>38109.5477058599</v>
      </c>
      <c r="J18" s="48" t="n">
        <f aca="false">IF(cu_P=1,SUMIFS(Calculo!$F$114:$ES$114,Calculo!$F$14:$ES$14,6),SUMIFS(Calculo!$F$270:$ES$270,Calculo!$F$170:$ES$170,6))</f>
        <v>37724.8564685965</v>
      </c>
      <c r="K18" s="48" t="n">
        <f aca="false">IF(cu_P=1,SUMIFS(Calculo!$F$114:$ES$114,Calculo!$F$14:$ES$14,7),SUMIFS(Calculo!$F$270:$ES$270,Calculo!$F$170:$ES$170,7))</f>
        <v>38089.8932247814</v>
      </c>
      <c r="L18" s="48" t="n">
        <f aca="false">IF(cu_P=1,SUMIFS(Calculo!$F$114:$ES$114,Calculo!$F$14:$ES$14,8),SUMIFS(Calculo!$F$270:$ES$270,Calculo!$F$170:$ES$170,8))</f>
        <v>38458.2176945182</v>
      </c>
      <c r="M18" s="48" t="n">
        <f aca="false">IF(cu_P=1,SUMIFS(Calculo!$F$114:$ES$114,Calculo!$F$14:$ES$14,9),SUMIFS(Calculo!$F$270:$ES$270,Calculo!$F$170:$ES$170,9))</f>
        <v>38829.851949336</v>
      </c>
      <c r="N18" s="48" t="n">
        <f aca="false">IF(cu_P=1,SUMIFS(Calculo!$F$114:$ES$114,Calculo!$F$14:$ES$14,10),SUMIFS(Calculo!$F$270:$ES$270,Calculo!$F$170:$ES$170,10))</f>
        <v>39204.8179587778</v>
      </c>
      <c r="O18" s="54" t="n">
        <f aca="false">SUM(D18:N18)</f>
        <v>4499762.51732228</v>
      </c>
    </row>
    <row r="19" customFormat="false" ht="15" hidden="false" customHeight="false" outlineLevel="0" collapsed="false">
      <c r="A19" s="11" t="s">
        <v>2790</v>
      </c>
      <c r="B19" s="15" t="s">
        <v>2791</v>
      </c>
      <c r="C19" s="11" t="s">
        <v>508</v>
      </c>
      <c r="D19" s="48" t="n">
        <f aca="false">IF(cu_P=1,SUMIFS(Calculo!$F$137:$ES$137,Calculo!$F$16:$ES$16,1),SUMIFS(Calculo!$F$293:$ES$293,Calculo!$F$172:$ES$172,1))</f>
        <v>0</v>
      </c>
      <c r="E19" s="48" t="n">
        <f aca="false">IF(cu_P=1,SUMIFS(Calculo!$F$137:$ES$137,Calculo!$F$14:$ES$14,1),SUMIFS(Calculo!$F$293:$ES$293,Calculo!$F$170:$ES$170,1))</f>
        <v>257526.352358103</v>
      </c>
      <c r="F19" s="48" t="n">
        <f aca="false">IF(cu_P=1,SUMIFS(Calculo!$F$137:$ES$137,Calculo!$F$14:$ES$14,2),SUMIFS(Calculo!$F$293:$ES$293,Calculo!$F$170:$ES$170,2))</f>
        <v>551018.611753115</v>
      </c>
      <c r="G19" s="48" t="n">
        <f aca="false">IF(cu_P=1,SUMIFS(Calculo!$F$137:$ES$137,Calculo!$F$14:$ES$14,3),SUMIFS(Calculo!$F$293:$ES$293,Calculo!$F$170:$ES$170,3))</f>
        <v>602707.958280647</v>
      </c>
      <c r="H19" s="48" t="n">
        <f aca="false">IF(cu_P=1,SUMIFS(Calculo!$F$137:$ES$137,Calculo!$F$14:$ES$14,4),SUMIFS(Calculo!$F$293:$ES$293,Calculo!$F$170:$ES$170,4))</f>
        <v>659246.122048566</v>
      </c>
      <c r="I19" s="48" t="n">
        <f aca="false">IF(cu_P=1,SUMIFS(Calculo!$F$137:$ES$137,Calculo!$F$14:$ES$14,5),SUMIFS(Calculo!$F$293:$ES$293,Calculo!$F$170:$ES$170,5))</f>
        <v>721087.95555957</v>
      </c>
      <c r="J19" s="48" t="n">
        <f aca="false">IF(cu_P=1,SUMIFS(Calculo!$F$137:$ES$137,Calculo!$F$14:$ES$14,6),SUMIFS(Calculo!$F$293:$ES$293,Calculo!$F$170:$ES$170,6))</f>
        <v>0</v>
      </c>
      <c r="K19" s="48" t="n">
        <f aca="false">IF(cu_P=1,SUMIFS(Calculo!$F$137:$ES$137,Calculo!$F$14:$ES$14,7),SUMIFS(Calculo!$F$293:$ES$293,Calculo!$F$170:$ES$170,7))</f>
        <v>0</v>
      </c>
      <c r="L19" s="48" t="n">
        <f aca="false">IF(cu_P=1,SUMIFS(Calculo!$F$137:$ES$137,Calculo!$F$14:$ES$14,8),SUMIFS(Calculo!$F$293:$ES$293,Calculo!$F$170:$ES$170,8))</f>
        <v>0</v>
      </c>
      <c r="M19" s="48" t="n">
        <f aca="false">IF(cu_P=1,SUMIFS(Calculo!$F$137:$ES$137,Calculo!$F$14:$ES$14,9),SUMIFS(Calculo!$F$293:$ES$293,Calculo!$F$170:$ES$170,9))</f>
        <v>0</v>
      </c>
      <c r="N19" s="48" t="n">
        <f aca="false">IF(cu_P=1,SUMIFS(Calculo!$F$137:$ES$137,Calculo!$F$14:$ES$14,10),SUMIFS(Calculo!$F$293:$ES$293,Calculo!$F$170:$ES$170,10))</f>
        <v>0</v>
      </c>
      <c r="O19" s="54" t="n">
        <f aca="false">SUM(D19:N19)</f>
        <v>2791587</v>
      </c>
    </row>
    <row r="20" customFormat="false" ht="15" hidden="false" customHeight="false" outlineLevel="0" collapsed="false">
      <c r="A20" s="11" t="s">
        <v>2792</v>
      </c>
      <c r="B20" s="15" t="s">
        <v>2793</v>
      </c>
      <c r="C20" s="11" t="s">
        <v>508</v>
      </c>
      <c r="D20" s="48" t="n">
        <f aca="false">IF(cu_P=1,SUMIFS(Calculo!$F$144:$ES$144,Calculo!$F$16:$ES$16,1),SUMIFS(Calculo!$F$300:$ES$300,Calculo!$F$172:$ES$172,1))</f>
        <v>0</v>
      </c>
      <c r="E20" s="48" t="n">
        <f aca="false">IF(cu_P=1,SUMIFS(Calculo!$F$144:$ES$144,Calculo!$F$14:$ES$14,1),SUMIFS(Calculo!$F$300:$ES$300,Calculo!$F$170:$ES$170,1))</f>
        <v>0</v>
      </c>
      <c r="F20" s="48" t="n">
        <f aca="false">IF(cu_P=1,SUMIFS(Calculo!$F$144:$ES$144,Calculo!$F$14:$ES$14,2),SUMIFS(Calculo!$F$300:$ES$300,Calculo!$F$170:$ES$170,2))</f>
        <v>0</v>
      </c>
      <c r="G20" s="48" t="n">
        <f aca="false">IF(cu_P=1,SUMIFS(Calculo!$F$144:$ES$144,Calculo!$F$14:$ES$14,3),SUMIFS(Calculo!$F$300:$ES$300,Calculo!$F$170:$ES$170,3))</f>
        <v>0</v>
      </c>
      <c r="H20" s="48" t="n">
        <f aca="false">IF(cu_P=1,SUMIFS(Calculo!$F$144:$ES$144,Calculo!$F$14:$ES$14,4),SUMIFS(Calculo!$F$300:$ES$300,Calculo!$F$170:$ES$170,4))</f>
        <v>0</v>
      </c>
      <c r="I20" s="48" t="n">
        <f aca="false">IF(cu_P=1,SUMIFS(Calculo!$F$144:$ES$144,Calculo!$F$14:$ES$14,5),SUMIFS(Calculo!$F$300:$ES$300,Calculo!$F$170:$ES$170,5))</f>
        <v>0</v>
      </c>
      <c r="J20" s="48" t="n">
        <f aca="false">IF(cu_P=1,SUMIFS(Calculo!$F$144:$ES$144,Calculo!$F$14:$ES$14,6),SUMIFS(Calculo!$F$300:$ES$300,Calculo!$F$170:$ES$170,6))</f>
        <v>0</v>
      </c>
      <c r="K20" s="48" t="n">
        <f aca="false">IF(cu_P=1,SUMIFS(Calculo!$F$144:$ES$144,Calculo!$F$14:$ES$14,7),SUMIFS(Calculo!$F$300:$ES$300,Calculo!$F$170:$ES$170,7))</f>
        <v>0</v>
      </c>
      <c r="L20" s="48" t="n">
        <f aca="false">IF(cu_P=1,SUMIFS(Calculo!$F$144:$ES$144,Calculo!$F$14:$ES$14,8),SUMIFS(Calculo!$F$300:$ES$300,Calculo!$F$170:$ES$170,8))</f>
        <v>0</v>
      </c>
      <c r="M20" s="48" t="n">
        <f aca="false">IF(cu_P=1,SUMIFS(Calculo!$F$144:$ES$144,Calculo!$F$14:$ES$14,9),SUMIFS(Calculo!$F$300:$ES$300,Calculo!$F$170:$ES$170,9))</f>
        <v>0</v>
      </c>
      <c r="N20" s="48" t="n">
        <f aca="false">IF(cu_P=1,SUMIFS(Calculo!$F$144:$ES$144,Calculo!$F$14:$ES$14,10),SUMIFS(Calculo!$F$300:$ES$300,Calculo!$F$170:$ES$170,10))</f>
        <v>0</v>
      </c>
      <c r="O20" s="54" t="n">
        <f aca="false">SUM(D20:N20)</f>
        <v>0</v>
      </c>
    </row>
    <row r="21" customFormat="false" ht="15" hidden="false" customHeight="false" outlineLevel="0" collapsed="false">
      <c r="A21" s="11" t="s">
        <v>2794</v>
      </c>
      <c r="B21" s="15" t="s">
        <v>2613</v>
      </c>
      <c r="C21" s="11" t="s">
        <v>508</v>
      </c>
      <c r="D21" s="48" t="n">
        <f aca="false">IF(cu_P=1,SUMIFS(Calculo!$F$105:$ES$105,Calculo!$F$16:$ES$16,1),SUMIFS(Calculo!$F$261:$ES$261,Calculo!$F$172:$ES$172,1))</f>
        <v>0</v>
      </c>
      <c r="E21" s="48" t="n">
        <f aca="false">IF(cu_P=1,SUMIFS(Calculo!$F$105:$ES$105,Calculo!$F$14:$ES$14,1),SUMIFS(Calculo!$F$261:$ES$261,Calculo!$F$170:$ES$170,1))</f>
        <v>271101.932431026</v>
      </c>
      <c r="F21" s="48" t="n">
        <f aca="false">IF(cu_P=1,SUMIFS(Calculo!$F$105:$ES$105,Calculo!$F$14:$ES$14,2),SUMIFS(Calculo!$F$261:$ES$261,Calculo!$F$170:$ES$170,2))</f>
        <v>226274.254121452</v>
      </c>
      <c r="G21" s="48" t="n">
        <f aca="false">IF(cu_P=1,SUMIFS(Calculo!$F$105:$ES$105,Calculo!$F$14:$ES$14,3),SUMIFS(Calculo!$F$261:$ES$261,Calculo!$F$170:$ES$170,3))</f>
        <v>169415.972941167</v>
      </c>
      <c r="H21" s="48" t="n">
        <f aca="false">IF(cu_P=1,SUMIFS(Calculo!$F$105:$ES$105,Calculo!$F$14:$ES$14,4),SUMIFS(Calculo!$F$261:$ES$261,Calculo!$F$170:$ES$170,4))</f>
        <v>107223.992796456</v>
      </c>
      <c r="I21" s="48" t="n">
        <f aca="false">IF(cu_P=1,SUMIFS(Calculo!$F$105:$ES$105,Calculo!$F$14:$ES$14,5),SUMIFS(Calculo!$F$261:$ES$261,Calculo!$F$170:$ES$170,5))</f>
        <v>39197.9759343531</v>
      </c>
      <c r="J21" s="48" t="n">
        <f aca="false">IF(cu_P=1,SUMIFS(Calculo!$F$105:$ES$105,Calculo!$F$14:$ES$14,6),SUMIFS(Calculo!$F$261:$ES$261,Calculo!$F$170:$ES$170,6))</f>
        <v>0</v>
      </c>
      <c r="K21" s="48" t="n">
        <f aca="false">IF(cu_P=1,SUMIFS(Calculo!$F$105:$ES$105,Calculo!$F$14:$ES$14,7),SUMIFS(Calculo!$F$261:$ES$261,Calculo!$F$170:$ES$170,7))</f>
        <v>0</v>
      </c>
      <c r="L21" s="48" t="n">
        <f aca="false">IF(cu_P=1,SUMIFS(Calculo!$F$105:$ES$105,Calculo!$F$14:$ES$14,8),SUMIFS(Calculo!$F$261:$ES$261,Calculo!$F$170:$ES$170,8))</f>
        <v>0</v>
      </c>
      <c r="M21" s="48" t="n">
        <f aca="false">IF(cu_P=1,SUMIFS(Calculo!$F$105:$ES$105,Calculo!$F$14:$ES$14,9),SUMIFS(Calculo!$F$261:$ES$261,Calculo!$F$170:$ES$170,9))</f>
        <v>0</v>
      </c>
      <c r="N21" s="48" t="n">
        <f aca="false">IF(cu_P=1,SUMIFS(Calculo!$F$105:$ES$105,Calculo!$F$14:$ES$14,10),SUMIFS(Calculo!$F$261:$ES$261,Calculo!$F$170:$ES$170,10))</f>
        <v>0</v>
      </c>
      <c r="O21" s="54" t="n">
        <f aca="false">SUM(D21:N21)</f>
        <v>813214.128224454</v>
      </c>
    </row>
    <row r="22" customFormat="false" ht="15" hidden="false" customHeight="false" outlineLevel="0" collapsed="false">
      <c r="A22" s="11" t="s">
        <v>2795</v>
      </c>
      <c r="B22" s="15" t="s">
        <v>2696</v>
      </c>
      <c r="C22" s="11" t="s">
        <v>508</v>
      </c>
      <c r="D22" s="48" t="n">
        <f aca="false">IF(cu_P=1,SUMIFS(Calculo!$F$106:$ES$106,Calculo!$F$16:$ES$16,1),SUMIFS(Calculo!$F$262:$ES$262,Calculo!$F$172:$ES$172,1))</f>
        <v>0</v>
      </c>
      <c r="E22" s="48" t="n">
        <f aca="false">IF(cu_P=1,SUMIFS(Calculo!$F$106:$ES$106,Calculo!$F$14:$ES$14,1),SUMIFS(Calculo!$F$262:$ES$262,Calculo!$F$170:$ES$170,1))</f>
        <v>0</v>
      </c>
      <c r="F22" s="48" t="n">
        <f aca="false">IF(cu_P=1,SUMIFS(Calculo!$F$106:$ES$106,Calculo!$F$14:$ES$14,2),SUMIFS(Calculo!$F$262:$ES$262,Calculo!$F$170:$ES$170,2))</f>
        <v>0</v>
      </c>
      <c r="G22" s="48" t="n">
        <f aca="false">IF(cu_P=1,SUMIFS(Calculo!$F$106:$ES$106,Calculo!$F$14:$ES$14,3),SUMIFS(Calculo!$F$262:$ES$262,Calculo!$F$170:$ES$170,3))</f>
        <v>0</v>
      </c>
      <c r="H22" s="48" t="n">
        <f aca="false">IF(cu_P=1,SUMIFS(Calculo!$F$106:$ES$106,Calculo!$F$14:$ES$14,4),SUMIFS(Calculo!$F$262:$ES$262,Calculo!$F$170:$ES$170,4))</f>
        <v>0</v>
      </c>
      <c r="I22" s="48" t="n">
        <f aca="false">IF(cu_P=1,SUMIFS(Calculo!$F$106:$ES$106,Calculo!$F$14:$ES$14,5),SUMIFS(Calculo!$F$262:$ES$262,Calculo!$F$170:$ES$170,5))</f>
        <v>0</v>
      </c>
      <c r="J22" s="48" t="n">
        <f aca="false">IF(cu_P=1,SUMIFS(Calculo!$F$106:$ES$106,Calculo!$F$14:$ES$14,6),SUMIFS(Calculo!$F$262:$ES$262,Calculo!$F$170:$ES$170,6))</f>
        <v>0</v>
      </c>
      <c r="K22" s="48" t="n">
        <f aca="false">IF(cu_P=1,SUMIFS(Calculo!$F$106:$ES$106,Calculo!$F$14:$ES$14,7),SUMIFS(Calculo!$F$262:$ES$262,Calculo!$F$170:$ES$170,7))</f>
        <v>0</v>
      </c>
      <c r="L22" s="48" t="n">
        <f aca="false">IF(cu_P=1,SUMIFS(Calculo!$F$106:$ES$106,Calculo!$F$14:$ES$14,8),SUMIFS(Calculo!$F$262:$ES$262,Calculo!$F$170:$ES$170,8))</f>
        <v>0</v>
      </c>
      <c r="M22" s="48" t="n">
        <f aca="false">IF(cu_P=1,SUMIFS(Calculo!$F$106:$ES$106,Calculo!$F$14:$ES$14,9),SUMIFS(Calculo!$F$262:$ES$262,Calculo!$F$170:$ES$170,9))</f>
        <v>0</v>
      </c>
      <c r="N22" s="48" t="n">
        <f aca="false">IF(cu_P=1,SUMIFS(Calculo!$F$106:$ES$106,Calculo!$F$14:$ES$14,10),SUMIFS(Calculo!$F$262:$ES$262,Calculo!$F$170:$ES$170,10))</f>
        <v>0</v>
      </c>
      <c r="O22" s="54" t="n">
        <f aca="false">SUM(D22:N22)</f>
        <v>0</v>
      </c>
    </row>
    <row r="23" customFormat="false" ht="15" hidden="false" customHeight="false" outlineLevel="0" collapsed="false">
      <c r="A23" s="11" t="s">
        <v>2796</v>
      </c>
      <c r="B23" s="15" t="s">
        <v>2797</v>
      </c>
      <c r="C23" s="11" t="s">
        <v>508</v>
      </c>
      <c r="D23" s="48" t="n">
        <f aca="false">IF(cu_P=1,SUMIFS(Calculo!$F$153:$ES$153,Calculo!$F$16:$ES$16,1),SUMIFS(Calculo!$F$309:$ES$309,Calculo!$F$172:$ES$172,1))</f>
        <v>0</v>
      </c>
      <c r="E23" s="48" t="n">
        <f aca="false">IF(cu_P=1,SUMIFS(Calculo!$F$153:$ES$153,Calculo!$F$14:$ES$14,1),SUMIFS(Calculo!$F$309:$ES$309,Calculo!$F$170:$ES$170,1))</f>
        <v>0</v>
      </c>
      <c r="F23" s="48" t="n">
        <f aca="false">IF(cu_P=1,SUMIFS(Calculo!$F$153:$ES$153,Calculo!$F$14:$ES$14,2),SUMIFS(Calculo!$F$309:$ES$309,Calculo!$F$170:$ES$170,2))</f>
        <v>0</v>
      </c>
      <c r="G23" s="48" t="n">
        <f aca="false">IF(cu_P=1,SUMIFS(Calculo!$F$153:$ES$153,Calculo!$F$14:$ES$14,3),SUMIFS(Calculo!$F$309:$ES$309,Calculo!$F$170:$ES$170,3))</f>
        <v>0</v>
      </c>
      <c r="H23" s="48" t="n">
        <f aca="false">IF(cu_P=1,SUMIFS(Calculo!$F$153:$ES$153,Calculo!$F$14:$ES$14,4),SUMIFS(Calculo!$F$309:$ES$309,Calculo!$F$170:$ES$170,4))</f>
        <v>0</v>
      </c>
      <c r="I23" s="48" t="n">
        <f aca="false">IF(cu_P=1,SUMIFS(Calculo!$F$153:$ES$153,Calculo!$F$14:$ES$14,5),SUMIFS(Calculo!$F$309:$ES$309,Calculo!$F$170:$ES$170,5))</f>
        <v>804953.378380922</v>
      </c>
      <c r="J23" s="48" t="n">
        <f aca="false">IF(cu_P=1,SUMIFS(Calculo!$F$153:$ES$153,Calculo!$F$14:$ES$14,6),SUMIFS(Calculo!$F$309:$ES$309,Calculo!$F$170:$ES$170,6))</f>
        <v>1463926.54436822</v>
      </c>
      <c r="K23" s="48" t="n">
        <f aca="false">IF(cu_P=1,SUMIFS(Calculo!$F$153:$ES$153,Calculo!$F$14:$ES$14,7),SUMIFS(Calculo!$F$309:$ES$309,Calculo!$F$170:$ES$170,7))</f>
        <v>1794188.69257391</v>
      </c>
      <c r="L23" s="48" t="n">
        <f aca="false">IF(cu_P=1,SUMIFS(Calculo!$F$153:$ES$153,Calculo!$F$14:$ES$14,8),SUMIFS(Calculo!$F$309:$ES$309,Calculo!$F$170:$ES$170,8))</f>
        <v>1843575.6608728</v>
      </c>
      <c r="M23" s="48" t="n">
        <f aca="false">IF(cu_P=1,SUMIFS(Calculo!$F$153:$ES$153,Calculo!$F$14:$ES$14,9),SUMIFS(Calculo!$F$309:$ES$309,Calculo!$F$170:$ES$170,9))</f>
        <v>1893301.21355545</v>
      </c>
      <c r="N23" s="48" t="n">
        <f aca="false">IF(cu_P=1,SUMIFS(Calculo!$F$153:$ES$153,Calculo!$F$14:$ES$14,10),SUMIFS(Calculo!$F$309:$ES$309,Calculo!$F$170:$ES$170,10))</f>
        <v>1943364.14678689</v>
      </c>
      <c r="O23" s="54" t="n">
        <f aca="false">SUM(D23:N23)</f>
        <v>9743309.6365382</v>
      </c>
    </row>
    <row r="24" customFormat="false" ht="15" hidden="false" customHeight="false" outlineLevel="0" collapsed="false">
      <c r="A24" s="13"/>
      <c r="B24" s="100" t="s">
        <v>2798</v>
      </c>
      <c r="C24" s="13"/>
      <c r="D24" s="13"/>
      <c r="E24" s="13"/>
      <c r="F24" s="13"/>
      <c r="G24" s="13"/>
      <c r="H24" s="13"/>
      <c r="I24" s="13"/>
      <c r="J24" s="13"/>
      <c r="K24" s="13"/>
      <c r="L24" s="13"/>
      <c r="M24" s="13"/>
      <c r="N24" s="13"/>
      <c r="O24" s="13"/>
    </row>
    <row r="25" customFormat="false" ht="15" hidden="false" customHeight="false" outlineLevel="0" collapsed="false">
      <c r="A25" s="11" t="s">
        <v>2799</v>
      </c>
      <c r="B25" s="15" t="s">
        <v>2800</v>
      </c>
      <c r="C25" s="11" t="s">
        <v>508</v>
      </c>
      <c r="D25" s="48" t="n">
        <f aca="false">IF(cu_P=1,SUMIFS(Calculo!$F$155:$ES$155,Calculo!$F$16:$ES$16,1),SUMIFS(Calculo!$F$311:$ES$311,Calculo!$F$172:$ES$172,1))</f>
        <v>0</v>
      </c>
      <c r="E25" s="48" t="n">
        <f aca="false">IF(cu_P=1,SUMIFS(Calculo!$F$155:$ES$155,Calculo!$F$14:$ES$14,1),SUMIFS(Calculo!$F$311:$ES$311,Calculo!$F$170:$ES$170,1))</f>
        <v>0</v>
      </c>
      <c r="F25" s="48" t="n">
        <f aca="false">IF(cu_P=1,SUMIFS(Calculo!$F$155:$ES$155,Calculo!$F$14:$ES$14,2),SUMIFS(Calculo!$F$311:$ES$311,Calculo!$F$170:$ES$170,2))</f>
        <v>0</v>
      </c>
      <c r="G25" s="48" t="n">
        <f aca="false">IF(cu_P=1,SUMIFS(Calculo!$F$155:$ES$155,Calculo!$F$14:$ES$14,3),SUMIFS(Calculo!$F$311:$ES$311,Calculo!$F$170:$ES$170,3))</f>
        <v>0</v>
      </c>
      <c r="H25" s="48" t="n">
        <f aca="false">IF(cu_P=1,SUMIFS(Calculo!$F$155:$ES$155,Calculo!$F$14:$ES$14,4),SUMIFS(Calculo!$F$311:$ES$311,Calculo!$F$170:$ES$170,4))</f>
        <v>0</v>
      </c>
      <c r="I25" s="48" t="n">
        <f aca="false">IF(cu_P=1,SUMIFS(Calculo!$F$155:$ES$155,Calculo!$F$14:$ES$14,5),SUMIFS(Calculo!$F$311:$ES$311,Calculo!$F$170:$ES$170,5))</f>
        <v>0</v>
      </c>
      <c r="J25" s="48" t="n">
        <f aca="false">IF(cu_P=1,SUMIFS(Calculo!$F$155:$ES$155,Calculo!$F$14:$ES$14,6),SUMIFS(Calculo!$F$311:$ES$311,Calculo!$F$170:$ES$170,6))</f>
        <v>0</v>
      </c>
      <c r="K25" s="48" t="n">
        <f aca="false">IF(cu_P=1,SUMIFS(Calculo!$F$155:$ES$155,Calculo!$F$14:$ES$14,7),SUMIFS(Calculo!$F$311:$ES$311,Calculo!$F$170:$ES$170,7))</f>
        <v>0</v>
      </c>
      <c r="L25" s="48" t="n">
        <f aca="false">IF(cu_P=1,SUMIFS(Calculo!$F$155:$ES$155,Calculo!$F$14:$ES$14,8),SUMIFS(Calculo!$F$311:$ES$311,Calculo!$F$170:$ES$170,8))</f>
        <v>0</v>
      </c>
      <c r="M25" s="48" t="n">
        <f aca="false">IF(cu_P=1,SUMIFS(Calculo!$F$155:$ES$155,Calculo!$F$14:$ES$14,9),SUMIFS(Calculo!$F$311:$ES$311,Calculo!$F$170:$ES$170,9))</f>
        <v>0</v>
      </c>
      <c r="N25" s="48" t="n">
        <f aca="false">IF(cu_P=1,SUMIFS(Calculo!$F$155:$ES$155,Calculo!$F$14:$ES$14,10),SUMIFS(Calculo!$F$311:$ES$311,Calculo!$F$170:$ES$170,10))</f>
        <v>0</v>
      </c>
      <c r="O25" s="54" t="n">
        <f aca="false">SUM(D25:N25)</f>
        <v>0</v>
      </c>
    </row>
    <row r="26" customFormat="false" ht="15" hidden="false" customHeight="false" outlineLevel="0" collapsed="false">
      <c r="A26" s="11" t="s">
        <v>2801</v>
      </c>
      <c r="B26" s="67" t="s">
        <v>2802</v>
      </c>
      <c r="C26" s="11" t="s">
        <v>508</v>
      </c>
      <c r="D26" s="54" t="n">
        <f aca="false">IFERROR(IF(COUNT(D9,D16,D25)=0,"",N(D9)-N(D16)+N(D25)),"")</f>
        <v>0</v>
      </c>
      <c r="E26" s="54" t="n">
        <f aca="false">IFERROR(IF(COUNT(E9,E16,E25)=0,"",N(E9)-N(E16)+N(E25)),"")</f>
        <v>497602.743558918</v>
      </c>
      <c r="F26" s="54" t="n">
        <f aca="false">IFERROR(IF(COUNT(F9,F16,F25)=0,"",N(F9)-N(F16)+N(F25)),"")</f>
        <v>303049.269216285</v>
      </c>
      <c r="G26" s="54" t="n">
        <f aca="false">IFERROR(IF(COUNT(G9,G16,G25)=0,"",N(G9)-N(G16)+N(G25)),"")</f>
        <v>268618.777743545</v>
      </c>
      <c r="H26" s="54" t="n">
        <f aca="false">IFERROR(IF(COUNT(H9,H16,H25)=0,"",N(H9)-N(H16)+N(H25)),"")</f>
        <v>742062.551523511</v>
      </c>
      <c r="I26" s="54" t="n">
        <f aca="false">IFERROR(IF(COUNT(I9,I16,I25)=0,"",N(I9)-N(I16)+N(I25)),"")</f>
        <v>953271.672459291</v>
      </c>
      <c r="J26" s="54" t="n">
        <f aca="false">IFERROR(IF(COUNT(J9,J16,J25)=0,"",N(J9)-N(J16)+N(J25)),"")</f>
        <v>1315225.57319639</v>
      </c>
      <c r="K26" s="54" t="n">
        <f aca="false">IFERROR(IF(COUNT(K9,K16,K25)=0,"",N(K9)-N(K16)+N(K25)),"")</f>
        <v>1395939.25727049</v>
      </c>
      <c r="L26" s="54" t="n">
        <f aca="false">IFERROR(IF(COUNT(L9,L16,L25)=0,"",N(L9)-N(L16)+N(L25)),"")</f>
        <v>1476623.20125862</v>
      </c>
      <c r="M26" s="54" t="n">
        <f aca="false">IFERROR(IF(COUNT(M9,M16,M25)=0,"",N(M9)-N(M16)+N(M25)),"")</f>
        <v>1557272.89154073</v>
      </c>
      <c r="N26" s="54" t="n">
        <f aca="false">IFERROR(IF(COUNT(N9,N16,N25)=0,"",N(N9)-N(N16)+N(N25)),"")</f>
        <v>1637883.64417609</v>
      </c>
    </row>
    <row r="27" customFormat="false" ht="15" hidden="false" customHeight="false" outlineLevel="0" collapsed="false">
      <c r="A27" s="11" t="s">
        <v>2803</v>
      </c>
      <c r="B27" s="15" t="s">
        <v>2804</v>
      </c>
      <c r="C27" s="11" t="s">
        <v>508</v>
      </c>
      <c r="D27" s="50" t="n">
        <f aca="false">IF(cu_P=1,ROUND(SUMIFS(Calculo!$F$102:$ES$102,Calculo!$F$16:$ES$16,1)+0+(SUMIFS(Calculo!$F$136:$ES$136,Calculo!$F$16:$ES$16,1)+SUMIFS(Calculo!$F$143:$ES$143,Calculo!$F$16:$ES$16,1)+SUMIFS(Calculo!$F$138:$ES$138,Calculo!$F$16:$ES$16,1))-(SUMIFS(Calculo!$F$117:$ES$117,Calculo!$F$16:$ES$16,1)+SUMIFS(Calculo!$F$114:$ES$114,Calculo!$F$16:$ES$16,1)+SUMIFS(Calculo!$F$137:$ES$137,Calculo!$F$16:$ES$16,1)+SUMIFS(Calculo!$F$144:$ES$144,Calculo!$F$16:$ES$16,1)+SUMIFS(Calculo!$F$105:$ES$105,Calculo!$F$16:$ES$16,1)+SUMIFS(Calculo!$F$106:$ES$106,Calculo!$F$16:$ES$16,1)+SUMIFS(Calculo!$F$153:$ES$153,Calculo!$F$16:$ES$16,1))+SUMIFS(Calculo!$F$155:$ES$155,Calculo!$F$16:$ES$16,1)-IF(SUM(Calculo!$F$16:$ES$16)=0,0,INDEX(Calculo!$F$154:$ES$154,1,SUM(Calculo!$F$16:$ES$16))),2),ROUND(SUMIFS(Calculo!$F$258:$ES$258,Calculo!$F$172:$ES$172,1)+0+(SUMIFS(Calculo!$F$292:$ES$292,Calculo!$F$172:$ES$172,1)+SUMIFS(Calculo!$F$299:$ES$299,Calculo!$F$172:$ES$172,1)+SUMIFS(Calculo!$F$294:$ES$294,Calculo!$F$172:$ES$172,1))-(SUMIFS(Calculo!$F$273:$ES$273,Calculo!$F$172:$ES$172,1)+SUMIFS(Calculo!$F$270:$ES$270,Calculo!$F$172:$ES$172,1)+SUMIFS(Calculo!$F$293:$ES$293,Calculo!$F$172:$ES$172,1)+SUMIFS(Calculo!$F$300:$ES$300,Calculo!$F$172:$ES$172,1)+SUMIFS(Calculo!$F$261:$ES$261,Calculo!$F$172:$ES$172,1)+SUMIFS(Calculo!$F$262:$ES$262,Calculo!$F$172:$ES$172,1)+SUMIFS(Calculo!$F$309:$ES$309,Calculo!$F$172:$ES$172,1))+SUMIFS(Calculo!$F$311:$ES$311,Calculo!$F$172:$ES$172,1)-IF(SUM(Calculo!$F$172:$ES$172)=0,0,INDEX(Calculo!$F$310:$ES$310,1,SUM(Calculo!$F$172:$ES$172))),2))</f>
        <v>0</v>
      </c>
      <c r="E27" s="50" t="n">
        <f aca="false">IF(cu_P=1,ROUND(SUMIFS(Calculo!$F$102:$ES$102,Calculo!$F$14:$ES$14,1)+IF(SUM(Calculo!$F$16:$ES$16)=0,0,INDEX(Calculo!$F$154:$ES$154,1,SUM(Calculo!$F$16:$ES$16)))+(SUMIFS(Calculo!$F$136:$ES$136,Calculo!$F$14:$ES$14,1)+SUMIFS(Calculo!$F$143:$ES$143,Calculo!$F$14:$ES$14,1)+SUMIFS(Calculo!$F$138:$ES$138,Calculo!$F$14:$ES$14,1))-(SUMIFS(Calculo!$F$117:$ES$117,Calculo!$F$14:$ES$14,1)+SUMIFS(Calculo!$F$114:$ES$114,Calculo!$F$14:$ES$14,1)+SUMIFS(Calculo!$F$137:$ES$137,Calculo!$F$14:$ES$14,1)+SUMIFS(Calculo!$F$144:$ES$144,Calculo!$F$14:$ES$14,1)+SUMIFS(Calculo!$F$105:$ES$105,Calculo!$F$14:$ES$14,1)+SUMIFS(Calculo!$F$106:$ES$106,Calculo!$F$14:$ES$14,1)+SUMIFS(Calculo!$F$153:$ES$153,Calculo!$F$14:$ES$14,1))+SUMIFS(Calculo!$F$155:$ES$155,Calculo!$F$14:$ES$14,1)-IF(COUNTIFS(Calculo!$F$14:$ES$14,1)=0,0,INDEX(Calculo!$F$154:$ES$154,1,_xlfn.MAXIFS(Calculo!$F$4:$ES$4,Calculo!$F$14:$ES$14,1))),2),ROUND(SUMIFS(Calculo!$F$258:$ES$258,Calculo!$F$170:$ES$170,1)+IF(SUM(Calculo!$F$172:$ES$172)=0,0,INDEX(Calculo!$F$310:$ES$310,1,SUM(Calculo!$F$172:$ES$172)))+(SUMIFS(Calculo!$F$292:$ES$292,Calculo!$F$170:$ES$170,1)+SUMIFS(Calculo!$F$299:$ES$299,Calculo!$F$170:$ES$170,1)+SUMIFS(Calculo!$F$294:$ES$294,Calculo!$F$170:$ES$170,1))-(SUMIFS(Calculo!$F$273:$ES$273,Calculo!$F$170:$ES$170,1)+SUMIFS(Calculo!$F$270:$ES$270,Calculo!$F$170:$ES$170,1)+SUMIFS(Calculo!$F$293:$ES$293,Calculo!$F$170:$ES$170,1)+SUMIFS(Calculo!$F$300:$ES$300,Calculo!$F$170:$ES$170,1)+SUMIFS(Calculo!$F$261:$ES$261,Calculo!$F$170:$ES$170,1)+SUMIFS(Calculo!$F$262:$ES$262,Calculo!$F$170:$ES$170,1)+SUMIFS(Calculo!$F$309:$ES$309,Calculo!$F$170:$ES$170,1))+SUMIFS(Calculo!$F$311:$ES$311,Calculo!$F$170:$ES$170,1)-IF(COUNTIFS(Calculo!$F$170:$ES$170,1)=0,0,INDEX(Calculo!$F$310:$ES$310,1,_xlfn.MAXIFS(Calculo!$F$4:$ES$4,Calculo!$F$170:$ES$170,1))),2))</f>
        <v>0</v>
      </c>
      <c r="F27" s="50" t="n">
        <f aca="false">IF(cu_P=1,ROUND(SUMIFS(Calculo!$F$102:$ES$102,Calculo!$F$14:$ES$14,2)+IF(COUNTIFS(Calculo!$F$14:$ES$14,1)=0,0,INDEX(Calculo!$F$154:$ES$154,1,_xlfn.MAXIFS(Calculo!$F$4:$ES$4,Calculo!$F$14:$ES$14,1)))+(SUMIFS(Calculo!$F$136:$ES$136,Calculo!$F$14:$ES$14,2)+SUMIFS(Calculo!$F$143:$ES$143,Calculo!$F$14:$ES$14,2)+SUMIFS(Calculo!$F$138:$ES$138,Calculo!$F$14:$ES$14,2))-(SUMIFS(Calculo!$F$117:$ES$117,Calculo!$F$14:$ES$14,2)+SUMIFS(Calculo!$F$114:$ES$114,Calculo!$F$14:$ES$14,2)+SUMIFS(Calculo!$F$137:$ES$137,Calculo!$F$14:$ES$14,2)+SUMIFS(Calculo!$F$144:$ES$144,Calculo!$F$14:$ES$14,2)+SUMIFS(Calculo!$F$105:$ES$105,Calculo!$F$14:$ES$14,2)+SUMIFS(Calculo!$F$106:$ES$106,Calculo!$F$14:$ES$14,2)+SUMIFS(Calculo!$F$153:$ES$153,Calculo!$F$14:$ES$14,2))+SUMIFS(Calculo!$F$155:$ES$155,Calculo!$F$14:$ES$14,2)-IF(COUNTIFS(Calculo!$F$14:$ES$14,2)=0,0,INDEX(Calculo!$F$154:$ES$154,1,_xlfn.MAXIFS(Calculo!$F$4:$ES$4,Calculo!$F$14:$ES$14,2))),2),ROUND(SUMIFS(Calculo!$F$258:$ES$258,Calculo!$F$170:$ES$170,2)+IF(COUNTIFS(Calculo!$F$170:$ES$170,1)=0,0,INDEX(Calculo!$F$310:$ES$310,1,_xlfn.MAXIFS(Calculo!$F$4:$ES$4,Calculo!$F$170:$ES$170,1)))+(SUMIFS(Calculo!$F$292:$ES$292,Calculo!$F$170:$ES$170,2)+SUMIFS(Calculo!$F$299:$ES$299,Calculo!$F$170:$ES$170,2)+SUMIFS(Calculo!$F$294:$ES$294,Calculo!$F$170:$ES$170,2))-(SUMIFS(Calculo!$F$273:$ES$273,Calculo!$F$170:$ES$170,2)+SUMIFS(Calculo!$F$270:$ES$270,Calculo!$F$170:$ES$170,2)+SUMIFS(Calculo!$F$293:$ES$293,Calculo!$F$170:$ES$170,2)+SUMIFS(Calculo!$F$300:$ES$300,Calculo!$F$170:$ES$170,2)+SUMIFS(Calculo!$F$261:$ES$261,Calculo!$F$170:$ES$170,2)+SUMIFS(Calculo!$F$262:$ES$262,Calculo!$F$170:$ES$170,2)+SUMIFS(Calculo!$F$309:$ES$309,Calculo!$F$170:$ES$170,2))+SUMIFS(Calculo!$F$311:$ES$311,Calculo!$F$170:$ES$170,2)-IF(COUNTIFS(Calculo!$F$170:$ES$170,2)=0,0,INDEX(Calculo!$F$310:$ES$310,1,_xlfn.MAXIFS(Calculo!$F$4:$ES$4,Calculo!$F$170:$ES$170,2))),2))</f>
        <v>0</v>
      </c>
      <c r="G27" s="50" t="n">
        <f aca="false">IF(cu_P=1,ROUND(SUMIFS(Calculo!$F$102:$ES$102,Calculo!$F$14:$ES$14,3)+IF(COUNTIFS(Calculo!$F$14:$ES$14,2)=0,0,INDEX(Calculo!$F$154:$ES$154,1,_xlfn.MAXIFS(Calculo!$F$4:$ES$4,Calculo!$F$14:$ES$14,2)))+(SUMIFS(Calculo!$F$136:$ES$136,Calculo!$F$14:$ES$14,3)+SUMIFS(Calculo!$F$143:$ES$143,Calculo!$F$14:$ES$14,3)+SUMIFS(Calculo!$F$138:$ES$138,Calculo!$F$14:$ES$14,3))-(SUMIFS(Calculo!$F$117:$ES$117,Calculo!$F$14:$ES$14,3)+SUMIFS(Calculo!$F$114:$ES$114,Calculo!$F$14:$ES$14,3)+SUMIFS(Calculo!$F$137:$ES$137,Calculo!$F$14:$ES$14,3)+SUMIFS(Calculo!$F$144:$ES$144,Calculo!$F$14:$ES$14,3)+SUMIFS(Calculo!$F$105:$ES$105,Calculo!$F$14:$ES$14,3)+SUMIFS(Calculo!$F$106:$ES$106,Calculo!$F$14:$ES$14,3)+SUMIFS(Calculo!$F$153:$ES$153,Calculo!$F$14:$ES$14,3))+SUMIFS(Calculo!$F$155:$ES$155,Calculo!$F$14:$ES$14,3)-IF(COUNTIFS(Calculo!$F$14:$ES$14,3)=0,0,INDEX(Calculo!$F$154:$ES$154,1,_xlfn.MAXIFS(Calculo!$F$4:$ES$4,Calculo!$F$14:$ES$14,3))),2),ROUND(SUMIFS(Calculo!$F$258:$ES$258,Calculo!$F$170:$ES$170,3)+IF(COUNTIFS(Calculo!$F$170:$ES$170,2)=0,0,INDEX(Calculo!$F$310:$ES$310,1,_xlfn.MAXIFS(Calculo!$F$4:$ES$4,Calculo!$F$170:$ES$170,2)))+(SUMIFS(Calculo!$F$292:$ES$292,Calculo!$F$170:$ES$170,3)+SUMIFS(Calculo!$F$299:$ES$299,Calculo!$F$170:$ES$170,3)+SUMIFS(Calculo!$F$294:$ES$294,Calculo!$F$170:$ES$170,3))-(SUMIFS(Calculo!$F$273:$ES$273,Calculo!$F$170:$ES$170,3)+SUMIFS(Calculo!$F$270:$ES$270,Calculo!$F$170:$ES$170,3)+SUMIFS(Calculo!$F$293:$ES$293,Calculo!$F$170:$ES$170,3)+SUMIFS(Calculo!$F$300:$ES$300,Calculo!$F$170:$ES$170,3)+SUMIFS(Calculo!$F$261:$ES$261,Calculo!$F$170:$ES$170,3)+SUMIFS(Calculo!$F$262:$ES$262,Calculo!$F$170:$ES$170,3)+SUMIFS(Calculo!$F$309:$ES$309,Calculo!$F$170:$ES$170,3))+SUMIFS(Calculo!$F$311:$ES$311,Calculo!$F$170:$ES$170,3)-IF(COUNTIFS(Calculo!$F$170:$ES$170,3)=0,0,INDEX(Calculo!$F$310:$ES$310,1,_xlfn.MAXIFS(Calculo!$F$4:$ES$4,Calculo!$F$170:$ES$170,3))),2))</f>
        <v>0</v>
      </c>
      <c r="H27" s="50" t="n">
        <f aca="false">IF(cu_P=1,ROUND(SUMIFS(Calculo!$F$102:$ES$102,Calculo!$F$14:$ES$14,4)+IF(COUNTIFS(Calculo!$F$14:$ES$14,3)=0,0,INDEX(Calculo!$F$154:$ES$154,1,_xlfn.MAXIFS(Calculo!$F$4:$ES$4,Calculo!$F$14:$ES$14,3)))+(SUMIFS(Calculo!$F$136:$ES$136,Calculo!$F$14:$ES$14,4)+SUMIFS(Calculo!$F$143:$ES$143,Calculo!$F$14:$ES$14,4)+SUMIFS(Calculo!$F$138:$ES$138,Calculo!$F$14:$ES$14,4))-(SUMIFS(Calculo!$F$117:$ES$117,Calculo!$F$14:$ES$14,4)+SUMIFS(Calculo!$F$114:$ES$114,Calculo!$F$14:$ES$14,4)+SUMIFS(Calculo!$F$137:$ES$137,Calculo!$F$14:$ES$14,4)+SUMIFS(Calculo!$F$144:$ES$144,Calculo!$F$14:$ES$14,4)+SUMIFS(Calculo!$F$105:$ES$105,Calculo!$F$14:$ES$14,4)+SUMIFS(Calculo!$F$106:$ES$106,Calculo!$F$14:$ES$14,4)+SUMIFS(Calculo!$F$153:$ES$153,Calculo!$F$14:$ES$14,4))+SUMIFS(Calculo!$F$155:$ES$155,Calculo!$F$14:$ES$14,4)-IF(COUNTIFS(Calculo!$F$14:$ES$14,4)=0,0,INDEX(Calculo!$F$154:$ES$154,1,_xlfn.MAXIFS(Calculo!$F$4:$ES$4,Calculo!$F$14:$ES$14,4))),2),ROUND(SUMIFS(Calculo!$F$258:$ES$258,Calculo!$F$170:$ES$170,4)+IF(COUNTIFS(Calculo!$F$170:$ES$170,3)=0,0,INDEX(Calculo!$F$310:$ES$310,1,_xlfn.MAXIFS(Calculo!$F$4:$ES$4,Calculo!$F$170:$ES$170,3)))+(SUMIFS(Calculo!$F$292:$ES$292,Calculo!$F$170:$ES$170,4)+SUMIFS(Calculo!$F$299:$ES$299,Calculo!$F$170:$ES$170,4)+SUMIFS(Calculo!$F$294:$ES$294,Calculo!$F$170:$ES$170,4))-(SUMIFS(Calculo!$F$273:$ES$273,Calculo!$F$170:$ES$170,4)+SUMIFS(Calculo!$F$270:$ES$270,Calculo!$F$170:$ES$170,4)+SUMIFS(Calculo!$F$293:$ES$293,Calculo!$F$170:$ES$170,4)+SUMIFS(Calculo!$F$300:$ES$300,Calculo!$F$170:$ES$170,4)+SUMIFS(Calculo!$F$261:$ES$261,Calculo!$F$170:$ES$170,4)+SUMIFS(Calculo!$F$262:$ES$262,Calculo!$F$170:$ES$170,4)+SUMIFS(Calculo!$F$309:$ES$309,Calculo!$F$170:$ES$170,4))+SUMIFS(Calculo!$F$311:$ES$311,Calculo!$F$170:$ES$170,4)-IF(COUNTIFS(Calculo!$F$170:$ES$170,4)=0,0,INDEX(Calculo!$F$310:$ES$310,1,_xlfn.MAXIFS(Calculo!$F$4:$ES$4,Calculo!$F$170:$ES$170,4))),2))</f>
        <v>0</v>
      </c>
      <c r="I27" s="50" t="n">
        <f aca="false">IF(cu_P=1,ROUND(SUMIFS(Calculo!$F$102:$ES$102,Calculo!$F$14:$ES$14,5)+IF(COUNTIFS(Calculo!$F$14:$ES$14,4)=0,0,INDEX(Calculo!$F$154:$ES$154,1,_xlfn.MAXIFS(Calculo!$F$4:$ES$4,Calculo!$F$14:$ES$14,4)))+(SUMIFS(Calculo!$F$136:$ES$136,Calculo!$F$14:$ES$14,5)+SUMIFS(Calculo!$F$143:$ES$143,Calculo!$F$14:$ES$14,5)+SUMIFS(Calculo!$F$138:$ES$138,Calculo!$F$14:$ES$14,5))-(SUMIFS(Calculo!$F$117:$ES$117,Calculo!$F$14:$ES$14,5)+SUMIFS(Calculo!$F$114:$ES$114,Calculo!$F$14:$ES$14,5)+SUMIFS(Calculo!$F$137:$ES$137,Calculo!$F$14:$ES$14,5)+SUMIFS(Calculo!$F$144:$ES$144,Calculo!$F$14:$ES$14,5)+SUMIFS(Calculo!$F$105:$ES$105,Calculo!$F$14:$ES$14,5)+SUMIFS(Calculo!$F$106:$ES$106,Calculo!$F$14:$ES$14,5)+SUMIFS(Calculo!$F$153:$ES$153,Calculo!$F$14:$ES$14,5))+SUMIFS(Calculo!$F$155:$ES$155,Calculo!$F$14:$ES$14,5)-IF(COUNTIFS(Calculo!$F$14:$ES$14,5)=0,0,INDEX(Calculo!$F$154:$ES$154,1,_xlfn.MAXIFS(Calculo!$F$4:$ES$4,Calculo!$F$14:$ES$14,5))),2),ROUND(SUMIFS(Calculo!$F$258:$ES$258,Calculo!$F$170:$ES$170,5)+IF(COUNTIFS(Calculo!$F$170:$ES$170,4)=0,0,INDEX(Calculo!$F$310:$ES$310,1,_xlfn.MAXIFS(Calculo!$F$4:$ES$4,Calculo!$F$170:$ES$170,4)))+(SUMIFS(Calculo!$F$292:$ES$292,Calculo!$F$170:$ES$170,5)+SUMIFS(Calculo!$F$299:$ES$299,Calculo!$F$170:$ES$170,5)+SUMIFS(Calculo!$F$294:$ES$294,Calculo!$F$170:$ES$170,5))-(SUMIFS(Calculo!$F$273:$ES$273,Calculo!$F$170:$ES$170,5)+SUMIFS(Calculo!$F$270:$ES$270,Calculo!$F$170:$ES$170,5)+SUMIFS(Calculo!$F$293:$ES$293,Calculo!$F$170:$ES$170,5)+SUMIFS(Calculo!$F$300:$ES$300,Calculo!$F$170:$ES$170,5)+SUMIFS(Calculo!$F$261:$ES$261,Calculo!$F$170:$ES$170,5)+SUMIFS(Calculo!$F$262:$ES$262,Calculo!$F$170:$ES$170,5)+SUMIFS(Calculo!$F$309:$ES$309,Calculo!$F$170:$ES$170,5))+SUMIFS(Calculo!$F$311:$ES$311,Calculo!$F$170:$ES$170,5)-IF(COUNTIFS(Calculo!$F$170:$ES$170,5)=0,0,INDEX(Calculo!$F$310:$ES$310,1,_xlfn.MAXIFS(Calculo!$F$4:$ES$4,Calculo!$F$170:$ES$170,5))),2))</f>
        <v>0</v>
      </c>
      <c r="J27" s="50" t="n">
        <f aca="false">IF(cu_P=1,ROUND(SUMIFS(Calculo!$F$102:$ES$102,Calculo!$F$14:$ES$14,6)+IF(COUNTIFS(Calculo!$F$14:$ES$14,5)=0,0,INDEX(Calculo!$F$154:$ES$154,1,_xlfn.MAXIFS(Calculo!$F$4:$ES$4,Calculo!$F$14:$ES$14,5)))+(SUMIFS(Calculo!$F$136:$ES$136,Calculo!$F$14:$ES$14,6)+SUMIFS(Calculo!$F$143:$ES$143,Calculo!$F$14:$ES$14,6)+SUMIFS(Calculo!$F$138:$ES$138,Calculo!$F$14:$ES$14,6))-(SUMIFS(Calculo!$F$117:$ES$117,Calculo!$F$14:$ES$14,6)+SUMIFS(Calculo!$F$114:$ES$114,Calculo!$F$14:$ES$14,6)+SUMIFS(Calculo!$F$137:$ES$137,Calculo!$F$14:$ES$14,6)+SUMIFS(Calculo!$F$144:$ES$144,Calculo!$F$14:$ES$14,6)+SUMIFS(Calculo!$F$105:$ES$105,Calculo!$F$14:$ES$14,6)+SUMIFS(Calculo!$F$106:$ES$106,Calculo!$F$14:$ES$14,6)+SUMIFS(Calculo!$F$153:$ES$153,Calculo!$F$14:$ES$14,6))+SUMIFS(Calculo!$F$155:$ES$155,Calculo!$F$14:$ES$14,6)-IF(COUNTIFS(Calculo!$F$14:$ES$14,6)=0,0,INDEX(Calculo!$F$154:$ES$154,1,_xlfn.MAXIFS(Calculo!$F$4:$ES$4,Calculo!$F$14:$ES$14,6))),2),ROUND(SUMIFS(Calculo!$F$258:$ES$258,Calculo!$F$170:$ES$170,6)+IF(COUNTIFS(Calculo!$F$170:$ES$170,5)=0,0,INDEX(Calculo!$F$310:$ES$310,1,_xlfn.MAXIFS(Calculo!$F$4:$ES$4,Calculo!$F$170:$ES$170,5)))+(SUMIFS(Calculo!$F$292:$ES$292,Calculo!$F$170:$ES$170,6)+SUMIFS(Calculo!$F$299:$ES$299,Calculo!$F$170:$ES$170,6)+SUMIFS(Calculo!$F$294:$ES$294,Calculo!$F$170:$ES$170,6))-(SUMIFS(Calculo!$F$273:$ES$273,Calculo!$F$170:$ES$170,6)+SUMIFS(Calculo!$F$270:$ES$270,Calculo!$F$170:$ES$170,6)+SUMIFS(Calculo!$F$293:$ES$293,Calculo!$F$170:$ES$170,6)+SUMIFS(Calculo!$F$300:$ES$300,Calculo!$F$170:$ES$170,6)+SUMIFS(Calculo!$F$261:$ES$261,Calculo!$F$170:$ES$170,6)+SUMIFS(Calculo!$F$262:$ES$262,Calculo!$F$170:$ES$170,6)+SUMIFS(Calculo!$F$309:$ES$309,Calculo!$F$170:$ES$170,6))+SUMIFS(Calculo!$F$311:$ES$311,Calculo!$F$170:$ES$170,6)-IF(COUNTIFS(Calculo!$F$170:$ES$170,6)=0,0,INDEX(Calculo!$F$310:$ES$310,1,_xlfn.MAXIFS(Calculo!$F$4:$ES$4,Calculo!$F$170:$ES$170,6))),2))</f>
        <v>0</v>
      </c>
      <c r="K27" s="50" t="n">
        <f aca="false">IF(cu_P=1,ROUND(SUMIFS(Calculo!$F$102:$ES$102,Calculo!$F$14:$ES$14,7)+IF(COUNTIFS(Calculo!$F$14:$ES$14,6)=0,0,INDEX(Calculo!$F$154:$ES$154,1,_xlfn.MAXIFS(Calculo!$F$4:$ES$4,Calculo!$F$14:$ES$14,6)))+(SUMIFS(Calculo!$F$136:$ES$136,Calculo!$F$14:$ES$14,7)+SUMIFS(Calculo!$F$143:$ES$143,Calculo!$F$14:$ES$14,7)+SUMIFS(Calculo!$F$138:$ES$138,Calculo!$F$14:$ES$14,7))-(SUMIFS(Calculo!$F$117:$ES$117,Calculo!$F$14:$ES$14,7)+SUMIFS(Calculo!$F$114:$ES$114,Calculo!$F$14:$ES$14,7)+SUMIFS(Calculo!$F$137:$ES$137,Calculo!$F$14:$ES$14,7)+SUMIFS(Calculo!$F$144:$ES$144,Calculo!$F$14:$ES$14,7)+SUMIFS(Calculo!$F$105:$ES$105,Calculo!$F$14:$ES$14,7)+SUMIFS(Calculo!$F$106:$ES$106,Calculo!$F$14:$ES$14,7)+SUMIFS(Calculo!$F$153:$ES$153,Calculo!$F$14:$ES$14,7))+SUMIFS(Calculo!$F$155:$ES$155,Calculo!$F$14:$ES$14,7)-IF(COUNTIFS(Calculo!$F$14:$ES$14,7)=0,0,INDEX(Calculo!$F$154:$ES$154,1,_xlfn.MAXIFS(Calculo!$F$4:$ES$4,Calculo!$F$14:$ES$14,7))),2),ROUND(SUMIFS(Calculo!$F$258:$ES$258,Calculo!$F$170:$ES$170,7)+IF(COUNTIFS(Calculo!$F$170:$ES$170,6)=0,0,INDEX(Calculo!$F$310:$ES$310,1,_xlfn.MAXIFS(Calculo!$F$4:$ES$4,Calculo!$F$170:$ES$170,6)))+(SUMIFS(Calculo!$F$292:$ES$292,Calculo!$F$170:$ES$170,7)+SUMIFS(Calculo!$F$299:$ES$299,Calculo!$F$170:$ES$170,7)+SUMIFS(Calculo!$F$294:$ES$294,Calculo!$F$170:$ES$170,7))-(SUMIFS(Calculo!$F$273:$ES$273,Calculo!$F$170:$ES$170,7)+SUMIFS(Calculo!$F$270:$ES$270,Calculo!$F$170:$ES$170,7)+SUMIFS(Calculo!$F$293:$ES$293,Calculo!$F$170:$ES$170,7)+SUMIFS(Calculo!$F$300:$ES$300,Calculo!$F$170:$ES$170,7)+SUMIFS(Calculo!$F$261:$ES$261,Calculo!$F$170:$ES$170,7)+SUMIFS(Calculo!$F$262:$ES$262,Calculo!$F$170:$ES$170,7)+SUMIFS(Calculo!$F$309:$ES$309,Calculo!$F$170:$ES$170,7))+SUMIFS(Calculo!$F$311:$ES$311,Calculo!$F$170:$ES$170,7)-IF(COUNTIFS(Calculo!$F$170:$ES$170,7)=0,0,INDEX(Calculo!$F$310:$ES$310,1,_xlfn.MAXIFS(Calculo!$F$4:$ES$4,Calculo!$F$170:$ES$170,7))),2))</f>
        <v>0</v>
      </c>
      <c r="L27" s="50" t="n">
        <f aca="false">IF(cu_P=1,ROUND(SUMIFS(Calculo!$F$102:$ES$102,Calculo!$F$14:$ES$14,8)+IF(COUNTIFS(Calculo!$F$14:$ES$14,7)=0,0,INDEX(Calculo!$F$154:$ES$154,1,_xlfn.MAXIFS(Calculo!$F$4:$ES$4,Calculo!$F$14:$ES$14,7)))+(SUMIFS(Calculo!$F$136:$ES$136,Calculo!$F$14:$ES$14,8)+SUMIFS(Calculo!$F$143:$ES$143,Calculo!$F$14:$ES$14,8)+SUMIFS(Calculo!$F$138:$ES$138,Calculo!$F$14:$ES$14,8))-(SUMIFS(Calculo!$F$117:$ES$117,Calculo!$F$14:$ES$14,8)+SUMIFS(Calculo!$F$114:$ES$114,Calculo!$F$14:$ES$14,8)+SUMIFS(Calculo!$F$137:$ES$137,Calculo!$F$14:$ES$14,8)+SUMIFS(Calculo!$F$144:$ES$144,Calculo!$F$14:$ES$14,8)+SUMIFS(Calculo!$F$105:$ES$105,Calculo!$F$14:$ES$14,8)+SUMIFS(Calculo!$F$106:$ES$106,Calculo!$F$14:$ES$14,8)+SUMIFS(Calculo!$F$153:$ES$153,Calculo!$F$14:$ES$14,8))+SUMIFS(Calculo!$F$155:$ES$155,Calculo!$F$14:$ES$14,8)-IF(COUNTIFS(Calculo!$F$14:$ES$14,8)=0,0,INDEX(Calculo!$F$154:$ES$154,1,_xlfn.MAXIFS(Calculo!$F$4:$ES$4,Calculo!$F$14:$ES$14,8))),2),ROUND(SUMIFS(Calculo!$F$258:$ES$258,Calculo!$F$170:$ES$170,8)+IF(COUNTIFS(Calculo!$F$170:$ES$170,7)=0,0,INDEX(Calculo!$F$310:$ES$310,1,_xlfn.MAXIFS(Calculo!$F$4:$ES$4,Calculo!$F$170:$ES$170,7)))+(SUMIFS(Calculo!$F$292:$ES$292,Calculo!$F$170:$ES$170,8)+SUMIFS(Calculo!$F$299:$ES$299,Calculo!$F$170:$ES$170,8)+SUMIFS(Calculo!$F$294:$ES$294,Calculo!$F$170:$ES$170,8))-(SUMIFS(Calculo!$F$273:$ES$273,Calculo!$F$170:$ES$170,8)+SUMIFS(Calculo!$F$270:$ES$270,Calculo!$F$170:$ES$170,8)+SUMIFS(Calculo!$F$293:$ES$293,Calculo!$F$170:$ES$170,8)+SUMIFS(Calculo!$F$300:$ES$300,Calculo!$F$170:$ES$170,8)+SUMIFS(Calculo!$F$261:$ES$261,Calculo!$F$170:$ES$170,8)+SUMIFS(Calculo!$F$262:$ES$262,Calculo!$F$170:$ES$170,8)+SUMIFS(Calculo!$F$309:$ES$309,Calculo!$F$170:$ES$170,8))+SUMIFS(Calculo!$F$311:$ES$311,Calculo!$F$170:$ES$170,8)-IF(COUNTIFS(Calculo!$F$170:$ES$170,8)=0,0,INDEX(Calculo!$F$310:$ES$310,1,_xlfn.MAXIFS(Calculo!$F$4:$ES$4,Calculo!$F$170:$ES$170,8))),2))</f>
        <v>0</v>
      </c>
      <c r="M27" s="50" t="n">
        <f aca="false">IF(cu_P=1,ROUND(SUMIFS(Calculo!$F$102:$ES$102,Calculo!$F$14:$ES$14,9)+IF(COUNTIFS(Calculo!$F$14:$ES$14,8)=0,0,INDEX(Calculo!$F$154:$ES$154,1,_xlfn.MAXIFS(Calculo!$F$4:$ES$4,Calculo!$F$14:$ES$14,8)))+(SUMIFS(Calculo!$F$136:$ES$136,Calculo!$F$14:$ES$14,9)+SUMIFS(Calculo!$F$143:$ES$143,Calculo!$F$14:$ES$14,9)+SUMIFS(Calculo!$F$138:$ES$138,Calculo!$F$14:$ES$14,9))-(SUMIFS(Calculo!$F$117:$ES$117,Calculo!$F$14:$ES$14,9)+SUMIFS(Calculo!$F$114:$ES$114,Calculo!$F$14:$ES$14,9)+SUMIFS(Calculo!$F$137:$ES$137,Calculo!$F$14:$ES$14,9)+SUMIFS(Calculo!$F$144:$ES$144,Calculo!$F$14:$ES$14,9)+SUMIFS(Calculo!$F$105:$ES$105,Calculo!$F$14:$ES$14,9)+SUMIFS(Calculo!$F$106:$ES$106,Calculo!$F$14:$ES$14,9)+SUMIFS(Calculo!$F$153:$ES$153,Calculo!$F$14:$ES$14,9))+SUMIFS(Calculo!$F$155:$ES$155,Calculo!$F$14:$ES$14,9)-IF(COUNTIFS(Calculo!$F$14:$ES$14,9)=0,0,INDEX(Calculo!$F$154:$ES$154,1,_xlfn.MAXIFS(Calculo!$F$4:$ES$4,Calculo!$F$14:$ES$14,9))),2),ROUND(SUMIFS(Calculo!$F$258:$ES$258,Calculo!$F$170:$ES$170,9)+IF(COUNTIFS(Calculo!$F$170:$ES$170,8)=0,0,INDEX(Calculo!$F$310:$ES$310,1,_xlfn.MAXIFS(Calculo!$F$4:$ES$4,Calculo!$F$170:$ES$170,8)))+(SUMIFS(Calculo!$F$292:$ES$292,Calculo!$F$170:$ES$170,9)+SUMIFS(Calculo!$F$299:$ES$299,Calculo!$F$170:$ES$170,9)+SUMIFS(Calculo!$F$294:$ES$294,Calculo!$F$170:$ES$170,9))-(SUMIFS(Calculo!$F$273:$ES$273,Calculo!$F$170:$ES$170,9)+SUMIFS(Calculo!$F$270:$ES$270,Calculo!$F$170:$ES$170,9)+SUMIFS(Calculo!$F$293:$ES$293,Calculo!$F$170:$ES$170,9)+SUMIFS(Calculo!$F$300:$ES$300,Calculo!$F$170:$ES$170,9)+SUMIFS(Calculo!$F$261:$ES$261,Calculo!$F$170:$ES$170,9)+SUMIFS(Calculo!$F$262:$ES$262,Calculo!$F$170:$ES$170,9)+SUMIFS(Calculo!$F$309:$ES$309,Calculo!$F$170:$ES$170,9))+SUMIFS(Calculo!$F$311:$ES$311,Calculo!$F$170:$ES$170,9)-IF(COUNTIFS(Calculo!$F$170:$ES$170,9)=0,0,INDEX(Calculo!$F$310:$ES$310,1,_xlfn.MAXIFS(Calculo!$F$4:$ES$4,Calculo!$F$170:$ES$170,9))),2))</f>
        <v>0</v>
      </c>
      <c r="N27" s="50" t="n">
        <f aca="false">IF(cu_P=1,ROUND(SUMIFS(Calculo!$F$102:$ES$102,Calculo!$F$14:$ES$14,10)+IF(COUNTIFS(Calculo!$F$14:$ES$14,9)=0,0,INDEX(Calculo!$F$154:$ES$154,1,_xlfn.MAXIFS(Calculo!$F$4:$ES$4,Calculo!$F$14:$ES$14,9)))+(SUMIFS(Calculo!$F$136:$ES$136,Calculo!$F$14:$ES$14,10)+SUMIFS(Calculo!$F$143:$ES$143,Calculo!$F$14:$ES$14,10)+SUMIFS(Calculo!$F$138:$ES$138,Calculo!$F$14:$ES$14,10))-(SUMIFS(Calculo!$F$117:$ES$117,Calculo!$F$14:$ES$14,10)+SUMIFS(Calculo!$F$114:$ES$114,Calculo!$F$14:$ES$14,10)+SUMIFS(Calculo!$F$137:$ES$137,Calculo!$F$14:$ES$14,10)+SUMIFS(Calculo!$F$144:$ES$144,Calculo!$F$14:$ES$14,10)+SUMIFS(Calculo!$F$105:$ES$105,Calculo!$F$14:$ES$14,10)+SUMIFS(Calculo!$F$106:$ES$106,Calculo!$F$14:$ES$14,10)+SUMIFS(Calculo!$F$153:$ES$153,Calculo!$F$14:$ES$14,10))+SUMIFS(Calculo!$F$155:$ES$155,Calculo!$F$14:$ES$14,10)-IF(COUNTIFS(Calculo!$F$14:$ES$14,10)=0,0,INDEX(Calculo!$F$154:$ES$154,1,_xlfn.MAXIFS(Calculo!$F$4:$ES$4,Calculo!$F$14:$ES$14,10))),2),ROUND(SUMIFS(Calculo!$F$258:$ES$258,Calculo!$F$170:$ES$170,10)+IF(COUNTIFS(Calculo!$F$170:$ES$170,9)=0,0,INDEX(Calculo!$F$310:$ES$310,1,_xlfn.MAXIFS(Calculo!$F$4:$ES$4,Calculo!$F$170:$ES$170,9)))+(SUMIFS(Calculo!$F$292:$ES$292,Calculo!$F$170:$ES$170,10)+SUMIFS(Calculo!$F$299:$ES$299,Calculo!$F$170:$ES$170,10)+SUMIFS(Calculo!$F$294:$ES$294,Calculo!$F$170:$ES$170,10))-(SUMIFS(Calculo!$F$273:$ES$273,Calculo!$F$170:$ES$170,10)+SUMIFS(Calculo!$F$270:$ES$270,Calculo!$F$170:$ES$170,10)+SUMIFS(Calculo!$F$293:$ES$293,Calculo!$F$170:$ES$170,10)+SUMIFS(Calculo!$F$300:$ES$300,Calculo!$F$170:$ES$170,10)+SUMIFS(Calculo!$F$261:$ES$261,Calculo!$F$170:$ES$170,10)+SUMIFS(Calculo!$F$262:$ES$262,Calculo!$F$170:$ES$170,10)+SUMIFS(Calculo!$F$309:$ES$309,Calculo!$F$170:$ES$170,10))+SUMIFS(Calculo!$F$311:$ES$311,Calculo!$F$170:$ES$170,10)-IF(COUNTIFS(Calculo!$F$170:$ES$170,10)=0,0,INDEX(Calculo!$F$310:$ES$310,1,_xlfn.MAXIFS(Calculo!$F$4:$ES$4,Calculo!$F$170:$ES$170,10))),2))</f>
        <v>0</v>
      </c>
    </row>
    <row r="29" customFormat="false" ht="15" hidden="false" customHeight="false" outlineLevel="0" collapsed="false">
      <c r="A29" s="65" t="s">
        <v>1992</v>
      </c>
      <c r="B29" s="64"/>
      <c r="C29" s="64"/>
      <c r="D29" s="64"/>
      <c r="E29" s="64"/>
      <c r="F29" s="64"/>
      <c r="G29" s="64"/>
      <c r="H29" s="64"/>
      <c r="I29" s="64"/>
      <c r="J29" s="64"/>
      <c r="K29" s="64"/>
      <c r="L29" s="64"/>
      <c r="M29" s="64"/>
      <c r="N29" s="64"/>
      <c r="O29" s="64"/>
    </row>
    <row r="30" customFormat="false" ht="24" hidden="false" customHeight="true" outlineLevel="0" collapsed="false">
      <c r="A30" s="14"/>
      <c r="B30" s="14" t="s">
        <v>1530</v>
      </c>
      <c r="C30" s="14" t="s">
        <v>355</v>
      </c>
      <c r="D30" s="14" t="s">
        <v>1857</v>
      </c>
      <c r="E30" s="14" t="s">
        <v>452</v>
      </c>
      <c r="F30" s="14" t="s">
        <v>453</v>
      </c>
      <c r="G30" s="14" t="s">
        <v>454</v>
      </c>
      <c r="H30" s="14" t="s">
        <v>455</v>
      </c>
      <c r="I30" s="14" t="s">
        <v>456</v>
      </c>
      <c r="J30" s="14" t="s">
        <v>457</v>
      </c>
      <c r="K30" s="14" t="s">
        <v>458</v>
      </c>
      <c r="L30" s="14" t="s">
        <v>459</v>
      </c>
      <c r="M30" s="14" t="s">
        <v>460</v>
      </c>
      <c r="N30" s="14" t="s">
        <v>461</v>
      </c>
      <c r="O30" s="14" t="s">
        <v>549</v>
      </c>
    </row>
    <row r="31" customFormat="false" ht="15" hidden="false" customHeight="false" outlineLevel="0" collapsed="false">
      <c r="B31" s="11" t="s">
        <v>1993</v>
      </c>
      <c r="D31" s="86" t="str">
        <f aca="false">IF(OR(n_Fecha1="",IF(cu_P=1,P_Inicio,V_Inicio)=1),"",YEAR(n_Fecha1))</f>
        <v/>
      </c>
      <c r="E31" s="86" t="str">
        <f aca="false">IF(n_Fecha1="","",YEAR(EOMONTH(n_Fecha1,IF(cu_P=1,P_Inicio,V_Inicio)-1+0)))</f>
        <v/>
      </c>
      <c r="F31" s="86" t="str">
        <f aca="false">IF(n_Fecha1="","",YEAR(EOMONTH(n_Fecha1,IF(cu_P=1,P_Inicio,V_Inicio)-1+12)))</f>
        <v/>
      </c>
      <c r="G31" s="86" t="str">
        <f aca="false">IF(n_Fecha1="","",YEAR(EOMONTH(n_Fecha1,IF(cu_P=1,P_Inicio,V_Inicio)-1+24)))</f>
        <v/>
      </c>
      <c r="H31" s="86" t="str">
        <f aca="false">IF(n_Fecha1="","",YEAR(EOMONTH(n_Fecha1,IF(cu_P=1,P_Inicio,V_Inicio)-1+36)))</f>
        <v/>
      </c>
      <c r="I31" s="86" t="str">
        <f aca="false">IF(n_Fecha1="","",YEAR(EOMONTH(n_Fecha1,IF(cu_P=1,P_Inicio,V_Inicio)-1+48)))</f>
        <v/>
      </c>
      <c r="J31" s="86" t="str">
        <f aca="false">IF(n_Fecha1="","",YEAR(EOMONTH(n_Fecha1,IF(cu_P=1,P_Inicio,V_Inicio)-1+60)))</f>
        <v/>
      </c>
      <c r="K31" s="86" t="str">
        <f aca="false">IF(n_Fecha1="","",YEAR(EOMONTH(n_Fecha1,IF(cu_P=1,P_Inicio,V_Inicio)-1+72)))</f>
        <v/>
      </c>
      <c r="L31" s="86" t="str">
        <f aca="false">IF(n_Fecha1="","",YEAR(EOMONTH(n_Fecha1,IF(cu_P=1,P_Inicio,V_Inicio)-1+84)))</f>
        <v/>
      </c>
      <c r="M31" s="86" t="str">
        <f aca="false">IF(n_Fecha1="","",YEAR(EOMONTH(n_Fecha1,IF(cu_P=1,P_Inicio,V_Inicio)-1+96)))</f>
        <v/>
      </c>
      <c r="N31" s="86" t="str">
        <f aca="false">IF(n_Fecha1="","",YEAR(EOMONTH(n_Fecha1,IF(cu_P=1,P_Inicio,V_Inicio)-1+108)))</f>
        <v/>
      </c>
    </row>
    <row r="32" customFormat="false" ht="15" hidden="false" customHeight="false" outlineLevel="0" collapsed="false">
      <c r="A32" s="13"/>
      <c r="B32" s="100" t="s">
        <v>2771</v>
      </c>
      <c r="C32" s="13"/>
      <c r="D32" s="13"/>
      <c r="E32" s="13"/>
      <c r="F32" s="13"/>
      <c r="G32" s="13"/>
      <c r="H32" s="13"/>
      <c r="I32" s="13"/>
      <c r="J32" s="13"/>
      <c r="K32" s="13"/>
      <c r="L32" s="13"/>
      <c r="M32" s="13"/>
      <c r="N32" s="13"/>
      <c r="O32" s="13"/>
    </row>
    <row r="33" customFormat="false" ht="15" hidden="false" customHeight="false" outlineLevel="0" collapsed="false">
      <c r="A33" s="11" t="s">
        <v>2772</v>
      </c>
      <c r="B33" s="67" t="s">
        <v>2773</v>
      </c>
      <c r="C33" s="11" t="s">
        <v>508</v>
      </c>
      <c r="D33" s="54" t="n">
        <f aca="false">IFERROR(IF(COUNT(D34,D35,D36,D37,D38)=0,"",N(D34)+N(D35)+N(D36)+N(D37)+N(D38)),"")</f>
        <v>2991587</v>
      </c>
      <c r="E33" s="54" t="n">
        <f aca="false">IFERROR(IF(COUNT(E34,E35,E36,E37,E38)=0,"",N(E34)+N(E35)+N(E36)+N(E37)+N(E38)),"")</f>
        <v>1140806</v>
      </c>
      <c r="F33" s="54" t="n">
        <f aca="false">IFERROR(IF(COUNT(F34,F35,F36,F37,F38)=0,"",N(F34)+N(F35)+N(F36)+N(F37)+N(F38)),"")</f>
        <v>1474997</v>
      </c>
      <c r="G33" s="54" t="n">
        <f aca="false">IFERROR(IF(COUNT(G34,G35,G36,G37,G38)=0,"",N(G34)+N(G35)+N(G36)+N(G37)+N(G38)),"")</f>
        <v>1528271</v>
      </c>
      <c r="H33" s="54" t="n">
        <f aca="false">IFERROR(IF(COUNT(H34,H35,H36,H37,H38)=0,"",N(H34)+N(H35)+N(H36)+N(H37)+N(H38)),"")</f>
        <v>2194148</v>
      </c>
      <c r="I33" s="54" t="n">
        <f aca="false">IFERROR(IF(COUNT(I34,I35,I36,I37,I38)=0,"",N(I34)+N(I35)+N(I36)+N(I37)+N(I38)),"")</f>
        <v>2944485</v>
      </c>
      <c r="J33" s="54" t="n">
        <f aca="false">IFERROR(IF(COUNT(J34,J35,J36,J37,J38)=0,"",N(J34)+N(J35)+N(J36)+N(J37)+N(J38)),"")</f>
        <v>3288399</v>
      </c>
      <c r="K33" s="54" t="n">
        <f aca="false">IFERROR(IF(COUNT(K34,K35,K36,K37,K38)=0,"",N(K34)+N(K35)+N(K36)+N(K37)+N(K38)),"")</f>
        <v>3501797</v>
      </c>
      <c r="L33" s="54" t="n">
        <f aca="false">IFERROR(IF(COUNT(L34,L35,L36,L37,L38)=0,"",N(L34)+N(L35)+N(L36)+N(L37)+N(L38)),"")</f>
        <v>3676701</v>
      </c>
      <c r="M33" s="54" t="n">
        <f aca="false">IFERROR(IF(COUNT(M34,M35,M36,M37,M38)=0,"",N(M34)+N(M35)+N(M36)+N(M37)+N(M38)),"")</f>
        <v>3840136</v>
      </c>
      <c r="N33" s="54" t="n">
        <f aca="false">IFERROR(IF(COUNT(N34,N35,N36,N37,N38)=0,"",N(N34)+N(N35)+N(N36)+N(N37)+N(N38)),"")</f>
        <v>4004269</v>
      </c>
      <c r="O33" s="54" t="n">
        <f aca="false">IF(COUNT(D33:N33)=0,"",SUM(D33:N33))</f>
        <v>30585596</v>
      </c>
    </row>
    <row r="34" customFormat="false" ht="15" hidden="false" customHeight="false" outlineLevel="0" collapsed="false">
      <c r="A34" s="11" t="s">
        <v>2774</v>
      </c>
      <c r="B34" s="15" t="s">
        <v>2775</v>
      </c>
      <c r="C34" s="11" t="s">
        <v>508</v>
      </c>
      <c r="D34" s="37" t="n">
        <v>0</v>
      </c>
      <c r="E34" s="37" t="n">
        <v>573024</v>
      </c>
      <c r="F34" s="37" t="n">
        <v>1029011</v>
      </c>
      <c r="G34" s="37" t="n">
        <v>1479759</v>
      </c>
      <c r="H34" s="37" t="n">
        <v>1886306</v>
      </c>
      <c r="I34" s="37" t="n">
        <v>1914796</v>
      </c>
      <c r="J34" s="37" t="n">
        <v>1973999</v>
      </c>
      <c r="K34" s="37" t="n">
        <v>2033657</v>
      </c>
      <c r="L34" s="37" t="n">
        <v>2093768</v>
      </c>
      <c r="M34" s="37" t="n">
        <v>2154335</v>
      </c>
      <c r="N34" s="37" t="n">
        <v>2215355</v>
      </c>
      <c r="O34" s="54" t="n">
        <f aca="false">IF(COUNT(D34:N34)=0,"",SUM(D34:N34))</f>
        <v>17354010</v>
      </c>
    </row>
    <row r="35" customFormat="false" ht="15" hidden="false" customHeight="false" outlineLevel="0" collapsed="false">
      <c r="A35" s="11" t="s">
        <v>2776</v>
      </c>
      <c r="B35" s="15" t="s">
        <v>2777</v>
      </c>
      <c r="C35" s="11" t="s">
        <v>508</v>
      </c>
      <c r="D35" s="37"/>
      <c r="E35" s="37" t="n">
        <v>0</v>
      </c>
      <c r="F35" s="37" t="n">
        <v>74058</v>
      </c>
      <c r="G35" s="37" t="n">
        <v>48512</v>
      </c>
      <c r="H35" s="37" t="n">
        <v>307842</v>
      </c>
      <c r="I35" s="37" t="n">
        <v>1029689</v>
      </c>
      <c r="J35" s="37" t="n">
        <v>1314400</v>
      </c>
      <c r="K35" s="37" t="n">
        <v>1468140</v>
      </c>
      <c r="L35" s="37" t="n">
        <v>1582933</v>
      </c>
      <c r="M35" s="37" t="n">
        <v>1685801</v>
      </c>
      <c r="N35" s="37" t="n">
        <v>1788914</v>
      </c>
    </row>
    <row r="36" customFormat="false" ht="15" hidden="false" customHeight="false" outlineLevel="0" collapsed="false">
      <c r="A36" s="11" t="s">
        <v>2778</v>
      </c>
      <c r="B36" s="15" t="s">
        <v>2779</v>
      </c>
      <c r="C36" s="11" t="s">
        <v>508</v>
      </c>
      <c r="D36" s="37" t="n">
        <v>2791587</v>
      </c>
      <c r="E36" s="37" t="n">
        <v>0</v>
      </c>
      <c r="F36" s="37" t="n">
        <v>0</v>
      </c>
      <c r="G36" s="37" t="n">
        <v>0</v>
      </c>
      <c r="H36" s="37" t="n">
        <v>0</v>
      </c>
      <c r="I36" s="37" t="n">
        <v>0</v>
      </c>
      <c r="J36" s="37" t="n">
        <v>0</v>
      </c>
      <c r="K36" s="37" t="n">
        <v>0</v>
      </c>
      <c r="L36" s="37" t="n">
        <v>0</v>
      </c>
      <c r="M36" s="37" t="n">
        <v>0</v>
      </c>
      <c r="N36" s="37" t="n">
        <v>0</v>
      </c>
      <c r="O36" s="54" t="n">
        <f aca="false">IF(COUNT(D36:N36)=0,"",SUM(D36:N36))</f>
        <v>2791587</v>
      </c>
    </row>
    <row r="37" customFormat="false" ht="15" hidden="false" customHeight="false" outlineLevel="0" collapsed="false">
      <c r="A37" s="11" t="s">
        <v>2780</v>
      </c>
      <c r="B37" s="15" t="s">
        <v>2781</v>
      </c>
      <c r="C37" s="11" t="s">
        <v>508</v>
      </c>
      <c r="D37" s="37" t="n">
        <v>0</v>
      </c>
      <c r="E37" s="37" t="n">
        <v>0</v>
      </c>
      <c r="F37" s="37" t="n">
        <v>0</v>
      </c>
      <c r="G37" s="37" t="n">
        <v>0</v>
      </c>
      <c r="H37" s="37" t="n">
        <v>0</v>
      </c>
      <c r="I37" s="37" t="n">
        <v>0</v>
      </c>
      <c r="J37" s="37" t="n">
        <v>0</v>
      </c>
      <c r="K37" s="37" t="n">
        <v>0</v>
      </c>
      <c r="L37" s="37" t="n">
        <v>0</v>
      </c>
      <c r="M37" s="37" t="n">
        <v>0</v>
      </c>
      <c r="N37" s="37" t="n">
        <v>0</v>
      </c>
      <c r="O37" s="54" t="n">
        <f aca="false">IF(COUNT(D37:N37)=0,"",SUM(D37:N37))</f>
        <v>0</v>
      </c>
    </row>
    <row r="38" customFormat="false" ht="15" hidden="false" customHeight="false" outlineLevel="0" collapsed="false">
      <c r="A38" s="11" t="s">
        <v>2782</v>
      </c>
      <c r="B38" s="15" t="s">
        <v>1240</v>
      </c>
      <c r="C38" s="11" t="s">
        <v>508</v>
      </c>
      <c r="D38" s="37" t="n">
        <v>200000</v>
      </c>
      <c r="E38" s="37" t="n">
        <v>567782</v>
      </c>
      <c r="F38" s="37" t="n">
        <v>371928</v>
      </c>
      <c r="G38" s="37" t="n">
        <v>0</v>
      </c>
      <c r="H38" s="37" t="n">
        <v>0</v>
      </c>
      <c r="I38" s="37" t="n">
        <v>0</v>
      </c>
      <c r="J38" s="37" t="n">
        <v>0</v>
      </c>
      <c r="K38" s="37" t="n">
        <v>0</v>
      </c>
      <c r="L38" s="37" t="n">
        <v>0</v>
      </c>
      <c r="M38" s="37" t="n">
        <v>0</v>
      </c>
      <c r="N38" s="37" t="n">
        <v>0</v>
      </c>
      <c r="O38" s="54" t="n">
        <f aca="false">IF(COUNT(D38:N38)=0,"",SUM(D38:N38))</f>
        <v>1139710</v>
      </c>
    </row>
    <row r="39" customFormat="false" ht="15" hidden="false" customHeight="false" outlineLevel="0" collapsed="false">
      <c r="A39" s="13"/>
      <c r="B39" s="100" t="s">
        <v>2783</v>
      </c>
      <c r="C39" s="13"/>
      <c r="D39" s="13"/>
      <c r="E39" s="13"/>
      <c r="F39" s="13"/>
      <c r="G39" s="13"/>
      <c r="H39" s="13"/>
      <c r="I39" s="13"/>
      <c r="J39" s="13"/>
      <c r="K39" s="13"/>
      <c r="L39" s="13"/>
      <c r="M39" s="13"/>
      <c r="N39" s="13"/>
      <c r="O39" s="13"/>
    </row>
    <row r="40" customFormat="false" ht="15" hidden="false" customHeight="false" outlineLevel="0" collapsed="false">
      <c r="A40" s="11" t="s">
        <v>2784</v>
      </c>
      <c r="B40" s="67" t="s">
        <v>2785</v>
      </c>
      <c r="C40" s="11" t="s">
        <v>508</v>
      </c>
      <c r="D40" s="54" t="n">
        <f aca="false">IFERROR(IF(COUNT(D41,D42,D43,D44,D45,D46,D47)=0,"",N(D41)+N(D42)+N(D43)+N(D44)+N(D45)+N(D46)+N(D47)),"")</f>
        <v>2991587</v>
      </c>
      <c r="E40" s="54" t="n">
        <f aca="false">IFERROR(IF(COUNT(E41,E42,E43,E44,E45,E46,E47)=0,"",N(E41)+N(E42)+N(E43)+N(E44)+N(E45)+N(E46)+N(E47)),"")</f>
        <v>1066747</v>
      </c>
      <c r="F40" s="54" t="n">
        <f aca="false">IFERROR(IF(COUNT(F41,F42,F43,F44,F45,F46,F47)=0,"",N(F41)+N(F42)+N(F43)+N(F44)+N(F45)+N(F46)+N(F47)),"")</f>
        <v>1426485</v>
      </c>
      <c r="G40" s="54" t="n">
        <f aca="false">IFERROR(IF(COUNT(G41,G42,G43,G44,G45,G46,G47)=0,"",N(G41)+N(G42)+N(G43)+N(G44)+N(G45)+N(G46)+N(G47)),"")</f>
        <v>1220430</v>
      </c>
      <c r="H40" s="54" t="n">
        <f aca="false">IFERROR(IF(COUNT(H41,H42,H43,H44,H45,H46,H47)=0,"",N(H41)+N(H42)+N(H43)+N(H44)+N(H45)+N(H46)+N(H47)),"")</f>
        <v>1164458</v>
      </c>
      <c r="I40" s="54" t="n">
        <f aca="false">IFERROR(IF(COUNT(I41,I42,I43,I44,I45,I46,I47)=0,"",N(I41)+N(I42)+N(I43)+N(I44)+N(I45)+N(I46)+N(I47)),"")</f>
        <v>1630086</v>
      </c>
      <c r="J40" s="54" t="n">
        <f aca="false">IFERROR(IF(COUNT(J41,J42,J43,J44,J45,J46,J47)=0,"",N(J41)+N(J42)+N(J43)+N(J44)+N(J45)+N(J46)+N(J47)),"")</f>
        <v>1820260</v>
      </c>
      <c r="K40" s="54" t="n">
        <f aca="false">IFERROR(IF(COUNT(K41,K42,K43,K44,K45,K46,K47)=0,"",N(K41)+N(K42)+N(K43)+N(K44)+N(K45)+N(K46)+N(K47)),"")</f>
        <v>1918863</v>
      </c>
      <c r="L40" s="54" t="n">
        <f aca="false">IFERROR(IF(COUNT(L41,L42,L43,L44,L45,L46,L47)=0,"",N(L41)+N(L42)+N(L43)+N(L44)+N(L45)+N(L46)+N(L47)),"")</f>
        <v>1990901</v>
      </c>
      <c r="M40" s="54" t="n">
        <f aca="false">IFERROR(IF(COUNT(M41,M42,M43,M44,M45,M46,M47)=0,"",N(M41)+N(M42)+N(M43)+N(M44)+N(M45)+N(M46)+N(M47)),"")</f>
        <v>2051222</v>
      </c>
      <c r="N40" s="54" t="n">
        <f aca="false">IFERROR(IF(COUNT(N41,N42,N43,N44,N45,N46,N47)=0,"",N(N41)+N(N42)+N(N43)+N(N44)+N(N45)+N(N46)+N(N47)),"")</f>
        <v>2094918</v>
      </c>
      <c r="O40" s="54" t="n">
        <f aca="false">IF(COUNT(D40:N40)=0,"",SUM(D40:N40))</f>
        <v>19375957</v>
      </c>
    </row>
    <row r="41" customFormat="false" ht="15" hidden="false" customHeight="false" outlineLevel="0" collapsed="false">
      <c r="A41" s="11" t="s">
        <v>2786</v>
      </c>
      <c r="B41" s="15" t="s">
        <v>2787</v>
      </c>
      <c r="C41" s="11" t="s">
        <v>508</v>
      </c>
      <c r="D41" s="37" t="n">
        <v>655044</v>
      </c>
      <c r="E41" s="37" t="n">
        <v>0</v>
      </c>
      <c r="F41" s="37" t="n">
        <v>100000</v>
      </c>
      <c r="G41" s="37" t="n">
        <v>0</v>
      </c>
      <c r="H41" s="37" t="n">
        <v>0</v>
      </c>
      <c r="I41" s="37" t="n">
        <v>0</v>
      </c>
      <c r="J41" s="37" t="n">
        <v>0</v>
      </c>
      <c r="K41" s="37" t="n">
        <v>0</v>
      </c>
      <c r="L41" s="37" t="n">
        <v>0</v>
      </c>
      <c r="M41" s="37" t="n">
        <v>0</v>
      </c>
      <c r="N41" s="37" t="n">
        <v>0</v>
      </c>
      <c r="O41" s="54" t="n">
        <f aca="false">IF(COUNT(D41:N41)=0,"",SUM(D41:N41))</f>
        <v>755044</v>
      </c>
    </row>
    <row r="42" customFormat="false" ht="15" hidden="false" customHeight="false" outlineLevel="0" collapsed="false">
      <c r="A42" s="11" t="s">
        <v>2788</v>
      </c>
      <c r="B42" s="15" t="s">
        <v>2789</v>
      </c>
      <c r="C42" s="11" t="s">
        <v>508</v>
      </c>
      <c r="D42" s="37" t="n">
        <v>2336543</v>
      </c>
      <c r="E42" s="37" t="n">
        <v>538119</v>
      </c>
      <c r="F42" s="37" t="n">
        <v>549192</v>
      </c>
      <c r="G42" s="37" t="n">
        <v>448306</v>
      </c>
      <c r="H42" s="37" t="n">
        <v>26363</v>
      </c>
      <c r="I42" s="37" t="n">
        <v>16055</v>
      </c>
      <c r="J42" s="37" t="n">
        <v>16254</v>
      </c>
      <c r="K42" s="37" t="n">
        <v>16456</v>
      </c>
      <c r="L42" s="37" t="n">
        <v>16661</v>
      </c>
      <c r="M42" s="37" t="n">
        <v>16870</v>
      </c>
      <c r="N42" s="37" t="n">
        <v>0</v>
      </c>
      <c r="O42" s="54" t="n">
        <f aca="false">IF(COUNT(D42:N42)=0,"",SUM(D42:N42))</f>
        <v>3980819</v>
      </c>
    </row>
    <row r="43" customFormat="false" ht="15" hidden="false" customHeight="false" outlineLevel="0" collapsed="false">
      <c r="A43" s="11" t="s">
        <v>2790</v>
      </c>
      <c r="B43" s="15" t="s">
        <v>2791</v>
      </c>
      <c r="C43" s="11" t="s">
        <v>508</v>
      </c>
      <c r="D43" s="37" t="n">
        <v>0</v>
      </c>
      <c r="E43" s="37" t="n">
        <v>257526</v>
      </c>
      <c r="F43" s="37" t="n">
        <v>551019</v>
      </c>
      <c r="G43" s="37" t="n">
        <v>602708</v>
      </c>
      <c r="H43" s="37" t="n">
        <v>659246</v>
      </c>
      <c r="I43" s="37" t="n">
        <v>721088</v>
      </c>
      <c r="J43" s="37" t="n">
        <v>0</v>
      </c>
      <c r="K43" s="37" t="n">
        <v>0</v>
      </c>
      <c r="L43" s="37" t="n">
        <v>0</v>
      </c>
      <c r="M43" s="37" t="n">
        <v>0</v>
      </c>
      <c r="N43" s="37" t="n">
        <v>0</v>
      </c>
      <c r="O43" s="54" t="n">
        <f aca="false">IF(COUNT(D43:N43)=0,"",SUM(D43:N43))</f>
        <v>2791587</v>
      </c>
    </row>
    <row r="44" customFormat="false" ht="15" hidden="false" customHeight="false" outlineLevel="0" collapsed="false">
      <c r="A44" s="11" t="s">
        <v>2792</v>
      </c>
      <c r="B44" s="15" t="s">
        <v>2793</v>
      </c>
      <c r="C44" s="11" t="s">
        <v>508</v>
      </c>
      <c r="D44" s="37" t="n">
        <v>0</v>
      </c>
      <c r="E44" s="37" t="n">
        <v>0</v>
      </c>
      <c r="F44" s="37" t="n">
        <v>0</v>
      </c>
      <c r="G44" s="37" t="n">
        <v>0</v>
      </c>
      <c r="H44" s="37" t="n">
        <v>0</v>
      </c>
      <c r="I44" s="37" t="n">
        <v>0</v>
      </c>
      <c r="J44" s="37" t="n">
        <v>0</v>
      </c>
      <c r="K44" s="37" t="n">
        <v>0</v>
      </c>
      <c r="L44" s="37" t="n">
        <v>0</v>
      </c>
      <c r="M44" s="37" t="n">
        <v>0</v>
      </c>
      <c r="N44" s="37" t="n">
        <v>0</v>
      </c>
      <c r="O44" s="54" t="n">
        <f aca="false">IF(COUNT(D44:N44)=0,"",SUM(D44:N44))</f>
        <v>0</v>
      </c>
    </row>
    <row r="45" customFormat="false" ht="15" hidden="false" customHeight="false" outlineLevel="0" collapsed="false">
      <c r="A45" s="11" t="s">
        <v>2794</v>
      </c>
      <c r="B45" s="15" t="s">
        <v>2613</v>
      </c>
      <c r="C45" s="11" t="s">
        <v>508</v>
      </c>
      <c r="D45" s="37" t="n">
        <v>0</v>
      </c>
      <c r="E45" s="37" t="n">
        <v>271102</v>
      </c>
      <c r="F45" s="37" t="n">
        <v>226274</v>
      </c>
      <c r="G45" s="37" t="n">
        <v>169416</v>
      </c>
      <c r="H45" s="37" t="n">
        <v>107224</v>
      </c>
      <c r="I45" s="37" t="n">
        <v>39198</v>
      </c>
      <c r="J45" s="37" t="n">
        <v>0</v>
      </c>
      <c r="K45" s="37" t="n">
        <v>0</v>
      </c>
      <c r="L45" s="37" t="n">
        <v>0</v>
      </c>
      <c r="M45" s="37" t="n">
        <v>0</v>
      </c>
      <c r="N45" s="37" t="n">
        <v>0</v>
      </c>
      <c r="O45" s="54" t="n">
        <f aca="false">IF(COUNT(D45:N45)=0,"",SUM(D45:N45))</f>
        <v>813214</v>
      </c>
    </row>
    <row r="46" customFormat="false" ht="15" hidden="false" customHeight="false" outlineLevel="0" collapsed="false">
      <c r="A46" s="11" t="s">
        <v>2795</v>
      </c>
      <c r="B46" s="15" t="s">
        <v>2696</v>
      </c>
      <c r="C46" s="11" t="s">
        <v>508</v>
      </c>
      <c r="D46" s="37" t="n">
        <v>0</v>
      </c>
      <c r="E46" s="37" t="n">
        <v>0</v>
      </c>
      <c r="F46" s="37" t="n">
        <v>0</v>
      </c>
      <c r="G46" s="37" t="n">
        <v>0</v>
      </c>
      <c r="H46" s="37" t="n">
        <v>0</v>
      </c>
      <c r="I46" s="37" t="n">
        <v>0</v>
      </c>
      <c r="J46" s="37" t="n">
        <v>0</v>
      </c>
      <c r="K46" s="37" t="n">
        <v>0</v>
      </c>
      <c r="L46" s="37" t="n">
        <v>0</v>
      </c>
      <c r="M46" s="37" t="n">
        <v>0</v>
      </c>
      <c r="N46" s="37" t="n">
        <v>0</v>
      </c>
      <c r="O46" s="54" t="n">
        <f aca="false">IF(COUNT(D46:N46)=0,"",SUM(D46:N46))</f>
        <v>0</v>
      </c>
    </row>
    <row r="47" customFormat="false" ht="15" hidden="false" customHeight="false" outlineLevel="0" collapsed="false">
      <c r="A47" s="11" t="s">
        <v>2796</v>
      </c>
      <c r="B47" s="15" t="s">
        <v>2797</v>
      </c>
      <c r="C47" s="11" t="s">
        <v>508</v>
      </c>
      <c r="D47" s="37" t="n">
        <v>0</v>
      </c>
      <c r="E47" s="37" t="n">
        <v>0</v>
      </c>
      <c r="F47" s="37" t="n">
        <v>0</v>
      </c>
      <c r="G47" s="37" t="n">
        <v>0</v>
      </c>
      <c r="H47" s="37" t="n">
        <v>371625</v>
      </c>
      <c r="I47" s="37" t="n">
        <v>853745</v>
      </c>
      <c r="J47" s="37" t="n">
        <v>1804006</v>
      </c>
      <c r="K47" s="37" t="n">
        <v>1902407</v>
      </c>
      <c r="L47" s="37" t="n">
        <v>1974240</v>
      </c>
      <c r="M47" s="37" t="n">
        <v>2034352</v>
      </c>
      <c r="N47" s="37" t="n">
        <v>2094918</v>
      </c>
      <c r="O47" s="54" t="n">
        <f aca="false">IF(COUNT(D47:N47)=0,"",SUM(D47:N47))</f>
        <v>11035293</v>
      </c>
    </row>
    <row r="48" customFormat="false" ht="15" hidden="false" customHeight="false" outlineLevel="0" collapsed="false">
      <c r="A48" s="13"/>
      <c r="B48" s="100" t="s">
        <v>2798</v>
      </c>
      <c r="C48" s="13"/>
      <c r="D48" s="13"/>
      <c r="E48" s="13"/>
      <c r="F48" s="13"/>
      <c r="G48" s="13"/>
      <c r="H48" s="13"/>
      <c r="I48" s="13"/>
      <c r="J48" s="13"/>
      <c r="K48" s="13"/>
      <c r="L48" s="13"/>
      <c r="M48" s="13"/>
      <c r="N48" s="13"/>
      <c r="O48" s="13"/>
    </row>
    <row r="49" customFormat="false" ht="15" hidden="false" customHeight="false" outlineLevel="0" collapsed="false">
      <c r="A49" s="11" t="s">
        <v>2799</v>
      </c>
      <c r="B49" s="15" t="s">
        <v>2800</v>
      </c>
      <c r="C49" s="11" t="s">
        <v>508</v>
      </c>
      <c r="O49" s="54" t="str">
        <f aca="false">IF(COUNT(D49:N49)=0,"",SUM(D49:N49))</f>
        <v/>
      </c>
    </row>
    <row r="50" customFormat="false" ht="15" hidden="false" customHeight="false" outlineLevel="0" collapsed="false">
      <c r="A50" s="11" t="s">
        <v>2801</v>
      </c>
      <c r="B50" s="67" t="s">
        <v>2802</v>
      </c>
      <c r="C50" s="11" t="s">
        <v>508</v>
      </c>
      <c r="D50" s="54" t="n">
        <f aca="false">IFERROR(IF(COUNT(D33,D40,D49)=0,"",N(D33)-N(D40)+N(D49)),"")</f>
        <v>0</v>
      </c>
      <c r="E50" s="54" t="n">
        <f aca="false">IFERROR(IF(COUNT(E33,E40,E49)=0,"",N(E33)-N(E40)+N(E49)),"")</f>
        <v>74059</v>
      </c>
      <c r="F50" s="54" t="n">
        <f aca="false">IFERROR(IF(COUNT(F33,F40,F49)=0,"",N(F33)-N(F40)+N(F49)),"")</f>
        <v>48512</v>
      </c>
      <c r="G50" s="54" t="n">
        <f aca="false">IFERROR(IF(COUNT(G33,G40,G49)=0,"",N(G33)-N(G40)+N(G49)),"")</f>
        <v>307841</v>
      </c>
      <c r="H50" s="54" t="n">
        <f aca="false">IFERROR(IF(COUNT(H33,H40,H49)=0,"",N(H33)-N(H40)+N(H49)),"")</f>
        <v>1029690</v>
      </c>
      <c r="I50" s="54" t="n">
        <f aca="false">IFERROR(IF(COUNT(I33,I40,I49)=0,"",N(I33)-N(I40)+N(I49)),"")</f>
        <v>1314399</v>
      </c>
      <c r="J50" s="54" t="n">
        <f aca="false">IFERROR(IF(COUNT(J33,J40,J49)=0,"",N(J33)-N(J40)+N(J49)),"")</f>
        <v>1468139</v>
      </c>
      <c r="K50" s="54" t="n">
        <f aca="false">IFERROR(IF(COUNT(K33,K40,K49)=0,"",N(K33)-N(K40)+N(K49)),"")</f>
        <v>1582934</v>
      </c>
      <c r="L50" s="54" t="n">
        <f aca="false">IFERROR(IF(COUNT(L33,L40,L49)=0,"",N(L33)-N(L40)+N(L49)),"")</f>
        <v>1685800</v>
      </c>
      <c r="M50" s="54" t="n">
        <f aca="false">IFERROR(IF(COUNT(M33,M40,M49)=0,"",N(M33)-N(M40)+N(M49)),"")</f>
        <v>1788914</v>
      </c>
      <c r="N50" s="54" t="n">
        <f aca="false">IFERROR(IF(COUNT(N33,N40,N49)=0,"",N(N33)-N(N40)+N(N49)),"")</f>
        <v>1909351</v>
      </c>
    </row>
    <row r="51" customFormat="false" ht="15" hidden="false" customHeight="false" outlineLevel="0" collapsed="false">
      <c r="A51" s="11" t="s">
        <v>2803</v>
      </c>
      <c r="B51" s="15" t="s">
        <v>2804</v>
      </c>
      <c r="C51" s="11" t="s">
        <v>508</v>
      </c>
    </row>
    <row r="53" customFormat="false" ht="15" hidden="false" customHeight="false" outlineLevel="0" collapsed="false">
      <c r="A53" s="101" t="s">
        <v>1994</v>
      </c>
      <c r="B53" s="102"/>
      <c r="C53" s="102"/>
      <c r="D53" s="102"/>
      <c r="E53" s="102"/>
      <c r="F53" s="102"/>
      <c r="G53" s="102"/>
      <c r="H53" s="102"/>
      <c r="I53" s="102"/>
      <c r="J53" s="102"/>
      <c r="K53" s="102"/>
      <c r="L53" s="102"/>
      <c r="M53" s="102"/>
      <c r="N53" s="102"/>
      <c r="O53" s="102"/>
      <c r="P53" s="102"/>
    </row>
    <row r="54" customFormat="false" ht="24" hidden="false" customHeight="true" outlineLevel="0" collapsed="false">
      <c r="A54" s="14"/>
      <c r="B54" s="14" t="s">
        <v>1530</v>
      </c>
      <c r="C54" s="14" t="s">
        <v>355</v>
      </c>
      <c r="D54" s="14" t="s">
        <v>1857</v>
      </c>
      <c r="E54" s="14" t="s">
        <v>452</v>
      </c>
      <c r="F54" s="14" t="s">
        <v>453</v>
      </c>
      <c r="G54" s="14" t="s">
        <v>454</v>
      </c>
      <c r="H54" s="14" t="s">
        <v>455</v>
      </c>
      <c r="I54" s="14" t="s">
        <v>456</v>
      </c>
      <c r="J54" s="14" t="s">
        <v>457</v>
      </c>
      <c r="K54" s="14" t="s">
        <v>458</v>
      </c>
      <c r="L54" s="14" t="s">
        <v>459</v>
      </c>
      <c r="M54" s="14" t="s">
        <v>460</v>
      </c>
      <c r="N54" s="14" t="s">
        <v>461</v>
      </c>
      <c r="O54" s="14" t="s">
        <v>549</v>
      </c>
      <c r="P54" s="14" t="s">
        <v>1822</v>
      </c>
    </row>
    <row r="55" customFormat="false" ht="15" hidden="false" customHeight="false" outlineLevel="0" collapsed="false">
      <c r="B55" s="11" t="s">
        <v>1993</v>
      </c>
      <c r="D55" s="86" t="str">
        <f aca="false">IF(OR(n_Fecha1="",IF(cu_P=1,P_Inicio,V_Inicio)=1),"",YEAR(n_Fecha1))</f>
        <v/>
      </c>
      <c r="E55" s="86" t="str">
        <f aca="false">IF(n_Fecha1="","",YEAR(EOMONTH(n_Fecha1,IF(cu_P=1,P_Inicio,V_Inicio)-1+0)))</f>
        <v/>
      </c>
      <c r="F55" s="86" t="str">
        <f aca="false">IF(n_Fecha1="","",YEAR(EOMONTH(n_Fecha1,IF(cu_P=1,P_Inicio,V_Inicio)-1+12)))</f>
        <v/>
      </c>
      <c r="G55" s="86" t="str">
        <f aca="false">IF(n_Fecha1="","",YEAR(EOMONTH(n_Fecha1,IF(cu_P=1,P_Inicio,V_Inicio)-1+24)))</f>
        <v/>
      </c>
      <c r="H55" s="86" t="str">
        <f aca="false">IF(n_Fecha1="","",YEAR(EOMONTH(n_Fecha1,IF(cu_P=1,P_Inicio,V_Inicio)-1+36)))</f>
        <v/>
      </c>
      <c r="I55" s="86" t="str">
        <f aca="false">IF(n_Fecha1="","",YEAR(EOMONTH(n_Fecha1,IF(cu_P=1,P_Inicio,V_Inicio)-1+48)))</f>
        <v/>
      </c>
      <c r="J55" s="86" t="str">
        <f aca="false">IF(n_Fecha1="","",YEAR(EOMONTH(n_Fecha1,IF(cu_P=1,P_Inicio,V_Inicio)-1+60)))</f>
        <v/>
      </c>
      <c r="K55" s="86" t="str">
        <f aca="false">IF(n_Fecha1="","",YEAR(EOMONTH(n_Fecha1,IF(cu_P=1,P_Inicio,V_Inicio)-1+72)))</f>
        <v/>
      </c>
      <c r="L55" s="86" t="str">
        <f aca="false">IF(n_Fecha1="","",YEAR(EOMONTH(n_Fecha1,IF(cu_P=1,P_Inicio,V_Inicio)-1+84)))</f>
        <v/>
      </c>
      <c r="M55" s="86" t="str">
        <f aca="false">IF(n_Fecha1="","",YEAR(EOMONTH(n_Fecha1,IF(cu_P=1,P_Inicio,V_Inicio)-1+96)))</f>
        <v/>
      </c>
      <c r="N55" s="86" t="str">
        <f aca="false">IF(n_Fecha1="","",YEAR(EOMONTH(n_Fecha1,IF(cu_P=1,P_Inicio,V_Inicio)-1+108)))</f>
        <v/>
      </c>
    </row>
    <row r="56" customFormat="false" ht="15" hidden="false" customHeight="false" outlineLevel="0" collapsed="false">
      <c r="A56" s="13"/>
      <c r="B56" s="100" t="s">
        <v>2771</v>
      </c>
      <c r="C56" s="13"/>
      <c r="D56" s="13"/>
      <c r="E56" s="13"/>
      <c r="F56" s="13"/>
      <c r="G56" s="13"/>
      <c r="H56" s="13"/>
      <c r="I56" s="13"/>
      <c r="J56" s="13"/>
      <c r="K56" s="13"/>
      <c r="L56" s="13"/>
      <c r="M56" s="13"/>
      <c r="N56" s="13"/>
      <c r="O56" s="13"/>
      <c r="P56" s="13"/>
    </row>
    <row r="57" customFormat="false" ht="15" hidden="false" customHeight="false" outlineLevel="0" collapsed="false">
      <c r="A57" s="11" t="s">
        <v>2772</v>
      </c>
      <c r="B57" s="67" t="s">
        <v>2773</v>
      </c>
      <c r="C57" s="11" t="s">
        <v>508</v>
      </c>
      <c r="D57" s="54" t="n">
        <f aca="false">IF(OR(NOT(ISNUMBER(D9)),NOT(ISNUMBER(D33))),"",D9-D33)</f>
        <v>-2991587</v>
      </c>
      <c r="E57" s="54" t="n">
        <f aca="false">IF(OR(NOT(ISNUMBER(E9)),NOT(ISNUMBER(E33))),"",E9-E33)</f>
        <v>2928533.00570708</v>
      </c>
      <c r="F57" s="54" t="n">
        <f aca="false">IF(OR(NOT(ISNUMBER(F9)),NOT(ISNUMBER(F33))),"",F9-F33)</f>
        <v>360490.579486496</v>
      </c>
      <c r="G57" s="54" t="n">
        <f aca="false">IF(OR(NOT(ISNUMBER(G9)),NOT(ISNUMBER(G33))),"",G9-G33)</f>
        <v>179798.639597782</v>
      </c>
      <c r="H57" s="54" t="n">
        <f aca="false">IF(OR(NOT(ISNUMBER(H9)),NOT(ISNUMBER(H33))),"",H9-H33)</f>
        <v>-126806.263698155</v>
      </c>
      <c r="I57" s="54" t="n">
        <f aca="false">IF(OR(NOT(ISNUMBER(I9)),NOT(ISNUMBER(I33))),"",I9-I33)</f>
        <v>-387864.469960004</v>
      </c>
      <c r="J57" s="54" t="n">
        <f aca="false">IF(OR(NOT(ISNUMBER(J9)),NOT(ISNUMBER(J33))),"",J9-J33)</f>
        <v>-471522.025966796</v>
      </c>
      <c r="K57" s="54" t="n">
        <f aca="false">IF(OR(NOT(ISNUMBER(K9)),NOT(ISNUMBER(K33))),"",K9-K33)</f>
        <v>-273579.156930815</v>
      </c>
      <c r="L57" s="54" t="n">
        <f aca="false">IF(OR(NOT(ISNUMBER(L9)),NOT(ISNUMBER(L33))),"",L9-L33)</f>
        <v>-318043.92017406</v>
      </c>
      <c r="M57" s="54" t="n">
        <f aca="false">IF(OR(NOT(ISNUMBER(M9)),NOT(ISNUMBER(M33))),"",M9-M33)</f>
        <v>-350732.042954486</v>
      </c>
      <c r="N57" s="54" t="n">
        <f aca="false">IF(OR(NOT(ISNUMBER(N9)),NOT(ISNUMBER(N33))),"",N9-N33)</f>
        <v>-383816.391078237</v>
      </c>
      <c r="O57" s="54" t="n">
        <f aca="false">IF(OR(NOT(ISNUMBER(O9)),NOT(ISNUMBER(O33))),"",O9-O33)</f>
        <v>-1835129.0459712</v>
      </c>
      <c r="P57" s="11" t="str">
        <f aca="false">IF(COUNT(D57:N57)=0,"",IF(AND(MAX(D57:N57)&lt;2,MIN(D57:N57)&gt;-2),"Sin diferencia","Calendario (préstamo y aporte inicial en el año 0 del plan), EBITDA y saldos de caja."))</f>
        <v>Calendario (préstamo y aporte inicial en el año 0 del plan), EBITDA y saldos de caja.</v>
      </c>
    </row>
    <row r="58" customFormat="false" ht="15" hidden="false" customHeight="false" outlineLevel="0" collapsed="false">
      <c r="A58" s="11" t="s">
        <v>2774</v>
      </c>
      <c r="B58" s="15" t="s">
        <v>2775</v>
      </c>
      <c r="C58" s="11" t="s">
        <v>508</v>
      </c>
      <c r="D58" s="48" t="n">
        <f aca="false">IF(OR(NOT(ISNUMBER(D10)),NOT(ISNUMBER(D34))),"",D10-D34)</f>
        <v>0</v>
      </c>
      <c r="E58" s="48" t="n">
        <f aca="false">IF(OR(NOT(ISNUMBER(E10)),NOT(ISNUMBER(E34))),"",E10-E34)</f>
        <v>-63053.994292923</v>
      </c>
      <c r="F58" s="48" t="n">
        <f aca="false">IF(OR(NOT(ISNUMBER(F10)),NOT(ISNUMBER(F34))),"",F10-F34)</f>
        <v>-63054.1640724225</v>
      </c>
      <c r="G58" s="48" t="n">
        <f aca="false">IF(OR(NOT(ISNUMBER(G10)),NOT(ISNUMBER(G34))),"",G10-G34)</f>
        <v>-74738.6296185025</v>
      </c>
      <c r="H58" s="48" t="n">
        <f aca="false">IF(OR(NOT(ISNUMBER(H10)),NOT(ISNUMBER(H34))),"",H10-H34)</f>
        <v>-87583.0414417</v>
      </c>
      <c r="I58" s="48" t="n">
        <f aca="false">IF(OR(NOT(ISNUMBER(I10)),NOT(ISNUMBER(I34))),"",I10-I34)</f>
        <v>-100238.021483514</v>
      </c>
      <c r="J58" s="48" t="n">
        <f aca="false">IF(OR(NOT(ISNUMBER(J10)),NOT(ISNUMBER(J34))),"",J10-J34)</f>
        <v>-110393.698426086</v>
      </c>
      <c r="K58" s="48" t="n">
        <f aca="false">IF(OR(NOT(ISNUMBER(K10)),NOT(ISNUMBER(K34))),"",K10-K34)</f>
        <v>-120664.730127201</v>
      </c>
      <c r="L58" s="48" t="n">
        <f aca="false">IF(OR(NOT(ISNUMBER(L10)),NOT(ISNUMBER(L34))),"",L10-L34)</f>
        <v>-131050.177444551</v>
      </c>
      <c r="M58" s="48" t="n">
        <f aca="false">IF(OR(NOT(ISNUMBER(M10)),NOT(ISNUMBER(M34))),"",M10-M34)</f>
        <v>-141554.244213109</v>
      </c>
      <c r="N58" s="48" t="n">
        <f aca="false">IF(OR(NOT(ISNUMBER(N10)),NOT(ISNUMBER(N34))),"",N10-N34)</f>
        <v>-152175.282618967</v>
      </c>
      <c r="O58" s="54" t="n">
        <f aca="false">IF(OR(NOT(ISNUMBER(O10)),NOT(ISNUMBER(O34))),"",O10-O34)</f>
        <v>-1044505.98373898</v>
      </c>
      <c r="P58" s="11" t="str">
        <f aca="false">IF(COUNT(D58:N58)=0,"",IF(AND(MAX(D58:N58)&lt;2,MIN(D58:N58)&gt;-2),"Sin diferencia","Ver cuadro 15."))</f>
        <v>Ver cuadro 15.</v>
      </c>
    </row>
    <row r="59" customFormat="false" ht="15" hidden="false" customHeight="false" outlineLevel="0" collapsed="false">
      <c r="A59" s="11" t="s">
        <v>2776</v>
      </c>
      <c r="B59" s="15" t="s">
        <v>2777</v>
      </c>
      <c r="C59" s="11" t="s">
        <v>508</v>
      </c>
      <c r="D59" s="48" t="str">
        <f aca="false">IF(OR(NOT(ISNUMBER(D11)),NOT(ISNUMBER(D35))),"",D11-D35)</f>
        <v/>
      </c>
      <c r="E59" s="48" t="n">
        <f aca="false">IF(OR(NOT(ISNUMBER(E11)),NOT(ISNUMBER(E35))),"",E11-E35)</f>
        <v>0</v>
      </c>
      <c r="F59" s="48" t="n">
        <f aca="false">IF(OR(NOT(ISNUMBER(F11)),NOT(ISNUMBER(F35))),"",F11-F35)</f>
        <v>423544.743558918</v>
      </c>
      <c r="G59" s="48" t="n">
        <f aca="false">IF(OR(NOT(ISNUMBER(G11)),NOT(ISNUMBER(G35))),"",G11-G35)</f>
        <v>254537.269216285</v>
      </c>
      <c r="H59" s="48" t="n">
        <f aca="false">IF(OR(NOT(ISNUMBER(H11)),NOT(ISNUMBER(H35))),"",H11-H35)</f>
        <v>-39223.2222564549</v>
      </c>
      <c r="I59" s="48" t="n">
        <f aca="false">IF(OR(NOT(ISNUMBER(I11)),NOT(ISNUMBER(I35))),"",I11-I35)</f>
        <v>-287626.448476489</v>
      </c>
      <c r="J59" s="48" t="n">
        <f aca="false">IF(OR(NOT(ISNUMBER(J11)),NOT(ISNUMBER(J35))),"",J11-J35)</f>
        <v>-361128.327540709</v>
      </c>
      <c r="K59" s="48" t="n">
        <f aca="false">IF(OR(NOT(ISNUMBER(K11)),NOT(ISNUMBER(K35))),"",K11-K35)</f>
        <v>-152914.426803613</v>
      </c>
      <c r="L59" s="48" t="n">
        <f aca="false">IF(OR(NOT(ISNUMBER(L11)),NOT(ISNUMBER(L35))),"",L11-L35)</f>
        <v>-186993.74272951</v>
      </c>
      <c r="M59" s="48" t="n">
        <f aca="false">IF(OR(NOT(ISNUMBER(M11)),NOT(ISNUMBER(M35))),"",M11-M35)</f>
        <v>-209177.798741377</v>
      </c>
      <c r="N59" s="48" t="n">
        <f aca="false">IF(OR(NOT(ISNUMBER(N11)),NOT(ISNUMBER(N35))),"",N11-N35)</f>
        <v>-231641.108459271</v>
      </c>
      <c r="P59" s="11" t="str">
        <f aca="false">IF(COUNT(D59:N59)=0,"",IF(AND(MAX(D59:N59)&lt;2,MIN(D59:N59)&gt;-2),"Sin diferencia","Arrastre de los saldos de caja de cada año."))</f>
        <v>Arrastre de los saldos de caja de cada año.</v>
      </c>
    </row>
    <row r="60" customFormat="false" ht="15" hidden="false" customHeight="false" outlineLevel="0" collapsed="false">
      <c r="A60" s="11" t="s">
        <v>2778</v>
      </c>
      <c r="B60" s="15" t="s">
        <v>2779</v>
      </c>
      <c r="C60" s="11" t="s">
        <v>508</v>
      </c>
      <c r="D60" s="48" t="n">
        <f aca="false">IF(OR(NOT(ISNUMBER(D12)),NOT(ISNUMBER(D36))),"",D12-D36)</f>
        <v>-2791587</v>
      </c>
      <c r="E60" s="48" t="n">
        <f aca="false">IF(OR(NOT(ISNUMBER(E12)),NOT(ISNUMBER(E36))),"",E12-E36)</f>
        <v>2791587</v>
      </c>
      <c r="F60" s="48" t="n">
        <f aca="false">IF(OR(NOT(ISNUMBER(F12)),NOT(ISNUMBER(F36))),"",F12-F36)</f>
        <v>0</v>
      </c>
      <c r="G60" s="48" t="n">
        <f aca="false">IF(OR(NOT(ISNUMBER(G12)),NOT(ISNUMBER(G36))),"",G12-G36)</f>
        <v>0</v>
      </c>
      <c r="H60" s="48" t="n">
        <f aca="false">IF(OR(NOT(ISNUMBER(H12)),NOT(ISNUMBER(H36))),"",H12-H36)</f>
        <v>0</v>
      </c>
      <c r="I60" s="48" t="n">
        <f aca="false">IF(OR(NOT(ISNUMBER(I12)),NOT(ISNUMBER(I36))),"",I12-I36)</f>
        <v>0</v>
      </c>
      <c r="J60" s="48" t="n">
        <f aca="false">IF(OR(NOT(ISNUMBER(J12)),NOT(ISNUMBER(J36))),"",J12-J36)</f>
        <v>0</v>
      </c>
      <c r="K60" s="48" t="n">
        <f aca="false">IF(OR(NOT(ISNUMBER(K12)),NOT(ISNUMBER(K36))),"",K12-K36)</f>
        <v>0</v>
      </c>
      <c r="L60" s="48" t="n">
        <f aca="false">IF(OR(NOT(ISNUMBER(L12)),NOT(ISNUMBER(L36))),"",L12-L36)</f>
        <v>0</v>
      </c>
      <c r="M60" s="48" t="n">
        <f aca="false">IF(OR(NOT(ISNUMBER(M12)),NOT(ISNUMBER(M36))),"",M12-M36)</f>
        <v>0</v>
      </c>
      <c r="N60" s="48" t="n">
        <f aca="false">IF(OR(NOT(ISNUMBER(N12)),NOT(ISNUMBER(N36))),"",N12-N36)</f>
        <v>0</v>
      </c>
      <c r="O60" s="54" t="n">
        <f aca="false">IF(OR(NOT(ISNUMBER(O12)),NOT(ISNUMBER(O36))),"",O12-O36)</f>
        <v>0</v>
      </c>
      <c r="P60" s="11" t="str">
        <f aca="false">IF(COUNT(D60:N60)=0,"",IF(AND(MAX(D60:N60)&lt;2,MIN(D60:N60)&gt;-2),"Sin diferencia","Calendario: el plan lo registra en el año 0; en el modelo la operación empieza en el mes 1 (año 1)."))</f>
        <v>Calendario: el plan lo registra en el año 0; en el modelo la operación empieza en el mes 1 (año 1).</v>
      </c>
    </row>
    <row r="61" customFormat="false" ht="15" hidden="false" customHeight="false" outlineLevel="0" collapsed="false">
      <c r="A61" s="11" t="s">
        <v>2780</v>
      </c>
      <c r="B61" s="15" t="s">
        <v>2781</v>
      </c>
      <c r="C61" s="11" t="s">
        <v>508</v>
      </c>
      <c r="D61" s="48" t="n">
        <f aca="false">IF(OR(NOT(ISNUMBER(D13)),NOT(ISNUMBER(D37))),"",D13-D37)</f>
        <v>0</v>
      </c>
      <c r="E61" s="48" t="n">
        <f aca="false">IF(OR(NOT(ISNUMBER(E13)),NOT(ISNUMBER(E37))),"",E13-E37)</f>
        <v>0</v>
      </c>
      <c r="F61" s="48" t="n">
        <f aca="false">IF(OR(NOT(ISNUMBER(F13)),NOT(ISNUMBER(F37))),"",F13-F37)</f>
        <v>0</v>
      </c>
      <c r="G61" s="48" t="n">
        <f aca="false">IF(OR(NOT(ISNUMBER(G13)),NOT(ISNUMBER(G37))),"",G13-G37)</f>
        <v>0</v>
      </c>
      <c r="H61" s="48" t="n">
        <f aca="false">IF(OR(NOT(ISNUMBER(H13)),NOT(ISNUMBER(H37))),"",H13-H37)</f>
        <v>0</v>
      </c>
      <c r="I61" s="48" t="n">
        <f aca="false">IF(OR(NOT(ISNUMBER(I13)),NOT(ISNUMBER(I37))),"",I13-I37)</f>
        <v>0</v>
      </c>
      <c r="J61" s="48" t="n">
        <f aca="false">IF(OR(NOT(ISNUMBER(J13)),NOT(ISNUMBER(J37))),"",J13-J37)</f>
        <v>0</v>
      </c>
      <c r="K61" s="48" t="n">
        <f aca="false">IF(OR(NOT(ISNUMBER(K13)),NOT(ISNUMBER(K37))),"",K13-K37)</f>
        <v>0</v>
      </c>
      <c r="L61" s="48" t="n">
        <f aca="false">IF(OR(NOT(ISNUMBER(L13)),NOT(ISNUMBER(L37))),"",L13-L37)</f>
        <v>0</v>
      </c>
      <c r="M61" s="48" t="n">
        <f aca="false">IF(OR(NOT(ISNUMBER(M13)),NOT(ISNUMBER(M37))),"",M13-M37)</f>
        <v>0</v>
      </c>
      <c r="N61" s="48" t="n">
        <f aca="false">IF(OR(NOT(ISNUMBER(N13)),NOT(ISNUMBER(N37))),"",N13-N37)</f>
        <v>0</v>
      </c>
      <c r="O61" s="54" t="n">
        <f aca="false">IF(OR(NOT(ISNUMBER(O13)),NOT(ISNUMBER(O37))),"",O13-O37)</f>
        <v>0</v>
      </c>
      <c r="P61" s="11" t="str">
        <f aca="false">IF(COUNT(D61:N61)=0,"",IF(AND(MAX(D61:N61)&lt;2,MIN(D61:N61)&gt;-2),"Sin diferencia","Diferencia a explicar"))</f>
        <v>Sin diferencia</v>
      </c>
    </row>
    <row r="62" customFormat="false" ht="15" hidden="false" customHeight="false" outlineLevel="0" collapsed="false">
      <c r="A62" s="11" t="s">
        <v>2782</v>
      </c>
      <c r="B62" s="15" t="s">
        <v>1240</v>
      </c>
      <c r="C62" s="11" t="s">
        <v>508</v>
      </c>
      <c r="D62" s="48" t="n">
        <f aca="false">IF(OR(NOT(ISNUMBER(D14)),NOT(ISNUMBER(D38))),"",D14-D38)</f>
        <v>-200000</v>
      </c>
      <c r="E62" s="48" t="n">
        <f aca="false">IF(OR(NOT(ISNUMBER(E14)),NOT(ISNUMBER(E38))),"",E14-E38)</f>
        <v>200000</v>
      </c>
      <c r="F62" s="48" t="n">
        <f aca="false">IF(OR(NOT(ISNUMBER(F14)),NOT(ISNUMBER(F38))),"",F14-F38)</f>
        <v>0</v>
      </c>
      <c r="G62" s="48" t="n">
        <f aca="false">IF(OR(NOT(ISNUMBER(G14)),NOT(ISNUMBER(G38))),"",G14-G38)</f>
        <v>0</v>
      </c>
      <c r="H62" s="48" t="n">
        <f aca="false">IF(OR(NOT(ISNUMBER(H14)),NOT(ISNUMBER(H38))),"",H14-H38)</f>
        <v>0</v>
      </c>
      <c r="I62" s="48" t="n">
        <f aca="false">IF(OR(NOT(ISNUMBER(I14)),NOT(ISNUMBER(I38))),"",I14-I38)</f>
        <v>0</v>
      </c>
      <c r="J62" s="48" t="n">
        <f aca="false">IF(OR(NOT(ISNUMBER(J14)),NOT(ISNUMBER(J38))),"",J14-J38)</f>
        <v>0</v>
      </c>
      <c r="K62" s="48" t="n">
        <f aca="false">IF(OR(NOT(ISNUMBER(K14)),NOT(ISNUMBER(K38))),"",K14-K38)</f>
        <v>0</v>
      </c>
      <c r="L62" s="48" t="n">
        <f aca="false">IF(OR(NOT(ISNUMBER(L14)),NOT(ISNUMBER(L38))),"",L14-L38)</f>
        <v>0</v>
      </c>
      <c r="M62" s="48" t="n">
        <f aca="false">IF(OR(NOT(ISNUMBER(M14)),NOT(ISNUMBER(M38))),"",M14-M38)</f>
        <v>0</v>
      </c>
      <c r="N62" s="48" t="n">
        <f aca="false">IF(OR(NOT(ISNUMBER(N14)),NOT(ISNUMBER(N38))),"",N14-N38)</f>
        <v>0</v>
      </c>
      <c r="O62" s="54" t="n">
        <f aca="false">IF(OR(NOT(ISNUMBER(O14)),NOT(ISNUMBER(O38))),"",O14-O38)</f>
        <v>0</v>
      </c>
      <c r="P62" s="11" t="str">
        <f aca="false">IF(COUNT(D62:N62)=0,"",IF(AND(MAX(D62:N62)&lt;2,MIN(D62:N62)&gt;-2),"Sin diferencia","Calendario: el plan lo registra en el año 0; en el modelo la operación empieza en el mes 1 (año 1)."))</f>
        <v>Calendario: el plan lo registra en el año 0; en el modelo la operación empieza en el mes 1 (año 1).</v>
      </c>
    </row>
    <row r="63" customFormat="false" ht="15" hidden="false" customHeight="false" outlineLevel="0" collapsed="false">
      <c r="A63" s="13"/>
      <c r="B63" s="100" t="s">
        <v>2783</v>
      </c>
      <c r="C63" s="13"/>
      <c r="D63" s="13"/>
      <c r="E63" s="13"/>
      <c r="F63" s="13"/>
      <c r="G63" s="13"/>
      <c r="H63" s="13"/>
      <c r="I63" s="13"/>
      <c r="J63" s="13"/>
      <c r="K63" s="13"/>
      <c r="L63" s="13"/>
      <c r="M63" s="13"/>
      <c r="N63" s="13"/>
      <c r="O63" s="13"/>
      <c r="P63" s="13"/>
    </row>
    <row r="64" customFormat="false" ht="15" hidden="false" customHeight="false" outlineLevel="0" collapsed="false">
      <c r="A64" s="11" t="s">
        <v>2784</v>
      </c>
      <c r="B64" s="67" t="s">
        <v>2785</v>
      </c>
      <c r="C64" s="11" t="s">
        <v>508</v>
      </c>
      <c r="D64" s="54" t="n">
        <f aca="false">IF(OR(NOT(ISNUMBER(D16)),NOT(ISNUMBER(D40))),"",D16-D40)</f>
        <v>-2991587</v>
      </c>
      <c r="E64" s="54" t="n">
        <f aca="false">IF(OR(NOT(ISNUMBER(E16)),NOT(ISNUMBER(E40))),"",E16-E40)</f>
        <v>2504989.26214816</v>
      </c>
      <c r="F64" s="54" t="n">
        <f aca="false">IF(OR(NOT(ISNUMBER(F16)),NOT(ISNUMBER(F40))),"",F16-F40)</f>
        <v>105953.310270211</v>
      </c>
      <c r="G64" s="54" t="n">
        <f aca="false">IF(OR(NOT(ISNUMBER(G16)),NOT(ISNUMBER(G40))),"",G16-G40)</f>
        <v>219020.861854237</v>
      </c>
      <c r="H64" s="54" t="n">
        <f aca="false">IF(OR(NOT(ISNUMBER(H16)),NOT(ISNUMBER(H40))),"",H16-H40)</f>
        <v>160821.184778334</v>
      </c>
      <c r="I64" s="54" t="n">
        <f aca="false">IF(OR(NOT(ISNUMBER(I16)),NOT(ISNUMBER(I40))),"",I16-I40)</f>
        <v>-26737.1424192947</v>
      </c>
      <c r="J64" s="54" t="n">
        <f aca="false">IF(OR(NOT(ISNUMBER(J16)),NOT(ISNUMBER(J40))),"",J16-J40)</f>
        <v>-318608.599163183</v>
      </c>
      <c r="K64" s="54" t="n">
        <f aca="false">IF(OR(NOT(ISNUMBER(K16)),NOT(ISNUMBER(K40))),"",K16-K40)</f>
        <v>-86584.4142013046</v>
      </c>
      <c r="L64" s="54" t="n">
        <f aca="false">IF(OR(NOT(ISNUMBER(L16)),NOT(ISNUMBER(L40))),"",L16-L40)</f>
        <v>-108867.121432683</v>
      </c>
      <c r="M64" s="54" t="n">
        <f aca="false">IF(OR(NOT(ISNUMBER(M16)),NOT(ISNUMBER(M40))),"",M16-M40)</f>
        <v>-119090.934495214</v>
      </c>
      <c r="N64" s="54" t="n">
        <f aca="false">IF(OR(NOT(ISNUMBER(N16)),NOT(ISNUMBER(N40))),"",N16-N40)</f>
        <v>-112349.035254332</v>
      </c>
      <c r="O64" s="54" t="n">
        <f aca="false">IF(OR(NOT(ISNUMBER(O16)),NOT(ISNUMBER(O40))),"",O16-O40)</f>
        <v>-773039.62791507</v>
      </c>
      <c r="P64" s="11" t="str">
        <f aca="false">IF(COUNT(D64:N64)=0,"",IF(AND(MAX(D64:N64)&lt;2,MIN(D64:N64)&gt;-2),"Sin diferencia","Calendario, capital de trabajo y dividendos."))</f>
        <v>Calendario, capital de trabajo y dividendos.</v>
      </c>
    </row>
    <row r="65" customFormat="false" ht="15" hidden="false" customHeight="false" outlineLevel="0" collapsed="false">
      <c r="A65" s="11" t="s">
        <v>2786</v>
      </c>
      <c r="B65" s="15" t="s">
        <v>2787</v>
      </c>
      <c r="C65" s="11" t="s">
        <v>508</v>
      </c>
      <c r="D65" s="48" t="n">
        <f aca="false">IF(OR(NOT(ISNUMBER(D17)),NOT(ISNUMBER(D41))),"",D17-D41)</f>
        <v>-655044</v>
      </c>
      <c r="E65" s="48" t="n">
        <f aca="false">IF(OR(NOT(ISNUMBER(E17)),NOT(ISNUMBER(E41))),"",E17-E41)</f>
        <v>655044.09</v>
      </c>
      <c r="F65" s="48" t="n">
        <f aca="false">IF(OR(NOT(ISNUMBER(F17)),NOT(ISNUMBER(F41))),"",F17-F41)</f>
        <v>0</v>
      </c>
      <c r="G65" s="48" t="n">
        <f aca="false">IF(OR(NOT(ISNUMBER(G17)),NOT(ISNUMBER(G41))),"",G17-G41)</f>
        <v>0</v>
      </c>
      <c r="H65" s="48" t="n">
        <f aca="false">IF(OR(NOT(ISNUMBER(H17)),NOT(ISNUMBER(H41))),"",H17-H41)</f>
        <v>0</v>
      </c>
      <c r="I65" s="48" t="n">
        <f aca="false">IF(OR(NOT(ISNUMBER(I17)),NOT(ISNUMBER(I41))),"",I17-I41)</f>
        <v>0</v>
      </c>
      <c r="J65" s="48" t="n">
        <f aca="false">IF(OR(NOT(ISNUMBER(J17)),NOT(ISNUMBER(J41))),"",J17-J41)</f>
        <v>0</v>
      </c>
      <c r="K65" s="48" t="n">
        <f aca="false">IF(OR(NOT(ISNUMBER(K17)),NOT(ISNUMBER(K41))),"",K17-K41)</f>
        <v>0</v>
      </c>
      <c r="L65" s="48" t="n">
        <f aca="false">IF(OR(NOT(ISNUMBER(L17)),NOT(ISNUMBER(L41))),"",L17-L41)</f>
        <v>0</v>
      </c>
      <c r="M65" s="48" t="n">
        <f aca="false">IF(OR(NOT(ISNUMBER(M17)),NOT(ISNUMBER(M41))),"",M17-M41)</f>
        <v>0</v>
      </c>
      <c r="N65" s="48" t="n">
        <f aca="false">IF(OR(NOT(ISNUMBER(N17)),NOT(ISNUMBER(N41))),"",N17-N41)</f>
        <v>0</v>
      </c>
      <c r="O65" s="54" t="n">
        <f aca="false">IF(OR(NOT(ISNUMBER(O17)),NOT(ISNUMBER(O41))),"",O17-O41)</f>
        <v>0.0899999999674037</v>
      </c>
      <c r="P65" s="11" t="str">
        <f aca="false">IF(COUNT(D65:N65)=0,"",IF(AND(MAX(D65:N65)&lt;2,MIN(D65:N65)&gt;-2),"Sin diferencia","Calendario: el plan lo registra en el año 0; en el modelo la operación empieza en el mes 1 (año 1)."))</f>
        <v>Calendario: el plan lo registra en el año 0; en el modelo la operación empieza en el mes 1 (año 1).</v>
      </c>
    </row>
    <row r="66" customFormat="false" ht="15" hidden="false" customHeight="false" outlineLevel="0" collapsed="false">
      <c r="A66" s="11" t="s">
        <v>2788</v>
      </c>
      <c r="B66" s="15" t="s">
        <v>2789</v>
      </c>
      <c r="C66" s="11" t="s">
        <v>508</v>
      </c>
      <c r="D66" s="48" t="n">
        <f aca="false">IF(OR(NOT(ISNUMBER(D18)),NOT(ISNUMBER(D42))),"",D18-D42)</f>
        <v>-2336543</v>
      </c>
      <c r="E66" s="48" t="n">
        <f aca="false">IF(OR(NOT(ISNUMBER(E18)),NOT(ISNUMBER(E42))),"",E18-E42)</f>
        <v>1849944.88735903</v>
      </c>
      <c r="F66" s="48" t="n">
        <f aca="false">IF(OR(NOT(ISNUMBER(F18)),NOT(ISNUMBER(F42))),"",F18-F42)</f>
        <v>105953.444395644</v>
      </c>
      <c r="G66" s="48" t="n">
        <f aca="false">IF(OR(NOT(ISNUMBER(G18)),NOT(ISNUMBER(G42))),"",G18-G42)</f>
        <v>219020.930632423</v>
      </c>
      <c r="H66" s="48" t="n">
        <f aca="false">IF(OR(NOT(ISNUMBER(H18)),NOT(ISNUMBER(H42))),"",H18-H42)</f>
        <v>532446.069933313</v>
      </c>
      <c r="I66" s="48" t="n">
        <f aca="false">IF(OR(NOT(ISNUMBER(I18)),NOT(ISNUMBER(I42))),"",I18-I42)</f>
        <v>22054.5477058599</v>
      </c>
      <c r="J66" s="48" t="n">
        <f aca="false">IF(OR(NOT(ISNUMBER(J18)),NOT(ISNUMBER(J42))),"",J18-J42)</f>
        <v>21470.8564685965</v>
      </c>
      <c r="K66" s="48" t="n">
        <f aca="false">IF(OR(NOT(ISNUMBER(K18)),NOT(ISNUMBER(K42))),"",K18-K42)</f>
        <v>21633.8932247814</v>
      </c>
      <c r="L66" s="48" t="n">
        <f aca="false">IF(OR(NOT(ISNUMBER(L18)),NOT(ISNUMBER(L42))),"",L18-L42)</f>
        <v>21797.2176945182</v>
      </c>
      <c r="M66" s="48" t="n">
        <f aca="false">IF(OR(NOT(ISNUMBER(M18)),NOT(ISNUMBER(M42))),"",M18-M42)</f>
        <v>21959.851949336</v>
      </c>
      <c r="N66" s="48" t="n">
        <f aca="false">IF(OR(NOT(ISNUMBER(N18)),NOT(ISNUMBER(N42))),"",N18-N42)</f>
        <v>39204.8179587778</v>
      </c>
      <c r="O66" s="54" t="n">
        <f aca="false">IF(OR(NOT(ISNUMBER(O18)),NOT(ISNUMBER(O42))),"",O18-O42)</f>
        <v>518943.51732228</v>
      </c>
      <c r="P66" s="11" t="str">
        <f aca="false">IF(COUNT(D66:N66)=0,"",IF(AND(MAX(D66:N66)&lt;2,MIN(D66:N66)&gt;-2),"Sin diferencia","Calendario del capital de trabajo: el plan financia en el año 0 el capital del año 1; el modelo lo forma mes a mes."))</f>
        <v>Calendario del capital de trabajo: el plan financia en el año 0 el capital del año 1; el modelo lo forma mes a mes.</v>
      </c>
    </row>
    <row r="67" customFormat="false" ht="15" hidden="false" customHeight="false" outlineLevel="0" collapsed="false">
      <c r="A67" s="11" t="s">
        <v>2790</v>
      </c>
      <c r="B67" s="15" t="s">
        <v>2791</v>
      </c>
      <c r="C67" s="11" t="s">
        <v>508</v>
      </c>
      <c r="D67" s="48" t="n">
        <f aca="false">IF(OR(NOT(ISNUMBER(D19)),NOT(ISNUMBER(D43))),"",D19-D43)</f>
        <v>0</v>
      </c>
      <c r="E67" s="48" t="n">
        <f aca="false">IF(OR(NOT(ISNUMBER(E19)),NOT(ISNUMBER(E43))),"",E19-E43)</f>
        <v>0.352358103409642</v>
      </c>
      <c r="F67" s="48" t="n">
        <f aca="false">IF(OR(NOT(ISNUMBER(F19)),NOT(ISNUMBER(F43))),"",F19-F43)</f>
        <v>-0.388246885035187</v>
      </c>
      <c r="G67" s="48" t="n">
        <f aca="false">IF(OR(NOT(ISNUMBER(G19)),NOT(ISNUMBER(G43))),"",G19-G43)</f>
        <v>-0.0417193534085527</v>
      </c>
      <c r="H67" s="48" t="n">
        <f aca="false">IF(OR(NOT(ISNUMBER(H19)),NOT(ISNUMBER(H43))),"",H19-H43)</f>
        <v>0.122048566234298</v>
      </c>
      <c r="I67" s="48" t="n">
        <f aca="false">IF(OR(NOT(ISNUMBER(I19)),NOT(ISNUMBER(I43))),"",I19-I43)</f>
        <v>-0.044440429774113</v>
      </c>
      <c r="J67" s="48" t="n">
        <f aca="false">IF(OR(NOT(ISNUMBER(J19)),NOT(ISNUMBER(J43))),"",J19-J43)</f>
        <v>0</v>
      </c>
      <c r="K67" s="48" t="n">
        <f aca="false">IF(OR(NOT(ISNUMBER(K19)),NOT(ISNUMBER(K43))),"",K19-K43)</f>
        <v>0</v>
      </c>
      <c r="L67" s="48" t="n">
        <f aca="false">IF(OR(NOT(ISNUMBER(L19)),NOT(ISNUMBER(L43))),"",L19-L43)</f>
        <v>0</v>
      </c>
      <c r="M67" s="48" t="n">
        <f aca="false">IF(OR(NOT(ISNUMBER(M19)),NOT(ISNUMBER(M43))),"",M19-M43)</f>
        <v>0</v>
      </c>
      <c r="N67" s="48" t="n">
        <f aca="false">IF(OR(NOT(ISNUMBER(N19)),NOT(ISNUMBER(N43))),"",N19-N43)</f>
        <v>0</v>
      </c>
      <c r="O67" s="54" t="n">
        <f aca="false">IF(OR(NOT(ISNUMBER(O19)),NOT(ISNUMBER(O43))),"",O19-O43)</f>
        <v>0</v>
      </c>
      <c r="P67" s="11" t="str">
        <f aca="false">IF(COUNT(D67:N67)=0,"",IF(AND(MAX(D67:N67)&lt;2,MIN(D67:N67)&gt;-2),"Sin diferencia","Diferencia a explicar"))</f>
        <v>Sin diferencia</v>
      </c>
    </row>
    <row r="68" customFormat="false" ht="15" hidden="false" customHeight="false" outlineLevel="0" collapsed="false">
      <c r="A68" s="11" t="s">
        <v>2792</v>
      </c>
      <c r="B68" s="15" t="s">
        <v>2793</v>
      </c>
      <c r="C68" s="11" t="s">
        <v>508</v>
      </c>
      <c r="D68" s="48" t="n">
        <f aca="false">IF(OR(NOT(ISNUMBER(D20)),NOT(ISNUMBER(D44))),"",D20-D44)</f>
        <v>0</v>
      </c>
      <c r="E68" s="48" t="n">
        <f aca="false">IF(OR(NOT(ISNUMBER(E20)),NOT(ISNUMBER(E44))),"",E20-E44)</f>
        <v>0</v>
      </c>
      <c r="F68" s="48" t="n">
        <f aca="false">IF(OR(NOT(ISNUMBER(F20)),NOT(ISNUMBER(F44))),"",F20-F44)</f>
        <v>0</v>
      </c>
      <c r="G68" s="48" t="n">
        <f aca="false">IF(OR(NOT(ISNUMBER(G20)),NOT(ISNUMBER(G44))),"",G20-G44)</f>
        <v>0</v>
      </c>
      <c r="H68" s="48" t="n">
        <f aca="false">IF(OR(NOT(ISNUMBER(H20)),NOT(ISNUMBER(H44))),"",H20-H44)</f>
        <v>0</v>
      </c>
      <c r="I68" s="48" t="n">
        <f aca="false">IF(OR(NOT(ISNUMBER(I20)),NOT(ISNUMBER(I44))),"",I20-I44)</f>
        <v>0</v>
      </c>
      <c r="J68" s="48" t="n">
        <f aca="false">IF(OR(NOT(ISNUMBER(J20)),NOT(ISNUMBER(J44))),"",J20-J44)</f>
        <v>0</v>
      </c>
      <c r="K68" s="48" t="n">
        <f aca="false">IF(OR(NOT(ISNUMBER(K20)),NOT(ISNUMBER(K44))),"",K20-K44)</f>
        <v>0</v>
      </c>
      <c r="L68" s="48" t="n">
        <f aca="false">IF(OR(NOT(ISNUMBER(L20)),NOT(ISNUMBER(L44))),"",L20-L44)</f>
        <v>0</v>
      </c>
      <c r="M68" s="48" t="n">
        <f aca="false">IF(OR(NOT(ISNUMBER(M20)),NOT(ISNUMBER(M44))),"",M20-M44)</f>
        <v>0</v>
      </c>
      <c r="N68" s="48" t="n">
        <f aca="false">IF(OR(NOT(ISNUMBER(N20)),NOT(ISNUMBER(N44))),"",N20-N44)</f>
        <v>0</v>
      </c>
      <c r="O68" s="54" t="n">
        <f aca="false">IF(OR(NOT(ISNUMBER(O20)),NOT(ISNUMBER(O44))),"",O20-O44)</f>
        <v>0</v>
      </c>
      <c r="P68" s="11" t="str">
        <f aca="false">IF(COUNT(D68:N68)=0,"",IF(AND(MAX(D68:N68)&lt;2,MIN(D68:N68)&gt;-2),"Sin diferencia","Diferencia a explicar"))</f>
        <v>Sin diferencia</v>
      </c>
    </row>
    <row r="69" customFormat="false" ht="15" hidden="false" customHeight="false" outlineLevel="0" collapsed="false">
      <c r="A69" s="11" t="s">
        <v>2794</v>
      </c>
      <c r="B69" s="15" t="s">
        <v>2613</v>
      </c>
      <c r="C69" s="11" t="s">
        <v>508</v>
      </c>
      <c r="D69" s="48" t="n">
        <f aca="false">IF(OR(NOT(ISNUMBER(D21)),NOT(ISNUMBER(D45))),"",D21-D45)</f>
        <v>0</v>
      </c>
      <c r="E69" s="48" t="n">
        <f aca="false">IF(OR(NOT(ISNUMBER(E21)),NOT(ISNUMBER(E45))),"",E21-E45)</f>
        <v>-0.0675689744530246</v>
      </c>
      <c r="F69" s="48" t="n">
        <f aca="false">IF(OR(NOT(ISNUMBER(F21)),NOT(ISNUMBER(F45))),"",F21-F45)</f>
        <v>0.254121452046093</v>
      </c>
      <c r="G69" s="48" t="n">
        <f aca="false">IF(OR(NOT(ISNUMBER(G21)),NOT(ISNUMBER(G45))),"",G21-G45)</f>
        <v>-0.0270588327257428</v>
      </c>
      <c r="H69" s="48" t="n">
        <f aca="false">IF(OR(NOT(ISNUMBER(H21)),NOT(ISNUMBER(H45))),"",H21-H45)</f>
        <v>-0.00720354440272786</v>
      </c>
      <c r="I69" s="48" t="n">
        <f aca="false">IF(OR(NOT(ISNUMBER(I21)),NOT(ISNUMBER(I45))),"",I21-I45)</f>
        <v>-0.0240656469031819</v>
      </c>
      <c r="J69" s="48" t="n">
        <f aca="false">IF(OR(NOT(ISNUMBER(J21)),NOT(ISNUMBER(J45))),"",J21-J45)</f>
        <v>0</v>
      </c>
      <c r="K69" s="48" t="n">
        <f aca="false">IF(OR(NOT(ISNUMBER(K21)),NOT(ISNUMBER(K45))),"",K21-K45)</f>
        <v>0</v>
      </c>
      <c r="L69" s="48" t="n">
        <f aca="false">IF(OR(NOT(ISNUMBER(L21)),NOT(ISNUMBER(L45))),"",L21-L45)</f>
        <v>0</v>
      </c>
      <c r="M69" s="48" t="n">
        <f aca="false">IF(OR(NOT(ISNUMBER(M21)),NOT(ISNUMBER(M45))),"",M21-M45)</f>
        <v>0</v>
      </c>
      <c r="N69" s="48" t="n">
        <f aca="false">IF(OR(NOT(ISNUMBER(N21)),NOT(ISNUMBER(N45))),"",N21-N45)</f>
        <v>0</v>
      </c>
      <c r="O69" s="54" t="n">
        <f aca="false">IF(OR(NOT(ISNUMBER(O21)),NOT(ISNUMBER(O45))),"",O21-O45)</f>
        <v>0.128224453539588</v>
      </c>
      <c r="P69" s="11" t="str">
        <f aca="false">IF(COUNT(D69:N69)=0,"",IF(AND(MAX(D69:N69)&lt;2,MIN(D69:N69)&gt;-2),"Sin diferencia","Diferencia a explicar"))</f>
        <v>Sin diferencia</v>
      </c>
    </row>
    <row r="70" customFormat="false" ht="15" hidden="false" customHeight="false" outlineLevel="0" collapsed="false">
      <c r="A70" s="11" t="s">
        <v>2795</v>
      </c>
      <c r="B70" s="15" t="s">
        <v>2696</v>
      </c>
      <c r="C70" s="11" t="s">
        <v>508</v>
      </c>
      <c r="D70" s="48" t="n">
        <f aca="false">IF(OR(NOT(ISNUMBER(D22)),NOT(ISNUMBER(D46))),"",D22-D46)</f>
        <v>0</v>
      </c>
      <c r="E70" s="48" t="n">
        <f aca="false">IF(OR(NOT(ISNUMBER(E22)),NOT(ISNUMBER(E46))),"",E22-E46)</f>
        <v>0</v>
      </c>
      <c r="F70" s="48" t="n">
        <f aca="false">IF(OR(NOT(ISNUMBER(F22)),NOT(ISNUMBER(F46))),"",F22-F46)</f>
        <v>0</v>
      </c>
      <c r="G70" s="48" t="n">
        <f aca="false">IF(OR(NOT(ISNUMBER(G22)),NOT(ISNUMBER(G46))),"",G22-G46)</f>
        <v>0</v>
      </c>
      <c r="H70" s="48" t="n">
        <f aca="false">IF(OR(NOT(ISNUMBER(H22)),NOT(ISNUMBER(H46))),"",H22-H46)</f>
        <v>0</v>
      </c>
      <c r="I70" s="48" t="n">
        <f aca="false">IF(OR(NOT(ISNUMBER(I22)),NOT(ISNUMBER(I46))),"",I22-I46)</f>
        <v>0</v>
      </c>
      <c r="J70" s="48" t="n">
        <f aca="false">IF(OR(NOT(ISNUMBER(J22)),NOT(ISNUMBER(J46))),"",J22-J46)</f>
        <v>0</v>
      </c>
      <c r="K70" s="48" t="n">
        <f aca="false">IF(OR(NOT(ISNUMBER(K22)),NOT(ISNUMBER(K46))),"",K22-K46)</f>
        <v>0</v>
      </c>
      <c r="L70" s="48" t="n">
        <f aca="false">IF(OR(NOT(ISNUMBER(L22)),NOT(ISNUMBER(L46))),"",L22-L46)</f>
        <v>0</v>
      </c>
      <c r="M70" s="48" t="n">
        <f aca="false">IF(OR(NOT(ISNUMBER(M22)),NOT(ISNUMBER(M46))),"",M22-M46)</f>
        <v>0</v>
      </c>
      <c r="N70" s="48" t="n">
        <f aca="false">IF(OR(NOT(ISNUMBER(N22)),NOT(ISNUMBER(N46))),"",N22-N46)</f>
        <v>0</v>
      </c>
      <c r="O70" s="54" t="n">
        <f aca="false">IF(OR(NOT(ISNUMBER(O22)),NOT(ISNUMBER(O46))),"",O22-O46)</f>
        <v>0</v>
      </c>
      <c r="P70" s="11" t="str">
        <f aca="false">IF(COUNT(D70:N70)=0,"",IF(AND(MAX(D70:N70)&lt;2,MIN(D70:N70)&gt;-2),"Sin diferencia","Diferencia a explicar"))</f>
        <v>Sin diferencia</v>
      </c>
    </row>
    <row r="71" customFormat="false" ht="15" hidden="false" customHeight="false" outlineLevel="0" collapsed="false">
      <c r="A71" s="11" t="s">
        <v>2796</v>
      </c>
      <c r="B71" s="15" t="s">
        <v>2797</v>
      </c>
      <c r="C71" s="11" t="s">
        <v>508</v>
      </c>
      <c r="D71" s="48" t="n">
        <f aca="false">IF(OR(NOT(ISNUMBER(D23)),NOT(ISNUMBER(D47))),"",D23-D47)</f>
        <v>0</v>
      </c>
      <c r="E71" s="48" t="n">
        <f aca="false">IF(OR(NOT(ISNUMBER(E23)),NOT(ISNUMBER(E47))),"",E23-E47)</f>
        <v>0</v>
      </c>
      <c r="F71" s="48" t="n">
        <f aca="false">IF(OR(NOT(ISNUMBER(F23)),NOT(ISNUMBER(F47))),"",F23-F47)</f>
        <v>0</v>
      </c>
      <c r="G71" s="48" t="n">
        <f aca="false">IF(OR(NOT(ISNUMBER(G23)),NOT(ISNUMBER(G47))),"",G23-G47)</f>
        <v>0</v>
      </c>
      <c r="H71" s="48" t="n">
        <f aca="false">IF(OR(NOT(ISNUMBER(H23)),NOT(ISNUMBER(H47))),"",H23-H47)</f>
        <v>-371625</v>
      </c>
      <c r="I71" s="48" t="n">
        <f aca="false">IF(OR(NOT(ISNUMBER(I23)),NOT(ISNUMBER(I47))),"",I23-I47)</f>
        <v>-48791.6216190779</v>
      </c>
      <c r="J71" s="48" t="n">
        <f aca="false">IF(OR(NOT(ISNUMBER(J23)),NOT(ISNUMBER(J47))),"",J23-J47)</f>
        <v>-340079.455631779</v>
      </c>
      <c r="K71" s="48" t="n">
        <f aca="false">IF(OR(NOT(ISNUMBER(K23)),NOT(ISNUMBER(K47))),"",K23-K47)</f>
        <v>-108218.307426086</v>
      </c>
      <c r="L71" s="48" t="n">
        <f aca="false">IF(OR(NOT(ISNUMBER(L23)),NOT(ISNUMBER(L47))),"",L23-L47)</f>
        <v>-130664.339127202</v>
      </c>
      <c r="M71" s="48" t="n">
        <f aca="false">IF(OR(NOT(ISNUMBER(M23)),NOT(ISNUMBER(M47))),"",M23-M47)</f>
        <v>-141050.78644455</v>
      </c>
      <c r="N71" s="48" t="n">
        <f aca="false">IF(OR(NOT(ISNUMBER(N23)),NOT(ISNUMBER(N47))),"",N23-N47)</f>
        <v>-151553.85321311</v>
      </c>
      <c r="O71" s="54" t="n">
        <f aca="false">IF(OR(NOT(ISNUMBER(O23)),NOT(ISNUMBER(O47))),"",O23-O47)</f>
        <v>-1291983.3634618</v>
      </c>
      <c r="P71" s="11" t="str">
        <f aca="false">IF(COUNT(D71:N71)=0,"",IF(AND(MAX(D71:N71)&lt;2,MIN(D71:N71)&gt;-2),"Sin diferencia","Dividendos: el modelo paga solo con caja sobre el mínimo; el plan paga sin esa restricción."))</f>
        <v>Dividendos: el modelo paga solo con caja sobre el mínimo; el plan paga sin esa restricción.</v>
      </c>
    </row>
    <row r="72" customFormat="false" ht="15" hidden="false" customHeight="false" outlineLevel="0" collapsed="false">
      <c r="A72" s="13"/>
      <c r="B72" s="100" t="s">
        <v>2798</v>
      </c>
      <c r="C72" s="13"/>
      <c r="D72" s="13"/>
      <c r="E72" s="13"/>
      <c r="F72" s="13"/>
      <c r="G72" s="13"/>
      <c r="H72" s="13"/>
      <c r="I72" s="13"/>
      <c r="J72" s="13"/>
      <c r="K72" s="13"/>
      <c r="L72" s="13"/>
      <c r="M72" s="13"/>
      <c r="N72" s="13"/>
      <c r="O72" s="13"/>
      <c r="P72" s="13"/>
    </row>
    <row r="73" customFormat="false" ht="15" hidden="false" customHeight="false" outlineLevel="0" collapsed="false">
      <c r="A73" s="11" t="s">
        <v>2799</v>
      </c>
      <c r="B73" s="15" t="s">
        <v>2800</v>
      </c>
      <c r="C73" s="11" t="s">
        <v>508</v>
      </c>
      <c r="D73" s="48"/>
      <c r="E73" s="48"/>
      <c r="F73" s="48"/>
      <c r="G73" s="48"/>
      <c r="H73" s="48"/>
      <c r="I73" s="48"/>
      <c r="J73" s="48"/>
      <c r="K73" s="48"/>
      <c r="L73" s="48"/>
      <c r="M73" s="48"/>
      <c r="N73" s="48"/>
    </row>
    <row r="74" customFormat="false" ht="15" hidden="false" customHeight="false" outlineLevel="0" collapsed="false">
      <c r="A74" s="11" t="s">
        <v>2801</v>
      </c>
      <c r="B74" s="67" t="s">
        <v>2802</v>
      </c>
      <c r="C74" s="11" t="s">
        <v>508</v>
      </c>
      <c r="D74" s="54" t="n">
        <f aca="false">IF(OR(NOT(ISNUMBER(D26)),NOT(ISNUMBER(D50))),"",D26-D50)</f>
        <v>0</v>
      </c>
      <c r="E74" s="54" t="n">
        <f aca="false">IF(OR(NOT(ISNUMBER(E26)),NOT(ISNUMBER(E50))),"",E26-E50)</f>
        <v>423543.743558918</v>
      </c>
      <c r="F74" s="54" t="n">
        <f aca="false">IF(OR(NOT(ISNUMBER(F26)),NOT(ISNUMBER(F50))),"",F26-F50)</f>
        <v>254537.269216285</v>
      </c>
      <c r="G74" s="54" t="n">
        <f aca="false">IF(OR(NOT(ISNUMBER(G26)),NOT(ISNUMBER(G50))),"",G26-G50)</f>
        <v>-39222.2222564549</v>
      </c>
      <c r="H74" s="54" t="n">
        <f aca="false">IF(OR(NOT(ISNUMBER(H26)),NOT(ISNUMBER(H50))),"",H26-H50)</f>
        <v>-287627.448476489</v>
      </c>
      <c r="I74" s="54" t="n">
        <f aca="false">IF(OR(NOT(ISNUMBER(I26)),NOT(ISNUMBER(I50))),"",I26-I50)</f>
        <v>-361127.327540709</v>
      </c>
      <c r="J74" s="54" t="n">
        <f aca="false">IF(OR(NOT(ISNUMBER(J26)),NOT(ISNUMBER(J50))),"",J26-J50)</f>
        <v>-152913.426803613</v>
      </c>
      <c r="K74" s="54" t="n">
        <f aca="false">IF(OR(NOT(ISNUMBER(K26)),NOT(ISNUMBER(K50))),"",K26-K50)</f>
        <v>-186994.74272951</v>
      </c>
      <c r="L74" s="54" t="n">
        <f aca="false">IF(OR(NOT(ISNUMBER(L26)),NOT(ISNUMBER(L50))),"",L26-L50)</f>
        <v>-209176.798741377</v>
      </c>
      <c r="M74" s="54" t="n">
        <f aca="false">IF(OR(NOT(ISNUMBER(M26)),NOT(ISNUMBER(M50))),"",M26-M50)</f>
        <v>-231641.108459272</v>
      </c>
      <c r="N74" s="54" t="n">
        <f aca="false">IF(OR(NOT(ISNUMBER(N26)),NOT(ISNUMBER(N50))),"",N26-N50)</f>
        <v>-271467.355823905</v>
      </c>
      <c r="P74" s="11" t="str">
        <f aca="false">IF(COUNT(D74:N74)=0,"",IF(AND(MAX(D74:N74)&lt;2,MIN(D74:N74)&gt;-2),"Sin diferencia","Suma de las diferencias anteriores."))</f>
        <v>Suma de las diferencias anteriores.</v>
      </c>
    </row>
    <row r="75" customFormat="false" ht="15" hidden="false" customHeight="false" outlineLevel="0" collapsed="false">
      <c r="A75" s="11" t="s">
        <v>2803</v>
      </c>
      <c r="B75" s="15" t="s">
        <v>2804</v>
      </c>
      <c r="C75" s="11" t="s">
        <v>508</v>
      </c>
      <c r="D75" s="50"/>
      <c r="E75" s="50"/>
      <c r="F75" s="50"/>
      <c r="G75" s="50"/>
      <c r="H75" s="50"/>
      <c r="I75" s="50"/>
      <c r="J75" s="50"/>
      <c r="K75" s="50"/>
      <c r="L75" s="50"/>
      <c r="M75" s="50"/>
      <c r="N75" s="50"/>
    </row>
    <row r="77" customFormat="false" ht="15" hidden="false" customHeight="false" outlineLevel="0" collapsed="false">
      <c r="A77" s="12" t="s">
        <v>240</v>
      </c>
      <c r="B77" s="13"/>
      <c r="C77" s="13"/>
      <c r="D77" s="13"/>
      <c r="E77" s="13"/>
      <c r="F77" s="13"/>
      <c r="G77" s="13"/>
      <c r="H77" s="13"/>
      <c r="I77" s="13"/>
      <c r="J77" s="13"/>
      <c r="K77" s="13"/>
      <c r="L77" s="13"/>
      <c r="M77" s="13"/>
      <c r="N77" s="13"/>
      <c r="O77" s="13"/>
    </row>
    <row r="78" customFormat="false" ht="15" hidden="false" customHeight="false" outlineLevel="0" collapsed="false">
      <c r="B78" s="11" t="s">
        <v>2805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2806</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cuadros 19 y siguientes, pág. 27-28"</f>
        <v>Plan de referencia: Plan CIE–PERG Oct-2025 — cuadros 19 y siguientes, pág. 27-28</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2807</v>
      </c>
      <c r="C8" s="13"/>
      <c r="D8" s="13"/>
      <c r="E8" s="13"/>
      <c r="F8" s="13"/>
      <c r="G8" s="13"/>
      <c r="H8" s="13"/>
      <c r="I8" s="13"/>
      <c r="J8" s="13"/>
      <c r="K8" s="13"/>
      <c r="L8" s="13"/>
      <c r="M8" s="13"/>
      <c r="N8" s="13"/>
      <c r="O8" s="13"/>
    </row>
    <row r="9" customFormat="false" ht="15" hidden="false" customHeight="false" outlineLevel="0" collapsed="false">
      <c r="A9" s="11" t="s">
        <v>2808</v>
      </c>
      <c r="B9" s="15" t="s">
        <v>2775</v>
      </c>
      <c r="C9" s="11" t="s">
        <v>508</v>
      </c>
      <c r="D9" s="48" t="n">
        <f aca="false">IF(cu_P=1,SUMIFS(Calculo!$F$102:$ES$102,Calculo!$F$16:$ES$16,1),SUMIFS(Calculo!$F$258:$ES$258,Calculo!$F$172:$ES$172,1))</f>
        <v>0</v>
      </c>
      <c r="E9" s="48" t="n">
        <f aca="false">IF(cu_P=1,SUMIFS(Calculo!$F$102:$ES$102,Calculo!$F$14:$ES$14,1),SUMIFS(Calculo!$F$258:$ES$258,Calculo!$F$170:$ES$170,1))</f>
        <v>509970.005707077</v>
      </c>
      <c r="F9" s="48" t="n">
        <f aca="false">IF(cu_P=1,SUMIFS(Calculo!$F$102:$ES$102,Calculo!$F$14:$ES$14,2),SUMIFS(Calculo!$F$258:$ES$258,Calculo!$F$170:$ES$170,2))</f>
        <v>965956.835927578</v>
      </c>
      <c r="G9" s="48" t="n">
        <f aca="false">IF(cu_P=1,SUMIFS(Calculo!$F$102:$ES$102,Calculo!$F$14:$ES$14,3),SUMIFS(Calculo!$F$258:$ES$258,Calculo!$F$170:$ES$170,3))</f>
        <v>1405020.3703815</v>
      </c>
      <c r="H9" s="48" t="n">
        <f aca="false">IF(cu_P=1,SUMIFS(Calculo!$F$102:$ES$102,Calculo!$F$14:$ES$14,4),SUMIFS(Calculo!$F$258:$ES$258,Calculo!$F$170:$ES$170,4))</f>
        <v>1798722.9585583</v>
      </c>
      <c r="I9" s="48" t="n">
        <f aca="false">IF(cu_P=1,SUMIFS(Calculo!$F$102:$ES$102,Calculo!$F$14:$ES$14,5),SUMIFS(Calculo!$F$258:$ES$258,Calculo!$F$170:$ES$170,5))</f>
        <v>1814557.97851649</v>
      </c>
      <c r="J9" s="48" t="n">
        <f aca="false">IF(cu_P=1,SUMIFS(Calculo!$F$102:$ES$102,Calculo!$F$14:$ES$14,6),SUMIFS(Calculo!$F$258:$ES$258,Calculo!$F$170:$ES$170,6))</f>
        <v>1863605.30157391</v>
      </c>
      <c r="K9" s="48" t="n">
        <f aca="false">IF(cu_P=1,SUMIFS(Calculo!$F$102:$ES$102,Calculo!$F$14:$ES$14,7),SUMIFS(Calculo!$F$258:$ES$258,Calculo!$F$170:$ES$170,7))</f>
        <v>1912992.2698728</v>
      </c>
      <c r="L9" s="48" t="n">
        <f aca="false">IF(cu_P=1,SUMIFS(Calculo!$F$102:$ES$102,Calculo!$F$14:$ES$14,8),SUMIFS(Calculo!$F$258:$ES$258,Calculo!$F$170:$ES$170,8))</f>
        <v>1962717.82255545</v>
      </c>
      <c r="M9" s="48" t="n">
        <f aca="false">IF(cu_P=1,SUMIFS(Calculo!$F$102:$ES$102,Calculo!$F$14:$ES$14,9),SUMIFS(Calculo!$F$258:$ES$258,Calculo!$F$170:$ES$170,9))</f>
        <v>2012780.75578689</v>
      </c>
      <c r="N9" s="48" t="n">
        <f aca="false">IF(cu_P=1,SUMIFS(Calculo!$F$102:$ES$102,Calculo!$F$14:$ES$14,10),SUMIFS(Calculo!$F$258:$ES$258,Calculo!$F$170:$ES$170,10))</f>
        <v>2063179.71738103</v>
      </c>
      <c r="O9" s="54" t="n">
        <f aca="false">SUM(D9:N9)</f>
        <v>16309504.016261</v>
      </c>
    </row>
    <row r="10" customFormat="false" ht="15" hidden="false" customHeight="false" outlineLevel="0" collapsed="false">
      <c r="A10" s="11" t="s">
        <v>2809</v>
      </c>
      <c r="B10" s="15" t="s">
        <v>2810</v>
      </c>
      <c r="C10" s="11" t="s">
        <v>508</v>
      </c>
      <c r="D10" s="48" t="n">
        <f aca="false">IF(cu_P=1,-SUMIFS(Calculo!$F$106:$ES$106,Calculo!$F$16:$ES$16,1),-SUMIFS(Calculo!$F$262:$ES$262,Calculo!$F$172:$ES$172,1))</f>
        <v>-0</v>
      </c>
      <c r="E10" s="48" t="n">
        <f aca="false">IF(cu_P=1,-SUMIFS(Calculo!$F$106:$ES$106,Calculo!$F$14:$ES$14,1),-SUMIFS(Calculo!$F$262:$ES$262,Calculo!$F$170:$ES$170,1))</f>
        <v>-0</v>
      </c>
      <c r="F10" s="48" t="n">
        <f aca="false">IF(cu_P=1,-SUMIFS(Calculo!$F$106:$ES$106,Calculo!$F$14:$ES$14,2),-SUMIFS(Calculo!$F$262:$ES$262,Calculo!$F$170:$ES$170,2))</f>
        <v>-0</v>
      </c>
      <c r="G10" s="48" t="n">
        <f aca="false">IF(cu_P=1,-SUMIFS(Calculo!$F$106:$ES$106,Calculo!$F$14:$ES$14,3),-SUMIFS(Calculo!$F$262:$ES$262,Calculo!$F$170:$ES$170,3))</f>
        <v>-0</v>
      </c>
      <c r="H10" s="48" t="n">
        <f aca="false">IF(cu_P=1,-SUMIFS(Calculo!$F$106:$ES$106,Calculo!$F$14:$ES$14,4),-SUMIFS(Calculo!$F$262:$ES$262,Calculo!$F$170:$ES$170,4))</f>
        <v>-0</v>
      </c>
      <c r="I10" s="48" t="n">
        <f aca="false">IF(cu_P=1,-SUMIFS(Calculo!$F$106:$ES$106,Calculo!$F$14:$ES$14,5),-SUMIFS(Calculo!$F$262:$ES$262,Calculo!$F$170:$ES$170,5))</f>
        <v>-0</v>
      </c>
      <c r="J10" s="48" t="n">
        <f aca="false">IF(cu_P=1,-SUMIFS(Calculo!$F$106:$ES$106,Calculo!$F$14:$ES$14,6),-SUMIFS(Calculo!$F$262:$ES$262,Calculo!$F$170:$ES$170,6))</f>
        <v>-0</v>
      </c>
      <c r="K10" s="48" t="n">
        <f aca="false">IF(cu_P=1,-SUMIFS(Calculo!$F$106:$ES$106,Calculo!$F$14:$ES$14,7),-SUMIFS(Calculo!$F$262:$ES$262,Calculo!$F$170:$ES$170,7))</f>
        <v>-0</v>
      </c>
      <c r="L10" s="48" t="n">
        <f aca="false">IF(cu_P=1,-SUMIFS(Calculo!$F$106:$ES$106,Calculo!$F$14:$ES$14,8),-SUMIFS(Calculo!$F$262:$ES$262,Calculo!$F$170:$ES$170,8))</f>
        <v>-0</v>
      </c>
      <c r="M10" s="48" t="n">
        <f aca="false">IF(cu_P=1,-SUMIFS(Calculo!$F$106:$ES$106,Calculo!$F$14:$ES$14,9),-SUMIFS(Calculo!$F$262:$ES$262,Calculo!$F$170:$ES$170,9))</f>
        <v>-0</v>
      </c>
      <c r="N10" s="48" t="n">
        <f aca="false">IF(cu_P=1,-SUMIFS(Calculo!$F$106:$ES$106,Calculo!$F$14:$ES$14,10),-SUMIFS(Calculo!$F$262:$ES$262,Calculo!$F$170:$ES$170,10))</f>
        <v>-0</v>
      </c>
      <c r="O10" s="54" t="n">
        <f aca="false">SUM(D10:N10)</f>
        <v>0</v>
      </c>
    </row>
    <row r="11" customFormat="false" ht="15" hidden="false" customHeight="false" outlineLevel="0" collapsed="false">
      <c r="A11" s="11" t="s">
        <v>2811</v>
      </c>
      <c r="B11" s="15" t="s">
        <v>2812</v>
      </c>
      <c r="C11" s="11" t="s">
        <v>508</v>
      </c>
      <c r="D11" s="48" t="n">
        <f aca="false">IF(cu_P=1,-SUMIFS(Calculo!$F$114:$ES$114,Calculo!$F$16:$ES$16,1),-SUMIFS(Calculo!$F$270:$ES$270,Calculo!$F$172:$ES$172,1))</f>
        <v>-0</v>
      </c>
      <c r="E11" s="48" t="n">
        <f aca="false">IF(cu_P=1,-SUMIFS(Calculo!$F$114:$ES$114,Calculo!$F$14:$ES$14,1),-SUMIFS(Calculo!$F$270:$ES$270,Calculo!$F$170:$ES$170,1))</f>
        <v>-2388063.88735903</v>
      </c>
      <c r="F11" s="48" t="n">
        <f aca="false">IF(cu_P=1,-SUMIFS(Calculo!$F$114:$ES$114,Calculo!$F$14:$ES$14,2),-SUMIFS(Calculo!$F$270:$ES$270,Calculo!$F$170:$ES$170,2))</f>
        <v>-655145.444395644</v>
      </c>
      <c r="G11" s="48" t="n">
        <f aca="false">IF(cu_P=1,-SUMIFS(Calculo!$F$114:$ES$114,Calculo!$F$14:$ES$14,3),-SUMIFS(Calculo!$F$270:$ES$270,Calculo!$F$170:$ES$170,3))</f>
        <v>-667326.930632423</v>
      </c>
      <c r="H11" s="48" t="n">
        <f aca="false">IF(cu_P=1,-SUMIFS(Calculo!$F$114:$ES$114,Calculo!$F$14:$ES$14,4),-SUMIFS(Calculo!$F$270:$ES$270,Calculo!$F$170:$ES$170,4))</f>
        <v>-558809.069933313</v>
      </c>
      <c r="I11" s="48" t="n">
        <f aca="false">IF(cu_P=1,-SUMIFS(Calculo!$F$114:$ES$114,Calculo!$F$14:$ES$14,5),-SUMIFS(Calculo!$F$270:$ES$270,Calculo!$F$170:$ES$170,5))</f>
        <v>-38109.5477058599</v>
      </c>
      <c r="J11" s="48" t="n">
        <f aca="false">IF(cu_P=1,-SUMIFS(Calculo!$F$114:$ES$114,Calculo!$F$14:$ES$14,6),-SUMIFS(Calculo!$F$270:$ES$270,Calculo!$F$170:$ES$170,6))</f>
        <v>-37724.8564685965</v>
      </c>
      <c r="K11" s="48" t="n">
        <f aca="false">IF(cu_P=1,-SUMIFS(Calculo!$F$114:$ES$114,Calculo!$F$14:$ES$14,7),-SUMIFS(Calculo!$F$270:$ES$270,Calculo!$F$170:$ES$170,7))</f>
        <v>-38089.8932247814</v>
      </c>
      <c r="L11" s="48" t="n">
        <f aca="false">IF(cu_P=1,-SUMIFS(Calculo!$F$114:$ES$114,Calculo!$F$14:$ES$14,8),-SUMIFS(Calculo!$F$270:$ES$270,Calculo!$F$170:$ES$170,8))</f>
        <v>-38458.2176945182</v>
      </c>
      <c r="M11" s="48" t="n">
        <f aca="false">IF(cu_P=1,-SUMIFS(Calculo!$F$114:$ES$114,Calculo!$F$14:$ES$14,9),-SUMIFS(Calculo!$F$270:$ES$270,Calculo!$F$170:$ES$170,9))</f>
        <v>-38829.851949336</v>
      </c>
      <c r="N11" s="48" t="n">
        <f aca="false">IF(cu_P=1,-SUMIFS(Calculo!$F$114:$ES$114,Calculo!$F$14:$ES$14,10),-SUMIFS(Calculo!$F$270:$ES$270,Calculo!$F$170:$ES$170,10))</f>
        <v>-39204.8179587778</v>
      </c>
      <c r="O11" s="54" t="n">
        <f aca="false">SUM(D11:N11)</f>
        <v>-4499762.51732228</v>
      </c>
    </row>
    <row r="12" customFormat="false" ht="15" hidden="false" customHeight="false" outlineLevel="0" collapsed="false">
      <c r="A12" s="11" t="s">
        <v>2813</v>
      </c>
      <c r="B12" s="15" t="s">
        <v>2814</v>
      </c>
      <c r="C12" s="11" t="s">
        <v>508</v>
      </c>
      <c r="D12" s="48" t="n">
        <f aca="false">IF(cu_P=1,-SUMIFS(Calculo!$F$117:$ES$117,Calculo!$F$16:$ES$16,1),-SUMIFS(Calculo!$F$273:$ES$273,Calculo!$F$172:$ES$172,1))</f>
        <v>-0</v>
      </c>
      <c r="E12" s="48" t="n">
        <f aca="false">IF(cu_P=1,-SUMIFS(Calculo!$F$117:$ES$117,Calculo!$F$14:$ES$14,1),-SUMIFS(Calculo!$F$273:$ES$273,Calculo!$F$170:$ES$170,1))</f>
        <v>-655044.09</v>
      </c>
      <c r="F12" s="48" t="n">
        <f aca="false">IF(cu_P=1,-SUMIFS(Calculo!$F$117:$ES$117,Calculo!$F$14:$ES$14,2),-SUMIFS(Calculo!$F$273:$ES$273,Calculo!$F$170:$ES$170,2))</f>
        <v>-100000</v>
      </c>
      <c r="G12" s="48" t="n">
        <f aca="false">IF(cu_P=1,-SUMIFS(Calculo!$F$117:$ES$117,Calculo!$F$14:$ES$14,3),-SUMIFS(Calculo!$F$273:$ES$273,Calculo!$F$170:$ES$170,3))</f>
        <v>-0</v>
      </c>
      <c r="H12" s="48" t="n">
        <f aca="false">IF(cu_P=1,-SUMIFS(Calculo!$F$117:$ES$117,Calculo!$F$14:$ES$14,4),-SUMIFS(Calculo!$F$273:$ES$273,Calculo!$F$170:$ES$170,4))</f>
        <v>-0</v>
      </c>
      <c r="I12" s="48" t="n">
        <f aca="false">IF(cu_P=1,-SUMIFS(Calculo!$F$117:$ES$117,Calculo!$F$14:$ES$14,5),-SUMIFS(Calculo!$F$273:$ES$273,Calculo!$F$170:$ES$170,5))</f>
        <v>-0</v>
      </c>
      <c r="J12" s="48" t="n">
        <f aca="false">IF(cu_P=1,-SUMIFS(Calculo!$F$117:$ES$117,Calculo!$F$14:$ES$14,6),-SUMIFS(Calculo!$F$273:$ES$273,Calculo!$F$170:$ES$170,6))</f>
        <v>-0</v>
      </c>
      <c r="K12" s="48" t="n">
        <f aca="false">IF(cu_P=1,-SUMIFS(Calculo!$F$117:$ES$117,Calculo!$F$14:$ES$14,7),-SUMIFS(Calculo!$F$273:$ES$273,Calculo!$F$170:$ES$170,7))</f>
        <v>-0</v>
      </c>
      <c r="L12" s="48" t="n">
        <f aca="false">IF(cu_P=1,-SUMIFS(Calculo!$F$117:$ES$117,Calculo!$F$14:$ES$14,8),-SUMIFS(Calculo!$F$273:$ES$273,Calculo!$F$170:$ES$170,8))</f>
        <v>-0</v>
      </c>
      <c r="M12" s="48" t="n">
        <f aca="false">IF(cu_P=1,-SUMIFS(Calculo!$F$117:$ES$117,Calculo!$F$14:$ES$14,9),-SUMIFS(Calculo!$F$273:$ES$273,Calculo!$F$170:$ES$170,9))</f>
        <v>-0</v>
      </c>
      <c r="N12" s="48" t="n">
        <f aca="false">IF(cu_P=1,-SUMIFS(Calculo!$F$117:$ES$117,Calculo!$F$14:$ES$14,10),-SUMIFS(Calculo!$F$273:$ES$273,Calculo!$F$170:$ES$170,10))</f>
        <v>-0</v>
      </c>
      <c r="O12" s="54" t="n">
        <f aca="false">SUM(D12:N12)</f>
        <v>-755044.09</v>
      </c>
    </row>
    <row r="13" customFormat="false" ht="15" hidden="false" customHeight="false" outlineLevel="0" collapsed="false">
      <c r="A13" s="11" t="s">
        <v>2815</v>
      </c>
      <c r="B13" s="15" t="s">
        <v>2816</v>
      </c>
      <c r="C13" s="11" t="s">
        <v>508</v>
      </c>
      <c r="D13" s="48" t="n">
        <f aca="false">IF(cu_P=1,SUMIFS(Calculo!$F$119:$ES$119,Calculo!$F$16:$ES$16,1),SUMIFS(Calculo!$F$275:$ES$275,Calculo!$F$172:$ES$172,1))</f>
        <v>0</v>
      </c>
      <c r="E13" s="48" t="n">
        <f aca="false">IF(cu_P=1,SUMIFS(Calculo!$F$119:$ES$119,Calculo!$F$14:$ES$14,1),SUMIFS(Calculo!$F$275:$ES$275,Calculo!$F$170:$ES$170,1))</f>
        <v>0</v>
      </c>
      <c r="F13" s="48" t="n">
        <f aca="false">IF(cu_P=1,SUMIFS(Calculo!$F$119:$ES$119,Calculo!$F$14:$ES$14,2),SUMIFS(Calculo!$F$275:$ES$275,Calculo!$F$170:$ES$170,2))</f>
        <v>0</v>
      </c>
      <c r="G13" s="48" t="n">
        <f aca="false">IF(cu_P=1,SUMIFS(Calculo!$F$119:$ES$119,Calculo!$F$14:$ES$14,3),SUMIFS(Calculo!$F$275:$ES$275,Calculo!$F$170:$ES$170,3))</f>
        <v>0</v>
      </c>
      <c r="H13" s="48" t="n">
        <f aca="false">IF(cu_P=1,SUMIFS(Calculo!$F$119:$ES$119,Calculo!$F$14:$ES$14,4),SUMIFS(Calculo!$F$275:$ES$275,Calculo!$F$170:$ES$170,4))</f>
        <v>0</v>
      </c>
      <c r="I13" s="48" t="n">
        <f aca="false">IF(cu_P=1,SUMIFS(Calculo!$F$119:$ES$119,Calculo!$F$14:$ES$14,5),SUMIFS(Calculo!$F$275:$ES$275,Calculo!$F$170:$ES$170,5))</f>
        <v>0</v>
      </c>
      <c r="J13" s="48" t="n">
        <f aca="false">IF(cu_P=1,SUMIFS(Calculo!$F$119:$ES$119,Calculo!$F$14:$ES$14,6),SUMIFS(Calculo!$F$275:$ES$275,Calculo!$F$170:$ES$170,6))</f>
        <v>0</v>
      </c>
      <c r="K13" s="48" t="n">
        <f aca="false">IF(cu_P=1,SUMIFS(Calculo!$F$119:$ES$119,Calculo!$F$14:$ES$14,7),SUMIFS(Calculo!$F$275:$ES$275,Calculo!$F$170:$ES$170,7))</f>
        <v>0</v>
      </c>
      <c r="L13" s="48" t="n">
        <f aca="false">IF(cu_P=1,SUMIFS(Calculo!$F$119:$ES$119,Calculo!$F$14:$ES$14,8),SUMIFS(Calculo!$F$275:$ES$275,Calculo!$F$170:$ES$170,8))</f>
        <v>0</v>
      </c>
      <c r="M13" s="48" t="n">
        <f aca="false">IF(cu_P=1,SUMIFS(Calculo!$F$119:$ES$119,Calculo!$F$14:$ES$14,9),SUMIFS(Calculo!$F$275:$ES$275,Calculo!$F$170:$ES$170,9))</f>
        <v>0</v>
      </c>
      <c r="N13" s="48" t="n">
        <f aca="false">IF(cu_P=1,SUMIFS(Calculo!$F$119:$ES$119,Calculo!$F$14:$ES$14,10),SUMIFS(Calculo!$F$275:$ES$275,Calculo!$F$170:$ES$170,10))</f>
        <v>4509762.51732228</v>
      </c>
      <c r="O13" s="54" t="n">
        <f aca="false">SUM(D13:N13)</f>
        <v>4509762.51732228</v>
      </c>
    </row>
    <row r="14" customFormat="false" ht="15" hidden="false" customHeight="false" outlineLevel="0" collapsed="false">
      <c r="A14" s="11" t="s">
        <v>2817</v>
      </c>
      <c r="B14" s="67" t="s">
        <v>1206</v>
      </c>
      <c r="C14" s="11" t="s">
        <v>508</v>
      </c>
      <c r="D14" s="54" t="n">
        <f aca="false">IF(cu_P=1,SUMIFS(Calculo!$F$120:$ES$120,Calculo!$F$16:$ES$16,1),SUMIFS(Calculo!$F$276:$ES$276,Calculo!$F$172:$ES$172,1))</f>
        <v>0</v>
      </c>
      <c r="E14" s="54" t="n">
        <f aca="false">IF(cu_P=1,SUMIFS(Calculo!$F$120:$ES$120,Calculo!$F$14:$ES$14,1),SUMIFS(Calculo!$F$276:$ES$276,Calculo!$F$170:$ES$170,1))</f>
        <v>-2533137.97165195</v>
      </c>
      <c r="F14" s="54" t="n">
        <f aca="false">IF(cu_P=1,SUMIFS(Calculo!$F$120:$ES$120,Calculo!$F$14:$ES$14,2),SUMIFS(Calculo!$F$276:$ES$276,Calculo!$F$170:$ES$170,2))</f>
        <v>210811.391531933</v>
      </c>
      <c r="G14" s="54" t="n">
        <f aca="false">IF(cu_P=1,SUMIFS(Calculo!$F$120:$ES$120,Calculo!$F$14:$ES$14,3),SUMIFS(Calculo!$F$276:$ES$276,Calculo!$F$170:$ES$170,3))</f>
        <v>737693.439749074</v>
      </c>
      <c r="H14" s="54" t="n">
        <f aca="false">IF(cu_P=1,SUMIFS(Calculo!$F$120:$ES$120,Calculo!$F$14:$ES$14,4),SUMIFS(Calculo!$F$276:$ES$276,Calculo!$F$170:$ES$170,4))</f>
        <v>1239913.88862499</v>
      </c>
      <c r="I14" s="54" t="n">
        <f aca="false">IF(cu_P=1,SUMIFS(Calculo!$F$120:$ES$120,Calculo!$F$14:$ES$14,5),SUMIFS(Calculo!$F$276:$ES$276,Calculo!$F$170:$ES$170,5))</f>
        <v>1776448.43081063</v>
      </c>
      <c r="J14" s="54" t="n">
        <f aca="false">IF(cu_P=1,SUMIFS(Calculo!$F$120:$ES$120,Calculo!$F$14:$ES$14,6),SUMIFS(Calculo!$F$276:$ES$276,Calculo!$F$170:$ES$170,6))</f>
        <v>1825880.44510532</v>
      </c>
      <c r="K14" s="54" t="n">
        <f aca="false">IF(cu_P=1,SUMIFS(Calculo!$F$120:$ES$120,Calculo!$F$14:$ES$14,7),SUMIFS(Calculo!$F$276:$ES$276,Calculo!$F$170:$ES$170,7))</f>
        <v>1874902.37664802</v>
      </c>
      <c r="L14" s="54" t="n">
        <f aca="false">IF(cu_P=1,SUMIFS(Calculo!$F$120:$ES$120,Calculo!$F$14:$ES$14,8),SUMIFS(Calculo!$F$276:$ES$276,Calculo!$F$170:$ES$170,8))</f>
        <v>1924259.60486093</v>
      </c>
      <c r="M14" s="54" t="n">
        <f aca="false">IF(cu_P=1,SUMIFS(Calculo!$F$120:$ES$120,Calculo!$F$14:$ES$14,9),SUMIFS(Calculo!$F$276:$ES$276,Calculo!$F$170:$ES$170,9))</f>
        <v>1973950.90383755</v>
      </c>
      <c r="N14" s="54" t="n">
        <f aca="false">IF(cu_P=1,SUMIFS(Calculo!$F$120:$ES$120,Calculo!$F$14:$ES$14,10),SUMIFS(Calculo!$F$276:$ES$276,Calculo!$F$170:$ES$170,10))</f>
        <v>6533737.41674454</v>
      </c>
      <c r="O14" s="54" t="n">
        <f aca="false">SUM(D14:N14)</f>
        <v>15564459.926261</v>
      </c>
    </row>
    <row r="15" customFormat="false" ht="15" hidden="false" customHeight="false" outlineLevel="0" collapsed="false">
      <c r="A15" s="11" t="s">
        <v>2818</v>
      </c>
      <c r="B15" s="15" t="s">
        <v>2819</v>
      </c>
      <c r="C15" s="11" t="s">
        <v>508</v>
      </c>
      <c r="D15" s="48" t="n">
        <f aca="false">IF(cu_P=1,SUMPRODUCT((Calculo!$F$16:$ES$16=1)*Calculo!$F$120:$ES$120*Calculo!$F$159:$ES$159),SUMPRODUCT((Calculo!$F$172:$ES$172=1)*Calculo!$F$276:$ES$276*Calculo!$F$315:$ES$315))</f>
        <v>0</v>
      </c>
      <c r="E15" s="48" t="n">
        <f aca="false">IF(cu_P=1,SUMPRODUCT((Calculo!$F$14:$ES$14=1)*Calculo!$F$120:$ES$120*Calculo!$F$159:$ES$159),SUMPRODUCT((Calculo!$F$170:$ES$170=1)*Calculo!$F$276:$ES$276*Calculo!$F$315:$ES$315))</f>
        <v>-2553727.28237391</v>
      </c>
      <c r="F15" s="48" t="n">
        <f aca="false">IF(cu_P=1,SUMPRODUCT((Calculo!$F$14:$ES$14=2)*Calculo!$F$120:$ES$120*Calculo!$F$159:$ES$159),SUMPRODUCT((Calculo!$F$170:$ES$170=2)*Calculo!$F$276:$ES$276*Calculo!$F$315:$ES$315))</f>
        <v>156921.410460276</v>
      </c>
      <c r="G15" s="48" t="n">
        <f aca="false">IF(cu_P=1,SUMPRODUCT((Calculo!$F$14:$ES$14=3)*Calculo!$F$120:$ES$120*Calculo!$F$159:$ES$159),SUMPRODUCT((Calculo!$F$170:$ES$170=3)*Calculo!$F$276:$ES$276*Calculo!$F$315:$ES$315))</f>
        <v>568044.854312396</v>
      </c>
      <c r="H15" s="48" t="n">
        <f aca="false">IF(cu_P=1,SUMPRODUCT((Calculo!$F$14:$ES$14=4)*Calculo!$F$120:$ES$120*Calculo!$F$159:$ES$159),SUMPRODUCT((Calculo!$F$170:$ES$170=4)*Calculo!$F$276:$ES$276*Calculo!$F$315:$ES$315))</f>
        <v>889332.200329679</v>
      </c>
      <c r="I15" s="48" t="n">
        <f aca="false">IF(cu_P=1,SUMPRODUCT((Calculo!$F$14:$ES$14=5)*Calculo!$F$120:$ES$120*Calculo!$F$159:$ES$159),SUMPRODUCT((Calculo!$F$170:$ES$170=5)*Calculo!$F$276:$ES$276*Calculo!$F$315:$ES$315))</f>
        <v>1185154.10005052</v>
      </c>
      <c r="J15" s="48" t="n">
        <f aca="false">IF(cu_P=1,SUMPRODUCT((Calculo!$F$14:$ES$14=6)*Calculo!$F$120:$ES$120*Calculo!$F$159:$ES$159),SUMPRODUCT((Calculo!$F$170:$ES$170=6)*Calculo!$F$276:$ES$276*Calculo!$F$315:$ES$315))</f>
        <v>1112594.92238253</v>
      </c>
      <c r="K15" s="48" t="n">
        <f aca="false">IF(cu_P=1,SUMPRODUCT((Calculo!$F$14:$ES$14=7)*Calculo!$F$120:$ES$120*Calculo!$F$159:$ES$159),SUMPRODUCT((Calculo!$F$170:$ES$170=7)*Calculo!$F$276:$ES$276*Calculo!$F$315:$ES$315))</f>
        <v>1043464.69025643</v>
      </c>
      <c r="L15" s="48" t="n">
        <f aca="false">IF(cu_P=1,SUMPRODUCT((Calculo!$F$14:$ES$14=8)*Calculo!$F$120:$ES$120*Calculo!$F$159:$ES$159),SUMPRODUCT((Calculo!$F$170:$ES$170=8)*Calculo!$F$276:$ES$276*Calculo!$F$315:$ES$315))</f>
        <v>978130.571872896</v>
      </c>
      <c r="M15" s="48" t="n">
        <f aca="false">IF(cu_P=1,SUMPRODUCT((Calculo!$F$14:$ES$14=9)*Calculo!$F$120:$ES$120*Calculo!$F$159:$ES$159),SUMPRODUCT((Calculo!$F$170:$ES$170=9)*Calculo!$F$276:$ES$276*Calculo!$F$315:$ES$315))</f>
        <v>916438.482725599</v>
      </c>
      <c r="N15" s="48" t="n">
        <f aca="false">IF(cu_P=1,SUMPRODUCT((Calculo!$F$14:$ES$14=10)*Calculo!$F$120:$ES$120*Calculo!$F$159:$ES$159),SUMPRODUCT((Calculo!$F$170:$ES$170=10)*Calculo!$F$276:$ES$276*Calculo!$F$315:$ES$315))</f>
        <v>2693567.80869469</v>
      </c>
      <c r="O15" s="54" t="n">
        <f aca="false">SUM(D15:N15)</f>
        <v>6989921.75871111</v>
      </c>
    </row>
    <row r="16" customFormat="false" ht="15" hidden="false" customHeight="false" outlineLevel="0" collapsed="false">
      <c r="A16" s="11" t="s">
        <v>2820</v>
      </c>
      <c r="B16" s="15" t="s">
        <v>2821</v>
      </c>
      <c r="C16" s="11" t="s">
        <v>508</v>
      </c>
      <c r="D16" s="48" t="n">
        <f aca="false">IFERROR(IF(NOT(ISNUMBER(D15)),"",D15),"")</f>
        <v>0</v>
      </c>
      <c r="E16" s="48" t="n">
        <f aca="false">IFERROR(IF(NOT(ISNUMBER(E15)),"",N(D16)+E15),"")</f>
        <v>-2553727.28237391</v>
      </c>
      <c r="F16" s="48" t="n">
        <f aca="false">IFERROR(IF(NOT(ISNUMBER(F15)),"",N(E16)+F15),"")</f>
        <v>-2396805.87191363</v>
      </c>
      <c r="G16" s="48" t="n">
        <f aca="false">IFERROR(IF(NOT(ISNUMBER(G15)),"",N(F16)+G15),"")</f>
        <v>-1828761.01760123</v>
      </c>
      <c r="H16" s="48" t="n">
        <f aca="false">IFERROR(IF(NOT(ISNUMBER(H15)),"",N(G16)+H15),"")</f>
        <v>-939428.817271554</v>
      </c>
      <c r="I16" s="48" t="n">
        <f aca="false">IFERROR(IF(NOT(ISNUMBER(I15)),"",N(H16)+I15),"")</f>
        <v>245725.282778967</v>
      </c>
      <c r="J16" s="48" t="n">
        <f aca="false">IFERROR(IF(NOT(ISNUMBER(J15)),"",N(I16)+J15),"")</f>
        <v>1358320.2051615</v>
      </c>
      <c r="K16" s="48" t="n">
        <f aca="false">IFERROR(IF(NOT(ISNUMBER(K15)),"",N(J16)+K15),"")</f>
        <v>2401784.89541793</v>
      </c>
      <c r="L16" s="48" t="n">
        <f aca="false">IFERROR(IF(NOT(ISNUMBER(L15)),"",N(K16)+L15),"")</f>
        <v>3379915.46729082</v>
      </c>
      <c r="M16" s="48" t="n">
        <f aca="false">IFERROR(IF(NOT(ISNUMBER(M15)),"",N(L16)+M15),"")</f>
        <v>4296353.95001642</v>
      </c>
      <c r="N16" s="48" t="n">
        <f aca="false">IFERROR(IF(NOT(ISNUMBER(N15)),"",N(M16)+N15),"")</f>
        <v>6989921.75871111</v>
      </c>
    </row>
    <row r="17" customFormat="false" ht="15" hidden="false" customHeight="false" outlineLevel="0" collapsed="false">
      <c r="A17" s="13"/>
      <c r="B17" s="100" t="s">
        <v>2822</v>
      </c>
      <c r="C17" s="13"/>
      <c r="D17" s="13"/>
      <c r="E17" s="13"/>
      <c r="F17" s="13"/>
      <c r="G17" s="13"/>
      <c r="H17" s="13"/>
      <c r="I17" s="13"/>
      <c r="J17" s="13"/>
      <c r="K17" s="13"/>
      <c r="L17" s="13"/>
      <c r="M17" s="13"/>
      <c r="N17" s="13"/>
      <c r="O17" s="13"/>
    </row>
    <row r="18" customFormat="false" ht="15" hidden="false" customHeight="false" outlineLevel="0" collapsed="false">
      <c r="A18" s="11" t="s">
        <v>2823</v>
      </c>
      <c r="B18" s="15" t="s">
        <v>2824</v>
      </c>
      <c r="C18" s="11" t="s">
        <v>508</v>
      </c>
      <c r="D18" s="48" t="n">
        <f aca="false">IF(cu_P=1,SUMIFS(Calculo!$F$161:$ES$161,Calculo!$F$16:$ES$16,1),SUMIFS(Calculo!$F$317:$ES$317,Calculo!$F$172:$ES$172,1))</f>
        <v>0</v>
      </c>
      <c r="E18" s="48" t="n">
        <f aca="false">IF(cu_P=1,SUMIFS(Calculo!$F$161:$ES$161,Calculo!$F$14:$ES$14,1),SUMIFS(Calculo!$F$317:$ES$317,Calculo!$F$170:$ES$170,1))</f>
        <v>-767782</v>
      </c>
      <c r="F18" s="48" t="n">
        <f aca="false">IF(cu_P=1,SUMIFS(Calculo!$F$161:$ES$161,Calculo!$F$14:$ES$14,2),SUMIFS(Calculo!$F$317:$ES$317,Calculo!$F$170:$ES$170,2))</f>
        <v>-371928</v>
      </c>
      <c r="G18" s="48" t="n">
        <f aca="false">IF(cu_P=1,SUMIFS(Calculo!$F$161:$ES$161,Calculo!$F$14:$ES$14,3),SUMIFS(Calculo!$F$317:$ES$317,Calculo!$F$170:$ES$170,3))</f>
        <v>0</v>
      </c>
      <c r="H18" s="48" t="n">
        <f aca="false">IF(cu_P=1,SUMIFS(Calculo!$F$161:$ES$161,Calculo!$F$14:$ES$14,4),SUMIFS(Calculo!$F$317:$ES$317,Calculo!$F$170:$ES$170,4))</f>
        <v>0</v>
      </c>
      <c r="I18" s="48" t="n">
        <f aca="false">IF(cu_P=1,SUMIFS(Calculo!$F$161:$ES$161,Calculo!$F$14:$ES$14,5),SUMIFS(Calculo!$F$317:$ES$317,Calculo!$F$170:$ES$170,5))</f>
        <v>804953.378380922</v>
      </c>
      <c r="J18" s="48" t="n">
        <f aca="false">IF(cu_P=1,SUMIFS(Calculo!$F$161:$ES$161,Calculo!$F$14:$ES$14,6),SUMIFS(Calculo!$F$317:$ES$317,Calculo!$F$170:$ES$170,6))</f>
        <v>1463926.54436822</v>
      </c>
      <c r="K18" s="48" t="n">
        <f aca="false">IF(cu_P=1,SUMIFS(Calculo!$F$161:$ES$161,Calculo!$F$14:$ES$14,7),SUMIFS(Calculo!$F$317:$ES$317,Calculo!$F$170:$ES$170,7))</f>
        <v>1794188.69257391</v>
      </c>
      <c r="L18" s="48" t="n">
        <f aca="false">IF(cu_P=1,SUMIFS(Calculo!$F$161:$ES$161,Calculo!$F$14:$ES$14,8),SUMIFS(Calculo!$F$317:$ES$317,Calculo!$F$170:$ES$170,8))</f>
        <v>1843575.6608728</v>
      </c>
      <c r="M18" s="48" t="n">
        <f aca="false">IF(cu_P=1,SUMIFS(Calculo!$F$161:$ES$161,Calculo!$F$14:$ES$14,9),SUMIFS(Calculo!$F$317:$ES$317,Calculo!$F$170:$ES$170,9))</f>
        <v>1893301.21355545</v>
      </c>
      <c r="N18" s="48" t="n">
        <f aca="false">IF(cu_P=1,SUMIFS(Calculo!$F$161:$ES$161,Calculo!$F$14:$ES$14,10),SUMIFS(Calculo!$F$317:$ES$317,Calculo!$F$170:$ES$170,10))</f>
        <v>8091010.30828527</v>
      </c>
      <c r="O18" s="54" t="n">
        <f aca="false">SUM(D18:N18)</f>
        <v>14751245.7980366</v>
      </c>
    </row>
    <row r="19" customFormat="false" ht="15" hidden="false" customHeight="false" outlineLevel="0" collapsed="false">
      <c r="A19" s="11" t="s">
        <v>2825</v>
      </c>
      <c r="B19" s="15" t="s">
        <v>2826</v>
      </c>
      <c r="C19" s="11" t="s">
        <v>508</v>
      </c>
      <c r="D19" s="48" t="n">
        <f aca="false">IF(cu_P=1,SUMPRODUCT((Calculo!$F$16:$ES$16=1)*Calculo!$F$161:$ES$161*Calculo!$F$160:$ES$160),SUMPRODUCT((Calculo!$F$172:$ES$172=1)*Calculo!$F$317:$ES$317*Calculo!$F$316:$ES$316))</f>
        <v>0</v>
      </c>
      <c r="E19" s="48" t="n">
        <f aca="false">IF(cu_P=1,SUMPRODUCT((Calculo!$F$14:$ES$14=1)*Calculo!$F$161:$ES$161*Calculo!$F$160:$ES$160),SUMPRODUCT((Calculo!$F$170:$ES$170=1)*Calculo!$F$317:$ES$317*Calculo!$F$316:$ES$316))</f>
        <v>-767782</v>
      </c>
      <c r="F19" s="48" t="n">
        <f aca="false">IF(cu_P=1,SUMPRODUCT((Calculo!$F$14:$ES$14=2)*Calculo!$F$161:$ES$161*Calculo!$F$160:$ES$160),SUMPRODUCT((Calculo!$F$170:$ES$170=2)*Calculo!$F$317:$ES$317*Calculo!$F$316:$ES$316))</f>
        <v>-319745.52957359</v>
      </c>
      <c r="G19" s="48" t="n">
        <f aca="false">IF(cu_P=1,SUMPRODUCT((Calculo!$F$14:$ES$14=3)*Calculo!$F$161:$ES$161*Calculo!$F$160:$ES$160),SUMPRODUCT((Calculo!$F$170:$ES$170=3)*Calculo!$F$317:$ES$317*Calculo!$F$316:$ES$316))</f>
        <v>-9799.04203536457</v>
      </c>
      <c r="H19" s="48" t="n">
        <f aca="false">IF(cu_P=1,SUMPRODUCT((Calculo!$F$14:$ES$14=4)*Calculo!$F$161:$ES$161*Calculo!$F$160:$ES$160),SUMPRODUCT((Calculo!$F$170:$ES$170=4)*Calculo!$F$317:$ES$317*Calculo!$F$316:$ES$316))</f>
        <v>-2810.46741551428</v>
      </c>
      <c r="I19" s="48" t="n">
        <f aca="false">IF(cu_P=1,SUMPRODUCT((Calculo!$F$14:$ES$14=5)*Calculo!$F$161:$ES$161*Calculo!$F$160:$ES$160),SUMPRODUCT((Calculo!$F$170:$ES$170=5)*Calculo!$F$317:$ES$317*Calculo!$F$316:$ES$316))</f>
        <v>423388.984904593</v>
      </c>
      <c r="J19" s="48" t="n">
        <f aca="false">IF(cu_P=1,SUMPRODUCT((Calculo!$F$14:$ES$14=6)*Calculo!$F$161:$ES$161*Calculo!$F$160:$ES$160),SUMPRODUCT((Calculo!$F$170:$ES$170=6)*Calculo!$F$317:$ES$317*Calculo!$F$316:$ES$316))</f>
        <v>661963.006341185</v>
      </c>
      <c r="K19" s="48" t="n">
        <f aca="false">IF(cu_P=1,SUMPRODUCT((Calculo!$F$14:$ES$14=7)*Calculo!$F$161:$ES$161*Calculo!$F$160:$ES$160),SUMPRODUCT((Calculo!$F$170:$ES$170=7)*Calculo!$F$317:$ES$317*Calculo!$F$316:$ES$316))</f>
        <v>697474.213530123</v>
      </c>
      <c r="L19" s="48" t="n">
        <f aca="false">IF(cu_P=1,SUMPRODUCT((Calculo!$F$14:$ES$14=8)*Calculo!$F$161:$ES$161*Calculo!$F$160:$ES$160),SUMPRODUCT((Calculo!$F$170:$ES$170=8)*Calculo!$F$317:$ES$317*Calculo!$F$316:$ES$316))</f>
        <v>616121.852994307</v>
      </c>
      <c r="M19" s="48" t="n">
        <f aca="false">IF(cu_P=1,SUMPRODUCT((Calculo!$F$14:$ES$14=9)*Calculo!$F$161:$ES$161*Calculo!$F$160:$ES$160),SUMPRODUCT((Calculo!$F$170:$ES$170=9)*Calculo!$F$317:$ES$317*Calculo!$F$316:$ES$316))</f>
        <v>543965.012160169</v>
      </c>
      <c r="N19" s="48" t="n">
        <f aca="false">IF(cu_P=1,SUMPRODUCT((Calculo!$F$14:$ES$14=10)*Calculo!$F$161:$ES$161*Calculo!$F$160:$ES$160),SUMPRODUCT((Calculo!$F$170:$ES$170=10)*Calculo!$F$317:$ES$317*Calculo!$F$316:$ES$316))</f>
        <v>1852902.06014048</v>
      </c>
      <c r="O19" s="54" t="n">
        <f aca="false">SUM(D19:N19)</f>
        <v>3695678.09104638</v>
      </c>
    </row>
    <row r="20" customFormat="false" ht="15" hidden="false" customHeight="false" outlineLevel="0" collapsed="false">
      <c r="A20" s="11" t="s">
        <v>2827</v>
      </c>
      <c r="B20" s="15" t="s">
        <v>2828</v>
      </c>
      <c r="C20" s="11" t="s">
        <v>508</v>
      </c>
      <c r="D20" s="48" t="n">
        <f aca="false">IFERROR(IF(NOT(ISNUMBER(D19)),"",D19),"")</f>
        <v>0</v>
      </c>
      <c r="E20" s="48" t="n">
        <f aca="false">IFERROR(IF(NOT(ISNUMBER(E19)),"",N(D20)+E19),"")</f>
        <v>-767782</v>
      </c>
      <c r="F20" s="48" t="n">
        <f aca="false">IFERROR(IF(NOT(ISNUMBER(F19)),"",N(E20)+F19),"")</f>
        <v>-1087527.52957359</v>
      </c>
      <c r="G20" s="48" t="n">
        <f aca="false">IFERROR(IF(NOT(ISNUMBER(G19)),"",N(F20)+G19),"")</f>
        <v>-1097326.57160895</v>
      </c>
      <c r="H20" s="48" t="n">
        <f aca="false">IFERROR(IF(NOT(ISNUMBER(H19)),"",N(G20)+H19),"")</f>
        <v>-1100137.03902447</v>
      </c>
      <c r="I20" s="48" t="n">
        <f aca="false">IFERROR(IF(NOT(ISNUMBER(I19)),"",N(H20)+I19),"")</f>
        <v>-676748.054119876</v>
      </c>
      <c r="J20" s="48" t="n">
        <f aca="false">IFERROR(IF(NOT(ISNUMBER(J19)),"",N(I20)+J19),"")</f>
        <v>-14785.0477786906</v>
      </c>
      <c r="K20" s="48" t="n">
        <f aca="false">IFERROR(IF(NOT(ISNUMBER(K19)),"",N(J20)+K19),"")</f>
        <v>682689.165751433</v>
      </c>
      <c r="L20" s="48" t="n">
        <f aca="false">IFERROR(IF(NOT(ISNUMBER(L19)),"",N(K20)+L19),"")</f>
        <v>1298811.01874574</v>
      </c>
      <c r="M20" s="48" t="n">
        <f aca="false">IFERROR(IF(NOT(ISNUMBER(M19)),"",N(L20)+M19),"")</f>
        <v>1842776.03090591</v>
      </c>
      <c r="N20" s="48" t="n">
        <f aca="false">IFERROR(IF(NOT(ISNUMBER(N19)),"",N(M20)+N19),"")</f>
        <v>3695678.09104638</v>
      </c>
    </row>
    <row r="21" customFormat="false" ht="15" hidden="false" customHeight="false" outlineLevel="0" collapsed="false">
      <c r="A21" s="13"/>
      <c r="B21" s="100" t="s">
        <v>2829</v>
      </c>
      <c r="C21" s="13"/>
      <c r="D21" s="13"/>
      <c r="E21" s="13"/>
      <c r="F21" s="13"/>
      <c r="G21" s="13"/>
      <c r="H21" s="13"/>
      <c r="I21" s="13"/>
      <c r="J21" s="13"/>
      <c r="K21" s="13"/>
      <c r="L21" s="13"/>
      <c r="M21" s="13"/>
      <c r="N21" s="13"/>
      <c r="O21" s="13"/>
    </row>
    <row r="22" customFormat="false" ht="15" hidden="false" customHeight="false" outlineLevel="0" collapsed="false">
      <c r="A22" s="11" t="s">
        <v>2830</v>
      </c>
      <c r="B22" s="67" t="s">
        <v>2831</v>
      </c>
      <c r="C22" s="11" t="s">
        <v>508</v>
      </c>
      <c r="D22" s="54" t="n">
        <f aca="false">IF(cu_P=1,SUMIFS(Calculo!$F$102:$ES$102,Calculo!$F$16:$ES$16,1)+SUMIFS(Calculo!$F$119:$ES$119,Calculo!$F$16:$ES$16,1),SUMIFS(Calculo!$F$258:$ES$258,Calculo!$F$172:$ES$172,1)+SUMIFS(Calculo!$F$275:$ES$275,Calculo!$F$172:$ES$172,1))</f>
        <v>0</v>
      </c>
      <c r="E22" s="54" t="n">
        <f aca="false">IF(cu_P=1,SUMIFS(Calculo!$F$102:$ES$102,Calculo!$F$14:$ES$14,1)+SUMIFS(Calculo!$F$119:$ES$119,Calculo!$F$14:$ES$14,1),SUMIFS(Calculo!$F$258:$ES$258,Calculo!$F$170:$ES$170,1)+SUMIFS(Calculo!$F$275:$ES$275,Calculo!$F$170:$ES$170,1))</f>
        <v>509970.005707077</v>
      </c>
      <c r="F22" s="54" t="n">
        <f aca="false">IF(cu_P=1,SUMIFS(Calculo!$F$102:$ES$102,Calculo!$F$14:$ES$14,2)+SUMIFS(Calculo!$F$119:$ES$119,Calculo!$F$14:$ES$14,2),SUMIFS(Calculo!$F$258:$ES$258,Calculo!$F$170:$ES$170,2)+SUMIFS(Calculo!$F$275:$ES$275,Calculo!$F$170:$ES$170,2))</f>
        <v>965956.835927578</v>
      </c>
      <c r="G22" s="54" t="n">
        <f aca="false">IF(cu_P=1,SUMIFS(Calculo!$F$102:$ES$102,Calculo!$F$14:$ES$14,3)+SUMIFS(Calculo!$F$119:$ES$119,Calculo!$F$14:$ES$14,3),SUMIFS(Calculo!$F$258:$ES$258,Calculo!$F$170:$ES$170,3)+SUMIFS(Calculo!$F$275:$ES$275,Calculo!$F$170:$ES$170,3))</f>
        <v>1405020.3703815</v>
      </c>
      <c r="H22" s="54" t="n">
        <f aca="false">IF(cu_P=1,SUMIFS(Calculo!$F$102:$ES$102,Calculo!$F$14:$ES$14,4)+SUMIFS(Calculo!$F$119:$ES$119,Calculo!$F$14:$ES$14,4),SUMIFS(Calculo!$F$258:$ES$258,Calculo!$F$170:$ES$170,4)+SUMIFS(Calculo!$F$275:$ES$275,Calculo!$F$170:$ES$170,4))</f>
        <v>1798722.9585583</v>
      </c>
      <c r="I22" s="54" t="n">
        <f aca="false">IF(cu_P=1,SUMIFS(Calculo!$F$102:$ES$102,Calculo!$F$14:$ES$14,5)+SUMIFS(Calculo!$F$119:$ES$119,Calculo!$F$14:$ES$14,5),SUMIFS(Calculo!$F$258:$ES$258,Calculo!$F$170:$ES$170,5)+SUMIFS(Calculo!$F$275:$ES$275,Calculo!$F$170:$ES$170,5))</f>
        <v>1814557.97851649</v>
      </c>
      <c r="J22" s="54" t="n">
        <f aca="false">IF(cu_P=1,SUMIFS(Calculo!$F$102:$ES$102,Calculo!$F$14:$ES$14,6)+SUMIFS(Calculo!$F$119:$ES$119,Calculo!$F$14:$ES$14,6),SUMIFS(Calculo!$F$258:$ES$258,Calculo!$F$170:$ES$170,6)+SUMIFS(Calculo!$F$275:$ES$275,Calculo!$F$170:$ES$170,6))</f>
        <v>1863605.30157391</v>
      </c>
      <c r="K22" s="54" t="n">
        <f aca="false">IF(cu_P=1,SUMIFS(Calculo!$F$102:$ES$102,Calculo!$F$14:$ES$14,7)+SUMIFS(Calculo!$F$119:$ES$119,Calculo!$F$14:$ES$14,7),SUMIFS(Calculo!$F$258:$ES$258,Calculo!$F$170:$ES$170,7)+SUMIFS(Calculo!$F$275:$ES$275,Calculo!$F$170:$ES$170,7))</f>
        <v>1912992.2698728</v>
      </c>
      <c r="L22" s="54" t="n">
        <f aca="false">IF(cu_P=1,SUMIFS(Calculo!$F$102:$ES$102,Calculo!$F$14:$ES$14,8)+SUMIFS(Calculo!$F$119:$ES$119,Calculo!$F$14:$ES$14,8),SUMIFS(Calculo!$F$258:$ES$258,Calculo!$F$170:$ES$170,8)+SUMIFS(Calculo!$F$275:$ES$275,Calculo!$F$170:$ES$170,8))</f>
        <v>1962717.82255545</v>
      </c>
      <c r="M22" s="54" t="n">
        <f aca="false">IF(cu_P=1,SUMIFS(Calculo!$F$102:$ES$102,Calculo!$F$14:$ES$14,9)+SUMIFS(Calculo!$F$119:$ES$119,Calculo!$F$14:$ES$14,9),SUMIFS(Calculo!$F$258:$ES$258,Calculo!$F$170:$ES$170,9)+SUMIFS(Calculo!$F$275:$ES$275,Calculo!$F$170:$ES$170,9))</f>
        <v>2012780.75578689</v>
      </c>
      <c r="N22" s="54" t="n">
        <f aca="false">IF(cu_P=1,SUMIFS(Calculo!$F$102:$ES$102,Calculo!$F$14:$ES$14,10)+SUMIFS(Calculo!$F$119:$ES$119,Calculo!$F$14:$ES$14,10),SUMIFS(Calculo!$F$258:$ES$258,Calculo!$F$170:$ES$170,10)+SUMIFS(Calculo!$F$275:$ES$275,Calculo!$F$170:$ES$170,10))</f>
        <v>6572942.23470331</v>
      </c>
      <c r="O22" s="54" t="n">
        <f aca="false">SUM(D22:N22)</f>
        <v>20819266.5335833</v>
      </c>
    </row>
    <row r="23" customFormat="false" ht="15" hidden="false" customHeight="false" outlineLevel="0" collapsed="false">
      <c r="A23" s="11" t="s">
        <v>2832</v>
      </c>
      <c r="B23" s="15" t="s">
        <v>2833</v>
      </c>
      <c r="C23" s="11" t="s">
        <v>508</v>
      </c>
      <c r="D23" s="48" t="n">
        <f aca="false">IF(cu_P=1,SUMIFS(Calculo!$F$117:$ES$117,Calculo!$F$16:$ES$16,1),SUMIFS(Calculo!$F$273:$ES$273,Calculo!$F$172:$ES$172,1))</f>
        <v>0</v>
      </c>
      <c r="E23" s="48" t="n">
        <f aca="false">IF(cu_P=1,SUMIFS(Calculo!$F$117:$ES$117,Calculo!$F$14:$ES$14,1),SUMIFS(Calculo!$F$273:$ES$273,Calculo!$F$170:$ES$170,1))</f>
        <v>655044.09</v>
      </c>
      <c r="F23" s="48" t="n">
        <f aca="false">IF(cu_P=1,SUMIFS(Calculo!$F$117:$ES$117,Calculo!$F$14:$ES$14,2),SUMIFS(Calculo!$F$273:$ES$273,Calculo!$F$170:$ES$170,2))</f>
        <v>100000</v>
      </c>
      <c r="G23" s="48" t="n">
        <f aca="false">IF(cu_P=1,SUMIFS(Calculo!$F$117:$ES$117,Calculo!$F$14:$ES$14,3),SUMIFS(Calculo!$F$273:$ES$273,Calculo!$F$170:$ES$170,3))</f>
        <v>0</v>
      </c>
      <c r="H23" s="48" t="n">
        <f aca="false">IF(cu_P=1,SUMIFS(Calculo!$F$117:$ES$117,Calculo!$F$14:$ES$14,4),SUMIFS(Calculo!$F$273:$ES$273,Calculo!$F$170:$ES$170,4))</f>
        <v>0</v>
      </c>
      <c r="I23" s="48" t="n">
        <f aca="false">IF(cu_P=1,SUMIFS(Calculo!$F$117:$ES$117,Calculo!$F$14:$ES$14,5),SUMIFS(Calculo!$F$273:$ES$273,Calculo!$F$170:$ES$170,5))</f>
        <v>0</v>
      </c>
      <c r="J23" s="48" t="n">
        <f aca="false">IF(cu_P=1,SUMIFS(Calculo!$F$117:$ES$117,Calculo!$F$14:$ES$14,6),SUMIFS(Calculo!$F$273:$ES$273,Calculo!$F$170:$ES$170,6))</f>
        <v>0</v>
      </c>
      <c r="K23" s="48" t="n">
        <f aca="false">IF(cu_P=1,SUMIFS(Calculo!$F$117:$ES$117,Calculo!$F$14:$ES$14,7),SUMIFS(Calculo!$F$273:$ES$273,Calculo!$F$170:$ES$170,7))</f>
        <v>0</v>
      </c>
      <c r="L23" s="48" t="n">
        <f aca="false">IF(cu_P=1,SUMIFS(Calculo!$F$117:$ES$117,Calculo!$F$14:$ES$14,8),SUMIFS(Calculo!$F$273:$ES$273,Calculo!$F$170:$ES$170,8))</f>
        <v>0</v>
      </c>
      <c r="M23" s="48" t="n">
        <f aca="false">IF(cu_P=1,SUMIFS(Calculo!$F$117:$ES$117,Calculo!$F$14:$ES$14,9),SUMIFS(Calculo!$F$273:$ES$273,Calculo!$F$170:$ES$170,9))</f>
        <v>0</v>
      </c>
      <c r="N23" s="48" t="n">
        <f aca="false">IF(cu_P=1,SUMIFS(Calculo!$F$117:$ES$117,Calculo!$F$14:$ES$14,10),SUMIFS(Calculo!$F$273:$ES$273,Calculo!$F$170:$ES$170,10))</f>
        <v>0</v>
      </c>
      <c r="O23" s="54" t="n">
        <f aca="false">SUM(D23:N23)</f>
        <v>755044.09</v>
      </c>
    </row>
    <row r="24" customFormat="false" ht="15" hidden="false" customHeight="false" outlineLevel="0" collapsed="false">
      <c r="A24" s="11" t="s">
        <v>2834</v>
      </c>
      <c r="B24" s="15" t="s">
        <v>2835</v>
      </c>
      <c r="C24" s="11" t="s">
        <v>508</v>
      </c>
      <c r="D24" s="48" t="n">
        <f aca="false">IF(cu_P=1,SUMIFS(Calculo!$F$114:$ES$114,Calculo!$F$16:$ES$16,1),SUMIFS(Calculo!$F$270:$ES$270,Calculo!$F$172:$ES$172,1))</f>
        <v>0</v>
      </c>
      <c r="E24" s="48" t="n">
        <f aca="false">IF(cu_P=1,SUMIFS(Calculo!$F$114:$ES$114,Calculo!$F$14:$ES$14,1),SUMIFS(Calculo!$F$270:$ES$270,Calculo!$F$170:$ES$170,1))</f>
        <v>2388063.88735903</v>
      </c>
      <c r="F24" s="48" t="n">
        <f aca="false">IF(cu_P=1,SUMIFS(Calculo!$F$114:$ES$114,Calculo!$F$14:$ES$14,2),SUMIFS(Calculo!$F$270:$ES$270,Calculo!$F$170:$ES$170,2))</f>
        <v>655145.444395644</v>
      </c>
      <c r="G24" s="48" t="n">
        <f aca="false">IF(cu_P=1,SUMIFS(Calculo!$F$114:$ES$114,Calculo!$F$14:$ES$14,3),SUMIFS(Calculo!$F$270:$ES$270,Calculo!$F$170:$ES$170,3))</f>
        <v>667326.930632423</v>
      </c>
      <c r="H24" s="48" t="n">
        <f aca="false">IF(cu_P=1,SUMIFS(Calculo!$F$114:$ES$114,Calculo!$F$14:$ES$14,4),SUMIFS(Calculo!$F$270:$ES$270,Calculo!$F$170:$ES$170,4))</f>
        <v>558809.069933313</v>
      </c>
      <c r="I24" s="48" t="n">
        <f aca="false">IF(cu_P=1,SUMIFS(Calculo!$F$114:$ES$114,Calculo!$F$14:$ES$14,5),SUMIFS(Calculo!$F$270:$ES$270,Calculo!$F$170:$ES$170,5))</f>
        <v>38109.5477058599</v>
      </c>
      <c r="J24" s="48" t="n">
        <f aca="false">IF(cu_P=1,SUMIFS(Calculo!$F$114:$ES$114,Calculo!$F$14:$ES$14,6),SUMIFS(Calculo!$F$270:$ES$270,Calculo!$F$170:$ES$170,6))</f>
        <v>37724.8564685965</v>
      </c>
      <c r="K24" s="48" t="n">
        <f aca="false">IF(cu_P=1,SUMIFS(Calculo!$F$114:$ES$114,Calculo!$F$14:$ES$14,7),SUMIFS(Calculo!$F$270:$ES$270,Calculo!$F$170:$ES$170,7))</f>
        <v>38089.8932247814</v>
      </c>
      <c r="L24" s="48" t="n">
        <f aca="false">IF(cu_P=1,SUMIFS(Calculo!$F$114:$ES$114,Calculo!$F$14:$ES$14,8),SUMIFS(Calculo!$F$270:$ES$270,Calculo!$F$170:$ES$170,8))</f>
        <v>38458.2176945182</v>
      </c>
      <c r="M24" s="48" t="n">
        <f aca="false">IF(cu_P=1,SUMIFS(Calculo!$F$114:$ES$114,Calculo!$F$14:$ES$14,9),SUMIFS(Calculo!$F$270:$ES$270,Calculo!$F$170:$ES$170,9))</f>
        <v>38829.851949336</v>
      </c>
      <c r="N24" s="48" t="n">
        <f aca="false">IF(cu_P=1,SUMIFS(Calculo!$F$114:$ES$114,Calculo!$F$14:$ES$14,10),SUMIFS(Calculo!$F$270:$ES$270,Calculo!$F$170:$ES$170,10))</f>
        <v>39204.8179587778</v>
      </c>
      <c r="O24" s="54" t="n">
        <f aca="false">SUM(D24:N24)</f>
        <v>4499762.51732228</v>
      </c>
    </row>
    <row r="25" customFormat="false" ht="15" hidden="false" customHeight="false" outlineLevel="0" collapsed="false">
      <c r="A25" s="11" t="s">
        <v>2836</v>
      </c>
      <c r="B25" s="15" t="s">
        <v>2791</v>
      </c>
      <c r="C25" s="11" t="s">
        <v>508</v>
      </c>
      <c r="D25" s="48" t="n">
        <f aca="false">IF(cu_P=1,SUMIFS(Calculo!$F$137:$ES$137,Calculo!$F$16:$ES$16,1),SUMIFS(Calculo!$F$293:$ES$293,Calculo!$F$172:$ES$172,1))</f>
        <v>0</v>
      </c>
      <c r="E25" s="48" t="n">
        <f aca="false">IF(cu_P=1,SUMIFS(Calculo!$F$137:$ES$137,Calculo!$F$14:$ES$14,1),SUMIFS(Calculo!$F$293:$ES$293,Calculo!$F$170:$ES$170,1))</f>
        <v>257526.352358103</v>
      </c>
      <c r="F25" s="48" t="n">
        <f aca="false">IF(cu_P=1,SUMIFS(Calculo!$F$137:$ES$137,Calculo!$F$14:$ES$14,2),SUMIFS(Calculo!$F$293:$ES$293,Calculo!$F$170:$ES$170,2))</f>
        <v>551018.611753115</v>
      </c>
      <c r="G25" s="48" t="n">
        <f aca="false">IF(cu_P=1,SUMIFS(Calculo!$F$137:$ES$137,Calculo!$F$14:$ES$14,3),SUMIFS(Calculo!$F$293:$ES$293,Calculo!$F$170:$ES$170,3))</f>
        <v>602707.958280647</v>
      </c>
      <c r="H25" s="48" t="n">
        <f aca="false">IF(cu_P=1,SUMIFS(Calculo!$F$137:$ES$137,Calculo!$F$14:$ES$14,4),SUMIFS(Calculo!$F$293:$ES$293,Calculo!$F$170:$ES$170,4))</f>
        <v>659246.122048566</v>
      </c>
      <c r="I25" s="48" t="n">
        <f aca="false">IF(cu_P=1,SUMIFS(Calculo!$F$137:$ES$137,Calculo!$F$14:$ES$14,5),SUMIFS(Calculo!$F$293:$ES$293,Calculo!$F$170:$ES$170,5))</f>
        <v>721087.95555957</v>
      </c>
      <c r="J25" s="48" t="n">
        <f aca="false">IF(cu_P=1,SUMIFS(Calculo!$F$137:$ES$137,Calculo!$F$14:$ES$14,6),SUMIFS(Calculo!$F$293:$ES$293,Calculo!$F$170:$ES$170,6))</f>
        <v>0</v>
      </c>
      <c r="K25" s="48" t="n">
        <f aca="false">IF(cu_P=1,SUMIFS(Calculo!$F$137:$ES$137,Calculo!$F$14:$ES$14,7),SUMIFS(Calculo!$F$293:$ES$293,Calculo!$F$170:$ES$170,7))</f>
        <v>0</v>
      </c>
      <c r="L25" s="48" t="n">
        <f aca="false">IF(cu_P=1,SUMIFS(Calculo!$F$137:$ES$137,Calculo!$F$14:$ES$14,8),SUMIFS(Calculo!$F$293:$ES$293,Calculo!$F$170:$ES$170,8))</f>
        <v>0</v>
      </c>
      <c r="M25" s="48" t="n">
        <f aca="false">IF(cu_P=1,SUMIFS(Calculo!$F$137:$ES$137,Calculo!$F$14:$ES$14,9),SUMIFS(Calculo!$F$293:$ES$293,Calculo!$F$170:$ES$170,9))</f>
        <v>0</v>
      </c>
      <c r="N25" s="48" t="n">
        <f aca="false">IF(cu_P=1,SUMIFS(Calculo!$F$137:$ES$137,Calculo!$F$14:$ES$14,10),SUMIFS(Calculo!$F$293:$ES$293,Calculo!$F$170:$ES$170,10))</f>
        <v>0</v>
      </c>
      <c r="O25" s="54" t="n">
        <f aca="false">SUM(D25:N25)</f>
        <v>2791587</v>
      </c>
    </row>
    <row r="26" customFormat="false" ht="15" hidden="false" customHeight="false" outlineLevel="0" collapsed="false">
      <c r="A26" s="11" t="s">
        <v>2837</v>
      </c>
      <c r="B26" s="15" t="s">
        <v>2613</v>
      </c>
      <c r="C26" s="11" t="s">
        <v>508</v>
      </c>
      <c r="D26" s="48" t="n">
        <f aca="false">IF(cu_P=1,SUMIFS(Calculo!$F$105:$ES$105,Calculo!$F$16:$ES$16,1),SUMIFS(Calculo!$F$261:$ES$261,Calculo!$F$172:$ES$172,1))</f>
        <v>0</v>
      </c>
      <c r="E26" s="48" t="n">
        <f aca="false">IF(cu_P=1,SUMIFS(Calculo!$F$105:$ES$105,Calculo!$F$14:$ES$14,1),SUMIFS(Calculo!$F$261:$ES$261,Calculo!$F$170:$ES$170,1))</f>
        <v>271101.932431026</v>
      </c>
      <c r="F26" s="48" t="n">
        <f aca="false">IF(cu_P=1,SUMIFS(Calculo!$F$105:$ES$105,Calculo!$F$14:$ES$14,2),SUMIFS(Calculo!$F$261:$ES$261,Calculo!$F$170:$ES$170,2))</f>
        <v>226274.254121452</v>
      </c>
      <c r="G26" s="48" t="n">
        <f aca="false">IF(cu_P=1,SUMIFS(Calculo!$F$105:$ES$105,Calculo!$F$14:$ES$14,3),SUMIFS(Calculo!$F$261:$ES$261,Calculo!$F$170:$ES$170,3))</f>
        <v>169415.972941167</v>
      </c>
      <c r="H26" s="48" t="n">
        <f aca="false">IF(cu_P=1,SUMIFS(Calculo!$F$105:$ES$105,Calculo!$F$14:$ES$14,4),SUMIFS(Calculo!$F$261:$ES$261,Calculo!$F$170:$ES$170,4))</f>
        <v>107223.992796456</v>
      </c>
      <c r="I26" s="48" t="n">
        <f aca="false">IF(cu_P=1,SUMIFS(Calculo!$F$105:$ES$105,Calculo!$F$14:$ES$14,5),SUMIFS(Calculo!$F$261:$ES$261,Calculo!$F$170:$ES$170,5))</f>
        <v>39197.9759343531</v>
      </c>
      <c r="J26" s="48" t="n">
        <f aca="false">IF(cu_P=1,SUMIFS(Calculo!$F$105:$ES$105,Calculo!$F$14:$ES$14,6),SUMIFS(Calculo!$F$261:$ES$261,Calculo!$F$170:$ES$170,6))</f>
        <v>0</v>
      </c>
      <c r="K26" s="48" t="n">
        <f aca="false">IF(cu_P=1,SUMIFS(Calculo!$F$105:$ES$105,Calculo!$F$14:$ES$14,7),SUMIFS(Calculo!$F$261:$ES$261,Calculo!$F$170:$ES$170,7))</f>
        <v>0</v>
      </c>
      <c r="L26" s="48" t="n">
        <f aca="false">IF(cu_P=1,SUMIFS(Calculo!$F$105:$ES$105,Calculo!$F$14:$ES$14,8),SUMIFS(Calculo!$F$261:$ES$261,Calculo!$F$170:$ES$170,8))</f>
        <v>0</v>
      </c>
      <c r="M26" s="48" t="n">
        <f aca="false">IF(cu_P=1,SUMIFS(Calculo!$F$105:$ES$105,Calculo!$F$14:$ES$14,9),SUMIFS(Calculo!$F$261:$ES$261,Calculo!$F$170:$ES$170,9))</f>
        <v>0</v>
      </c>
      <c r="N26" s="48" t="n">
        <f aca="false">IF(cu_P=1,SUMIFS(Calculo!$F$105:$ES$105,Calculo!$F$14:$ES$14,10),SUMIFS(Calculo!$F$261:$ES$261,Calculo!$F$170:$ES$170,10))</f>
        <v>0</v>
      </c>
      <c r="O26" s="54" t="n">
        <f aca="false">SUM(D26:N26)</f>
        <v>813214.128224454</v>
      </c>
    </row>
    <row r="27" customFormat="false" ht="15" hidden="false" customHeight="false" outlineLevel="0" collapsed="false">
      <c r="A27" s="11" t="s">
        <v>2838</v>
      </c>
      <c r="B27" s="15" t="s">
        <v>2696</v>
      </c>
      <c r="C27" s="11" t="s">
        <v>508</v>
      </c>
      <c r="D27" s="48" t="n">
        <f aca="false">IF(cu_P=1,SUMIFS(Calculo!$F$106:$ES$106,Calculo!$F$16:$ES$16,1),SUMIFS(Calculo!$F$262:$ES$262,Calculo!$F$172:$ES$172,1))</f>
        <v>0</v>
      </c>
      <c r="E27" s="48" t="n">
        <f aca="false">IF(cu_P=1,SUMIFS(Calculo!$F$106:$ES$106,Calculo!$F$14:$ES$14,1),SUMIFS(Calculo!$F$262:$ES$262,Calculo!$F$170:$ES$170,1))</f>
        <v>0</v>
      </c>
      <c r="F27" s="48" t="n">
        <f aca="false">IF(cu_P=1,SUMIFS(Calculo!$F$106:$ES$106,Calculo!$F$14:$ES$14,2),SUMIFS(Calculo!$F$262:$ES$262,Calculo!$F$170:$ES$170,2))</f>
        <v>0</v>
      </c>
      <c r="G27" s="48" t="n">
        <f aca="false">IF(cu_P=1,SUMIFS(Calculo!$F$106:$ES$106,Calculo!$F$14:$ES$14,3),SUMIFS(Calculo!$F$262:$ES$262,Calculo!$F$170:$ES$170,3))</f>
        <v>0</v>
      </c>
      <c r="H27" s="48" t="n">
        <f aca="false">IF(cu_P=1,SUMIFS(Calculo!$F$106:$ES$106,Calculo!$F$14:$ES$14,4),SUMIFS(Calculo!$F$262:$ES$262,Calculo!$F$170:$ES$170,4))</f>
        <v>0</v>
      </c>
      <c r="I27" s="48" t="n">
        <f aca="false">IF(cu_P=1,SUMIFS(Calculo!$F$106:$ES$106,Calculo!$F$14:$ES$14,5),SUMIFS(Calculo!$F$262:$ES$262,Calculo!$F$170:$ES$170,5))</f>
        <v>0</v>
      </c>
      <c r="J27" s="48" t="n">
        <f aca="false">IF(cu_P=1,SUMIFS(Calculo!$F$106:$ES$106,Calculo!$F$14:$ES$14,6),SUMIFS(Calculo!$F$262:$ES$262,Calculo!$F$170:$ES$170,6))</f>
        <v>0</v>
      </c>
      <c r="K27" s="48" t="n">
        <f aca="false">IF(cu_P=1,SUMIFS(Calculo!$F$106:$ES$106,Calculo!$F$14:$ES$14,7),SUMIFS(Calculo!$F$262:$ES$262,Calculo!$F$170:$ES$170,7))</f>
        <v>0</v>
      </c>
      <c r="L27" s="48" t="n">
        <f aca="false">IF(cu_P=1,SUMIFS(Calculo!$F$106:$ES$106,Calculo!$F$14:$ES$14,8),SUMIFS(Calculo!$F$262:$ES$262,Calculo!$F$170:$ES$170,8))</f>
        <v>0</v>
      </c>
      <c r="M27" s="48" t="n">
        <f aca="false">IF(cu_P=1,SUMIFS(Calculo!$F$106:$ES$106,Calculo!$F$14:$ES$14,9),SUMIFS(Calculo!$F$262:$ES$262,Calculo!$F$170:$ES$170,9))</f>
        <v>0</v>
      </c>
      <c r="N27" s="48" t="n">
        <f aca="false">IF(cu_P=1,SUMIFS(Calculo!$F$106:$ES$106,Calculo!$F$14:$ES$14,10),SUMIFS(Calculo!$F$262:$ES$262,Calculo!$F$170:$ES$170,10))</f>
        <v>0</v>
      </c>
      <c r="O27" s="54" t="n">
        <f aca="false">SUM(D27:N27)</f>
        <v>0</v>
      </c>
    </row>
    <row r="28" customFormat="false" ht="15" hidden="false" customHeight="false" outlineLevel="0" collapsed="false">
      <c r="A28" s="11" t="s">
        <v>2839</v>
      </c>
      <c r="B28" s="67" t="s">
        <v>2840</v>
      </c>
      <c r="C28" s="11" t="s">
        <v>508</v>
      </c>
      <c r="D28" s="54" t="n">
        <f aca="false">IFERROR(IF(COUNT(D23,D24,D25,D26,D27)=0,"",N(D23)+N(D24)+N(D25)+N(D26)+N(D27)),"")</f>
        <v>0</v>
      </c>
      <c r="E28" s="54" t="n">
        <f aca="false">IFERROR(IF(COUNT(E23,E24,E25,E26,E27)=0,"",N(E23)+N(E24)+N(E25)+N(E26)+N(E27)),"")</f>
        <v>3571736.26214816</v>
      </c>
      <c r="F28" s="54" t="n">
        <f aca="false">IFERROR(IF(COUNT(F23,F24,F25,F26,F27)=0,"",N(F23)+N(F24)+N(F25)+N(F26)+N(F27)),"")</f>
        <v>1532438.31027021</v>
      </c>
      <c r="G28" s="54" t="n">
        <f aca="false">IFERROR(IF(COUNT(G23,G24,G25,G26,G27)=0,"",N(G23)+N(G24)+N(G25)+N(G26)+N(G27)),"")</f>
        <v>1439450.86185424</v>
      </c>
      <c r="H28" s="54" t="n">
        <f aca="false">IFERROR(IF(COUNT(H23,H24,H25,H26,H27)=0,"",N(H23)+N(H24)+N(H25)+N(H26)+N(H27)),"")</f>
        <v>1325279.18477833</v>
      </c>
      <c r="I28" s="54" t="n">
        <f aca="false">IFERROR(IF(COUNT(I23,I24,I25,I26,I27)=0,"",N(I23)+N(I24)+N(I25)+N(I26)+N(I27)),"")</f>
        <v>798395.479199783</v>
      </c>
      <c r="J28" s="54" t="n">
        <f aca="false">IFERROR(IF(COUNT(J23,J24,J25,J26,J27)=0,"",N(J23)+N(J24)+N(J25)+N(J26)+N(J27)),"")</f>
        <v>37724.8564685965</v>
      </c>
      <c r="K28" s="54" t="n">
        <f aca="false">IFERROR(IF(COUNT(K23,K24,K25,K26,K27)=0,"",N(K23)+N(K24)+N(K25)+N(K26)+N(K27)),"")</f>
        <v>38089.8932247814</v>
      </c>
      <c r="L28" s="54" t="n">
        <f aca="false">IFERROR(IF(COUNT(L23,L24,L25,L26,L27)=0,"",N(L23)+N(L24)+N(L25)+N(L26)+N(L27)),"")</f>
        <v>38458.2176945182</v>
      </c>
      <c r="M28" s="54" t="n">
        <f aca="false">IFERROR(IF(COUNT(M23,M24,M25,M26,M27)=0,"",N(M23)+N(M24)+N(M25)+N(M26)+N(M27)),"")</f>
        <v>38829.851949336</v>
      </c>
      <c r="N28" s="54" t="n">
        <f aca="false">IFERROR(IF(COUNT(N23,N24,N25,N26,N27)=0,"",N(N23)+N(N24)+N(N25)+N(N26)+N(N27)),"")</f>
        <v>39204.8179587778</v>
      </c>
      <c r="O28" s="54" t="n">
        <f aca="false">SUM(D28:N28)</f>
        <v>8859607.73554673</v>
      </c>
    </row>
    <row r="29" customFormat="false" ht="15" hidden="false" customHeight="false" outlineLevel="0" collapsed="false">
      <c r="A29" s="11" t="s">
        <v>2841</v>
      </c>
      <c r="B29" s="67" t="s">
        <v>2842</v>
      </c>
      <c r="C29" s="11" t="s">
        <v>508</v>
      </c>
      <c r="D29" s="54" t="n">
        <f aca="false">IFERROR(IF(COUNT(D22,D28)=0,"",N(D22)-N(D28)),"")</f>
        <v>0</v>
      </c>
      <c r="E29" s="54" t="n">
        <f aca="false">IFERROR(IF(COUNT(E22,E28)=0,"",N(E22)-N(E28)),"")</f>
        <v>-3061766.25644108</v>
      </c>
      <c r="F29" s="54" t="n">
        <f aca="false">IFERROR(IF(COUNT(F22,F28)=0,"",N(F22)-N(F28)),"")</f>
        <v>-566481.474342634</v>
      </c>
      <c r="G29" s="54" t="n">
        <f aca="false">IFERROR(IF(COUNT(G22,G28)=0,"",N(G22)-N(G28)),"")</f>
        <v>-34430.4914727395</v>
      </c>
      <c r="H29" s="54" t="n">
        <f aca="false">IFERROR(IF(COUNT(H22,H28)=0,"",N(H22)-N(H28)),"")</f>
        <v>473443.773779966</v>
      </c>
      <c r="I29" s="54" t="n">
        <f aca="false">IFERROR(IF(COUNT(I22,I28)=0,"",N(I22)-N(I28)),"")</f>
        <v>1016162.4993167</v>
      </c>
      <c r="J29" s="54" t="n">
        <f aca="false">IFERROR(IF(COUNT(J22,J28)=0,"",N(J22)-N(J28)),"")</f>
        <v>1825880.44510532</v>
      </c>
      <c r="K29" s="54" t="n">
        <f aca="false">IFERROR(IF(COUNT(K22,K28)=0,"",N(K22)-N(K28)),"")</f>
        <v>1874902.37664802</v>
      </c>
      <c r="L29" s="54" t="n">
        <f aca="false">IFERROR(IF(COUNT(L22,L28)=0,"",N(L22)-N(L28)),"")</f>
        <v>1924259.60486093</v>
      </c>
      <c r="M29" s="54" t="n">
        <f aca="false">IFERROR(IF(COUNT(M22,M28)=0,"",N(M22)-N(M28)),"")</f>
        <v>1973950.90383755</v>
      </c>
      <c r="N29" s="54" t="n">
        <f aca="false">IFERROR(IF(COUNT(N22,N28)=0,"",N(N22)-N(N28)),"")</f>
        <v>6533737.41674454</v>
      </c>
      <c r="O29" s="54" t="n">
        <f aca="false">SUM(D29:N29)</f>
        <v>11959658.7980366</v>
      </c>
    </row>
    <row r="30" customFormat="false" ht="15" hidden="false" customHeight="false" outlineLevel="0" collapsed="false">
      <c r="A30" s="11" t="s">
        <v>2843</v>
      </c>
      <c r="B30" s="15" t="s">
        <v>2844</v>
      </c>
      <c r="C30" s="11"/>
      <c r="D30" s="42" t="n">
        <f aca="false">IFERROR(1/(1+IF(cu_P=1,P_WACC,V_WACC))^D33,"")</f>
        <v>1</v>
      </c>
      <c r="E30" s="42" t="n">
        <f aca="false">IFERROR(1/(1+IF(cu_P=1,P_WACC,V_WACC))^E33,"")</f>
        <v>0.913330673105526</v>
      </c>
      <c r="F30" s="42" t="n">
        <f aca="false">IFERROR(1/(1+IF(cu_P=1,P_WACC,V_WACC))^F33,"")</f>
        <v>0.834172918435393</v>
      </c>
      <c r="G30" s="42" t="n">
        <f aca="false">IFERROR(1/(1+IF(cu_P=1,P_WACC,V_WACC))^G33,"")</f>
        <v>0.761875713080999</v>
      </c>
      <c r="H30" s="42" t="n">
        <f aca="false">IFERROR(1/(1+IF(cu_P=1,P_WACC,V_WACC))^H33,"")</f>
        <v>0.695844457851021</v>
      </c>
      <c r="I30" s="42" t="n">
        <f aca="false">IFERROR(1/(1+IF(cu_P=1,P_WACC,V_WACC))^I33,"")</f>
        <v>0.635536087065823</v>
      </c>
      <c r="J30" s="42" t="n">
        <f aca="false">IFERROR(1/(1+IF(cu_P=1,P_WACC,V_WACC))^J33,"")</f>
        <v>0.580454602182681</v>
      </c>
      <c r="K30" s="42" t="n">
        <f aca="false">IFERROR(1/(1+IF(cu_P=1,P_WACC,V_WACC))^K33,"")</f>
        <v>0.530146992518708</v>
      </c>
      <c r="L30" s="42" t="n">
        <f aca="false">IFERROR(1/(1+IF(cu_P=1,P_WACC,V_WACC))^L33,"")</f>
        <v>0.484199509521982</v>
      </c>
      <c r="M30" s="42" t="n">
        <f aca="false">IFERROR(1/(1+IF(cu_P=1,P_WACC,V_WACC))^M33,"")</f>
        <v>0.442234263949077</v>
      </c>
      <c r="N30" s="42" t="n">
        <f aca="false">IFERROR(1/(1+IF(cu_P=1,P_WACC,V_WACC))^N33,"")</f>
        <v>0.403906117962938</v>
      </c>
    </row>
    <row r="31" customFormat="false" ht="15" hidden="false" customHeight="false" outlineLevel="0" collapsed="false">
      <c r="A31" s="11" t="s">
        <v>2845</v>
      </c>
      <c r="B31" s="15" t="s">
        <v>2846</v>
      </c>
      <c r="C31" s="11" t="s">
        <v>508</v>
      </c>
      <c r="D31" s="48" t="n">
        <f aca="false">IFERROR(IF(NOT(ISNUMBER(D29)),"",D29*D30),"")</f>
        <v>0</v>
      </c>
      <c r="E31" s="48" t="n">
        <f aca="false">IFERROR(IF(NOT(ISNUMBER(E29)),"",E29*E30),"")</f>
        <v>-2796405.03588712</v>
      </c>
      <c r="F31" s="48" t="n">
        <f aca="false">IFERROR(IF(NOT(ISNUMBER(F29)),"",F29*F30),"")</f>
        <v>-472543.504691979</v>
      </c>
      <c r="G31" s="48" t="n">
        <f aca="false">IFERROR(IF(NOT(ISNUMBER(G29)),"",G29*G30),"")</f>
        <v>-26231.7552425227</v>
      </c>
      <c r="H31" s="48" t="n">
        <f aca="false">IFERROR(IF(NOT(ISNUMBER(H29)),"",H29*H30),"")</f>
        <v>329443.226088862</v>
      </c>
      <c r="I31" s="48" t="n">
        <f aca="false">IFERROR(IF(NOT(ISNUMBER(I29)),"",I29*I30),"")</f>
        <v>645807.938638764</v>
      </c>
      <c r="J31" s="48" t="n">
        <f aca="false">IFERROR(IF(NOT(ISNUMBER(J29)),"",J29*J30),"")</f>
        <v>1059840.70739674</v>
      </c>
      <c r="K31" s="48" t="n">
        <f aca="false">IFERROR(IF(NOT(ISNUMBER(K29)),"",K29*K30),"")</f>
        <v>993973.856246124</v>
      </c>
      <c r="L31" s="48" t="n">
        <f aca="false">IFERROR(IF(NOT(ISNUMBER(L29)),"",L29*L30),"")</f>
        <v>931725.556866625</v>
      </c>
      <c r="M31" s="48" t="n">
        <f aca="false">IFERROR(IF(NOT(ISNUMBER(M29)),"",M29*M30),"")</f>
        <v>872948.725030217</v>
      </c>
      <c r="N31" s="48" t="n">
        <f aca="false">IFERROR(IF(NOT(ISNUMBER(N29)),"",N29*N30),"")</f>
        <v>2639016.51578648</v>
      </c>
      <c r="O31" s="54" t="n">
        <f aca="false">SUM(D31:N31)</f>
        <v>4177576.23023219</v>
      </c>
    </row>
    <row r="32" customFormat="false" ht="15" hidden="false" customHeight="false" outlineLevel="0" collapsed="false">
      <c r="A32" s="11" t="s">
        <v>2847</v>
      </c>
      <c r="B32" s="15" t="s">
        <v>2848</v>
      </c>
      <c r="C32" s="11" t="s">
        <v>508</v>
      </c>
      <c r="D32" s="48" t="n">
        <f aca="false">IFERROR(IF(NOT(ISNUMBER(D31)),"",D31),"")</f>
        <v>0</v>
      </c>
      <c r="E32" s="48" t="n">
        <f aca="false">IFERROR(IF(NOT(ISNUMBER(E31)),"",N(D32)+E31),"")</f>
        <v>-2796405.03588712</v>
      </c>
      <c r="F32" s="48" t="n">
        <f aca="false">IFERROR(IF(NOT(ISNUMBER(F31)),"",N(E32)+F31),"")</f>
        <v>-3268948.5405791</v>
      </c>
      <c r="G32" s="48" t="n">
        <f aca="false">IFERROR(IF(NOT(ISNUMBER(G31)),"",N(F32)+G31),"")</f>
        <v>-3295180.29582162</v>
      </c>
      <c r="H32" s="48" t="n">
        <f aca="false">IFERROR(IF(NOT(ISNUMBER(H31)),"",N(G32)+H31),"")</f>
        <v>-2965737.06973276</v>
      </c>
      <c r="I32" s="48" t="n">
        <f aca="false">IFERROR(IF(NOT(ISNUMBER(I31)),"",N(H32)+I31),"")</f>
        <v>-2319929.131094</v>
      </c>
      <c r="J32" s="48" t="n">
        <f aca="false">IFERROR(IF(NOT(ISNUMBER(J31)),"",N(I32)+J31),"")</f>
        <v>-1260088.42369725</v>
      </c>
      <c r="K32" s="48" t="n">
        <f aca="false">IFERROR(IF(NOT(ISNUMBER(K31)),"",N(J32)+K31),"")</f>
        <v>-266114.567451129</v>
      </c>
      <c r="L32" s="48" t="n">
        <f aca="false">IFERROR(IF(NOT(ISNUMBER(L31)),"",N(K32)+L31),"")</f>
        <v>665610.989415497</v>
      </c>
      <c r="M32" s="48" t="n">
        <f aca="false">IFERROR(IF(NOT(ISNUMBER(M31)),"",N(L32)+M31),"")</f>
        <v>1538559.71444571</v>
      </c>
      <c r="N32" s="48" t="n">
        <f aca="false">IFERROR(IF(NOT(ISNUMBER(N31)),"",N(M32)+N31),"")</f>
        <v>4177576.23023219</v>
      </c>
    </row>
    <row r="33" customFormat="false" ht="15" hidden="true" customHeight="false" outlineLevel="1" collapsed="false">
      <c r="A33" s="11" t="s">
        <v>2849</v>
      </c>
      <c r="B33" s="15" t="s">
        <v>1576</v>
      </c>
      <c r="C33" s="11"/>
      <c r="D33" s="34" t="n">
        <f aca="false">IFERROR(0,"")</f>
        <v>0</v>
      </c>
      <c r="E33" s="34" t="n">
        <f aca="false">IFERROR(1,"")</f>
        <v>1</v>
      </c>
      <c r="F33" s="34" t="n">
        <f aca="false">IFERROR(2,"")</f>
        <v>2</v>
      </c>
      <c r="G33" s="34" t="n">
        <f aca="false">IFERROR(3,"")</f>
        <v>3</v>
      </c>
      <c r="H33" s="34" t="n">
        <f aca="false">IFERROR(4,"")</f>
        <v>4</v>
      </c>
      <c r="I33" s="34" t="n">
        <f aca="false">IFERROR(5,"")</f>
        <v>5</v>
      </c>
      <c r="J33" s="34" t="n">
        <f aca="false">IFERROR(6,"")</f>
        <v>6</v>
      </c>
      <c r="K33" s="34" t="n">
        <f aca="false">IFERROR(7,"")</f>
        <v>7</v>
      </c>
      <c r="L33" s="34" t="n">
        <f aca="false">IFERROR(8,"")</f>
        <v>8</v>
      </c>
      <c r="M33" s="34" t="n">
        <f aca="false">IFERROR(9,"")</f>
        <v>9</v>
      </c>
      <c r="N33" s="34" t="n">
        <f aca="false">IFERROR(10,"")</f>
        <v>10</v>
      </c>
    </row>
    <row r="35" customFormat="false" ht="15" hidden="false" customHeight="false" outlineLevel="0" collapsed="false">
      <c r="A35" s="65" t="s">
        <v>1992</v>
      </c>
      <c r="B35" s="64"/>
      <c r="C35" s="64"/>
      <c r="D35" s="64"/>
      <c r="E35" s="64"/>
      <c r="F35" s="64"/>
      <c r="G35" s="64"/>
      <c r="H35" s="64"/>
      <c r="I35" s="64"/>
      <c r="J35" s="64"/>
      <c r="K35" s="64"/>
      <c r="L35" s="64"/>
      <c r="M35" s="64"/>
      <c r="N35" s="64"/>
      <c r="O35" s="64"/>
    </row>
    <row r="36" customFormat="false" ht="24" hidden="false" customHeight="true" outlineLevel="0" collapsed="false">
      <c r="A36" s="14"/>
      <c r="B36" s="14" t="s">
        <v>1530</v>
      </c>
      <c r="C36" s="14" t="s">
        <v>355</v>
      </c>
      <c r="D36" s="14" t="s">
        <v>1857</v>
      </c>
      <c r="E36" s="14" t="s">
        <v>452</v>
      </c>
      <c r="F36" s="14" t="s">
        <v>453</v>
      </c>
      <c r="G36" s="14" t="s">
        <v>454</v>
      </c>
      <c r="H36" s="14" t="s">
        <v>455</v>
      </c>
      <c r="I36" s="14" t="s">
        <v>456</v>
      </c>
      <c r="J36" s="14" t="s">
        <v>457</v>
      </c>
      <c r="K36" s="14" t="s">
        <v>458</v>
      </c>
      <c r="L36" s="14" t="s">
        <v>459</v>
      </c>
      <c r="M36" s="14" t="s">
        <v>460</v>
      </c>
      <c r="N36" s="14" t="s">
        <v>461</v>
      </c>
      <c r="O36" s="14" t="s">
        <v>549</v>
      </c>
    </row>
    <row r="37" customFormat="false" ht="15" hidden="false" customHeight="false" outlineLevel="0" collapsed="false">
      <c r="B37" s="11" t="s">
        <v>1993</v>
      </c>
      <c r="D37" s="86" t="str">
        <f aca="false">IF(OR(n_Fecha1="",IF(cu_P=1,P_Inicio,V_Inicio)=1),"",YEAR(n_Fecha1))</f>
        <v/>
      </c>
      <c r="E37" s="86" t="str">
        <f aca="false">IF(n_Fecha1="","",YEAR(EOMONTH(n_Fecha1,IF(cu_P=1,P_Inicio,V_Inicio)-1+0)))</f>
        <v/>
      </c>
      <c r="F37" s="86" t="str">
        <f aca="false">IF(n_Fecha1="","",YEAR(EOMONTH(n_Fecha1,IF(cu_P=1,P_Inicio,V_Inicio)-1+12)))</f>
        <v/>
      </c>
      <c r="G37" s="86" t="str">
        <f aca="false">IF(n_Fecha1="","",YEAR(EOMONTH(n_Fecha1,IF(cu_P=1,P_Inicio,V_Inicio)-1+24)))</f>
        <v/>
      </c>
      <c r="H37" s="86" t="str">
        <f aca="false">IF(n_Fecha1="","",YEAR(EOMONTH(n_Fecha1,IF(cu_P=1,P_Inicio,V_Inicio)-1+36)))</f>
        <v/>
      </c>
      <c r="I37" s="86" t="str">
        <f aca="false">IF(n_Fecha1="","",YEAR(EOMONTH(n_Fecha1,IF(cu_P=1,P_Inicio,V_Inicio)-1+48)))</f>
        <v/>
      </c>
      <c r="J37" s="86" t="str">
        <f aca="false">IF(n_Fecha1="","",YEAR(EOMONTH(n_Fecha1,IF(cu_P=1,P_Inicio,V_Inicio)-1+60)))</f>
        <v/>
      </c>
      <c r="K37" s="86" t="str">
        <f aca="false">IF(n_Fecha1="","",YEAR(EOMONTH(n_Fecha1,IF(cu_P=1,P_Inicio,V_Inicio)-1+72)))</f>
        <v/>
      </c>
      <c r="L37" s="86" t="str">
        <f aca="false">IF(n_Fecha1="","",YEAR(EOMONTH(n_Fecha1,IF(cu_P=1,P_Inicio,V_Inicio)-1+84)))</f>
        <v/>
      </c>
      <c r="M37" s="86" t="str">
        <f aca="false">IF(n_Fecha1="","",YEAR(EOMONTH(n_Fecha1,IF(cu_P=1,P_Inicio,V_Inicio)-1+96)))</f>
        <v/>
      </c>
      <c r="N37" s="86" t="str">
        <f aca="false">IF(n_Fecha1="","",YEAR(EOMONTH(n_Fecha1,IF(cu_P=1,P_Inicio,V_Inicio)-1+108)))</f>
        <v/>
      </c>
    </row>
    <row r="38" customFormat="false" ht="15" hidden="false" customHeight="false" outlineLevel="0" collapsed="false">
      <c r="A38" s="13"/>
      <c r="B38" s="100" t="s">
        <v>2807</v>
      </c>
      <c r="C38" s="13"/>
      <c r="D38" s="13"/>
      <c r="E38" s="13"/>
      <c r="F38" s="13"/>
      <c r="G38" s="13"/>
      <c r="H38" s="13"/>
      <c r="I38" s="13"/>
      <c r="J38" s="13"/>
      <c r="K38" s="13"/>
      <c r="L38" s="13"/>
      <c r="M38" s="13"/>
      <c r="N38" s="13"/>
      <c r="O38" s="13"/>
    </row>
    <row r="39" customFormat="false" ht="15" hidden="false" customHeight="false" outlineLevel="0" collapsed="false">
      <c r="A39" s="11" t="s">
        <v>2808</v>
      </c>
      <c r="B39" s="15" t="s">
        <v>2775</v>
      </c>
      <c r="C39" s="11" t="s">
        <v>508</v>
      </c>
      <c r="O39" s="54" t="str">
        <f aca="false">IF(COUNT(D39:N39)=0,"",SUM(D39:N39))</f>
        <v/>
      </c>
    </row>
    <row r="40" customFormat="false" ht="15" hidden="false" customHeight="false" outlineLevel="0" collapsed="false">
      <c r="A40" s="11" t="s">
        <v>2809</v>
      </c>
      <c r="B40" s="15" t="s">
        <v>2810</v>
      </c>
      <c r="C40" s="11" t="s">
        <v>508</v>
      </c>
      <c r="O40" s="54" t="str">
        <f aca="false">IF(COUNT(D40:N40)=0,"",SUM(D40:N40))</f>
        <v/>
      </c>
    </row>
    <row r="41" customFormat="false" ht="15" hidden="false" customHeight="false" outlineLevel="0" collapsed="false">
      <c r="A41" s="11" t="s">
        <v>2811</v>
      </c>
      <c r="B41" s="15" t="s">
        <v>2812</v>
      </c>
      <c r="C41" s="11" t="s">
        <v>508</v>
      </c>
      <c r="O41" s="54" t="str">
        <f aca="false">IF(COUNT(D41:N41)=0,"",SUM(D41:N41))</f>
        <v/>
      </c>
    </row>
    <row r="42" customFormat="false" ht="15" hidden="false" customHeight="false" outlineLevel="0" collapsed="false">
      <c r="A42" s="11" t="s">
        <v>2813</v>
      </c>
      <c r="B42" s="15" t="s">
        <v>2814</v>
      </c>
      <c r="C42" s="11" t="s">
        <v>508</v>
      </c>
      <c r="O42" s="54" t="str">
        <f aca="false">IF(COUNT(D42:N42)=0,"",SUM(D42:N42))</f>
        <v/>
      </c>
    </row>
    <row r="43" customFormat="false" ht="15" hidden="false" customHeight="false" outlineLevel="0" collapsed="false">
      <c r="A43" s="11" t="s">
        <v>2815</v>
      </c>
      <c r="B43" s="15" t="s">
        <v>2816</v>
      </c>
      <c r="C43" s="11" t="s">
        <v>508</v>
      </c>
      <c r="O43" s="54" t="str">
        <f aca="false">IF(COUNT(D43:N43)=0,"",SUM(D43:N43))</f>
        <v/>
      </c>
    </row>
    <row r="44" customFormat="false" ht="15" hidden="false" customHeight="false" outlineLevel="0" collapsed="false">
      <c r="A44" s="11" t="s">
        <v>2817</v>
      </c>
      <c r="B44" s="67" t="s">
        <v>1206</v>
      </c>
      <c r="C44" s="11" t="s">
        <v>508</v>
      </c>
      <c r="O44" s="54" t="str">
        <f aca="false">IF(COUNT(D44:N44)=0,"",SUM(D44:N44))</f>
        <v/>
      </c>
    </row>
    <row r="45" customFormat="false" ht="15" hidden="false" customHeight="false" outlineLevel="0" collapsed="false">
      <c r="A45" s="11" t="s">
        <v>2818</v>
      </c>
      <c r="B45" s="15" t="s">
        <v>2819</v>
      </c>
      <c r="C45" s="11" t="s">
        <v>508</v>
      </c>
      <c r="O45" s="54" t="str">
        <f aca="false">IF(COUNT(D45:N45)=0,"",SUM(D45:N45))</f>
        <v/>
      </c>
    </row>
    <row r="46" customFormat="false" ht="15" hidden="false" customHeight="false" outlineLevel="0" collapsed="false">
      <c r="A46" s="11" t="s">
        <v>2820</v>
      </c>
      <c r="B46" s="15" t="s">
        <v>2821</v>
      </c>
      <c r="C46" s="11" t="s">
        <v>508</v>
      </c>
      <c r="D46" s="48" t="str">
        <f aca="false">IFERROR(IF(NOT(ISNUMBER(D45)),"",D45),"")</f>
        <v/>
      </c>
      <c r="E46" s="48" t="str">
        <f aca="false">IFERROR(IF(NOT(ISNUMBER(E45)),"",N(D46)+E45),"")</f>
        <v/>
      </c>
      <c r="F46" s="48" t="str">
        <f aca="false">IFERROR(IF(NOT(ISNUMBER(F45)),"",N(E46)+F45),"")</f>
        <v/>
      </c>
      <c r="G46" s="48" t="str">
        <f aca="false">IFERROR(IF(NOT(ISNUMBER(G45)),"",N(F46)+G45),"")</f>
        <v/>
      </c>
      <c r="H46" s="48" t="str">
        <f aca="false">IFERROR(IF(NOT(ISNUMBER(H45)),"",N(G46)+H45),"")</f>
        <v/>
      </c>
      <c r="I46" s="48" t="str">
        <f aca="false">IFERROR(IF(NOT(ISNUMBER(I45)),"",N(H46)+I45),"")</f>
        <v/>
      </c>
      <c r="J46" s="48" t="str">
        <f aca="false">IFERROR(IF(NOT(ISNUMBER(J45)),"",N(I46)+J45),"")</f>
        <v/>
      </c>
      <c r="K46" s="48" t="str">
        <f aca="false">IFERROR(IF(NOT(ISNUMBER(K45)),"",N(J46)+K45),"")</f>
        <v/>
      </c>
      <c r="L46" s="48" t="str">
        <f aca="false">IFERROR(IF(NOT(ISNUMBER(L45)),"",N(K46)+L45),"")</f>
        <v/>
      </c>
      <c r="M46" s="48" t="str">
        <f aca="false">IFERROR(IF(NOT(ISNUMBER(M45)),"",N(L46)+M45),"")</f>
        <v/>
      </c>
      <c r="N46" s="48" t="str">
        <f aca="false">IFERROR(IF(NOT(ISNUMBER(N45)),"",N(M46)+N45),"")</f>
        <v/>
      </c>
    </row>
    <row r="47" customFormat="false" ht="15" hidden="false" customHeight="false" outlineLevel="0" collapsed="false">
      <c r="A47" s="13"/>
      <c r="B47" s="100" t="s">
        <v>2822</v>
      </c>
      <c r="C47" s="13"/>
      <c r="D47" s="13"/>
      <c r="E47" s="13"/>
      <c r="F47" s="13"/>
      <c r="G47" s="13"/>
      <c r="H47" s="13"/>
      <c r="I47" s="13"/>
      <c r="J47" s="13"/>
      <c r="K47" s="13"/>
      <c r="L47" s="13"/>
      <c r="M47" s="13"/>
      <c r="N47" s="13"/>
      <c r="O47" s="13"/>
    </row>
    <row r="48" customFormat="false" ht="15" hidden="false" customHeight="false" outlineLevel="0" collapsed="false">
      <c r="A48" s="11" t="s">
        <v>2823</v>
      </c>
      <c r="B48" s="15" t="s">
        <v>2824</v>
      </c>
      <c r="C48" s="11" t="s">
        <v>508</v>
      </c>
      <c r="O48" s="54" t="str">
        <f aca="false">IF(COUNT(D48:N48)=0,"",SUM(D48:N48))</f>
        <v/>
      </c>
    </row>
    <row r="49" customFormat="false" ht="15" hidden="false" customHeight="false" outlineLevel="0" collapsed="false">
      <c r="A49" s="11" t="s">
        <v>2825</v>
      </c>
      <c r="B49" s="15" t="s">
        <v>2826</v>
      </c>
      <c r="C49" s="11" t="s">
        <v>508</v>
      </c>
      <c r="O49" s="54" t="str">
        <f aca="false">IF(COUNT(D49:N49)=0,"",SUM(D49:N49))</f>
        <v/>
      </c>
    </row>
    <row r="50" customFormat="false" ht="15" hidden="false" customHeight="false" outlineLevel="0" collapsed="false">
      <c r="A50" s="11" t="s">
        <v>2827</v>
      </c>
      <c r="B50" s="15" t="s">
        <v>2828</v>
      </c>
      <c r="C50" s="11" t="s">
        <v>508</v>
      </c>
      <c r="D50" s="48" t="str">
        <f aca="false">IFERROR(IF(NOT(ISNUMBER(D49)),"",D49),"")</f>
        <v/>
      </c>
      <c r="E50" s="48" t="str">
        <f aca="false">IFERROR(IF(NOT(ISNUMBER(E49)),"",N(D50)+E49),"")</f>
        <v/>
      </c>
      <c r="F50" s="48" t="str">
        <f aca="false">IFERROR(IF(NOT(ISNUMBER(F49)),"",N(E50)+F49),"")</f>
        <v/>
      </c>
      <c r="G50" s="48" t="str">
        <f aca="false">IFERROR(IF(NOT(ISNUMBER(G49)),"",N(F50)+G49),"")</f>
        <v/>
      </c>
      <c r="H50" s="48" t="str">
        <f aca="false">IFERROR(IF(NOT(ISNUMBER(H49)),"",N(G50)+H49),"")</f>
        <v/>
      </c>
      <c r="I50" s="48" t="str">
        <f aca="false">IFERROR(IF(NOT(ISNUMBER(I49)),"",N(H50)+I49),"")</f>
        <v/>
      </c>
      <c r="J50" s="48" t="str">
        <f aca="false">IFERROR(IF(NOT(ISNUMBER(J49)),"",N(I50)+J49),"")</f>
        <v/>
      </c>
      <c r="K50" s="48" t="str">
        <f aca="false">IFERROR(IF(NOT(ISNUMBER(K49)),"",N(J50)+K49),"")</f>
        <v/>
      </c>
      <c r="L50" s="48" t="str">
        <f aca="false">IFERROR(IF(NOT(ISNUMBER(L49)),"",N(K50)+L49),"")</f>
        <v/>
      </c>
      <c r="M50" s="48" t="str">
        <f aca="false">IFERROR(IF(NOT(ISNUMBER(M49)),"",N(L50)+M49),"")</f>
        <v/>
      </c>
      <c r="N50" s="48" t="str">
        <f aca="false">IFERROR(IF(NOT(ISNUMBER(N49)),"",N(M50)+N49),"")</f>
        <v/>
      </c>
    </row>
    <row r="51" customFormat="false" ht="15" hidden="false" customHeight="false" outlineLevel="0" collapsed="false">
      <c r="A51" s="13"/>
      <c r="B51" s="100" t="s">
        <v>2829</v>
      </c>
      <c r="C51" s="13"/>
      <c r="D51" s="13"/>
      <c r="E51" s="13"/>
      <c r="F51" s="13"/>
      <c r="G51" s="13"/>
      <c r="H51" s="13"/>
      <c r="I51" s="13"/>
      <c r="J51" s="13"/>
      <c r="K51" s="13"/>
      <c r="L51" s="13"/>
      <c r="M51" s="13"/>
      <c r="N51" s="13"/>
      <c r="O51" s="13"/>
    </row>
    <row r="52" customFormat="false" ht="15" hidden="false" customHeight="false" outlineLevel="0" collapsed="false">
      <c r="A52" s="11" t="s">
        <v>2830</v>
      </c>
      <c r="B52" s="67" t="s">
        <v>2831</v>
      </c>
      <c r="C52" s="11" t="s">
        <v>508</v>
      </c>
      <c r="D52" s="37" t="n">
        <v>0</v>
      </c>
      <c r="E52" s="37" t="n">
        <v>573024</v>
      </c>
      <c r="F52" s="37" t="n">
        <v>1029011</v>
      </c>
      <c r="G52" s="37" t="n">
        <v>1479759</v>
      </c>
      <c r="H52" s="37" t="n">
        <v>1886306</v>
      </c>
      <c r="I52" s="37" t="n">
        <v>1914796</v>
      </c>
      <c r="J52" s="37" t="n">
        <v>1973999</v>
      </c>
      <c r="K52" s="37" t="n">
        <v>2033657</v>
      </c>
      <c r="L52" s="37" t="n">
        <v>2093768</v>
      </c>
      <c r="M52" s="37" t="n">
        <v>2154335</v>
      </c>
      <c r="N52" s="37" t="n">
        <v>6249065</v>
      </c>
      <c r="O52" s="54" t="n">
        <f aca="false">IF(COUNT(D52:N52)=0,"",SUM(D52:N52))</f>
        <v>21387720</v>
      </c>
    </row>
    <row r="53" customFormat="false" ht="15" hidden="false" customHeight="false" outlineLevel="0" collapsed="false">
      <c r="A53" s="11" t="s">
        <v>2832</v>
      </c>
      <c r="B53" s="15" t="s">
        <v>2833</v>
      </c>
      <c r="C53" s="11" t="s">
        <v>508</v>
      </c>
      <c r="D53" s="37" t="n">
        <v>655044</v>
      </c>
      <c r="E53" s="37" t="n">
        <v>0</v>
      </c>
      <c r="F53" s="37" t="n">
        <v>100000</v>
      </c>
      <c r="G53" s="37" t="n">
        <v>0</v>
      </c>
      <c r="H53" s="37" t="n">
        <v>0</v>
      </c>
      <c r="I53" s="37" t="n">
        <v>0</v>
      </c>
      <c r="J53" s="37" t="n">
        <v>0</v>
      </c>
      <c r="K53" s="37" t="n">
        <v>0</v>
      </c>
      <c r="L53" s="37" t="n">
        <v>0</v>
      </c>
      <c r="M53" s="37" t="n">
        <v>0</v>
      </c>
      <c r="N53" s="37" t="n">
        <v>0</v>
      </c>
      <c r="O53" s="54" t="n">
        <f aca="false">IF(COUNT(D53:N53)=0,"",SUM(D53:N53))</f>
        <v>755044</v>
      </c>
    </row>
    <row r="54" customFormat="false" ht="15" hidden="false" customHeight="false" outlineLevel="0" collapsed="false">
      <c r="A54" s="11" t="s">
        <v>2834</v>
      </c>
      <c r="B54" s="15" t="s">
        <v>2835</v>
      </c>
      <c r="C54" s="11" t="s">
        <v>508</v>
      </c>
      <c r="D54" s="37" t="n">
        <v>2336543</v>
      </c>
      <c r="E54" s="37" t="n">
        <v>538119</v>
      </c>
      <c r="F54" s="37" t="n">
        <v>549192</v>
      </c>
      <c r="G54" s="37" t="n">
        <v>448306</v>
      </c>
      <c r="H54" s="37" t="n">
        <v>26363</v>
      </c>
      <c r="I54" s="37" t="n">
        <v>16055</v>
      </c>
      <c r="J54" s="37" t="n">
        <v>16254</v>
      </c>
      <c r="K54" s="37" t="n">
        <v>16456</v>
      </c>
      <c r="L54" s="37" t="n">
        <v>16661</v>
      </c>
      <c r="M54" s="37" t="n">
        <v>16870</v>
      </c>
      <c r="N54" s="37" t="n">
        <v>0</v>
      </c>
      <c r="O54" s="54" t="n">
        <f aca="false">IF(COUNT(D54:N54)=0,"",SUM(D54:N54))</f>
        <v>3980819</v>
      </c>
    </row>
    <row r="55" customFormat="false" ht="15" hidden="false" customHeight="false" outlineLevel="0" collapsed="false">
      <c r="A55" s="11" t="s">
        <v>2836</v>
      </c>
      <c r="B55" s="15" t="s">
        <v>2791</v>
      </c>
      <c r="C55" s="11" t="s">
        <v>508</v>
      </c>
      <c r="D55" s="37" t="n">
        <v>0</v>
      </c>
      <c r="E55" s="37" t="n">
        <v>257526</v>
      </c>
      <c r="F55" s="37" t="n">
        <v>551019</v>
      </c>
      <c r="G55" s="37" t="n">
        <v>602708</v>
      </c>
      <c r="H55" s="37" t="n">
        <v>659246</v>
      </c>
      <c r="I55" s="37" t="n">
        <v>721088</v>
      </c>
      <c r="J55" s="37" t="n">
        <v>0</v>
      </c>
      <c r="K55" s="37" t="n">
        <v>0</v>
      </c>
      <c r="L55" s="37" t="n">
        <v>0</v>
      </c>
      <c r="M55" s="37" t="n">
        <v>0</v>
      </c>
      <c r="N55" s="37" t="n">
        <v>0</v>
      </c>
      <c r="O55" s="54" t="n">
        <f aca="false">IF(COUNT(D55:N55)=0,"",SUM(D55:N55))</f>
        <v>2791587</v>
      </c>
    </row>
    <row r="56" customFormat="false" ht="15" hidden="false" customHeight="false" outlineLevel="0" collapsed="false">
      <c r="A56" s="11" t="s">
        <v>2837</v>
      </c>
      <c r="B56" s="15" t="s">
        <v>2613</v>
      </c>
      <c r="C56" s="11" t="s">
        <v>508</v>
      </c>
      <c r="D56" s="37" t="n">
        <v>0</v>
      </c>
      <c r="E56" s="37" t="n">
        <v>271102</v>
      </c>
      <c r="F56" s="37" t="n">
        <v>226274</v>
      </c>
      <c r="G56" s="37" t="n">
        <v>169416</v>
      </c>
      <c r="H56" s="37" t="n">
        <v>107224</v>
      </c>
      <c r="I56" s="37" t="n">
        <v>39198</v>
      </c>
      <c r="J56" s="37" t="n">
        <v>0</v>
      </c>
      <c r="K56" s="37" t="n">
        <v>0</v>
      </c>
      <c r="L56" s="37" t="n">
        <v>0</v>
      </c>
      <c r="M56" s="37" t="n">
        <v>0</v>
      </c>
      <c r="N56" s="37" t="n">
        <v>0</v>
      </c>
      <c r="O56" s="54" t="n">
        <f aca="false">IF(COUNT(D56:N56)=0,"",SUM(D56:N56))</f>
        <v>813214</v>
      </c>
    </row>
    <row r="57" customFormat="false" ht="15" hidden="false" customHeight="false" outlineLevel="0" collapsed="false">
      <c r="A57" s="11" t="s">
        <v>2838</v>
      </c>
      <c r="B57" s="15" t="s">
        <v>2696</v>
      </c>
      <c r="C57" s="11" t="s">
        <v>508</v>
      </c>
      <c r="D57" s="37" t="n">
        <v>0</v>
      </c>
      <c r="E57" s="37" t="n">
        <v>0</v>
      </c>
      <c r="F57" s="37" t="n">
        <v>0</v>
      </c>
      <c r="G57" s="37" t="n">
        <v>0</v>
      </c>
      <c r="H57" s="37" t="n">
        <v>0</v>
      </c>
      <c r="I57" s="37" t="n">
        <v>0</v>
      </c>
      <c r="J57" s="37" t="n">
        <v>0</v>
      </c>
      <c r="K57" s="37" t="n">
        <v>0</v>
      </c>
      <c r="L57" s="37" t="n">
        <v>0</v>
      </c>
      <c r="M57" s="37" t="n">
        <v>0</v>
      </c>
      <c r="N57" s="37" t="n">
        <v>0</v>
      </c>
      <c r="O57" s="54" t="n">
        <f aca="false">IF(COUNT(D57:N57)=0,"",SUM(D57:N57))</f>
        <v>0</v>
      </c>
    </row>
    <row r="58" customFormat="false" ht="15" hidden="false" customHeight="false" outlineLevel="0" collapsed="false">
      <c r="A58" s="11" t="s">
        <v>2839</v>
      </c>
      <c r="B58" s="67" t="s">
        <v>2840</v>
      </c>
      <c r="C58" s="11" t="s">
        <v>508</v>
      </c>
      <c r="D58" s="54" t="n">
        <f aca="false">IFERROR(IF(COUNT(D53,D54,D55,D56,D57)=0,"",N(D53)+N(D54)+N(D55)+N(D56)+N(D57)),"")</f>
        <v>2991587</v>
      </c>
      <c r="E58" s="54" t="n">
        <f aca="false">IFERROR(IF(COUNT(E53,E54,E55,E56,E57)=0,"",N(E53)+N(E54)+N(E55)+N(E56)+N(E57)),"")</f>
        <v>1066747</v>
      </c>
      <c r="F58" s="54" t="n">
        <f aca="false">IFERROR(IF(COUNT(F53,F54,F55,F56,F57)=0,"",N(F53)+N(F54)+N(F55)+N(F56)+N(F57)),"")</f>
        <v>1426485</v>
      </c>
      <c r="G58" s="54" t="n">
        <f aca="false">IFERROR(IF(COUNT(G53,G54,G55,G56,G57)=0,"",N(G53)+N(G54)+N(G55)+N(G56)+N(G57)),"")</f>
        <v>1220430</v>
      </c>
      <c r="H58" s="54" t="n">
        <f aca="false">IFERROR(IF(COUNT(H53,H54,H55,H56,H57)=0,"",N(H53)+N(H54)+N(H55)+N(H56)+N(H57)),"")</f>
        <v>792833</v>
      </c>
      <c r="I58" s="54" t="n">
        <f aca="false">IFERROR(IF(COUNT(I53,I54,I55,I56,I57)=0,"",N(I53)+N(I54)+N(I55)+N(I56)+N(I57)),"")</f>
        <v>776341</v>
      </c>
      <c r="J58" s="54" t="n">
        <f aca="false">IFERROR(IF(COUNT(J53,J54,J55,J56,J57)=0,"",N(J53)+N(J54)+N(J55)+N(J56)+N(J57)),"")</f>
        <v>16254</v>
      </c>
      <c r="K58" s="54" t="n">
        <f aca="false">IFERROR(IF(COUNT(K53,K54,K55,K56,K57)=0,"",N(K53)+N(K54)+N(K55)+N(K56)+N(K57)),"")</f>
        <v>16456</v>
      </c>
      <c r="L58" s="54" t="n">
        <f aca="false">IFERROR(IF(COUNT(L53,L54,L55,L56,L57)=0,"",N(L53)+N(L54)+N(L55)+N(L56)+N(L57)),"")</f>
        <v>16661</v>
      </c>
      <c r="M58" s="54" t="n">
        <f aca="false">IFERROR(IF(COUNT(M53,M54,M55,M56,M57)=0,"",N(M53)+N(M54)+N(M55)+N(M56)+N(M57)),"")</f>
        <v>16870</v>
      </c>
      <c r="N58" s="54" t="n">
        <f aca="false">IFERROR(IF(COUNT(N53,N54,N55,N56,N57)=0,"",N(N53)+N(N54)+N(N55)+N(N56)+N(N57)),"")</f>
        <v>0</v>
      </c>
      <c r="O58" s="54" t="n">
        <f aca="false">IF(COUNT(D58:N58)=0,"",SUM(D58:N58))</f>
        <v>8340664</v>
      </c>
    </row>
    <row r="59" customFormat="false" ht="15" hidden="false" customHeight="false" outlineLevel="0" collapsed="false">
      <c r="A59" s="11" t="s">
        <v>2841</v>
      </c>
      <c r="B59" s="67" t="s">
        <v>2842</v>
      </c>
      <c r="C59" s="11" t="s">
        <v>508</v>
      </c>
      <c r="D59" s="54" t="n">
        <f aca="false">IFERROR(IF(COUNT(D52,D58)=0,"",N(D52)-N(D58)),"")</f>
        <v>-2991587</v>
      </c>
      <c r="E59" s="54" t="n">
        <f aca="false">IFERROR(IF(COUNT(E52,E58)=0,"",N(E52)-N(E58)),"")</f>
        <v>-493723</v>
      </c>
      <c r="F59" s="54" t="n">
        <f aca="false">IFERROR(IF(COUNT(F52,F58)=0,"",N(F52)-N(F58)),"")</f>
        <v>-397474</v>
      </c>
      <c r="G59" s="54" t="n">
        <f aca="false">IFERROR(IF(COUNT(G52,G58)=0,"",N(G52)-N(G58)),"")</f>
        <v>259329</v>
      </c>
      <c r="H59" s="54" t="n">
        <f aca="false">IFERROR(IF(COUNT(H52,H58)=0,"",N(H52)-N(H58)),"")</f>
        <v>1093473</v>
      </c>
      <c r="I59" s="54" t="n">
        <f aca="false">IFERROR(IF(COUNT(I52,I58)=0,"",N(I52)-N(I58)),"")</f>
        <v>1138455</v>
      </c>
      <c r="J59" s="54" t="n">
        <f aca="false">IFERROR(IF(COUNT(J52,J58)=0,"",N(J52)-N(J58)),"")</f>
        <v>1957745</v>
      </c>
      <c r="K59" s="54" t="n">
        <f aca="false">IFERROR(IF(COUNT(K52,K58)=0,"",N(K52)-N(K58)),"")</f>
        <v>2017201</v>
      </c>
      <c r="L59" s="54" t="n">
        <f aca="false">IFERROR(IF(COUNT(L52,L58)=0,"",N(L52)-N(L58)),"")</f>
        <v>2077107</v>
      </c>
      <c r="M59" s="54" t="n">
        <f aca="false">IFERROR(IF(COUNT(M52,M58)=0,"",N(M52)-N(M58)),"")</f>
        <v>2137465</v>
      </c>
      <c r="N59" s="54" t="n">
        <f aca="false">IFERROR(IF(COUNT(N52,N58)=0,"",N(N52)-N(N58)),"")</f>
        <v>6249065</v>
      </c>
      <c r="O59" s="54" t="n">
        <f aca="false">IF(COUNT(D59:N59)=0,"",SUM(D59:N59))</f>
        <v>13047056</v>
      </c>
    </row>
    <row r="60" customFormat="false" ht="15" hidden="false" customHeight="false" outlineLevel="0" collapsed="false">
      <c r="A60" s="11" t="s">
        <v>2843</v>
      </c>
      <c r="B60" s="15" t="s">
        <v>2844</v>
      </c>
      <c r="C60" s="11"/>
      <c r="D60" s="42" t="n">
        <f aca="false">IFERROR(1/(1+IF(cu_P=1,P_WACC,V_WACC))^D63,"")</f>
        <v>1</v>
      </c>
      <c r="E60" s="42" t="n">
        <f aca="false">IFERROR(1/(1+IF(cu_P=1,P_WACC,V_WACC))^E63,"")</f>
        <v>0.913330673105526</v>
      </c>
      <c r="F60" s="42" t="n">
        <f aca="false">IFERROR(1/(1+IF(cu_P=1,P_WACC,V_WACC))^F63,"")</f>
        <v>0.834172918435393</v>
      </c>
      <c r="G60" s="42" t="n">
        <f aca="false">IFERROR(1/(1+IF(cu_P=1,P_WACC,V_WACC))^G63,"")</f>
        <v>0.761875713080999</v>
      </c>
      <c r="H60" s="42" t="n">
        <f aca="false">IFERROR(1/(1+IF(cu_P=1,P_WACC,V_WACC))^H63,"")</f>
        <v>0.695844457851021</v>
      </c>
      <c r="I60" s="42" t="n">
        <f aca="false">IFERROR(1/(1+IF(cu_P=1,P_WACC,V_WACC))^I63,"")</f>
        <v>0.635536087065823</v>
      </c>
      <c r="J60" s="42" t="n">
        <f aca="false">IFERROR(1/(1+IF(cu_P=1,P_WACC,V_WACC))^J63,"")</f>
        <v>0.580454602182681</v>
      </c>
      <c r="K60" s="42" t="n">
        <f aca="false">IFERROR(1/(1+IF(cu_P=1,P_WACC,V_WACC))^K63,"")</f>
        <v>0.530146992518708</v>
      </c>
      <c r="L60" s="42" t="n">
        <f aca="false">IFERROR(1/(1+IF(cu_P=1,P_WACC,V_WACC))^L63,"")</f>
        <v>0.484199509521982</v>
      </c>
      <c r="M60" s="42" t="n">
        <f aca="false">IFERROR(1/(1+IF(cu_P=1,P_WACC,V_WACC))^M63,"")</f>
        <v>0.442234263949077</v>
      </c>
      <c r="N60" s="42" t="n">
        <f aca="false">IFERROR(1/(1+IF(cu_P=1,P_WACC,V_WACC))^N63,"")</f>
        <v>0.403906117962938</v>
      </c>
    </row>
    <row r="61" customFormat="false" ht="15" hidden="false" customHeight="false" outlineLevel="0" collapsed="false">
      <c r="A61" s="11" t="s">
        <v>2845</v>
      </c>
      <c r="B61" s="15" t="s">
        <v>2846</v>
      </c>
      <c r="C61" s="11" t="s">
        <v>508</v>
      </c>
      <c r="D61" s="48" t="n">
        <f aca="false">IFERROR(IF(NOT(ISNUMBER(D59)),"",D59*D60),"")</f>
        <v>-2991587</v>
      </c>
      <c r="E61" s="48" t="n">
        <f aca="false">IFERROR(IF(NOT(ISNUMBER(E59)),"",E59*E60),"")</f>
        <v>-450932.35991768</v>
      </c>
      <c r="F61" s="48" t="n">
        <f aca="false">IFERROR(IF(NOT(ISNUMBER(F59)),"",F59*F60),"")</f>
        <v>-331562.04658219</v>
      </c>
      <c r="G61" s="48" t="n">
        <f aca="false">IFERROR(IF(NOT(ISNUMBER(G59)),"",G59*G60),"")</f>
        <v>197576.466797582</v>
      </c>
      <c r="H61" s="48" t="n">
        <f aca="false">IFERROR(IF(NOT(ISNUMBER(H59)),"",H59*H60),"")</f>
        <v>760887.12685973</v>
      </c>
      <c r="I61" s="48" t="n">
        <f aca="false">IFERROR(IF(NOT(ISNUMBER(I59)),"",I59*I60),"")</f>
        <v>723529.236000522</v>
      </c>
      <c r="J61" s="48" t="n">
        <f aca="false">IFERROR(IF(NOT(ISNUMBER(J59)),"",J59*J60),"")</f>
        <v>1136382.09515013</v>
      </c>
      <c r="K61" s="48" t="n">
        <f aca="false">IFERROR(IF(NOT(ISNUMBER(K59)),"",K59*K60),"")</f>
        <v>1069413.04345573</v>
      </c>
      <c r="L61" s="48" t="n">
        <f aca="false">IFERROR(IF(NOT(ISNUMBER(L59)),"",L59*L60),"")</f>
        <v>1005734.19062468</v>
      </c>
      <c r="M61" s="48" t="n">
        <f aca="false">IFERROR(IF(NOT(ISNUMBER(M59)),"",M59*M60),"")</f>
        <v>945260.260991914</v>
      </c>
      <c r="N61" s="48" t="n">
        <f aca="false">IFERROR(IF(NOT(ISNUMBER(N59)),"",N59*N60),"")</f>
        <v>2524035.58504806</v>
      </c>
      <c r="O61" s="54" t="n">
        <f aca="false">IF(COUNT(D61:N61)=0,"",SUM(D61:N61))</f>
        <v>4588736.59842848</v>
      </c>
    </row>
    <row r="62" customFormat="false" ht="15" hidden="false" customHeight="false" outlineLevel="0" collapsed="false">
      <c r="A62" s="11" t="s">
        <v>2847</v>
      </c>
      <c r="B62" s="15" t="s">
        <v>2848</v>
      </c>
      <c r="C62" s="11" t="s">
        <v>508</v>
      </c>
      <c r="D62" s="48" t="n">
        <f aca="false">IFERROR(IF(NOT(ISNUMBER(D61)),"",D61),"")</f>
        <v>-2991587</v>
      </c>
      <c r="E62" s="48" t="n">
        <f aca="false">IFERROR(IF(NOT(ISNUMBER(E61)),"",N(D62)+E61),"")</f>
        <v>-3442519.35991768</v>
      </c>
      <c r="F62" s="48" t="n">
        <f aca="false">IFERROR(IF(NOT(ISNUMBER(F61)),"",N(E62)+F61),"")</f>
        <v>-3774081.40649987</v>
      </c>
      <c r="G62" s="48" t="n">
        <f aca="false">IFERROR(IF(NOT(ISNUMBER(G61)),"",N(F62)+G61),"")</f>
        <v>-3576504.93970229</v>
      </c>
      <c r="H62" s="48" t="n">
        <f aca="false">IFERROR(IF(NOT(ISNUMBER(H61)),"",N(G62)+H61),"")</f>
        <v>-2815617.81284256</v>
      </c>
      <c r="I62" s="48" t="n">
        <f aca="false">IFERROR(IF(NOT(ISNUMBER(I61)),"",N(H62)+I61),"")</f>
        <v>-2092088.57684204</v>
      </c>
      <c r="J62" s="48" t="n">
        <f aca="false">IFERROR(IF(NOT(ISNUMBER(J61)),"",N(I62)+J61),"")</f>
        <v>-955706.481691903</v>
      </c>
      <c r="K62" s="48" t="n">
        <f aca="false">IFERROR(IF(NOT(ISNUMBER(K61)),"",N(J62)+K61),"")</f>
        <v>113706.561763827</v>
      </c>
      <c r="L62" s="48" t="n">
        <f aca="false">IFERROR(IF(NOT(ISNUMBER(L61)),"",N(K62)+L61),"")</f>
        <v>1119440.7523885</v>
      </c>
      <c r="M62" s="48" t="n">
        <f aca="false">IFERROR(IF(NOT(ISNUMBER(M61)),"",N(L62)+M61),"")</f>
        <v>2064701.01338042</v>
      </c>
      <c r="N62" s="48" t="n">
        <f aca="false">IFERROR(IF(NOT(ISNUMBER(N61)),"",N(M62)+N61),"")</f>
        <v>4588736.59842848</v>
      </c>
    </row>
    <row r="63" customFormat="false" ht="15" hidden="true" customHeight="false" outlineLevel="1" collapsed="false">
      <c r="A63" s="11" t="s">
        <v>2849</v>
      </c>
      <c r="B63" s="15" t="s">
        <v>1576</v>
      </c>
      <c r="C63" s="11"/>
      <c r="D63" s="34" t="n">
        <f aca="false">IFERROR(0,"")</f>
        <v>0</v>
      </c>
      <c r="E63" s="34" t="n">
        <f aca="false">IFERROR(1,"")</f>
        <v>1</v>
      </c>
      <c r="F63" s="34" t="n">
        <f aca="false">IFERROR(2,"")</f>
        <v>2</v>
      </c>
      <c r="G63" s="34" t="n">
        <f aca="false">IFERROR(3,"")</f>
        <v>3</v>
      </c>
      <c r="H63" s="34" t="n">
        <f aca="false">IFERROR(4,"")</f>
        <v>4</v>
      </c>
      <c r="I63" s="34" t="n">
        <f aca="false">IFERROR(5,"")</f>
        <v>5</v>
      </c>
      <c r="J63" s="34" t="n">
        <f aca="false">IFERROR(6,"")</f>
        <v>6</v>
      </c>
      <c r="K63" s="34" t="n">
        <f aca="false">IFERROR(7,"")</f>
        <v>7</v>
      </c>
      <c r="L63" s="34" t="n">
        <f aca="false">IFERROR(8,"")</f>
        <v>8</v>
      </c>
      <c r="M63" s="34" t="n">
        <f aca="false">IFERROR(9,"")</f>
        <v>9</v>
      </c>
      <c r="N63" s="34" t="n">
        <f aca="false">IFERROR(10,"")</f>
        <v>10</v>
      </c>
    </row>
    <row r="65" customFormat="false" ht="15" hidden="false" customHeight="false" outlineLevel="0" collapsed="false">
      <c r="A65" s="101" t="s">
        <v>1994</v>
      </c>
      <c r="B65" s="102"/>
      <c r="C65" s="102"/>
      <c r="D65" s="102"/>
      <c r="E65" s="102"/>
      <c r="F65" s="102"/>
      <c r="G65" s="102"/>
      <c r="H65" s="102"/>
      <c r="I65" s="102"/>
      <c r="J65" s="102"/>
      <c r="K65" s="102"/>
      <c r="L65" s="102"/>
      <c r="M65" s="102"/>
      <c r="N65" s="102"/>
      <c r="O65" s="102"/>
      <c r="P65" s="102"/>
    </row>
    <row r="66" customFormat="false" ht="24" hidden="false" customHeight="true" outlineLevel="0" collapsed="false">
      <c r="A66" s="14"/>
      <c r="B66" s="14" t="s">
        <v>1530</v>
      </c>
      <c r="C66" s="14" t="s">
        <v>355</v>
      </c>
      <c r="D66" s="14" t="s">
        <v>1857</v>
      </c>
      <c r="E66" s="14" t="s">
        <v>452</v>
      </c>
      <c r="F66" s="14" t="s">
        <v>453</v>
      </c>
      <c r="G66" s="14" t="s">
        <v>454</v>
      </c>
      <c r="H66" s="14" t="s">
        <v>455</v>
      </c>
      <c r="I66" s="14" t="s">
        <v>456</v>
      </c>
      <c r="J66" s="14" t="s">
        <v>457</v>
      </c>
      <c r="K66" s="14" t="s">
        <v>458</v>
      </c>
      <c r="L66" s="14" t="s">
        <v>459</v>
      </c>
      <c r="M66" s="14" t="s">
        <v>460</v>
      </c>
      <c r="N66" s="14" t="s">
        <v>461</v>
      </c>
      <c r="O66" s="14" t="s">
        <v>549</v>
      </c>
      <c r="P66" s="14" t="s">
        <v>1822</v>
      </c>
    </row>
    <row r="67" customFormat="false" ht="15" hidden="false" customHeight="false" outlineLevel="0" collapsed="false">
      <c r="B67" s="11" t="s">
        <v>1993</v>
      </c>
      <c r="D67" s="86" t="str">
        <f aca="false">IF(OR(n_Fecha1="",IF(cu_P=1,P_Inicio,V_Inicio)=1),"",YEAR(n_Fecha1))</f>
        <v/>
      </c>
      <c r="E67" s="86" t="str">
        <f aca="false">IF(n_Fecha1="","",YEAR(EOMONTH(n_Fecha1,IF(cu_P=1,P_Inicio,V_Inicio)-1+0)))</f>
        <v/>
      </c>
      <c r="F67" s="86" t="str">
        <f aca="false">IF(n_Fecha1="","",YEAR(EOMONTH(n_Fecha1,IF(cu_P=1,P_Inicio,V_Inicio)-1+12)))</f>
        <v/>
      </c>
      <c r="G67" s="86" t="str">
        <f aca="false">IF(n_Fecha1="","",YEAR(EOMONTH(n_Fecha1,IF(cu_P=1,P_Inicio,V_Inicio)-1+24)))</f>
        <v/>
      </c>
      <c r="H67" s="86" t="str">
        <f aca="false">IF(n_Fecha1="","",YEAR(EOMONTH(n_Fecha1,IF(cu_P=1,P_Inicio,V_Inicio)-1+36)))</f>
        <v/>
      </c>
      <c r="I67" s="86" t="str">
        <f aca="false">IF(n_Fecha1="","",YEAR(EOMONTH(n_Fecha1,IF(cu_P=1,P_Inicio,V_Inicio)-1+48)))</f>
        <v/>
      </c>
      <c r="J67" s="86" t="str">
        <f aca="false">IF(n_Fecha1="","",YEAR(EOMONTH(n_Fecha1,IF(cu_P=1,P_Inicio,V_Inicio)-1+60)))</f>
        <v/>
      </c>
      <c r="K67" s="86" t="str">
        <f aca="false">IF(n_Fecha1="","",YEAR(EOMONTH(n_Fecha1,IF(cu_P=1,P_Inicio,V_Inicio)-1+72)))</f>
        <v/>
      </c>
      <c r="L67" s="86" t="str">
        <f aca="false">IF(n_Fecha1="","",YEAR(EOMONTH(n_Fecha1,IF(cu_P=1,P_Inicio,V_Inicio)-1+84)))</f>
        <v/>
      </c>
      <c r="M67" s="86" t="str">
        <f aca="false">IF(n_Fecha1="","",YEAR(EOMONTH(n_Fecha1,IF(cu_P=1,P_Inicio,V_Inicio)-1+96)))</f>
        <v/>
      </c>
      <c r="N67" s="86" t="str">
        <f aca="false">IF(n_Fecha1="","",YEAR(EOMONTH(n_Fecha1,IF(cu_P=1,P_Inicio,V_Inicio)-1+108)))</f>
        <v/>
      </c>
    </row>
    <row r="68" customFormat="false" ht="15" hidden="false" customHeight="false" outlineLevel="0" collapsed="false">
      <c r="A68" s="13"/>
      <c r="B68" s="100" t="s">
        <v>2807</v>
      </c>
      <c r="C68" s="13"/>
      <c r="D68" s="13"/>
      <c r="E68" s="13"/>
      <c r="F68" s="13"/>
      <c r="G68" s="13"/>
      <c r="H68" s="13"/>
      <c r="I68" s="13"/>
      <c r="J68" s="13"/>
      <c r="K68" s="13"/>
      <c r="L68" s="13"/>
      <c r="M68" s="13"/>
      <c r="N68" s="13"/>
      <c r="O68" s="13"/>
      <c r="P68" s="13"/>
    </row>
    <row r="69" customFormat="false" ht="15" hidden="false" customHeight="false" outlineLevel="0" collapsed="false">
      <c r="A69" s="11" t="s">
        <v>2808</v>
      </c>
      <c r="B69" s="15" t="s">
        <v>2775</v>
      </c>
      <c r="C69" s="11" t="s">
        <v>508</v>
      </c>
      <c r="D69" s="48"/>
      <c r="E69" s="48"/>
      <c r="F69" s="48"/>
      <c r="G69" s="48"/>
      <c r="H69" s="48"/>
      <c r="I69" s="48"/>
      <c r="J69" s="48"/>
      <c r="K69" s="48"/>
      <c r="L69" s="48"/>
      <c r="M69" s="48"/>
      <c r="N69" s="48"/>
    </row>
    <row r="70" customFormat="false" ht="15" hidden="false" customHeight="false" outlineLevel="0" collapsed="false">
      <c r="A70" s="11" t="s">
        <v>2809</v>
      </c>
      <c r="B70" s="15" t="s">
        <v>2810</v>
      </c>
      <c r="C70" s="11" t="s">
        <v>508</v>
      </c>
      <c r="D70" s="48"/>
      <c r="E70" s="48"/>
      <c r="F70" s="48"/>
      <c r="G70" s="48"/>
      <c r="H70" s="48"/>
      <c r="I70" s="48"/>
      <c r="J70" s="48"/>
      <c r="K70" s="48"/>
      <c r="L70" s="48"/>
      <c r="M70" s="48"/>
      <c r="N70" s="48"/>
    </row>
    <row r="71" customFormat="false" ht="15" hidden="false" customHeight="false" outlineLevel="0" collapsed="false">
      <c r="A71" s="11" t="s">
        <v>2811</v>
      </c>
      <c r="B71" s="15" t="s">
        <v>2812</v>
      </c>
      <c r="C71" s="11" t="s">
        <v>508</v>
      </c>
      <c r="D71" s="48"/>
      <c r="E71" s="48"/>
      <c r="F71" s="48"/>
      <c r="G71" s="48"/>
      <c r="H71" s="48"/>
      <c r="I71" s="48"/>
      <c r="J71" s="48"/>
      <c r="K71" s="48"/>
      <c r="L71" s="48"/>
      <c r="M71" s="48"/>
      <c r="N71" s="48"/>
    </row>
    <row r="72" customFormat="false" ht="15" hidden="false" customHeight="false" outlineLevel="0" collapsed="false">
      <c r="A72" s="11" t="s">
        <v>2813</v>
      </c>
      <c r="B72" s="15" t="s">
        <v>2814</v>
      </c>
      <c r="C72" s="11" t="s">
        <v>508</v>
      </c>
      <c r="D72" s="48"/>
      <c r="E72" s="48"/>
      <c r="F72" s="48"/>
      <c r="G72" s="48"/>
      <c r="H72" s="48"/>
      <c r="I72" s="48"/>
      <c r="J72" s="48"/>
      <c r="K72" s="48"/>
      <c r="L72" s="48"/>
      <c r="M72" s="48"/>
      <c r="N72" s="48"/>
    </row>
    <row r="73" customFormat="false" ht="15" hidden="false" customHeight="false" outlineLevel="0" collapsed="false">
      <c r="A73" s="11" t="s">
        <v>2815</v>
      </c>
      <c r="B73" s="15" t="s">
        <v>2816</v>
      </c>
      <c r="C73" s="11" t="s">
        <v>508</v>
      </c>
      <c r="D73" s="48"/>
      <c r="E73" s="48"/>
      <c r="F73" s="48"/>
      <c r="G73" s="48"/>
      <c r="H73" s="48"/>
      <c r="I73" s="48"/>
      <c r="J73" s="48"/>
      <c r="K73" s="48"/>
      <c r="L73" s="48"/>
      <c r="M73" s="48"/>
      <c r="N73" s="48"/>
    </row>
    <row r="74" customFormat="false" ht="15" hidden="false" customHeight="false" outlineLevel="0" collapsed="false">
      <c r="A74" s="11" t="s">
        <v>2817</v>
      </c>
      <c r="B74" s="67" t="s">
        <v>1206</v>
      </c>
      <c r="C74" s="11" t="s">
        <v>508</v>
      </c>
      <c r="D74" s="54"/>
      <c r="E74" s="54"/>
      <c r="F74" s="54"/>
      <c r="G74" s="54"/>
      <c r="H74" s="54"/>
      <c r="I74" s="54"/>
      <c r="J74" s="54"/>
      <c r="K74" s="54"/>
      <c r="L74" s="54"/>
      <c r="M74" s="54"/>
      <c r="N74" s="54"/>
    </row>
    <row r="75" customFormat="false" ht="15" hidden="false" customHeight="false" outlineLevel="0" collapsed="false">
      <c r="A75" s="11" t="s">
        <v>2818</v>
      </c>
      <c r="B75" s="15" t="s">
        <v>2819</v>
      </c>
      <c r="C75" s="11" t="s">
        <v>508</v>
      </c>
      <c r="D75" s="48"/>
      <c r="E75" s="48"/>
      <c r="F75" s="48"/>
      <c r="G75" s="48"/>
      <c r="H75" s="48"/>
      <c r="I75" s="48"/>
      <c r="J75" s="48"/>
      <c r="K75" s="48"/>
      <c r="L75" s="48"/>
      <c r="M75" s="48"/>
      <c r="N75" s="48"/>
    </row>
    <row r="76" customFormat="false" ht="15" hidden="false" customHeight="false" outlineLevel="0" collapsed="false">
      <c r="A76" s="11" t="s">
        <v>2820</v>
      </c>
      <c r="B76" s="15" t="s">
        <v>2821</v>
      </c>
      <c r="C76" s="11" t="s">
        <v>508</v>
      </c>
      <c r="D76" s="48"/>
      <c r="E76" s="48"/>
      <c r="F76" s="48"/>
      <c r="G76" s="48"/>
      <c r="H76" s="48"/>
      <c r="I76" s="48"/>
      <c r="J76" s="48"/>
      <c r="K76" s="48"/>
      <c r="L76" s="48"/>
      <c r="M76" s="48"/>
      <c r="N76" s="48"/>
    </row>
    <row r="77" customFormat="false" ht="15" hidden="false" customHeight="false" outlineLevel="0" collapsed="false">
      <c r="A77" s="13"/>
      <c r="B77" s="100" t="s">
        <v>2822</v>
      </c>
      <c r="C77" s="13"/>
      <c r="D77" s="13"/>
      <c r="E77" s="13"/>
      <c r="F77" s="13"/>
      <c r="G77" s="13"/>
      <c r="H77" s="13"/>
      <c r="I77" s="13"/>
      <c r="J77" s="13"/>
      <c r="K77" s="13"/>
      <c r="L77" s="13"/>
      <c r="M77" s="13"/>
      <c r="N77" s="13"/>
      <c r="O77" s="13"/>
      <c r="P77" s="13"/>
    </row>
    <row r="78" customFormat="false" ht="15" hidden="false" customHeight="false" outlineLevel="0" collapsed="false">
      <c r="A78" s="11" t="s">
        <v>2823</v>
      </c>
      <c r="B78" s="15" t="s">
        <v>2824</v>
      </c>
      <c r="C78" s="11" t="s">
        <v>508</v>
      </c>
      <c r="D78" s="48"/>
      <c r="E78" s="48"/>
      <c r="F78" s="48"/>
      <c r="G78" s="48"/>
      <c r="H78" s="48"/>
      <c r="I78" s="48"/>
      <c r="J78" s="48"/>
      <c r="K78" s="48"/>
      <c r="L78" s="48"/>
      <c r="M78" s="48"/>
      <c r="N78" s="48"/>
    </row>
    <row r="79" customFormat="false" ht="15" hidden="false" customHeight="false" outlineLevel="0" collapsed="false">
      <c r="A79" s="11" t="s">
        <v>2825</v>
      </c>
      <c r="B79" s="15" t="s">
        <v>2826</v>
      </c>
      <c r="C79" s="11" t="s">
        <v>508</v>
      </c>
      <c r="D79" s="48"/>
      <c r="E79" s="48"/>
      <c r="F79" s="48"/>
      <c r="G79" s="48"/>
      <c r="H79" s="48"/>
      <c r="I79" s="48"/>
      <c r="J79" s="48"/>
      <c r="K79" s="48"/>
      <c r="L79" s="48"/>
      <c r="M79" s="48"/>
      <c r="N79" s="48"/>
    </row>
    <row r="80" customFormat="false" ht="15" hidden="false" customHeight="false" outlineLevel="0" collapsed="false">
      <c r="A80" s="11" t="s">
        <v>2827</v>
      </c>
      <c r="B80" s="15" t="s">
        <v>2828</v>
      </c>
      <c r="C80" s="11" t="s">
        <v>508</v>
      </c>
      <c r="D80" s="48"/>
      <c r="E80" s="48"/>
      <c r="F80" s="48"/>
      <c r="G80" s="48"/>
      <c r="H80" s="48"/>
      <c r="I80" s="48"/>
      <c r="J80" s="48"/>
      <c r="K80" s="48"/>
      <c r="L80" s="48"/>
      <c r="M80" s="48"/>
      <c r="N80" s="48"/>
    </row>
    <row r="81" customFormat="false" ht="15" hidden="false" customHeight="false" outlineLevel="0" collapsed="false">
      <c r="A81" s="13"/>
      <c r="B81" s="100" t="s">
        <v>2829</v>
      </c>
      <c r="C81" s="13"/>
      <c r="D81" s="13"/>
      <c r="E81" s="13"/>
      <c r="F81" s="13"/>
      <c r="G81" s="13"/>
      <c r="H81" s="13"/>
      <c r="I81" s="13"/>
      <c r="J81" s="13"/>
      <c r="K81" s="13"/>
      <c r="L81" s="13"/>
      <c r="M81" s="13"/>
      <c r="N81" s="13"/>
      <c r="O81" s="13"/>
      <c r="P81" s="13"/>
    </row>
    <row r="82" customFormat="false" ht="15" hidden="false" customHeight="false" outlineLevel="0" collapsed="false">
      <c r="A82" s="11" t="s">
        <v>2830</v>
      </c>
      <c r="B82" s="67" t="s">
        <v>2831</v>
      </c>
      <c r="C82" s="11" t="s">
        <v>508</v>
      </c>
      <c r="D82" s="54" t="n">
        <f aca="false">IF(OR(NOT(ISNUMBER(D22)),NOT(ISNUMBER(D52))),"",D22-D52)</f>
        <v>0</v>
      </c>
      <c r="E82" s="54" t="n">
        <f aca="false">IF(OR(NOT(ISNUMBER(E22)),NOT(ISNUMBER(E52))),"",E22-E52)</f>
        <v>-63053.994292923</v>
      </c>
      <c r="F82" s="54" t="n">
        <f aca="false">IF(OR(NOT(ISNUMBER(F22)),NOT(ISNUMBER(F52))),"",F22-F52)</f>
        <v>-63054.1640724225</v>
      </c>
      <c r="G82" s="54" t="n">
        <f aca="false">IF(OR(NOT(ISNUMBER(G22)),NOT(ISNUMBER(G52))),"",G22-G52)</f>
        <v>-74738.6296185025</v>
      </c>
      <c r="H82" s="54" t="n">
        <f aca="false">IF(OR(NOT(ISNUMBER(H22)),NOT(ISNUMBER(H52))),"",H22-H52)</f>
        <v>-87583.0414417</v>
      </c>
      <c r="I82" s="54" t="n">
        <f aca="false">IF(OR(NOT(ISNUMBER(I22)),NOT(ISNUMBER(I52))),"",I22-I52)</f>
        <v>-100238.021483514</v>
      </c>
      <c r="J82" s="54" t="n">
        <f aca="false">IF(OR(NOT(ISNUMBER(J22)),NOT(ISNUMBER(J52))),"",J22-J52)</f>
        <v>-110393.698426086</v>
      </c>
      <c r="K82" s="54" t="n">
        <f aca="false">IF(OR(NOT(ISNUMBER(K22)),NOT(ISNUMBER(K52))),"",K22-K52)</f>
        <v>-120664.730127201</v>
      </c>
      <c r="L82" s="54" t="n">
        <f aca="false">IF(OR(NOT(ISNUMBER(L22)),NOT(ISNUMBER(L52))),"",L22-L52)</f>
        <v>-131050.177444551</v>
      </c>
      <c r="M82" s="54" t="n">
        <f aca="false">IF(OR(NOT(ISNUMBER(M22)),NOT(ISNUMBER(M52))),"",M22-M52)</f>
        <v>-141554.244213109</v>
      </c>
      <c r="N82" s="54" t="n">
        <f aca="false">IF(OR(NOT(ISNUMBER(N22)),NOT(ISNUMBER(N52))),"",N22-N52)</f>
        <v>323877.234703314</v>
      </c>
      <c r="O82" s="54" t="n">
        <f aca="false">IF(OR(NOT(ISNUMBER(O22)),NOT(ISNUMBER(O52))),"",O22-O52)</f>
        <v>-568453.466416694</v>
      </c>
      <c r="P82" s="11" t="str">
        <f aca="false">IF(COUNT(D82:N82)=0,"",IF(AND(MAX(D82:N82)&lt;2,MIN(D82:N82)&gt;-2),"Sin diferencia","EBITDA (C1, C2) y valor residual: el modelo recupera el capital de trabajo y el activo fijo neto a valor contable."))</f>
        <v>EBITDA (C1, C2) y valor residual: el modelo recupera el capital de trabajo y el activo fijo neto a valor contable.</v>
      </c>
    </row>
    <row r="83" customFormat="false" ht="15" hidden="false" customHeight="false" outlineLevel="0" collapsed="false">
      <c r="A83" s="11" t="s">
        <v>2832</v>
      </c>
      <c r="B83" s="15" t="s">
        <v>2833</v>
      </c>
      <c r="C83" s="11" t="s">
        <v>508</v>
      </c>
      <c r="D83" s="48" t="n">
        <f aca="false">IF(OR(NOT(ISNUMBER(D23)),NOT(ISNUMBER(D53))),"",D23-D53)</f>
        <v>-655044</v>
      </c>
      <c r="E83" s="48" t="n">
        <f aca="false">IF(OR(NOT(ISNUMBER(E23)),NOT(ISNUMBER(E53))),"",E23-E53)</f>
        <v>655044.09</v>
      </c>
      <c r="F83" s="48" t="n">
        <f aca="false">IF(OR(NOT(ISNUMBER(F23)),NOT(ISNUMBER(F53))),"",F23-F53)</f>
        <v>0</v>
      </c>
      <c r="G83" s="48" t="n">
        <f aca="false">IF(OR(NOT(ISNUMBER(G23)),NOT(ISNUMBER(G53))),"",G23-G53)</f>
        <v>0</v>
      </c>
      <c r="H83" s="48" t="n">
        <f aca="false">IF(OR(NOT(ISNUMBER(H23)),NOT(ISNUMBER(H53))),"",H23-H53)</f>
        <v>0</v>
      </c>
      <c r="I83" s="48" t="n">
        <f aca="false">IF(OR(NOT(ISNUMBER(I23)),NOT(ISNUMBER(I53))),"",I23-I53)</f>
        <v>0</v>
      </c>
      <c r="J83" s="48" t="n">
        <f aca="false">IF(OR(NOT(ISNUMBER(J23)),NOT(ISNUMBER(J53))),"",J23-J53)</f>
        <v>0</v>
      </c>
      <c r="K83" s="48" t="n">
        <f aca="false">IF(OR(NOT(ISNUMBER(K23)),NOT(ISNUMBER(K53))),"",K23-K53)</f>
        <v>0</v>
      </c>
      <c r="L83" s="48" t="n">
        <f aca="false">IF(OR(NOT(ISNUMBER(L23)),NOT(ISNUMBER(L53))),"",L23-L53)</f>
        <v>0</v>
      </c>
      <c r="M83" s="48" t="n">
        <f aca="false">IF(OR(NOT(ISNUMBER(M23)),NOT(ISNUMBER(M53))),"",M23-M53)</f>
        <v>0</v>
      </c>
      <c r="N83" s="48" t="n">
        <f aca="false">IF(OR(NOT(ISNUMBER(N23)),NOT(ISNUMBER(N53))),"",N23-N53)</f>
        <v>0</v>
      </c>
      <c r="O83" s="54" t="n">
        <f aca="false">IF(OR(NOT(ISNUMBER(O23)),NOT(ISNUMBER(O53))),"",O23-O53)</f>
        <v>0.0899999999674037</v>
      </c>
      <c r="P83" s="11" t="str">
        <f aca="false">IF(COUNT(D83:N83)=0,"",IF(AND(MAX(D83:N83)&lt;2,MIN(D83:N83)&gt;-2),"Sin diferencia","Calendario: el plan lo registra en el año 0; en el modelo la operación empieza en el mes 1 (año 1)."))</f>
        <v>Calendario: el plan lo registra en el año 0; en el modelo la operación empieza en el mes 1 (año 1).</v>
      </c>
    </row>
    <row r="84" customFormat="false" ht="15" hidden="false" customHeight="false" outlineLevel="0" collapsed="false">
      <c r="A84" s="11" t="s">
        <v>2834</v>
      </c>
      <c r="B84" s="15" t="s">
        <v>2835</v>
      </c>
      <c r="C84" s="11" t="s">
        <v>508</v>
      </c>
      <c r="D84" s="48" t="n">
        <f aca="false">IF(OR(NOT(ISNUMBER(D24)),NOT(ISNUMBER(D54))),"",D24-D54)</f>
        <v>-2336543</v>
      </c>
      <c r="E84" s="48" t="n">
        <f aca="false">IF(OR(NOT(ISNUMBER(E24)),NOT(ISNUMBER(E54))),"",E24-E54)</f>
        <v>1849944.88735903</v>
      </c>
      <c r="F84" s="48" t="n">
        <f aca="false">IF(OR(NOT(ISNUMBER(F24)),NOT(ISNUMBER(F54))),"",F24-F54)</f>
        <v>105953.444395644</v>
      </c>
      <c r="G84" s="48" t="n">
        <f aca="false">IF(OR(NOT(ISNUMBER(G24)),NOT(ISNUMBER(G54))),"",G24-G54)</f>
        <v>219020.930632423</v>
      </c>
      <c r="H84" s="48" t="n">
        <f aca="false">IF(OR(NOT(ISNUMBER(H24)),NOT(ISNUMBER(H54))),"",H24-H54)</f>
        <v>532446.069933313</v>
      </c>
      <c r="I84" s="48" t="n">
        <f aca="false">IF(OR(NOT(ISNUMBER(I24)),NOT(ISNUMBER(I54))),"",I24-I54)</f>
        <v>22054.5477058599</v>
      </c>
      <c r="J84" s="48" t="n">
        <f aca="false">IF(OR(NOT(ISNUMBER(J24)),NOT(ISNUMBER(J54))),"",J24-J54)</f>
        <v>21470.8564685965</v>
      </c>
      <c r="K84" s="48" t="n">
        <f aca="false">IF(OR(NOT(ISNUMBER(K24)),NOT(ISNUMBER(K54))),"",K24-K54)</f>
        <v>21633.8932247814</v>
      </c>
      <c r="L84" s="48" t="n">
        <f aca="false">IF(OR(NOT(ISNUMBER(L24)),NOT(ISNUMBER(L54))),"",L24-L54)</f>
        <v>21797.2176945182</v>
      </c>
      <c r="M84" s="48" t="n">
        <f aca="false">IF(OR(NOT(ISNUMBER(M24)),NOT(ISNUMBER(M54))),"",M24-M54)</f>
        <v>21959.851949336</v>
      </c>
      <c r="N84" s="48" t="n">
        <f aca="false">IF(OR(NOT(ISNUMBER(N24)),NOT(ISNUMBER(N54))),"",N24-N54)</f>
        <v>39204.8179587778</v>
      </c>
      <c r="O84" s="54" t="n">
        <f aca="false">IF(OR(NOT(ISNUMBER(O24)),NOT(ISNUMBER(O54))),"",O24-O54)</f>
        <v>518943.51732228</v>
      </c>
      <c r="P84" s="11" t="str">
        <f aca="false">IF(COUNT(D84:N84)=0,"",IF(AND(MAX(D84:N84)&lt;2,MIN(D84:N84)&gt;-2),"Sin diferencia","Calendario y base del capital de trabajo (ver cuadro 16)."))</f>
        <v>Calendario y base del capital de trabajo (ver cuadro 16).</v>
      </c>
    </row>
    <row r="85" customFormat="false" ht="15" hidden="false" customHeight="false" outlineLevel="0" collapsed="false">
      <c r="A85" s="11" t="s">
        <v>2836</v>
      </c>
      <c r="B85" s="15" t="s">
        <v>2791</v>
      </c>
      <c r="C85" s="11" t="s">
        <v>508</v>
      </c>
      <c r="D85" s="48" t="n">
        <f aca="false">IF(OR(NOT(ISNUMBER(D25)),NOT(ISNUMBER(D55))),"",D25-D55)</f>
        <v>0</v>
      </c>
      <c r="E85" s="48" t="n">
        <f aca="false">IF(OR(NOT(ISNUMBER(E25)),NOT(ISNUMBER(E55))),"",E25-E55)</f>
        <v>0.352358103409642</v>
      </c>
      <c r="F85" s="48" t="n">
        <f aca="false">IF(OR(NOT(ISNUMBER(F25)),NOT(ISNUMBER(F55))),"",F25-F55)</f>
        <v>-0.388246885035187</v>
      </c>
      <c r="G85" s="48" t="n">
        <f aca="false">IF(OR(NOT(ISNUMBER(G25)),NOT(ISNUMBER(G55))),"",G25-G55)</f>
        <v>-0.0417193534085527</v>
      </c>
      <c r="H85" s="48" t="n">
        <f aca="false">IF(OR(NOT(ISNUMBER(H25)),NOT(ISNUMBER(H55))),"",H25-H55)</f>
        <v>0.122048566234298</v>
      </c>
      <c r="I85" s="48" t="n">
        <f aca="false">IF(OR(NOT(ISNUMBER(I25)),NOT(ISNUMBER(I55))),"",I25-I55)</f>
        <v>-0.044440429774113</v>
      </c>
      <c r="J85" s="48" t="n">
        <f aca="false">IF(OR(NOT(ISNUMBER(J25)),NOT(ISNUMBER(J55))),"",J25-J55)</f>
        <v>0</v>
      </c>
      <c r="K85" s="48" t="n">
        <f aca="false">IF(OR(NOT(ISNUMBER(K25)),NOT(ISNUMBER(K55))),"",K25-K55)</f>
        <v>0</v>
      </c>
      <c r="L85" s="48" t="n">
        <f aca="false">IF(OR(NOT(ISNUMBER(L25)),NOT(ISNUMBER(L55))),"",L25-L55)</f>
        <v>0</v>
      </c>
      <c r="M85" s="48" t="n">
        <f aca="false">IF(OR(NOT(ISNUMBER(M25)),NOT(ISNUMBER(M55))),"",M25-M55)</f>
        <v>0</v>
      </c>
      <c r="N85" s="48" t="n">
        <f aca="false">IF(OR(NOT(ISNUMBER(N25)),NOT(ISNUMBER(N55))),"",N25-N55)</f>
        <v>0</v>
      </c>
      <c r="O85" s="54" t="n">
        <f aca="false">IF(OR(NOT(ISNUMBER(O25)),NOT(ISNUMBER(O55))),"",O25-O55)</f>
        <v>0</v>
      </c>
      <c r="P85" s="11" t="str">
        <f aca="false">IF(COUNT(D85:N85)=0,"",IF(AND(MAX(D85:N85)&lt;2,MIN(D85:N85)&gt;-2),"Sin diferencia","Diferencia a explicar"))</f>
        <v>Sin diferencia</v>
      </c>
    </row>
    <row r="86" customFormat="false" ht="15" hidden="false" customHeight="false" outlineLevel="0" collapsed="false">
      <c r="A86" s="11" t="s">
        <v>2837</v>
      </c>
      <c r="B86" s="15" t="s">
        <v>2613</v>
      </c>
      <c r="C86" s="11" t="s">
        <v>508</v>
      </c>
      <c r="D86" s="48" t="n">
        <f aca="false">IF(OR(NOT(ISNUMBER(D26)),NOT(ISNUMBER(D56))),"",D26-D56)</f>
        <v>0</v>
      </c>
      <c r="E86" s="48" t="n">
        <f aca="false">IF(OR(NOT(ISNUMBER(E26)),NOT(ISNUMBER(E56))),"",E26-E56)</f>
        <v>-0.0675689744530246</v>
      </c>
      <c r="F86" s="48" t="n">
        <f aca="false">IF(OR(NOT(ISNUMBER(F26)),NOT(ISNUMBER(F56))),"",F26-F56)</f>
        <v>0.254121452046093</v>
      </c>
      <c r="G86" s="48" t="n">
        <f aca="false">IF(OR(NOT(ISNUMBER(G26)),NOT(ISNUMBER(G56))),"",G26-G56)</f>
        <v>-0.0270588327257428</v>
      </c>
      <c r="H86" s="48" t="n">
        <f aca="false">IF(OR(NOT(ISNUMBER(H26)),NOT(ISNUMBER(H56))),"",H26-H56)</f>
        <v>-0.00720354440272786</v>
      </c>
      <c r="I86" s="48" t="n">
        <f aca="false">IF(OR(NOT(ISNUMBER(I26)),NOT(ISNUMBER(I56))),"",I26-I56)</f>
        <v>-0.0240656469031819</v>
      </c>
      <c r="J86" s="48" t="n">
        <f aca="false">IF(OR(NOT(ISNUMBER(J26)),NOT(ISNUMBER(J56))),"",J26-J56)</f>
        <v>0</v>
      </c>
      <c r="K86" s="48" t="n">
        <f aca="false">IF(OR(NOT(ISNUMBER(K26)),NOT(ISNUMBER(K56))),"",K26-K56)</f>
        <v>0</v>
      </c>
      <c r="L86" s="48" t="n">
        <f aca="false">IF(OR(NOT(ISNUMBER(L26)),NOT(ISNUMBER(L56))),"",L26-L56)</f>
        <v>0</v>
      </c>
      <c r="M86" s="48" t="n">
        <f aca="false">IF(OR(NOT(ISNUMBER(M26)),NOT(ISNUMBER(M56))),"",M26-M56)</f>
        <v>0</v>
      </c>
      <c r="N86" s="48" t="n">
        <f aca="false">IF(OR(NOT(ISNUMBER(N26)),NOT(ISNUMBER(N56))),"",N26-N56)</f>
        <v>0</v>
      </c>
      <c r="O86" s="54" t="n">
        <f aca="false">IF(OR(NOT(ISNUMBER(O26)),NOT(ISNUMBER(O56))),"",O26-O56)</f>
        <v>0.128224453539588</v>
      </c>
      <c r="P86" s="11" t="str">
        <f aca="false">IF(COUNT(D86:N86)=0,"",IF(AND(MAX(D86:N86)&lt;2,MIN(D86:N86)&gt;-2),"Sin diferencia","Diferencia a explicar"))</f>
        <v>Sin diferencia</v>
      </c>
    </row>
    <row r="87" customFormat="false" ht="15" hidden="false" customHeight="false" outlineLevel="0" collapsed="false">
      <c r="A87" s="11" t="s">
        <v>2838</v>
      </c>
      <c r="B87" s="15" t="s">
        <v>2696</v>
      </c>
      <c r="C87" s="11" t="s">
        <v>508</v>
      </c>
      <c r="D87" s="48" t="n">
        <f aca="false">IF(OR(NOT(ISNUMBER(D27)),NOT(ISNUMBER(D57))),"",D27-D57)</f>
        <v>0</v>
      </c>
      <c r="E87" s="48" t="n">
        <f aca="false">IF(OR(NOT(ISNUMBER(E27)),NOT(ISNUMBER(E57))),"",E27-E57)</f>
        <v>0</v>
      </c>
      <c r="F87" s="48" t="n">
        <f aca="false">IF(OR(NOT(ISNUMBER(F27)),NOT(ISNUMBER(F57))),"",F27-F57)</f>
        <v>0</v>
      </c>
      <c r="G87" s="48" t="n">
        <f aca="false">IF(OR(NOT(ISNUMBER(G27)),NOT(ISNUMBER(G57))),"",G27-G57)</f>
        <v>0</v>
      </c>
      <c r="H87" s="48" t="n">
        <f aca="false">IF(OR(NOT(ISNUMBER(H27)),NOT(ISNUMBER(H57))),"",H27-H57)</f>
        <v>0</v>
      </c>
      <c r="I87" s="48" t="n">
        <f aca="false">IF(OR(NOT(ISNUMBER(I27)),NOT(ISNUMBER(I57))),"",I27-I57)</f>
        <v>0</v>
      </c>
      <c r="J87" s="48" t="n">
        <f aca="false">IF(OR(NOT(ISNUMBER(J27)),NOT(ISNUMBER(J57))),"",J27-J57)</f>
        <v>0</v>
      </c>
      <c r="K87" s="48" t="n">
        <f aca="false">IF(OR(NOT(ISNUMBER(K27)),NOT(ISNUMBER(K57))),"",K27-K57)</f>
        <v>0</v>
      </c>
      <c r="L87" s="48" t="n">
        <f aca="false">IF(OR(NOT(ISNUMBER(L27)),NOT(ISNUMBER(L57))),"",L27-L57)</f>
        <v>0</v>
      </c>
      <c r="M87" s="48" t="n">
        <f aca="false">IF(OR(NOT(ISNUMBER(M27)),NOT(ISNUMBER(M57))),"",M27-M57)</f>
        <v>0</v>
      </c>
      <c r="N87" s="48" t="n">
        <f aca="false">IF(OR(NOT(ISNUMBER(N27)),NOT(ISNUMBER(N57))),"",N27-N57)</f>
        <v>0</v>
      </c>
      <c r="O87" s="54" t="n">
        <f aca="false">IF(OR(NOT(ISNUMBER(O27)),NOT(ISNUMBER(O57))),"",O27-O57)</f>
        <v>0</v>
      </c>
      <c r="P87" s="11" t="str">
        <f aca="false">IF(COUNT(D87:N87)=0,"",IF(AND(MAX(D87:N87)&lt;2,MIN(D87:N87)&gt;-2),"Sin diferencia","Diferencia a explicar"))</f>
        <v>Sin diferencia</v>
      </c>
    </row>
    <row r="88" customFormat="false" ht="15" hidden="false" customHeight="false" outlineLevel="0" collapsed="false">
      <c r="A88" s="11" t="s">
        <v>2839</v>
      </c>
      <c r="B88" s="67" t="s">
        <v>2840</v>
      </c>
      <c r="C88" s="11" t="s">
        <v>508</v>
      </c>
      <c r="D88" s="54" t="n">
        <f aca="false">IF(OR(NOT(ISNUMBER(D28)),NOT(ISNUMBER(D58))),"",D28-D58)</f>
        <v>-2991587</v>
      </c>
      <c r="E88" s="54" t="n">
        <f aca="false">IF(OR(NOT(ISNUMBER(E28)),NOT(ISNUMBER(E58))),"",E28-E58)</f>
        <v>2504989.26214816</v>
      </c>
      <c r="F88" s="54" t="n">
        <f aca="false">IF(OR(NOT(ISNUMBER(F28)),NOT(ISNUMBER(F58))),"",F28-F58)</f>
        <v>105953.310270211</v>
      </c>
      <c r="G88" s="54" t="n">
        <f aca="false">IF(OR(NOT(ISNUMBER(G28)),NOT(ISNUMBER(G58))),"",G28-G58)</f>
        <v>219020.861854237</v>
      </c>
      <c r="H88" s="54" t="n">
        <f aca="false">IF(OR(NOT(ISNUMBER(H28)),NOT(ISNUMBER(H58))),"",H28-H58)</f>
        <v>532446.184778334</v>
      </c>
      <c r="I88" s="54" t="n">
        <f aca="false">IF(OR(NOT(ISNUMBER(I28)),NOT(ISNUMBER(I58))),"",I28-I58)</f>
        <v>22054.4791997832</v>
      </c>
      <c r="J88" s="54" t="n">
        <f aca="false">IF(OR(NOT(ISNUMBER(J28)),NOT(ISNUMBER(J58))),"",J28-J58)</f>
        <v>21470.8564685965</v>
      </c>
      <c r="K88" s="54" t="n">
        <f aca="false">IF(OR(NOT(ISNUMBER(K28)),NOT(ISNUMBER(K58))),"",K28-K58)</f>
        <v>21633.8932247814</v>
      </c>
      <c r="L88" s="54" t="n">
        <f aca="false">IF(OR(NOT(ISNUMBER(L28)),NOT(ISNUMBER(L58))),"",L28-L58)</f>
        <v>21797.2176945182</v>
      </c>
      <c r="M88" s="54" t="n">
        <f aca="false">IF(OR(NOT(ISNUMBER(M28)),NOT(ISNUMBER(M58))),"",M28-M58)</f>
        <v>21959.851949336</v>
      </c>
      <c r="N88" s="54" t="n">
        <f aca="false">IF(OR(NOT(ISNUMBER(N28)),NOT(ISNUMBER(N58))),"",N28-N58)</f>
        <v>39204.8179587778</v>
      </c>
      <c r="O88" s="54" t="n">
        <f aca="false">IF(OR(NOT(ISNUMBER(O28)),NOT(ISNUMBER(O58))),"",O28-O58)</f>
        <v>518943.735546734</v>
      </c>
      <c r="P88" s="11" t="str">
        <f aca="false">IF(COUNT(D88:N88)=0,"",IF(AND(MAX(D88:N88)&lt;2,MIN(D88:N88)&gt;-2),"Sin diferencia","Suma de las diferencias anteriores."))</f>
        <v>Suma de las diferencias anteriores.</v>
      </c>
    </row>
    <row r="89" customFormat="false" ht="15" hidden="false" customHeight="false" outlineLevel="0" collapsed="false">
      <c r="A89" s="11" t="s">
        <v>2841</v>
      </c>
      <c r="B89" s="67" t="s">
        <v>2842</v>
      </c>
      <c r="C89" s="11" t="s">
        <v>508</v>
      </c>
      <c r="D89" s="54" t="n">
        <f aca="false">IF(OR(NOT(ISNUMBER(D29)),NOT(ISNUMBER(D59))),"",D29-D59)</f>
        <v>2991587</v>
      </c>
      <c r="E89" s="54" t="n">
        <f aca="false">IF(OR(NOT(ISNUMBER(E29)),NOT(ISNUMBER(E59))),"",E29-E59)</f>
        <v>-2568043.25644108</v>
      </c>
      <c r="F89" s="54" t="n">
        <f aca="false">IF(OR(NOT(ISNUMBER(F29)),NOT(ISNUMBER(F59))),"",F29-F59)</f>
        <v>-169007.474342634</v>
      </c>
      <c r="G89" s="54" t="n">
        <f aca="false">IF(OR(NOT(ISNUMBER(G29)),NOT(ISNUMBER(G59))),"",G29-G59)</f>
        <v>-293759.49147274</v>
      </c>
      <c r="H89" s="54" t="n">
        <f aca="false">IF(OR(NOT(ISNUMBER(H29)),NOT(ISNUMBER(H59))),"",H29-H59)</f>
        <v>-620029.226220034</v>
      </c>
      <c r="I89" s="54" t="n">
        <f aca="false">IF(OR(NOT(ISNUMBER(I29)),NOT(ISNUMBER(I59))),"",I29-I59)</f>
        <v>-122292.500683298</v>
      </c>
      <c r="J89" s="54" t="n">
        <f aca="false">IF(OR(NOT(ISNUMBER(J29)),NOT(ISNUMBER(J59))),"",J29-J59)</f>
        <v>-131864.554894683</v>
      </c>
      <c r="K89" s="54" t="n">
        <f aca="false">IF(OR(NOT(ISNUMBER(K29)),NOT(ISNUMBER(K59))),"",K29-K59)</f>
        <v>-142298.623351983</v>
      </c>
      <c r="L89" s="54" t="n">
        <f aca="false">IF(OR(NOT(ISNUMBER(L29)),NOT(ISNUMBER(L59))),"",L29-L59)</f>
        <v>-152847.395139069</v>
      </c>
      <c r="M89" s="54" t="n">
        <f aca="false">IF(OR(NOT(ISNUMBER(M29)),NOT(ISNUMBER(M59))),"",M29-M59)</f>
        <v>-163514.096162445</v>
      </c>
      <c r="N89" s="54" t="n">
        <f aca="false">IF(OR(NOT(ISNUMBER(N29)),NOT(ISNUMBER(N59))),"",N29-N59)</f>
        <v>284672.416744536</v>
      </c>
      <c r="O89" s="54" t="n">
        <f aca="false">IF(OR(NOT(ISNUMBER(O29)),NOT(ISNUMBER(O59))),"",O29-O59)</f>
        <v>-1087397.20196343</v>
      </c>
      <c r="P89" s="11" t="str">
        <f aca="false">IF(COUNT(D89:N89)=0,"",IF(AND(MAX(D89:N89)&lt;2,MIN(D89:N89)&gt;-2),"Sin diferencia","Suma de las diferencias anteriores."))</f>
        <v>Suma de las diferencias anteriores.</v>
      </c>
    </row>
    <row r="90" customFormat="false" ht="15" hidden="false" customHeight="false" outlineLevel="0" collapsed="false">
      <c r="A90" s="11" t="s">
        <v>2843</v>
      </c>
      <c r="B90" s="15" t="s">
        <v>2844</v>
      </c>
      <c r="C90" s="11"/>
      <c r="D90" s="42"/>
      <c r="E90" s="42"/>
      <c r="F90" s="42"/>
      <c r="G90" s="42"/>
      <c r="H90" s="42"/>
      <c r="I90" s="42"/>
      <c r="J90" s="42"/>
      <c r="K90" s="42"/>
      <c r="L90" s="42"/>
      <c r="M90" s="42"/>
      <c r="N90" s="42"/>
    </row>
    <row r="91" customFormat="false" ht="15" hidden="false" customHeight="false" outlineLevel="0" collapsed="false">
      <c r="A91" s="11" t="s">
        <v>2845</v>
      </c>
      <c r="B91" s="15" t="s">
        <v>2846</v>
      </c>
      <c r="C91" s="11" t="s">
        <v>508</v>
      </c>
      <c r="D91" s="48" t="n">
        <f aca="false">IF(OR(NOT(ISNUMBER(D31)),NOT(ISNUMBER(D61))),"",D31-D61)</f>
        <v>2991587</v>
      </c>
      <c r="E91" s="48" t="n">
        <f aca="false">IF(OR(NOT(ISNUMBER(E31)),NOT(ISNUMBER(E61))),"",E31-E61)</f>
        <v>-2345472.67596944</v>
      </c>
      <c r="F91" s="48" t="n">
        <f aca="false">IF(OR(NOT(ISNUMBER(F31)),NOT(ISNUMBER(F61))),"",F31-F61)</f>
        <v>-140981.45810979</v>
      </c>
      <c r="G91" s="48" t="n">
        <f aca="false">IF(OR(NOT(ISNUMBER(G31)),NOT(ISNUMBER(G61))),"",G31-G61)</f>
        <v>-223808.222040105</v>
      </c>
      <c r="H91" s="48" t="n">
        <f aca="false">IF(OR(NOT(ISNUMBER(H31)),NOT(ISNUMBER(H61))),"",H31-H61)</f>
        <v>-431443.900770868</v>
      </c>
      <c r="I91" s="48" t="n">
        <f aca="false">IF(OR(NOT(ISNUMBER(I31)),NOT(ISNUMBER(I61))),"",I31-I61)</f>
        <v>-77721.2973617575</v>
      </c>
      <c r="J91" s="48" t="n">
        <f aca="false">IF(OR(NOT(ISNUMBER(J31)),NOT(ISNUMBER(J61))),"",J31-J61)</f>
        <v>-76541.3877533895</v>
      </c>
      <c r="K91" s="48" t="n">
        <f aca="false">IF(OR(NOT(ISNUMBER(K31)),NOT(ISNUMBER(K61))),"",K31-K61)</f>
        <v>-75439.1872096059</v>
      </c>
      <c r="L91" s="48" t="n">
        <f aca="false">IF(OR(NOT(ISNUMBER(L31)),NOT(ISNUMBER(L61))),"",L31-L61)</f>
        <v>-74008.6337580497</v>
      </c>
      <c r="M91" s="48" t="n">
        <f aca="false">IF(OR(NOT(ISNUMBER(M31)),NOT(ISNUMBER(M61))),"",M31-M61)</f>
        <v>-72311.5359616976</v>
      </c>
      <c r="N91" s="48" t="n">
        <f aca="false">IF(OR(NOT(ISNUMBER(N31)),NOT(ISNUMBER(N61))),"",N31-N61)</f>
        <v>114980.930738413</v>
      </c>
      <c r="O91" s="54" t="n">
        <f aca="false">IF(OR(NOT(ISNUMBER(O31)),NOT(ISNUMBER(O61))),"",O31-O61)</f>
        <v>-411160.36819629</v>
      </c>
      <c r="P91" s="11" t="str">
        <f aca="false">IF(COUNT(D91:N91)=0,"",IF(AND(MAX(D91:N91)&lt;2,MIN(D91:N91)&gt;-2),"Sin diferencia","Mismo método de descuento que el plan: la diferencia es de cifras."))</f>
        <v>Mismo método de descuento que el plan: la diferencia es de cifras.</v>
      </c>
    </row>
    <row r="92" customFormat="false" ht="15" hidden="false" customHeight="false" outlineLevel="0" collapsed="false">
      <c r="A92" s="11" t="s">
        <v>2847</v>
      </c>
      <c r="B92" s="15" t="s">
        <v>2848</v>
      </c>
      <c r="C92" s="11" t="s">
        <v>508</v>
      </c>
      <c r="D92" s="48" t="n">
        <f aca="false">IF(OR(NOT(ISNUMBER(D32)),NOT(ISNUMBER(D62))),"",D32-D62)</f>
        <v>2991587</v>
      </c>
      <c r="E92" s="48" t="n">
        <f aca="false">IF(OR(NOT(ISNUMBER(E32)),NOT(ISNUMBER(E62))),"",E32-E62)</f>
        <v>646114.32403056</v>
      </c>
      <c r="F92" s="48" t="n">
        <f aca="false">IF(OR(NOT(ISNUMBER(F32)),NOT(ISNUMBER(F62))),"",F32-F62)</f>
        <v>505132.86592077</v>
      </c>
      <c r="G92" s="48" t="n">
        <f aca="false">IF(OR(NOT(ISNUMBER(G32)),NOT(ISNUMBER(G62))),"",G32-G62)</f>
        <v>281324.643880665</v>
      </c>
      <c r="H92" s="48" t="n">
        <f aca="false">IF(OR(NOT(ISNUMBER(H32)),NOT(ISNUMBER(H62))),"",H32-H62)</f>
        <v>-150119.256890203</v>
      </c>
      <c r="I92" s="48" t="n">
        <f aca="false">IF(OR(NOT(ISNUMBER(I32)),NOT(ISNUMBER(I62))),"",I32-I62)</f>
        <v>-227840.55425196</v>
      </c>
      <c r="J92" s="48" t="n">
        <f aca="false">IF(OR(NOT(ISNUMBER(J32)),NOT(ISNUMBER(J62))),"",J32-J62)</f>
        <v>-304381.94200535</v>
      </c>
      <c r="K92" s="48" t="n">
        <f aca="false">IF(OR(NOT(ISNUMBER(K32)),NOT(ISNUMBER(K62))),"",K32-K62)</f>
        <v>-379821.129214956</v>
      </c>
      <c r="L92" s="48" t="n">
        <f aca="false">IF(OR(NOT(ISNUMBER(L32)),NOT(ISNUMBER(L62))),"",L32-L62)</f>
        <v>-453829.762973006</v>
      </c>
      <c r="M92" s="48" t="n">
        <f aca="false">IF(OR(NOT(ISNUMBER(M32)),NOT(ISNUMBER(M62))),"",M32-M62)</f>
        <v>-526141.298934703</v>
      </c>
      <c r="N92" s="48" t="n">
        <f aca="false">IF(OR(NOT(ISNUMBER(N32)),NOT(ISNUMBER(N62))),"",N32-N62)</f>
        <v>-411160.36819629</v>
      </c>
      <c r="P92" s="11" t="str">
        <f aca="false">IF(COUNT(D92:N92)=0,"",IF(AND(MAX(D92:N92)&lt;2,MIN(D92:N92)&gt;-2),"Sin diferencia","Mismo método de descuento que el plan: la diferencia es de cifras."))</f>
        <v>Mismo método de descuento que el plan: la diferencia es de cifras.</v>
      </c>
    </row>
    <row r="93" customFormat="false" ht="15" hidden="true" customHeight="false" outlineLevel="1" collapsed="false">
      <c r="A93" s="11" t="s">
        <v>2849</v>
      </c>
      <c r="B93" s="15" t="s">
        <v>1576</v>
      </c>
      <c r="C93" s="11"/>
      <c r="D93" s="34"/>
      <c r="E93" s="34"/>
      <c r="F93" s="34"/>
      <c r="G93" s="34"/>
      <c r="H93" s="34"/>
      <c r="I93" s="34"/>
      <c r="J93" s="34"/>
      <c r="K93" s="34"/>
      <c r="L93" s="34"/>
      <c r="M93" s="34"/>
      <c r="N93" s="34"/>
    </row>
    <row r="95" customFormat="false" ht="15" hidden="false" customHeight="false" outlineLevel="0" collapsed="false">
      <c r="A95" s="12" t="s">
        <v>240</v>
      </c>
      <c r="B95" s="13"/>
      <c r="C95" s="13"/>
      <c r="D95" s="13"/>
      <c r="E95" s="13"/>
      <c r="F95" s="13"/>
      <c r="G95" s="13"/>
      <c r="H95" s="13"/>
      <c r="I95" s="13"/>
      <c r="J95" s="13"/>
      <c r="K95" s="13"/>
      <c r="L95" s="13"/>
      <c r="M95" s="13"/>
      <c r="N95" s="13"/>
      <c r="O95" s="13"/>
    </row>
    <row r="96" customFormat="false" ht="15" hidden="false" customHeight="false" outlineLevel="0" collapsed="false">
      <c r="B96" s="11" t="s">
        <v>2850</v>
      </c>
    </row>
    <row r="97" customFormat="false" ht="15" hidden="false" customHeight="false" outlineLevel="0" collapsed="false">
      <c r="B97" s="11" t="s">
        <v>2851</v>
      </c>
    </row>
    <row r="99" customFormat="false" ht="15" hidden="false" customHeight="false" outlineLevel="0" collapsed="false">
      <c r="A99" s="12" t="s">
        <v>2852</v>
      </c>
      <c r="B99" s="13"/>
      <c r="C99" s="13"/>
      <c r="D99" s="13"/>
      <c r="E99" s="13"/>
      <c r="F99" s="13"/>
      <c r="G99" s="13"/>
      <c r="H99" s="13"/>
      <c r="I99" s="13"/>
      <c r="J99" s="13"/>
      <c r="K99" s="13"/>
      <c r="L99" s="13"/>
      <c r="M99" s="13"/>
      <c r="N99" s="13"/>
      <c r="O99" s="13"/>
    </row>
    <row r="100" customFormat="false" ht="24" hidden="false" customHeight="true" outlineLevel="0" collapsed="false">
      <c r="A100" s="14"/>
      <c r="B100" s="14" t="s">
        <v>1489</v>
      </c>
      <c r="C100" s="14"/>
      <c r="D100" s="14" t="s">
        <v>1777</v>
      </c>
      <c r="E100" s="14" t="s">
        <v>2853</v>
      </c>
      <c r="F100" s="14" t="s">
        <v>1779</v>
      </c>
      <c r="G100" s="14" t="s">
        <v>1781</v>
      </c>
    </row>
    <row r="101" customFormat="false" ht="15" hidden="false" customHeight="false" outlineLevel="0" collapsed="false">
      <c r="B101" s="15" t="s">
        <v>2854</v>
      </c>
      <c r="D101" s="74" t="n">
        <f aca="false">O31</f>
        <v>4177576.23023219</v>
      </c>
      <c r="E101" s="37" t="n">
        <v>4588736</v>
      </c>
      <c r="F101" s="48" t="n">
        <f aca="false">IF(AND(ISNUMBER(D101),ISNUMBER(E101)),D101-E101,"")</f>
        <v>-411159.769767809</v>
      </c>
      <c r="G101" s="11" t="str">
        <f aca="false">IF(NOT(ISNUMBER(F101)),"",IF(ABS(F101)&lt;2,"Sin diferencia","Mismo método que el plan con las cifras del modelo: la diferencia es de cifras (EBITDA, capital de trabajo y calendario), no de método."))</f>
        <v>Mismo método que el plan con las cifras del modelo: la diferencia es de cifras (EBITDA, capital de trabajo y calendario), no de método.</v>
      </c>
    </row>
    <row r="102" customFormat="false" ht="15" hidden="false" customHeight="false" outlineLevel="0" collapsed="false">
      <c r="B102" s="15" t="s">
        <v>2855</v>
      </c>
      <c r="D102" s="74" t="n">
        <f aca="false">O31</f>
        <v>4177576.23023219</v>
      </c>
      <c r="E102" s="92" t="n">
        <f aca="false">IF(COUNT(D59:N59)=0,"",O61)</f>
        <v>4588736.59842848</v>
      </c>
      <c r="F102" s="48" t="n">
        <f aca="false">IF(AND(ISNUMBER(D102),ISNUMBER(E102)),D102-E102,"")</f>
        <v>-411160.36819629</v>
      </c>
      <c r="G102" s="11" t="str">
        <f aca="false">IF(NOT(ISNUMBER(F102)),"",IF(ABS(F102)&lt;2,"Sin diferencia","Con los flujos publicados, el método reproduce el VAN del plan: la diferencia es solo de cifras."))</f>
        <v>Con los flujos publicados, el método reproduce el VAN del plan: la diferencia es solo de cifras.</v>
      </c>
    </row>
    <row r="103" customFormat="false" ht="15" hidden="false" customHeight="false" outlineLevel="0" collapsed="false">
      <c r="B103" s="15" t="s">
        <v>2856</v>
      </c>
      <c r="D103" s="84" t="n">
        <f aca="false">IFERROR(IRR(D29:N29),"No converge")</f>
        <v>0.239913566483965</v>
      </c>
      <c r="E103" s="35" t="n">
        <v>0.2261</v>
      </c>
      <c r="F103" s="47" t="n">
        <f aca="false">IF(AND(ISNUMBER(D103),ISNUMBER(E103)),D103-E103,"")</f>
        <v>0.0138135664839651</v>
      </c>
      <c r="G103" s="11" t="str">
        <f aca="false">IF(NOT(ISNUMBER(F103)),"",IF(ABS(F103)&lt;0.00005,"Sin diferencia","Mismo método que el plan con las cifras del modelo."))</f>
        <v>Mismo método que el plan con las cifras del modelo.</v>
      </c>
    </row>
    <row r="104" customFormat="false" ht="15" hidden="false" customHeight="false" outlineLevel="0" collapsed="false">
      <c r="B104" s="15" t="s">
        <v>2857</v>
      </c>
      <c r="D104" s="84" t="n">
        <f aca="false">IFERROR(IRR(D29:N29),"No converge")</f>
        <v>0.239913566483965</v>
      </c>
      <c r="E104" s="94" t="n">
        <f aca="false">IF(COUNT(D59:N59)=0,"",IFERROR(IRR(D59:N59),"No converge"))</f>
        <v>0.226054822852139</v>
      </c>
      <c r="F104" s="47" t="n">
        <f aca="false">IF(AND(ISNUMBER(D104),ISNUMBER(E104)),D104-E104,"")</f>
        <v>0.0138587436318259</v>
      </c>
      <c r="G104" s="11" t="str">
        <f aca="false">IF(NOT(ISNUMBER(F104)),"",IF(ABS(F104)&lt;0.00005,"Sin diferencia","Mismo método que el plan con las cifras del modelo."))</f>
        <v>Mismo método que el plan con las cifras del modelo.</v>
      </c>
    </row>
    <row r="105" customFormat="false" ht="15" hidden="false" customHeight="false" outlineLevel="0" collapsed="false">
      <c r="B105" s="15" t="s">
        <v>2858</v>
      </c>
      <c r="D105" s="26" t="n">
        <f aca="false">IF(_xlfn.MINIFS(D33:N33,D32:N32,"&gt;0",D33:N33,"&gt;=1")=0,"No recupera",_xlfn.MINIFS(D33:N33,D32:N32,"&gt;0",D33:N33,"&gt;=1"))</f>
        <v>8</v>
      </c>
      <c r="E105" s="18" t="n">
        <v>7</v>
      </c>
      <c r="F105" s="34" t="n">
        <f aca="false">IF(AND(ISNUMBER(D105),ISNUMBER(E105)),D105-E105,"")</f>
        <v>1</v>
      </c>
      <c r="G105" s="11" t="str">
        <f aca="false">IF(NOT(ISNUMBER(F105)),"",IF(ABS(F105)&lt;1,"Sin diferencia","Mismo método que el plan con las cifras del modelo."))</f>
        <v>Mismo método que el plan con las cifras del modelo.</v>
      </c>
    </row>
    <row r="106" customFormat="false" ht="15" hidden="false" customHeight="false" outlineLevel="0" collapsed="false">
      <c r="B106" s="15" t="s">
        <v>2859</v>
      </c>
      <c r="D106" s="74" t="n">
        <f aca="false">IF(cu_P=1,Resultados!$C$25,Resultados!$D$25)</f>
        <v>6989921.75871111</v>
      </c>
      <c r="G106" s="11"/>
    </row>
    <row r="107" customFormat="false" ht="15" hidden="false" customHeight="false" outlineLevel="0" collapsed="false">
      <c r="B107" s="15" t="s">
        <v>2860</v>
      </c>
      <c r="D107" s="84" t="n">
        <f aca="false">IF(cu_P=1,Resultados!$C$26,Resultados!$D$26)</f>
        <v>0.349257269740243</v>
      </c>
      <c r="G107" s="11"/>
    </row>
    <row r="108" customFormat="false" ht="15" hidden="false" customHeight="false" outlineLevel="0" collapsed="false">
      <c r="B108" s="15" t="s">
        <v>2861</v>
      </c>
      <c r="D108" s="79" t="n">
        <f aca="false">IF(cu_P=1,Resultados!$C$29,Resultados!$D$29)</f>
        <v>4.12764300579957</v>
      </c>
      <c r="G108" s="11"/>
    </row>
    <row r="109" customFormat="false" ht="15" hidden="false" customHeight="false" outlineLevel="0" collapsed="false">
      <c r="B109" s="15" t="s">
        <v>2862</v>
      </c>
      <c r="D109" s="74" t="n">
        <f aca="false">IF(cu_P=1,Resultados!$C$27,Resultados!$D$27)</f>
        <v>3695678.09104638</v>
      </c>
      <c r="G109" s="11"/>
    </row>
    <row r="110" customFormat="false" ht="15" hidden="false" customHeight="false" outlineLevel="0" collapsed="false">
      <c r="B110" s="15" t="s">
        <v>2863</v>
      </c>
      <c r="D110" s="84" t="n">
        <f aca="false">IF(cu_P=1,Resultados!$C$28,Resultados!$D$28)</f>
        <v>0.436297177538501</v>
      </c>
      <c r="G110" s="11"/>
    </row>
    <row r="112" customFormat="false" ht="15" hidden="false" customHeight="false" outlineLevel="0" collapsed="false">
      <c r="A112" s="12" t="s">
        <v>2864</v>
      </c>
      <c r="B112" s="13"/>
      <c r="C112" s="13"/>
      <c r="D112" s="13"/>
      <c r="E112" s="13"/>
      <c r="F112" s="13"/>
      <c r="G112" s="13"/>
      <c r="H112" s="13"/>
      <c r="I112" s="13"/>
      <c r="J112" s="13"/>
      <c r="K112" s="13"/>
      <c r="L112" s="13"/>
      <c r="M112" s="13"/>
      <c r="N112" s="13"/>
      <c r="O112" s="13"/>
    </row>
    <row r="113" customFormat="false" ht="24" hidden="false" customHeight="true" outlineLevel="0" collapsed="false">
      <c r="A113" s="14"/>
      <c r="B113" s="14" t="s">
        <v>2865</v>
      </c>
      <c r="C113" s="14"/>
      <c r="D113" s="14" t="s">
        <v>2866</v>
      </c>
      <c r="E113" s="14" t="s">
        <v>2867</v>
      </c>
      <c r="F113" s="14" t="s">
        <v>2868</v>
      </c>
      <c r="G113" s="14" t="s">
        <v>2869</v>
      </c>
    </row>
    <row r="114" customFormat="false" ht="15" hidden="false" customHeight="false" outlineLevel="0" collapsed="false">
      <c r="B114" s="15" t="s">
        <v>2870</v>
      </c>
      <c r="D114" s="48" t="n">
        <f aca="false">IF(cu_P=1,Calculo!$E$138,Calculo!$E$294)</f>
        <v>1139710</v>
      </c>
      <c r="E114" s="49" t="n">
        <f aca="false">IF(N(D116)=0,"",D114/D116)</f>
        <v>0.289906867886095</v>
      </c>
      <c r="F114" s="47" t="n">
        <f aca="false">IF(cu_P=1,P_Ke,V_Ke)</f>
        <v>0.1632</v>
      </c>
      <c r="G114" s="47" t="n">
        <f aca="false">IF(E114="","",E114*F114)</f>
        <v>0.0473128008390106</v>
      </c>
    </row>
    <row r="115" customFormat="false" ht="15" hidden="false" customHeight="false" outlineLevel="0" collapsed="false">
      <c r="B115" s="15" t="s">
        <v>2871</v>
      </c>
      <c r="D115" s="48" t="n">
        <f aca="false">IF(cu_P=1,Calculo!$E$136,Calculo!$E$292)</f>
        <v>2791587</v>
      </c>
      <c r="E115" s="49" t="n">
        <f aca="false">IF(N(D116)=0,"",D115/D116)</f>
        <v>0.710093132113906</v>
      </c>
      <c r="F115" s="47" t="n">
        <f aca="false">IF(cu_P=1,P_L1_Tasa,V_L1_Tasa)</f>
        <v>0.09</v>
      </c>
      <c r="G115" s="47" t="n">
        <f aca="false">IF(E115="","",E115*F115)</f>
        <v>0.0639083818902515</v>
      </c>
    </row>
    <row r="116" customFormat="false" ht="15" hidden="false" customHeight="false" outlineLevel="0" collapsed="false">
      <c r="B116" s="20" t="s">
        <v>2872</v>
      </c>
      <c r="D116" s="19" t="n">
        <f aca="false">D114+D115</f>
        <v>3931297</v>
      </c>
      <c r="G116" s="103" t="n">
        <f aca="false">SUM(G114:G115)</f>
        <v>0.111221182729262</v>
      </c>
    </row>
    <row r="117" customFormat="false" ht="15" hidden="false" customHeight="false" outlineLevel="0" collapsed="false">
      <c r="B117" s="15" t="s">
        <v>2873</v>
      </c>
      <c r="G117" s="103" t="n">
        <f aca="false">IF(cu_P=1,P_WACC,V_WACC)</f>
        <v>0.0948937</v>
      </c>
    </row>
    <row r="118" customFormat="false" ht="15" hidden="false" customHeight="false" outlineLevel="0" collapsed="false">
      <c r="B118" s="11" t="s">
        <v>2874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2875</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cuadro 20, pág. 29"</f>
        <v>Plan de referencia: Plan CIE–PERG Oct-2025 — cuadro 20, pág. 29</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1" t="s">
        <v>2876</v>
      </c>
      <c r="B8" s="53" t="str">
        <f aca="false">IF(Inversion!$B$6="","Ítem 1",Inversion!$B$6&amp;" — USD "&amp;FIXED(IF(cu_P=1,N(Inversion!$D$6),N(Inversion!$U$6)),0)&amp;" — "&amp;N(Inversion!$F$6)&amp;" años")</f>
        <v>Adecuación de infraestructura — USD 87,000 — 10 años</v>
      </c>
      <c r="C8" s="11" t="str">
        <f aca="false">IF(Inversion!$C$6="","",Inversion!$C$6)</f>
        <v>Infraestructura</v>
      </c>
      <c r="D8" s="48" t="n">
        <f aca="false">IF(cu_P=1,IF(N(INDEX(Inv_F,1))=0,0,N(INDEX(Inv_D,1))/(N(INDEX(Inv_F,1))*12)*MAX(0,MIN((P_Inicio-1),INDEX(Inv_SvcP,1)+N(INDEX(Inv_F,1))*12-1,Fin)-MAX(1,INDEX(Inv_SvcP,1))+1)),IF(N(INDEX(Inv_F,1))=0,0,N(INDEX(Inv_BaseV,1))/(N(INDEX(Inv_F,1))*12)*MAX(0,MIN((V_Inicio-1),INDEX(Inv_SvcV,1)+N(INDEX(Inv_F,1))*12-1,Fin)-MAX(1,INDEX(Inv_SvcV,1))+1)))</f>
        <v>0</v>
      </c>
      <c r="E8" s="48" t="n">
        <f aca="false">IF(cu_P=1,IF(N(INDEX(Inv_F,1))=0,0,N(INDEX(Inv_D,1))/(N(INDEX(Inv_F,1))*12)*MAX(0,MIN((P_Inicio+11),INDEX(Inv_SvcP,1)+N(INDEX(Inv_F,1))*12-1,Fin)-MAX((P_Inicio+0),INDEX(Inv_SvcP,1))+1)),IF(N(INDEX(Inv_F,1))=0,0,N(INDEX(Inv_BaseV,1))/(N(INDEX(Inv_F,1))*12)*MAX(0,MIN((V_Inicio+11),INDEX(Inv_SvcV,1)+N(INDEX(Inv_F,1))*12-1,Fin)-MAX((V_Inicio+0),INDEX(Inv_SvcV,1))+1)))</f>
        <v>8700</v>
      </c>
      <c r="F8" s="48" t="n">
        <f aca="false">IF(cu_P=1,IF(N(INDEX(Inv_F,1))=0,0,N(INDEX(Inv_D,1))/(N(INDEX(Inv_F,1))*12)*MAX(0,MIN((P_Inicio+23),INDEX(Inv_SvcP,1)+N(INDEX(Inv_F,1))*12-1,Fin)-MAX((P_Inicio+12),INDEX(Inv_SvcP,1))+1)),IF(N(INDEX(Inv_F,1))=0,0,N(INDEX(Inv_BaseV,1))/(N(INDEX(Inv_F,1))*12)*MAX(0,MIN((V_Inicio+23),INDEX(Inv_SvcV,1)+N(INDEX(Inv_F,1))*12-1,Fin)-MAX((V_Inicio+12),INDEX(Inv_SvcV,1))+1)))</f>
        <v>8700</v>
      </c>
      <c r="G8" s="48" t="n">
        <f aca="false">IF(cu_P=1,IF(N(INDEX(Inv_F,1))=0,0,N(INDEX(Inv_D,1))/(N(INDEX(Inv_F,1))*12)*MAX(0,MIN((P_Inicio+35),INDEX(Inv_SvcP,1)+N(INDEX(Inv_F,1))*12-1,Fin)-MAX((P_Inicio+24),INDEX(Inv_SvcP,1))+1)),IF(N(INDEX(Inv_F,1))=0,0,N(INDEX(Inv_BaseV,1))/(N(INDEX(Inv_F,1))*12)*MAX(0,MIN((V_Inicio+35),INDEX(Inv_SvcV,1)+N(INDEX(Inv_F,1))*12-1,Fin)-MAX((V_Inicio+24),INDEX(Inv_SvcV,1))+1)))</f>
        <v>8700</v>
      </c>
      <c r="H8" s="48" t="n">
        <f aca="false">IF(cu_P=1,IF(N(INDEX(Inv_F,1))=0,0,N(INDEX(Inv_D,1))/(N(INDEX(Inv_F,1))*12)*MAX(0,MIN((P_Inicio+47),INDEX(Inv_SvcP,1)+N(INDEX(Inv_F,1))*12-1,Fin)-MAX((P_Inicio+36),INDEX(Inv_SvcP,1))+1)),IF(N(INDEX(Inv_F,1))=0,0,N(INDEX(Inv_BaseV,1))/(N(INDEX(Inv_F,1))*12)*MAX(0,MIN((V_Inicio+47),INDEX(Inv_SvcV,1)+N(INDEX(Inv_F,1))*12-1,Fin)-MAX((V_Inicio+36),INDEX(Inv_SvcV,1))+1)))</f>
        <v>8700</v>
      </c>
      <c r="I8" s="48" t="n">
        <f aca="false">IF(cu_P=1,IF(N(INDEX(Inv_F,1))=0,0,N(INDEX(Inv_D,1))/(N(INDEX(Inv_F,1))*12)*MAX(0,MIN((P_Inicio+59),INDEX(Inv_SvcP,1)+N(INDEX(Inv_F,1))*12-1,Fin)-MAX((P_Inicio+48),INDEX(Inv_SvcP,1))+1)),IF(N(INDEX(Inv_F,1))=0,0,N(INDEX(Inv_BaseV,1))/(N(INDEX(Inv_F,1))*12)*MAX(0,MIN((V_Inicio+59),INDEX(Inv_SvcV,1)+N(INDEX(Inv_F,1))*12-1,Fin)-MAX((V_Inicio+48),INDEX(Inv_SvcV,1))+1)))</f>
        <v>8700</v>
      </c>
      <c r="J8" s="48" t="n">
        <f aca="false">IF(cu_P=1,IF(N(INDEX(Inv_F,1))=0,0,N(INDEX(Inv_D,1))/(N(INDEX(Inv_F,1))*12)*MAX(0,MIN((P_Inicio+71),INDEX(Inv_SvcP,1)+N(INDEX(Inv_F,1))*12-1,Fin)-MAX((P_Inicio+60),INDEX(Inv_SvcP,1))+1)),IF(N(INDEX(Inv_F,1))=0,0,N(INDEX(Inv_BaseV,1))/(N(INDEX(Inv_F,1))*12)*MAX(0,MIN((V_Inicio+71),INDEX(Inv_SvcV,1)+N(INDEX(Inv_F,1))*12-1,Fin)-MAX((V_Inicio+60),INDEX(Inv_SvcV,1))+1)))</f>
        <v>8700</v>
      </c>
      <c r="K8" s="48" t="n">
        <f aca="false">IF(cu_P=1,IF(N(INDEX(Inv_F,1))=0,0,N(INDEX(Inv_D,1))/(N(INDEX(Inv_F,1))*12)*MAX(0,MIN((P_Inicio+83),INDEX(Inv_SvcP,1)+N(INDEX(Inv_F,1))*12-1,Fin)-MAX((P_Inicio+72),INDEX(Inv_SvcP,1))+1)),IF(N(INDEX(Inv_F,1))=0,0,N(INDEX(Inv_BaseV,1))/(N(INDEX(Inv_F,1))*12)*MAX(0,MIN((V_Inicio+83),INDEX(Inv_SvcV,1)+N(INDEX(Inv_F,1))*12-1,Fin)-MAX((V_Inicio+72),INDEX(Inv_SvcV,1))+1)))</f>
        <v>8700</v>
      </c>
      <c r="L8" s="48" t="n">
        <f aca="false">IF(cu_P=1,IF(N(INDEX(Inv_F,1))=0,0,N(INDEX(Inv_D,1))/(N(INDEX(Inv_F,1))*12)*MAX(0,MIN((P_Inicio+95),INDEX(Inv_SvcP,1)+N(INDEX(Inv_F,1))*12-1,Fin)-MAX((P_Inicio+84),INDEX(Inv_SvcP,1))+1)),IF(N(INDEX(Inv_F,1))=0,0,N(INDEX(Inv_BaseV,1))/(N(INDEX(Inv_F,1))*12)*MAX(0,MIN((V_Inicio+95),INDEX(Inv_SvcV,1)+N(INDEX(Inv_F,1))*12-1,Fin)-MAX((V_Inicio+84),INDEX(Inv_SvcV,1))+1)))</f>
        <v>8700</v>
      </c>
      <c r="M8" s="48" t="n">
        <f aca="false">IF(cu_P=1,IF(N(INDEX(Inv_F,1))=0,0,N(INDEX(Inv_D,1))/(N(INDEX(Inv_F,1))*12)*MAX(0,MIN((P_Inicio+107),INDEX(Inv_SvcP,1)+N(INDEX(Inv_F,1))*12-1,Fin)-MAX((P_Inicio+96),INDEX(Inv_SvcP,1))+1)),IF(N(INDEX(Inv_F,1))=0,0,N(INDEX(Inv_BaseV,1))/(N(INDEX(Inv_F,1))*12)*MAX(0,MIN((V_Inicio+107),INDEX(Inv_SvcV,1)+N(INDEX(Inv_F,1))*12-1,Fin)-MAX((V_Inicio+96),INDEX(Inv_SvcV,1))+1)))</f>
        <v>8700</v>
      </c>
      <c r="N8" s="48" t="n">
        <f aca="false">IF(cu_P=1,IF(N(INDEX(Inv_F,1))=0,0,N(INDEX(Inv_D,1))/(N(INDEX(Inv_F,1))*12)*MAX(0,MIN((P_Inicio+119),INDEX(Inv_SvcP,1)+N(INDEX(Inv_F,1))*12-1,Fin)-MAX((P_Inicio+108),INDEX(Inv_SvcP,1))+1)),IF(N(INDEX(Inv_F,1))=0,0,N(INDEX(Inv_BaseV,1))/(N(INDEX(Inv_F,1))*12)*MAX(0,MIN((V_Inicio+119),INDEX(Inv_SvcV,1)+N(INDEX(Inv_F,1))*12-1,Fin)-MAX((V_Inicio+108),INDEX(Inv_SvcV,1))+1)))</f>
        <v>8700</v>
      </c>
      <c r="O8" s="54" t="n">
        <f aca="false">SUM(D8:N8)</f>
        <v>87000</v>
      </c>
    </row>
    <row r="9" customFormat="false" ht="15" hidden="false" customHeight="false" outlineLevel="0" collapsed="false">
      <c r="A9" s="11" t="s">
        <v>2877</v>
      </c>
      <c r="B9" s="53" t="str">
        <f aca="false">IF(Inversion!$B$7="","Ítem 2",Inversion!$B$7&amp;" — USD "&amp;FIXED(IF(cu_P=1,N(Inversion!$D$7),N(Inversion!$U$7)),0)&amp;" — "&amp;N(Inversion!$F$7)&amp;" años")</f>
        <v>Conjunto línea de pintura — USD 183,074 — 10 años</v>
      </c>
      <c r="C9" s="11" t="str">
        <f aca="false">IF(Inversion!$C$7="","",Inversion!$C$7)</f>
        <v>Maquinaria</v>
      </c>
      <c r="D9" s="48" t="n">
        <f aca="false">IF(cu_P=1,IF(N(INDEX(Inv_F,2))=0,0,N(INDEX(Inv_D,2))/(N(INDEX(Inv_F,2))*12)*MAX(0,MIN((P_Inicio-1),INDEX(Inv_SvcP,2)+N(INDEX(Inv_F,2))*12-1,Fin)-MAX(1,INDEX(Inv_SvcP,2))+1)),IF(N(INDEX(Inv_F,2))=0,0,N(INDEX(Inv_BaseV,2))/(N(INDEX(Inv_F,2))*12)*MAX(0,MIN((V_Inicio-1),INDEX(Inv_SvcV,2)+N(INDEX(Inv_F,2))*12-1,Fin)-MAX(1,INDEX(Inv_SvcV,2))+1)))</f>
        <v>0</v>
      </c>
      <c r="E9" s="48" t="n">
        <f aca="false">IF(cu_P=1,IF(N(INDEX(Inv_F,2))=0,0,N(INDEX(Inv_D,2))/(N(INDEX(Inv_F,2))*12)*MAX(0,MIN((P_Inicio+11),INDEX(Inv_SvcP,2)+N(INDEX(Inv_F,2))*12-1,Fin)-MAX((P_Inicio+0),INDEX(Inv_SvcP,2))+1)),IF(N(INDEX(Inv_F,2))=0,0,N(INDEX(Inv_BaseV,2))/(N(INDEX(Inv_F,2))*12)*MAX(0,MIN((V_Inicio+11),INDEX(Inv_SvcV,2)+N(INDEX(Inv_F,2))*12-1,Fin)-MAX((V_Inicio+0),INDEX(Inv_SvcV,2))+1)))</f>
        <v>18307.36</v>
      </c>
      <c r="F9" s="48" t="n">
        <f aca="false">IF(cu_P=1,IF(N(INDEX(Inv_F,2))=0,0,N(INDEX(Inv_D,2))/(N(INDEX(Inv_F,2))*12)*MAX(0,MIN((P_Inicio+23),INDEX(Inv_SvcP,2)+N(INDEX(Inv_F,2))*12-1,Fin)-MAX((P_Inicio+12),INDEX(Inv_SvcP,2))+1)),IF(N(INDEX(Inv_F,2))=0,0,N(INDEX(Inv_BaseV,2))/(N(INDEX(Inv_F,2))*12)*MAX(0,MIN((V_Inicio+23),INDEX(Inv_SvcV,2)+N(INDEX(Inv_F,2))*12-1,Fin)-MAX((V_Inicio+12),INDEX(Inv_SvcV,2))+1)))</f>
        <v>18307.36</v>
      </c>
      <c r="G9" s="48" t="n">
        <f aca="false">IF(cu_P=1,IF(N(INDEX(Inv_F,2))=0,0,N(INDEX(Inv_D,2))/(N(INDEX(Inv_F,2))*12)*MAX(0,MIN((P_Inicio+35),INDEX(Inv_SvcP,2)+N(INDEX(Inv_F,2))*12-1,Fin)-MAX((P_Inicio+24),INDEX(Inv_SvcP,2))+1)),IF(N(INDEX(Inv_F,2))=0,0,N(INDEX(Inv_BaseV,2))/(N(INDEX(Inv_F,2))*12)*MAX(0,MIN((V_Inicio+35),INDEX(Inv_SvcV,2)+N(INDEX(Inv_F,2))*12-1,Fin)-MAX((V_Inicio+24),INDEX(Inv_SvcV,2))+1)))</f>
        <v>18307.36</v>
      </c>
      <c r="H9" s="48" t="n">
        <f aca="false">IF(cu_P=1,IF(N(INDEX(Inv_F,2))=0,0,N(INDEX(Inv_D,2))/(N(INDEX(Inv_F,2))*12)*MAX(0,MIN((P_Inicio+47),INDEX(Inv_SvcP,2)+N(INDEX(Inv_F,2))*12-1,Fin)-MAX((P_Inicio+36),INDEX(Inv_SvcP,2))+1)),IF(N(INDEX(Inv_F,2))=0,0,N(INDEX(Inv_BaseV,2))/(N(INDEX(Inv_F,2))*12)*MAX(0,MIN((V_Inicio+47),INDEX(Inv_SvcV,2)+N(INDEX(Inv_F,2))*12-1,Fin)-MAX((V_Inicio+36),INDEX(Inv_SvcV,2))+1)))</f>
        <v>18307.36</v>
      </c>
      <c r="I9" s="48" t="n">
        <f aca="false">IF(cu_P=1,IF(N(INDEX(Inv_F,2))=0,0,N(INDEX(Inv_D,2))/(N(INDEX(Inv_F,2))*12)*MAX(0,MIN((P_Inicio+59),INDEX(Inv_SvcP,2)+N(INDEX(Inv_F,2))*12-1,Fin)-MAX((P_Inicio+48),INDEX(Inv_SvcP,2))+1)),IF(N(INDEX(Inv_F,2))=0,0,N(INDEX(Inv_BaseV,2))/(N(INDEX(Inv_F,2))*12)*MAX(0,MIN((V_Inicio+59),INDEX(Inv_SvcV,2)+N(INDEX(Inv_F,2))*12-1,Fin)-MAX((V_Inicio+48),INDEX(Inv_SvcV,2))+1)))</f>
        <v>18307.36</v>
      </c>
      <c r="J9" s="48" t="n">
        <f aca="false">IF(cu_P=1,IF(N(INDEX(Inv_F,2))=0,0,N(INDEX(Inv_D,2))/(N(INDEX(Inv_F,2))*12)*MAX(0,MIN((P_Inicio+71),INDEX(Inv_SvcP,2)+N(INDEX(Inv_F,2))*12-1,Fin)-MAX((P_Inicio+60),INDEX(Inv_SvcP,2))+1)),IF(N(INDEX(Inv_F,2))=0,0,N(INDEX(Inv_BaseV,2))/(N(INDEX(Inv_F,2))*12)*MAX(0,MIN((V_Inicio+71),INDEX(Inv_SvcV,2)+N(INDEX(Inv_F,2))*12-1,Fin)-MAX((V_Inicio+60),INDEX(Inv_SvcV,2))+1)))</f>
        <v>18307.36</v>
      </c>
      <c r="K9" s="48" t="n">
        <f aca="false">IF(cu_P=1,IF(N(INDEX(Inv_F,2))=0,0,N(INDEX(Inv_D,2))/(N(INDEX(Inv_F,2))*12)*MAX(0,MIN((P_Inicio+83),INDEX(Inv_SvcP,2)+N(INDEX(Inv_F,2))*12-1,Fin)-MAX((P_Inicio+72),INDEX(Inv_SvcP,2))+1)),IF(N(INDEX(Inv_F,2))=0,0,N(INDEX(Inv_BaseV,2))/(N(INDEX(Inv_F,2))*12)*MAX(0,MIN((V_Inicio+83),INDEX(Inv_SvcV,2)+N(INDEX(Inv_F,2))*12-1,Fin)-MAX((V_Inicio+72),INDEX(Inv_SvcV,2))+1)))</f>
        <v>18307.36</v>
      </c>
      <c r="L9" s="48" t="n">
        <f aca="false">IF(cu_P=1,IF(N(INDEX(Inv_F,2))=0,0,N(INDEX(Inv_D,2))/(N(INDEX(Inv_F,2))*12)*MAX(0,MIN((P_Inicio+95),INDEX(Inv_SvcP,2)+N(INDEX(Inv_F,2))*12-1,Fin)-MAX((P_Inicio+84),INDEX(Inv_SvcP,2))+1)),IF(N(INDEX(Inv_F,2))=0,0,N(INDEX(Inv_BaseV,2))/(N(INDEX(Inv_F,2))*12)*MAX(0,MIN((V_Inicio+95),INDEX(Inv_SvcV,2)+N(INDEX(Inv_F,2))*12-1,Fin)-MAX((V_Inicio+84),INDEX(Inv_SvcV,2))+1)))</f>
        <v>18307.36</v>
      </c>
      <c r="M9" s="48" t="n">
        <f aca="false">IF(cu_P=1,IF(N(INDEX(Inv_F,2))=0,0,N(INDEX(Inv_D,2))/(N(INDEX(Inv_F,2))*12)*MAX(0,MIN((P_Inicio+107),INDEX(Inv_SvcP,2)+N(INDEX(Inv_F,2))*12-1,Fin)-MAX((P_Inicio+96),INDEX(Inv_SvcP,2))+1)),IF(N(INDEX(Inv_F,2))=0,0,N(INDEX(Inv_BaseV,2))/(N(INDEX(Inv_F,2))*12)*MAX(0,MIN((V_Inicio+107),INDEX(Inv_SvcV,2)+N(INDEX(Inv_F,2))*12-1,Fin)-MAX((V_Inicio+96),INDEX(Inv_SvcV,2))+1)))</f>
        <v>18307.36</v>
      </c>
      <c r="N9" s="48" t="n">
        <f aca="false">IF(cu_P=1,IF(N(INDEX(Inv_F,2))=0,0,N(INDEX(Inv_D,2))/(N(INDEX(Inv_F,2))*12)*MAX(0,MIN((P_Inicio+119),INDEX(Inv_SvcP,2)+N(INDEX(Inv_F,2))*12-1,Fin)-MAX((P_Inicio+108),INDEX(Inv_SvcP,2))+1)),IF(N(INDEX(Inv_F,2))=0,0,N(INDEX(Inv_BaseV,2))/(N(INDEX(Inv_F,2))*12)*MAX(0,MIN((V_Inicio+119),INDEX(Inv_SvcV,2)+N(INDEX(Inv_F,2))*12-1,Fin)-MAX((V_Inicio+108),INDEX(Inv_SvcV,2))+1)))</f>
        <v>18307.36</v>
      </c>
      <c r="O9" s="54" t="n">
        <f aca="false">SUM(D9:N9)</f>
        <v>183073.6</v>
      </c>
    </row>
    <row r="10" customFormat="false" ht="15" hidden="false" customHeight="false" outlineLevel="0" collapsed="false">
      <c r="A10" s="11" t="s">
        <v>2878</v>
      </c>
      <c r="B10" s="53" t="str">
        <f aca="false">IF(Inversion!$B$8="","Ítem 3",Inversion!$B$8&amp;" — USD "&amp;FIXED(IF(cu_P=1,N(Inversion!$D$8),N(Inversion!$U$8)),0)&amp;" — "&amp;N(Inversion!$F$8)&amp;" años")</f>
        <v>Cortadoras láser (2) — USD 84,295 — 10 años</v>
      </c>
      <c r="C10" s="11" t="str">
        <f aca="false">IF(Inversion!$C$8="","",Inversion!$C$8)</f>
        <v>Maquinaria</v>
      </c>
      <c r="D10" s="48" t="n">
        <f aca="false">IF(cu_P=1,IF(N(INDEX(Inv_F,3))=0,0,N(INDEX(Inv_D,3))/(N(INDEX(Inv_F,3))*12)*MAX(0,MIN((P_Inicio-1),INDEX(Inv_SvcP,3)+N(INDEX(Inv_F,3))*12-1,Fin)-MAX(1,INDEX(Inv_SvcP,3))+1)),IF(N(INDEX(Inv_F,3))=0,0,N(INDEX(Inv_BaseV,3))/(N(INDEX(Inv_F,3))*12)*MAX(0,MIN((V_Inicio-1),INDEX(Inv_SvcV,3)+N(INDEX(Inv_F,3))*12-1,Fin)-MAX(1,INDEX(Inv_SvcV,3))+1)))</f>
        <v>0</v>
      </c>
      <c r="E10" s="48" t="n">
        <f aca="false">IF(cu_P=1,IF(N(INDEX(Inv_F,3))=0,0,N(INDEX(Inv_D,3))/(N(INDEX(Inv_F,3))*12)*MAX(0,MIN((P_Inicio+11),INDEX(Inv_SvcP,3)+N(INDEX(Inv_F,3))*12-1,Fin)-MAX((P_Inicio+0),INDEX(Inv_SvcP,3))+1)),IF(N(INDEX(Inv_F,3))=0,0,N(INDEX(Inv_BaseV,3))/(N(INDEX(Inv_F,3))*12)*MAX(0,MIN((V_Inicio+11),INDEX(Inv_SvcV,3)+N(INDEX(Inv_F,3))*12-1,Fin)-MAX((V_Inicio+0),INDEX(Inv_SvcV,3))+1)))</f>
        <v>8429.523</v>
      </c>
      <c r="F10" s="48" t="n">
        <f aca="false">IF(cu_P=1,IF(N(INDEX(Inv_F,3))=0,0,N(INDEX(Inv_D,3))/(N(INDEX(Inv_F,3))*12)*MAX(0,MIN((P_Inicio+23),INDEX(Inv_SvcP,3)+N(INDEX(Inv_F,3))*12-1,Fin)-MAX((P_Inicio+12),INDEX(Inv_SvcP,3))+1)),IF(N(INDEX(Inv_F,3))=0,0,N(INDEX(Inv_BaseV,3))/(N(INDEX(Inv_F,3))*12)*MAX(0,MIN((V_Inicio+23),INDEX(Inv_SvcV,3)+N(INDEX(Inv_F,3))*12-1,Fin)-MAX((V_Inicio+12),INDEX(Inv_SvcV,3))+1)))</f>
        <v>8429.523</v>
      </c>
      <c r="G10" s="48" t="n">
        <f aca="false">IF(cu_P=1,IF(N(INDEX(Inv_F,3))=0,0,N(INDEX(Inv_D,3))/(N(INDEX(Inv_F,3))*12)*MAX(0,MIN((P_Inicio+35),INDEX(Inv_SvcP,3)+N(INDEX(Inv_F,3))*12-1,Fin)-MAX((P_Inicio+24),INDEX(Inv_SvcP,3))+1)),IF(N(INDEX(Inv_F,3))=0,0,N(INDEX(Inv_BaseV,3))/(N(INDEX(Inv_F,3))*12)*MAX(0,MIN((V_Inicio+35),INDEX(Inv_SvcV,3)+N(INDEX(Inv_F,3))*12-1,Fin)-MAX((V_Inicio+24),INDEX(Inv_SvcV,3))+1)))</f>
        <v>8429.523</v>
      </c>
      <c r="H10" s="48" t="n">
        <f aca="false">IF(cu_P=1,IF(N(INDEX(Inv_F,3))=0,0,N(INDEX(Inv_D,3))/(N(INDEX(Inv_F,3))*12)*MAX(0,MIN((P_Inicio+47),INDEX(Inv_SvcP,3)+N(INDEX(Inv_F,3))*12-1,Fin)-MAX((P_Inicio+36),INDEX(Inv_SvcP,3))+1)),IF(N(INDEX(Inv_F,3))=0,0,N(INDEX(Inv_BaseV,3))/(N(INDEX(Inv_F,3))*12)*MAX(0,MIN((V_Inicio+47),INDEX(Inv_SvcV,3)+N(INDEX(Inv_F,3))*12-1,Fin)-MAX((V_Inicio+36),INDEX(Inv_SvcV,3))+1)))</f>
        <v>8429.523</v>
      </c>
      <c r="I10" s="48" t="n">
        <f aca="false">IF(cu_P=1,IF(N(INDEX(Inv_F,3))=0,0,N(INDEX(Inv_D,3))/(N(INDEX(Inv_F,3))*12)*MAX(0,MIN((P_Inicio+59),INDEX(Inv_SvcP,3)+N(INDEX(Inv_F,3))*12-1,Fin)-MAX((P_Inicio+48),INDEX(Inv_SvcP,3))+1)),IF(N(INDEX(Inv_F,3))=0,0,N(INDEX(Inv_BaseV,3))/(N(INDEX(Inv_F,3))*12)*MAX(0,MIN((V_Inicio+59),INDEX(Inv_SvcV,3)+N(INDEX(Inv_F,3))*12-1,Fin)-MAX((V_Inicio+48),INDEX(Inv_SvcV,3))+1)))</f>
        <v>8429.523</v>
      </c>
      <c r="J10" s="48" t="n">
        <f aca="false">IF(cu_P=1,IF(N(INDEX(Inv_F,3))=0,0,N(INDEX(Inv_D,3))/(N(INDEX(Inv_F,3))*12)*MAX(0,MIN((P_Inicio+71),INDEX(Inv_SvcP,3)+N(INDEX(Inv_F,3))*12-1,Fin)-MAX((P_Inicio+60),INDEX(Inv_SvcP,3))+1)),IF(N(INDEX(Inv_F,3))=0,0,N(INDEX(Inv_BaseV,3))/(N(INDEX(Inv_F,3))*12)*MAX(0,MIN((V_Inicio+71),INDEX(Inv_SvcV,3)+N(INDEX(Inv_F,3))*12-1,Fin)-MAX((V_Inicio+60),INDEX(Inv_SvcV,3))+1)))</f>
        <v>8429.523</v>
      </c>
      <c r="K10" s="48" t="n">
        <f aca="false">IF(cu_P=1,IF(N(INDEX(Inv_F,3))=0,0,N(INDEX(Inv_D,3))/(N(INDEX(Inv_F,3))*12)*MAX(0,MIN((P_Inicio+83),INDEX(Inv_SvcP,3)+N(INDEX(Inv_F,3))*12-1,Fin)-MAX((P_Inicio+72),INDEX(Inv_SvcP,3))+1)),IF(N(INDEX(Inv_F,3))=0,0,N(INDEX(Inv_BaseV,3))/(N(INDEX(Inv_F,3))*12)*MAX(0,MIN((V_Inicio+83),INDEX(Inv_SvcV,3)+N(INDEX(Inv_F,3))*12-1,Fin)-MAX((V_Inicio+72),INDEX(Inv_SvcV,3))+1)))</f>
        <v>8429.523</v>
      </c>
      <c r="L10" s="48" t="n">
        <f aca="false">IF(cu_P=1,IF(N(INDEX(Inv_F,3))=0,0,N(INDEX(Inv_D,3))/(N(INDEX(Inv_F,3))*12)*MAX(0,MIN((P_Inicio+95),INDEX(Inv_SvcP,3)+N(INDEX(Inv_F,3))*12-1,Fin)-MAX((P_Inicio+84),INDEX(Inv_SvcP,3))+1)),IF(N(INDEX(Inv_F,3))=0,0,N(INDEX(Inv_BaseV,3))/(N(INDEX(Inv_F,3))*12)*MAX(0,MIN((V_Inicio+95),INDEX(Inv_SvcV,3)+N(INDEX(Inv_F,3))*12-1,Fin)-MAX((V_Inicio+84),INDEX(Inv_SvcV,3))+1)))</f>
        <v>8429.523</v>
      </c>
      <c r="M10" s="48" t="n">
        <f aca="false">IF(cu_P=1,IF(N(INDEX(Inv_F,3))=0,0,N(INDEX(Inv_D,3))/(N(INDEX(Inv_F,3))*12)*MAX(0,MIN((P_Inicio+107),INDEX(Inv_SvcP,3)+N(INDEX(Inv_F,3))*12-1,Fin)-MAX((P_Inicio+96),INDEX(Inv_SvcP,3))+1)),IF(N(INDEX(Inv_F,3))=0,0,N(INDEX(Inv_BaseV,3))/(N(INDEX(Inv_F,3))*12)*MAX(0,MIN((V_Inicio+107),INDEX(Inv_SvcV,3)+N(INDEX(Inv_F,3))*12-1,Fin)-MAX((V_Inicio+96),INDEX(Inv_SvcV,3))+1)))</f>
        <v>8429.523</v>
      </c>
      <c r="N10" s="48" t="n">
        <f aca="false">IF(cu_P=1,IF(N(INDEX(Inv_F,3))=0,0,N(INDEX(Inv_D,3))/(N(INDEX(Inv_F,3))*12)*MAX(0,MIN((P_Inicio+119),INDEX(Inv_SvcP,3)+N(INDEX(Inv_F,3))*12-1,Fin)-MAX((P_Inicio+108),INDEX(Inv_SvcP,3))+1)),IF(N(INDEX(Inv_F,3))=0,0,N(INDEX(Inv_BaseV,3))/(N(INDEX(Inv_F,3))*12)*MAX(0,MIN((V_Inicio+119),INDEX(Inv_SvcV,3)+N(INDEX(Inv_F,3))*12-1,Fin)-MAX((V_Inicio+108),INDEX(Inv_SvcV,3))+1)))</f>
        <v>8429.523</v>
      </c>
      <c r="O10" s="54" t="n">
        <f aca="false">SUM(D10:N10)</f>
        <v>84295.23</v>
      </c>
    </row>
    <row r="11" customFormat="false" ht="15" hidden="false" customHeight="false" outlineLevel="0" collapsed="false">
      <c r="A11" s="11" t="s">
        <v>2879</v>
      </c>
      <c r="B11" s="53" t="str">
        <f aca="false">IF(Inversion!$B$9="","Ítem 4",Inversion!$B$9&amp;" — USD "&amp;FIXED(IF(cu_P=1,N(Inversion!$D$9),N(Inversion!$U$9)),0)&amp;" — "&amp;N(Inversion!$F$9)&amp;" años")</f>
        <v>Manipulador — USD 10,197 — 10 años</v>
      </c>
      <c r="C11" s="11" t="str">
        <f aca="false">IF(Inversion!$C$9="","",Inversion!$C$9)</f>
        <v>Maquinaria</v>
      </c>
      <c r="D11" s="48" t="n">
        <f aca="false">IF(cu_P=1,IF(N(INDEX(Inv_F,4))=0,0,N(INDEX(Inv_D,4))/(N(INDEX(Inv_F,4))*12)*MAX(0,MIN((P_Inicio-1),INDEX(Inv_SvcP,4)+N(INDEX(Inv_F,4))*12-1,Fin)-MAX(1,INDEX(Inv_SvcP,4))+1)),IF(N(INDEX(Inv_F,4))=0,0,N(INDEX(Inv_BaseV,4))/(N(INDEX(Inv_F,4))*12)*MAX(0,MIN((V_Inicio-1),INDEX(Inv_SvcV,4)+N(INDEX(Inv_F,4))*12-1,Fin)-MAX(1,INDEX(Inv_SvcV,4))+1)))</f>
        <v>0</v>
      </c>
      <c r="E11" s="48" t="n">
        <f aca="false">IF(cu_P=1,IF(N(INDEX(Inv_F,4))=0,0,N(INDEX(Inv_D,4))/(N(INDEX(Inv_F,4))*12)*MAX(0,MIN((P_Inicio+11),INDEX(Inv_SvcP,4)+N(INDEX(Inv_F,4))*12-1,Fin)-MAX((P_Inicio+0),INDEX(Inv_SvcP,4))+1)),IF(N(INDEX(Inv_F,4))=0,0,N(INDEX(Inv_BaseV,4))/(N(INDEX(Inv_F,4))*12)*MAX(0,MIN((V_Inicio+11),INDEX(Inv_SvcV,4)+N(INDEX(Inv_F,4))*12-1,Fin)-MAX((V_Inicio+0),INDEX(Inv_SvcV,4))+1)))</f>
        <v>1019.7</v>
      </c>
      <c r="F11" s="48" t="n">
        <f aca="false">IF(cu_P=1,IF(N(INDEX(Inv_F,4))=0,0,N(INDEX(Inv_D,4))/(N(INDEX(Inv_F,4))*12)*MAX(0,MIN((P_Inicio+23),INDEX(Inv_SvcP,4)+N(INDEX(Inv_F,4))*12-1,Fin)-MAX((P_Inicio+12),INDEX(Inv_SvcP,4))+1)),IF(N(INDEX(Inv_F,4))=0,0,N(INDEX(Inv_BaseV,4))/(N(INDEX(Inv_F,4))*12)*MAX(0,MIN((V_Inicio+23),INDEX(Inv_SvcV,4)+N(INDEX(Inv_F,4))*12-1,Fin)-MAX((V_Inicio+12),INDEX(Inv_SvcV,4))+1)))</f>
        <v>1019.7</v>
      </c>
      <c r="G11" s="48" t="n">
        <f aca="false">IF(cu_P=1,IF(N(INDEX(Inv_F,4))=0,0,N(INDEX(Inv_D,4))/(N(INDEX(Inv_F,4))*12)*MAX(0,MIN((P_Inicio+35),INDEX(Inv_SvcP,4)+N(INDEX(Inv_F,4))*12-1,Fin)-MAX((P_Inicio+24),INDEX(Inv_SvcP,4))+1)),IF(N(INDEX(Inv_F,4))=0,0,N(INDEX(Inv_BaseV,4))/(N(INDEX(Inv_F,4))*12)*MAX(0,MIN((V_Inicio+35),INDEX(Inv_SvcV,4)+N(INDEX(Inv_F,4))*12-1,Fin)-MAX((V_Inicio+24),INDEX(Inv_SvcV,4))+1)))</f>
        <v>1019.7</v>
      </c>
      <c r="H11" s="48" t="n">
        <f aca="false">IF(cu_P=1,IF(N(INDEX(Inv_F,4))=0,0,N(INDEX(Inv_D,4))/(N(INDEX(Inv_F,4))*12)*MAX(0,MIN((P_Inicio+47),INDEX(Inv_SvcP,4)+N(INDEX(Inv_F,4))*12-1,Fin)-MAX((P_Inicio+36),INDEX(Inv_SvcP,4))+1)),IF(N(INDEX(Inv_F,4))=0,0,N(INDEX(Inv_BaseV,4))/(N(INDEX(Inv_F,4))*12)*MAX(0,MIN((V_Inicio+47),INDEX(Inv_SvcV,4)+N(INDEX(Inv_F,4))*12-1,Fin)-MAX((V_Inicio+36),INDEX(Inv_SvcV,4))+1)))</f>
        <v>1019.7</v>
      </c>
      <c r="I11" s="48" t="n">
        <f aca="false">IF(cu_P=1,IF(N(INDEX(Inv_F,4))=0,0,N(INDEX(Inv_D,4))/(N(INDEX(Inv_F,4))*12)*MAX(0,MIN((P_Inicio+59),INDEX(Inv_SvcP,4)+N(INDEX(Inv_F,4))*12-1,Fin)-MAX((P_Inicio+48),INDEX(Inv_SvcP,4))+1)),IF(N(INDEX(Inv_F,4))=0,0,N(INDEX(Inv_BaseV,4))/(N(INDEX(Inv_F,4))*12)*MAX(0,MIN((V_Inicio+59),INDEX(Inv_SvcV,4)+N(INDEX(Inv_F,4))*12-1,Fin)-MAX((V_Inicio+48),INDEX(Inv_SvcV,4))+1)))</f>
        <v>1019.7</v>
      </c>
      <c r="J11" s="48" t="n">
        <f aca="false">IF(cu_P=1,IF(N(INDEX(Inv_F,4))=0,0,N(INDEX(Inv_D,4))/(N(INDEX(Inv_F,4))*12)*MAX(0,MIN((P_Inicio+71),INDEX(Inv_SvcP,4)+N(INDEX(Inv_F,4))*12-1,Fin)-MAX((P_Inicio+60),INDEX(Inv_SvcP,4))+1)),IF(N(INDEX(Inv_F,4))=0,0,N(INDEX(Inv_BaseV,4))/(N(INDEX(Inv_F,4))*12)*MAX(0,MIN((V_Inicio+71),INDEX(Inv_SvcV,4)+N(INDEX(Inv_F,4))*12-1,Fin)-MAX((V_Inicio+60),INDEX(Inv_SvcV,4))+1)))</f>
        <v>1019.7</v>
      </c>
      <c r="K11" s="48" t="n">
        <f aca="false">IF(cu_P=1,IF(N(INDEX(Inv_F,4))=0,0,N(INDEX(Inv_D,4))/(N(INDEX(Inv_F,4))*12)*MAX(0,MIN((P_Inicio+83),INDEX(Inv_SvcP,4)+N(INDEX(Inv_F,4))*12-1,Fin)-MAX((P_Inicio+72),INDEX(Inv_SvcP,4))+1)),IF(N(INDEX(Inv_F,4))=0,0,N(INDEX(Inv_BaseV,4))/(N(INDEX(Inv_F,4))*12)*MAX(0,MIN((V_Inicio+83),INDEX(Inv_SvcV,4)+N(INDEX(Inv_F,4))*12-1,Fin)-MAX((V_Inicio+72),INDEX(Inv_SvcV,4))+1)))</f>
        <v>1019.7</v>
      </c>
      <c r="L11" s="48" t="n">
        <f aca="false">IF(cu_P=1,IF(N(INDEX(Inv_F,4))=0,0,N(INDEX(Inv_D,4))/(N(INDEX(Inv_F,4))*12)*MAX(0,MIN((P_Inicio+95),INDEX(Inv_SvcP,4)+N(INDEX(Inv_F,4))*12-1,Fin)-MAX((P_Inicio+84),INDEX(Inv_SvcP,4))+1)),IF(N(INDEX(Inv_F,4))=0,0,N(INDEX(Inv_BaseV,4))/(N(INDEX(Inv_F,4))*12)*MAX(0,MIN((V_Inicio+95),INDEX(Inv_SvcV,4)+N(INDEX(Inv_F,4))*12-1,Fin)-MAX((V_Inicio+84),INDEX(Inv_SvcV,4))+1)))</f>
        <v>1019.7</v>
      </c>
      <c r="M11" s="48" t="n">
        <f aca="false">IF(cu_P=1,IF(N(INDEX(Inv_F,4))=0,0,N(INDEX(Inv_D,4))/(N(INDEX(Inv_F,4))*12)*MAX(0,MIN((P_Inicio+107),INDEX(Inv_SvcP,4)+N(INDEX(Inv_F,4))*12-1,Fin)-MAX((P_Inicio+96),INDEX(Inv_SvcP,4))+1)),IF(N(INDEX(Inv_F,4))=0,0,N(INDEX(Inv_BaseV,4))/(N(INDEX(Inv_F,4))*12)*MAX(0,MIN((V_Inicio+107),INDEX(Inv_SvcV,4)+N(INDEX(Inv_F,4))*12-1,Fin)-MAX((V_Inicio+96),INDEX(Inv_SvcV,4))+1)))</f>
        <v>1019.7</v>
      </c>
      <c r="N11" s="48" t="n">
        <f aca="false">IF(cu_P=1,IF(N(INDEX(Inv_F,4))=0,0,N(INDEX(Inv_D,4))/(N(INDEX(Inv_F,4))*12)*MAX(0,MIN((P_Inicio+119),INDEX(Inv_SvcP,4)+N(INDEX(Inv_F,4))*12-1,Fin)-MAX((P_Inicio+108),INDEX(Inv_SvcP,4))+1)),IF(N(INDEX(Inv_F,4))=0,0,N(INDEX(Inv_BaseV,4))/(N(INDEX(Inv_F,4))*12)*MAX(0,MIN((V_Inicio+119),INDEX(Inv_SvcV,4)+N(INDEX(Inv_F,4))*12-1,Fin)-MAX((V_Inicio+108),INDEX(Inv_SvcV,4))+1)))</f>
        <v>1019.7</v>
      </c>
      <c r="O11" s="54" t="n">
        <f aca="false">SUM(D11:N11)</f>
        <v>10197</v>
      </c>
    </row>
    <row r="12" customFormat="false" ht="15" hidden="false" customHeight="false" outlineLevel="0" collapsed="false">
      <c r="A12" s="11" t="s">
        <v>2880</v>
      </c>
      <c r="B12" s="53" t="str">
        <f aca="false">IF(Inversion!$B$10="","Ítem 5",Inversion!$B$10&amp;" — USD "&amp;FIXED(IF(cu_P=1,N(Inversion!$D$10),N(Inversion!$U$10)),0)&amp;" — "&amp;N(Inversion!$F$10)&amp;" años")</f>
        <v>Dobladoras (4) — USD 151,967 — 10 años</v>
      </c>
      <c r="C12" s="11" t="str">
        <f aca="false">IF(Inversion!$C$10="","",Inversion!$C$10)</f>
        <v>Maquinaria</v>
      </c>
      <c r="D12" s="48" t="n">
        <f aca="false">IF(cu_P=1,IF(N(INDEX(Inv_F,5))=0,0,N(INDEX(Inv_D,5))/(N(INDEX(Inv_F,5))*12)*MAX(0,MIN((P_Inicio-1),INDEX(Inv_SvcP,5)+N(INDEX(Inv_F,5))*12-1,Fin)-MAX(1,INDEX(Inv_SvcP,5))+1)),IF(N(INDEX(Inv_F,5))=0,0,N(INDEX(Inv_BaseV,5))/(N(INDEX(Inv_F,5))*12)*MAX(0,MIN((V_Inicio-1),INDEX(Inv_SvcV,5)+N(INDEX(Inv_F,5))*12-1,Fin)-MAX(1,INDEX(Inv_SvcV,5))+1)))</f>
        <v>0</v>
      </c>
      <c r="E12" s="48" t="n">
        <f aca="false">IF(cu_P=1,IF(N(INDEX(Inv_F,5))=0,0,N(INDEX(Inv_D,5))/(N(INDEX(Inv_F,5))*12)*MAX(0,MIN((P_Inicio+11),INDEX(Inv_SvcP,5)+N(INDEX(Inv_F,5))*12-1,Fin)-MAX((P_Inicio+0),INDEX(Inv_SvcP,5))+1)),IF(N(INDEX(Inv_F,5))=0,0,N(INDEX(Inv_BaseV,5))/(N(INDEX(Inv_F,5))*12)*MAX(0,MIN((V_Inicio+11),INDEX(Inv_SvcV,5)+N(INDEX(Inv_F,5))*12-1,Fin)-MAX((V_Inicio+0),INDEX(Inv_SvcV,5))+1)))</f>
        <v>15196.708</v>
      </c>
      <c r="F12" s="48" t="n">
        <f aca="false">IF(cu_P=1,IF(N(INDEX(Inv_F,5))=0,0,N(INDEX(Inv_D,5))/(N(INDEX(Inv_F,5))*12)*MAX(0,MIN((P_Inicio+23),INDEX(Inv_SvcP,5)+N(INDEX(Inv_F,5))*12-1,Fin)-MAX((P_Inicio+12),INDEX(Inv_SvcP,5))+1)),IF(N(INDEX(Inv_F,5))=0,0,N(INDEX(Inv_BaseV,5))/(N(INDEX(Inv_F,5))*12)*MAX(0,MIN((V_Inicio+23),INDEX(Inv_SvcV,5)+N(INDEX(Inv_F,5))*12-1,Fin)-MAX((V_Inicio+12),INDEX(Inv_SvcV,5))+1)))</f>
        <v>15196.708</v>
      </c>
      <c r="G12" s="48" t="n">
        <f aca="false">IF(cu_P=1,IF(N(INDEX(Inv_F,5))=0,0,N(INDEX(Inv_D,5))/(N(INDEX(Inv_F,5))*12)*MAX(0,MIN((P_Inicio+35),INDEX(Inv_SvcP,5)+N(INDEX(Inv_F,5))*12-1,Fin)-MAX((P_Inicio+24),INDEX(Inv_SvcP,5))+1)),IF(N(INDEX(Inv_F,5))=0,0,N(INDEX(Inv_BaseV,5))/(N(INDEX(Inv_F,5))*12)*MAX(0,MIN((V_Inicio+35),INDEX(Inv_SvcV,5)+N(INDEX(Inv_F,5))*12-1,Fin)-MAX((V_Inicio+24),INDEX(Inv_SvcV,5))+1)))</f>
        <v>15196.708</v>
      </c>
      <c r="H12" s="48" t="n">
        <f aca="false">IF(cu_P=1,IF(N(INDEX(Inv_F,5))=0,0,N(INDEX(Inv_D,5))/(N(INDEX(Inv_F,5))*12)*MAX(0,MIN((P_Inicio+47),INDEX(Inv_SvcP,5)+N(INDEX(Inv_F,5))*12-1,Fin)-MAX((P_Inicio+36),INDEX(Inv_SvcP,5))+1)),IF(N(INDEX(Inv_F,5))=0,0,N(INDEX(Inv_BaseV,5))/(N(INDEX(Inv_F,5))*12)*MAX(0,MIN((V_Inicio+47),INDEX(Inv_SvcV,5)+N(INDEX(Inv_F,5))*12-1,Fin)-MAX((V_Inicio+36),INDEX(Inv_SvcV,5))+1)))</f>
        <v>15196.708</v>
      </c>
      <c r="I12" s="48" t="n">
        <f aca="false">IF(cu_P=1,IF(N(INDEX(Inv_F,5))=0,0,N(INDEX(Inv_D,5))/(N(INDEX(Inv_F,5))*12)*MAX(0,MIN((P_Inicio+59),INDEX(Inv_SvcP,5)+N(INDEX(Inv_F,5))*12-1,Fin)-MAX((P_Inicio+48),INDEX(Inv_SvcP,5))+1)),IF(N(INDEX(Inv_F,5))=0,0,N(INDEX(Inv_BaseV,5))/(N(INDEX(Inv_F,5))*12)*MAX(0,MIN((V_Inicio+59),INDEX(Inv_SvcV,5)+N(INDEX(Inv_F,5))*12-1,Fin)-MAX((V_Inicio+48),INDEX(Inv_SvcV,5))+1)))</f>
        <v>15196.708</v>
      </c>
      <c r="J12" s="48" t="n">
        <f aca="false">IF(cu_P=1,IF(N(INDEX(Inv_F,5))=0,0,N(INDEX(Inv_D,5))/(N(INDEX(Inv_F,5))*12)*MAX(0,MIN((P_Inicio+71),INDEX(Inv_SvcP,5)+N(INDEX(Inv_F,5))*12-1,Fin)-MAX((P_Inicio+60),INDEX(Inv_SvcP,5))+1)),IF(N(INDEX(Inv_F,5))=0,0,N(INDEX(Inv_BaseV,5))/(N(INDEX(Inv_F,5))*12)*MAX(0,MIN((V_Inicio+71),INDEX(Inv_SvcV,5)+N(INDEX(Inv_F,5))*12-1,Fin)-MAX((V_Inicio+60),INDEX(Inv_SvcV,5))+1)))</f>
        <v>15196.708</v>
      </c>
      <c r="K12" s="48" t="n">
        <f aca="false">IF(cu_P=1,IF(N(INDEX(Inv_F,5))=0,0,N(INDEX(Inv_D,5))/(N(INDEX(Inv_F,5))*12)*MAX(0,MIN((P_Inicio+83),INDEX(Inv_SvcP,5)+N(INDEX(Inv_F,5))*12-1,Fin)-MAX((P_Inicio+72),INDEX(Inv_SvcP,5))+1)),IF(N(INDEX(Inv_F,5))=0,0,N(INDEX(Inv_BaseV,5))/(N(INDEX(Inv_F,5))*12)*MAX(0,MIN((V_Inicio+83),INDEX(Inv_SvcV,5)+N(INDEX(Inv_F,5))*12-1,Fin)-MAX((V_Inicio+72),INDEX(Inv_SvcV,5))+1)))</f>
        <v>15196.708</v>
      </c>
      <c r="L12" s="48" t="n">
        <f aca="false">IF(cu_P=1,IF(N(INDEX(Inv_F,5))=0,0,N(INDEX(Inv_D,5))/(N(INDEX(Inv_F,5))*12)*MAX(0,MIN((P_Inicio+95),INDEX(Inv_SvcP,5)+N(INDEX(Inv_F,5))*12-1,Fin)-MAX((P_Inicio+84),INDEX(Inv_SvcP,5))+1)),IF(N(INDEX(Inv_F,5))=0,0,N(INDEX(Inv_BaseV,5))/(N(INDEX(Inv_F,5))*12)*MAX(0,MIN((V_Inicio+95),INDEX(Inv_SvcV,5)+N(INDEX(Inv_F,5))*12-1,Fin)-MAX((V_Inicio+84),INDEX(Inv_SvcV,5))+1)))</f>
        <v>15196.708</v>
      </c>
      <c r="M12" s="48" t="n">
        <f aca="false">IF(cu_P=1,IF(N(INDEX(Inv_F,5))=0,0,N(INDEX(Inv_D,5))/(N(INDEX(Inv_F,5))*12)*MAX(0,MIN((P_Inicio+107),INDEX(Inv_SvcP,5)+N(INDEX(Inv_F,5))*12-1,Fin)-MAX((P_Inicio+96),INDEX(Inv_SvcP,5))+1)),IF(N(INDEX(Inv_F,5))=0,0,N(INDEX(Inv_BaseV,5))/(N(INDEX(Inv_F,5))*12)*MAX(0,MIN((V_Inicio+107),INDEX(Inv_SvcV,5)+N(INDEX(Inv_F,5))*12-1,Fin)-MAX((V_Inicio+96),INDEX(Inv_SvcV,5))+1)))</f>
        <v>15196.708</v>
      </c>
      <c r="N12" s="48" t="n">
        <f aca="false">IF(cu_P=1,IF(N(INDEX(Inv_F,5))=0,0,N(INDEX(Inv_D,5))/(N(INDEX(Inv_F,5))*12)*MAX(0,MIN((P_Inicio+119),INDEX(Inv_SvcP,5)+N(INDEX(Inv_F,5))*12-1,Fin)-MAX((P_Inicio+108),INDEX(Inv_SvcP,5))+1)),IF(N(INDEX(Inv_F,5))=0,0,N(INDEX(Inv_BaseV,5))/(N(INDEX(Inv_F,5))*12)*MAX(0,MIN((V_Inicio+119),INDEX(Inv_SvcV,5)+N(INDEX(Inv_F,5))*12-1,Fin)-MAX((V_Inicio+108),INDEX(Inv_SvcV,5))+1)))</f>
        <v>15196.708</v>
      </c>
      <c r="O12" s="54" t="n">
        <f aca="false">SUM(D12:N12)</f>
        <v>151967.08</v>
      </c>
    </row>
    <row r="13" customFormat="false" ht="15" hidden="false" customHeight="false" outlineLevel="0" collapsed="false">
      <c r="A13" s="11" t="s">
        <v>2881</v>
      </c>
      <c r="B13" s="53" t="str">
        <f aca="false">IF(Inversion!$B$11="","Ítem 6",Inversion!$B$11&amp;" — USD "&amp;FIXED(IF(cu_P=1,N(Inversion!$D$11),N(Inversion!$U$11)),0)&amp;" — "&amp;N(Inversion!$F$11)&amp;" años")</f>
        <v>Soldadoras (6) — USD 3,399 — 10 años</v>
      </c>
      <c r="C13" s="11" t="str">
        <f aca="false">IF(Inversion!$C$11="","",Inversion!$C$11)</f>
        <v>Maquinaria</v>
      </c>
      <c r="D13" s="48" t="n">
        <f aca="false">IF(cu_P=1,IF(N(INDEX(Inv_F,6))=0,0,N(INDEX(Inv_D,6))/(N(INDEX(Inv_F,6))*12)*MAX(0,MIN((P_Inicio-1),INDEX(Inv_SvcP,6)+N(INDEX(Inv_F,6))*12-1,Fin)-MAX(1,INDEX(Inv_SvcP,6))+1)),IF(N(INDEX(Inv_F,6))=0,0,N(INDEX(Inv_BaseV,6))/(N(INDEX(Inv_F,6))*12)*MAX(0,MIN((V_Inicio-1),INDEX(Inv_SvcV,6)+N(INDEX(Inv_F,6))*12-1,Fin)-MAX(1,INDEX(Inv_SvcV,6))+1)))</f>
        <v>0</v>
      </c>
      <c r="E13" s="48" t="n">
        <f aca="false">IF(cu_P=1,IF(N(INDEX(Inv_F,6))=0,0,N(INDEX(Inv_D,6))/(N(INDEX(Inv_F,6))*12)*MAX(0,MIN((P_Inicio+11),INDEX(Inv_SvcP,6)+N(INDEX(Inv_F,6))*12-1,Fin)-MAX((P_Inicio+0),INDEX(Inv_SvcP,6))+1)),IF(N(INDEX(Inv_F,6))=0,0,N(INDEX(Inv_BaseV,6))/(N(INDEX(Inv_F,6))*12)*MAX(0,MIN((V_Inicio+11),INDEX(Inv_SvcV,6)+N(INDEX(Inv_F,6))*12-1,Fin)-MAX((V_Inicio+0),INDEX(Inv_SvcV,6))+1)))</f>
        <v>339.9</v>
      </c>
      <c r="F13" s="48" t="n">
        <f aca="false">IF(cu_P=1,IF(N(INDEX(Inv_F,6))=0,0,N(INDEX(Inv_D,6))/(N(INDEX(Inv_F,6))*12)*MAX(0,MIN((P_Inicio+23),INDEX(Inv_SvcP,6)+N(INDEX(Inv_F,6))*12-1,Fin)-MAX((P_Inicio+12),INDEX(Inv_SvcP,6))+1)),IF(N(INDEX(Inv_F,6))=0,0,N(INDEX(Inv_BaseV,6))/(N(INDEX(Inv_F,6))*12)*MAX(0,MIN((V_Inicio+23),INDEX(Inv_SvcV,6)+N(INDEX(Inv_F,6))*12-1,Fin)-MAX((V_Inicio+12),INDEX(Inv_SvcV,6))+1)))</f>
        <v>339.9</v>
      </c>
      <c r="G13" s="48" t="n">
        <f aca="false">IF(cu_P=1,IF(N(INDEX(Inv_F,6))=0,0,N(INDEX(Inv_D,6))/(N(INDEX(Inv_F,6))*12)*MAX(0,MIN((P_Inicio+35),INDEX(Inv_SvcP,6)+N(INDEX(Inv_F,6))*12-1,Fin)-MAX((P_Inicio+24),INDEX(Inv_SvcP,6))+1)),IF(N(INDEX(Inv_F,6))=0,0,N(INDEX(Inv_BaseV,6))/(N(INDEX(Inv_F,6))*12)*MAX(0,MIN((V_Inicio+35),INDEX(Inv_SvcV,6)+N(INDEX(Inv_F,6))*12-1,Fin)-MAX((V_Inicio+24),INDEX(Inv_SvcV,6))+1)))</f>
        <v>339.9</v>
      </c>
      <c r="H13" s="48" t="n">
        <f aca="false">IF(cu_P=1,IF(N(INDEX(Inv_F,6))=0,0,N(INDEX(Inv_D,6))/(N(INDEX(Inv_F,6))*12)*MAX(0,MIN((P_Inicio+47),INDEX(Inv_SvcP,6)+N(INDEX(Inv_F,6))*12-1,Fin)-MAX((P_Inicio+36),INDEX(Inv_SvcP,6))+1)),IF(N(INDEX(Inv_F,6))=0,0,N(INDEX(Inv_BaseV,6))/(N(INDEX(Inv_F,6))*12)*MAX(0,MIN((V_Inicio+47),INDEX(Inv_SvcV,6)+N(INDEX(Inv_F,6))*12-1,Fin)-MAX((V_Inicio+36),INDEX(Inv_SvcV,6))+1)))</f>
        <v>339.9</v>
      </c>
      <c r="I13" s="48" t="n">
        <f aca="false">IF(cu_P=1,IF(N(INDEX(Inv_F,6))=0,0,N(INDEX(Inv_D,6))/(N(INDEX(Inv_F,6))*12)*MAX(0,MIN((P_Inicio+59),INDEX(Inv_SvcP,6)+N(INDEX(Inv_F,6))*12-1,Fin)-MAX((P_Inicio+48),INDEX(Inv_SvcP,6))+1)),IF(N(INDEX(Inv_F,6))=0,0,N(INDEX(Inv_BaseV,6))/(N(INDEX(Inv_F,6))*12)*MAX(0,MIN((V_Inicio+59),INDEX(Inv_SvcV,6)+N(INDEX(Inv_F,6))*12-1,Fin)-MAX((V_Inicio+48),INDEX(Inv_SvcV,6))+1)))</f>
        <v>339.9</v>
      </c>
      <c r="J13" s="48" t="n">
        <f aca="false">IF(cu_P=1,IF(N(INDEX(Inv_F,6))=0,0,N(INDEX(Inv_D,6))/(N(INDEX(Inv_F,6))*12)*MAX(0,MIN((P_Inicio+71),INDEX(Inv_SvcP,6)+N(INDEX(Inv_F,6))*12-1,Fin)-MAX((P_Inicio+60),INDEX(Inv_SvcP,6))+1)),IF(N(INDEX(Inv_F,6))=0,0,N(INDEX(Inv_BaseV,6))/(N(INDEX(Inv_F,6))*12)*MAX(0,MIN((V_Inicio+71),INDEX(Inv_SvcV,6)+N(INDEX(Inv_F,6))*12-1,Fin)-MAX((V_Inicio+60),INDEX(Inv_SvcV,6))+1)))</f>
        <v>339.9</v>
      </c>
      <c r="K13" s="48" t="n">
        <f aca="false">IF(cu_P=1,IF(N(INDEX(Inv_F,6))=0,0,N(INDEX(Inv_D,6))/(N(INDEX(Inv_F,6))*12)*MAX(0,MIN((P_Inicio+83),INDEX(Inv_SvcP,6)+N(INDEX(Inv_F,6))*12-1,Fin)-MAX((P_Inicio+72),INDEX(Inv_SvcP,6))+1)),IF(N(INDEX(Inv_F,6))=0,0,N(INDEX(Inv_BaseV,6))/(N(INDEX(Inv_F,6))*12)*MAX(0,MIN((V_Inicio+83),INDEX(Inv_SvcV,6)+N(INDEX(Inv_F,6))*12-1,Fin)-MAX((V_Inicio+72),INDEX(Inv_SvcV,6))+1)))</f>
        <v>339.9</v>
      </c>
      <c r="L13" s="48" t="n">
        <f aca="false">IF(cu_P=1,IF(N(INDEX(Inv_F,6))=0,0,N(INDEX(Inv_D,6))/(N(INDEX(Inv_F,6))*12)*MAX(0,MIN((P_Inicio+95),INDEX(Inv_SvcP,6)+N(INDEX(Inv_F,6))*12-1,Fin)-MAX((P_Inicio+84),INDEX(Inv_SvcP,6))+1)),IF(N(INDEX(Inv_F,6))=0,0,N(INDEX(Inv_BaseV,6))/(N(INDEX(Inv_F,6))*12)*MAX(0,MIN((V_Inicio+95),INDEX(Inv_SvcV,6)+N(INDEX(Inv_F,6))*12-1,Fin)-MAX((V_Inicio+84),INDEX(Inv_SvcV,6))+1)))</f>
        <v>339.9</v>
      </c>
      <c r="M13" s="48" t="n">
        <f aca="false">IF(cu_P=1,IF(N(INDEX(Inv_F,6))=0,0,N(INDEX(Inv_D,6))/(N(INDEX(Inv_F,6))*12)*MAX(0,MIN((P_Inicio+107),INDEX(Inv_SvcP,6)+N(INDEX(Inv_F,6))*12-1,Fin)-MAX((P_Inicio+96),INDEX(Inv_SvcP,6))+1)),IF(N(INDEX(Inv_F,6))=0,0,N(INDEX(Inv_BaseV,6))/(N(INDEX(Inv_F,6))*12)*MAX(0,MIN((V_Inicio+107),INDEX(Inv_SvcV,6)+N(INDEX(Inv_F,6))*12-1,Fin)-MAX((V_Inicio+96),INDEX(Inv_SvcV,6))+1)))</f>
        <v>339.9</v>
      </c>
      <c r="N13" s="48" t="n">
        <f aca="false">IF(cu_P=1,IF(N(INDEX(Inv_F,6))=0,0,N(INDEX(Inv_D,6))/(N(INDEX(Inv_F,6))*12)*MAX(0,MIN((P_Inicio+119),INDEX(Inv_SvcP,6)+N(INDEX(Inv_F,6))*12-1,Fin)-MAX((P_Inicio+108),INDEX(Inv_SvcP,6))+1)),IF(N(INDEX(Inv_F,6))=0,0,N(INDEX(Inv_BaseV,6))/(N(INDEX(Inv_F,6))*12)*MAX(0,MIN((V_Inicio+119),INDEX(Inv_SvcV,6)+N(INDEX(Inv_F,6))*12-1,Fin)-MAX((V_Inicio+108),INDEX(Inv_SvcV,6))+1)))</f>
        <v>339.9</v>
      </c>
      <c r="O13" s="54" t="n">
        <f aca="false">SUM(D13:N13)</f>
        <v>3399</v>
      </c>
    </row>
    <row r="14" customFormat="false" ht="15" hidden="false" customHeight="false" outlineLevel="0" collapsed="false">
      <c r="A14" s="11" t="s">
        <v>2882</v>
      </c>
      <c r="B14" s="53" t="str">
        <f aca="false">IF(Inversion!$B$12="","Ítem 7",Inversion!$B$12&amp;" — USD "&amp;FIXED(IF(cu_P=1,N(Inversion!$D$12),N(Inversion!$U$12)),0)&amp;" — "&amp;N(Inversion!$F$12)&amp;" años")</f>
        <v>Lijadoras (4) — USD 589 — 10 años</v>
      </c>
      <c r="C14" s="11" t="str">
        <f aca="false">IF(Inversion!$C$12="","",Inversion!$C$12)</f>
        <v>Maquinaria</v>
      </c>
      <c r="D14" s="48" t="n">
        <f aca="false">IF(cu_P=1,IF(N(INDEX(Inv_F,7))=0,0,N(INDEX(Inv_D,7))/(N(INDEX(Inv_F,7))*12)*MAX(0,MIN((P_Inicio-1),INDEX(Inv_SvcP,7)+N(INDEX(Inv_F,7))*12-1,Fin)-MAX(1,INDEX(Inv_SvcP,7))+1)),IF(N(INDEX(Inv_F,7))=0,0,N(INDEX(Inv_BaseV,7))/(N(INDEX(Inv_F,7))*12)*MAX(0,MIN((V_Inicio-1),INDEX(Inv_SvcV,7)+N(INDEX(Inv_F,7))*12-1,Fin)-MAX(1,INDEX(Inv_SvcV,7))+1)))</f>
        <v>0</v>
      </c>
      <c r="E14" s="48" t="n">
        <f aca="false">IF(cu_P=1,IF(N(INDEX(Inv_F,7))=0,0,N(INDEX(Inv_D,7))/(N(INDEX(Inv_F,7))*12)*MAX(0,MIN((P_Inicio+11),INDEX(Inv_SvcP,7)+N(INDEX(Inv_F,7))*12-1,Fin)-MAX((P_Inicio+0),INDEX(Inv_SvcP,7))+1)),IF(N(INDEX(Inv_F,7))=0,0,N(INDEX(Inv_BaseV,7))/(N(INDEX(Inv_F,7))*12)*MAX(0,MIN((V_Inicio+11),INDEX(Inv_SvcV,7)+N(INDEX(Inv_F,7))*12-1,Fin)-MAX((V_Inicio+0),INDEX(Inv_SvcV,7))+1)))</f>
        <v>58.916</v>
      </c>
      <c r="F14" s="48" t="n">
        <f aca="false">IF(cu_P=1,IF(N(INDEX(Inv_F,7))=0,0,N(INDEX(Inv_D,7))/(N(INDEX(Inv_F,7))*12)*MAX(0,MIN((P_Inicio+23),INDEX(Inv_SvcP,7)+N(INDEX(Inv_F,7))*12-1,Fin)-MAX((P_Inicio+12),INDEX(Inv_SvcP,7))+1)),IF(N(INDEX(Inv_F,7))=0,0,N(INDEX(Inv_BaseV,7))/(N(INDEX(Inv_F,7))*12)*MAX(0,MIN((V_Inicio+23),INDEX(Inv_SvcV,7)+N(INDEX(Inv_F,7))*12-1,Fin)-MAX((V_Inicio+12),INDEX(Inv_SvcV,7))+1)))</f>
        <v>58.916</v>
      </c>
      <c r="G14" s="48" t="n">
        <f aca="false">IF(cu_P=1,IF(N(INDEX(Inv_F,7))=0,0,N(INDEX(Inv_D,7))/(N(INDEX(Inv_F,7))*12)*MAX(0,MIN((P_Inicio+35),INDEX(Inv_SvcP,7)+N(INDEX(Inv_F,7))*12-1,Fin)-MAX((P_Inicio+24),INDEX(Inv_SvcP,7))+1)),IF(N(INDEX(Inv_F,7))=0,0,N(INDEX(Inv_BaseV,7))/(N(INDEX(Inv_F,7))*12)*MAX(0,MIN((V_Inicio+35),INDEX(Inv_SvcV,7)+N(INDEX(Inv_F,7))*12-1,Fin)-MAX((V_Inicio+24),INDEX(Inv_SvcV,7))+1)))</f>
        <v>58.916</v>
      </c>
      <c r="H14" s="48" t="n">
        <f aca="false">IF(cu_P=1,IF(N(INDEX(Inv_F,7))=0,0,N(INDEX(Inv_D,7))/(N(INDEX(Inv_F,7))*12)*MAX(0,MIN((P_Inicio+47),INDEX(Inv_SvcP,7)+N(INDEX(Inv_F,7))*12-1,Fin)-MAX((P_Inicio+36),INDEX(Inv_SvcP,7))+1)),IF(N(INDEX(Inv_F,7))=0,0,N(INDEX(Inv_BaseV,7))/(N(INDEX(Inv_F,7))*12)*MAX(0,MIN((V_Inicio+47),INDEX(Inv_SvcV,7)+N(INDEX(Inv_F,7))*12-1,Fin)-MAX((V_Inicio+36),INDEX(Inv_SvcV,7))+1)))</f>
        <v>58.916</v>
      </c>
      <c r="I14" s="48" t="n">
        <f aca="false">IF(cu_P=1,IF(N(INDEX(Inv_F,7))=0,0,N(INDEX(Inv_D,7))/(N(INDEX(Inv_F,7))*12)*MAX(0,MIN((P_Inicio+59),INDEX(Inv_SvcP,7)+N(INDEX(Inv_F,7))*12-1,Fin)-MAX((P_Inicio+48),INDEX(Inv_SvcP,7))+1)),IF(N(INDEX(Inv_F,7))=0,0,N(INDEX(Inv_BaseV,7))/(N(INDEX(Inv_F,7))*12)*MAX(0,MIN((V_Inicio+59),INDEX(Inv_SvcV,7)+N(INDEX(Inv_F,7))*12-1,Fin)-MAX((V_Inicio+48),INDEX(Inv_SvcV,7))+1)))</f>
        <v>58.916</v>
      </c>
      <c r="J14" s="48" t="n">
        <f aca="false">IF(cu_P=1,IF(N(INDEX(Inv_F,7))=0,0,N(INDEX(Inv_D,7))/(N(INDEX(Inv_F,7))*12)*MAX(0,MIN((P_Inicio+71),INDEX(Inv_SvcP,7)+N(INDEX(Inv_F,7))*12-1,Fin)-MAX((P_Inicio+60),INDEX(Inv_SvcP,7))+1)),IF(N(INDEX(Inv_F,7))=0,0,N(INDEX(Inv_BaseV,7))/(N(INDEX(Inv_F,7))*12)*MAX(0,MIN((V_Inicio+71),INDEX(Inv_SvcV,7)+N(INDEX(Inv_F,7))*12-1,Fin)-MAX((V_Inicio+60),INDEX(Inv_SvcV,7))+1)))</f>
        <v>58.916</v>
      </c>
      <c r="K14" s="48" t="n">
        <f aca="false">IF(cu_P=1,IF(N(INDEX(Inv_F,7))=0,0,N(INDEX(Inv_D,7))/(N(INDEX(Inv_F,7))*12)*MAX(0,MIN((P_Inicio+83),INDEX(Inv_SvcP,7)+N(INDEX(Inv_F,7))*12-1,Fin)-MAX((P_Inicio+72),INDEX(Inv_SvcP,7))+1)),IF(N(INDEX(Inv_F,7))=0,0,N(INDEX(Inv_BaseV,7))/(N(INDEX(Inv_F,7))*12)*MAX(0,MIN((V_Inicio+83),INDEX(Inv_SvcV,7)+N(INDEX(Inv_F,7))*12-1,Fin)-MAX((V_Inicio+72),INDEX(Inv_SvcV,7))+1)))</f>
        <v>58.916</v>
      </c>
      <c r="L14" s="48" t="n">
        <f aca="false">IF(cu_P=1,IF(N(INDEX(Inv_F,7))=0,0,N(INDEX(Inv_D,7))/(N(INDEX(Inv_F,7))*12)*MAX(0,MIN((P_Inicio+95),INDEX(Inv_SvcP,7)+N(INDEX(Inv_F,7))*12-1,Fin)-MAX((P_Inicio+84),INDEX(Inv_SvcP,7))+1)),IF(N(INDEX(Inv_F,7))=0,0,N(INDEX(Inv_BaseV,7))/(N(INDEX(Inv_F,7))*12)*MAX(0,MIN((V_Inicio+95),INDEX(Inv_SvcV,7)+N(INDEX(Inv_F,7))*12-1,Fin)-MAX((V_Inicio+84),INDEX(Inv_SvcV,7))+1)))</f>
        <v>58.916</v>
      </c>
      <c r="M14" s="48" t="n">
        <f aca="false">IF(cu_P=1,IF(N(INDEX(Inv_F,7))=0,0,N(INDEX(Inv_D,7))/(N(INDEX(Inv_F,7))*12)*MAX(0,MIN((P_Inicio+107),INDEX(Inv_SvcP,7)+N(INDEX(Inv_F,7))*12-1,Fin)-MAX((P_Inicio+96),INDEX(Inv_SvcP,7))+1)),IF(N(INDEX(Inv_F,7))=0,0,N(INDEX(Inv_BaseV,7))/(N(INDEX(Inv_F,7))*12)*MAX(0,MIN((V_Inicio+107),INDEX(Inv_SvcV,7)+N(INDEX(Inv_F,7))*12-1,Fin)-MAX((V_Inicio+96),INDEX(Inv_SvcV,7))+1)))</f>
        <v>58.916</v>
      </c>
      <c r="N14" s="48" t="n">
        <f aca="false">IF(cu_P=1,IF(N(INDEX(Inv_F,7))=0,0,N(INDEX(Inv_D,7))/(N(INDEX(Inv_F,7))*12)*MAX(0,MIN((P_Inicio+119),INDEX(Inv_SvcP,7)+N(INDEX(Inv_F,7))*12-1,Fin)-MAX((P_Inicio+108),INDEX(Inv_SvcP,7))+1)),IF(N(INDEX(Inv_F,7))=0,0,N(INDEX(Inv_BaseV,7))/(N(INDEX(Inv_F,7))*12)*MAX(0,MIN((V_Inicio+119),INDEX(Inv_SvcV,7)+N(INDEX(Inv_F,7))*12-1,Fin)-MAX((V_Inicio+108),INDEX(Inv_SvcV,7))+1)))</f>
        <v>58.916</v>
      </c>
      <c r="O14" s="54" t="n">
        <f aca="false">SUM(D14:N14)</f>
        <v>589.16</v>
      </c>
    </row>
    <row r="15" customFormat="false" ht="15" hidden="false" customHeight="false" outlineLevel="0" collapsed="false">
      <c r="A15" s="11" t="s">
        <v>2883</v>
      </c>
      <c r="B15" s="53" t="str">
        <f aca="false">IF(Inversion!$B$13="","Ítem 8",Inversion!$B$13&amp;" — USD "&amp;FIXED(IF(cu_P=1,N(Inversion!$D$13),N(Inversion!$U$13)),0)&amp;" — "&amp;N(Inversion!$F$13)&amp;" años")</f>
        <v>Conjunto baño — USD 28,325 — 10 años</v>
      </c>
      <c r="C15" s="11" t="str">
        <f aca="false">IF(Inversion!$C$13="","",Inversion!$C$13)</f>
        <v>Maquinaria</v>
      </c>
      <c r="D15" s="48" t="n">
        <f aca="false">IF(cu_P=1,IF(N(INDEX(Inv_F,8))=0,0,N(INDEX(Inv_D,8))/(N(INDEX(Inv_F,8))*12)*MAX(0,MIN((P_Inicio-1),INDEX(Inv_SvcP,8)+N(INDEX(Inv_F,8))*12-1,Fin)-MAX(1,INDEX(Inv_SvcP,8))+1)),IF(N(INDEX(Inv_F,8))=0,0,N(INDEX(Inv_BaseV,8))/(N(INDEX(Inv_F,8))*12)*MAX(0,MIN((V_Inicio-1),INDEX(Inv_SvcV,8)+N(INDEX(Inv_F,8))*12-1,Fin)-MAX(1,INDEX(Inv_SvcV,8))+1)))</f>
        <v>0</v>
      </c>
      <c r="E15" s="48" t="n">
        <f aca="false">IF(cu_P=1,IF(N(INDEX(Inv_F,8))=0,0,N(INDEX(Inv_D,8))/(N(INDEX(Inv_F,8))*12)*MAX(0,MIN((P_Inicio+11),INDEX(Inv_SvcP,8)+N(INDEX(Inv_F,8))*12-1,Fin)-MAX((P_Inicio+0),INDEX(Inv_SvcP,8))+1)),IF(N(INDEX(Inv_F,8))=0,0,N(INDEX(Inv_BaseV,8))/(N(INDEX(Inv_F,8))*12)*MAX(0,MIN((V_Inicio+11),INDEX(Inv_SvcV,8)+N(INDEX(Inv_F,8))*12-1,Fin)-MAX((V_Inicio+0),INDEX(Inv_SvcV,8))+1)))</f>
        <v>2832.501</v>
      </c>
      <c r="F15" s="48" t="n">
        <f aca="false">IF(cu_P=1,IF(N(INDEX(Inv_F,8))=0,0,N(INDEX(Inv_D,8))/(N(INDEX(Inv_F,8))*12)*MAX(0,MIN((P_Inicio+23),INDEX(Inv_SvcP,8)+N(INDEX(Inv_F,8))*12-1,Fin)-MAX((P_Inicio+12),INDEX(Inv_SvcP,8))+1)),IF(N(INDEX(Inv_F,8))=0,0,N(INDEX(Inv_BaseV,8))/(N(INDEX(Inv_F,8))*12)*MAX(0,MIN((V_Inicio+23),INDEX(Inv_SvcV,8)+N(INDEX(Inv_F,8))*12-1,Fin)-MAX((V_Inicio+12),INDEX(Inv_SvcV,8))+1)))</f>
        <v>2832.501</v>
      </c>
      <c r="G15" s="48" t="n">
        <f aca="false">IF(cu_P=1,IF(N(INDEX(Inv_F,8))=0,0,N(INDEX(Inv_D,8))/(N(INDEX(Inv_F,8))*12)*MAX(0,MIN((P_Inicio+35),INDEX(Inv_SvcP,8)+N(INDEX(Inv_F,8))*12-1,Fin)-MAX((P_Inicio+24),INDEX(Inv_SvcP,8))+1)),IF(N(INDEX(Inv_F,8))=0,0,N(INDEX(Inv_BaseV,8))/(N(INDEX(Inv_F,8))*12)*MAX(0,MIN((V_Inicio+35),INDEX(Inv_SvcV,8)+N(INDEX(Inv_F,8))*12-1,Fin)-MAX((V_Inicio+24),INDEX(Inv_SvcV,8))+1)))</f>
        <v>2832.501</v>
      </c>
      <c r="H15" s="48" t="n">
        <f aca="false">IF(cu_P=1,IF(N(INDEX(Inv_F,8))=0,0,N(INDEX(Inv_D,8))/(N(INDEX(Inv_F,8))*12)*MAX(0,MIN((P_Inicio+47),INDEX(Inv_SvcP,8)+N(INDEX(Inv_F,8))*12-1,Fin)-MAX((P_Inicio+36),INDEX(Inv_SvcP,8))+1)),IF(N(INDEX(Inv_F,8))=0,0,N(INDEX(Inv_BaseV,8))/(N(INDEX(Inv_F,8))*12)*MAX(0,MIN((V_Inicio+47),INDEX(Inv_SvcV,8)+N(INDEX(Inv_F,8))*12-1,Fin)-MAX((V_Inicio+36),INDEX(Inv_SvcV,8))+1)))</f>
        <v>2832.501</v>
      </c>
      <c r="I15" s="48" t="n">
        <f aca="false">IF(cu_P=1,IF(N(INDEX(Inv_F,8))=0,0,N(INDEX(Inv_D,8))/(N(INDEX(Inv_F,8))*12)*MAX(0,MIN((P_Inicio+59),INDEX(Inv_SvcP,8)+N(INDEX(Inv_F,8))*12-1,Fin)-MAX((P_Inicio+48),INDEX(Inv_SvcP,8))+1)),IF(N(INDEX(Inv_F,8))=0,0,N(INDEX(Inv_BaseV,8))/(N(INDEX(Inv_F,8))*12)*MAX(0,MIN((V_Inicio+59),INDEX(Inv_SvcV,8)+N(INDEX(Inv_F,8))*12-1,Fin)-MAX((V_Inicio+48),INDEX(Inv_SvcV,8))+1)))</f>
        <v>2832.501</v>
      </c>
      <c r="J15" s="48" t="n">
        <f aca="false">IF(cu_P=1,IF(N(INDEX(Inv_F,8))=0,0,N(INDEX(Inv_D,8))/(N(INDEX(Inv_F,8))*12)*MAX(0,MIN((P_Inicio+71),INDEX(Inv_SvcP,8)+N(INDEX(Inv_F,8))*12-1,Fin)-MAX((P_Inicio+60),INDEX(Inv_SvcP,8))+1)),IF(N(INDEX(Inv_F,8))=0,0,N(INDEX(Inv_BaseV,8))/(N(INDEX(Inv_F,8))*12)*MAX(0,MIN((V_Inicio+71),INDEX(Inv_SvcV,8)+N(INDEX(Inv_F,8))*12-1,Fin)-MAX((V_Inicio+60),INDEX(Inv_SvcV,8))+1)))</f>
        <v>2832.501</v>
      </c>
      <c r="K15" s="48" t="n">
        <f aca="false">IF(cu_P=1,IF(N(INDEX(Inv_F,8))=0,0,N(INDEX(Inv_D,8))/(N(INDEX(Inv_F,8))*12)*MAX(0,MIN((P_Inicio+83),INDEX(Inv_SvcP,8)+N(INDEX(Inv_F,8))*12-1,Fin)-MAX((P_Inicio+72),INDEX(Inv_SvcP,8))+1)),IF(N(INDEX(Inv_F,8))=0,0,N(INDEX(Inv_BaseV,8))/(N(INDEX(Inv_F,8))*12)*MAX(0,MIN((V_Inicio+83),INDEX(Inv_SvcV,8)+N(INDEX(Inv_F,8))*12-1,Fin)-MAX((V_Inicio+72),INDEX(Inv_SvcV,8))+1)))</f>
        <v>2832.501</v>
      </c>
      <c r="L15" s="48" t="n">
        <f aca="false">IF(cu_P=1,IF(N(INDEX(Inv_F,8))=0,0,N(INDEX(Inv_D,8))/(N(INDEX(Inv_F,8))*12)*MAX(0,MIN((P_Inicio+95),INDEX(Inv_SvcP,8)+N(INDEX(Inv_F,8))*12-1,Fin)-MAX((P_Inicio+84),INDEX(Inv_SvcP,8))+1)),IF(N(INDEX(Inv_F,8))=0,0,N(INDEX(Inv_BaseV,8))/(N(INDEX(Inv_F,8))*12)*MAX(0,MIN((V_Inicio+95),INDEX(Inv_SvcV,8)+N(INDEX(Inv_F,8))*12-1,Fin)-MAX((V_Inicio+84),INDEX(Inv_SvcV,8))+1)))</f>
        <v>2832.501</v>
      </c>
      <c r="M15" s="48" t="n">
        <f aca="false">IF(cu_P=1,IF(N(INDEX(Inv_F,8))=0,0,N(INDEX(Inv_D,8))/(N(INDEX(Inv_F,8))*12)*MAX(0,MIN((P_Inicio+107),INDEX(Inv_SvcP,8)+N(INDEX(Inv_F,8))*12-1,Fin)-MAX((P_Inicio+96),INDEX(Inv_SvcP,8))+1)),IF(N(INDEX(Inv_F,8))=0,0,N(INDEX(Inv_BaseV,8))/(N(INDEX(Inv_F,8))*12)*MAX(0,MIN((V_Inicio+107),INDEX(Inv_SvcV,8)+N(INDEX(Inv_F,8))*12-1,Fin)-MAX((V_Inicio+96),INDEX(Inv_SvcV,8))+1)))</f>
        <v>2832.501</v>
      </c>
      <c r="N15" s="48" t="n">
        <f aca="false">IF(cu_P=1,IF(N(INDEX(Inv_F,8))=0,0,N(INDEX(Inv_D,8))/(N(INDEX(Inv_F,8))*12)*MAX(0,MIN((P_Inicio+119),INDEX(Inv_SvcP,8)+N(INDEX(Inv_F,8))*12-1,Fin)-MAX((P_Inicio+108),INDEX(Inv_SvcP,8))+1)),IF(N(INDEX(Inv_F,8))=0,0,N(INDEX(Inv_BaseV,8))/(N(INDEX(Inv_F,8))*12)*MAX(0,MIN((V_Inicio+119),INDEX(Inv_SvcV,8)+N(INDEX(Inv_F,8))*12-1,Fin)-MAX((V_Inicio+108),INDEX(Inv_SvcV,8))+1)))</f>
        <v>2832.501</v>
      </c>
      <c r="O15" s="54" t="n">
        <f aca="false">SUM(D15:N15)</f>
        <v>28325.01</v>
      </c>
    </row>
    <row r="16" customFormat="false" ht="15" hidden="false" customHeight="false" outlineLevel="0" collapsed="false">
      <c r="A16" s="11" t="s">
        <v>2884</v>
      </c>
      <c r="B16" s="53" t="str">
        <f aca="false">IF(Inversion!$B$14="","Ítem 9",Inversion!$B$14&amp;" — USD "&amp;FIXED(IF(cu_P=1,N(Inversion!$D$14),N(Inversion!$U$14)),0)&amp;" — "&amp;N(Inversion!$F$14)&amp;" años")</f>
        <v>Línea de montaje — USD 9,857 — 10 años</v>
      </c>
      <c r="C16" s="11" t="str">
        <f aca="false">IF(Inversion!$C$14="","",Inversion!$C$14)</f>
        <v>Maquinaria</v>
      </c>
      <c r="D16" s="48" t="n">
        <f aca="false">IF(cu_P=1,IF(N(INDEX(Inv_F,9))=0,0,N(INDEX(Inv_D,9))/(N(INDEX(Inv_F,9))*12)*MAX(0,MIN((P_Inicio-1),INDEX(Inv_SvcP,9)+N(INDEX(Inv_F,9))*12-1,Fin)-MAX(1,INDEX(Inv_SvcP,9))+1)),IF(N(INDEX(Inv_F,9))=0,0,N(INDEX(Inv_BaseV,9))/(N(INDEX(Inv_F,9))*12)*MAX(0,MIN((V_Inicio-1),INDEX(Inv_SvcV,9)+N(INDEX(Inv_F,9))*12-1,Fin)-MAX(1,INDEX(Inv_SvcV,9))+1)))</f>
        <v>0</v>
      </c>
      <c r="E16" s="48" t="n">
        <f aca="false">IF(cu_P=1,IF(N(INDEX(Inv_F,9))=0,0,N(INDEX(Inv_D,9))/(N(INDEX(Inv_F,9))*12)*MAX(0,MIN((P_Inicio+11),INDEX(Inv_SvcP,9)+N(INDEX(Inv_F,9))*12-1,Fin)-MAX((P_Inicio+0),INDEX(Inv_SvcP,9))+1)),IF(N(INDEX(Inv_F,9))=0,0,N(INDEX(Inv_BaseV,9))/(N(INDEX(Inv_F,9))*12)*MAX(0,MIN((V_Inicio+11),INDEX(Inv_SvcV,9)+N(INDEX(Inv_F,9))*12-1,Fin)-MAX((V_Inicio+0),INDEX(Inv_SvcV,9))+1)))</f>
        <v>985.71</v>
      </c>
      <c r="F16" s="48" t="n">
        <f aca="false">IF(cu_P=1,IF(N(INDEX(Inv_F,9))=0,0,N(INDEX(Inv_D,9))/(N(INDEX(Inv_F,9))*12)*MAX(0,MIN((P_Inicio+23),INDEX(Inv_SvcP,9)+N(INDEX(Inv_F,9))*12-1,Fin)-MAX((P_Inicio+12),INDEX(Inv_SvcP,9))+1)),IF(N(INDEX(Inv_F,9))=0,0,N(INDEX(Inv_BaseV,9))/(N(INDEX(Inv_F,9))*12)*MAX(0,MIN((V_Inicio+23),INDEX(Inv_SvcV,9)+N(INDEX(Inv_F,9))*12-1,Fin)-MAX((V_Inicio+12),INDEX(Inv_SvcV,9))+1)))</f>
        <v>985.71</v>
      </c>
      <c r="G16" s="48" t="n">
        <f aca="false">IF(cu_P=1,IF(N(INDEX(Inv_F,9))=0,0,N(INDEX(Inv_D,9))/(N(INDEX(Inv_F,9))*12)*MAX(0,MIN((P_Inicio+35),INDEX(Inv_SvcP,9)+N(INDEX(Inv_F,9))*12-1,Fin)-MAX((P_Inicio+24),INDEX(Inv_SvcP,9))+1)),IF(N(INDEX(Inv_F,9))=0,0,N(INDEX(Inv_BaseV,9))/(N(INDEX(Inv_F,9))*12)*MAX(0,MIN((V_Inicio+35),INDEX(Inv_SvcV,9)+N(INDEX(Inv_F,9))*12-1,Fin)-MAX((V_Inicio+24),INDEX(Inv_SvcV,9))+1)))</f>
        <v>985.71</v>
      </c>
      <c r="H16" s="48" t="n">
        <f aca="false">IF(cu_P=1,IF(N(INDEX(Inv_F,9))=0,0,N(INDEX(Inv_D,9))/(N(INDEX(Inv_F,9))*12)*MAX(0,MIN((P_Inicio+47),INDEX(Inv_SvcP,9)+N(INDEX(Inv_F,9))*12-1,Fin)-MAX((P_Inicio+36),INDEX(Inv_SvcP,9))+1)),IF(N(INDEX(Inv_F,9))=0,0,N(INDEX(Inv_BaseV,9))/(N(INDEX(Inv_F,9))*12)*MAX(0,MIN((V_Inicio+47),INDEX(Inv_SvcV,9)+N(INDEX(Inv_F,9))*12-1,Fin)-MAX((V_Inicio+36),INDEX(Inv_SvcV,9))+1)))</f>
        <v>985.71</v>
      </c>
      <c r="I16" s="48" t="n">
        <f aca="false">IF(cu_P=1,IF(N(INDEX(Inv_F,9))=0,0,N(INDEX(Inv_D,9))/(N(INDEX(Inv_F,9))*12)*MAX(0,MIN((P_Inicio+59),INDEX(Inv_SvcP,9)+N(INDEX(Inv_F,9))*12-1,Fin)-MAX((P_Inicio+48),INDEX(Inv_SvcP,9))+1)),IF(N(INDEX(Inv_F,9))=0,0,N(INDEX(Inv_BaseV,9))/(N(INDEX(Inv_F,9))*12)*MAX(0,MIN((V_Inicio+59),INDEX(Inv_SvcV,9)+N(INDEX(Inv_F,9))*12-1,Fin)-MAX((V_Inicio+48),INDEX(Inv_SvcV,9))+1)))</f>
        <v>985.71</v>
      </c>
      <c r="J16" s="48" t="n">
        <f aca="false">IF(cu_P=1,IF(N(INDEX(Inv_F,9))=0,0,N(INDEX(Inv_D,9))/(N(INDEX(Inv_F,9))*12)*MAX(0,MIN((P_Inicio+71),INDEX(Inv_SvcP,9)+N(INDEX(Inv_F,9))*12-1,Fin)-MAX((P_Inicio+60),INDEX(Inv_SvcP,9))+1)),IF(N(INDEX(Inv_F,9))=0,0,N(INDEX(Inv_BaseV,9))/(N(INDEX(Inv_F,9))*12)*MAX(0,MIN((V_Inicio+71),INDEX(Inv_SvcV,9)+N(INDEX(Inv_F,9))*12-1,Fin)-MAX((V_Inicio+60),INDEX(Inv_SvcV,9))+1)))</f>
        <v>985.71</v>
      </c>
      <c r="K16" s="48" t="n">
        <f aca="false">IF(cu_P=1,IF(N(INDEX(Inv_F,9))=0,0,N(INDEX(Inv_D,9))/(N(INDEX(Inv_F,9))*12)*MAX(0,MIN((P_Inicio+83),INDEX(Inv_SvcP,9)+N(INDEX(Inv_F,9))*12-1,Fin)-MAX((P_Inicio+72),INDEX(Inv_SvcP,9))+1)),IF(N(INDEX(Inv_F,9))=0,0,N(INDEX(Inv_BaseV,9))/(N(INDEX(Inv_F,9))*12)*MAX(0,MIN((V_Inicio+83),INDEX(Inv_SvcV,9)+N(INDEX(Inv_F,9))*12-1,Fin)-MAX((V_Inicio+72),INDEX(Inv_SvcV,9))+1)))</f>
        <v>985.71</v>
      </c>
      <c r="L16" s="48" t="n">
        <f aca="false">IF(cu_P=1,IF(N(INDEX(Inv_F,9))=0,0,N(INDEX(Inv_D,9))/(N(INDEX(Inv_F,9))*12)*MAX(0,MIN((P_Inicio+95),INDEX(Inv_SvcP,9)+N(INDEX(Inv_F,9))*12-1,Fin)-MAX((P_Inicio+84),INDEX(Inv_SvcP,9))+1)),IF(N(INDEX(Inv_F,9))=0,0,N(INDEX(Inv_BaseV,9))/(N(INDEX(Inv_F,9))*12)*MAX(0,MIN((V_Inicio+95),INDEX(Inv_SvcV,9)+N(INDEX(Inv_F,9))*12-1,Fin)-MAX((V_Inicio+84),INDEX(Inv_SvcV,9))+1)))</f>
        <v>985.71</v>
      </c>
      <c r="M16" s="48" t="n">
        <f aca="false">IF(cu_P=1,IF(N(INDEX(Inv_F,9))=0,0,N(INDEX(Inv_D,9))/(N(INDEX(Inv_F,9))*12)*MAX(0,MIN((P_Inicio+107),INDEX(Inv_SvcP,9)+N(INDEX(Inv_F,9))*12-1,Fin)-MAX((P_Inicio+96),INDEX(Inv_SvcP,9))+1)),IF(N(INDEX(Inv_F,9))=0,0,N(INDEX(Inv_BaseV,9))/(N(INDEX(Inv_F,9))*12)*MAX(0,MIN((V_Inicio+107),INDEX(Inv_SvcV,9)+N(INDEX(Inv_F,9))*12-1,Fin)-MAX((V_Inicio+96),INDEX(Inv_SvcV,9))+1)))</f>
        <v>985.71</v>
      </c>
      <c r="N16" s="48" t="n">
        <f aca="false">IF(cu_P=1,IF(N(INDEX(Inv_F,9))=0,0,N(INDEX(Inv_D,9))/(N(INDEX(Inv_F,9))*12)*MAX(0,MIN((P_Inicio+119),INDEX(Inv_SvcP,9)+N(INDEX(Inv_F,9))*12-1,Fin)-MAX((P_Inicio+108),INDEX(Inv_SvcP,9))+1)),IF(N(INDEX(Inv_F,9))=0,0,N(INDEX(Inv_BaseV,9))/(N(INDEX(Inv_F,9))*12)*MAX(0,MIN((V_Inicio+119),INDEX(Inv_SvcV,9)+N(INDEX(Inv_F,9))*12-1,Fin)-MAX((V_Inicio+108),INDEX(Inv_SvcV,9))+1)))</f>
        <v>985.71</v>
      </c>
      <c r="O16" s="54" t="n">
        <f aca="false">SUM(D16:N16)</f>
        <v>9857.1</v>
      </c>
    </row>
    <row r="17" customFormat="false" ht="15" hidden="false" customHeight="false" outlineLevel="0" collapsed="false">
      <c r="A17" s="11" t="s">
        <v>2885</v>
      </c>
      <c r="B17" s="53" t="str">
        <f aca="false">IF(Inversion!$B$15="","Ítem 10",Inversion!$B$15&amp;" — USD "&amp;FIXED(IF(cu_P=1,N(Inversion!$D$15),N(Inversion!$U$15)),0)&amp;" — "&amp;N(Inversion!$F$15)&amp;" años")</f>
        <v>Montacargas — USD 29,458 — 10 años</v>
      </c>
      <c r="C17" s="11" t="str">
        <f aca="false">IF(Inversion!$C$15="","",Inversion!$C$15)</f>
        <v>Maquinaria</v>
      </c>
      <c r="D17" s="48" t="n">
        <f aca="false">IF(cu_P=1,IF(N(INDEX(Inv_F,10))=0,0,N(INDEX(Inv_D,10))/(N(INDEX(Inv_F,10))*12)*MAX(0,MIN((P_Inicio-1),INDEX(Inv_SvcP,10)+N(INDEX(Inv_F,10))*12-1,Fin)-MAX(1,INDEX(Inv_SvcP,10))+1)),IF(N(INDEX(Inv_F,10))=0,0,N(INDEX(Inv_BaseV,10))/(N(INDEX(Inv_F,10))*12)*MAX(0,MIN((V_Inicio-1),INDEX(Inv_SvcV,10)+N(INDEX(Inv_F,10))*12-1,Fin)-MAX(1,INDEX(Inv_SvcV,10))+1)))</f>
        <v>0</v>
      </c>
      <c r="E17" s="48" t="n">
        <f aca="false">IF(cu_P=1,IF(N(INDEX(Inv_F,10))=0,0,N(INDEX(Inv_D,10))/(N(INDEX(Inv_F,10))*12)*MAX(0,MIN((P_Inicio+11),INDEX(Inv_SvcP,10)+N(INDEX(Inv_F,10))*12-1,Fin)-MAX((P_Inicio+0),INDEX(Inv_SvcP,10))+1)),IF(N(INDEX(Inv_F,10))=0,0,N(INDEX(Inv_BaseV,10))/(N(INDEX(Inv_F,10))*12)*MAX(0,MIN((V_Inicio+11),INDEX(Inv_SvcV,10)+N(INDEX(Inv_F,10))*12-1,Fin)-MAX((V_Inicio+0),INDEX(Inv_SvcV,10))+1)))</f>
        <v>2945.801</v>
      </c>
      <c r="F17" s="48" t="n">
        <f aca="false">IF(cu_P=1,IF(N(INDEX(Inv_F,10))=0,0,N(INDEX(Inv_D,10))/(N(INDEX(Inv_F,10))*12)*MAX(0,MIN((P_Inicio+23),INDEX(Inv_SvcP,10)+N(INDEX(Inv_F,10))*12-1,Fin)-MAX((P_Inicio+12),INDEX(Inv_SvcP,10))+1)),IF(N(INDEX(Inv_F,10))=0,0,N(INDEX(Inv_BaseV,10))/(N(INDEX(Inv_F,10))*12)*MAX(0,MIN((V_Inicio+23),INDEX(Inv_SvcV,10)+N(INDEX(Inv_F,10))*12-1,Fin)-MAX((V_Inicio+12),INDEX(Inv_SvcV,10))+1)))</f>
        <v>2945.801</v>
      </c>
      <c r="G17" s="48" t="n">
        <f aca="false">IF(cu_P=1,IF(N(INDEX(Inv_F,10))=0,0,N(INDEX(Inv_D,10))/(N(INDEX(Inv_F,10))*12)*MAX(0,MIN((P_Inicio+35),INDEX(Inv_SvcP,10)+N(INDEX(Inv_F,10))*12-1,Fin)-MAX((P_Inicio+24),INDEX(Inv_SvcP,10))+1)),IF(N(INDEX(Inv_F,10))=0,0,N(INDEX(Inv_BaseV,10))/(N(INDEX(Inv_F,10))*12)*MAX(0,MIN((V_Inicio+35),INDEX(Inv_SvcV,10)+N(INDEX(Inv_F,10))*12-1,Fin)-MAX((V_Inicio+24),INDEX(Inv_SvcV,10))+1)))</f>
        <v>2945.801</v>
      </c>
      <c r="H17" s="48" t="n">
        <f aca="false">IF(cu_P=1,IF(N(INDEX(Inv_F,10))=0,0,N(INDEX(Inv_D,10))/(N(INDEX(Inv_F,10))*12)*MAX(0,MIN((P_Inicio+47),INDEX(Inv_SvcP,10)+N(INDEX(Inv_F,10))*12-1,Fin)-MAX((P_Inicio+36),INDEX(Inv_SvcP,10))+1)),IF(N(INDEX(Inv_F,10))=0,0,N(INDEX(Inv_BaseV,10))/(N(INDEX(Inv_F,10))*12)*MAX(0,MIN((V_Inicio+47),INDEX(Inv_SvcV,10)+N(INDEX(Inv_F,10))*12-1,Fin)-MAX((V_Inicio+36),INDEX(Inv_SvcV,10))+1)))</f>
        <v>2945.801</v>
      </c>
      <c r="I17" s="48" t="n">
        <f aca="false">IF(cu_P=1,IF(N(INDEX(Inv_F,10))=0,0,N(INDEX(Inv_D,10))/(N(INDEX(Inv_F,10))*12)*MAX(0,MIN((P_Inicio+59),INDEX(Inv_SvcP,10)+N(INDEX(Inv_F,10))*12-1,Fin)-MAX((P_Inicio+48),INDEX(Inv_SvcP,10))+1)),IF(N(INDEX(Inv_F,10))=0,0,N(INDEX(Inv_BaseV,10))/(N(INDEX(Inv_F,10))*12)*MAX(0,MIN((V_Inicio+59),INDEX(Inv_SvcV,10)+N(INDEX(Inv_F,10))*12-1,Fin)-MAX((V_Inicio+48),INDEX(Inv_SvcV,10))+1)))</f>
        <v>2945.801</v>
      </c>
      <c r="J17" s="48" t="n">
        <f aca="false">IF(cu_P=1,IF(N(INDEX(Inv_F,10))=0,0,N(INDEX(Inv_D,10))/(N(INDEX(Inv_F,10))*12)*MAX(0,MIN((P_Inicio+71),INDEX(Inv_SvcP,10)+N(INDEX(Inv_F,10))*12-1,Fin)-MAX((P_Inicio+60),INDEX(Inv_SvcP,10))+1)),IF(N(INDEX(Inv_F,10))=0,0,N(INDEX(Inv_BaseV,10))/(N(INDEX(Inv_F,10))*12)*MAX(0,MIN((V_Inicio+71),INDEX(Inv_SvcV,10)+N(INDEX(Inv_F,10))*12-1,Fin)-MAX((V_Inicio+60),INDEX(Inv_SvcV,10))+1)))</f>
        <v>2945.801</v>
      </c>
      <c r="K17" s="48" t="n">
        <f aca="false">IF(cu_P=1,IF(N(INDEX(Inv_F,10))=0,0,N(INDEX(Inv_D,10))/(N(INDEX(Inv_F,10))*12)*MAX(0,MIN((P_Inicio+83),INDEX(Inv_SvcP,10)+N(INDEX(Inv_F,10))*12-1,Fin)-MAX((P_Inicio+72),INDEX(Inv_SvcP,10))+1)),IF(N(INDEX(Inv_F,10))=0,0,N(INDEX(Inv_BaseV,10))/(N(INDEX(Inv_F,10))*12)*MAX(0,MIN((V_Inicio+83),INDEX(Inv_SvcV,10)+N(INDEX(Inv_F,10))*12-1,Fin)-MAX((V_Inicio+72),INDEX(Inv_SvcV,10))+1)))</f>
        <v>2945.801</v>
      </c>
      <c r="L17" s="48" t="n">
        <f aca="false">IF(cu_P=1,IF(N(INDEX(Inv_F,10))=0,0,N(INDEX(Inv_D,10))/(N(INDEX(Inv_F,10))*12)*MAX(0,MIN((P_Inicio+95),INDEX(Inv_SvcP,10)+N(INDEX(Inv_F,10))*12-1,Fin)-MAX((P_Inicio+84),INDEX(Inv_SvcP,10))+1)),IF(N(INDEX(Inv_F,10))=0,0,N(INDEX(Inv_BaseV,10))/(N(INDEX(Inv_F,10))*12)*MAX(0,MIN((V_Inicio+95),INDEX(Inv_SvcV,10)+N(INDEX(Inv_F,10))*12-1,Fin)-MAX((V_Inicio+84),INDEX(Inv_SvcV,10))+1)))</f>
        <v>2945.801</v>
      </c>
      <c r="M17" s="48" t="n">
        <f aca="false">IF(cu_P=1,IF(N(INDEX(Inv_F,10))=0,0,N(INDEX(Inv_D,10))/(N(INDEX(Inv_F,10))*12)*MAX(0,MIN((P_Inicio+107),INDEX(Inv_SvcP,10)+N(INDEX(Inv_F,10))*12-1,Fin)-MAX((P_Inicio+96),INDEX(Inv_SvcP,10))+1)),IF(N(INDEX(Inv_F,10))=0,0,N(INDEX(Inv_BaseV,10))/(N(INDEX(Inv_F,10))*12)*MAX(0,MIN((V_Inicio+107),INDEX(Inv_SvcV,10)+N(INDEX(Inv_F,10))*12-1,Fin)-MAX((V_Inicio+96),INDEX(Inv_SvcV,10))+1)))</f>
        <v>2945.801</v>
      </c>
      <c r="N17" s="48" t="n">
        <f aca="false">IF(cu_P=1,IF(N(INDEX(Inv_F,10))=0,0,N(INDEX(Inv_D,10))/(N(INDEX(Inv_F,10))*12)*MAX(0,MIN((P_Inicio+119),INDEX(Inv_SvcP,10)+N(INDEX(Inv_F,10))*12-1,Fin)-MAX((P_Inicio+108),INDEX(Inv_SvcP,10))+1)),IF(N(INDEX(Inv_F,10))=0,0,N(INDEX(Inv_BaseV,10))/(N(INDEX(Inv_F,10))*12)*MAX(0,MIN((V_Inicio+119),INDEX(Inv_SvcV,10)+N(INDEX(Inv_F,10))*12-1,Fin)-MAX((V_Inicio+108),INDEX(Inv_SvcV,10))+1)))</f>
        <v>2945.801</v>
      </c>
      <c r="O17" s="54" t="n">
        <f aca="false">SUM(D17:N17)</f>
        <v>29458.01</v>
      </c>
    </row>
    <row r="18" customFormat="false" ht="15" hidden="false" customHeight="false" outlineLevel="0" collapsed="false">
      <c r="A18" s="11" t="s">
        <v>2886</v>
      </c>
      <c r="B18" s="53" t="str">
        <f aca="false">IF(Inversion!$B$16="","Ítem 11",Inversion!$B$16&amp;" — USD "&amp;FIXED(IF(cu_P=1,N(Inversion!$D$16),N(Inversion!$U$16)),0)&amp;" — "&amp;N(Inversion!$F$16)&amp;" años")</f>
        <v>Soldadoras capacitivas (2) — USD 6,005 — 10 años</v>
      </c>
      <c r="C18" s="11" t="str">
        <f aca="false">IF(Inversion!$C$16="","",Inversion!$C$16)</f>
        <v>Maquinaria</v>
      </c>
      <c r="D18" s="48" t="n">
        <f aca="false">IF(cu_P=1,IF(N(INDEX(Inv_F,11))=0,0,N(INDEX(Inv_D,11))/(N(INDEX(Inv_F,11))*12)*MAX(0,MIN((P_Inicio-1),INDEX(Inv_SvcP,11)+N(INDEX(Inv_F,11))*12-1,Fin)-MAX(1,INDEX(Inv_SvcP,11))+1)),IF(N(INDEX(Inv_F,11))=0,0,N(INDEX(Inv_BaseV,11))/(N(INDEX(Inv_F,11))*12)*MAX(0,MIN((V_Inicio-1),INDEX(Inv_SvcV,11)+N(INDEX(Inv_F,11))*12-1,Fin)-MAX(1,INDEX(Inv_SvcV,11))+1)))</f>
        <v>0</v>
      </c>
      <c r="E18" s="48" t="n">
        <f aca="false">IF(cu_P=1,IF(N(INDEX(Inv_F,11))=0,0,N(INDEX(Inv_D,11))/(N(INDEX(Inv_F,11))*12)*MAX(0,MIN((P_Inicio+11),INDEX(Inv_SvcP,11)+N(INDEX(Inv_F,11))*12-1,Fin)-MAX((P_Inicio+0),INDEX(Inv_SvcP,11))+1)),IF(N(INDEX(Inv_F,11))=0,0,N(INDEX(Inv_BaseV,11))/(N(INDEX(Inv_F,11))*12)*MAX(0,MIN((V_Inicio+11),INDEX(Inv_SvcV,11)+N(INDEX(Inv_F,11))*12-1,Fin)-MAX((V_Inicio+0),INDEX(Inv_SvcV,11))+1)))</f>
        <v>600.49</v>
      </c>
      <c r="F18" s="48" t="n">
        <f aca="false">IF(cu_P=1,IF(N(INDEX(Inv_F,11))=0,0,N(INDEX(Inv_D,11))/(N(INDEX(Inv_F,11))*12)*MAX(0,MIN((P_Inicio+23),INDEX(Inv_SvcP,11)+N(INDEX(Inv_F,11))*12-1,Fin)-MAX((P_Inicio+12),INDEX(Inv_SvcP,11))+1)),IF(N(INDEX(Inv_F,11))=0,0,N(INDEX(Inv_BaseV,11))/(N(INDEX(Inv_F,11))*12)*MAX(0,MIN((V_Inicio+23),INDEX(Inv_SvcV,11)+N(INDEX(Inv_F,11))*12-1,Fin)-MAX((V_Inicio+12),INDEX(Inv_SvcV,11))+1)))</f>
        <v>600.49</v>
      </c>
      <c r="G18" s="48" t="n">
        <f aca="false">IF(cu_P=1,IF(N(INDEX(Inv_F,11))=0,0,N(INDEX(Inv_D,11))/(N(INDEX(Inv_F,11))*12)*MAX(0,MIN((P_Inicio+35),INDEX(Inv_SvcP,11)+N(INDEX(Inv_F,11))*12-1,Fin)-MAX((P_Inicio+24),INDEX(Inv_SvcP,11))+1)),IF(N(INDEX(Inv_F,11))=0,0,N(INDEX(Inv_BaseV,11))/(N(INDEX(Inv_F,11))*12)*MAX(0,MIN((V_Inicio+35),INDEX(Inv_SvcV,11)+N(INDEX(Inv_F,11))*12-1,Fin)-MAX((V_Inicio+24),INDEX(Inv_SvcV,11))+1)))</f>
        <v>600.49</v>
      </c>
      <c r="H18" s="48" t="n">
        <f aca="false">IF(cu_P=1,IF(N(INDEX(Inv_F,11))=0,0,N(INDEX(Inv_D,11))/(N(INDEX(Inv_F,11))*12)*MAX(0,MIN((P_Inicio+47),INDEX(Inv_SvcP,11)+N(INDEX(Inv_F,11))*12-1,Fin)-MAX((P_Inicio+36),INDEX(Inv_SvcP,11))+1)),IF(N(INDEX(Inv_F,11))=0,0,N(INDEX(Inv_BaseV,11))/(N(INDEX(Inv_F,11))*12)*MAX(0,MIN((V_Inicio+47),INDEX(Inv_SvcV,11)+N(INDEX(Inv_F,11))*12-1,Fin)-MAX((V_Inicio+36),INDEX(Inv_SvcV,11))+1)))</f>
        <v>600.49</v>
      </c>
      <c r="I18" s="48" t="n">
        <f aca="false">IF(cu_P=1,IF(N(INDEX(Inv_F,11))=0,0,N(INDEX(Inv_D,11))/(N(INDEX(Inv_F,11))*12)*MAX(0,MIN((P_Inicio+59),INDEX(Inv_SvcP,11)+N(INDEX(Inv_F,11))*12-1,Fin)-MAX((P_Inicio+48),INDEX(Inv_SvcP,11))+1)),IF(N(INDEX(Inv_F,11))=0,0,N(INDEX(Inv_BaseV,11))/(N(INDEX(Inv_F,11))*12)*MAX(0,MIN((V_Inicio+59),INDEX(Inv_SvcV,11)+N(INDEX(Inv_F,11))*12-1,Fin)-MAX((V_Inicio+48),INDEX(Inv_SvcV,11))+1)))</f>
        <v>600.49</v>
      </c>
      <c r="J18" s="48" t="n">
        <f aca="false">IF(cu_P=1,IF(N(INDEX(Inv_F,11))=0,0,N(INDEX(Inv_D,11))/(N(INDEX(Inv_F,11))*12)*MAX(0,MIN((P_Inicio+71),INDEX(Inv_SvcP,11)+N(INDEX(Inv_F,11))*12-1,Fin)-MAX((P_Inicio+60),INDEX(Inv_SvcP,11))+1)),IF(N(INDEX(Inv_F,11))=0,0,N(INDEX(Inv_BaseV,11))/(N(INDEX(Inv_F,11))*12)*MAX(0,MIN((V_Inicio+71),INDEX(Inv_SvcV,11)+N(INDEX(Inv_F,11))*12-1,Fin)-MAX((V_Inicio+60),INDEX(Inv_SvcV,11))+1)))</f>
        <v>600.49</v>
      </c>
      <c r="K18" s="48" t="n">
        <f aca="false">IF(cu_P=1,IF(N(INDEX(Inv_F,11))=0,0,N(INDEX(Inv_D,11))/(N(INDEX(Inv_F,11))*12)*MAX(0,MIN((P_Inicio+83),INDEX(Inv_SvcP,11)+N(INDEX(Inv_F,11))*12-1,Fin)-MAX((P_Inicio+72),INDEX(Inv_SvcP,11))+1)),IF(N(INDEX(Inv_F,11))=0,0,N(INDEX(Inv_BaseV,11))/(N(INDEX(Inv_F,11))*12)*MAX(0,MIN((V_Inicio+83),INDEX(Inv_SvcV,11)+N(INDEX(Inv_F,11))*12-1,Fin)-MAX((V_Inicio+72),INDEX(Inv_SvcV,11))+1)))</f>
        <v>600.49</v>
      </c>
      <c r="L18" s="48" t="n">
        <f aca="false">IF(cu_P=1,IF(N(INDEX(Inv_F,11))=0,0,N(INDEX(Inv_D,11))/(N(INDEX(Inv_F,11))*12)*MAX(0,MIN((P_Inicio+95),INDEX(Inv_SvcP,11)+N(INDEX(Inv_F,11))*12-1,Fin)-MAX((P_Inicio+84),INDEX(Inv_SvcP,11))+1)),IF(N(INDEX(Inv_F,11))=0,0,N(INDEX(Inv_BaseV,11))/(N(INDEX(Inv_F,11))*12)*MAX(0,MIN((V_Inicio+95),INDEX(Inv_SvcV,11)+N(INDEX(Inv_F,11))*12-1,Fin)-MAX((V_Inicio+84),INDEX(Inv_SvcV,11))+1)))</f>
        <v>600.49</v>
      </c>
      <c r="M18" s="48" t="n">
        <f aca="false">IF(cu_P=1,IF(N(INDEX(Inv_F,11))=0,0,N(INDEX(Inv_D,11))/(N(INDEX(Inv_F,11))*12)*MAX(0,MIN((P_Inicio+107),INDEX(Inv_SvcP,11)+N(INDEX(Inv_F,11))*12-1,Fin)-MAX((P_Inicio+96),INDEX(Inv_SvcP,11))+1)),IF(N(INDEX(Inv_F,11))=0,0,N(INDEX(Inv_BaseV,11))/(N(INDEX(Inv_F,11))*12)*MAX(0,MIN((V_Inicio+107),INDEX(Inv_SvcV,11)+N(INDEX(Inv_F,11))*12-1,Fin)-MAX((V_Inicio+96),INDEX(Inv_SvcV,11))+1)))</f>
        <v>600.49</v>
      </c>
      <c r="N18" s="48" t="n">
        <f aca="false">IF(cu_P=1,IF(N(INDEX(Inv_F,11))=0,0,N(INDEX(Inv_D,11))/(N(INDEX(Inv_F,11))*12)*MAX(0,MIN((P_Inicio+119),INDEX(Inv_SvcP,11)+N(INDEX(Inv_F,11))*12-1,Fin)-MAX((P_Inicio+108),INDEX(Inv_SvcP,11))+1)),IF(N(INDEX(Inv_F,11))=0,0,N(INDEX(Inv_BaseV,11))/(N(INDEX(Inv_F,11))*12)*MAX(0,MIN((V_Inicio+119),INDEX(Inv_SvcV,11)+N(INDEX(Inv_F,11))*12-1,Fin)-MAX((V_Inicio+108),INDEX(Inv_SvcV,11))+1)))</f>
        <v>600.49</v>
      </c>
      <c r="O18" s="54" t="n">
        <f aca="false">SUM(D18:N18)</f>
        <v>6004.9</v>
      </c>
    </row>
    <row r="19" customFormat="false" ht="15" hidden="false" customHeight="false" outlineLevel="0" collapsed="false">
      <c r="A19" s="11" t="s">
        <v>2887</v>
      </c>
      <c r="B19" s="53" t="str">
        <f aca="false">IF(Inversion!$B$17="","Ítem 12",Inversion!$B$17&amp;" — USD "&amp;FIXED(IF(cu_P=1,N(Inversion!$D$17),N(Inversion!$U$17)),0)&amp;" — "&amp;N(Inversion!$F$17)&amp;" años")</f>
        <v>Software de gestión — USD 43,478 — 5 años</v>
      </c>
      <c r="C19" s="11" t="str">
        <f aca="false">IF(Inversion!$C$17="","",Inversion!$C$17)</f>
        <v>Intangible</v>
      </c>
      <c r="D19" s="48" t="n">
        <f aca="false">IF(cu_P=1,IF(N(INDEX(Inv_F,12))=0,0,N(INDEX(Inv_D,12))/(N(INDEX(Inv_F,12))*12)*MAX(0,MIN((P_Inicio-1),INDEX(Inv_SvcP,12)+N(INDEX(Inv_F,12))*12-1,Fin)-MAX(1,INDEX(Inv_SvcP,12))+1)),IF(N(INDEX(Inv_F,12))=0,0,N(INDEX(Inv_BaseV,12))/(N(INDEX(Inv_F,12))*12)*MAX(0,MIN((V_Inicio-1),INDEX(Inv_SvcV,12)+N(INDEX(Inv_F,12))*12-1,Fin)-MAX(1,INDEX(Inv_SvcV,12))+1)))</f>
        <v>0</v>
      </c>
      <c r="E19" s="48" t="n">
        <f aca="false">IF(cu_P=1,IF(N(INDEX(Inv_F,12))=0,0,N(INDEX(Inv_D,12))/(N(INDEX(Inv_F,12))*12)*MAX(0,MIN((P_Inicio+11),INDEX(Inv_SvcP,12)+N(INDEX(Inv_F,12))*12-1,Fin)-MAX((P_Inicio+0),INDEX(Inv_SvcP,12))+1)),IF(N(INDEX(Inv_F,12))=0,0,N(INDEX(Inv_BaseV,12))/(N(INDEX(Inv_F,12))*12)*MAX(0,MIN((V_Inicio+11),INDEX(Inv_SvcV,12)+N(INDEX(Inv_F,12))*12-1,Fin)-MAX((V_Inicio+0),INDEX(Inv_SvcV,12))+1)))</f>
        <v>8695.6</v>
      </c>
      <c r="F19" s="48" t="n">
        <f aca="false">IF(cu_P=1,IF(N(INDEX(Inv_F,12))=0,0,N(INDEX(Inv_D,12))/(N(INDEX(Inv_F,12))*12)*MAX(0,MIN((P_Inicio+23),INDEX(Inv_SvcP,12)+N(INDEX(Inv_F,12))*12-1,Fin)-MAX((P_Inicio+12),INDEX(Inv_SvcP,12))+1)),IF(N(INDEX(Inv_F,12))=0,0,N(INDEX(Inv_BaseV,12))/(N(INDEX(Inv_F,12))*12)*MAX(0,MIN((V_Inicio+23),INDEX(Inv_SvcV,12)+N(INDEX(Inv_F,12))*12-1,Fin)-MAX((V_Inicio+12),INDEX(Inv_SvcV,12))+1)))</f>
        <v>8695.6</v>
      </c>
      <c r="G19" s="48" t="n">
        <f aca="false">IF(cu_P=1,IF(N(INDEX(Inv_F,12))=0,0,N(INDEX(Inv_D,12))/(N(INDEX(Inv_F,12))*12)*MAX(0,MIN((P_Inicio+35),INDEX(Inv_SvcP,12)+N(INDEX(Inv_F,12))*12-1,Fin)-MAX((P_Inicio+24),INDEX(Inv_SvcP,12))+1)),IF(N(INDEX(Inv_F,12))=0,0,N(INDEX(Inv_BaseV,12))/(N(INDEX(Inv_F,12))*12)*MAX(0,MIN((V_Inicio+35),INDEX(Inv_SvcV,12)+N(INDEX(Inv_F,12))*12-1,Fin)-MAX((V_Inicio+24),INDEX(Inv_SvcV,12))+1)))</f>
        <v>8695.6</v>
      </c>
      <c r="H19" s="48" t="n">
        <f aca="false">IF(cu_P=1,IF(N(INDEX(Inv_F,12))=0,0,N(INDEX(Inv_D,12))/(N(INDEX(Inv_F,12))*12)*MAX(0,MIN((P_Inicio+47),INDEX(Inv_SvcP,12)+N(INDEX(Inv_F,12))*12-1,Fin)-MAX((P_Inicio+36),INDEX(Inv_SvcP,12))+1)),IF(N(INDEX(Inv_F,12))=0,0,N(INDEX(Inv_BaseV,12))/(N(INDEX(Inv_F,12))*12)*MAX(0,MIN((V_Inicio+47),INDEX(Inv_SvcV,12)+N(INDEX(Inv_F,12))*12-1,Fin)-MAX((V_Inicio+36),INDEX(Inv_SvcV,12))+1)))</f>
        <v>8695.6</v>
      </c>
      <c r="I19" s="48" t="n">
        <f aca="false">IF(cu_P=1,IF(N(INDEX(Inv_F,12))=0,0,N(INDEX(Inv_D,12))/(N(INDEX(Inv_F,12))*12)*MAX(0,MIN((P_Inicio+59),INDEX(Inv_SvcP,12)+N(INDEX(Inv_F,12))*12-1,Fin)-MAX((P_Inicio+48),INDEX(Inv_SvcP,12))+1)),IF(N(INDEX(Inv_F,12))=0,0,N(INDEX(Inv_BaseV,12))/(N(INDEX(Inv_F,12))*12)*MAX(0,MIN((V_Inicio+59),INDEX(Inv_SvcV,12)+N(INDEX(Inv_F,12))*12-1,Fin)-MAX((V_Inicio+48),INDEX(Inv_SvcV,12))+1)))</f>
        <v>8695.6</v>
      </c>
      <c r="J19" s="48" t="n">
        <f aca="false">IF(cu_P=1,IF(N(INDEX(Inv_F,12))=0,0,N(INDEX(Inv_D,12))/(N(INDEX(Inv_F,12))*12)*MAX(0,MIN((P_Inicio+71),INDEX(Inv_SvcP,12)+N(INDEX(Inv_F,12))*12-1,Fin)-MAX((P_Inicio+60),INDEX(Inv_SvcP,12))+1)),IF(N(INDEX(Inv_F,12))=0,0,N(INDEX(Inv_BaseV,12))/(N(INDEX(Inv_F,12))*12)*MAX(0,MIN((V_Inicio+71),INDEX(Inv_SvcV,12)+N(INDEX(Inv_F,12))*12-1,Fin)-MAX((V_Inicio+60),INDEX(Inv_SvcV,12))+1)))</f>
        <v>0</v>
      </c>
      <c r="K19" s="48" t="n">
        <f aca="false">IF(cu_P=1,IF(N(INDEX(Inv_F,12))=0,0,N(INDEX(Inv_D,12))/(N(INDEX(Inv_F,12))*12)*MAX(0,MIN((P_Inicio+83),INDEX(Inv_SvcP,12)+N(INDEX(Inv_F,12))*12-1,Fin)-MAX((P_Inicio+72),INDEX(Inv_SvcP,12))+1)),IF(N(INDEX(Inv_F,12))=0,0,N(INDEX(Inv_BaseV,12))/(N(INDEX(Inv_F,12))*12)*MAX(0,MIN((V_Inicio+83),INDEX(Inv_SvcV,12)+N(INDEX(Inv_F,12))*12-1,Fin)-MAX((V_Inicio+72),INDEX(Inv_SvcV,12))+1)))</f>
        <v>0</v>
      </c>
      <c r="L19" s="48" t="n">
        <f aca="false">IF(cu_P=1,IF(N(INDEX(Inv_F,12))=0,0,N(INDEX(Inv_D,12))/(N(INDEX(Inv_F,12))*12)*MAX(0,MIN((P_Inicio+95),INDEX(Inv_SvcP,12)+N(INDEX(Inv_F,12))*12-1,Fin)-MAX((P_Inicio+84),INDEX(Inv_SvcP,12))+1)),IF(N(INDEX(Inv_F,12))=0,0,N(INDEX(Inv_BaseV,12))/(N(INDEX(Inv_F,12))*12)*MAX(0,MIN((V_Inicio+95),INDEX(Inv_SvcV,12)+N(INDEX(Inv_F,12))*12-1,Fin)-MAX((V_Inicio+84),INDEX(Inv_SvcV,12))+1)))</f>
        <v>0</v>
      </c>
      <c r="M19" s="48" t="n">
        <f aca="false">IF(cu_P=1,IF(N(INDEX(Inv_F,12))=0,0,N(INDEX(Inv_D,12))/(N(INDEX(Inv_F,12))*12)*MAX(0,MIN((P_Inicio+107),INDEX(Inv_SvcP,12)+N(INDEX(Inv_F,12))*12-1,Fin)-MAX((P_Inicio+96),INDEX(Inv_SvcP,12))+1)),IF(N(INDEX(Inv_F,12))=0,0,N(INDEX(Inv_BaseV,12))/(N(INDEX(Inv_F,12))*12)*MAX(0,MIN((V_Inicio+107),INDEX(Inv_SvcV,12)+N(INDEX(Inv_F,12))*12-1,Fin)-MAX((V_Inicio+96),INDEX(Inv_SvcV,12))+1)))</f>
        <v>0</v>
      </c>
      <c r="N19" s="48" t="n">
        <f aca="false">IF(cu_P=1,IF(N(INDEX(Inv_F,12))=0,0,N(INDEX(Inv_D,12))/(N(INDEX(Inv_F,12))*12)*MAX(0,MIN((P_Inicio+119),INDEX(Inv_SvcP,12)+N(INDEX(Inv_F,12))*12-1,Fin)-MAX((P_Inicio+108),INDEX(Inv_SvcP,12))+1)),IF(N(INDEX(Inv_F,12))=0,0,N(INDEX(Inv_BaseV,12))/(N(INDEX(Inv_F,12))*12)*MAX(0,MIN((V_Inicio+119),INDEX(Inv_SvcV,12)+N(INDEX(Inv_F,12))*12-1,Fin)-MAX((V_Inicio+108),INDEX(Inv_SvcV,12))+1)))</f>
        <v>0</v>
      </c>
      <c r="O19" s="54" t="n">
        <f aca="false">SUM(D19:N19)</f>
        <v>43478</v>
      </c>
    </row>
    <row r="20" customFormat="false" ht="15" hidden="false" customHeight="false" outlineLevel="0" collapsed="false">
      <c r="A20" s="11" t="s">
        <v>2888</v>
      </c>
      <c r="B20" s="53" t="str">
        <f aca="false">IF(Inversion!$B$18="","Ítem 13",Inversion!$B$18&amp;" — USD "&amp;FIXED(IF(cu_P=1,N(Inversion!$D$18),N(Inversion!$U$18)),0)&amp;" — "&amp;N(Inversion!$F$18)&amp;" años")</f>
        <v>Mobiliario — USD 17,400 — 5 años</v>
      </c>
      <c r="C20" s="11" t="str">
        <f aca="false">IF(Inversion!$C$18="","",Inversion!$C$18)</f>
        <v>Mobiliario</v>
      </c>
      <c r="D20" s="48" t="n">
        <f aca="false">IF(cu_P=1,IF(N(INDEX(Inv_F,13))=0,0,N(INDEX(Inv_D,13))/(N(INDEX(Inv_F,13))*12)*MAX(0,MIN((P_Inicio-1),INDEX(Inv_SvcP,13)+N(INDEX(Inv_F,13))*12-1,Fin)-MAX(1,INDEX(Inv_SvcP,13))+1)),IF(N(INDEX(Inv_F,13))=0,0,N(INDEX(Inv_BaseV,13))/(N(INDEX(Inv_F,13))*12)*MAX(0,MIN((V_Inicio-1),INDEX(Inv_SvcV,13)+N(INDEX(Inv_F,13))*12-1,Fin)-MAX(1,INDEX(Inv_SvcV,13))+1)))</f>
        <v>0</v>
      </c>
      <c r="E20" s="48" t="n">
        <f aca="false">IF(cu_P=1,IF(N(INDEX(Inv_F,13))=0,0,N(INDEX(Inv_D,13))/(N(INDEX(Inv_F,13))*12)*MAX(0,MIN((P_Inicio+11),INDEX(Inv_SvcP,13)+N(INDEX(Inv_F,13))*12-1,Fin)-MAX((P_Inicio+0),INDEX(Inv_SvcP,13))+1)),IF(N(INDEX(Inv_F,13))=0,0,N(INDEX(Inv_BaseV,13))/(N(INDEX(Inv_F,13))*12)*MAX(0,MIN((V_Inicio+11),INDEX(Inv_SvcV,13)+N(INDEX(Inv_F,13))*12-1,Fin)-MAX((V_Inicio+0),INDEX(Inv_SvcV,13))+1)))</f>
        <v>3480</v>
      </c>
      <c r="F20" s="48" t="n">
        <f aca="false">IF(cu_P=1,IF(N(INDEX(Inv_F,13))=0,0,N(INDEX(Inv_D,13))/(N(INDEX(Inv_F,13))*12)*MAX(0,MIN((P_Inicio+23),INDEX(Inv_SvcP,13)+N(INDEX(Inv_F,13))*12-1,Fin)-MAX((P_Inicio+12),INDEX(Inv_SvcP,13))+1)),IF(N(INDEX(Inv_F,13))=0,0,N(INDEX(Inv_BaseV,13))/(N(INDEX(Inv_F,13))*12)*MAX(0,MIN((V_Inicio+23),INDEX(Inv_SvcV,13)+N(INDEX(Inv_F,13))*12-1,Fin)-MAX((V_Inicio+12),INDEX(Inv_SvcV,13))+1)))</f>
        <v>3480</v>
      </c>
      <c r="G20" s="48" t="n">
        <f aca="false">IF(cu_P=1,IF(N(INDEX(Inv_F,13))=0,0,N(INDEX(Inv_D,13))/(N(INDEX(Inv_F,13))*12)*MAX(0,MIN((P_Inicio+35),INDEX(Inv_SvcP,13)+N(INDEX(Inv_F,13))*12-1,Fin)-MAX((P_Inicio+24),INDEX(Inv_SvcP,13))+1)),IF(N(INDEX(Inv_F,13))=0,0,N(INDEX(Inv_BaseV,13))/(N(INDEX(Inv_F,13))*12)*MAX(0,MIN((V_Inicio+35),INDEX(Inv_SvcV,13)+N(INDEX(Inv_F,13))*12-1,Fin)-MAX((V_Inicio+24),INDEX(Inv_SvcV,13))+1)))</f>
        <v>3480</v>
      </c>
      <c r="H20" s="48" t="n">
        <f aca="false">IF(cu_P=1,IF(N(INDEX(Inv_F,13))=0,0,N(INDEX(Inv_D,13))/(N(INDEX(Inv_F,13))*12)*MAX(0,MIN((P_Inicio+47),INDEX(Inv_SvcP,13)+N(INDEX(Inv_F,13))*12-1,Fin)-MAX((P_Inicio+36),INDEX(Inv_SvcP,13))+1)),IF(N(INDEX(Inv_F,13))=0,0,N(INDEX(Inv_BaseV,13))/(N(INDEX(Inv_F,13))*12)*MAX(0,MIN((V_Inicio+47),INDEX(Inv_SvcV,13)+N(INDEX(Inv_F,13))*12-1,Fin)-MAX((V_Inicio+36),INDEX(Inv_SvcV,13))+1)))</f>
        <v>3480</v>
      </c>
      <c r="I20" s="48" t="n">
        <f aca="false">IF(cu_P=1,IF(N(INDEX(Inv_F,13))=0,0,N(INDEX(Inv_D,13))/(N(INDEX(Inv_F,13))*12)*MAX(0,MIN((P_Inicio+59),INDEX(Inv_SvcP,13)+N(INDEX(Inv_F,13))*12-1,Fin)-MAX((P_Inicio+48),INDEX(Inv_SvcP,13))+1)),IF(N(INDEX(Inv_F,13))=0,0,N(INDEX(Inv_BaseV,13))/(N(INDEX(Inv_F,13))*12)*MAX(0,MIN((V_Inicio+59),INDEX(Inv_SvcV,13)+N(INDEX(Inv_F,13))*12-1,Fin)-MAX((V_Inicio+48),INDEX(Inv_SvcV,13))+1)))</f>
        <v>3480</v>
      </c>
      <c r="J20" s="48" t="n">
        <f aca="false">IF(cu_P=1,IF(N(INDEX(Inv_F,13))=0,0,N(INDEX(Inv_D,13))/(N(INDEX(Inv_F,13))*12)*MAX(0,MIN((P_Inicio+71),INDEX(Inv_SvcP,13)+N(INDEX(Inv_F,13))*12-1,Fin)-MAX((P_Inicio+60),INDEX(Inv_SvcP,13))+1)),IF(N(INDEX(Inv_F,13))=0,0,N(INDEX(Inv_BaseV,13))/(N(INDEX(Inv_F,13))*12)*MAX(0,MIN((V_Inicio+71),INDEX(Inv_SvcV,13)+N(INDEX(Inv_F,13))*12-1,Fin)-MAX((V_Inicio+60),INDEX(Inv_SvcV,13))+1)))</f>
        <v>0</v>
      </c>
      <c r="K20" s="48" t="n">
        <f aca="false">IF(cu_P=1,IF(N(INDEX(Inv_F,13))=0,0,N(INDEX(Inv_D,13))/(N(INDEX(Inv_F,13))*12)*MAX(0,MIN((P_Inicio+83),INDEX(Inv_SvcP,13)+N(INDEX(Inv_F,13))*12-1,Fin)-MAX((P_Inicio+72),INDEX(Inv_SvcP,13))+1)),IF(N(INDEX(Inv_F,13))=0,0,N(INDEX(Inv_BaseV,13))/(N(INDEX(Inv_F,13))*12)*MAX(0,MIN((V_Inicio+83),INDEX(Inv_SvcV,13)+N(INDEX(Inv_F,13))*12-1,Fin)-MAX((V_Inicio+72),INDEX(Inv_SvcV,13))+1)))</f>
        <v>0</v>
      </c>
      <c r="L20" s="48" t="n">
        <f aca="false">IF(cu_P=1,IF(N(INDEX(Inv_F,13))=0,0,N(INDEX(Inv_D,13))/(N(INDEX(Inv_F,13))*12)*MAX(0,MIN((P_Inicio+95),INDEX(Inv_SvcP,13)+N(INDEX(Inv_F,13))*12-1,Fin)-MAX((P_Inicio+84),INDEX(Inv_SvcP,13))+1)),IF(N(INDEX(Inv_F,13))=0,0,N(INDEX(Inv_BaseV,13))/(N(INDEX(Inv_F,13))*12)*MAX(0,MIN((V_Inicio+95),INDEX(Inv_SvcV,13)+N(INDEX(Inv_F,13))*12-1,Fin)-MAX((V_Inicio+84),INDEX(Inv_SvcV,13))+1)))</f>
        <v>0</v>
      </c>
      <c r="M20" s="48" t="n">
        <f aca="false">IF(cu_P=1,IF(N(INDEX(Inv_F,13))=0,0,N(INDEX(Inv_D,13))/(N(INDEX(Inv_F,13))*12)*MAX(0,MIN((P_Inicio+107),INDEX(Inv_SvcP,13)+N(INDEX(Inv_F,13))*12-1,Fin)-MAX((P_Inicio+96),INDEX(Inv_SvcP,13))+1)),IF(N(INDEX(Inv_F,13))=0,0,N(INDEX(Inv_BaseV,13))/(N(INDEX(Inv_F,13))*12)*MAX(0,MIN((V_Inicio+107),INDEX(Inv_SvcV,13)+N(INDEX(Inv_F,13))*12-1,Fin)-MAX((V_Inicio+96),INDEX(Inv_SvcV,13))+1)))</f>
        <v>0</v>
      </c>
      <c r="N20" s="48" t="n">
        <f aca="false">IF(cu_P=1,IF(N(INDEX(Inv_F,13))=0,0,N(INDEX(Inv_D,13))/(N(INDEX(Inv_F,13))*12)*MAX(0,MIN((P_Inicio+119),INDEX(Inv_SvcP,13)+N(INDEX(Inv_F,13))*12-1,Fin)-MAX((P_Inicio+108),INDEX(Inv_SvcP,13))+1)),IF(N(INDEX(Inv_F,13))=0,0,N(INDEX(Inv_BaseV,13))/(N(INDEX(Inv_F,13))*12)*MAX(0,MIN((V_Inicio+119),INDEX(Inv_SvcV,13)+N(INDEX(Inv_F,13))*12-1,Fin)-MAX((V_Inicio+108),INDEX(Inv_SvcV,13))+1)))</f>
        <v>0</v>
      </c>
      <c r="O20" s="54" t="n">
        <f aca="false">SUM(D20:N20)</f>
        <v>17400</v>
      </c>
    </row>
    <row r="21" customFormat="false" ht="15" hidden="false" customHeight="false" outlineLevel="0" collapsed="false">
      <c r="A21" s="11" t="s">
        <v>2889</v>
      </c>
      <c r="B21" s="53" t="str">
        <f aca="false">IF(Inversion!$B$19="","Ítem 14",Inversion!$B$19&amp;" — USD "&amp;FIXED(IF(cu_P=1,N(Inversion!$D$19),N(Inversion!$U$19)),0)&amp;" — "&amp;N(Inversion!$F$19)&amp;" años")</f>
        <v>Inversión adicional año 2 (no desagregada) — USD 100,000 — 10 años</v>
      </c>
      <c r="C21" s="11" t="str">
        <f aca="false">IF(Inversion!$C$19="","",Inversion!$C$19)</f>
        <v>Pendiente</v>
      </c>
      <c r="D21" s="48" t="n">
        <f aca="false">IF(cu_P=1,IF(N(INDEX(Inv_F,14))=0,0,N(INDEX(Inv_D,14))/(N(INDEX(Inv_F,14))*12)*MAX(0,MIN((P_Inicio-1),INDEX(Inv_SvcP,14)+N(INDEX(Inv_F,14))*12-1,Fin)-MAX(1,INDEX(Inv_SvcP,14))+1)),IF(N(INDEX(Inv_F,14))=0,0,N(INDEX(Inv_BaseV,14))/(N(INDEX(Inv_F,14))*12)*MAX(0,MIN((V_Inicio-1),INDEX(Inv_SvcV,14)+N(INDEX(Inv_F,14))*12-1,Fin)-MAX(1,INDEX(Inv_SvcV,14))+1)))</f>
        <v>0</v>
      </c>
      <c r="E21" s="48" t="n">
        <f aca="false">IF(cu_P=1,IF(N(INDEX(Inv_F,14))=0,0,N(INDEX(Inv_D,14))/(N(INDEX(Inv_F,14))*12)*MAX(0,MIN((P_Inicio+11),INDEX(Inv_SvcP,14)+N(INDEX(Inv_F,14))*12-1,Fin)-MAX((P_Inicio+0),INDEX(Inv_SvcP,14))+1)),IF(N(INDEX(Inv_F,14))=0,0,N(INDEX(Inv_BaseV,14))/(N(INDEX(Inv_F,14))*12)*MAX(0,MIN((V_Inicio+11),INDEX(Inv_SvcV,14)+N(INDEX(Inv_F,14))*12-1,Fin)-MAX((V_Inicio+0),INDEX(Inv_SvcV,14))+1)))</f>
        <v>0</v>
      </c>
      <c r="F21" s="48" t="n">
        <f aca="false">IF(cu_P=1,IF(N(INDEX(Inv_F,14))=0,0,N(INDEX(Inv_D,14))/(N(INDEX(Inv_F,14))*12)*MAX(0,MIN((P_Inicio+23),INDEX(Inv_SvcP,14)+N(INDEX(Inv_F,14))*12-1,Fin)-MAX((P_Inicio+12),INDEX(Inv_SvcP,14))+1)),IF(N(INDEX(Inv_F,14))=0,0,N(INDEX(Inv_BaseV,14))/(N(INDEX(Inv_F,14))*12)*MAX(0,MIN((V_Inicio+23),INDEX(Inv_SvcV,14)+N(INDEX(Inv_F,14))*12-1,Fin)-MAX((V_Inicio+12),INDEX(Inv_SvcV,14))+1)))</f>
        <v>10000</v>
      </c>
      <c r="G21" s="48" t="n">
        <f aca="false">IF(cu_P=1,IF(N(INDEX(Inv_F,14))=0,0,N(INDEX(Inv_D,14))/(N(INDEX(Inv_F,14))*12)*MAX(0,MIN((P_Inicio+35),INDEX(Inv_SvcP,14)+N(INDEX(Inv_F,14))*12-1,Fin)-MAX((P_Inicio+24),INDEX(Inv_SvcP,14))+1)),IF(N(INDEX(Inv_F,14))=0,0,N(INDEX(Inv_BaseV,14))/(N(INDEX(Inv_F,14))*12)*MAX(0,MIN((V_Inicio+35),INDEX(Inv_SvcV,14)+N(INDEX(Inv_F,14))*12-1,Fin)-MAX((V_Inicio+24),INDEX(Inv_SvcV,14))+1)))</f>
        <v>10000</v>
      </c>
      <c r="H21" s="48" t="n">
        <f aca="false">IF(cu_P=1,IF(N(INDEX(Inv_F,14))=0,0,N(INDEX(Inv_D,14))/(N(INDEX(Inv_F,14))*12)*MAX(0,MIN((P_Inicio+47),INDEX(Inv_SvcP,14)+N(INDEX(Inv_F,14))*12-1,Fin)-MAX((P_Inicio+36),INDEX(Inv_SvcP,14))+1)),IF(N(INDEX(Inv_F,14))=0,0,N(INDEX(Inv_BaseV,14))/(N(INDEX(Inv_F,14))*12)*MAX(0,MIN((V_Inicio+47),INDEX(Inv_SvcV,14)+N(INDEX(Inv_F,14))*12-1,Fin)-MAX((V_Inicio+36),INDEX(Inv_SvcV,14))+1)))</f>
        <v>10000</v>
      </c>
      <c r="I21" s="48" t="n">
        <f aca="false">IF(cu_P=1,IF(N(INDEX(Inv_F,14))=0,0,N(INDEX(Inv_D,14))/(N(INDEX(Inv_F,14))*12)*MAX(0,MIN((P_Inicio+59),INDEX(Inv_SvcP,14)+N(INDEX(Inv_F,14))*12-1,Fin)-MAX((P_Inicio+48),INDEX(Inv_SvcP,14))+1)),IF(N(INDEX(Inv_F,14))=0,0,N(INDEX(Inv_BaseV,14))/(N(INDEX(Inv_F,14))*12)*MAX(0,MIN((V_Inicio+59),INDEX(Inv_SvcV,14)+N(INDEX(Inv_F,14))*12-1,Fin)-MAX((V_Inicio+48),INDEX(Inv_SvcV,14))+1)))</f>
        <v>10000</v>
      </c>
      <c r="J21" s="48" t="n">
        <f aca="false">IF(cu_P=1,IF(N(INDEX(Inv_F,14))=0,0,N(INDEX(Inv_D,14))/(N(INDEX(Inv_F,14))*12)*MAX(0,MIN((P_Inicio+71),INDEX(Inv_SvcP,14)+N(INDEX(Inv_F,14))*12-1,Fin)-MAX((P_Inicio+60),INDEX(Inv_SvcP,14))+1)),IF(N(INDEX(Inv_F,14))=0,0,N(INDEX(Inv_BaseV,14))/(N(INDEX(Inv_F,14))*12)*MAX(0,MIN((V_Inicio+71),INDEX(Inv_SvcV,14)+N(INDEX(Inv_F,14))*12-1,Fin)-MAX((V_Inicio+60),INDEX(Inv_SvcV,14))+1)))</f>
        <v>10000</v>
      </c>
      <c r="K21" s="48" t="n">
        <f aca="false">IF(cu_P=1,IF(N(INDEX(Inv_F,14))=0,0,N(INDEX(Inv_D,14))/(N(INDEX(Inv_F,14))*12)*MAX(0,MIN((P_Inicio+83),INDEX(Inv_SvcP,14)+N(INDEX(Inv_F,14))*12-1,Fin)-MAX((P_Inicio+72),INDEX(Inv_SvcP,14))+1)),IF(N(INDEX(Inv_F,14))=0,0,N(INDEX(Inv_BaseV,14))/(N(INDEX(Inv_F,14))*12)*MAX(0,MIN((V_Inicio+83),INDEX(Inv_SvcV,14)+N(INDEX(Inv_F,14))*12-1,Fin)-MAX((V_Inicio+72),INDEX(Inv_SvcV,14))+1)))</f>
        <v>10000</v>
      </c>
      <c r="L21" s="48" t="n">
        <f aca="false">IF(cu_P=1,IF(N(INDEX(Inv_F,14))=0,0,N(INDEX(Inv_D,14))/(N(INDEX(Inv_F,14))*12)*MAX(0,MIN((P_Inicio+95),INDEX(Inv_SvcP,14)+N(INDEX(Inv_F,14))*12-1,Fin)-MAX((P_Inicio+84),INDEX(Inv_SvcP,14))+1)),IF(N(INDEX(Inv_F,14))=0,0,N(INDEX(Inv_BaseV,14))/(N(INDEX(Inv_F,14))*12)*MAX(0,MIN((V_Inicio+95),INDEX(Inv_SvcV,14)+N(INDEX(Inv_F,14))*12-1,Fin)-MAX((V_Inicio+84),INDEX(Inv_SvcV,14))+1)))</f>
        <v>10000</v>
      </c>
      <c r="M21" s="48" t="n">
        <f aca="false">IF(cu_P=1,IF(N(INDEX(Inv_F,14))=0,0,N(INDEX(Inv_D,14))/(N(INDEX(Inv_F,14))*12)*MAX(0,MIN((P_Inicio+107),INDEX(Inv_SvcP,14)+N(INDEX(Inv_F,14))*12-1,Fin)-MAX((P_Inicio+96),INDEX(Inv_SvcP,14))+1)),IF(N(INDEX(Inv_F,14))=0,0,N(INDEX(Inv_BaseV,14))/(N(INDEX(Inv_F,14))*12)*MAX(0,MIN((V_Inicio+107),INDEX(Inv_SvcV,14)+N(INDEX(Inv_F,14))*12-1,Fin)-MAX((V_Inicio+96),INDEX(Inv_SvcV,14))+1)))</f>
        <v>10000</v>
      </c>
      <c r="N21" s="48" t="n">
        <f aca="false">IF(cu_P=1,IF(N(INDEX(Inv_F,14))=0,0,N(INDEX(Inv_D,14))/(N(INDEX(Inv_F,14))*12)*MAX(0,MIN((P_Inicio+119),INDEX(Inv_SvcP,14)+N(INDEX(Inv_F,14))*12-1,Fin)-MAX((P_Inicio+108),INDEX(Inv_SvcP,14))+1)),IF(N(INDEX(Inv_F,14))=0,0,N(INDEX(Inv_BaseV,14))/(N(INDEX(Inv_F,14))*12)*MAX(0,MIN((V_Inicio+119),INDEX(Inv_SvcV,14)+N(INDEX(Inv_F,14))*12-1,Fin)-MAX((V_Inicio+108),INDEX(Inv_SvcV,14))+1)))</f>
        <v>10000</v>
      </c>
      <c r="O21" s="54" t="n">
        <f aca="false">SUM(D21:N21)</f>
        <v>90000</v>
      </c>
    </row>
    <row r="22" customFormat="false" ht="15" hidden="true" customHeight="false" outlineLevel="1" collapsed="false">
      <c r="A22" s="11" t="s">
        <v>2890</v>
      </c>
      <c r="B22" s="53" t="str">
        <f aca="false">IF(Inversion!$B$20="","Ítem 15",Inversion!$B$20&amp;" — USD "&amp;FIXED(IF(cu_P=1,N(Inversion!$D$20),N(Inversion!$U$20)),0)&amp;" — "&amp;N(Inversion!$F$20)&amp;" años")</f>
        <v>Ítem 15</v>
      </c>
      <c r="C22" s="11" t="str">
        <f aca="false">IF(Inversion!$C$20="","",Inversion!$C$20)</f>
        <v/>
      </c>
      <c r="D22" s="48" t="n">
        <f aca="false">IF(cu_P=1,IF(N(INDEX(Inv_F,15))=0,0,N(INDEX(Inv_D,15))/(N(INDEX(Inv_F,15))*12)*MAX(0,MIN((P_Inicio-1),INDEX(Inv_SvcP,15)+N(INDEX(Inv_F,15))*12-1,Fin)-MAX(1,INDEX(Inv_SvcP,15))+1)),IF(N(INDEX(Inv_F,15))=0,0,N(INDEX(Inv_BaseV,15))/(N(INDEX(Inv_F,15))*12)*MAX(0,MIN((V_Inicio-1),INDEX(Inv_SvcV,15)+N(INDEX(Inv_F,15))*12-1,Fin)-MAX(1,INDEX(Inv_SvcV,15))+1)))</f>
        <v>0</v>
      </c>
      <c r="E22" s="48" t="n">
        <f aca="false">IF(cu_P=1,IF(N(INDEX(Inv_F,15))=0,0,N(INDEX(Inv_D,15))/(N(INDEX(Inv_F,15))*12)*MAX(0,MIN((P_Inicio+11),INDEX(Inv_SvcP,15)+N(INDEX(Inv_F,15))*12-1,Fin)-MAX((P_Inicio+0),INDEX(Inv_SvcP,15))+1)),IF(N(INDEX(Inv_F,15))=0,0,N(INDEX(Inv_BaseV,15))/(N(INDEX(Inv_F,15))*12)*MAX(0,MIN((V_Inicio+11),INDEX(Inv_SvcV,15)+N(INDEX(Inv_F,15))*12-1,Fin)-MAX((V_Inicio+0),INDEX(Inv_SvcV,15))+1)))</f>
        <v>0</v>
      </c>
      <c r="F22" s="48" t="n">
        <f aca="false">IF(cu_P=1,IF(N(INDEX(Inv_F,15))=0,0,N(INDEX(Inv_D,15))/(N(INDEX(Inv_F,15))*12)*MAX(0,MIN((P_Inicio+23),INDEX(Inv_SvcP,15)+N(INDEX(Inv_F,15))*12-1,Fin)-MAX((P_Inicio+12),INDEX(Inv_SvcP,15))+1)),IF(N(INDEX(Inv_F,15))=0,0,N(INDEX(Inv_BaseV,15))/(N(INDEX(Inv_F,15))*12)*MAX(0,MIN((V_Inicio+23),INDEX(Inv_SvcV,15)+N(INDEX(Inv_F,15))*12-1,Fin)-MAX((V_Inicio+12),INDEX(Inv_SvcV,15))+1)))</f>
        <v>0</v>
      </c>
      <c r="G22" s="48" t="n">
        <f aca="false">IF(cu_P=1,IF(N(INDEX(Inv_F,15))=0,0,N(INDEX(Inv_D,15))/(N(INDEX(Inv_F,15))*12)*MAX(0,MIN((P_Inicio+35),INDEX(Inv_SvcP,15)+N(INDEX(Inv_F,15))*12-1,Fin)-MAX((P_Inicio+24),INDEX(Inv_SvcP,15))+1)),IF(N(INDEX(Inv_F,15))=0,0,N(INDEX(Inv_BaseV,15))/(N(INDEX(Inv_F,15))*12)*MAX(0,MIN((V_Inicio+35),INDEX(Inv_SvcV,15)+N(INDEX(Inv_F,15))*12-1,Fin)-MAX((V_Inicio+24),INDEX(Inv_SvcV,15))+1)))</f>
        <v>0</v>
      </c>
      <c r="H22" s="48" t="n">
        <f aca="false">IF(cu_P=1,IF(N(INDEX(Inv_F,15))=0,0,N(INDEX(Inv_D,15))/(N(INDEX(Inv_F,15))*12)*MAX(0,MIN((P_Inicio+47),INDEX(Inv_SvcP,15)+N(INDEX(Inv_F,15))*12-1,Fin)-MAX((P_Inicio+36),INDEX(Inv_SvcP,15))+1)),IF(N(INDEX(Inv_F,15))=0,0,N(INDEX(Inv_BaseV,15))/(N(INDEX(Inv_F,15))*12)*MAX(0,MIN((V_Inicio+47),INDEX(Inv_SvcV,15)+N(INDEX(Inv_F,15))*12-1,Fin)-MAX((V_Inicio+36),INDEX(Inv_SvcV,15))+1)))</f>
        <v>0</v>
      </c>
      <c r="I22" s="48" t="n">
        <f aca="false">IF(cu_P=1,IF(N(INDEX(Inv_F,15))=0,0,N(INDEX(Inv_D,15))/(N(INDEX(Inv_F,15))*12)*MAX(0,MIN((P_Inicio+59),INDEX(Inv_SvcP,15)+N(INDEX(Inv_F,15))*12-1,Fin)-MAX((P_Inicio+48),INDEX(Inv_SvcP,15))+1)),IF(N(INDEX(Inv_F,15))=0,0,N(INDEX(Inv_BaseV,15))/(N(INDEX(Inv_F,15))*12)*MAX(0,MIN((V_Inicio+59),INDEX(Inv_SvcV,15)+N(INDEX(Inv_F,15))*12-1,Fin)-MAX((V_Inicio+48),INDEX(Inv_SvcV,15))+1)))</f>
        <v>0</v>
      </c>
      <c r="J22" s="48" t="n">
        <f aca="false">IF(cu_P=1,IF(N(INDEX(Inv_F,15))=0,0,N(INDEX(Inv_D,15))/(N(INDEX(Inv_F,15))*12)*MAX(0,MIN((P_Inicio+71),INDEX(Inv_SvcP,15)+N(INDEX(Inv_F,15))*12-1,Fin)-MAX((P_Inicio+60),INDEX(Inv_SvcP,15))+1)),IF(N(INDEX(Inv_F,15))=0,0,N(INDEX(Inv_BaseV,15))/(N(INDEX(Inv_F,15))*12)*MAX(0,MIN((V_Inicio+71),INDEX(Inv_SvcV,15)+N(INDEX(Inv_F,15))*12-1,Fin)-MAX((V_Inicio+60),INDEX(Inv_SvcV,15))+1)))</f>
        <v>0</v>
      </c>
      <c r="K22" s="48" t="n">
        <f aca="false">IF(cu_P=1,IF(N(INDEX(Inv_F,15))=0,0,N(INDEX(Inv_D,15))/(N(INDEX(Inv_F,15))*12)*MAX(0,MIN((P_Inicio+83),INDEX(Inv_SvcP,15)+N(INDEX(Inv_F,15))*12-1,Fin)-MAX((P_Inicio+72),INDEX(Inv_SvcP,15))+1)),IF(N(INDEX(Inv_F,15))=0,0,N(INDEX(Inv_BaseV,15))/(N(INDEX(Inv_F,15))*12)*MAX(0,MIN((V_Inicio+83),INDEX(Inv_SvcV,15)+N(INDEX(Inv_F,15))*12-1,Fin)-MAX((V_Inicio+72),INDEX(Inv_SvcV,15))+1)))</f>
        <v>0</v>
      </c>
      <c r="L22" s="48" t="n">
        <f aca="false">IF(cu_P=1,IF(N(INDEX(Inv_F,15))=0,0,N(INDEX(Inv_D,15))/(N(INDEX(Inv_F,15))*12)*MAX(0,MIN((P_Inicio+95),INDEX(Inv_SvcP,15)+N(INDEX(Inv_F,15))*12-1,Fin)-MAX((P_Inicio+84),INDEX(Inv_SvcP,15))+1)),IF(N(INDEX(Inv_F,15))=0,0,N(INDEX(Inv_BaseV,15))/(N(INDEX(Inv_F,15))*12)*MAX(0,MIN((V_Inicio+95),INDEX(Inv_SvcV,15)+N(INDEX(Inv_F,15))*12-1,Fin)-MAX((V_Inicio+84),INDEX(Inv_SvcV,15))+1)))</f>
        <v>0</v>
      </c>
      <c r="M22" s="48" t="n">
        <f aca="false">IF(cu_P=1,IF(N(INDEX(Inv_F,15))=0,0,N(INDEX(Inv_D,15))/(N(INDEX(Inv_F,15))*12)*MAX(0,MIN((P_Inicio+107),INDEX(Inv_SvcP,15)+N(INDEX(Inv_F,15))*12-1,Fin)-MAX((P_Inicio+96),INDEX(Inv_SvcP,15))+1)),IF(N(INDEX(Inv_F,15))=0,0,N(INDEX(Inv_BaseV,15))/(N(INDEX(Inv_F,15))*12)*MAX(0,MIN((V_Inicio+107),INDEX(Inv_SvcV,15)+N(INDEX(Inv_F,15))*12-1,Fin)-MAX((V_Inicio+96),INDEX(Inv_SvcV,15))+1)))</f>
        <v>0</v>
      </c>
      <c r="N22" s="48" t="n">
        <f aca="false">IF(cu_P=1,IF(N(INDEX(Inv_F,15))=0,0,N(INDEX(Inv_D,15))/(N(INDEX(Inv_F,15))*12)*MAX(0,MIN((P_Inicio+119),INDEX(Inv_SvcP,15)+N(INDEX(Inv_F,15))*12-1,Fin)-MAX((P_Inicio+108),INDEX(Inv_SvcP,15))+1)),IF(N(INDEX(Inv_F,15))=0,0,N(INDEX(Inv_BaseV,15))/(N(INDEX(Inv_F,15))*12)*MAX(0,MIN((V_Inicio+119),INDEX(Inv_SvcV,15)+N(INDEX(Inv_F,15))*12-1,Fin)-MAX((V_Inicio+108),INDEX(Inv_SvcV,15))+1)))</f>
        <v>0</v>
      </c>
      <c r="O22" s="54" t="n">
        <f aca="false">SUM(D22:N22)</f>
        <v>0</v>
      </c>
    </row>
    <row r="23" customFormat="false" ht="15" hidden="true" customHeight="false" outlineLevel="1" collapsed="false">
      <c r="A23" s="11" t="s">
        <v>2891</v>
      </c>
      <c r="B23" s="53" t="str">
        <f aca="false">IF(Inversion!$B$21="","Ítem 16",Inversion!$B$21&amp;" — USD "&amp;FIXED(IF(cu_P=1,N(Inversion!$D$21),N(Inversion!$U$21)),0)&amp;" — "&amp;N(Inversion!$F$21)&amp;" años")</f>
        <v>Ítem 16</v>
      </c>
      <c r="C23" s="11" t="str">
        <f aca="false">IF(Inversion!$C$21="","",Inversion!$C$21)</f>
        <v/>
      </c>
      <c r="D23" s="48" t="n">
        <f aca="false">IF(cu_P=1,IF(N(INDEX(Inv_F,16))=0,0,N(INDEX(Inv_D,16))/(N(INDEX(Inv_F,16))*12)*MAX(0,MIN((P_Inicio-1),INDEX(Inv_SvcP,16)+N(INDEX(Inv_F,16))*12-1,Fin)-MAX(1,INDEX(Inv_SvcP,16))+1)),IF(N(INDEX(Inv_F,16))=0,0,N(INDEX(Inv_BaseV,16))/(N(INDEX(Inv_F,16))*12)*MAX(0,MIN((V_Inicio-1),INDEX(Inv_SvcV,16)+N(INDEX(Inv_F,16))*12-1,Fin)-MAX(1,INDEX(Inv_SvcV,16))+1)))</f>
        <v>0</v>
      </c>
      <c r="E23" s="48" t="n">
        <f aca="false">IF(cu_P=1,IF(N(INDEX(Inv_F,16))=0,0,N(INDEX(Inv_D,16))/(N(INDEX(Inv_F,16))*12)*MAX(0,MIN((P_Inicio+11),INDEX(Inv_SvcP,16)+N(INDEX(Inv_F,16))*12-1,Fin)-MAX((P_Inicio+0),INDEX(Inv_SvcP,16))+1)),IF(N(INDEX(Inv_F,16))=0,0,N(INDEX(Inv_BaseV,16))/(N(INDEX(Inv_F,16))*12)*MAX(0,MIN((V_Inicio+11),INDEX(Inv_SvcV,16)+N(INDEX(Inv_F,16))*12-1,Fin)-MAX((V_Inicio+0),INDEX(Inv_SvcV,16))+1)))</f>
        <v>0</v>
      </c>
      <c r="F23" s="48" t="n">
        <f aca="false">IF(cu_P=1,IF(N(INDEX(Inv_F,16))=0,0,N(INDEX(Inv_D,16))/(N(INDEX(Inv_F,16))*12)*MAX(0,MIN((P_Inicio+23),INDEX(Inv_SvcP,16)+N(INDEX(Inv_F,16))*12-1,Fin)-MAX((P_Inicio+12),INDEX(Inv_SvcP,16))+1)),IF(N(INDEX(Inv_F,16))=0,0,N(INDEX(Inv_BaseV,16))/(N(INDEX(Inv_F,16))*12)*MAX(0,MIN((V_Inicio+23),INDEX(Inv_SvcV,16)+N(INDEX(Inv_F,16))*12-1,Fin)-MAX((V_Inicio+12),INDEX(Inv_SvcV,16))+1)))</f>
        <v>0</v>
      </c>
      <c r="G23" s="48" t="n">
        <f aca="false">IF(cu_P=1,IF(N(INDEX(Inv_F,16))=0,0,N(INDEX(Inv_D,16))/(N(INDEX(Inv_F,16))*12)*MAX(0,MIN((P_Inicio+35),INDEX(Inv_SvcP,16)+N(INDEX(Inv_F,16))*12-1,Fin)-MAX((P_Inicio+24),INDEX(Inv_SvcP,16))+1)),IF(N(INDEX(Inv_F,16))=0,0,N(INDEX(Inv_BaseV,16))/(N(INDEX(Inv_F,16))*12)*MAX(0,MIN((V_Inicio+35),INDEX(Inv_SvcV,16)+N(INDEX(Inv_F,16))*12-1,Fin)-MAX((V_Inicio+24),INDEX(Inv_SvcV,16))+1)))</f>
        <v>0</v>
      </c>
      <c r="H23" s="48" t="n">
        <f aca="false">IF(cu_P=1,IF(N(INDEX(Inv_F,16))=0,0,N(INDEX(Inv_D,16))/(N(INDEX(Inv_F,16))*12)*MAX(0,MIN((P_Inicio+47),INDEX(Inv_SvcP,16)+N(INDEX(Inv_F,16))*12-1,Fin)-MAX((P_Inicio+36),INDEX(Inv_SvcP,16))+1)),IF(N(INDEX(Inv_F,16))=0,0,N(INDEX(Inv_BaseV,16))/(N(INDEX(Inv_F,16))*12)*MAX(0,MIN((V_Inicio+47),INDEX(Inv_SvcV,16)+N(INDEX(Inv_F,16))*12-1,Fin)-MAX((V_Inicio+36),INDEX(Inv_SvcV,16))+1)))</f>
        <v>0</v>
      </c>
      <c r="I23" s="48" t="n">
        <f aca="false">IF(cu_P=1,IF(N(INDEX(Inv_F,16))=0,0,N(INDEX(Inv_D,16))/(N(INDEX(Inv_F,16))*12)*MAX(0,MIN((P_Inicio+59),INDEX(Inv_SvcP,16)+N(INDEX(Inv_F,16))*12-1,Fin)-MAX((P_Inicio+48),INDEX(Inv_SvcP,16))+1)),IF(N(INDEX(Inv_F,16))=0,0,N(INDEX(Inv_BaseV,16))/(N(INDEX(Inv_F,16))*12)*MAX(0,MIN((V_Inicio+59),INDEX(Inv_SvcV,16)+N(INDEX(Inv_F,16))*12-1,Fin)-MAX((V_Inicio+48),INDEX(Inv_SvcV,16))+1)))</f>
        <v>0</v>
      </c>
      <c r="J23" s="48" t="n">
        <f aca="false">IF(cu_P=1,IF(N(INDEX(Inv_F,16))=0,0,N(INDEX(Inv_D,16))/(N(INDEX(Inv_F,16))*12)*MAX(0,MIN((P_Inicio+71),INDEX(Inv_SvcP,16)+N(INDEX(Inv_F,16))*12-1,Fin)-MAX((P_Inicio+60),INDEX(Inv_SvcP,16))+1)),IF(N(INDEX(Inv_F,16))=0,0,N(INDEX(Inv_BaseV,16))/(N(INDEX(Inv_F,16))*12)*MAX(0,MIN((V_Inicio+71),INDEX(Inv_SvcV,16)+N(INDEX(Inv_F,16))*12-1,Fin)-MAX((V_Inicio+60),INDEX(Inv_SvcV,16))+1)))</f>
        <v>0</v>
      </c>
      <c r="K23" s="48" t="n">
        <f aca="false">IF(cu_P=1,IF(N(INDEX(Inv_F,16))=0,0,N(INDEX(Inv_D,16))/(N(INDEX(Inv_F,16))*12)*MAX(0,MIN((P_Inicio+83),INDEX(Inv_SvcP,16)+N(INDEX(Inv_F,16))*12-1,Fin)-MAX((P_Inicio+72),INDEX(Inv_SvcP,16))+1)),IF(N(INDEX(Inv_F,16))=0,0,N(INDEX(Inv_BaseV,16))/(N(INDEX(Inv_F,16))*12)*MAX(0,MIN((V_Inicio+83),INDEX(Inv_SvcV,16)+N(INDEX(Inv_F,16))*12-1,Fin)-MAX((V_Inicio+72),INDEX(Inv_SvcV,16))+1)))</f>
        <v>0</v>
      </c>
      <c r="L23" s="48" t="n">
        <f aca="false">IF(cu_P=1,IF(N(INDEX(Inv_F,16))=0,0,N(INDEX(Inv_D,16))/(N(INDEX(Inv_F,16))*12)*MAX(0,MIN((P_Inicio+95),INDEX(Inv_SvcP,16)+N(INDEX(Inv_F,16))*12-1,Fin)-MAX((P_Inicio+84),INDEX(Inv_SvcP,16))+1)),IF(N(INDEX(Inv_F,16))=0,0,N(INDEX(Inv_BaseV,16))/(N(INDEX(Inv_F,16))*12)*MAX(0,MIN((V_Inicio+95),INDEX(Inv_SvcV,16)+N(INDEX(Inv_F,16))*12-1,Fin)-MAX((V_Inicio+84),INDEX(Inv_SvcV,16))+1)))</f>
        <v>0</v>
      </c>
      <c r="M23" s="48" t="n">
        <f aca="false">IF(cu_P=1,IF(N(INDEX(Inv_F,16))=0,0,N(INDEX(Inv_D,16))/(N(INDEX(Inv_F,16))*12)*MAX(0,MIN((P_Inicio+107),INDEX(Inv_SvcP,16)+N(INDEX(Inv_F,16))*12-1,Fin)-MAX((P_Inicio+96),INDEX(Inv_SvcP,16))+1)),IF(N(INDEX(Inv_F,16))=0,0,N(INDEX(Inv_BaseV,16))/(N(INDEX(Inv_F,16))*12)*MAX(0,MIN((V_Inicio+107),INDEX(Inv_SvcV,16)+N(INDEX(Inv_F,16))*12-1,Fin)-MAX((V_Inicio+96),INDEX(Inv_SvcV,16))+1)))</f>
        <v>0</v>
      </c>
      <c r="N23" s="48" t="n">
        <f aca="false">IF(cu_P=1,IF(N(INDEX(Inv_F,16))=0,0,N(INDEX(Inv_D,16))/(N(INDEX(Inv_F,16))*12)*MAX(0,MIN((P_Inicio+119),INDEX(Inv_SvcP,16)+N(INDEX(Inv_F,16))*12-1,Fin)-MAX((P_Inicio+108),INDEX(Inv_SvcP,16))+1)),IF(N(INDEX(Inv_F,16))=0,0,N(INDEX(Inv_BaseV,16))/(N(INDEX(Inv_F,16))*12)*MAX(0,MIN((V_Inicio+119),INDEX(Inv_SvcV,16)+N(INDEX(Inv_F,16))*12-1,Fin)-MAX((V_Inicio+108),INDEX(Inv_SvcV,16))+1)))</f>
        <v>0</v>
      </c>
      <c r="O23" s="54" t="n">
        <f aca="false">SUM(D23:N23)</f>
        <v>0</v>
      </c>
    </row>
    <row r="24" customFormat="false" ht="15" hidden="true" customHeight="false" outlineLevel="1" collapsed="false">
      <c r="A24" s="11" t="s">
        <v>2892</v>
      </c>
      <c r="B24" s="53" t="str">
        <f aca="false">IF(Inversion!$B$22="","Ítem 17",Inversion!$B$22&amp;" — USD "&amp;FIXED(IF(cu_P=1,N(Inversion!$D$22),N(Inversion!$U$22)),0)&amp;" — "&amp;N(Inversion!$F$22)&amp;" años")</f>
        <v>Ítem 17</v>
      </c>
      <c r="C24" s="11" t="str">
        <f aca="false">IF(Inversion!$C$22="","",Inversion!$C$22)</f>
        <v/>
      </c>
      <c r="D24" s="48" t="n">
        <f aca="false">IF(cu_P=1,IF(N(INDEX(Inv_F,17))=0,0,N(INDEX(Inv_D,17))/(N(INDEX(Inv_F,17))*12)*MAX(0,MIN((P_Inicio-1),INDEX(Inv_SvcP,17)+N(INDEX(Inv_F,17))*12-1,Fin)-MAX(1,INDEX(Inv_SvcP,17))+1)),IF(N(INDEX(Inv_F,17))=0,0,N(INDEX(Inv_BaseV,17))/(N(INDEX(Inv_F,17))*12)*MAX(0,MIN((V_Inicio-1),INDEX(Inv_SvcV,17)+N(INDEX(Inv_F,17))*12-1,Fin)-MAX(1,INDEX(Inv_SvcV,17))+1)))</f>
        <v>0</v>
      </c>
      <c r="E24" s="48" t="n">
        <f aca="false">IF(cu_P=1,IF(N(INDEX(Inv_F,17))=0,0,N(INDEX(Inv_D,17))/(N(INDEX(Inv_F,17))*12)*MAX(0,MIN((P_Inicio+11),INDEX(Inv_SvcP,17)+N(INDEX(Inv_F,17))*12-1,Fin)-MAX((P_Inicio+0),INDEX(Inv_SvcP,17))+1)),IF(N(INDEX(Inv_F,17))=0,0,N(INDEX(Inv_BaseV,17))/(N(INDEX(Inv_F,17))*12)*MAX(0,MIN((V_Inicio+11),INDEX(Inv_SvcV,17)+N(INDEX(Inv_F,17))*12-1,Fin)-MAX((V_Inicio+0),INDEX(Inv_SvcV,17))+1)))</f>
        <v>0</v>
      </c>
      <c r="F24" s="48" t="n">
        <f aca="false">IF(cu_P=1,IF(N(INDEX(Inv_F,17))=0,0,N(INDEX(Inv_D,17))/(N(INDEX(Inv_F,17))*12)*MAX(0,MIN((P_Inicio+23),INDEX(Inv_SvcP,17)+N(INDEX(Inv_F,17))*12-1,Fin)-MAX((P_Inicio+12),INDEX(Inv_SvcP,17))+1)),IF(N(INDEX(Inv_F,17))=0,0,N(INDEX(Inv_BaseV,17))/(N(INDEX(Inv_F,17))*12)*MAX(0,MIN((V_Inicio+23),INDEX(Inv_SvcV,17)+N(INDEX(Inv_F,17))*12-1,Fin)-MAX((V_Inicio+12),INDEX(Inv_SvcV,17))+1)))</f>
        <v>0</v>
      </c>
      <c r="G24" s="48" t="n">
        <f aca="false">IF(cu_P=1,IF(N(INDEX(Inv_F,17))=0,0,N(INDEX(Inv_D,17))/(N(INDEX(Inv_F,17))*12)*MAX(0,MIN((P_Inicio+35),INDEX(Inv_SvcP,17)+N(INDEX(Inv_F,17))*12-1,Fin)-MAX((P_Inicio+24),INDEX(Inv_SvcP,17))+1)),IF(N(INDEX(Inv_F,17))=0,0,N(INDEX(Inv_BaseV,17))/(N(INDEX(Inv_F,17))*12)*MAX(0,MIN((V_Inicio+35),INDEX(Inv_SvcV,17)+N(INDEX(Inv_F,17))*12-1,Fin)-MAX((V_Inicio+24),INDEX(Inv_SvcV,17))+1)))</f>
        <v>0</v>
      </c>
      <c r="H24" s="48" t="n">
        <f aca="false">IF(cu_P=1,IF(N(INDEX(Inv_F,17))=0,0,N(INDEX(Inv_D,17))/(N(INDEX(Inv_F,17))*12)*MAX(0,MIN((P_Inicio+47),INDEX(Inv_SvcP,17)+N(INDEX(Inv_F,17))*12-1,Fin)-MAX((P_Inicio+36),INDEX(Inv_SvcP,17))+1)),IF(N(INDEX(Inv_F,17))=0,0,N(INDEX(Inv_BaseV,17))/(N(INDEX(Inv_F,17))*12)*MAX(0,MIN((V_Inicio+47),INDEX(Inv_SvcV,17)+N(INDEX(Inv_F,17))*12-1,Fin)-MAX((V_Inicio+36),INDEX(Inv_SvcV,17))+1)))</f>
        <v>0</v>
      </c>
      <c r="I24" s="48" t="n">
        <f aca="false">IF(cu_P=1,IF(N(INDEX(Inv_F,17))=0,0,N(INDEX(Inv_D,17))/(N(INDEX(Inv_F,17))*12)*MAX(0,MIN((P_Inicio+59),INDEX(Inv_SvcP,17)+N(INDEX(Inv_F,17))*12-1,Fin)-MAX((P_Inicio+48),INDEX(Inv_SvcP,17))+1)),IF(N(INDEX(Inv_F,17))=0,0,N(INDEX(Inv_BaseV,17))/(N(INDEX(Inv_F,17))*12)*MAX(0,MIN((V_Inicio+59),INDEX(Inv_SvcV,17)+N(INDEX(Inv_F,17))*12-1,Fin)-MAX((V_Inicio+48),INDEX(Inv_SvcV,17))+1)))</f>
        <v>0</v>
      </c>
      <c r="J24" s="48" t="n">
        <f aca="false">IF(cu_P=1,IF(N(INDEX(Inv_F,17))=0,0,N(INDEX(Inv_D,17))/(N(INDEX(Inv_F,17))*12)*MAX(0,MIN((P_Inicio+71),INDEX(Inv_SvcP,17)+N(INDEX(Inv_F,17))*12-1,Fin)-MAX((P_Inicio+60),INDEX(Inv_SvcP,17))+1)),IF(N(INDEX(Inv_F,17))=0,0,N(INDEX(Inv_BaseV,17))/(N(INDEX(Inv_F,17))*12)*MAX(0,MIN((V_Inicio+71),INDEX(Inv_SvcV,17)+N(INDEX(Inv_F,17))*12-1,Fin)-MAX((V_Inicio+60),INDEX(Inv_SvcV,17))+1)))</f>
        <v>0</v>
      </c>
      <c r="K24" s="48" t="n">
        <f aca="false">IF(cu_P=1,IF(N(INDEX(Inv_F,17))=0,0,N(INDEX(Inv_D,17))/(N(INDEX(Inv_F,17))*12)*MAX(0,MIN((P_Inicio+83),INDEX(Inv_SvcP,17)+N(INDEX(Inv_F,17))*12-1,Fin)-MAX((P_Inicio+72),INDEX(Inv_SvcP,17))+1)),IF(N(INDEX(Inv_F,17))=0,0,N(INDEX(Inv_BaseV,17))/(N(INDEX(Inv_F,17))*12)*MAX(0,MIN((V_Inicio+83),INDEX(Inv_SvcV,17)+N(INDEX(Inv_F,17))*12-1,Fin)-MAX((V_Inicio+72),INDEX(Inv_SvcV,17))+1)))</f>
        <v>0</v>
      </c>
      <c r="L24" s="48" t="n">
        <f aca="false">IF(cu_P=1,IF(N(INDEX(Inv_F,17))=0,0,N(INDEX(Inv_D,17))/(N(INDEX(Inv_F,17))*12)*MAX(0,MIN((P_Inicio+95),INDEX(Inv_SvcP,17)+N(INDEX(Inv_F,17))*12-1,Fin)-MAX((P_Inicio+84),INDEX(Inv_SvcP,17))+1)),IF(N(INDEX(Inv_F,17))=0,0,N(INDEX(Inv_BaseV,17))/(N(INDEX(Inv_F,17))*12)*MAX(0,MIN((V_Inicio+95),INDEX(Inv_SvcV,17)+N(INDEX(Inv_F,17))*12-1,Fin)-MAX((V_Inicio+84),INDEX(Inv_SvcV,17))+1)))</f>
        <v>0</v>
      </c>
      <c r="M24" s="48" t="n">
        <f aca="false">IF(cu_P=1,IF(N(INDEX(Inv_F,17))=0,0,N(INDEX(Inv_D,17))/(N(INDEX(Inv_F,17))*12)*MAX(0,MIN((P_Inicio+107),INDEX(Inv_SvcP,17)+N(INDEX(Inv_F,17))*12-1,Fin)-MAX((P_Inicio+96),INDEX(Inv_SvcP,17))+1)),IF(N(INDEX(Inv_F,17))=0,0,N(INDEX(Inv_BaseV,17))/(N(INDEX(Inv_F,17))*12)*MAX(0,MIN((V_Inicio+107),INDEX(Inv_SvcV,17)+N(INDEX(Inv_F,17))*12-1,Fin)-MAX((V_Inicio+96),INDEX(Inv_SvcV,17))+1)))</f>
        <v>0</v>
      </c>
      <c r="N24" s="48" t="n">
        <f aca="false">IF(cu_P=1,IF(N(INDEX(Inv_F,17))=0,0,N(INDEX(Inv_D,17))/(N(INDEX(Inv_F,17))*12)*MAX(0,MIN((P_Inicio+119),INDEX(Inv_SvcP,17)+N(INDEX(Inv_F,17))*12-1,Fin)-MAX((P_Inicio+108),INDEX(Inv_SvcP,17))+1)),IF(N(INDEX(Inv_F,17))=0,0,N(INDEX(Inv_BaseV,17))/(N(INDEX(Inv_F,17))*12)*MAX(0,MIN((V_Inicio+119),INDEX(Inv_SvcV,17)+N(INDEX(Inv_F,17))*12-1,Fin)-MAX((V_Inicio+108),INDEX(Inv_SvcV,17))+1)))</f>
        <v>0</v>
      </c>
      <c r="O24" s="54" t="n">
        <f aca="false">SUM(D24:N24)</f>
        <v>0</v>
      </c>
    </row>
    <row r="25" customFormat="false" ht="15" hidden="true" customHeight="false" outlineLevel="1" collapsed="false">
      <c r="A25" s="11" t="s">
        <v>2893</v>
      </c>
      <c r="B25" s="53" t="str">
        <f aca="false">IF(Inversion!$B$23="","Ítem 18",Inversion!$B$23&amp;" — USD "&amp;FIXED(IF(cu_P=1,N(Inversion!$D$23),N(Inversion!$U$23)),0)&amp;" — "&amp;N(Inversion!$F$23)&amp;" años")</f>
        <v>Ítem 18</v>
      </c>
      <c r="C25" s="11" t="str">
        <f aca="false">IF(Inversion!$C$23="","",Inversion!$C$23)</f>
        <v/>
      </c>
      <c r="D25" s="48" t="n">
        <f aca="false">IF(cu_P=1,IF(N(INDEX(Inv_F,18))=0,0,N(INDEX(Inv_D,18))/(N(INDEX(Inv_F,18))*12)*MAX(0,MIN((P_Inicio-1),INDEX(Inv_SvcP,18)+N(INDEX(Inv_F,18))*12-1,Fin)-MAX(1,INDEX(Inv_SvcP,18))+1)),IF(N(INDEX(Inv_F,18))=0,0,N(INDEX(Inv_BaseV,18))/(N(INDEX(Inv_F,18))*12)*MAX(0,MIN((V_Inicio-1),INDEX(Inv_SvcV,18)+N(INDEX(Inv_F,18))*12-1,Fin)-MAX(1,INDEX(Inv_SvcV,18))+1)))</f>
        <v>0</v>
      </c>
      <c r="E25" s="48" t="n">
        <f aca="false">IF(cu_P=1,IF(N(INDEX(Inv_F,18))=0,0,N(INDEX(Inv_D,18))/(N(INDEX(Inv_F,18))*12)*MAX(0,MIN((P_Inicio+11),INDEX(Inv_SvcP,18)+N(INDEX(Inv_F,18))*12-1,Fin)-MAX((P_Inicio+0),INDEX(Inv_SvcP,18))+1)),IF(N(INDEX(Inv_F,18))=0,0,N(INDEX(Inv_BaseV,18))/(N(INDEX(Inv_F,18))*12)*MAX(0,MIN((V_Inicio+11),INDEX(Inv_SvcV,18)+N(INDEX(Inv_F,18))*12-1,Fin)-MAX((V_Inicio+0),INDEX(Inv_SvcV,18))+1)))</f>
        <v>0</v>
      </c>
      <c r="F25" s="48" t="n">
        <f aca="false">IF(cu_P=1,IF(N(INDEX(Inv_F,18))=0,0,N(INDEX(Inv_D,18))/(N(INDEX(Inv_F,18))*12)*MAX(0,MIN((P_Inicio+23),INDEX(Inv_SvcP,18)+N(INDEX(Inv_F,18))*12-1,Fin)-MAX((P_Inicio+12),INDEX(Inv_SvcP,18))+1)),IF(N(INDEX(Inv_F,18))=0,0,N(INDEX(Inv_BaseV,18))/(N(INDEX(Inv_F,18))*12)*MAX(0,MIN((V_Inicio+23),INDEX(Inv_SvcV,18)+N(INDEX(Inv_F,18))*12-1,Fin)-MAX((V_Inicio+12),INDEX(Inv_SvcV,18))+1)))</f>
        <v>0</v>
      </c>
      <c r="G25" s="48" t="n">
        <f aca="false">IF(cu_P=1,IF(N(INDEX(Inv_F,18))=0,0,N(INDEX(Inv_D,18))/(N(INDEX(Inv_F,18))*12)*MAX(0,MIN((P_Inicio+35),INDEX(Inv_SvcP,18)+N(INDEX(Inv_F,18))*12-1,Fin)-MAX((P_Inicio+24),INDEX(Inv_SvcP,18))+1)),IF(N(INDEX(Inv_F,18))=0,0,N(INDEX(Inv_BaseV,18))/(N(INDEX(Inv_F,18))*12)*MAX(0,MIN((V_Inicio+35),INDEX(Inv_SvcV,18)+N(INDEX(Inv_F,18))*12-1,Fin)-MAX((V_Inicio+24),INDEX(Inv_SvcV,18))+1)))</f>
        <v>0</v>
      </c>
      <c r="H25" s="48" t="n">
        <f aca="false">IF(cu_P=1,IF(N(INDEX(Inv_F,18))=0,0,N(INDEX(Inv_D,18))/(N(INDEX(Inv_F,18))*12)*MAX(0,MIN((P_Inicio+47),INDEX(Inv_SvcP,18)+N(INDEX(Inv_F,18))*12-1,Fin)-MAX((P_Inicio+36),INDEX(Inv_SvcP,18))+1)),IF(N(INDEX(Inv_F,18))=0,0,N(INDEX(Inv_BaseV,18))/(N(INDEX(Inv_F,18))*12)*MAX(0,MIN((V_Inicio+47),INDEX(Inv_SvcV,18)+N(INDEX(Inv_F,18))*12-1,Fin)-MAX((V_Inicio+36),INDEX(Inv_SvcV,18))+1)))</f>
        <v>0</v>
      </c>
      <c r="I25" s="48" t="n">
        <f aca="false">IF(cu_P=1,IF(N(INDEX(Inv_F,18))=0,0,N(INDEX(Inv_D,18))/(N(INDEX(Inv_F,18))*12)*MAX(0,MIN((P_Inicio+59),INDEX(Inv_SvcP,18)+N(INDEX(Inv_F,18))*12-1,Fin)-MAX((P_Inicio+48),INDEX(Inv_SvcP,18))+1)),IF(N(INDEX(Inv_F,18))=0,0,N(INDEX(Inv_BaseV,18))/(N(INDEX(Inv_F,18))*12)*MAX(0,MIN((V_Inicio+59),INDEX(Inv_SvcV,18)+N(INDEX(Inv_F,18))*12-1,Fin)-MAX((V_Inicio+48),INDEX(Inv_SvcV,18))+1)))</f>
        <v>0</v>
      </c>
      <c r="J25" s="48" t="n">
        <f aca="false">IF(cu_P=1,IF(N(INDEX(Inv_F,18))=0,0,N(INDEX(Inv_D,18))/(N(INDEX(Inv_F,18))*12)*MAX(0,MIN((P_Inicio+71),INDEX(Inv_SvcP,18)+N(INDEX(Inv_F,18))*12-1,Fin)-MAX((P_Inicio+60),INDEX(Inv_SvcP,18))+1)),IF(N(INDEX(Inv_F,18))=0,0,N(INDEX(Inv_BaseV,18))/(N(INDEX(Inv_F,18))*12)*MAX(0,MIN((V_Inicio+71),INDEX(Inv_SvcV,18)+N(INDEX(Inv_F,18))*12-1,Fin)-MAX((V_Inicio+60),INDEX(Inv_SvcV,18))+1)))</f>
        <v>0</v>
      </c>
      <c r="K25" s="48" t="n">
        <f aca="false">IF(cu_P=1,IF(N(INDEX(Inv_F,18))=0,0,N(INDEX(Inv_D,18))/(N(INDEX(Inv_F,18))*12)*MAX(0,MIN((P_Inicio+83),INDEX(Inv_SvcP,18)+N(INDEX(Inv_F,18))*12-1,Fin)-MAX((P_Inicio+72),INDEX(Inv_SvcP,18))+1)),IF(N(INDEX(Inv_F,18))=0,0,N(INDEX(Inv_BaseV,18))/(N(INDEX(Inv_F,18))*12)*MAX(0,MIN((V_Inicio+83),INDEX(Inv_SvcV,18)+N(INDEX(Inv_F,18))*12-1,Fin)-MAX((V_Inicio+72),INDEX(Inv_SvcV,18))+1)))</f>
        <v>0</v>
      </c>
      <c r="L25" s="48" t="n">
        <f aca="false">IF(cu_P=1,IF(N(INDEX(Inv_F,18))=0,0,N(INDEX(Inv_D,18))/(N(INDEX(Inv_F,18))*12)*MAX(0,MIN((P_Inicio+95),INDEX(Inv_SvcP,18)+N(INDEX(Inv_F,18))*12-1,Fin)-MAX((P_Inicio+84),INDEX(Inv_SvcP,18))+1)),IF(N(INDEX(Inv_F,18))=0,0,N(INDEX(Inv_BaseV,18))/(N(INDEX(Inv_F,18))*12)*MAX(0,MIN((V_Inicio+95),INDEX(Inv_SvcV,18)+N(INDEX(Inv_F,18))*12-1,Fin)-MAX((V_Inicio+84),INDEX(Inv_SvcV,18))+1)))</f>
        <v>0</v>
      </c>
      <c r="M25" s="48" t="n">
        <f aca="false">IF(cu_P=1,IF(N(INDEX(Inv_F,18))=0,0,N(INDEX(Inv_D,18))/(N(INDEX(Inv_F,18))*12)*MAX(0,MIN((P_Inicio+107),INDEX(Inv_SvcP,18)+N(INDEX(Inv_F,18))*12-1,Fin)-MAX((P_Inicio+96),INDEX(Inv_SvcP,18))+1)),IF(N(INDEX(Inv_F,18))=0,0,N(INDEX(Inv_BaseV,18))/(N(INDEX(Inv_F,18))*12)*MAX(0,MIN((V_Inicio+107),INDEX(Inv_SvcV,18)+N(INDEX(Inv_F,18))*12-1,Fin)-MAX((V_Inicio+96),INDEX(Inv_SvcV,18))+1)))</f>
        <v>0</v>
      </c>
      <c r="N25" s="48" t="n">
        <f aca="false">IF(cu_P=1,IF(N(INDEX(Inv_F,18))=0,0,N(INDEX(Inv_D,18))/(N(INDEX(Inv_F,18))*12)*MAX(0,MIN((P_Inicio+119),INDEX(Inv_SvcP,18)+N(INDEX(Inv_F,18))*12-1,Fin)-MAX((P_Inicio+108),INDEX(Inv_SvcP,18))+1)),IF(N(INDEX(Inv_F,18))=0,0,N(INDEX(Inv_BaseV,18))/(N(INDEX(Inv_F,18))*12)*MAX(0,MIN((V_Inicio+119),INDEX(Inv_SvcV,18)+N(INDEX(Inv_F,18))*12-1,Fin)-MAX((V_Inicio+108),INDEX(Inv_SvcV,18))+1)))</f>
        <v>0</v>
      </c>
      <c r="O25" s="54" t="n">
        <f aca="false">SUM(D25:N25)</f>
        <v>0</v>
      </c>
    </row>
    <row r="26" customFormat="false" ht="15" hidden="true" customHeight="false" outlineLevel="1" collapsed="false">
      <c r="A26" s="11" t="s">
        <v>2894</v>
      </c>
      <c r="B26" s="53" t="str">
        <f aca="false">IF(Inversion!$B$24="","Ítem 19",Inversion!$B$24&amp;" — USD "&amp;FIXED(IF(cu_P=1,N(Inversion!$D$24),N(Inversion!$U$24)),0)&amp;" — "&amp;N(Inversion!$F$24)&amp;" años")</f>
        <v>Ítem 19</v>
      </c>
      <c r="C26" s="11" t="str">
        <f aca="false">IF(Inversion!$C$24="","",Inversion!$C$24)</f>
        <v/>
      </c>
      <c r="D26" s="48" t="n">
        <f aca="false">IF(cu_P=1,IF(N(INDEX(Inv_F,19))=0,0,N(INDEX(Inv_D,19))/(N(INDEX(Inv_F,19))*12)*MAX(0,MIN((P_Inicio-1),INDEX(Inv_SvcP,19)+N(INDEX(Inv_F,19))*12-1,Fin)-MAX(1,INDEX(Inv_SvcP,19))+1)),IF(N(INDEX(Inv_F,19))=0,0,N(INDEX(Inv_BaseV,19))/(N(INDEX(Inv_F,19))*12)*MAX(0,MIN((V_Inicio-1),INDEX(Inv_SvcV,19)+N(INDEX(Inv_F,19))*12-1,Fin)-MAX(1,INDEX(Inv_SvcV,19))+1)))</f>
        <v>0</v>
      </c>
      <c r="E26" s="48" t="n">
        <f aca="false">IF(cu_P=1,IF(N(INDEX(Inv_F,19))=0,0,N(INDEX(Inv_D,19))/(N(INDEX(Inv_F,19))*12)*MAX(0,MIN((P_Inicio+11),INDEX(Inv_SvcP,19)+N(INDEX(Inv_F,19))*12-1,Fin)-MAX((P_Inicio+0),INDEX(Inv_SvcP,19))+1)),IF(N(INDEX(Inv_F,19))=0,0,N(INDEX(Inv_BaseV,19))/(N(INDEX(Inv_F,19))*12)*MAX(0,MIN((V_Inicio+11),INDEX(Inv_SvcV,19)+N(INDEX(Inv_F,19))*12-1,Fin)-MAX((V_Inicio+0),INDEX(Inv_SvcV,19))+1)))</f>
        <v>0</v>
      </c>
      <c r="F26" s="48" t="n">
        <f aca="false">IF(cu_P=1,IF(N(INDEX(Inv_F,19))=0,0,N(INDEX(Inv_D,19))/(N(INDEX(Inv_F,19))*12)*MAX(0,MIN((P_Inicio+23),INDEX(Inv_SvcP,19)+N(INDEX(Inv_F,19))*12-1,Fin)-MAX((P_Inicio+12),INDEX(Inv_SvcP,19))+1)),IF(N(INDEX(Inv_F,19))=0,0,N(INDEX(Inv_BaseV,19))/(N(INDEX(Inv_F,19))*12)*MAX(0,MIN((V_Inicio+23),INDEX(Inv_SvcV,19)+N(INDEX(Inv_F,19))*12-1,Fin)-MAX((V_Inicio+12),INDEX(Inv_SvcV,19))+1)))</f>
        <v>0</v>
      </c>
      <c r="G26" s="48" t="n">
        <f aca="false">IF(cu_P=1,IF(N(INDEX(Inv_F,19))=0,0,N(INDEX(Inv_D,19))/(N(INDEX(Inv_F,19))*12)*MAX(0,MIN((P_Inicio+35),INDEX(Inv_SvcP,19)+N(INDEX(Inv_F,19))*12-1,Fin)-MAX((P_Inicio+24),INDEX(Inv_SvcP,19))+1)),IF(N(INDEX(Inv_F,19))=0,0,N(INDEX(Inv_BaseV,19))/(N(INDEX(Inv_F,19))*12)*MAX(0,MIN((V_Inicio+35),INDEX(Inv_SvcV,19)+N(INDEX(Inv_F,19))*12-1,Fin)-MAX((V_Inicio+24),INDEX(Inv_SvcV,19))+1)))</f>
        <v>0</v>
      </c>
      <c r="H26" s="48" t="n">
        <f aca="false">IF(cu_P=1,IF(N(INDEX(Inv_F,19))=0,0,N(INDEX(Inv_D,19))/(N(INDEX(Inv_F,19))*12)*MAX(0,MIN((P_Inicio+47),INDEX(Inv_SvcP,19)+N(INDEX(Inv_F,19))*12-1,Fin)-MAX((P_Inicio+36),INDEX(Inv_SvcP,19))+1)),IF(N(INDEX(Inv_F,19))=0,0,N(INDEX(Inv_BaseV,19))/(N(INDEX(Inv_F,19))*12)*MAX(0,MIN((V_Inicio+47),INDEX(Inv_SvcV,19)+N(INDEX(Inv_F,19))*12-1,Fin)-MAX((V_Inicio+36),INDEX(Inv_SvcV,19))+1)))</f>
        <v>0</v>
      </c>
      <c r="I26" s="48" t="n">
        <f aca="false">IF(cu_P=1,IF(N(INDEX(Inv_F,19))=0,0,N(INDEX(Inv_D,19))/(N(INDEX(Inv_F,19))*12)*MAX(0,MIN((P_Inicio+59),INDEX(Inv_SvcP,19)+N(INDEX(Inv_F,19))*12-1,Fin)-MAX((P_Inicio+48),INDEX(Inv_SvcP,19))+1)),IF(N(INDEX(Inv_F,19))=0,0,N(INDEX(Inv_BaseV,19))/(N(INDEX(Inv_F,19))*12)*MAX(0,MIN((V_Inicio+59),INDEX(Inv_SvcV,19)+N(INDEX(Inv_F,19))*12-1,Fin)-MAX((V_Inicio+48),INDEX(Inv_SvcV,19))+1)))</f>
        <v>0</v>
      </c>
      <c r="J26" s="48" t="n">
        <f aca="false">IF(cu_P=1,IF(N(INDEX(Inv_F,19))=0,0,N(INDEX(Inv_D,19))/(N(INDEX(Inv_F,19))*12)*MAX(0,MIN((P_Inicio+71),INDEX(Inv_SvcP,19)+N(INDEX(Inv_F,19))*12-1,Fin)-MAX((P_Inicio+60),INDEX(Inv_SvcP,19))+1)),IF(N(INDEX(Inv_F,19))=0,0,N(INDEX(Inv_BaseV,19))/(N(INDEX(Inv_F,19))*12)*MAX(0,MIN((V_Inicio+71),INDEX(Inv_SvcV,19)+N(INDEX(Inv_F,19))*12-1,Fin)-MAX((V_Inicio+60),INDEX(Inv_SvcV,19))+1)))</f>
        <v>0</v>
      </c>
      <c r="K26" s="48" t="n">
        <f aca="false">IF(cu_P=1,IF(N(INDEX(Inv_F,19))=0,0,N(INDEX(Inv_D,19))/(N(INDEX(Inv_F,19))*12)*MAX(0,MIN((P_Inicio+83),INDEX(Inv_SvcP,19)+N(INDEX(Inv_F,19))*12-1,Fin)-MAX((P_Inicio+72),INDEX(Inv_SvcP,19))+1)),IF(N(INDEX(Inv_F,19))=0,0,N(INDEX(Inv_BaseV,19))/(N(INDEX(Inv_F,19))*12)*MAX(0,MIN((V_Inicio+83),INDEX(Inv_SvcV,19)+N(INDEX(Inv_F,19))*12-1,Fin)-MAX((V_Inicio+72),INDEX(Inv_SvcV,19))+1)))</f>
        <v>0</v>
      </c>
      <c r="L26" s="48" t="n">
        <f aca="false">IF(cu_P=1,IF(N(INDEX(Inv_F,19))=0,0,N(INDEX(Inv_D,19))/(N(INDEX(Inv_F,19))*12)*MAX(0,MIN((P_Inicio+95),INDEX(Inv_SvcP,19)+N(INDEX(Inv_F,19))*12-1,Fin)-MAX((P_Inicio+84),INDEX(Inv_SvcP,19))+1)),IF(N(INDEX(Inv_F,19))=0,0,N(INDEX(Inv_BaseV,19))/(N(INDEX(Inv_F,19))*12)*MAX(0,MIN((V_Inicio+95),INDEX(Inv_SvcV,19)+N(INDEX(Inv_F,19))*12-1,Fin)-MAX((V_Inicio+84),INDEX(Inv_SvcV,19))+1)))</f>
        <v>0</v>
      </c>
      <c r="M26" s="48" t="n">
        <f aca="false">IF(cu_P=1,IF(N(INDEX(Inv_F,19))=0,0,N(INDEX(Inv_D,19))/(N(INDEX(Inv_F,19))*12)*MAX(0,MIN((P_Inicio+107),INDEX(Inv_SvcP,19)+N(INDEX(Inv_F,19))*12-1,Fin)-MAX((P_Inicio+96),INDEX(Inv_SvcP,19))+1)),IF(N(INDEX(Inv_F,19))=0,0,N(INDEX(Inv_BaseV,19))/(N(INDEX(Inv_F,19))*12)*MAX(0,MIN((V_Inicio+107),INDEX(Inv_SvcV,19)+N(INDEX(Inv_F,19))*12-1,Fin)-MAX((V_Inicio+96),INDEX(Inv_SvcV,19))+1)))</f>
        <v>0</v>
      </c>
      <c r="N26" s="48" t="n">
        <f aca="false">IF(cu_P=1,IF(N(INDEX(Inv_F,19))=0,0,N(INDEX(Inv_D,19))/(N(INDEX(Inv_F,19))*12)*MAX(0,MIN((P_Inicio+119),INDEX(Inv_SvcP,19)+N(INDEX(Inv_F,19))*12-1,Fin)-MAX((P_Inicio+108),INDEX(Inv_SvcP,19))+1)),IF(N(INDEX(Inv_F,19))=0,0,N(INDEX(Inv_BaseV,19))/(N(INDEX(Inv_F,19))*12)*MAX(0,MIN((V_Inicio+119),INDEX(Inv_SvcV,19)+N(INDEX(Inv_F,19))*12-1,Fin)-MAX((V_Inicio+108),INDEX(Inv_SvcV,19))+1)))</f>
        <v>0</v>
      </c>
      <c r="O26" s="54" t="n">
        <f aca="false">SUM(D26:N26)</f>
        <v>0</v>
      </c>
    </row>
    <row r="27" customFormat="false" ht="15" hidden="true" customHeight="false" outlineLevel="1" collapsed="false">
      <c r="A27" s="11" t="s">
        <v>2895</v>
      </c>
      <c r="B27" s="53" t="str">
        <f aca="false">IF(Inversion!$B$25="","Ítem 20",Inversion!$B$25&amp;" — USD "&amp;FIXED(IF(cu_P=1,N(Inversion!$D$25),N(Inversion!$U$25)),0)&amp;" — "&amp;N(Inversion!$F$25)&amp;" años")</f>
        <v>Ítem 20</v>
      </c>
      <c r="C27" s="11" t="str">
        <f aca="false">IF(Inversion!$C$25="","",Inversion!$C$25)</f>
        <v/>
      </c>
      <c r="D27" s="48" t="n">
        <f aca="false">IF(cu_P=1,IF(N(INDEX(Inv_F,20))=0,0,N(INDEX(Inv_D,20))/(N(INDEX(Inv_F,20))*12)*MAX(0,MIN((P_Inicio-1),INDEX(Inv_SvcP,20)+N(INDEX(Inv_F,20))*12-1,Fin)-MAX(1,INDEX(Inv_SvcP,20))+1)),IF(N(INDEX(Inv_F,20))=0,0,N(INDEX(Inv_BaseV,20))/(N(INDEX(Inv_F,20))*12)*MAX(0,MIN((V_Inicio-1),INDEX(Inv_SvcV,20)+N(INDEX(Inv_F,20))*12-1,Fin)-MAX(1,INDEX(Inv_SvcV,20))+1)))</f>
        <v>0</v>
      </c>
      <c r="E27" s="48" t="n">
        <f aca="false">IF(cu_P=1,IF(N(INDEX(Inv_F,20))=0,0,N(INDEX(Inv_D,20))/(N(INDEX(Inv_F,20))*12)*MAX(0,MIN((P_Inicio+11),INDEX(Inv_SvcP,20)+N(INDEX(Inv_F,20))*12-1,Fin)-MAX((P_Inicio+0),INDEX(Inv_SvcP,20))+1)),IF(N(INDEX(Inv_F,20))=0,0,N(INDEX(Inv_BaseV,20))/(N(INDEX(Inv_F,20))*12)*MAX(0,MIN((V_Inicio+11),INDEX(Inv_SvcV,20)+N(INDEX(Inv_F,20))*12-1,Fin)-MAX((V_Inicio+0),INDEX(Inv_SvcV,20))+1)))</f>
        <v>0</v>
      </c>
      <c r="F27" s="48" t="n">
        <f aca="false">IF(cu_P=1,IF(N(INDEX(Inv_F,20))=0,0,N(INDEX(Inv_D,20))/(N(INDEX(Inv_F,20))*12)*MAX(0,MIN((P_Inicio+23),INDEX(Inv_SvcP,20)+N(INDEX(Inv_F,20))*12-1,Fin)-MAX((P_Inicio+12),INDEX(Inv_SvcP,20))+1)),IF(N(INDEX(Inv_F,20))=0,0,N(INDEX(Inv_BaseV,20))/(N(INDEX(Inv_F,20))*12)*MAX(0,MIN((V_Inicio+23),INDEX(Inv_SvcV,20)+N(INDEX(Inv_F,20))*12-1,Fin)-MAX((V_Inicio+12),INDEX(Inv_SvcV,20))+1)))</f>
        <v>0</v>
      </c>
      <c r="G27" s="48" t="n">
        <f aca="false">IF(cu_P=1,IF(N(INDEX(Inv_F,20))=0,0,N(INDEX(Inv_D,20))/(N(INDEX(Inv_F,20))*12)*MAX(0,MIN((P_Inicio+35),INDEX(Inv_SvcP,20)+N(INDEX(Inv_F,20))*12-1,Fin)-MAX((P_Inicio+24),INDEX(Inv_SvcP,20))+1)),IF(N(INDEX(Inv_F,20))=0,0,N(INDEX(Inv_BaseV,20))/(N(INDEX(Inv_F,20))*12)*MAX(0,MIN((V_Inicio+35),INDEX(Inv_SvcV,20)+N(INDEX(Inv_F,20))*12-1,Fin)-MAX((V_Inicio+24),INDEX(Inv_SvcV,20))+1)))</f>
        <v>0</v>
      </c>
      <c r="H27" s="48" t="n">
        <f aca="false">IF(cu_P=1,IF(N(INDEX(Inv_F,20))=0,0,N(INDEX(Inv_D,20))/(N(INDEX(Inv_F,20))*12)*MAX(0,MIN((P_Inicio+47),INDEX(Inv_SvcP,20)+N(INDEX(Inv_F,20))*12-1,Fin)-MAX((P_Inicio+36),INDEX(Inv_SvcP,20))+1)),IF(N(INDEX(Inv_F,20))=0,0,N(INDEX(Inv_BaseV,20))/(N(INDEX(Inv_F,20))*12)*MAX(0,MIN((V_Inicio+47),INDEX(Inv_SvcV,20)+N(INDEX(Inv_F,20))*12-1,Fin)-MAX((V_Inicio+36),INDEX(Inv_SvcV,20))+1)))</f>
        <v>0</v>
      </c>
      <c r="I27" s="48" t="n">
        <f aca="false">IF(cu_P=1,IF(N(INDEX(Inv_F,20))=0,0,N(INDEX(Inv_D,20))/(N(INDEX(Inv_F,20))*12)*MAX(0,MIN((P_Inicio+59),INDEX(Inv_SvcP,20)+N(INDEX(Inv_F,20))*12-1,Fin)-MAX((P_Inicio+48),INDEX(Inv_SvcP,20))+1)),IF(N(INDEX(Inv_F,20))=0,0,N(INDEX(Inv_BaseV,20))/(N(INDEX(Inv_F,20))*12)*MAX(0,MIN((V_Inicio+59),INDEX(Inv_SvcV,20)+N(INDEX(Inv_F,20))*12-1,Fin)-MAX((V_Inicio+48),INDEX(Inv_SvcV,20))+1)))</f>
        <v>0</v>
      </c>
      <c r="J27" s="48" t="n">
        <f aca="false">IF(cu_P=1,IF(N(INDEX(Inv_F,20))=0,0,N(INDEX(Inv_D,20))/(N(INDEX(Inv_F,20))*12)*MAX(0,MIN((P_Inicio+71),INDEX(Inv_SvcP,20)+N(INDEX(Inv_F,20))*12-1,Fin)-MAX((P_Inicio+60),INDEX(Inv_SvcP,20))+1)),IF(N(INDEX(Inv_F,20))=0,0,N(INDEX(Inv_BaseV,20))/(N(INDEX(Inv_F,20))*12)*MAX(0,MIN((V_Inicio+71),INDEX(Inv_SvcV,20)+N(INDEX(Inv_F,20))*12-1,Fin)-MAX((V_Inicio+60),INDEX(Inv_SvcV,20))+1)))</f>
        <v>0</v>
      </c>
      <c r="K27" s="48" t="n">
        <f aca="false">IF(cu_P=1,IF(N(INDEX(Inv_F,20))=0,0,N(INDEX(Inv_D,20))/(N(INDEX(Inv_F,20))*12)*MAX(0,MIN((P_Inicio+83),INDEX(Inv_SvcP,20)+N(INDEX(Inv_F,20))*12-1,Fin)-MAX((P_Inicio+72),INDEX(Inv_SvcP,20))+1)),IF(N(INDEX(Inv_F,20))=0,0,N(INDEX(Inv_BaseV,20))/(N(INDEX(Inv_F,20))*12)*MAX(0,MIN((V_Inicio+83),INDEX(Inv_SvcV,20)+N(INDEX(Inv_F,20))*12-1,Fin)-MAX((V_Inicio+72),INDEX(Inv_SvcV,20))+1)))</f>
        <v>0</v>
      </c>
      <c r="L27" s="48" t="n">
        <f aca="false">IF(cu_P=1,IF(N(INDEX(Inv_F,20))=0,0,N(INDEX(Inv_D,20))/(N(INDEX(Inv_F,20))*12)*MAX(0,MIN((P_Inicio+95),INDEX(Inv_SvcP,20)+N(INDEX(Inv_F,20))*12-1,Fin)-MAX((P_Inicio+84),INDEX(Inv_SvcP,20))+1)),IF(N(INDEX(Inv_F,20))=0,0,N(INDEX(Inv_BaseV,20))/(N(INDEX(Inv_F,20))*12)*MAX(0,MIN((V_Inicio+95),INDEX(Inv_SvcV,20)+N(INDEX(Inv_F,20))*12-1,Fin)-MAX((V_Inicio+84),INDEX(Inv_SvcV,20))+1)))</f>
        <v>0</v>
      </c>
      <c r="M27" s="48" t="n">
        <f aca="false">IF(cu_P=1,IF(N(INDEX(Inv_F,20))=0,0,N(INDEX(Inv_D,20))/(N(INDEX(Inv_F,20))*12)*MAX(0,MIN((P_Inicio+107),INDEX(Inv_SvcP,20)+N(INDEX(Inv_F,20))*12-1,Fin)-MAX((P_Inicio+96),INDEX(Inv_SvcP,20))+1)),IF(N(INDEX(Inv_F,20))=0,0,N(INDEX(Inv_BaseV,20))/(N(INDEX(Inv_F,20))*12)*MAX(0,MIN((V_Inicio+107),INDEX(Inv_SvcV,20)+N(INDEX(Inv_F,20))*12-1,Fin)-MAX((V_Inicio+96),INDEX(Inv_SvcV,20))+1)))</f>
        <v>0</v>
      </c>
      <c r="N27" s="48" t="n">
        <f aca="false">IF(cu_P=1,IF(N(INDEX(Inv_F,20))=0,0,N(INDEX(Inv_D,20))/(N(INDEX(Inv_F,20))*12)*MAX(0,MIN((P_Inicio+119),INDEX(Inv_SvcP,20)+N(INDEX(Inv_F,20))*12-1,Fin)-MAX((P_Inicio+108),INDEX(Inv_SvcP,20))+1)),IF(N(INDEX(Inv_F,20))=0,0,N(INDEX(Inv_BaseV,20))/(N(INDEX(Inv_F,20))*12)*MAX(0,MIN((V_Inicio+119),INDEX(Inv_SvcV,20)+N(INDEX(Inv_F,20))*12-1,Fin)-MAX((V_Inicio+108),INDEX(Inv_SvcV,20))+1)))</f>
        <v>0</v>
      </c>
      <c r="O27" s="54" t="n">
        <f aca="false">SUM(D27:N27)</f>
        <v>0</v>
      </c>
    </row>
    <row r="28" customFormat="false" ht="15" hidden="false" customHeight="false" outlineLevel="0" collapsed="false">
      <c r="A28" s="13"/>
      <c r="B28" s="100" t="s">
        <v>2896</v>
      </c>
      <c r="C28" s="13"/>
      <c r="D28" s="13"/>
      <c r="E28" s="13"/>
      <c r="F28" s="13"/>
      <c r="G28" s="13"/>
      <c r="H28" s="13"/>
      <c r="I28" s="13"/>
      <c r="J28" s="13"/>
      <c r="K28" s="13"/>
      <c r="L28" s="13"/>
      <c r="M28" s="13"/>
      <c r="N28" s="13"/>
      <c r="O28" s="13"/>
    </row>
    <row r="29" customFormat="false" ht="15" hidden="false" customHeight="false" outlineLevel="0" collapsed="false">
      <c r="A29" s="11" t="s">
        <v>2897</v>
      </c>
      <c r="B29" s="15" t="s">
        <v>2898</v>
      </c>
      <c r="C29" s="11" t="s">
        <v>508</v>
      </c>
      <c r="D29" s="48" t="n">
        <f aca="false">IFERROR(SUMIF($C$8:$C$27,"Maquinaria",D8:D27),"")</f>
        <v>0</v>
      </c>
      <c r="E29" s="48" t="n">
        <f aca="false">IFERROR(SUMIF($C$8:$C$27,"Maquinaria",E8:E27),"")</f>
        <v>50716.609</v>
      </c>
      <c r="F29" s="48" t="n">
        <f aca="false">IFERROR(SUMIF($C$8:$C$27,"Maquinaria",F8:F27),"")</f>
        <v>50716.609</v>
      </c>
      <c r="G29" s="48" t="n">
        <f aca="false">IFERROR(SUMIF($C$8:$C$27,"Maquinaria",G8:G27),"")</f>
        <v>50716.609</v>
      </c>
      <c r="H29" s="48" t="n">
        <f aca="false">IFERROR(SUMIF($C$8:$C$27,"Maquinaria",H8:H27),"")</f>
        <v>50716.609</v>
      </c>
      <c r="I29" s="48" t="n">
        <f aca="false">IFERROR(SUMIF($C$8:$C$27,"Maquinaria",I8:I27),"")</f>
        <v>50716.609</v>
      </c>
      <c r="J29" s="48" t="n">
        <f aca="false">IFERROR(SUMIF($C$8:$C$27,"Maquinaria",J8:J27),"")</f>
        <v>50716.609</v>
      </c>
      <c r="K29" s="48" t="n">
        <f aca="false">IFERROR(SUMIF($C$8:$C$27,"Maquinaria",K8:K27),"")</f>
        <v>50716.609</v>
      </c>
      <c r="L29" s="48" t="n">
        <f aca="false">IFERROR(SUMIF($C$8:$C$27,"Maquinaria",L8:L27),"")</f>
        <v>50716.609</v>
      </c>
      <c r="M29" s="48" t="n">
        <f aca="false">IFERROR(SUMIF($C$8:$C$27,"Maquinaria",M8:M27),"")</f>
        <v>50716.609</v>
      </c>
      <c r="N29" s="48" t="n">
        <f aca="false">IFERROR(SUMIF($C$8:$C$27,"Maquinaria",N8:N27),"")</f>
        <v>50716.609</v>
      </c>
      <c r="O29" s="54" t="n">
        <f aca="false">SUM(D29:N29)</f>
        <v>507166.09</v>
      </c>
    </row>
    <row r="30" customFormat="false" ht="15" hidden="false" customHeight="false" outlineLevel="0" collapsed="false">
      <c r="A30" s="11" t="s">
        <v>2899</v>
      </c>
      <c r="B30" s="15" t="s">
        <v>654</v>
      </c>
      <c r="C30" s="11" t="s">
        <v>508</v>
      </c>
      <c r="D30" s="48" t="n">
        <f aca="false">IFERROR(SUMIF($C$8:$C$27,"Infraestructura",D8:D27),"")</f>
        <v>0</v>
      </c>
      <c r="E30" s="48" t="n">
        <f aca="false">IFERROR(SUMIF($C$8:$C$27,"Infraestructura",E8:E27),"")</f>
        <v>8700</v>
      </c>
      <c r="F30" s="48" t="n">
        <f aca="false">IFERROR(SUMIF($C$8:$C$27,"Infraestructura",F8:F27),"")</f>
        <v>8700</v>
      </c>
      <c r="G30" s="48" t="n">
        <f aca="false">IFERROR(SUMIF($C$8:$C$27,"Infraestructura",G8:G27),"")</f>
        <v>8700</v>
      </c>
      <c r="H30" s="48" t="n">
        <f aca="false">IFERROR(SUMIF($C$8:$C$27,"Infraestructura",H8:H27),"")</f>
        <v>8700</v>
      </c>
      <c r="I30" s="48" t="n">
        <f aca="false">IFERROR(SUMIF($C$8:$C$27,"Infraestructura",I8:I27),"")</f>
        <v>8700</v>
      </c>
      <c r="J30" s="48" t="n">
        <f aca="false">IFERROR(SUMIF($C$8:$C$27,"Infraestructura",J8:J27),"")</f>
        <v>8700</v>
      </c>
      <c r="K30" s="48" t="n">
        <f aca="false">IFERROR(SUMIF($C$8:$C$27,"Infraestructura",K8:K27),"")</f>
        <v>8700</v>
      </c>
      <c r="L30" s="48" t="n">
        <f aca="false">IFERROR(SUMIF($C$8:$C$27,"Infraestructura",L8:L27),"")</f>
        <v>8700</v>
      </c>
      <c r="M30" s="48" t="n">
        <f aca="false">IFERROR(SUMIF($C$8:$C$27,"Infraestructura",M8:M27),"")</f>
        <v>8700</v>
      </c>
      <c r="N30" s="48" t="n">
        <f aca="false">IFERROR(SUMIF($C$8:$C$27,"Infraestructura",N8:N27),"")</f>
        <v>8700</v>
      </c>
      <c r="O30" s="54" t="n">
        <f aca="false">SUM(D30:N30)</f>
        <v>87000</v>
      </c>
    </row>
    <row r="31" customFormat="false" ht="15" hidden="false" customHeight="false" outlineLevel="0" collapsed="false">
      <c r="A31" s="11" t="s">
        <v>2900</v>
      </c>
      <c r="B31" s="15" t="s">
        <v>1828</v>
      </c>
      <c r="C31" s="11" t="s">
        <v>508</v>
      </c>
      <c r="D31" s="48" t="n">
        <f aca="false">IFERROR(IF(COUNT(D32,D29,D30)=0,"",N(D32)-N(D29)-N(D30)),"")</f>
        <v>0</v>
      </c>
      <c r="E31" s="48" t="n">
        <f aca="false">IFERROR(IF(COUNT(E32,E29,E30)=0,"",N(E32)-N(E29)-N(E30)),"")</f>
        <v>12175.6</v>
      </c>
      <c r="F31" s="48" t="n">
        <f aca="false">IFERROR(IF(COUNT(F32,F29,F30)=0,"",N(F32)-N(F29)-N(F30)),"")</f>
        <v>22175.6</v>
      </c>
      <c r="G31" s="48" t="n">
        <f aca="false">IFERROR(IF(COUNT(G32,G29,G30)=0,"",N(G32)-N(G29)-N(G30)),"")</f>
        <v>22175.6</v>
      </c>
      <c r="H31" s="48" t="n">
        <f aca="false">IFERROR(IF(COUNT(H32,H29,H30)=0,"",N(H32)-N(H29)-N(H30)),"")</f>
        <v>22175.6</v>
      </c>
      <c r="I31" s="48" t="n">
        <f aca="false">IFERROR(IF(COUNT(I32,I29,I30)=0,"",N(I32)-N(I29)-N(I30)),"")</f>
        <v>22175.6</v>
      </c>
      <c r="J31" s="48" t="n">
        <f aca="false">IFERROR(IF(COUNT(J32,J29,J30)=0,"",N(J32)-N(J29)-N(J30)),"")</f>
        <v>10000</v>
      </c>
      <c r="K31" s="48" t="n">
        <f aca="false">IFERROR(IF(COUNT(K32,K29,K30)=0,"",N(K32)-N(K29)-N(K30)),"")</f>
        <v>10000</v>
      </c>
      <c r="L31" s="48" t="n">
        <f aca="false">IFERROR(IF(COUNT(L32,L29,L30)=0,"",N(L32)-N(L29)-N(L30)),"")</f>
        <v>10000</v>
      </c>
      <c r="M31" s="48" t="n">
        <f aca="false">IFERROR(IF(COUNT(M32,M29,M30)=0,"",N(M32)-N(M29)-N(M30)),"")</f>
        <v>10000</v>
      </c>
      <c r="N31" s="48" t="n">
        <f aca="false">IFERROR(IF(COUNT(N32,N29,N30)=0,"",N(N32)-N(N29)-N(N30)),"")</f>
        <v>10000</v>
      </c>
      <c r="O31" s="54" t="n">
        <f aca="false">SUM(D31:N31)</f>
        <v>150878</v>
      </c>
    </row>
    <row r="32" customFormat="false" ht="15" hidden="false" customHeight="false" outlineLevel="0" collapsed="false">
      <c r="A32" s="11" t="s">
        <v>2901</v>
      </c>
      <c r="B32" s="67" t="s">
        <v>2902</v>
      </c>
      <c r="C32" s="11" t="s">
        <v>508</v>
      </c>
      <c r="D32" s="54" t="n">
        <f aca="false">IFERROR(SUM(D8:D27),"")</f>
        <v>0</v>
      </c>
      <c r="E32" s="54" t="n">
        <f aca="false">IFERROR(SUM(E8:E27),"")</f>
        <v>71592.209</v>
      </c>
      <c r="F32" s="54" t="n">
        <f aca="false">IFERROR(SUM(F8:F27),"")</f>
        <v>81592.209</v>
      </c>
      <c r="G32" s="54" t="n">
        <f aca="false">IFERROR(SUM(G8:G27),"")</f>
        <v>81592.209</v>
      </c>
      <c r="H32" s="54" t="n">
        <f aca="false">IFERROR(SUM(H8:H27),"")</f>
        <v>81592.209</v>
      </c>
      <c r="I32" s="54" t="n">
        <f aca="false">IFERROR(SUM(I8:I27),"")</f>
        <v>81592.209</v>
      </c>
      <c r="J32" s="54" t="n">
        <f aca="false">IFERROR(SUM(J8:J27),"")</f>
        <v>69416.609</v>
      </c>
      <c r="K32" s="54" t="n">
        <f aca="false">IFERROR(SUM(K8:K27),"")</f>
        <v>69416.609</v>
      </c>
      <c r="L32" s="54" t="n">
        <f aca="false">IFERROR(SUM(L8:L27),"")</f>
        <v>69416.609</v>
      </c>
      <c r="M32" s="54" t="n">
        <f aca="false">IFERROR(SUM(M8:M27),"")</f>
        <v>69416.609</v>
      </c>
      <c r="N32" s="54" t="n">
        <f aca="false">IFERROR(SUM(N8:N27),"")</f>
        <v>69416.609</v>
      </c>
      <c r="O32" s="54" t="n">
        <f aca="false">SUM(D32:N32)</f>
        <v>745044.09</v>
      </c>
    </row>
    <row r="33" customFormat="false" ht="15" hidden="false" customHeight="false" outlineLevel="0" collapsed="false">
      <c r="A33" s="11" t="s">
        <v>2903</v>
      </c>
      <c r="B33" s="15" t="s">
        <v>2904</v>
      </c>
      <c r="C33" s="11" t="s">
        <v>508</v>
      </c>
      <c r="D33" s="48" t="n">
        <f aca="false">IF(cu_P=1,SUMIFS(Calculo!$F$103:$ES$103,Calculo!$F$16:$ES$16,1),SUMIFS(Calculo!$F$259:$ES$259,Calculo!$F$172:$ES$172,1))</f>
        <v>0</v>
      </c>
      <c r="E33" s="48" t="n">
        <f aca="false">IF(cu_P=1,SUMIFS(Calculo!$F$103:$ES$103,Calculo!$F$14:$ES$14,1),SUMIFS(Calculo!$F$259:$ES$259,Calculo!$F$170:$ES$170,1))</f>
        <v>71592.209</v>
      </c>
      <c r="F33" s="48" t="n">
        <f aca="false">IF(cu_P=1,SUMIFS(Calculo!$F$103:$ES$103,Calculo!$F$14:$ES$14,2),SUMIFS(Calculo!$F$259:$ES$259,Calculo!$F$170:$ES$170,2))</f>
        <v>81592.209</v>
      </c>
      <c r="G33" s="48" t="n">
        <f aca="false">IF(cu_P=1,SUMIFS(Calculo!$F$103:$ES$103,Calculo!$F$14:$ES$14,3),SUMIFS(Calculo!$F$259:$ES$259,Calculo!$F$170:$ES$170,3))</f>
        <v>81592.209</v>
      </c>
      <c r="H33" s="48" t="n">
        <f aca="false">IF(cu_P=1,SUMIFS(Calculo!$F$103:$ES$103,Calculo!$F$14:$ES$14,4),SUMIFS(Calculo!$F$259:$ES$259,Calculo!$F$170:$ES$170,4))</f>
        <v>81592.209</v>
      </c>
      <c r="I33" s="48" t="n">
        <f aca="false">IF(cu_P=1,SUMIFS(Calculo!$F$103:$ES$103,Calculo!$F$14:$ES$14,5),SUMIFS(Calculo!$F$259:$ES$259,Calculo!$F$170:$ES$170,5))</f>
        <v>81592.209</v>
      </c>
      <c r="J33" s="48" t="n">
        <f aca="false">IF(cu_P=1,SUMIFS(Calculo!$F$103:$ES$103,Calculo!$F$14:$ES$14,6),SUMIFS(Calculo!$F$259:$ES$259,Calculo!$F$170:$ES$170,6))</f>
        <v>69416.609</v>
      </c>
      <c r="K33" s="48" t="n">
        <f aca="false">IF(cu_P=1,SUMIFS(Calculo!$F$103:$ES$103,Calculo!$F$14:$ES$14,7),SUMIFS(Calculo!$F$259:$ES$259,Calculo!$F$170:$ES$170,7))</f>
        <v>69416.609</v>
      </c>
      <c r="L33" s="48" t="n">
        <f aca="false">IF(cu_P=1,SUMIFS(Calculo!$F$103:$ES$103,Calculo!$F$14:$ES$14,8),SUMIFS(Calculo!$F$259:$ES$259,Calculo!$F$170:$ES$170,8))</f>
        <v>69416.609</v>
      </c>
      <c r="M33" s="48" t="n">
        <f aca="false">IF(cu_P=1,SUMIFS(Calculo!$F$103:$ES$103,Calculo!$F$14:$ES$14,9),SUMIFS(Calculo!$F$259:$ES$259,Calculo!$F$170:$ES$170,9))</f>
        <v>69416.609</v>
      </c>
      <c r="N33" s="48" t="n">
        <f aca="false">IF(cu_P=1,SUMIFS(Calculo!$F$103:$ES$103,Calculo!$F$14:$ES$14,10),SUMIFS(Calculo!$F$259:$ES$259,Calculo!$F$170:$ES$170,10))</f>
        <v>69416.609</v>
      </c>
      <c r="O33" s="54" t="n">
        <f aca="false">SUM(D33:N33)</f>
        <v>745044.09</v>
      </c>
    </row>
    <row r="34" customFormat="false" ht="15" hidden="false" customHeight="false" outlineLevel="0" collapsed="false">
      <c r="A34" s="11" t="s">
        <v>2905</v>
      </c>
      <c r="B34" s="15" t="s">
        <v>2906</v>
      </c>
      <c r="C34" s="11" t="s">
        <v>508</v>
      </c>
      <c r="D34" s="48" t="n">
        <f aca="false">IFERROR(IF(COUNT(D33,D32)=0,"",N(D33)-N(D32)),"")</f>
        <v>0</v>
      </c>
      <c r="E34" s="48" t="n">
        <f aca="false">IFERROR(IF(COUNT(E33,E32)=0,"",N(E33)-N(E32)),"")</f>
        <v>0</v>
      </c>
      <c r="F34" s="48" t="n">
        <f aca="false">IFERROR(IF(COUNT(F33,F32)=0,"",N(F33)-N(F32)),"")</f>
        <v>0</v>
      </c>
      <c r="G34" s="48" t="n">
        <f aca="false">IFERROR(IF(COUNT(G33,G32)=0,"",N(G33)-N(G32)),"")</f>
        <v>0</v>
      </c>
      <c r="H34" s="48" t="n">
        <f aca="false">IFERROR(IF(COUNT(H33,H32)=0,"",N(H33)-N(H32)),"")</f>
        <v>0</v>
      </c>
      <c r="I34" s="48" t="n">
        <f aca="false">IFERROR(IF(COUNT(I33,I32)=0,"",N(I33)-N(I32)),"")</f>
        <v>0</v>
      </c>
      <c r="J34" s="48" t="n">
        <f aca="false">IFERROR(IF(COUNT(J33,J32)=0,"",N(J33)-N(J32)),"")</f>
        <v>0</v>
      </c>
      <c r="K34" s="48" t="n">
        <f aca="false">IFERROR(IF(COUNT(K33,K32)=0,"",N(K33)-N(K32)),"")</f>
        <v>0</v>
      </c>
      <c r="L34" s="48" t="n">
        <f aca="false">IFERROR(IF(COUNT(L33,L32)=0,"",N(L33)-N(L32)),"")</f>
        <v>0</v>
      </c>
      <c r="M34" s="48" t="n">
        <f aca="false">IFERROR(IF(COUNT(M33,M32)=0,"",N(M33)-N(M32)),"")</f>
        <v>0</v>
      </c>
      <c r="N34" s="48" t="n">
        <f aca="false">IFERROR(IF(COUNT(N33,N32)=0,"",N(N33)-N(N32)),"")</f>
        <v>0</v>
      </c>
      <c r="O34" s="54" t="n">
        <f aca="false">SUM(D34:N34)</f>
        <v>0</v>
      </c>
    </row>
    <row r="35" customFormat="false" ht="15" hidden="false" customHeight="false" outlineLevel="0" collapsed="false">
      <c r="A35" s="11" t="s">
        <v>2907</v>
      </c>
      <c r="B35" s="67" t="s">
        <v>2908</v>
      </c>
      <c r="C35" s="11" t="s">
        <v>508</v>
      </c>
      <c r="D35" s="54" t="n">
        <f aca="false">IF(cu_P=1,IF(SUM(Calculo!$F$16:$ES$16)=0,0,INDEX(Calculo!$F$118:$ES$118,1,SUM(Calculo!$F$16:$ES$16))),IF(SUM(Calculo!$F$172:$ES$172)=0,0,INDEX(Calculo!$F$274:$ES$274,1,SUM(Calculo!$F$172:$ES$172))))</f>
        <v>0</v>
      </c>
      <c r="E35" s="54" t="n">
        <f aca="false">IF(cu_P=1,IF(COUNTIFS(Calculo!$F$14:$ES$14,1)=0,0,INDEX(Calculo!$F$118:$ES$118,1,_xlfn.MAXIFS(Calculo!$F$4:$ES$4,Calculo!$F$14:$ES$14,1))),IF(COUNTIFS(Calculo!$F$170:$ES$170,1)=0,0,INDEX(Calculo!$F$274:$ES$274,1,_xlfn.MAXIFS(Calculo!$F$4:$ES$4,Calculo!$F$170:$ES$170,1))))</f>
        <v>583451.881000001</v>
      </c>
      <c r="F35" s="54" t="n">
        <f aca="false">IF(cu_P=1,IF(COUNTIFS(Calculo!$F$14:$ES$14,2)=0,0,INDEX(Calculo!$F$118:$ES$118,1,_xlfn.MAXIFS(Calculo!$F$4:$ES$4,Calculo!$F$14:$ES$14,2))),IF(COUNTIFS(Calculo!$F$170:$ES$170,2)=0,0,INDEX(Calculo!$F$274:$ES$274,1,_xlfn.MAXIFS(Calculo!$F$4:$ES$4,Calculo!$F$170:$ES$170,2))))</f>
        <v>601859.672000001</v>
      </c>
      <c r="G35" s="54" t="n">
        <f aca="false">IF(cu_P=1,IF(COUNTIFS(Calculo!$F$14:$ES$14,3)=0,0,INDEX(Calculo!$F$118:$ES$118,1,_xlfn.MAXIFS(Calculo!$F$4:$ES$4,Calculo!$F$14:$ES$14,3))),IF(COUNTIFS(Calculo!$F$170:$ES$170,3)=0,0,INDEX(Calculo!$F$274:$ES$274,1,_xlfn.MAXIFS(Calculo!$F$4:$ES$4,Calculo!$F$170:$ES$170,3))))</f>
        <v>520267.463000001</v>
      </c>
      <c r="H35" s="54" t="n">
        <f aca="false">IF(cu_P=1,IF(COUNTIFS(Calculo!$F$14:$ES$14,4)=0,0,INDEX(Calculo!$F$118:$ES$118,1,_xlfn.MAXIFS(Calculo!$F$4:$ES$4,Calculo!$F$14:$ES$14,4))),IF(COUNTIFS(Calculo!$F$170:$ES$170,4)=0,0,INDEX(Calculo!$F$274:$ES$274,1,_xlfn.MAXIFS(Calculo!$F$4:$ES$4,Calculo!$F$170:$ES$170,4))))</f>
        <v>438675.254000001</v>
      </c>
      <c r="I35" s="54" t="n">
        <f aca="false">IF(cu_P=1,IF(COUNTIFS(Calculo!$F$14:$ES$14,5)=0,0,INDEX(Calculo!$F$118:$ES$118,1,_xlfn.MAXIFS(Calculo!$F$4:$ES$4,Calculo!$F$14:$ES$14,5))),IF(COUNTIFS(Calculo!$F$170:$ES$170,5)=0,0,INDEX(Calculo!$F$274:$ES$274,1,_xlfn.MAXIFS(Calculo!$F$4:$ES$4,Calculo!$F$170:$ES$170,5))))</f>
        <v>357083.045000001</v>
      </c>
      <c r="J35" s="54" t="n">
        <f aca="false">IF(cu_P=1,IF(COUNTIFS(Calculo!$F$14:$ES$14,6)=0,0,INDEX(Calculo!$F$118:$ES$118,1,_xlfn.MAXIFS(Calculo!$F$4:$ES$4,Calculo!$F$14:$ES$14,6))),IF(COUNTIFS(Calculo!$F$170:$ES$170,6)=0,0,INDEX(Calculo!$F$274:$ES$274,1,_xlfn.MAXIFS(Calculo!$F$4:$ES$4,Calculo!$F$170:$ES$170,6))))</f>
        <v>287666.436000001</v>
      </c>
      <c r="K35" s="54" t="n">
        <f aca="false">IF(cu_P=1,IF(COUNTIFS(Calculo!$F$14:$ES$14,7)=0,0,INDEX(Calculo!$F$118:$ES$118,1,_xlfn.MAXIFS(Calculo!$F$4:$ES$4,Calculo!$F$14:$ES$14,7))),IF(COUNTIFS(Calculo!$F$170:$ES$170,7)=0,0,INDEX(Calculo!$F$274:$ES$274,1,_xlfn.MAXIFS(Calculo!$F$4:$ES$4,Calculo!$F$170:$ES$170,7))))</f>
        <v>218249.827000001</v>
      </c>
      <c r="L35" s="54" t="n">
        <f aca="false">IF(cu_P=1,IF(COUNTIFS(Calculo!$F$14:$ES$14,8)=0,0,INDEX(Calculo!$F$118:$ES$118,1,_xlfn.MAXIFS(Calculo!$F$4:$ES$4,Calculo!$F$14:$ES$14,8))),IF(COUNTIFS(Calculo!$F$170:$ES$170,8)=0,0,INDEX(Calculo!$F$274:$ES$274,1,_xlfn.MAXIFS(Calculo!$F$4:$ES$4,Calculo!$F$170:$ES$170,8))))</f>
        <v>148833.218000001</v>
      </c>
      <c r="M35" s="54" t="n">
        <f aca="false">IF(cu_P=1,IF(COUNTIFS(Calculo!$F$14:$ES$14,9)=0,0,INDEX(Calculo!$F$118:$ES$118,1,_xlfn.MAXIFS(Calculo!$F$4:$ES$4,Calculo!$F$14:$ES$14,9))),IF(COUNTIFS(Calculo!$F$170:$ES$170,9)=0,0,INDEX(Calculo!$F$274:$ES$274,1,_xlfn.MAXIFS(Calculo!$F$4:$ES$4,Calculo!$F$170:$ES$170,9))))</f>
        <v>79416.6090000009</v>
      </c>
      <c r="N35" s="54" t="n">
        <f aca="false">IF(cu_P=1,IF(COUNTIFS(Calculo!$F$14:$ES$14,10)=0,0,INDEX(Calculo!$F$118:$ES$118,1,_xlfn.MAXIFS(Calculo!$F$4:$ES$4,Calculo!$F$14:$ES$14,10))),IF(COUNTIFS(Calculo!$F$170:$ES$170,10)=0,0,INDEX(Calculo!$F$274:$ES$274,1,_xlfn.MAXIFS(Calculo!$F$4:$ES$4,Calculo!$F$170:$ES$170,10))))</f>
        <v>10000.0000000009</v>
      </c>
      <c r="O35" s="54" t="n">
        <f aca="false">N35</f>
        <v>10000.0000000009</v>
      </c>
    </row>
    <row r="37" customFormat="false" ht="15" hidden="false" customHeight="false" outlineLevel="0" collapsed="false">
      <c r="A37" s="65" t="s">
        <v>1992</v>
      </c>
      <c r="B37" s="64"/>
      <c r="C37" s="64"/>
      <c r="D37" s="64"/>
      <c r="E37" s="64"/>
      <c r="F37" s="64"/>
      <c r="G37" s="64"/>
      <c r="H37" s="64"/>
      <c r="I37" s="64"/>
      <c r="J37" s="64"/>
      <c r="K37" s="64"/>
      <c r="L37" s="64"/>
      <c r="M37" s="64"/>
      <c r="N37" s="64"/>
      <c r="O37" s="64"/>
    </row>
    <row r="38" customFormat="false" ht="24" hidden="false" customHeight="true" outlineLevel="0" collapsed="false">
      <c r="A38" s="14"/>
      <c r="B38" s="14" t="s">
        <v>1530</v>
      </c>
      <c r="C38" s="14" t="s">
        <v>355</v>
      </c>
      <c r="D38" s="14" t="s">
        <v>1857</v>
      </c>
      <c r="E38" s="14" t="s">
        <v>452</v>
      </c>
      <c r="F38" s="14" t="s">
        <v>453</v>
      </c>
      <c r="G38" s="14" t="s">
        <v>454</v>
      </c>
      <c r="H38" s="14" t="s">
        <v>455</v>
      </c>
      <c r="I38" s="14" t="s">
        <v>456</v>
      </c>
      <c r="J38" s="14" t="s">
        <v>457</v>
      </c>
      <c r="K38" s="14" t="s">
        <v>458</v>
      </c>
      <c r="L38" s="14" t="s">
        <v>459</v>
      </c>
      <c r="M38" s="14" t="s">
        <v>460</v>
      </c>
      <c r="N38" s="14" t="s">
        <v>461</v>
      </c>
      <c r="O38" s="14" t="s">
        <v>549</v>
      </c>
    </row>
    <row r="39" customFormat="false" ht="15" hidden="false" customHeight="false" outlineLevel="0" collapsed="false">
      <c r="B39" s="11" t="s">
        <v>1993</v>
      </c>
      <c r="D39" s="86" t="str">
        <f aca="false">IF(OR(n_Fecha1="",IF(cu_P=1,P_Inicio,V_Inicio)=1),"",YEAR(n_Fecha1))</f>
        <v/>
      </c>
      <c r="E39" s="86" t="str">
        <f aca="false">IF(n_Fecha1="","",YEAR(EOMONTH(n_Fecha1,IF(cu_P=1,P_Inicio,V_Inicio)-1+0)))</f>
        <v/>
      </c>
      <c r="F39" s="86" t="str">
        <f aca="false">IF(n_Fecha1="","",YEAR(EOMONTH(n_Fecha1,IF(cu_P=1,P_Inicio,V_Inicio)-1+12)))</f>
        <v/>
      </c>
      <c r="G39" s="86" t="str">
        <f aca="false">IF(n_Fecha1="","",YEAR(EOMONTH(n_Fecha1,IF(cu_P=1,P_Inicio,V_Inicio)-1+24)))</f>
        <v/>
      </c>
      <c r="H39" s="86" t="str">
        <f aca="false">IF(n_Fecha1="","",YEAR(EOMONTH(n_Fecha1,IF(cu_P=1,P_Inicio,V_Inicio)-1+36)))</f>
        <v/>
      </c>
      <c r="I39" s="86" t="str">
        <f aca="false">IF(n_Fecha1="","",YEAR(EOMONTH(n_Fecha1,IF(cu_P=1,P_Inicio,V_Inicio)-1+48)))</f>
        <v/>
      </c>
      <c r="J39" s="86" t="str">
        <f aca="false">IF(n_Fecha1="","",YEAR(EOMONTH(n_Fecha1,IF(cu_P=1,P_Inicio,V_Inicio)-1+60)))</f>
        <v/>
      </c>
      <c r="K39" s="86" t="str">
        <f aca="false">IF(n_Fecha1="","",YEAR(EOMONTH(n_Fecha1,IF(cu_P=1,P_Inicio,V_Inicio)-1+72)))</f>
        <v/>
      </c>
      <c r="L39" s="86" t="str">
        <f aca="false">IF(n_Fecha1="","",YEAR(EOMONTH(n_Fecha1,IF(cu_P=1,P_Inicio,V_Inicio)-1+84)))</f>
        <v/>
      </c>
      <c r="M39" s="86" t="str">
        <f aca="false">IF(n_Fecha1="","",YEAR(EOMONTH(n_Fecha1,IF(cu_P=1,P_Inicio,V_Inicio)-1+96)))</f>
        <v/>
      </c>
      <c r="N39" s="86" t="str">
        <f aca="false">IF(n_Fecha1="","",YEAR(EOMONTH(n_Fecha1,IF(cu_P=1,P_Inicio,V_Inicio)-1+108)))</f>
        <v/>
      </c>
    </row>
    <row r="40" customFormat="false" ht="15" hidden="false" customHeight="false" outlineLevel="0" collapsed="false">
      <c r="A40" s="11" t="s">
        <v>2876</v>
      </c>
      <c r="B40" s="53" t="str">
        <f aca="false">IF(Inversion!$B$6="","Ítem 1",Inversion!$B$6&amp;" — USD "&amp;FIXED(IF(cu_P=1,N(Inversion!$D$6),N(Inversion!$U$6)),0)&amp;" — "&amp;N(Inversion!$F$6)&amp;" años")</f>
        <v>Adecuación de infraestructura — USD 87,000 — 10 años</v>
      </c>
      <c r="C40" s="11" t="str">
        <f aca="false">IF(Inversion!$C$6="","",Inversion!$C$6)</f>
        <v>Infraestructura</v>
      </c>
      <c r="O40" s="54" t="str">
        <f aca="false">IF(COUNT(D40:N40)=0,"",SUM(D40:N40))</f>
        <v/>
      </c>
    </row>
    <row r="41" customFormat="false" ht="15" hidden="false" customHeight="false" outlineLevel="0" collapsed="false">
      <c r="A41" s="11" t="s">
        <v>2877</v>
      </c>
      <c r="B41" s="53" t="str">
        <f aca="false">IF(Inversion!$B$7="","Ítem 2",Inversion!$B$7&amp;" — USD "&amp;FIXED(IF(cu_P=1,N(Inversion!$D$7),N(Inversion!$U$7)),0)&amp;" — "&amp;N(Inversion!$F$7)&amp;" años")</f>
        <v>Conjunto línea de pintura — USD 183,074 — 10 años</v>
      </c>
      <c r="C41" s="11" t="str">
        <f aca="false">IF(Inversion!$C$7="","",Inversion!$C$7)</f>
        <v>Maquinaria</v>
      </c>
      <c r="O41" s="54" t="str">
        <f aca="false">IF(COUNT(D41:N41)=0,"",SUM(D41:N41))</f>
        <v/>
      </c>
    </row>
    <row r="42" customFormat="false" ht="15" hidden="false" customHeight="false" outlineLevel="0" collapsed="false">
      <c r="A42" s="11" t="s">
        <v>2878</v>
      </c>
      <c r="B42" s="53" t="str">
        <f aca="false">IF(Inversion!$B$8="","Ítem 3",Inversion!$B$8&amp;" — USD "&amp;FIXED(IF(cu_P=1,N(Inversion!$D$8),N(Inversion!$U$8)),0)&amp;" — "&amp;N(Inversion!$F$8)&amp;" años")</f>
        <v>Cortadoras láser (2) — USD 84,295 — 10 años</v>
      </c>
      <c r="C42" s="11" t="str">
        <f aca="false">IF(Inversion!$C$8="","",Inversion!$C$8)</f>
        <v>Maquinaria</v>
      </c>
      <c r="O42" s="54" t="str">
        <f aca="false">IF(COUNT(D42:N42)=0,"",SUM(D42:N42))</f>
        <v/>
      </c>
    </row>
    <row r="43" customFormat="false" ht="15" hidden="false" customHeight="false" outlineLevel="0" collapsed="false">
      <c r="A43" s="11" t="s">
        <v>2879</v>
      </c>
      <c r="B43" s="53" t="str">
        <f aca="false">IF(Inversion!$B$9="","Ítem 4",Inversion!$B$9&amp;" — USD "&amp;FIXED(IF(cu_P=1,N(Inversion!$D$9),N(Inversion!$U$9)),0)&amp;" — "&amp;N(Inversion!$F$9)&amp;" años")</f>
        <v>Manipulador — USD 10,197 — 10 años</v>
      </c>
      <c r="C43" s="11" t="str">
        <f aca="false">IF(Inversion!$C$9="","",Inversion!$C$9)</f>
        <v>Maquinaria</v>
      </c>
      <c r="O43" s="54" t="str">
        <f aca="false">IF(COUNT(D43:N43)=0,"",SUM(D43:N43))</f>
        <v/>
      </c>
    </row>
    <row r="44" customFormat="false" ht="15" hidden="false" customHeight="false" outlineLevel="0" collapsed="false">
      <c r="A44" s="11" t="s">
        <v>2880</v>
      </c>
      <c r="B44" s="53" t="str">
        <f aca="false">IF(Inversion!$B$10="","Ítem 5",Inversion!$B$10&amp;" — USD "&amp;FIXED(IF(cu_P=1,N(Inversion!$D$10),N(Inversion!$U$10)),0)&amp;" — "&amp;N(Inversion!$F$10)&amp;" años")</f>
        <v>Dobladoras (4) — USD 151,967 — 10 años</v>
      </c>
      <c r="C44" s="11" t="str">
        <f aca="false">IF(Inversion!$C$10="","",Inversion!$C$10)</f>
        <v>Maquinaria</v>
      </c>
      <c r="O44" s="54" t="str">
        <f aca="false">IF(COUNT(D44:N44)=0,"",SUM(D44:N44))</f>
        <v/>
      </c>
    </row>
    <row r="45" customFormat="false" ht="15" hidden="false" customHeight="false" outlineLevel="0" collapsed="false">
      <c r="A45" s="11" t="s">
        <v>2881</v>
      </c>
      <c r="B45" s="53" t="str">
        <f aca="false">IF(Inversion!$B$11="","Ítem 6",Inversion!$B$11&amp;" — USD "&amp;FIXED(IF(cu_P=1,N(Inversion!$D$11),N(Inversion!$U$11)),0)&amp;" — "&amp;N(Inversion!$F$11)&amp;" años")</f>
        <v>Soldadoras (6) — USD 3,399 — 10 años</v>
      </c>
      <c r="C45" s="11" t="str">
        <f aca="false">IF(Inversion!$C$11="","",Inversion!$C$11)</f>
        <v>Maquinaria</v>
      </c>
      <c r="O45" s="54" t="str">
        <f aca="false">IF(COUNT(D45:N45)=0,"",SUM(D45:N45))</f>
        <v/>
      </c>
    </row>
    <row r="46" customFormat="false" ht="15" hidden="false" customHeight="false" outlineLevel="0" collapsed="false">
      <c r="A46" s="11" t="s">
        <v>2882</v>
      </c>
      <c r="B46" s="53" t="str">
        <f aca="false">IF(Inversion!$B$12="","Ítem 7",Inversion!$B$12&amp;" — USD "&amp;FIXED(IF(cu_P=1,N(Inversion!$D$12),N(Inversion!$U$12)),0)&amp;" — "&amp;N(Inversion!$F$12)&amp;" años")</f>
        <v>Lijadoras (4) — USD 589 — 10 años</v>
      </c>
      <c r="C46" s="11" t="str">
        <f aca="false">IF(Inversion!$C$12="","",Inversion!$C$12)</f>
        <v>Maquinaria</v>
      </c>
      <c r="O46" s="54" t="str">
        <f aca="false">IF(COUNT(D46:N46)=0,"",SUM(D46:N46))</f>
        <v/>
      </c>
    </row>
    <row r="47" customFormat="false" ht="15" hidden="false" customHeight="false" outlineLevel="0" collapsed="false">
      <c r="A47" s="11" t="s">
        <v>2883</v>
      </c>
      <c r="B47" s="53" t="str">
        <f aca="false">IF(Inversion!$B$13="","Ítem 8",Inversion!$B$13&amp;" — USD "&amp;FIXED(IF(cu_P=1,N(Inversion!$D$13),N(Inversion!$U$13)),0)&amp;" — "&amp;N(Inversion!$F$13)&amp;" años")</f>
        <v>Conjunto baño — USD 28,325 — 10 años</v>
      </c>
      <c r="C47" s="11" t="str">
        <f aca="false">IF(Inversion!$C$13="","",Inversion!$C$13)</f>
        <v>Maquinaria</v>
      </c>
      <c r="O47" s="54" t="str">
        <f aca="false">IF(COUNT(D47:N47)=0,"",SUM(D47:N47))</f>
        <v/>
      </c>
    </row>
    <row r="48" customFormat="false" ht="15" hidden="false" customHeight="false" outlineLevel="0" collapsed="false">
      <c r="A48" s="11" t="s">
        <v>2884</v>
      </c>
      <c r="B48" s="53" t="str">
        <f aca="false">IF(Inversion!$B$14="","Ítem 9",Inversion!$B$14&amp;" — USD "&amp;FIXED(IF(cu_P=1,N(Inversion!$D$14),N(Inversion!$U$14)),0)&amp;" — "&amp;N(Inversion!$F$14)&amp;" años")</f>
        <v>Línea de montaje — USD 9,857 — 10 años</v>
      </c>
      <c r="C48" s="11" t="str">
        <f aca="false">IF(Inversion!$C$14="","",Inversion!$C$14)</f>
        <v>Maquinaria</v>
      </c>
      <c r="O48" s="54" t="str">
        <f aca="false">IF(COUNT(D48:N48)=0,"",SUM(D48:N48))</f>
        <v/>
      </c>
    </row>
    <row r="49" customFormat="false" ht="15" hidden="false" customHeight="false" outlineLevel="0" collapsed="false">
      <c r="A49" s="11" t="s">
        <v>2885</v>
      </c>
      <c r="B49" s="53" t="str">
        <f aca="false">IF(Inversion!$B$15="","Ítem 10",Inversion!$B$15&amp;" — USD "&amp;FIXED(IF(cu_P=1,N(Inversion!$D$15),N(Inversion!$U$15)),0)&amp;" — "&amp;N(Inversion!$F$15)&amp;" años")</f>
        <v>Montacargas — USD 29,458 — 10 años</v>
      </c>
      <c r="C49" s="11" t="str">
        <f aca="false">IF(Inversion!$C$15="","",Inversion!$C$15)</f>
        <v>Maquinaria</v>
      </c>
      <c r="O49" s="54" t="str">
        <f aca="false">IF(COUNT(D49:N49)=0,"",SUM(D49:N49))</f>
        <v/>
      </c>
    </row>
    <row r="50" customFormat="false" ht="15" hidden="false" customHeight="false" outlineLevel="0" collapsed="false">
      <c r="A50" s="11" t="s">
        <v>2886</v>
      </c>
      <c r="B50" s="53" t="str">
        <f aca="false">IF(Inversion!$B$16="","Ítem 11",Inversion!$B$16&amp;" — USD "&amp;FIXED(IF(cu_P=1,N(Inversion!$D$16),N(Inversion!$U$16)),0)&amp;" — "&amp;N(Inversion!$F$16)&amp;" años")</f>
        <v>Soldadoras capacitivas (2) — USD 6,005 — 10 años</v>
      </c>
      <c r="C50" s="11" t="str">
        <f aca="false">IF(Inversion!$C$16="","",Inversion!$C$16)</f>
        <v>Maquinaria</v>
      </c>
      <c r="O50" s="54" t="str">
        <f aca="false">IF(COUNT(D50:N50)=0,"",SUM(D50:N50))</f>
        <v/>
      </c>
    </row>
    <row r="51" customFormat="false" ht="15" hidden="false" customHeight="false" outlineLevel="0" collapsed="false">
      <c r="A51" s="11" t="s">
        <v>2887</v>
      </c>
      <c r="B51" s="53" t="str">
        <f aca="false">IF(Inversion!$B$17="","Ítem 12",Inversion!$B$17&amp;" — USD "&amp;FIXED(IF(cu_P=1,N(Inversion!$D$17),N(Inversion!$U$17)),0)&amp;" — "&amp;N(Inversion!$F$17)&amp;" años")</f>
        <v>Software de gestión — USD 43,478 — 5 años</v>
      </c>
      <c r="C51" s="11" t="str">
        <f aca="false">IF(Inversion!$C$17="","",Inversion!$C$17)</f>
        <v>Intangible</v>
      </c>
      <c r="O51" s="54" t="str">
        <f aca="false">IF(COUNT(D51:N51)=0,"",SUM(D51:N51))</f>
        <v/>
      </c>
    </row>
    <row r="52" customFormat="false" ht="15" hidden="false" customHeight="false" outlineLevel="0" collapsed="false">
      <c r="A52" s="11" t="s">
        <v>2888</v>
      </c>
      <c r="B52" s="53" t="str">
        <f aca="false">IF(Inversion!$B$18="","Ítem 13",Inversion!$B$18&amp;" — USD "&amp;FIXED(IF(cu_P=1,N(Inversion!$D$18),N(Inversion!$U$18)),0)&amp;" — "&amp;N(Inversion!$F$18)&amp;" años")</f>
        <v>Mobiliario — USD 17,400 — 5 años</v>
      </c>
      <c r="C52" s="11" t="str">
        <f aca="false">IF(Inversion!$C$18="","",Inversion!$C$18)</f>
        <v>Mobiliario</v>
      </c>
      <c r="O52" s="54" t="str">
        <f aca="false">IF(COUNT(D52:N52)=0,"",SUM(D52:N52))</f>
        <v/>
      </c>
    </row>
    <row r="53" customFormat="false" ht="15" hidden="false" customHeight="false" outlineLevel="0" collapsed="false">
      <c r="A53" s="11" t="s">
        <v>2889</v>
      </c>
      <c r="B53" s="53" t="str">
        <f aca="false">IF(Inversion!$B$19="","Ítem 14",Inversion!$B$19&amp;" — USD "&amp;FIXED(IF(cu_P=1,N(Inversion!$D$19),N(Inversion!$U$19)),0)&amp;" — "&amp;N(Inversion!$F$19)&amp;" años")</f>
        <v>Inversión adicional año 2 (no desagregada) — USD 100,000 — 10 años</v>
      </c>
      <c r="C53" s="11" t="str">
        <f aca="false">IF(Inversion!$C$19="","",Inversion!$C$19)</f>
        <v>Pendiente</v>
      </c>
      <c r="O53" s="54" t="str">
        <f aca="false">IF(COUNT(D53:N53)=0,"",SUM(D53:N53))</f>
        <v/>
      </c>
    </row>
    <row r="54" customFormat="false" ht="15" hidden="true" customHeight="false" outlineLevel="1" collapsed="false">
      <c r="A54" s="11" t="s">
        <v>2890</v>
      </c>
      <c r="B54" s="53" t="str">
        <f aca="false">IF(Inversion!$B$20="","Ítem 15",Inversion!$B$20&amp;" — USD "&amp;FIXED(IF(cu_P=1,N(Inversion!$D$20),N(Inversion!$U$20)),0)&amp;" — "&amp;N(Inversion!$F$20)&amp;" años")</f>
        <v>Ítem 15</v>
      </c>
      <c r="C54" s="11" t="str">
        <f aca="false">IF(Inversion!$C$20="","",Inversion!$C$20)</f>
        <v/>
      </c>
      <c r="O54" s="54" t="str">
        <f aca="false">IF(COUNT(D54:N54)=0,"",SUM(D54:N54))</f>
        <v/>
      </c>
    </row>
    <row r="55" customFormat="false" ht="15" hidden="true" customHeight="false" outlineLevel="1" collapsed="false">
      <c r="A55" s="11" t="s">
        <v>2891</v>
      </c>
      <c r="B55" s="53" t="str">
        <f aca="false">IF(Inversion!$B$21="","Ítem 16",Inversion!$B$21&amp;" — USD "&amp;FIXED(IF(cu_P=1,N(Inversion!$D$21),N(Inversion!$U$21)),0)&amp;" — "&amp;N(Inversion!$F$21)&amp;" años")</f>
        <v>Ítem 16</v>
      </c>
      <c r="C55" s="11" t="str">
        <f aca="false">IF(Inversion!$C$21="","",Inversion!$C$21)</f>
        <v/>
      </c>
      <c r="O55" s="54" t="str">
        <f aca="false">IF(COUNT(D55:N55)=0,"",SUM(D55:N55))</f>
        <v/>
      </c>
    </row>
    <row r="56" customFormat="false" ht="15" hidden="true" customHeight="false" outlineLevel="1" collapsed="false">
      <c r="A56" s="11" t="s">
        <v>2892</v>
      </c>
      <c r="B56" s="53" t="str">
        <f aca="false">IF(Inversion!$B$22="","Ítem 17",Inversion!$B$22&amp;" — USD "&amp;FIXED(IF(cu_P=1,N(Inversion!$D$22),N(Inversion!$U$22)),0)&amp;" — "&amp;N(Inversion!$F$22)&amp;" años")</f>
        <v>Ítem 17</v>
      </c>
      <c r="C56" s="11" t="str">
        <f aca="false">IF(Inversion!$C$22="","",Inversion!$C$22)</f>
        <v/>
      </c>
      <c r="O56" s="54" t="str">
        <f aca="false">IF(COUNT(D56:N56)=0,"",SUM(D56:N56))</f>
        <v/>
      </c>
    </row>
    <row r="57" customFormat="false" ht="15" hidden="true" customHeight="false" outlineLevel="1" collapsed="false">
      <c r="A57" s="11" t="s">
        <v>2893</v>
      </c>
      <c r="B57" s="53" t="str">
        <f aca="false">IF(Inversion!$B$23="","Ítem 18",Inversion!$B$23&amp;" — USD "&amp;FIXED(IF(cu_P=1,N(Inversion!$D$23),N(Inversion!$U$23)),0)&amp;" — "&amp;N(Inversion!$F$23)&amp;" años")</f>
        <v>Ítem 18</v>
      </c>
      <c r="C57" s="11" t="str">
        <f aca="false">IF(Inversion!$C$23="","",Inversion!$C$23)</f>
        <v/>
      </c>
      <c r="O57" s="54" t="str">
        <f aca="false">IF(COUNT(D57:N57)=0,"",SUM(D57:N57))</f>
        <v/>
      </c>
    </row>
    <row r="58" customFormat="false" ht="15" hidden="true" customHeight="false" outlineLevel="1" collapsed="false">
      <c r="A58" s="11" t="s">
        <v>2894</v>
      </c>
      <c r="B58" s="53" t="str">
        <f aca="false">IF(Inversion!$B$24="","Ítem 19",Inversion!$B$24&amp;" — USD "&amp;FIXED(IF(cu_P=1,N(Inversion!$D$24),N(Inversion!$U$24)),0)&amp;" — "&amp;N(Inversion!$F$24)&amp;" años")</f>
        <v>Ítem 19</v>
      </c>
      <c r="C58" s="11" t="str">
        <f aca="false">IF(Inversion!$C$24="","",Inversion!$C$24)</f>
        <v/>
      </c>
      <c r="O58" s="54" t="str">
        <f aca="false">IF(COUNT(D58:N58)=0,"",SUM(D58:N58))</f>
        <v/>
      </c>
    </row>
    <row r="59" customFormat="false" ht="15" hidden="true" customHeight="false" outlineLevel="1" collapsed="false">
      <c r="A59" s="11" t="s">
        <v>2895</v>
      </c>
      <c r="B59" s="53" t="str">
        <f aca="false">IF(Inversion!$B$25="","Ítem 20",Inversion!$B$25&amp;" — USD "&amp;FIXED(IF(cu_P=1,N(Inversion!$D$25),N(Inversion!$U$25)),0)&amp;" — "&amp;N(Inversion!$F$25)&amp;" años")</f>
        <v>Ítem 20</v>
      </c>
      <c r="C59" s="11" t="str">
        <f aca="false">IF(Inversion!$C$25="","",Inversion!$C$25)</f>
        <v/>
      </c>
      <c r="O59" s="54" t="str">
        <f aca="false">IF(COUNT(D59:N59)=0,"",SUM(D59:N59))</f>
        <v/>
      </c>
    </row>
    <row r="60" customFormat="false" ht="15" hidden="false" customHeight="false" outlineLevel="0" collapsed="false">
      <c r="A60" s="13"/>
      <c r="B60" s="100" t="s">
        <v>2896</v>
      </c>
      <c r="C60" s="13"/>
      <c r="D60" s="13"/>
      <c r="E60" s="13"/>
      <c r="F60" s="13"/>
      <c r="G60" s="13"/>
      <c r="H60" s="13"/>
      <c r="I60" s="13"/>
      <c r="J60" s="13"/>
      <c r="K60" s="13"/>
      <c r="L60" s="13"/>
      <c r="M60" s="13"/>
      <c r="N60" s="13"/>
      <c r="O60" s="13"/>
    </row>
    <row r="61" customFormat="false" ht="15" hidden="false" customHeight="false" outlineLevel="0" collapsed="false">
      <c r="A61" s="11" t="s">
        <v>2897</v>
      </c>
      <c r="B61" s="15" t="s">
        <v>2898</v>
      </c>
      <c r="C61" s="11" t="s">
        <v>508</v>
      </c>
      <c r="D61" s="37"/>
      <c r="E61" s="37" t="n">
        <v>50717</v>
      </c>
      <c r="F61" s="37" t="n">
        <v>50717</v>
      </c>
      <c r="G61" s="37" t="n">
        <v>50717</v>
      </c>
      <c r="H61" s="37" t="n">
        <v>50717</v>
      </c>
      <c r="I61" s="37" t="n">
        <v>50717</v>
      </c>
      <c r="J61" s="37" t="n">
        <v>50717</v>
      </c>
      <c r="K61" s="37" t="n">
        <v>50717</v>
      </c>
      <c r="L61" s="37" t="n">
        <v>50717</v>
      </c>
      <c r="M61" s="37" t="n">
        <v>50717</v>
      </c>
      <c r="N61" s="37" t="n">
        <v>50717</v>
      </c>
      <c r="O61" s="54" t="n">
        <f aca="false">IF(COUNT(D61:N61)=0,"",SUM(D61:N61))</f>
        <v>507170</v>
      </c>
    </row>
    <row r="62" customFormat="false" ht="15" hidden="false" customHeight="false" outlineLevel="0" collapsed="false">
      <c r="A62" s="11" t="s">
        <v>2899</v>
      </c>
      <c r="B62" s="15" t="s">
        <v>654</v>
      </c>
      <c r="C62" s="11" t="s">
        <v>508</v>
      </c>
      <c r="D62" s="37"/>
      <c r="E62" s="37" t="n">
        <v>8700</v>
      </c>
      <c r="F62" s="37" t="n">
        <v>8700</v>
      </c>
      <c r="G62" s="37" t="n">
        <v>8700</v>
      </c>
      <c r="H62" s="37" t="n">
        <v>8700</v>
      </c>
      <c r="I62" s="37" t="n">
        <v>8700</v>
      </c>
      <c r="J62" s="37" t="n">
        <v>8700</v>
      </c>
      <c r="K62" s="37" t="n">
        <v>8700</v>
      </c>
      <c r="L62" s="37" t="n">
        <v>8700</v>
      </c>
      <c r="M62" s="37" t="n">
        <v>8700</v>
      </c>
      <c r="N62" s="37" t="n">
        <v>8700</v>
      </c>
      <c r="O62" s="54" t="n">
        <f aca="false">IF(COUNT(D62:N62)=0,"",SUM(D62:N62))</f>
        <v>87000</v>
      </c>
    </row>
    <row r="63" customFormat="false" ht="15" hidden="false" customHeight="false" outlineLevel="0" collapsed="false">
      <c r="A63" s="11" t="s">
        <v>2900</v>
      </c>
      <c r="B63" s="15" t="s">
        <v>1828</v>
      </c>
      <c r="C63" s="11" t="s">
        <v>508</v>
      </c>
      <c r="D63" s="37"/>
      <c r="E63" s="37" t="n">
        <v>12176</v>
      </c>
      <c r="F63" s="37" t="n">
        <v>12176</v>
      </c>
      <c r="G63" s="37" t="n">
        <v>12176</v>
      </c>
      <c r="H63" s="37" t="n">
        <v>12176</v>
      </c>
      <c r="I63" s="37" t="n">
        <v>12176</v>
      </c>
      <c r="J63" s="37" t="n">
        <v>0</v>
      </c>
      <c r="K63" s="37" t="n">
        <v>0</v>
      </c>
      <c r="L63" s="37" t="n">
        <v>0</v>
      </c>
      <c r="M63" s="37" t="n">
        <v>0</v>
      </c>
      <c r="N63" s="37" t="n">
        <v>0</v>
      </c>
      <c r="O63" s="54" t="n">
        <f aca="false">IF(COUNT(D63:N63)=0,"",SUM(D63:N63))</f>
        <v>60880</v>
      </c>
    </row>
    <row r="64" customFormat="false" ht="15" hidden="false" customHeight="false" outlineLevel="0" collapsed="false">
      <c r="A64" s="11" t="s">
        <v>2901</v>
      </c>
      <c r="B64" s="67" t="s">
        <v>2902</v>
      </c>
      <c r="C64" s="11" t="s">
        <v>508</v>
      </c>
      <c r="D64" s="37"/>
      <c r="E64" s="37" t="n">
        <v>71592</v>
      </c>
      <c r="F64" s="37" t="n">
        <v>71592</v>
      </c>
      <c r="G64" s="37" t="n">
        <v>71592</v>
      </c>
      <c r="H64" s="37" t="n">
        <v>71592</v>
      </c>
      <c r="I64" s="37" t="n">
        <v>71592</v>
      </c>
      <c r="J64" s="37" t="n">
        <v>59417</v>
      </c>
      <c r="K64" s="37" t="n">
        <v>59417</v>
      </c>
      <c r="L64" s="37" t="n">
        <v>59417</v>
      </c>
      <c r="M64" s="37" t="n">
        <v>59417</v>
      </c>
      <c r="N64" s="37" t="n">
        <v>59417</v>
      </c>
      <c r="O64" s="54" t="n">
        <f aca="false">IF(COUNT(D64:N64)=0,"",SUM(D64:N64))</f>
        <v>655045</v>
      </c>
    </row>
    <row r="65" customFormat="false" ht="15" hidden="false" customHeight="false" outlineLevel="0" collapsed="false">
      <c r="A65" s="11" t="s">
        <v>2903</v>
      </c>
      <c r="B65" s="15" t="s">
        <v>2904</v>
      </c>
      <c r="C65" s="11" t="s">
        <v>508</v>
      </c>
      <c r="O65" s="54" t="str">
        <f aca="false">IF(COUNT(D65:N65)=0,"",SUM(D65:N65))</f>
        <v/>
      </c>
    </row>
    <row r="66" customFormat="false" ht="15" hidden="false" customHeight="false" outlineLevel="0" collapsed="false">
      <c r="A66" s="11" t="s">
        <v>2905</v>
      </c>
      <c r="B66" s="15" t="s">
        <v>2906</v>
      </c>
      <c r="C66" s="11" t="s">
        <v>508</v>
      </c>
      <c r="D66" s="48" t="str">
        <f aca="false">IFERROR(IF(COUNT(D65,D64)=0,"",N(D65)-N(D64)),"")</f>
        <v/>
      </c>
      <c r="E66" s="48" t="n">
        <f aca="false">IFERROR(IF(COUNT(E65,E64)=0,"",N(E65)-N(E64)),"")</f>
        <v>-71592</v>
      </c>
      <c r="F66" s="48" t="n">
        <f aca="false">IFERROR(IF(COUNT(F65,F64)=0,"",N(F65)-N(F64)),"")</f>
        <v>-71592</v>
      </c>
      <c r="G66" s="48" t="n">
        <f aca="false">IFERROR(IF(COUNT(G65,G64)=0,"",N(G65)-N(G64)),"")</f>
        <v>-71592</v>
      </c>
      <c r="H66" s="48" t="n">
        <f aca="false">IFERROR(IF(COUNT(H65,H64)=0,"",N(H65)-N(H64)),"")</f>
        <v>-71592</v>
      </c>
      <c r="I66" s="48" t="n">
        <f aca="false">IFERROR(IF(COUNT(I65,I64)=0,"",N(I65)-N(I64)),"")</f>
        <v>-71592</v>
      </c>
      <c r="J66" s="48" t="n">
        <f aca="false">IFERROR(IF(COUNT(J65,J64)=0,"",N(J65)-N(J64)),"")</f>
        <v>-59417</v>
      </c>
      <c r="K66" s="48" t="n">
        <f aca="false">IFERROR(IF(COUNT(K65,K64)=0,"",N(K65)-N(K64)),"")</f>
        <v>-59417</v>
      </c>
      <c r="L66" s="48" t="n">
        <f aca="false">IFERROR(IF(COUNT(L65,L64)=0,"",N(L65)-N(L64)),"")</f>
        <v>-59417</v>
      </c>
      <c r="M66" s="48" t="n">
        <f aca="false">IFERROR(IF(COUNT(M65,M64)=0,"",N(M65)-N(M64)),"")</f>
        <v>-59417</v>
      </c>
      <c r="N66" s="48" t="n">
        <f aca="false">IFERROR(IF(COUNT(N65,N64)=0,"",N(N65)-N(N64)),"")</f>
        <v>-59417</v>
      </c>
      <c r="O66" s="54" t="n">
        <f aca="false">IF(COUNT(D66:N66)=0,"",SUM(D66:N66))</f>
        <v>-655045</v>
      </c>
    </row>
    <row r="67" customFormat="false" ht="15" hidden="false" customHeight="false" outlineLevel="0" collapsed="false">
      <c r="A67" s="11" t="s">
        <v>2907</v>
      </c>
      <c r="B67" s="67" t="s">
        <v>2908</v>
      </c>
      <c r="C67" s="11" t="s">
        <v>508</v>
      </c>
      <c r="D67" s="37"/>
      <c r="E67" s="37"/>
      <c r="F67" s="37"/>
      <c r="G67" s="37"/>
      <c r="H67" s="37"/>
      <c r="I67" s="37"/>
      <c r="J67" s="37"/>
      <c r="K67" s="37"/>
      <c r="L67" s="37"/>
      <c r="M67" s="37"/>
      <c r="N67" s="37"/>
      <c r="O67" s="54" t="n">
        <f aca="false">N67</f>
        <v>0</v>
      </c>
    </row>
    <row r="69" customFormat="false" ht="15" hidden="false" customHeight="false" outlineLevel="0" collapsed="false">
      <c r="A69" s="101" t="s">
        <v>1994</v>
      </c>
      <c r="B69" s="102"/>
      <c r="C69" s="102"/>
      <c r="D69" s="102"/>
      <c r="E69" s="102"/>
      <c r="F69" s="102"/>
      <c r="G69" s="102"/>
      <c r="H69" s="102"/>
      <c r="I69" s="102"/>
      <c r="J69" s="102"/>
      <c r="K69" s="102"/>
      <c r="L69" s="102"/>
      <c r="M69" s="102"/>
      <c r="N69" s="102"/>
      <c r="O69" s="102"/>
      <c r="P69" s="102"/>
    </row>
    <row r="70" customFormat="false" ht="24" hidden="false" customHeight="true" outlineLevel="0" collapsed="false">
      <c r="A70" s="14"/>
      <c r="B70" s="14" t="s">
        <v>1530</v>
      </c>
      <c r="C70" s="14" t="s">
        <v>355</v>
      </c>
      <c r="D70" s="14" t="s">
        <v>1857</v>
      </c>
      <c r="E70" s="14" t="s">
        <v>452</v>
      </c>
      <c r="F70" s="14" t="s">
        <v>453</v>
      </c>
      <c r="G70" s="14" t="s">
        <v>454</v>
      </c>
      <c r="H70" s="14" t="s">
        <v>455</v>
      </c>
      <c r="I70" s="14" t="s">
        <v>456</v>
      </c>
      <c r="J70" s="14" t="s">
        <v>457</v>
      </c>
      <c r="K70" s="14" t="s">
        <v>458</v>
      </c>
      <c r="L70" s="14" t="s">
        <v>459</v>
      </c>
      <c r="M70" s="14" t="s">
        <v>460</v>
      </c>
      <c r="N70" s="14" t="s">
        <v>461</v>
      </c>
      <c r="O70" s="14" t="s">
        <v>549</v>
      </c>
      <c r="P70" s="14" t="s">
        <v>1822</v>
      </c>
    </row>
    <row r="71" customFormat="false" ht="15" hidden="false" customHeight="false" outlineLevel="0" collapsed="false">
      <c r="B71" s="11" t="s">
        <v>1993</v>
      </c>
      <c r="D71" s="86" t="str">
        <f aca="false">IF(OR(n_Fecha1="",IF(cu_P=1,P_Inicio,V_Inicio)=1),"",YEAR(n_Fecha1))</f>
        <v/>
      </c>
      <c r="E71" s="86" t="str">
        <f aca="false">IF(n_Fecha1="","",YEAR(EOMONTH(n_Fecha1,IF(cu_P=1,P_Inicio,V_Inicio)-1+0)))</f>
        <v/>
      </c>
      <c r="F71" s="86" t="str">
        <f aca="false">IF(n_Fecha1="","",YEAR(EOMONTH(n_Fecha1,IF(cu_P=1,P_Inicio,V_Inicio)-1+12)))</f>
        <v/>
      </c>
      <c r="G71" s="86" t="str">
        <f aca="false">IF(n_Fecha1="","",YEAR(EOMONTH(n_Fecha1,IF(cu_P=1,P_Inicio,V_Inicio)-1+24)))</f>
        <v/>
      </c>
      <c r="H71" s="86" t="str">
        <f aca="false">IF(n_Fecha1="","",YEAR(EOMONTH(n_Fecha1,IF(cu_P=1,P_Inicio,V_Inicio)-1+36)))</f>
        <v/>
      </c>
      <c r="I71" s="86" t="str">
        <f aca="false">IF(n_Fecha1="","",YEAR(EOMONTH(n_Fecha1,IF(cu_P=1,P_Inicio,V_Inicio)-1+48)))</f>
        <v/>
      </c>
      <c r="J71" s="86" t="str">
        <f aca="false">IF(n_Fecha1="","",YEAR(EOMONTH(n_Fecha1,IF(cu_P=1,P_Inicio,V_Inicio)-1+60)))</f>
        <v/>
      </c>
      <c r="K71" s="86" t="str">
        <f aca="false">IF(n_Fecha1="","",YEAR(EOMONTH(n_Fecha1,IF(cu_P=1,P_Inicio,V_Inicio)-1+72)))</f>
        <v/>
      </c>
      <c r="L71" s="86" t="str">
        <f aca="false">IF(n_Fecha1="","",YEAR(EOMONTH(n_Fecha1,IF(cu_P=1,P_Inicio,V_Inicio)-1+84)))</f>
        <v/>
      </c>
      <c r="M71" s="86" t="str">
        <f aca="false">IF(n_Fecha1="","",YEAR(EOMONTH(n_Fecha1,IF(cu_P=1,P_Inicio,V_Inicio)-1+96)))</f>
        <v/>
      </c>
      <c r="N71" s="86" t="str">
        <f aca="false">IF(n_Fecha1="","",YEAR(EOMONTH(n_Fecha1,IF(cu_P=1,P_Inicio,V_Inicio)-1+108)))</f>
        <v/>
      </c>
    </row>
    <row r="72" customFormat="false" ht="15" hidden="false" customHeight="false" outlineLevel="0" collapsed="false">
      <c r="A72" s="11" t="s">
        <v>2876</v>
      </c>
      <c r="B72" s="53" t="str">
        <f aca="false">IF(Inversion!$B$6="","Ítem 1",Inversion!$B$6&amp;" — USD "&amp;FIXED(IF(cu_P=1,N(Inversion!$D$6),N(Inversion!$U$6)),0)&amp;" — "&amp;N(Inversion!$F$6)&amp;" años")</f>
        <v>Adecuación de infraestructura — USD 87,000 — 10 años</v>
      </c>
      <c r="C72" s="11" t="str">
        <f aca="false">IF(Inversion!$C$6="","",Inversion!$C$6)</f>
        <v>Infraestructura</v>
      </c>
      <c r="D72" s="48"/>
      <c r="E72" s="48"/>
      <c r="F72" s="48"/>
      <c r="G72" s="48"/>
      <c r="H72" s="48"/>
      <c r="I72" s="48"/>
      <c r="J72" s="48"/>
      <c r="K72" s="48"/>
      <c r="L72" s="48"/>
      <c r="M72" s="48"/>
      <c r="N72" s="48"/>
    </row>
    <row r="73" customFormat="false" ht="15" hidden="false" customHeight="false" outlineLevel="0" collapsed="false">
      <c r="A73" s="11" t="s">
        <v>2877</v>
      </c>
      <c r="B73" s="53" t="str">
        <f aca="false">IF(Inversion!$B$7="","Ítem 2",Inversion!$B$7&amp;" — USD "&amp;FIXED(IF(cu_P=1,N(Inversion!$D$7),N(Inversion!$U$7)),0)&amp;" — "&amp;N(Inversion!$F$7)&amp;" años")</f>
        <v>Conjunto línea de pintura — USD 183,074 — 10 años</v>
      </c>
      <c r="C73" s="11" t="str">
        <f aca="false">IF(Inversion!$C$7="","",Inversion!$C$7)</f>
        <v>Maquinaria</v>
      </c>
      <c r="D73" s="48"/>
      <c r="E73" s="48"/>
      <c r="F73" s="48"/>
      <c r="G73" s="48"/>
      <c r="H73" s="48"/>
      <c r="I73" s="48"/>
      <c r="J73" s="48"/>
      <c r="K73" s="48"/>
      <c r="L73" s="48"/>
      <c r="M73" s="48"/>
      <c r="N73" s="48"/>
    </row>
    <row r="74" customFormat="false" ht="15" hidden="false" customHeight="false" outlineLevel="0" collapsed="false">
      <c r="A74" s="11" t="s">
        <v>2878</v>
      </c>
      <c r="B74" s="53" t="str">
        <f aca="false">IF(Inversion!$B$8="","Ítem 3",Inversion!$B$8&amp;" — USD "&amp;FIXED(IF(cu_P=1,N(Inversion!$D$8),N(Inversion!$U$8)),0)&amp;" — "&amp;N(Inversion!$F$8)&amp;" años")</f>
        <v>Cortadoras láser (2) — USD 84,295 — 10 años</v>
      </c>
      <c r="C74" s="11" t="str">
        <f aca="false">IF(Inversion!$C$8="","",Inversion!$C$8)</f>
        <v>Maquinaria</v>
      </c>
      <c r="D74" s="48"/>
      <c r="E74" s="48"/>
      <c r="F74" s="48"/>
      <c r="G74" s="48"/>
      <c r="H74" s="48"/>
      <c r="I74" s="48"/>
      <c r="J74" s="48"/>
      <c r="K74" s="48"/>
      <c r="L74" s="48"/>
      <c r="M74" s="48"/>
      <c r="N74" s="48"/>
    </row>
    <row r="75" customFormat="false" ht="15" hidden="false" customHeight="false" outlineLevel="0" collapsed="false">
      <c r="A75" s="11" t="s">
        <v>2879</v>
      </c>
      <c r="B75" s="53" t="str">
        <f aca="false">IF(Inversion!$B$9="","Ítem 4",Inversion!$B$9&amp;" — USD "&amp;FIXED(IF(cu_P=1,N(Inversion!$D$9),N(Inversion!$U$9)),0)&amp;" — "&amp;N(Inversion!$F$9)&amp;" años")</f>
        <v>Manipulador — USD 10,197 — 10 años</v>
      </c>
      <c r="C75" s="11" t="str">
        <f aca="false">IF(Inversion!$C$9="","",Inversion!$C$9)</f>
        <v>Maquinaria</v>
      </c>
      <c r="D75" s="48"/>
      <c r="E75" s="48"/>
      <c r="F75" s="48"/>
      <c r="G75" s="48"/>
      <c r="H75" s="48"/>
      <c r="I75" s="48"/>
      <c r="J75" s="48"/>
      <c r="K75" s="48"/>
      <c r="L75" s="48"/>
      <c r="M75" s="48"/>
      <c r="N75" s="48"/>
    </row>
    <row r="76" customFormat="false" ht="15" hidden="false" customHeight="false" outlineLevel="0" collapsed="false">
      <c r="A76" s="11" t="s">
        <v>2880</v>
      </c>
      <c r="B76" s="53" t="str">
        <f aca="false">IF(Inversion!$B$10="","Ítem 5",Inversion!$B$10&amp;" — USD "&amp;FIXED(IF(cu_P=1,N(Inversion!$D$10),N(Inversion!$U$10)),0)&amp;" — "&amp;N(Inversion!$F$10)&amp;" años")</f>
        <v>Dobladoras (4) — USD 151,967 — 10 años</v>
      </c>
      <c r="C76" s="11" t="str">
        <f aca="false">IF(Inversion!$C$10="","",Inversion!$C$10)</f>
        <v>Maquinaria</v>
      </c>
      <c r="D76" s="48"/>
      <c r="E76" s="48"/>
      <c r="F76" s="48"/>
      <c r="G76" s="48"/>
      <c r="H76" s="48"/>
      <c r="I76" s="48"/>
      <c r="J76" s="48"/>
      <c r="K76" s="48"/>
      <c r="L76" s="48"/>
      <c r="M76" s="48"/>
      <c r="N76" s="48"/>
    </row>
    <row r="77" customFormat="false" ht="15" hidden="false" customHeight="false" outlineLevel="0" collapsed="false">
      <c r="A77" s="11" t="s">
        <v>2881</v>
      </c>
      <c r="B77" s="53" t="str">
        <f aca="false">IF(Inversion!$B$11="","Ítem 6",Inversion!$B$11&amp;" — USD "&amp;FIXED(IF(cu_P=1,N(Inversion!$D$11),N(Inversion!$U$11)),0)&amp;" — "&amp;N(Inversion!$F$11)&amp;" años")</f>
        <v>Soldadoras (6) — USD 3,399 — 10 años</v>
      </c>
      <c r="C77" s="11" t="str">
        <f aca="false">IF(Inversion!$C$11="","",Inversion!$C$11)</f>
        <v>Maquinaria</v>
      </c>
      <c r="D77" s="48"/>
      <c r="E77" s="48"/>
      <c r="F77" s="48"/>
      <c r="G77" s="48"/>
      <c r="H77" s="48"/>
      <c r="I77" s="48"/>
      <c r="J77" s="48"/>
      <c r="K77" s="48"/>
      <c r="L77" s="48"/>
      <c r="M77" s="48"/>
      <c r="N77" s="48"/>
    </row>
    <row r="78" customFormat="false" ht="15" hidden="false" customHeight="false" outlineLevel="0" collapsed="false">
      <c r="A78" s="11" t="s">
        <v>2882</v>
      </c>
      <c r="B78" s="53" t="str">
        <f aca="false">IF(Inversion!$B$12="","Ítem 7",Inversion!$B$12&amp;" — USD "&amp;FIXED(IF(cu_P=1,N(Inversion!$D$12),N(Inversion!$U$12)),0)&amp;" — "&amp;N(Inversion!$F$12)&amp;" años")</f>
        <v>Lijadoras (4) — USD 589 — 10 años</v>
      </c>
      <c r="C78" s="11" t="str">
        <f aca="false">IF(Inversion!$C$12="","",Inversion!$C$12)</f>
        <v>Maquinaria</v>
      </c>
      <c r="D78" s="48"/>
      <c r="E78" s="48"/>
      <c r="F78" s="48"/>
      <c r="G78" s="48"/>
      <c r="H78" s="48"/>
      <c r="I78" s="48"/>
      <c r="J78" s="48"/>
      <c r="K78" s="48"/>
      <c r="L78" s="48"/>
      <c r="M78" s="48"/>
      <c r="N78" s="48"/>
    </row>
    <row r="79" customFormat="false" ht="15" hidden="false" customHeight="false" outlineLevel="0" collapsed="false">
      <c r="A79" s="11" t="s">
        <v>2883</v>
      </c>
      <c r="B79" s="53" t="str">
        <f aca="false">IF(Inversion!$B$13="","Ítem 8",Inversion!$B$13&amp;" — USD "&amp;FIXED(IF(cu_P=1,N(Inversion!$D$13),N(Inversion!$U$13)),0)&amp;" — "&amp;N(Inversion!$F$13)&amp;" años")</f>
        <v>Conjunto baño — USD 28,325 — 10 años</v>
      </c>
      <c r="C79" s="11" t="str">
        <f aca="false">IF(Inversion!$C$13="","",Inversion!$C$13)</f>
        <v>Maquinaria</v>
      </c>
      <c r="D79" s="48"/>
      <c r="E79" s="48"/>
      <c r="F79" s="48"/>
      <c r="G79" s="48"/>
      <c r="H79" s="48"/>
      <c r="I79" s="48"/>
      <c r="J79" s="48"/>
      <c r="K79" s="48"/>
      <c r="L79" s="48"/>
      <c r="M79" s="48"/>
      <c r="N79" s="48"/>
    </row>
    <row r="80" customFormat="false" ht="15" hidden="false" customHeight="false" outlineLevel="0" collapsed="false">
      <c r="A80" s="11" t="s">
        <v>2884</v>
      </c>
      <c r="B80" s="53" t="str">
        <f aca="false">IF(Inversion!$B$14="","Ítem 9",Inversion!$B$14&amp;" — USD "&amp;FIXED(IF(cu_P=1,N(Inversion!$D$14),N(Inversion!$U$14)),0)&amp;" — "&amp;N(Inversion!$F$14)&amp;" años")</f>
        <v>Línea de montaje — USD 9,857 — 10 años</v>
      </c>
      <c r="C80" s="11" t="str">
        <f aca="false">IF(Inversion!$C$14="","",Inversion!$C$14)</f>
        <v>Maquinaria</v>
      </c>
      <c r="D80" s="48"/>
      <c r="E80" s="48"/>
      <c r="F80" s="48"/>
      <c r="G80" s="48"/>
      <c r="H80" s="48"/>
      <c r="I80" s="48"/>
      <c r="J80" s="48"/>
      <c r="K80" s="48"/>
      <c r="L80" s="48"/>
      <c r="M80" s="48"/>
      <c r="N80" s="48"/>
    </row>
    <row r="81" customFormat="false" ht="15" hidden="false" customHeight="false" outlineLevel="0" collapsed="false">
      <c r="A81" s="11" t="s">
        <v>2885</v>
      </c>
      <c r="B81" s="53" t="str">
        <f aca="false">IF(Inversion!$B$15="","Ítem 10",Inversion!$B$15&amp;" — USD "&amp;FIXED(IF(cu_P=1,N(Inversion!$D$15),N(Inversion!$U$15)),0)&amp;" — "&amp;N(Inversion!$F$15)&amp;" años")</f>
        <v>Montacargas — USD 29,458 — 10 años</v>
      </c>
      <c r="C81" s="11" t="str">
        <f aca="false">IF(Inversion!$C$15="","",Inversion!$C$15)</f>
        <v>Maquinaria</v>
      </c>
      <c r="D81" s="48"/>
      <c r="E81" s="48"/>
      <c r="F81" s="48"/>
      <c r="G81" s="48"/>
      <c r="H81" s="48"/>
      <c r="I81" s="48"/>
      <c r="J81" s="48"/>
      <c r="K81" s="48"/>
      <c r="L81" s="48"/>
      <c r="M81" s="48"/>
      <c r="N81" s="48"/>
    </row>
    <row r="82" customFormat="false" ht="15" hidden="false" customHeight="false" outlineLevel="0" collapsed="false">
      <c r="A82" s="11" t="s">
        <v>2886</v>
      </c>
      <c r="B82" s="53" t="str">
        <f aca="false">IF(Inversion!$B$16="","Ítem 11",Inversion!$B$16&amp;" — USD "&amp;FIXED(IF(cu_P=1,N(Inversion!$D$16),N(Inversion!$U$16)),0)&amp;" — "&amp;N(Inversion!$F$16)&amp;" años")</f>
        <v>Soldadoras capacitivas (2) — USD 6,005 — 10 años</v>
      </c>
      <c r="C82" s="11" t="str">
        <f aca="false">IF(Inversion!$C$16="","",Inversion!$C$16)</f>
        <v>Maquinaria</v>
      </c>
      <c r="D82" s="48"/>
      <c r="E82" s="48"/>
      <c r="F82" s="48"/>
      <c r="G82" s="48"/>
      <c r="H82" s="48"/>
      <c r="I82" s="48"/>
      <c r="J82" s="48"/>
      <c r="K82" s="48"/>
      <c r="L82" s="48"/>
      <c r="M82" s="48"/>
      <c r="N82" s="48"/>
    </row>
    <row r="83" customFormat="false" ht="15" hidden="false" customHeight="false" outlineLevel="0" collapsed="false">
      <c r="A83" s="11" t="s">
        <v>2887</v>
      </c>
      <c r="B83" s="53" t="str">
        <f aca="false">IF(Inversion!$B$17="","Ítem 12",Inversion!$B$17&amp;" — USD "&amp;FIXED(IF(cu_P=1,N(Inversion!$D$17),N(Inversion!$U$17)),0)&amp;" — "&amp;N(Inversion!$F$17)&amp;" años")</f>
        <v>Software de gestión — USD 43,478 — 5 años</v>
      </c>
      <c r="C83" s="11" t="str">
        <f aca="false">IF(Inversion!$C$17="","",Inversion!$C$17)</f>
        <v>Intangible</v>
      </c>
      <c r="D83" s="48"/>
      <c r="E83" s="48"/>
      <c r="F83" s="48"/>
      <c r="G83" s="48"/>
      <c r="H83" s="48"/>
      <c r="I83" s="48"/>
      <c r="J83" s="48"/>
      <c r="K83" s="48"/>
      <c r="L83" s="48"/>
      <c r="M83" s="48"/>
      <c r="N83" s="48"/>
    </row>
    <row r="84" customFormat="false" ht="15" hidden="false" customHeight="false" outlineLevel="0" collapsed="false">
      <c r="A84" s="11" t="s">
        <v>2888</v>
      </c>
      <c r="B84" s="53" t="str">
        <f aca="false">IF(Inversion!$B$18="","Ítem 13",Inversion!$B$18&amp;" — USD "&amp;FIXED(IF(cu_P=1,N(Inversion!$D$18),N(Inversion!$U$18)),0)&amp;" — "&amp;N(Inversion!$F$18)&amp;" años")</f>
        <v>Mobiliario — USD 17,400 — 5 años</v>
      </c>
      <c r="C84" s="11" t="str">
        <f aca="false">IF(Inversion!$C$18="","",Inversion!$C$18)</f>
        <v>Mobiliario</v>
      </c>
      <c r="D84" s="48"/>
      <c r="E84" s="48"/>
      <c r="F84" s="48"/>
      <c r="G84" s="48"/>
      <c r="H84" s="48"/>
      <c r="I84" s="48"/>
      <c r="J84" s="48"/>
      <c r="K84" s="48"/>
      <c r="L84" s="48"/>
      <c r="M84" s="48"/>
      <c r="N84" s="48"/>
    </row>
    <row r="85" customFormat="false" ht="15" hidden="false" customHeight="false" outlineLevel="0" collapsed="false">
      <c r="A85" s="11" t="s">
        <v>2889</v>
      </c>
      <c r="B85" s="53" t="str">
        <f aca="false">IF(Inversion!$B$19="","Ítem 14",Inversion!$B$19&amp;" — USD "&amp;FIXED(IF(cu_P=1,N(Inversion!$D$19),N(Inversion!$U$19)),0)&amp;" — "&amp;N(Inversion!$F$19)&amp;" años")</f>
        <v>Inversión adicional año 2 (no desagregada) — USD 100,000 — 10 años</v>
      </c>
      <c r="C85" s="11" t="str">
        <f aca="false">IF(Inversion!$C$19="","",Inversion!$C$19)</f>
        <v>Pendiente</v>
      </c>
      <c r="D85" s="48"/>
      <c r="E85" s="48"/>
      <c r="F85" s="48"/>
      <c r="G85" s="48"/>
      <c r="H85" s="48"/>
      <c r="I85" s="48"/>
      <c r="J85" s="48"/>
      <c r="K85" s="48"/>
      <c r="L85" s="48"/>
      <c r="M85" s="48"/>
      <c r="N85" s="48"/>
    </row>
    <row r="86" customFormat="false" ht="15" hidden="true" customHeight="false" outlineLevel="1" collapsed="false">
      <c r="A86" s="11" t="s">
        <v>2890</v>
      </c>
      <c r="B86" s="53" t="str">
        <f aca="false">IF(Inversion!$B$20="","Ítem 15",Inversion!$B$20&amp;" — USD "&amp;FIXED(IF(cu_P=1,N(Inversion!$D$20),N(Inversion!$U$20)),0)&amp;" — "&amp;N(Inversion!$F$20)&amp;" años")</f>
        <v>Ítem 15</v>
      </c>
      <c r="C86" s="11" t="str">
        <f aca="false">IF(Inversion!$C$20="","",Inversion!$C$20)</f>
        <v/>
      </c>
      <c r="D86" s="48"/>
      <c r="E86" s="48"/>
      <c r="F86" s="48"/>
      <c r="G86" s="48"/>
      <c r="H86" s="48"/>
      <c r="I86" s="48"/>
      <c r="J86" s="48"/>
      <c r="K86" s="48"/>
      <c r="L86" s="48"/>
      <c r="M86" s="48"/>
      <c r="N86" s="48"/>
    </row>
    <row r="87" customFormat="false" ht="15" hidden="true" customHeight="false" outlineLevel="1" collapsed="false">
      <c r="A87" s="11" t="s">
        <v>2891</v>
      </c>
      <c r="B87" s="53" t="str">
        <f aca="false">IF(Inversion!$B$21="","Ítem 16",Inversion!$B$21&amp;" — USD "&amp;FIXED(IF(cu_P=1,N(Inversion!$D$21),N(Inversion!$U$21)),0)&amp;" — "&amp;N(Inversion!$F$21)&amp;" años")</f>
        <v>Ítem 16</v>
      </c>
      <c r="C87" s="11" t="str">
        <f aca="false">IF(Inversion!$C$21="","",Inversion!$C$21)</f>
        <v/>
      </c>
      <c r="D87" s="48"/>
      <c r="E87" s="48"/>
      <c r="F87" s="48"/>
      <c r="G87" s="48"/>
      <c r="H87" s="48"/>
      <c r="I87" s="48"/>
      <c r="J87" s="48"/>
      <c r="K87" s="48"/>
      <c r="L87" s="48"/>
      <c r="M87" s="48"/>
      <c r="N87" s="48"/>
    </row>
    <row r="88" customFormat="false" ht="15" hidden="true" customHeight="false" outlineLevel="1" collapsed="false">
      <c r="A88" s="11" t="s">
        <v>2892</v>
      </c>
      <c r="B88" s="53" t="str">
        <f aca="false">IF(Inversion!$B$22="","Ítem 17",Inversion!$B$22&amp;" — USD "&amp;FIXED(IF(cu_P=1,N(Inversion!$D$22),N(Inversion!$U$22)),0)&amp;" — "&amp;N(Inversion!$F$22)&amp;" años")</f>
        <v>Ítem 17</v>
      </c>
      <c r="C88" s="11" t="str">
        <f aca="false">IF(Inversion!$C$22="","",Inversion!$C$22)</f>
        <v/>
      </c>
      <c r="D88" s="48"/>
      <c r="E88" s="48"/>
      <c r="F88" s="48"/>
      <c r="G88" s="48"/>
      <c r="H88" s="48"/>
      <c r="I88" s="48"/>
      <c r="J88" s="48"/>
      <c r="K88" s="48"/>
      <c r="L88" s="48"/>
      <c r="M88" s="48"/>
      <c r="N88" s="48"/>
    </row>
    <row r="89" customFormat="false" ht="15" hidden="true" customHeight="false" outlineLevel="1" collapsed="false">
      <c r="A89" s="11" t="s">
        <v>2893</v>
      </c>
      <c r="B89" s="53" t="str">
        <f aca="false">IF(Inversion!$B$23="","Ítem 18",Inversion!$B$23&amp;" — USD "&amp;FIXED(IF(cu_P=1,N(Inversion!$D$23),N(Inversion!$U$23)),0)&amp;" — "&amp;N(Inversion!$F$23)&amp;" años")</f>
        <v>Ítem 18</v>
      </c>
      <c r="C89" s="11" t="str">
        <f aca="false">IF(Inversion!$C$23="","",Inversion!$C$23)</f>
        <v/>
      </c>
      <c r="D89" s="48"/>
      <c r="E89" s="48"/>
      <c r="F89" s="48"/>
      <c r="G89" s="48"/>
      <c r="H89" s="48"/>
      <c r="I89" s="48"/>
      <c r="J89" s="48"/>
      <c r="K89" s="48"/>
      <c r="L89" s="48"/>
      <c r="M89" s="48"/>
      <c r="N89" s="48"/>
    </row>
    <row r="90" customFormat="false" ht="15" hidden="true" customHeight="false" outlineLevel="1" collapsed="false">
      <c r="A90" s="11" t="s">
        <v>2894</v>
      </c>
      <c r="B90" s="53" t="str">
        <f aca="false">IF(Inversion!$B$24="","Ítem 19",Inversion!$B$24&amp;" — USD "&amp;FIXED(IF(cu_P=1,N(Inversion!$D$24),N(Inversion!$U$24)),0)&amp;" — "&amp;N(Inversion!$F$24)&amp;" años")</f>
        <v>Ítem 19</v>
      </c>
      <c r="C90" s="11" t="str">
        <f aca="false">IF(Inversion!$C$24="","",Inversion!$C$24)</f>
        <v/>
      </c>
      <c r="D90" s="48"/>
      <c r="E90" s="48"/>
      <c r="F90" s="48"/>
      <c r="G90" s="48"/>
      <c r="H90" s="48"/>
      <c r="I90" s="48"/>
      <c r="J90" s="48"/>
      <c r="K90" s="48"/>
      <c r="L90" s="48"/>
      <c r="M90" s="48"/>
      <c r="N90" s="48"/>
    </row>
    <row r="91" customFormat="false" ht="15" hidden="true" customHeight="false" outlineLevel="1" collapsed="false">
      <c r="A91" s="11" t="s">
        <v>2895</v>
      </c>
      <c r="B91" s="53" t="str">
        <f aca="false">IF(Inversion!$B$25="","Ítem 20",Inversion!$B$25&amp;" — USD "&amp;FIXED(IF(cu_P=1,N(Inversion!$D$25),N(Inversion!$U$25)),0)&amp;" — "&amp;N(Inversion!$F$25)&amp;" años")</f>
        <v>Ítem 20</v>
      </c>
      <c r="C91" s="11" t="str">
        <f aca="false">IF(Inversion!$C$25="","",Inversion!$C$25)</f>
        <v/>
      </c>
      <c r="D91" s="48"/>
      <c r="E91" s="48"/>
      <c r="F91" s="48"/>
      <c r="G91" s="48"/>
      <c r="H91" s="48"/>
      <c r="I91" s="48"/>
      <c r="J91" s="48"/>
      <c r="K91" s="48"/>
      <c r="L91" s="48"/>
      <c r="M91" s="48"/>
      <c r="N91" s="48"/>
    </row>
    <row r="92" customFormat="false" ht="15" hidden="false" customHeight="false" outlineLevel="0" collapsed="false">
      <c r="A92" s="13"/>
      <c r="B92" s="100" t="s">
        <v>2896</v>
      </c>
      <c r="C92" s="13"/>
      <c r="D92" s="13"/>
      <c r="E92" s="13"/>
      <c r="F92" s="13"/>
      <c r="G92" s="13"/>
      <c r="H92" s="13"/>
      <c r="I92" s="13"/>
      <c r="J92" s="13"/>
      <c r="K92" s="13"/>
      <c r="L92" s="13"/>
      <c r="M92" s="13"/>
      <c r="N92" s="13"/>
      <c r="O92" s="13"/>
      <c r="P92" s="13"/>
    </row>
    <row r="93" customFormat="false" ht="15" hidden="false" customHeight="false" outlineLevel="0" collapsed="false">
      <c r="A93" s="11" t="s">
        <v>2897</v>
      </c>
      <c r="B93" s="15" t="s">
        <v>2898</v>
      </c>
      <c r="C93" s="11" t="s">
        <v>508</v>
      </c>
      <c r="D93" s="48" t="str">
        <f aca="false">IF(OR(NOT(ISNUMBER(D29)),NOT(ISNUMBER(D61))),"",D29-D61)</f>
        <v/>
      </c>
      <c r="E93" s="48" t="n">
        <f aca="false">IF(OR(NOT(ISNUMBER(E29)),NOT(ISNUMBER(E61))),"",E29-E61)</f>
        <v>-0.39100000000326</v>
      </c>
      <c r="F93" s="48" t="n">
        <f aca="false">IF(OR(NOT(ISNUMBER(F29)),NOT(ISNUMBER(F61))),"",F29-F61)</f>
        <v>-0.39100000000326</v>
      </c>
      <c r="G93" s="48" t="n">
        <f aca="false">IF(OR(NOT(ISNUMBER(G29)),NOT(ISNUMBER(G61))),"",G29-G61)</f>
        <v>-0.39100000000326</v>
      </c>
      <c r="H93" s="48" t="n">
        <f aca="false">IF(OR(NOT(ISNUMBER(H29)),NOT(ISNUMBER(H61))),"",H29-H61)</f>
        <v>-0.39100000000326</v>
      </c>
      <c r="I93" s="48" t="n">
        <f aca="false">IF(OR(NOT(ISNUMBER(I29)),NOT(ISNUMBER(I61))),"",I29-I61)</f>
        <v>-0.39100000000326</v>
      </c>
      <c r="J93" s="48" t="n">
        <f aca="false">IF(OR(NOT(ISNUMBER(J29)),NOT(ISNUMBER(J61))),"",J29-J61)</f>
        <v>-0.39100000000326</v>
      </c>
      <c r="K93" s="48" t="n">
        <f aca="false">IF(OR(NOT(ISNUMBER(K29)),NOT(ISNUMBER(K61))),"",K29-K61)</f>
        <v>-0.39100000000326</v>
      </c>
      <c r="L93" s="48" t="n">
        <f aca="false">IF(OR(NOT(ISNUMBER(L29)),NOT(ISNUMBER(L61))),"",L29-L61)</f>
        <v>-0.39100000000326</v>
      </c>
      <c r="M93" s="48" t="n">
        <f aca="false">IF(OR(NOT(ISNUMBER(M29)),NOT(ISNUMBER(M61))),"",M29-M61)</f>
        <v>-0.39100000000326</v>
      </c>
      <c r="N93" s="48" t="n">
        <f aca="false">IF(OR(NOT(ISNUMBER(N29)),NOT(ISNUMBER(N61))),"",N29-N61)</f>
        <v>-0.39100000000326</v>
      </c>
      <c r="O93" s="54" t="n">
        <f aca="false">IF(OR(NOT(ISNUMBER(O29)),NOT(ISNUMBER(O61))),"",O29-O61)</f>
        <v>-3.9100000000326</v>
      </c>
      <c r="P93" s="11" t="str">
        <f aca="false">IF(COUNT(D93:N93)=0,"",IF(AND(MAX(D93:N93)&lt;2,MIN(D93:N93)&gt;-2),"Sin diferencia","Diferencia a explicar"))</f>
        <v>Sin diferencia</v>
      </c>
    </row>
    <row r="94" customFormat="false" ht="15" hidden="false" customHeight="false" outlineLevel="0" collapsed="false">
      <c r="A94" s="11" t="s">
        <v>2899</v>
      </c>
      <c r="B94" s="15" t="s">
        <v>654</v>
      </c>
      <c r="C94" s="11" t="s">
        <v>508</v>
      </c>
      <c r="D94" s="48" t="str">
        <f aca="false">IF(OR(NOT(ISNUMBER(D30)),NOT(ISNUMBER(D62))),"",D30-D62)</f>
        <v/>
      </c>
      <c r="E94" s="48" t="n">
        <f aca="false">IF(OR(NOT(ISNUMBER(E30)),NOT(ISNUMBER(E62))),"",E30-E62)</f>
        <v>0</v>
      </c>
      <c r="F94" s="48" t="n">
        <f aca="false">IF(OR(NOT(ISNUMBER(F30)),NOT(ISNUMBER(F62))),"",F30-F62)</f>
        <v>0</v>
      </c>
      <c r="G94" s="48" t="n">
        <f aca="false">IF(OR(NOT(ISNUMBER(G30)),NOT(ISNUMBER(G62))),"",G30-G62)</f>
        <v>0</v>
      </c>
      <c r="H94" s="48" t="n">
        <f aca="false">IF(OR(NOT(ISNUMBER(H30)),NOT(ISNUMBER(H62))),"",H30-H62)</f>
        <v>0</v>
      </c>
      <c r="I94" s="48" t="n">
        <f aca="false">IF(OR(NOT(ISNUMBER(I30)),NOT(ISNUMBER(I62))),"",I30-I62)</f>
        <v>0</v>
      </c>
      <c r="J94" s="48" t="n">
        <f aca="false">IF(OR(NOT(ISNUMBER(J30)),NOT(ISNUMBER(J62))),"",J30-J62)</f>
        <v>0</v>
      </c>
      <c r="K94" s="48" t="n">
        <f aca="false">IF(OR(NOT(ISNUMBER(K30)),NOT(ISNUMBER(K62))),"",K30-K62)</f>
        <v>0</v>
      </c>
      <c r="L94" s="48" t="n">
        <f aca="false">IF(OR(NOT(ISNUMBER(L30)),NOT(ISNUMBER(L62))),"",L30-L62)</f>
        <v>0</v>
      </c>
      <c r="M94" s="48" t="n">
        <f aca="false">IF(OR(NOT(ISNUMBER(M30)),NOT(ISNUMBER(M62))),"",M30-M62)</f>
        <v>0</v>
      </c>
      <c r="N94" s="48" t="n">
        <f aca="false">IF(OR(NOT(ISNUMBER(N30)),NOT(ISNUMBER(N62))),"",N30-N62)</f>
        <v>0</v>
      </c>
      <c r="O94" s="54" t="n">
        <f aca="false">IF(OR(NOT(ISNUMBER(O30)),NOT(ISNUMBER(O62))),"",O30-O62)</f>
        <v>0</v>
      </c>
      <c r="P94" s="11" t="str">
        <f aca="false">IF(COUNT(D94:N94)=0,"",IF(AND(MAX(D94:N94)&lt;2,MIN(D94:N94)&gt;-2),"Sin diferencia","Diferencia a explicar"))</f>
        <v>Sin diferencia</v>
      </c>
    </row>
    <row r="95" customFormat="false" ht="15" hidden="false" customHeight="false" outlineLevel="0" collapsed="false">
      <c r="A95" s="11" t="s">
        <v>2900</v>
      </c>
      <c r="B95" s="15" t="s">
        <v>1828</v>
      </c>
      <c r="C95" s="11" t="s">
        <v>508</v>
      </c>
      <c r="D95" s="48" t="str">
        <f aca="false">IF(OR(NOT(ISNUMBER(D31)),NOT(ISNUMBER(D63))),"",D31-D63)</f>
        <v/>
      </c>
      <c r="E95" s="48" t="n">
        <f aca="false">IF(OR(NOT(ISNUMBER(E31)),NOT(ISNUMBER(E63))),"",E31-E63)</f>
        <v>-0.399999999994179</v>
      </c>
      <c r="F95" s="48" t="n">
        <f aca="false">IF(OR(NOT(ISNUMBER(F31)),NOT(ISNUMBER(F63))),"",F31-F63)</f>
        <v>9999.60000000001</v>
      </c>
      <c r="G95" s="48" t="n">
        <f aca="false">IF(OR(NOT(ISNUMBER(G31)),NOT(ISNUMBER(G63))),"",G31-G63)</f>
        <v>9999.60000000001</v>
      </c>
      <c r="H95" s="48" t="n">
        <f aca="false">IF(OR(NOT(ISNUMBER(H31)),NOT(ISNUMBER(H63))),"",H31-H63)</f>
        <v>9999.60000000001</v>
      </c>
      <c r="I95" s="48" t="n">
        <f aca="false">IF(OR(NOT(ISNUMBER(I31)),NOT(ISNUMBER(I63))),"",I31-I63)</f>
        <v>9999.60000000001</v>
      </c>
      <c r="J95" s="48" t="n">
        <f aca="false">IF(OR(NOT(ISNUMBER(J31)),NOT(ISNUMBER(J63))),"",J31-J63)</f>
        <v>10000</v>
      </c>
      <c r="K95" s="48" t="n">
        <f aca="false">IF(OR(NOT(ISNUMBER(K31)),NOT(ISNUMBER(K63))),"",K31-K63)</f>
        <v>10000</v>
      </c>
      <c r="L95" s="48" t="n">
        <f aca="false">IF(OR(NOT(ISNUMBER(L31)),NOT(ISNUMBER(L63))),"",L31-L63)</f>
        <v>10000</v>
      </c>
      <c r="M95" s="48" t="n">
        <f aca="false">IF(OR(NOT(ISNUMBER(M31)),NOT(ISNUMBER(M63))),"",M31-M63)</f>
        <v>10000</v>
      </c>
      <c r="N95" s="48" t="n">
        <f aca="false">IF(OR(NOT(ISNUMBER(N31)),NOT(ISNUMBER(N63))),"",N31-N63)</f>
        <v>10000</v>
      </c>
      <c r="O95" s="54" t="n">
        <f aca="false">IF(OR(NOT(ISNUMBER(O31)),NOT(ISNUMBER(O63))),"",O31-O63)</f>
        <v>89998</v>
      </c>
      <c r="P95" s="11" t="str">
        <f aca="false">IF(COUNT(D95:N95)=0,"",IF(AND(MAX(D95:N95)&lt;2,MIN(D95:N95)&gt;-2),"Sin diferencia","La inversión adicional del año 2 (100.000) se deprecia en el modelo (10.000 por año); el plan no la deprecia."))</f>
        <v>La inversión adicional del año 2 (100.000) se deprecia en el modelo (10.000 por año); el plan no la deprecia.</v>
      </c>
    </row>
    <row r="96" customFormat="false" ht="15" hidden="false" customHeight="false" outlineLevel="0" collapsed="false">
      <c r="A96" s="11" t="s">
        <v>2901</v>
      </c>
      <c r="B96" s="67" t="s">
        <v>2902</v>
      </c>
      <c r="C96" s="11" t="s">
        <v>508</v>
      </c>
      <c r="D96" s="54" t="str">
        <f aca="false">IF(OR(NOT(ISNUMBER(D32)),NOT(ISNUMBER(D64))),"",D32-D64)</f>
        <v/>
      </c>
      <c r="E96" s="54" t="n">
        <f aca="false">IF(OR(NOT(ISNUMBER(E32)),NOT(ISNUMBER(E64))),"",E32-E64)</f>
        <v>0.209000000002561</v>
      </c>
      <c r="F96" s="54" t="n">
        <f aca="false">IF(OR(NOT(ISNUMBER(F32)),NOT(ISNUMBER(F64))),"",F32-F64)</f>
        <v>10000.209</v>
      </c>
      <c r="G96" s="54" t="n">
        <f aca="false">IF(OR(NOT(ISNUMBER(G32)),NOT(ISNUMBER(G64))),"",G32-G64)</f>
        <v>10000.209</v>
      </c>
      <c r="H96" s="54" t="n">
        <f aca="false">IF(OR(NOT(ISNUMBER(H32)),NOT(ISNUMBER(H64))),"",H32-H64)</f>
        <v>10000.209</v>
      </c>
      <c r="I96" s="54" t="n">
        <f aca="false">IF(OR(NOT(ISNUMBER(I32)),NOT(ISNUMBER(I64))),"",I32-I64)</f>
        <v>10000.209</v>
      </c>
      <c r="J96" s="54" t="n">
        <f aca="false">IF(OR(NOT(ISNUMBER(J32)),NOT(ISNUMBER(J64))),"",J32-J64)</f>
        <v>9999.609</v>
      </c>
      <c r="K96" s="54" t="n">
        <f aca="false">IF(OR(NOT(ISNUMBER(K32)),NOT(ISNUMBER(K64))),"",K32-K64)</f>
        <v>9999.609</v>
      </c>
      <c r="L96" s="54" t="n">
        <f aca="false">IF(OR(NOT(ISNUMBER(L32)),NOT(ISNUMBER(L64))),"",L32-L64)</f>
        <v>9999.609</v>
      </c>
      <c r="M96" s="54" t="n">
        <f aca="false">IF(OR(NOT(ISNUMBER(M32)),NOT(ISNUMBER(M64))),"",M32-M64)</f>
        <v>9999.609</v>
      </c>
      <c r="N96" s="54" t="n">
        <f aca="false">IF(OR(NOT(ISNUMBER(N32)),NOT(ISNUMBER(N64))),"",N32-N64)</f>
        <v>9999.609</v>
      </c>
      <c r="O96" s="54" t="n">
        <f aca="false">IF(OR(NOT(ISNUMBER(O32)),NOT(ISNUMBER(O64))),"",O32-O64)</f>
        <v>89999.0900000001</v>
      </c>
      <c r="P96" s="11" t="str">
        <f aca="false">IF(COUNT(D96:N96)=0,"",IF(AND(MAX(D96:N96)&lt;2,MIN(D96:N96)&gt;-2),"Sin diferencia","La inversión adicional del año 2 (100.000) se deprecia en el modelo (10.000 por año); el plan no la deprecia."))</f>
        <v>La inversión adicional del año 2 (100.000) se deprecia en el modelo (10.000 por año); el plan no la deprecia.</v>
      </c>
    </row>
    <row r="97" customFormat="false" ht="15" hidden="false" customHeight="false" outlineLevel="0" collapsed="false">
      <c r="A97" s="11" t="s">
        <v>2903</v>
      </c>
      <c r="B97" s="15" t="s">
        <v>2904</v>
      </c>
      <c r="C97" s="11" t="s">
        <v>508</v>
      </c>
      <c r="D97" s="48"/>
      <c r="E97" s="48"/>
      <c r="F97" s="48"/>
      <c r="G97" s="48"/>
      <c r="H97" s="48"/>
      <c r="I97" s="48"/>
      <c r="J97" s="48"/>
      <c r="K97" s="48"/>
      <c r="L97" s="48"/>
      <c r="M97" s="48"/>
      <c r="N97" s="48"/>
    </row>
    <row r="98" customFormat="false" ht="15" hidden="false" customHeight="false" outlineLevel="0" collapsed="false">
      <c r="A98" s="11" t="s">
        <v>2905</v>
      </c>
      <c r="B98" s="15" t="s">
        <v>2906</v>
      </c>
      <c r="C98" s="11" t="s">
        <v>508</v>
      </c>
      <c r="D98" s="48"/>
      <c r="E98" s="48"/>
      <c r="F98" s="48"/>
      <c r="G98" s="48"/>
      <c r="H98" s="48"/>
      <c r="I98" s="48"/>
      <c r="J98" s="48"/>
      <c r="K98" s="48"/>
      <c r="L98" s="48"/>
      <c r="M98" s="48"/>
      <c r="N98" s="48"/>
    </row>
    <row r="99" customFormat="false" ht="15" hidden="false" customHeight="false" outlineLevel="0" collapsed="false">
      <c r="A99" s="11" t="s">
        <v>2907</v>
      </c>
      <c r="B99" s="67" t="s">
        <v>2908</v>
      </c>
      <c r="C99" s="11" t="s">
        <v>508</v>
      </c>
      <c r="D99" s="54" t="str">
        <f aca="false">IF(OR(NOT(ISNUMBER(D35)),NOT(ISNUMBER(D67))),"",D35-D67)</f>
        <v/>
      </c>
      <c r="E99" s="54" t="str">
        <f aca="false">IF(OR(NOT(ISNUMBER(E35)),NOT(ISNUMBER(E67))),"",E35-E67)</f>
        <v/>
      </c>
      <c r="F99" s="54" t="str">
        <f aca="false">IF(OR(NOT(ISNUMBER(F35)),NOT(ISNUMBER(F67))),"",F35-F67)</f>
        <v/>
      </c>
      <c r="G99" s="54" t="str">
        <f aca="false">IF(OR(NOT(ISNUMBER(G35)),NOT(ISNUMBER(G67))),"",G35-G67)</f>
        <v/>
      </c>
      <c r="H99" s="54" t="str">
        <f aca="false">IF(OR(NOT(ISNUMBER(H35)),NOT(ISNUMBER(H67))),"",H35-H67)</f>
        <v/>
      </c>
      <c r="I99" s="54" t="str">
        <f aca="false">IF(OR(NOT(ISNUMBER(I35)),NOT(ISNUMBER(I67))),"",I35-I67)</f>
        <v/>
      </c>
      <c r="J99" s="54" t="str">
        <f aca="false">IF(OR(NOT(ISNUMBER(J35)),NOT(ISNUMBER(J67))),"",J35-J67)</f>
        <v/>
      </c>
      <c r="K99" s="54" t="str">
        <f aca="false">IF(OR(NOT(ISNUMBER(K35)),NOT(ISNUMBER(K67))),"",K35-K67)</f>
        <v/>
      </c>
      <c r="L99" s="54" t="str">
        <f aca="false">IF(OR(NOT(ISNUMBER(L35)),NOT(ISNUMBER(L67))),"",L35-L67)</f>
        <v/>
      </c>
      <c r="M99" s="54" t="str">
        <f aca="false">IF(OR(NOT(ISNUMBER(M35)),NOT(ISNUMBER(M67))),"",M35-M67)</f>
        <v/>
      </c>
      <c r="N99" s="54" t="str">
        <f aca="false">IF(OR(NOT(ISNUMBER(N35)),NOT(ISNUMBER(N67))),"",N35-N67)</f>
        <v/>
      </c>
      <c r="O99" s="54" t="str">
        <f aca="false">IF(OR(NOT(ISNUMBER(O35)),NOT(ISNUMBER(O67))),"",O35-O67)</f>
        <v/>
      </c>
      <c r="P99" s="11" t="str">
        <f aca="false">IF(COUNT(D99:N99)=0,"",IF(AND(MAX(D99:N99)&lt;2,MIN(D99:N99)&gt;-2),"Sin diferencia","Diferencia a explicar"))</f>
        <v/>
      </c>
    </row>
    <row r="101" customFormat="false" ht="15" hidden="false" customHeight="false" outlineLevel="0" collapsed="false">
      <c r="A101" s="12" t="s">
        <v>240</v>
      </c>
      <c r="B101" s="13"/>
      <c r="C101" s="13"/>
      <c r="D101" s="13"/>
      <c r="E101" s="13"/>
      <c r="F101" s="13"/>
      <c r="G101" s="13"/>
      <c r="H101" s="13"/>
      <c r="I101" s="13"/>
      <c r="J101" s="13"/>
      <c r="K101" s="13"/>
      <c r="L101" s="13"/>
      <c r="M101" s="13"/>
      <c r="N101" s="13"/>
      <c r="O101" s="13"/>
    </row>
    <row r="102" customFormat="false" ht="15" hidden="false" customHeight="false" outlineLevel="0" collapsed="false">
      <c r="B102" s="11" t="s">
        <v>2909</v>
      </c>
    </row>
    <row r="103" customFormat="false" ht="15" hidden="false" customHeight="false" outlineLevel="0" collapsed="false">
      <c r="B103" s="11" t="s">
        <v>1854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24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0" t="s">
        <v>2910</v>
      </c>
      <c r="O1" s="30" t="str">
        <f aca="false">HYPERLINK("#Cuadros!A1","← Índice de cuadros")</f>
        <v>← Índice de cuadros</v>
      </c>
    </row>
    <row r="2" customFormat="false" ht="15" hidden="false" customHeight="false" outlineLevel="0" collapsed="false">
      <c r="A2" s="72"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11" t="str">
        <f aca="false">"Plan de referencia: "&amp;IF(n_Version="","(sin versión)",n_Version)&amp;" — pág. 30-34"</f>
        <v>Plan de referencia: Plan CIE–PERG Oct-2025 — pág. 30-34</v>
      </c>
    </row>
    <row r="5" customFormat="false" ht="15" hidden="false" customHeight="false" outlineLevel="0" collapsed="false">
      <c r="A5" s="71" t="s">
        <v>1856</v>
      </c>
      <c r="B5" s="70"/>
      <c r="C5" s="70"/>
      <c r="D5" s="70"/>
      <c r="E5" s="70"/>
      <c r="F5" s="70"/>
      <c r="G5" s="70"/>
      <c r="H5" s="70"/>
      <c r="I5" s="70"/>
      <c r="J5" s="70"/>
      <c r="K5" s="70"/>
      <c r="L5" s="70"/>
      <c r="M5" s="70"/>
      <c r="N5" s="70"/>
      <c r="O5" s="70"/>
    </row>
    <row r="6" customFormat="false" ht="24" hidden="false" customHeight="true" outlineLevel="0" collapsed="false">
      <c r="A6" s="14"/>
      <c r="B6" s="14" t="s">
        <v>1530</v>
      </c>
      <c r="C6" s="14" t="s">
        <v>355</v>
      </c>
      <c r="D6" s="14" t="s">
        <v>1857</v>
      </c>
      <c r="E6" s="14" t="s">
        <v>452</v>
      </c>
      <c r="F6" s="14" t="s">
        <v>453</v>
      </c>
      <c r="G6" s="14" t="s">
        <v>454</v>
      </c>
      <c r="H6" s="14" t="s">
        <v>455</v>
      </c>
      <c r="I6" s="14" t="s">
        <v>456</v>
      </c>
      <c r="J6" s="14" t="s">
        <v>457</v>
      </c>
      <c r="K6" s="14" t="s">
        <v>458</v>
      </c>
      <c r="L6" s="14" t="s">
        <v>459</v>
      </c>
      <c r="M6" s="14" t="s">
        <v>460</v>
      </c>
      <c r="N6" s="14" t="s">
        <v>461</v>
      </c>
      <c r="O6" s="14" t="s">
        <v>549</v>
      </c>
    </row>
    <row r="7" customFormat="false" ht="15" hidden="false" customHeight="false" outlineLevel="0" collapsed="false">
      <c r="B7" s="11" t="s">
        <v>1533</v>
      </c>
      <c r="D7" s="86" t="str">
        <f aca="false">IF(cu_P=1,"Presupuesto",IF(V_Inicio=1,"—",IF(Corte&gt;=V_Inicio-1,"Real",IF(Corte&gt;0,"Real+Proy.","Proyección"))))</f>
        <v>—</v>
      </c>
      <c r="E7" s="86" t="str">
        <f aca="false">IF(cu_P=1,"Presupuesto",IF(Corte&gt;=V_Inicio+11,"Real",IF(Corte&gt;=V_Inicio+0,"Real+Proy.","Proyección")))</f>
        <v>Proyección</v>
      </c>
      <c r="F7" s="86" t="str">
        <f aca="false">IF(cu_P=1,"Presupuesto",IF(Corte&gt;=V_Inicio+23,"Real",IF(Corte&gt;=V_Inicio+12,"Real+Proy.","Proyección")))</f>
        <v>Proyección</v>
      </c>
      <c r="G7" s="86" t="str">
        <f aca="false">IF(cu_P=1,"Presupuesto",IF(Corte&gt;=V_Inicio+35,"Real",IF(Corte&gt;=V_Inicio+24,"Real+Proy.","Proyección")))</f>
        <v>Proyección</v>
      </c>
      <c r="H7" s="86" t="str">
        <f aca="false">IF(cu_P=1,"Presupuesto",IF(Corte&gt;=V_Inicio+47,"Real",IF(Corte&gt;=V_Inicio+36,"Real+Proy.","Proyección")))</f>
        <v>Proyección</v>
      </c>
      <c r="I7" s="86" t="str">
        <f aca="false">IF(cu_P=1,"Presupuesto",IF(Corte&gt;=V_Inicio+59,"Real",IF(Corte&gt;=V_Inicio+48,"Real+Proy.","Proyección")))</f>
        <v>Proyección</v>
      </c>
      <c r="J7" s="86" t="str">
        <f aca="false">IF(cu_P=1,"Presupuesto",IF(Corte&gt;=V_Inicio+71,"Real",IF(Corte&gt;=V_Inicio+60,"Real+Proy.","Proyección")))</f>
        <v>Proyección</v>
      </c>
      <c r="K7" s="86" t="str">
        <f aca="false">IF(cu_P=1,"Presupuesto",IF(Corte&gt;=V_Inicio+83,"Real",IF(Corte&gt;=V_Inicio+72,"Real+Proy.","Proyección")))</f>
        <v>Proyección</v>
      </c>
      <c r="L7" s="86" t="str">
        <f aca="false">IF(cu_P=1,"Presupuesto",IF(Corte&gt;=V_Inicio+95,"Real",IF(Corte&gt;=V_Inicio+84,"Real+Proy.","Proyección")))</f>
        <v>Proyección</v>
      </c>
      <c r="M7" s="86" t="str">
        <f aca="false">IF(cu_P=1,"Presupuesto",IF(Corte&gt;=V_Inicio+107,"Real",IF(Corte&gt;=V_Inicio+96,"Real+Proy.","Proyección")))</f>
        <v>Proyección</v>
      </c>
      <c r="N7" s="86" t="str">
        <f aca="false">IF(cu_P=1,"Presupuesto",IF(Corte&gt;=V_Inicio+119,"Real",IF(Corte&gt;=V_Inicio+108,"Real+Proy.","Proyección")))</f>
        <v>Proyección</v>
      </c>
    </row>
    <row r="8" customFormat="false" ht="15" hidden="false" customHeight="false" outlineLevel="0" collapsed="false">
      <c r="A8" s="13"/>
      <c r="B8" s="100" t="s">
        <v>2911</v>
      </c>
      <c r="C8" s="13"/>
      <c r="D8" s="13"/>
      <c r="E8" s="13"/>
      <c r="F8" s="13"/>
      <c r="G8" s="13"/>
      <c r="H8" s="13"/>
      <c r="I8" s="13"/>
      <c r="J8" s="13"/>
      <c r="K8" s="13"/>
      <c r="L8" s="13"/>
      <c r="M8" s="13"/>
      <c r="N8" s="13"/>
      <c r="O8" s="13"/>
    </row>
    <row r="9" customFormat="false" ht="15" hidden="false" customHeight="false" outlineLevel="0" collapsed="false">
      <c r="A9" s="11" t="s">
        <v>2912</v>
      </c>
      <c r="B9" s="53" t="str">
        <f aca="false">IF(Costos!$B$6="","Puesto 1",Costos!$B$6&amp;" ("&amp;Costos!$C$6&amp;")")</f>
        <v>Operador láser (Directo)</v>
      </c>
      <c r="C9" s="11" t="s">
        <v>853</v>
      </c>
      <c r="E9" s="48" t="n">
        <f aca="false">IF(cu_P=1,N(INDEX(Dot_O,1,1)),N(INDEX(Dot_V,1,1)))</f>
        <v>4</v>
      </c>
      <c r="F9" s="48" t="n">
        <f aca="false">IF(cu_P=1,N(INDEX(Dot_O,1,2)),N(INDEX(Dot_V,1,2)))</f>
        <v>4</v>
      </c>
      <c r="G9" s="48" t="n">
        <f aca="false">IF(cu_P=1,N(INDEX(Dot_O,1,3)),N(INDEX(Dot_V,1,3)))</f>
        <v>5</v>
      </c>
      <c r="H9" s="48" t="n">
        <f aca="false">IF(cu_P=1,N(INDEX(Dot_O,1,4)),N(INDEX(Dot_V,1,4)))</f>
        <v>5</v>
      </c>
      <c r="I9" s="48" t="n">
        <f aca="false">IF(cu_P=1,N(INDEX(Dot_O,1,5)),N(INDEX(Dot_V,1,5)))</f>
        <v>6</v>
      </c>
      <c r="J9" s="48" t="n">
        <f aca="false">IF(cu_P=1,N(INDEX(Dot_O,1,6)),N(INDEX(Dot_V,1,6)))</f>
        <v>6</v>
      </c>
      <c r="K9" s="48" t="n">
        <f aca="false">IF(cu_P=1,N(INDEX(Dot_O,1,7)),N(INDEX(Dot_V,1,7)))</f>
        <v>6</v>
      </c>
      <c r="L9" s="48" t="n">
        <f aca="false">IF(cu_P=1,N(INDEX(Dot_O,1,8)),N(INDEX(Dot_V,1,8)))</f>
        <v>6</v>
      </c>
      <c r="M9" s="48" t="n">
        <f aca="false">IF(cu_P=1,N(INDEX(Dot_O,1,9)),N(INDEX(Dot_V,1,9)))</f>
        <v>6</v>
      </c>
      <c r="N9" s="48" t="n">
        <f aca="false">IF(cu_P=1,N(INDEX(Dot_O,1,10)),N(INDEX(Dot_V,1,10)))</f>
        <v>6</v>
      </c>
    </row>
    <row r="10" customFormat="false" ht="15" hidden="false" customHeight="false" outlineLevel="0" collapsed="false">
      <c r="A10" s="11" t="s">
        <v>2913</v>
      </c>
      <c r="B10" s="53" t="str">
        <f aca="false">IF(Costos!$B$7="","Puesto 2",Costos!$B$7&amp;" ("&amp;Costos!$C$7&amp;")")</f>
        <v>Doblador (Directo)</v>
      </c>
      <c r="C10" s="11" t="s">
        <v>853</v>
      </c>
      <c r="E10" s="48" t="n">
        <f aca="false">IF(cu_P=1,N(INDEX(Dot_O,2,1)),N(INDEX(Dot_V,2,1)))</f>
        <v>8</v>
      </c>
      <c r="F10" s="48" t="n">
        <f aca="false">IF(cu_P=1,N(INDEX(Dot_O,2,2)),N(INDEX(Dot_V,2,2)))</f>
        <v>8</v>
      </c>
      <c r="G10" s="48" t="n">
        <f aca="false">IF(cu_P=1,N(INDEX(Dot_O,2,3)),N(INDEX(Dot_V,2,3)))</f>
        <v>9</v>
      </c>
      <c r="H10" s="48" t="n">
        <f aca="false">IF(cu_P=1,N(INDEX(Dot_O,2,4)),N(INDEX(Dot_V,2,4)))</f>
        <v>9</v>
      </c>
      <c r="I10" s="48" t="n">
        <f aca="false">IF(cu_P=1,N(INDEX(Dot_O,2,5)),N(INDEX(Dot_V,2,5)))</f>
        <v>10</v>
      </c>
      <c r="J10" s="48" t="n">
        <f aca="false">IF(cu_P=1,N(INDEX(Dot_O,2,6)),N(INDEX(Dot_V,2,6)))</f>
        <v>10</v>
      </c>
      <c r="K10" s="48" t="n">
        <f aca="false">IF(cu_P=1,N(INDEX(Dot_O,2,7)),N(INDEX(Dot_V,2,7)))</f>
        <v>10</v>
      </c>
      <c r="L10" s="48" t="n">
        <f aca="false">IF(cu_P=1,N(INDEX(Dot_O,2,8)),N(INDEX(Dot_V,2,8)))</f>
        <v>10</v>
      </c>
      <c r="M10" s="48" t="n">
        <f aca="false">IF(cu_P=1,N(INDEX(Dot_O,2,9)),N(INDEX(Dot_V,2,9)))</f>
        <v>10</v>
      </c>
      <c r="N10" s="48" t="n">
        <f aca="false">IF(cu_P=1,N(INDEX(Dot_O,2,10)),N(INDEX(Dot_V,2,10)))</f>
        <v>10</v>
      </c>
    </row>
    <row r="11" customFormat="false" ht="15" hidden="false" customHeight="false" outlineLevel="0" collapsed="false">
      <c r="A11" s="11" t="s">
        <v>2914</v>
      </c>
      <c r="B11" s="53" t="str">
        <f aca="false">IF(Costos!$B$8="","Puesto 3",Costos!$B$8&amp;" ("&amp;Costos!$C$8&amp;")")</f>
        <v>Soldador (Directo)</v>
      </c>
      <c r="C11" s="11" t="s">
        <v>853</v>
      </c>
      <c r="E11" s="48" t="n">
        <f aca="false">IF(cu_P=1,N(INDEX(Dot_O,3,1)),N(INDEX(Dot_V,3,1)))</f>
        <v>5</v>
      </c>
      <c r="F11" s="48" t="n">
        <f aca="false">IF(cu_P=1,N(INDEX(Dot_O,3,2)),N(INDEX(Dot_V,3,2)))</f>
        <v>5</v>
      </c>
      <c r="G11" s="48" t="n">
        <f aca="false">IF(cu_P=1,N(INDEX(Dot_O,3,3)),N(INDEX(Dot_V,3,3)))</f>
        <v>6</v>
      </c>
      <c r="H11" s="48" t="n">
        <f aca="false">IF(cu_P=1,N(INDEX(Dot_O,3,4)),N(INDEX(Dot_V,3,4)))</f>
        <v>6</v>
      </c>
      <c r="I11" s="48" t="n">
        <f aca="false">IF(cu_P=1,N(INDEX(Dot_O,3,5)),N(INDEX(Dot_V,3,5)))</f>
        <v>6</v>
      </c>
      <c r="J11" s="48" t="n">
        <f aca="false">IF(cu_P=1,N(INDEX(Dot_O,3,6)),N(INDEX(Dot_V,3,6)))</f>
        <v>6</v>
      </c>
      <c r="K11" s="48" t="n">
        <f aca="false">IF(cu_P=1,N(INDEX(Dot_O,3,7)),N(INDEX(Dot_V,3,7)))</f>
        <v>6</v>
      </c>
      <c r="L11" s="48" t="n">
        <f aca="false">IF(cu_P=1,N(INDEX(Dot_O,3,8)),N(INDEX(Dot_V,3,8)))</f>
        <v>6</v>
      </c>
      <c r="M11" s="48" t="n">
        <f aca="false">IF(cu_P=1,N(INDEX(Dot_O,3,9)),N(INDEX(Dot_V,3,9)))</f>
        <v>6</v>
      </c>
      <c r="N11" s="48" t="n">
        <f aca="false">IF(cu_P=1,N(INDEX(Dot_O,3,10)),N(INDEX(Dot_V,3,10)))</f>
        <v>6</v>
      </c>
    </row>
    <row r="12" customFormat="false" ht="15" hidden="false" customHeight="false" outlineLevel="0" collapsed="false">
      <c r="A12" s="11" t="s">
        <v>2915</v>
      </c>
      <c r="B12" s="53" t="str">
        <f aca="false">IF(Costos!$B$9="","Puesto 4",Costos!$B$9&amp;" ("&amp;Costos!$C$9&amp;")")</f>
        <v>Baño (Directo)</v>
      </c>
      <c r="C12" s="11" t="s">
        <v>853</v>
      </c>
      <c r="E12" s="48" t="n">
        <f aca="false">IF(cu_P=1,N(INDEX(Dot_O,4,1)),N(INDEX(Dot_V,4,1)))</f>
        <v>2</v>
      </c>
      <c r="F12" s="48" t="n">
        <f aca="false">IF(cu_P=1,N(INDEX(Dot_O,4,2)),N(INDEX(Dot_V,4,2)))</f>
        <v>2</v>
      </c>
      <c r="G12" s="48" t="n">
        <f aca="false">IF(cu_P=1,N(INDEX(Dot_O,4,3)),N(INDEX(Dot_V,4,3)))</f>
        <v>2</v>
      </c>
      <c r="H12" s="48" t="n">
        <f aca="false">IF(cu_P=1,N(INDEX(Dot_O,4,4)),N(INDEX(Dot_V,4,4)))</f>
        <v>2</v>
      </c>
      <c r="I12" s="48" t="n">
        <f aca="false">IF(cu_P=1,N(INDEX(Dot_O,4,5)),N(INDEX(Dot_V,4,5)))</f>
        <v>3</v>
      </c>
      <c r="J12" s="48" t="n">
        <f aca="false">IF(cu_P=1,N(INDEX(Dot_O,4,6)),N(INDEX(Dot_V,4,6)))</f>
        <v>3</v>
      </c>
      <c r="K12" s="48" t="n">
        <f aca="false">IF(cu_P=1,N(INDEX(Dot_O,4,7)),N(INDEX(Dot_V,4,7)))</f>
        <v>3</v>
      </c>
      <c r="L12" s="48" t="n">
        <f aca="false">IF(cu_P=1,N(INDEX(Dot_O,4,8)),N(INDEX(Dot_V,4,8)))</f>
        <v>3</v>
      </c>
      <c r="M12" s="48" t="n">
        <f aca="false">IF(cu_P=1,N(INDEX(Dot_O,4,9)),N(INDEX(Dot_V,4,9)))</f>
        <v>3</v>
      </c>
      <c r="N12" s="48" t="n">
        <f aca="false">IF(cu_P=1,N(INDEX(Dot_O,4,10)),N(INDEX(Dot_V,4,10)))</f>
        <v>3</v>
      </c>
    </row>
    <row r="13" customFormat="false" ht="15" hidden="false" customHeight="false" outlineLevel="0" collapsed="false">
      <c r="A13" s="11" t="s">
        <v>2916</v>
      </c>
      <c r="B13" s="53" t="str">
        <f aca="false">IF(Costos!$B$10="","Puesto 5",Costos!$B$10&amp;" ("&amp;Costos!$C$10&amp;")")</f>
        <v>Pintor (Directo)</v>
      </c>
      <c r="C13" s="11" t="s">
        <v>853</v>
      </c>
      <c r="E13" s="48" t="n">
        <f aca="false">IF(cu_P=1,N(INDEX(Dot_O,5,1)),N(INDEX(Dot_V,5,1)))</f>
        <v>4</v>
      </c>
      <c r="F13" s="48" t="n">
        <f aca="false">IF(cu_P=1,N(INDEX(Dot_O,5,2)),N(INDEX(Dot_V,5,2)))</f>
        <v>4</v>
      </c>
      <c r="G13" s="48" t="n">
        <f aca="false">IF(cu_P=1,N(INDEX(Dot_O,5,3)),N(INDEX(Dot_V,5,3)))</f>
        <v>4</v>
      </c>
      <c r="H13" s="48" t="n">
        <f aca="false">IF(cu_P=1,N(INDEX(Dot_O,5,4)),N(INDEX(Dot_V,5,4)))</f>
        <v>5</v>
      </c>
      <c r="I13" s="48" t="n">
        <f aca="false">IF(cu_P=1,N(INDEX(Dot_O,5,5)),N(INDEX(Dot_V,5,5)))</f>
        <v>5</v>
      </c>
      <c r="J13" s="48" t="n">
        <f aca="false">IF(cu_P=1,N(INDEX(Dot_O,5,6)),N(INDEX(Dot_V,5,6)))</f>
        <v>5</v>
      </c>
      <c r="K13" s="48" t="n">
        <f aca="false">IF(cu_P=1,N(INDEX(Dot_O,5,7)),N(INDEX(Dot_V,5,7)))</f>
        <v>5</v>
      </c>
      <c r="L13" s="48" t="n">
        <f aca="false">IF(cu_P=1,N(INDEX(Dot_O,5,8)),N(INDEX(Dot_V,5,8)))</f>
        <v>5</v>
      </c>
      <c r="M13" s="48" t="n">
        <f aca="false">IF(cu_P=1,N(INDEX(Dot_O,5,9)),N(INDEX(Dot_V,5,9)))</f>
        <v>5</v>
      </c>
      <c r="N13" s="48" t="n">
        <f aca="false">IF(cu_P=1,N(INDEX(Dot_O,5,10)),N(INDEX(Dot_V,5,10)))</f>
        <v>5</v>
      </c>
    </row>
    <row r="14" customFormat="false" ht="15" hidden="false" customHeight="false" outlineLevel="0" collapsed="false">
      <c r="A14" s="11" t="s">
        <v>2917</v>
      </c>
      <c r="B14" s="53" t="str">
        <f aca="false">IF(Costos!$B$11="","Puesto 6",Costos!$B$11&amp;" ("&amp;Costos!$C$11&amp;")")</f>
        <v>Montador (Directo)</v>
      </c>
      <c r="C14" s="11" t="s">
        <v>853</v>
      </c>
      <c r="E14" s="48" t="n">
        <f aca="false">IF(cu_P=1,N(INDEX(Dot_O,6,1)),N(INDEX(Dot_V,6,1)))</f>
        <v>10</v>
      </c>
      <c r="F14" s="48" t="n">
        <f aca="false">IF(cu_P=1,N(INDEX(Dot_O,6,2)),N(INDEX(Dot_V,6,2)))</f>
        <v>10</v>
      </c>
      <c r="G14" s="48" t="n">
        <f aca="false">IF(cu_P=1,N(INDEX(Dot_O,6,3)),N(INDEX(Dot_V,6,3)))</f>
        <v>10</v>
      </c>
      <c r="H14" s="48" t="n">
        <f aca="false">IF(cu_P=1,N(INDEX(Dot_O,6,4)),N(INDEX(Dot_V,6,4)))</f>
        <v>11</v>
      </c>
      <c r="I14" s="48" t="n">
        <f aca="false">IF(cu_P=1,N(INDEX(Dot_O,6,5)),N(INDEX(Dot_V,6,5)))</f>
        <v>11</v>
      </c>
      <c r="J14" s="48" t="n">
        <f aca="false">IF(cu_P=1,N(INDEX(Dot_O,6,6)),N(INDEX(Dot_V,6,6)))</f>
        <v>11</v>
      </c>
      <c r="K14" s="48" t="n">
        <f aca="false">IF(cu_P=1,N(INDEX(Dot_O,6,7)),N(INDEX(Dot_V,6,7)))</f>
        <v>11</v>
      </c>
      <c r="L14" s="48" t="n">
        <f aca="false">IF(cu_P=1,N(INDEX(Dot_O,6,8)),N(INDEX(Dot_V,6,8)))</f>
        <v>11</v>
      </c>
      <c r="M14" s="48" t="n">
        <f aca="false">IF(cu_P=1,N(INDEX(Dot_O,6,9)),N(INDEX(Dot_V,6,9)))</f>
        <v>11</v>
      </c>
      <c r="N14" s="48" t="n">
        <f aca="false">IF(cu_P=1,N(INDEX(Dot_O,6,10)),N(INDEX(Dot_V,6,10)))</f>
        <v>11</v>
      </c>
    </row>
    <row r="15" customFormat="false" ht="15" hidden="false" customHeight="false" outlineLevel="0" collapsed="false">
      <c r="A15" s="11" t="s">
        <v>2918</v>
      </c>
      <c r="B15" s="53" t="str">
        <f aca="false">IF(Costos!$B$12="","Puesto 7",Costos!$B$12&amp;" ("&amp;Costos!$C$12&amp;")")</f>
        <v>Ayudante (Directo)</v>
      </c>
      <c r="C15" s="11" t="s">
        <v>853</v>
      </c>
      <c r="E15" s="48" t="n">
        <f aca="false">IF(cu_P=1,N(INDEX(Dot_O,7,1)),N(INDEX(Dot_V,7,1)))</f>
        <v>10</v>
      </c>
      <c r="F15" s="48" t="n">
        <f aca="false">IF(cu_P=1,N(INDEX(Dot_O,7,2)),N(INDEX(Dot_V,7,2)))</f>
        <v>10</v>
      </c>
      <c r="G15" s="48" t="n">
        <f aca="false">IF(cu_P=1,N(INDEX(Dot_O,7,3)),N(INDEX(Dot_V,7,3)))</f>
        <v>10</v>
      </c>
      <c r="H15" s="48" t="n">
        <f aca="false">IF(cu_P=1,N(INDEX(Dot_O,7,4)),N(INDEX(Dot_V,7,4)))</f>
        <v>11</v>
      </c>
      <c r="I15" s="48" t="n">
        <f aca="false">IF(cu_P=1,N(INDEX(Dot_O,7,5)),N(INDEX(Dot_V,7,5)))</f>
        <v>11</v>
      </c>
      <c r="J15" s="48" t="n">
        <f aca="false">IF(cu_P=1,N(INDEX(Dot_O,7,6)),N(INDEX(Dot_V,7,6)))</f>
        <v>11</v>
      </c>
      <c r="K15" s="48" t="n">
        <f aca="false">IF(cu_P=1,N(INDEX(Dot_O,7,7)),N(INDEX(Dot_V,7,7)))</f>
        <v>11</v>
      </c>
      <c r="L15" s="48" t="n">
        <f aca="false">IF(cu_P=1,N(INDEX(Dot_O,7,8)),N(INDEX(Dot_V,7,8)))</f>
        <v>11</v>
      </c>
      <c r="M15" s="48" t="n">
        <f aca="false">IF(cu_P=1,N(INDEX(Dot_O,7,9)),N(INDEX(Dot_V,7,9)))</f>
        <v>11</v>
      </c>
      <c r="N15" s="48" t="n">
        <f aca="false">IF(cu_P=1,N(INDEX(Dot_O,7,10)),N(INDEX(Dot_V,7,10)))</f>
        <v>11</v>
      </c>
    </row>
    <row r="16" customFormat="false" ht="15" hidden="false" customHeight="false" outlineLevel="0" collapsed="false">
      <c r="A16" s="11" t="s">
        <v>2919</v>
      </c>
      <c r="B16" s="53" t="str">
        <f aca="false">IF(Costos!$B$13="","Puesto 8",Costos!$B$13&amp;" ("&amp;Costos!$C$13&amp;")")</f>
        <v>Gerente General (Administración)</v>
      </c>
      <c r="C16" s="11" t="s">
        <v>853</v>
      </c>
      <c r="E16" s="48" t="n">
        <f aca="false">IF(cu_P=1,N(INDEX(Dot_O,8,1)),N(INDEX(Dot_V,8,1)))</f>
        <v>1</v>
      </c>
      <c r="F16" s="48" t="n">
        <f aca="false">IF(cu_P=1,N(INDEX(Dot_O,8,2)),N(INDEX(Dot_V,8,2)))</f>
        <v>1</v>
      </c>
      <c r="G16" s="48" t="n">
        <f aca="false">IF(cu_P=1,N(INDEX(Dot_O,8,3)),N(INDEX(Dot_V,8,3)))</f>
        <v>1</v>
      </c>
      <c r="H16" s="48" t="n">
        <f aca="false">IF(cu_P=1,N(INDEX(Dot_O,8,4)),N(INDEX(Dot_V,8,4)))</f>
        <v>1</v>
      </c>
      <c r="I16" s="48" t="n">
        <f aca="false">IF(cu_P=1,N(INDEX(Dot_O,8,5)),N(INDEX(Dot_V,8,5)))</f>
        <v>1</v>
      </c>
      <c r="J16" s="48" t="n">
        <f aca="false">IF(cu_P=1,N(INDEX(Dot_O,8,6)),N(INDEX(Dot_V,8,6)))</f>
        <v>1</v>
      </c>
      <c r="K16" s="48" t="n">
        <f aca="false">IF(cu_P=1,N(INDEX(Dot_O,8,7)),N(INDEX(Dot_V,8,7)))</f>
        <v>1</v>
      </c>
      <c r="L16" s="48" t="n">
        <f aca="false">IF(cu_P=1,N(INDEX(Dot_O,8,8)),N(INDEX(Dot_V,8,8)))</f>
        <v>1</v>
      </c>
      <c r="M16" s="48" t="n">
        <f aca="false">IF(cu_P=1,N(INDEX(Dot_O,8,9)),N(INDEX(Dot_V,8,9)))</f>
        <v>1</v>
      </c>
      <c r="N16" s="48" t="n">
        <f aca="false">IF(cu_P=1,N(INDEX(Dot_O,8,10)),N(INDEX(Dot_V,8,10)))</f>
        <v>1</v>
      </c>
    </row>
    <row r="17" customFormat="false" ht="15" hidden="false" customHeight="false" outlineLevel="0" collapsed="false">
      <c r="A17" s="11" t="s">
        <v>2920</v>
      </c>
      <c r="B17" s="53" t="str">
        <f aca="false">IF(Costos!$B$14="","Puesto 9",Costos!$B$14&amp;" ("&amp;Costos!$C$14&amp;")")</f>
        <v>Gerente Industrial (Indirecto)</v>
      </c>
      <c r="C17" s="11" t="s">
        <v>853</v>
      </c>
      <c r="E17" s="48" t="n">
        <f aca="false">IF(cu_P=1,N(INDEX(Dot_O,9,1)),N(INDEX(Dot_V,9,1)))</f>
        <v>1</v>
      </c>
      <c r="F17" s="48" t="n">
        <f aca="false">IF(cu_P=1,N(INDEX(Dot_O,9,2)),N(INDEX(Dot_V,9,2)))</f>
        <v>1</v>
      </c>
      <c r="G17" s="48" t="n">
        <f aca="false">IF(cu_P=1,N(INDEX(Dot_O,9,3)),N(INDEX(Dot_V,9,3)))</f>
        <v>1</v>
      </c>
      <c r="H17" s="48" t="n">
        <f aca="false">IF(cu_P=1,N(INDEX(Dot_O,9,4)),N(INDEX(Dot_V,9,4)))</f>
        <v>1</v>
      </c>
      <c r="I17" s="48" t="n">
        <f aca="false">IF(cu_P=1,N(INDEX(Dot_O,9,5)),N(INDEX(Dot_V,9,5)))</f>
        <v>1</v>
      </c>
      <c r="J17" s="48" t="n">
        <f aca="false">IF(cu_P=1,N(INDEX(Dot_O,9,6)),N(INDEX(Dot_V,9,6)))</f>
        <v>1</v>
      </c>
      <c r="K17" s="48" t="n">
        <f aca="false">IF(cu_P=1,N(INDEX(Dot_O,9,7)),N(INDEX(Dot_V,9,7)))</f>
        <v>1</v>
      </c>
      <c r="L17" s="48" t="n">
        <f aca="false">IF(cu_P=1,N(INDEX(Dot_O,9,8)),N(INDEX(Dot_V,9,8)))</f>
        <v>1</v>
      </c>
      <c r="M17" s="48" t="n">
        <f aca="false">IF(cu_P=1,N(INDEX(Dot_O,9,9)),N(INDEX(Dot_V,9,9)))</f>
        <v>1</v>
      </c>
      <c r="N17" s="48" t="n">
        <f aca="false">IF(cu_P=1,N(INDEX(Dot_O,9,10)),N(INDEX(Dot_V,9,10)))</f>
        <v>1</v>
      </c>
    </row>
    <row r="18" customFormat="false" ht="15" hidden="false" customHeight="false" outlineLevel="0" collapsed="false">
      <c r="A18" s="11" t="s">
        <v>2921</v>
      </c>
      <c r="B18" s="53" t="str">
        <f aca="false">IF(Costos!$B$15="","Puesto 10",Costos!$B$15&amp;" ("&amp;Costos!$C$15&amp;")")</f>
        <v>Coord. Prod. Corte y Deformación (Indirecto)</v>
      </c>
      <c r="C18" s="11" t="s">
        <v>853</v>
      </c>
      <c r="E18" s="48" t="n">
        <f aca="false">IF(cu_P=1,N(INDEX(Dot_O,10,1)),N(INDEX(Dot_V,10,1)))</f>
        <v>1</v>
      </c>
      <c r="F18" s="48" t="n">
        <f aca="false">IF(cu_P=1,N(INDEX(Dot_O,10,2)),N(INDEX(Dot_V,10,2)))</f>
        <v>1</v>
      </c>
      <c r="G18" s="48" t="n">
        <f aca="false">IF(cu_P=1,N(INDEX(Dot_O,10,3)),N(INDEX(Dot_V,10,3)))</f>
        <v>1</v>
      </c>
      <c r="H18" s="48" t="n">
        <f aca="false">IF(cu_P=1,N(INDEX(Dot_O,10,4)),N(INDEX(Dot_V,10,4)))</f>
        <v>1</v>
      </c>
      <c r="I18" s="48" t="n">
        <f aca="false">IF(cu_P=1,N(INDEX(Dot_O,10,5)),N(INDEX(Dot_V,10,5)))</f>
        <v>1</v>
      </c>
      <c r="J18" s="48" t="n">
        <f aca="false">IF(cu_P=1,N(INDEX(Dot_O,10,6)),N(INDEX(Dot_V,10,6)))</f>
        <v>1</v>
      </c>
      <c r="K18" s="48" t="n">
        <f aca="false">IF(cu_P=1,N(INDEX(Dot_O,10,7)),N(INDEX(Dot_V,10,7)))</f>
        <v>1</v>
      </c>
      <c r="L18" s="48" t="n">
        <f aca="false">IF(cu_P=1,N(INDEX(Dot_O,10,8)),N(INDEX(Dot_V,10,8)))</f>
        <v>1</v>
      </c>
      <c r="M18" s="48" t="n">
        <f aca="false">IF(cu_P=1,N(INDEX(Dot_O,10,9)),N(INDEX(Dot_V,10,9)))</f>
        <v>1</v>
      </c>
      <c r="N18" s="48" t="n">
        <f aca="false">IF(cu_P=1,N(INDEX(Dot_O,10,10)),N(INDEX(Dot_V,10,10)))</f>
        <v>1</v>
      </c>
    </row>
    <row r="19" customFormat="false" ht="15" hidden="false" customHeight="false" outlineLevel="0" collapsed="false">
      <c r="A19" s="11" t="s">
        <v>2922</v>
      </c>
      <c r="B19" s="53" t="str">
        <f aca="false">IF(Costos!$B$16="","Puesto 11",Costos!$B$16&amp;" ("&amp;Costos!$C$16&amp;")")</f>
        <v>Coord. Prod. Soldadura (Indirecto)</v>
      </c>
      <c r="C19" s="11" t="s">
        <v>853</v>
      </c>
      <c r="E19" s="48" t="n">
        <f aca="false">IF(cu_P=1,N(INDEX(Dot_O,11,1)),N(INDEX(Dot_V,11,1)))</f>
        <v>1</v>
      </c>
      <c r="F19" s="48" t="n">
        <f aca="false">IF(cu_P=1,N(INDEX(Dot_O,11,2)),N(INDEX(Dot_V,11,2)))</f>
        <v>1</v>
      </c>
      <c r="G19" s="48" t="n">
        <f aca="false">IF(cu_P=1,N(INDEX(Dot_O,11,3)),N(INDEX(Dot_V,11,3)))</f>
        <v>1</v>
      </c>
      <c r="H19" s="48" t="n">
        <f aca="false">IF(cu_P=1,N(INDEX(Dot_O,11,4)),N(INDEX(Dot_V,11,4)))</f>
        <v>1</v>
      </c>
      <c r="I19" s="48" t="n">
        <f aca="false">IF(cu_P=1,N(INDEX(Dot_O,11,5)),N(INDEX(Dot_V,11,5)))</f>
        <v>1</v>
      </c>
      <c r="J19" s="48" t="n">
        <f aca="false">IF(cu_P=1,N(INDEX(Dot_O,11,6)),N(INDEX(Dot_V,11,6)))</f>
        <v>1</v>
      </c>
      <c r="K19" s="48" t="n">
        <f aca="false">IF(cu_P=1,N(INDEX(Dot_O,11,7)),N(INDEX(Dot_V,11,7)))</f>
        <v>1</v>
      </c>
      <c r="L19" s="48" t="n">
        <f aca="false">IF(cu_P=1,N(INDEX(Dot_O,11,8)),N(INDEX(Dot_V,11,8)))</f>
        <v>1</v>
      </c>
      <c r="M19" s="48" t="n">
        <f aca="false">IF(cu_P=1,N(INDEX(Dot_O,11,9)),N(INDEX(Dot_V,11,9)))</f>
        <v>1</v>
      </c>
      <c r="N19" s="48" t="n">
        <f aca="false">IF(cu_P=1,N(INDEX(Dot_O,11,10)),N(INDEX(Dot_V,11,10)))</f>
        <v>1</v>
      </c>
    </row>
    <row r="20" customFormat="false" ht="15" hidden="false" customHeight="false" outlineLevel="0" collapsed="false">
      <c r="A20" s="11" t="s">
        <v>2923</v>
      </c>
      <c r="B20" s="53" t="str">
        <f aca="false">IF(Costos!$B$17="","Puesto 12",Costos!$B$17&amp;" ("&amp;Costos!$C$17&amp;")")</f>
        <v>Coord. Prod. Trat. Sup. y Pintura (Indirecto)</v>
      </c>
      <c r="C20" s="11" t="s">
        <v>853</v>
      </c>
      <c r="E20" s="48" t="n">
        <f aca="false">IF(cu_P=1,N(INDEX(Dot_O,12,1)),N(INDEX(Dot_V,12,1)))</f>
        <v>1</v>
      </c>
      <c r="F20" s="48" t="n">
        <f aca="false">IF(cu_P=1,N(INDEX(Dot_O,12,2)),N(INDEX(Dot_V,12,2)))</f>
        <v>1</v>
      </c>
      <c r="G20" s="48" t="n">
        <f aca="false">IF(cu_P=1,N(INDEX(Dot_O,12,3)),N(INDEX(Dot_V,12,3)))</f>
        <v>1</v>
      </c>
      <c r="H20" s="48" t="n">
        <f aca="false">IF(cu_P=1,N(INDEX(Dot_O,12,4)),N(INDEX(Dot_V,12,4)))</f>
        <v>1</v>
      </c>
      <c r="I20" s="48" t="n">
        <f aca="false">IF(cu_P=1,N(INDEX(Dot_O,12,5)),N(INDEX(Dot_V,12,5)))</f>
        <v>1</v>
      </c>
      <c r="J20" s="48" t="n">
        <f aca="false">IF(cu_P=1,N(INDEX(Dot_O,12,6)),N(INDEX(Dot_V,12,6)))</f>
        <v>1</v>
      </c>
      <c r="K20" s="48" t="n">
        <f aca="false">IF(cu_P=1,N(INDEX(Dot_O,12,7)),N(INDEX(Dot_V,12,7)))</f>
        <v>1</v>
      </c>
      <c r="L20" s="48" t="n">
        <f aca="false">IF(cu_P=1,N(INDEX(Dot_O,12,8)),N(INDEX(Dot_V,12,8)))</f>
        <v>1</v>
      </c>
      <c r="M20" s="48" t="n">
        <f aca="false">IF(cu_P=1,N(INDEX(Dot_O,12,9)),N(INDEX(Dot_V,12,9)))</f>
        <v>1</v>
      </c>
      <c r="N20" s="48" t="n">
        <f aca="false">IF(cu_P=1,N(INDEX(Dot_O,12,10)),N(INDEX(Dot_V,12,10)))</f>
        <v>1</v>
      </c>
    </row>
    <row r="21" customFormat="false" ht="15" hidden="false" customHeight="false" outlineLevel="0" collapsed="false">
      <c r="A21" s="11" t="s">
        <v>2924</v>
      </c>
      <c r="B21" s="53" t="str">
        <f aca="false">IF(Costos!$B$18="","Puesto 13",Costos!$B$18&amp;" ("&amp;Costos!$C$18&amp;")")</f>
        <v>Coord. Prod. Montaje (Indirecto)</v>
      </c>
      <c r="C21" s="11" t="s">
        <v>853</v>
      </c>
      <c r="E21" s="48" t="n">
        <f aca="false">IF(cu_P=1,N(INDEX(Dot_O,13,1)),N(INDEX(Dot_V,13,1)))</f>
        <v>1</v>
      </c>
      <c r="F21" s="48" t="n">
        <f aca="false">IF(cu_P=1,N(INDEX(Dot_O,13,2)),N(INDEX(Dot_V,13,2)))</f>
        <v>1</v>
      </c>
      <c r="G21" s="48" t="n">
        <f aca="false">IF(cu_P=1,N(INDEX(Dot_O,13,3)),N(INDEX(Dot_V,13,3)))</f>
        <v>1</v>
      </c>
      <c r="H21" s="48" t="n">
        <f aca="false">IF(cu_P=1,N(INDEX(Dot_O,13,4)),N(INDEX(Dot_V,13,4)))</f>
        <v>1</v>
      </c>
      <c r="I21" s="48" t="n">
        <f aca="false">IF(cu_P=1,N(INDEX(Dot_O,13,5)),N(INDEX(Dot_V,13,5)))</f>
        <v>1</v>
      </c>
      <c r="J21" s="48" t="n">
        <f aca="false">IF(cu_P=1,N(INDEX(Dot_O,13,6)),N(INDEX(Dot_V,13,6)))</f>
        <v>1</v>
      </c>
      <c r="K21" s="48" t="n">
        <f aca="false">IF(cu_P=1,N(INDEX(Dot_O,13,7)),N(INDEX(Dot_V,13,7)))</f>
        <v>1</v>
      </c>
      <c r="L21" s="48" t="n">
        <f aca="false">IF(cu_P=1,N(INDEX(Dot_O,13,8)),N(INDEX(Dot_V,13,8)))</f>
        <v>1</v>
      </c>
      <c r="M21" s="48" t="n">
        <f aca="false">IF(cu_P=1,N(INDEX(Dot_O,13,9)),N(INDEX(Dot_V,13,9)))</f>
        <v>1</v>
      </c>
      <c r="N21" s="48" t="n">
        <f aca="false">IF(cu_P=1,N(INDEX(Dot_O,13,10)),N(INDEX(Dot_V,13,10)))</f>
        <v>1</v>
      </c>
    </row>
    <row r="22" customFormat="false" ht="15" hidden="false" customHeight="false" outlineLevel="0" collapsed="false">
      <c r="A22" s="11" t="s">
        <v>2925</v>
      </c>
      <c r="B22" s="53" t="str">
        <f aca="false">IF(Costos!$B$19="","Puesto 14",Costos!$B$19&amp;" ("&amp;Costos!$C$19&amp;")")</f>
        <v>Ingeniería (Indirecto)</v>
      </c>
      <c r="C22" s="11" t="s">
        <v>853</v>
      </c>
      <c r="E22" s="48" t="n">
        <f aca="false">IF(cu_P=1,N(INDEX(Dot_O,14,1)),N(INDEX(Dot_V,14,1)))</f>
        <v>3</v>
      </c>
      <c r="F22" s="48" t="n">
        <f aca="false">IF(cu_P=1,N(INDEX(Dot_O,14,2)),N(INDEX(Dot_V,14,2)))</f>
        <v>3</v>
      </c>
      <c r="G22" s="48" t="n">
        <f aca="false">IF(cu_P=1,N(INDEX(Dot_O,14,3)),N(INDEX(Dot_V,14,3)))</f>
        <v>3</v>
      </c>
      <c r="H22" s="48" t="n">
        <f aca="false">IF(cu_P=1,N(INDEX(Dot_O,14,4)),N(INDEX(Dot_V,14,4)))</f>
        <v>3</v>
      </c>
      <c r="I22" s="48" t="n">
        <f aca="false">IF(cu_P=1,N(INDEX(Dot_O,14,5)),N(INDEX(Dot_V,14,5)))</f>
        <v>3</v>
      </c>
      <c r="J22" s="48" t="n">
        <f aca="false">IF(cu_P=1,N(INDEX(Dot_O,14,6)),N(INDEX(Dot_V,14,6)))</f>
        <v>3</v>
      </c>
      <c r="K22" s="48" t="n">
        <f aca="false">IF(cu_P=1,N(INDEX(Dot_O,14,7)),N(INDEX(Dot_V,14,7)))</f>
        <v>3</v>
      </c>
      <c r="L22" s="48" t="n">
        <f aca="false">IF(cu_P=1,N(INDEX(Dot_O,14,8)),N(INDEX(Dot_V,14,8)))</f>
        <v>3</v>
      </c>
      <c r="M22" s="48" t="n">
        <f aca="false">IF(cu_P=1,N(INDEX(Dot_O,14,9)),N(INDEX(Dot_V,14,9)))</f>
        <v>3</v>
      </c>
      <c r="N22" s="48" t="n">
        <f aca="false">IF(cu_P=1,N(INDEX(Dot_O,14,10)),N(INDEX(Dot_V,14,10)))</f>
        <v>3</v>
      </c>
    </row>
    <row r="23" customFormat="false" ht="15" hidden="false" customHeight="false" outlineLevel="0" collapsed="false">
      <c r="A23" s="11" t="s">
        <v>2926</v>
      </c>
      <c r="B23" s="53" t="str">
        <f aca="false">IF(Costos!$B$20="","Puesto 15",Costos!$B$20&amp;" ("&amp;Costos!$C$20&amp;")")</f>
        <v>Mantenimiento (Indirecto)</v>
      </c>
      <c r="C23" s="11" t="s">
        <v>853</v>
      </c>
      <c r="E23" s="48" t="n">
        <f aca="false">IF(cu_P=1,N(INDEX(Dot_O,15,1)),N(INDEX(Dot_V,15,1)))</f>
        <v>2</v>
      </c>
      <c r="F23" s="48" t="n">
        <f aca="false">IF(cu_P=1,N(INDEX(Dot_O,15,2)),N(INDEX(Dot_V,15,2)))</f>
        <v>2</v>
      </c>
      <c r="G23" s="48" t="n">
        <f aca="false">IF(cu_P=1,N(INDEX(Dot_O,15,3)),N(INDEX(Dot_V,15,3)))</f>
        <v>2</v>
      </c>
      <c r="H23" s="48" t="n">
        <f aca="false">IF(cu_P=1,N(INDEX(Dot_O,15,4)),N(INDEX(Dot_V,15,4)))</f>
        <v>2</v>
      </c>
      <c r="I23" s="48" t="n">
        <f aca="false">IF(cu_P=1,N(INDEX(Dot_O,15,5)),N(INDEX(Dot_V,15,5)))</f>
        <v>2</v>
      </c>
      <c r="J23" s="48" t="n">
        <f aca="false">IF(cu_P=1,N(INDEX(Dot_O,15,6)),N(INDEX(Dot_V,15,6)))</f>
        <v>2</v>
      </c>
      <c r="K23" s="48" t="n">
        <f aca="false">IF(cu_P=1,N(INDEX(Dot_O,15,7)),N(INDEX(Dot_V,15,7)))</f>
        <v>2</v>
      </c>
      <c r="L23" s="48" t="n">
        <f aca="false">IF(cu_P=1,N(INDEX(Dot_O,15,8)),N(INDEX(Dot_V,15,8)))</f>
        <v>2</v>
      </c>
      <c r="M23" s="48" t="n">
        <f aca="false">IF(cu_P=1,N(INDEX(Dot_O,15,9)),N(INDEX(Dot_V,15,9)))</f>
        <v>2</v>
      </c>
      <c r="N23" s="48" t="n">
        <f aca="false">IF(cu_P=1,N(INDEX(Dot_O,15,10)),N(INDEX(Dot_V,15,10)))</f>
        <v>2</v>
      </c>
    </row>
    <row r="24" customFormat="false" ht="15" hidden="false" customHeight="false" outlineLevel="0" collapsed="false">
      <c r="A24" s="11" t="s">
        <v>2927</v>
      </c>
      <c r="B24" s="53" t="str">
        <f aca="false">IF(Costos!$B$21="","Puesto 16",Costos!$B$21&amp;" ("&amp;Costos!$C$21&amp;")")</f>
        <v>PCP (Indirecto)</v>
      </c>
      <c r="C24" s="11" t="s">
        <v>853</v>
      </c>
      <c r="E24" s="48" t="n">
        <f aca="false">IF(cu_P=1,N(INDEX(Dot_O,16,1)),N(INDEX(Dot_V,16,1)))</f>
        <v>1</v>
      </c>
      <c r="F24" s="48" t="n">
        <f aca="false">IF(cu_P=1,N(INDEX(Dot_O,16,2)),N(INDEX(Dot_V,16,2)))</f>
        <v>1</v>
      </c>
      <c r="G24" s="48" t="n">
        <f aca="false">IF(cu_P=1,N(INDEX(Dot_O,16,3)),N(INDEX(Dot_V,16,3)))</f>
        <v>1</v>
      </c>
      <c r="H24" s="48" t="n">
        <f aca="false">IF(cu_P=1,N(INDEX(Dot_O,16,4)),N(INDEX(Dot_V,16,4)))</f>
        <v>1</v>
      </c>
      <c r="I24" s="48" t="n">
        <f aca="false">IF(cu_P=1,N(INDEX(Dot_O,16,5)),N(INDEX(Dot_V,16,5)))</f>
        <v>1</v>
      </c>
      <c r="J24" s="48" t="n">
        <f aca="false">IF(cu_P=1,N(INDEX(Dot_O,16,6)),N(INDEX(Dot_V,16,6)))</f>
        <v>1</v>
      </c>
      <c r="K24" s="48" t="n">
        <f aca="false">IF(cu_P=1,N(INDEX(Dot_O,16,7)),N(INDEX(Dot_V,16,7)))</f>
        <v>1</v>
      </c>
      <c r="L24" s="48" t="n">
        <f aca="false">IF(cu_P=1,N(INDEX(Dot_O,16,8)),N(INDEX(Dot_V,16,8)))</f>
        <v>1</v>
      </c>
      <c r="M24" s="48" t="n">
        <f aca="false">IF(cu_P=1,N(INDEX(Dot_O,16,9)),N(INDEX(Dot_V,16,9)))</f>
        <v>1</v>
      </c>
      <c r="N24" s="48" t="n">
        <f aca="false">IF(cu_P=1,N(INDEX(Dot_O,16,10)),N(INDEX(Dot_V,16,10)))</f>
        <v>1</v>
      </c>
    </row>
    <row r="25" customFormat="false" ht="15" hidden="false" customHeight="false" outlineLevel="0" collapsed="false">
      <c r="A25" s="11" t="s">
        <v>2928</v>
      </c>
      <c r="B25" s="53" t="str">
        <f aca="false">IF(Costos!$B$22="","Puesto 17",Costos!$B$22&amp;" ("&amp;Costos!$C$22&amp;")")</f>
        <v>Analista PCP (Indirecto)</v>
      </c>
      <c r="C25" s="11" t="s">
        <v>853</v>
      </c>
      <c r="E25" s="48" t="n">
        <f aca="false">IF(cu_P=1,N(INDEX(Dot_O,17,1)),N(INDEX(Dot_V,17,1)))</f>
        <v>1</v>
      </c>
      <c r="F25" s="48" t="n">
        <f aca="false">IF(cu_P=1,N(INDEX(Dot_O,17,2)),N(INDEX(Dot_V,17,2)))</f>
        <v>1</v>
      </c>
      <c r="G25" s="48" t="n">
        <f aca="false">IF(cu_P=1,N(INDEX(Dot_O,17,3)),N(INDEX(Dot_V,17,3)))</f>
        <v>1</v>
      </c>
      <c r="H25" s="48" t="n">
        <f aca="false">IF(cu_P=1,N(INDEX(Dot_O,17,4)),N(INDEX(Dot_V,17,4)))</f>
        <v>1</v>
      </c>
      <c r="I25" s="48" t="n">
        <f aca="false">IF(cu_P=1,N(INDEX(Dot_O,17,5)),N(INDEX(Dot_V,17,5)))</f>
        <v>1</v>
      </c>
      <c r="J25" s="48" t="n">
        <f aca="false">IF(cu_P=1,N(INDEX(Dot_O,17,6)),N(INDEX(Dot_V,17,6)))</f>
        <v>1</v>
      </c>
      <c r="K25" s="48" t="n">
        <f aca="false">IF(cu_P=1,N(INDEX(Dot_O,17,7)),N(INDEX(Dot_V,17,7)))</f>
        <v>1</v>
      </c>
      <c r="L25" s="48" t="n">
        <f aca="false">IF(cu_P=1,N(INDEX(Dot_O,17,8)),N(INDEX(Dot_V,17,8)))</f>
        <v>1</v>
      </c>
      <c r="M25" s="48" t="n">
        <f aca="false">IF(cu_P=1,N(INDEX(Dot_O,17,9)),N(INDEX(Dot_V,17,9)))</f>
        <v>1</v>
      </c>
      <c r="N25" s="48" t="n">
        <f aca="false">IF(cu_P=1,N(INDEX(Dot_O,17,10)),N(INDEX(Dot_V,17,10)))</f>
        <v>1</v>
      </c>
    </row>
    <row r="26" customFormat="false" ht="15" hidden="false" customHeight="false" outlineLevel="0" collapsed="false">
      <c r="A26" s="11" t="s">
        <v>2929</v>
      </c>
      <c r="B26" s="53" t="str">
        <f aca="false">IF(Costos!$B$23="","Puesto 18",Costos!$B$23&amp;" ("&amp;Costos!$C$23&amp;")")</f>
        <v>Depósito (Indirecto)</v>
      </c>
      <c r="C26" s="11" t="s">
        <v>853</v>
      </c>
      <c r="E26" s="48" t="n">
        <f aca="false">IF(cu_P=1,N(INDEX(Dot_O,18,1)),N(INDEX(Dot_V,18,1)))</f>
        <v>1</v>
      </c>
      <c r="F26" s="48" t="n">
        <f aca="false">IF(cu_P=1,N(INDEX(Dot_O,18,2)),N(INDEX(Dot_V,18,2)))</f>
        <v>1</v>
      </c>
      <c r="G26" s="48" t="n">
        <f aca="false">IF(cu_P=1,N(INDEX(Dot_O,18,3)),N(INDEX(Dot_V,18,3)))</f>
        <v>1</v>
      </c>
      <c r="H26" s="48" t="n">
        <f aca="false">IF(cu_P=1,N(INDEX(Dot_O,18,4)),N(INDEX(Dot_V,18,4)))</f>
        <v>1</v>
      </c>
      <c r="I26" s="48" t="n">
        <f aca="false">IF(cu_P=1,N(INDEX(Dot_O,18,5)),N(INDEX(Dot_V,18,5)))</f>
        <v>1</v>
      </c>
      <c r="J26" s="48" t="n">
        <f aca="false">IF(cu_P=1,N(INDEX(Dot_O,18,6)),N(INDEX(Dot_V,18,6)))</f>
        <v>1</v>
      </c>
      <c r="K26" s="48" t="n">
        <f aca="false">IF(cu_P=1,N(INDEX(Dot_O,18,7)),N(INDEX(Dot_V,18,7)))</f>
        <v>1</v>
      </c>
      <c r="L26" s="48" t="n">
        <f aca="false">IF(cu_P=1,N(INDEX(Dot_O,18,8)),N(INDEX(Dot_V,18,8)))</f>
        <v>1</v>
      </c>
      <c r="M26" s="48" t="n">
        <f aca="false">IF(cu_P=1,N(INDEX(Dot_O,18,9)),N(INDEX(Dot_V,18,9)))</f>
        <v>1</v>
      </c>
      <c r="N26" s="48" t="n">
        <f aca="false">IF(cu_P=1,N(INDEX(Dot_O,18,10)),N(INDEX(Dot_V,18,10)))</f>
        <v>1</v>
      </c>
    </row>
    <row r="27" customFormat="false" ht="15" hidden="false" customHeight="false" outlineLevel="0" collapsed="false">
      <c r="A27" s="11" t="s">
        <v>2930</v>
      </c>
      <c r="B27" s="53" t="str">
        <f aca="false">IF(Costos!$B$24="","Puesto 19",Costos!$B$24&amp;" ("&amp;Costos!$C$24&amp;")")</f>
        <v>Compras (Administración)</v>
      </c>
      <c r="C27" s="11" t="s">
        <v>853</v>
      </c>
      <c r="E27" s="48" t="n">
        <f aca="false">IF(cu_P=1,N(INDEX(Dot_O,19,1)),N(INDEX(Dot_V,19,1)))</f>
        <v>1</v>
      </c>
      <c r="F27" s="48" t="n">
        <f aca="false">IF(cu_P=1,N(INDEX(Dot_O,19,2)),N(INDEX(Dot_V,19,2)))</f>
        <v>1</v>
      </c>
      <c r="G27" s="48" t="n">
        <f aca="false">IF(cu_P=1,N(INDEX(Dot_O,19,3)),N(INDEX(Dot_V,19,3)))</f>
        <v>1</v>
      </c>
      <c r="H27" s="48" t="n">
        <f aca="false">IF(cu_P=1,N(INDEX(Dot_O,19,4)),N(INDEX(Dot_V,19,4)))</f>
        <v>1</v>
      </c>
      <c r="I27" s="48" t="n">
        <f aca="false">IF(cu_P=1,N(INDEX(Dot_O,19,5)),N(INDEX(Dot_V,19,5)))</f>
        <v>1</v>
      </c>
      <c r="J27" s="48" t="n">
        <f aca="false">IF(cu_P=1,N(INDEX(Dot_O,19,6)),N(INDEX(Dot_V,19,6)))</f>
        <v>1</v>
      </c>
      <c r="K27" s="48" t="n">
        <f aca="false">IF(cu_P=1,N(INDEX(Dot_O,19,7)),N(INDEX(Dot_V,19,7)))</f>
        <v>1</v>
      </c>
      <c r="L27" s="48" t="n">
        <f aca="false">IF(cu_P=1,N(INDEX(Dot_O,19,8)),N(INDEX(Dot_V,19,8)))</f>
        <v>1</v>
      </c>
      <c r="M27" s="48" t="n">
        <f aca="false">IF(cu_P=1,N(INDEX(Dot_O,19,9)),N(INDEX(Dot_V,19,9)))</f>
        <v>1</v>
      </c>
      <c r="N27" s="48" t="n">
        <f aca="false">IF(cu_P=1,N(INDEX(Dot_O,19,10)),N(INDEX(Dot_V,19,10)))</f>
        <v>1</v>
      </c>
    </row>
    <row r="28" customFormat="false" ht="15" hidden="false" customHeight="false" outlineLevel="0" collapsed="false">
      <c r="A28" s="11" t="s">
        <v>2931</v>
      </c>
      <c r="B28" s="53" t="str">
        <f aca="false">IF(Costos!$B$25="","Puesto 20",Costos!$B$25&amp;" ("&amp;Costos!$C$25&amp;")")</f>
        <v>Logística/Comex (Administración)</v>
      </c>
      <c r="C28" s="11" t="s">
        <v>853</v>
      </c>
      <c r="E28" s="48" t="n">
        <f aca="false">IF(cu_P=1,N(INDEX(Dot_O,20,1)),N(INDEX(Dot_V,20,1)))</f>
        <v>1</v>
      </c>
      <c r="F28" s="48" t="n">
        <f aca="false">IF(cu_P=1,N(INDEX(Dot_O,20,2)),N(INDEX(Dot_V,20,2)))</f>
        <v>1</v>
      </c>
      <c r="G28" s="48" t="n">
        <f aca="false">IF(cu_P=1,N(INDEX(Dot_O,20,3)),N(INDEX(Dot_V,20,3)))</f>
        <v>1</v>
      </c>
      <c r="H28" s="48" t="n">
        <f aca="false">IF(cu_P=1,N(INDEX(Dot_O,20,4)),N(INDEX(Dot_V,20,4)))</f>
        <v>1</v>
      </c>
      <c r="I28" s="48" t="n">
        <f aca="false">IF(cu_P=1,N(INDEX(Dot_O,20,5)),N(INDEX(Dot_V,20,5)))</f>
        <v>1</v>
      </c>
      <c r="J28" s="48" t="n">
        <f aca="false">IF(cu_P=1,N(INDEX(Dot_O,20,6)),N(INDEX(Dot_V,20,6)))</f>
        <v>1</v>
      </c>
      <c r="K28" s="48" t="n">
        <f aca="false">IF(cu_P=1,N(INDEX(Dot_O,20,7)),N(INDEX(Dot_V,20,7)))</f>
        <v>1</v>
      </c>
      <c r="L28" s="48" t="n">
        <f aca="false">IF(cu_P=1,N(INDEX(Dot_O,20,8)),N(INDEX(Dot_V,20,8)))</f>
        <v>1</v>
      </c>
      <c r="M28" s="48" t="n">
        <f aca="false">IF(cu_P=1,N(INDEX(Dot_O,20,9)),N(INDEX(Dot_V,20,9)))</f>
        <v>1</v>
      </c>
      <c r="N28" s="48" t="n">
        <f aca="false">IF(cu_P=1,N(INDEX(Dot_O,20,10)),N(INDEX(Dot_V,20,10)))</f>
        <v>1</v>
      </c>
    </row>
    <row r="29" customFormat="false" ht="15" hidden="false" customHeight="false" outlineLevel="0" collapsed="false">
      <c r="A29" s="11" t="s">
        <v>2932</v>
      </c>
      <c r="B29" s="53" t="str">
        <f aca="false">IF(Costos!$B$26="","Puesto 21",Costos!$B$26&amp;" ("&amp;Costos!$C$26&amp;")")</f>
        <v>Coord. Control Calidad (Indirecto)</v>
      </c>
      <c r="C29" s="11" t="s">
        <v>853</v>
      </c>
      <c r="E29" s="48" t="n">
        <f aca="false">IF(cu_P=1,N(INDEX(Dot_O,21,1)),N(INDEX(Dot_V,21,1)))</f>
        <v>1</v>
      </c>
      <c r="F29" s="48" t="n">
        <f aca="false">IF(cu_P=1,N(INDEX(Dot_O,21,2)),N(INDEX(Dot_V,21,2)))</f>
        <v>1</v>
      </c>
      <c r="G29" s="48" t="n">
        <f aca="false">IF(cu_P=1,N(INDEX(Dot_O,21,3)),N(INDEX(Dot_V,21,3)))</f>
        <v>1</v>
      </c>
      <c r="H29" s="48" t="n">
        <f aca="false">IF(cu_P=1,N(INDEX(Dot_O,21,4)),N(INDEX(Dot_V,21,4)))</f>
        <v>1</v>
      </c>
      <c r="I29" s="48" t="n">
        <f aca="false">IF(cu_P=1,N(INDEX(Dot_O,21,5)),N(INDEX(Dot_V,21,5)))</f>
        <v>1</v>
      </c>
      <c r="J29" s="48" t="n">
        <f aca="false">IF(cu_P=1,N(INDEX(Dot_O,21,6)),N(INDEX(Dot_V,21,6)))</f>
        <v>1</v>
      </c>
      <c r="K29" s="48" t="n">
        <f aca="false">IF(cu_P=1,N(INDEX(Dot_O,21,7)),N(INDEX(Dot_V,21,7)))</f>
        <v>1</v>
      </c>
      <c r="L29" s="48" t="n">
        <f aca="false">IF(cu_P=1,N(INDEX(Dot_O,21,8)),N(INDEX(Dot_V,21,8)))</f>
        <v>1</v>
      </c>
      <c r="M29" s="48" t="n">
        <f aca="false">IF(cu_P=1,N(INDEX(Dot_O,21,9)),N(INDEX(Dot_V,21,9)))</f>
        <v>1</v>
      </c>
      <c r="N29" s="48" t="n">
        <f aca="false">IF(cu_P=1,N(INDEX(Dot_O,21,10)),N(INDEX(Dot_V,21,10)))</f>
        <v>1</v>
      </c>
    </row>
    <row r="30" customFormat="false" ht="15" hidden="false" customHeight="false" outlineLevel="0" collapsed="false">
      <c r="A30" s="11" t="s">
        <v>2933</v>
      </c>
      <c r="B30" s="53" t="str">
        <f aca="false">IF(Costos!$B$27="","Puesto 22",Costos!$B$27&amp;" ("&amp;Costos!$C$27&amp;")")</f>
        <v>Asistente Control Calidad (Indirecto)</v>
      </c>
      <c r="C30" s="11" t="s">
        <v>853</v>
      </c>
      <c r="E30" s="48" t="n">
        <f aca="false">IF(cu_P=1,N(INDEX(Dot_O,22,1)),N(INDEX(Dot_V,22,1)))</f>
        <v>1</v>
      </c>
      <c r="F30" s="48" t="n">
        <f aca="false">IF(cu_P=1,N(INDEX(Dot_O,22,2)),N(INDEX(Dot_V,22,2)))</f>
        <v>1</v>
      </c>
      <c r="G30" s="48" t="n">
        <f aca="false">IF(cu_P=1,N(INDEX(Dot_O,22,3)),N(INDEX(Dot_V,22,3)))</f>
        <v>1</v>
      </c>
      <c r="H30" s="48" t="n">
        <f aca="false">IF(cu_P=1,N(INDEX(Dot_O,22,4)),N(INDEX(Dot_V,22,4)))</f>
        <v>1</v>
      </c>
      <c r="I30" s="48" t="n">
        <f aca="false">IF(cu_P=1,N(INDEX(Dot_O,22,5)),N(INDEX(Dot_V,22,5)))</f>
        <v>1</v>
      </c>
      <c r="J30" s="48" t="n">
        <f aca="false">IF(cu_P=1,N(INDEX(Dot_O,22,6)),N(INDEX(Dot_V,22,6)))</f>
        <v>1</v>
      </c>
      <c r="K30" s="48" t="n">
        <f aca="false">IF(cu_P=1,N(INDEX(Dot_O,22,7)),N(INDEX(Dot_V,22,7)))</f>
        <v>1</v>
      </c>
      <c r="L30" s="48" t="n">
        <f aca="false">IF(cu_P=1,N(INDEX(Dot_O,22,8)),N(INDEX(Dot_V,22,8)))</f>
        <v>1</v>
      </c>
      <c r="M30" s="48" t="n">
        <f aca="false">IF(cu_P=1,N(INDEX(Dot_O,22,9)),N(INDEX(Dot_V,22,9)))</f>
        <v>1</v>
      </c>
      <c r="N30" s="48" t="n">
        <f aca="false">IF(cu_P=1,N(INDEX(Dot_O,22,10)),N(INDEX(Dot_V,22,10)))</f>
        <v>1</v>
      </c>
    </row>
    <row r="31" customFormat="false" ht="15" hidden="false" customHeight="false" outlineLevel="0" collapsed="false">
      <c r="A31" s="11" t="s">
        <v>2934</v>
      </c>
      <c r="B31" s="53" t="str">
        <f aca="false">IF(Costos!$B$28="","Puesto 23",Costos!$B$28&amp;" ("&amp;Costos!$C$28&amp;")")</f>
        <v>Coord. Procesos (Indirecto)</v>
      </c>
      <c r="C31" s="11" t="s">
        <v>853</v>
      </c>
      <c r="E31" s="48" t="n">
        <f aca="false">IF(cu_P=1,N(INDEX(Dot_O,23,1)),N(INDEX(Dot_V,23,1)))</f>
        <v>1</v>
      </c>
      <c r="F31" s="48" t="n">
        <f aca="false">IF(cu_P=1,N(INDEX(Dot_O,23,2)),N(INDEX(Dot_V,23,2)))</f>
        <v>1</v>
      </c>
      <c r="G31" s="48" t="n">
        <f aca="false">IF(cu_P=1,N(INDEX(Dot_O,23,3)),N(INDEX(Dot_V,23,3)))</f>
        <v>1</v>
      </c>
      <c r="H31" s="48" t="n">
        <f aca="false">IF(cu_P=1,N(INDEX(Dot_O,23,4)),N(INDEX(Dot_V,23,4)))</f>
        <v>1</v>
      </c>
      <c r="I31" s="48" t="n">
        <f aca="false">IF(cu_P=1,N(INDEX(Dot_O,23,5)),N(INDEX(Dot_V,23,5)))</f>
        <v>1</v>
      </c>
      <c r="J31" s="48" t="n">
        <f aca="false">IF(cu_P=1,N(INDEX(Dot_O,23,6)),N(INDEX(Dot_V,23,6)))</f>
        <v>1</v>
      </c>
      <c r="K31" s="48" t="n">
        <f aca="false">IF(cu_P=1,N(INDEX(Dot_O,23,7)),N(INDEX(Dot_V,23,7)))</f>
        <v>1</v>
      </c>
      <c r="L31" s="48" t="n">
        <f aca="false">IF(cu_P=1,N(INDEX(Dot_O,23,8)),N(INDEX(Dot_V,23,8)))</f>
        <v>1</v>
      </c>
      <c r="M31" s="48" t="n">
        <f aca="false">IF(cu_P=1,N(INDEX(Dot_O,23,9)),N(INDEX(Dot_V,23,9)))</f>
        <v>1</v>
      </c>
      <c r="N31" s="48" t="n">
        <f aca="false">IF(cu_P=1,N(INDEX(Dot_O,23,10)),N(INDEX(Dot_V,23,10)))</f>
        <v>1</v>
      </c>
    </row>
    <row r="32" customFormat="false" ht="15" hidden="false" customHeight="false" outlineLevel="0" collapsed="false">
      <c r="A32" s="11" t="s">
        <v>2935</v>
      </c>
      <c r="B32" s="53" t="str">
        <f aca="false">IF(Costos!$B$29="","Puesto 24",Costos!$B$29&amp;" ("&amp;Costos!$C$29&amp;")")</f>
        <v>Asistente Procesos (Indirecto)</v>
      </c>
      <c r="C32" s="11" t="s">
        <v>853</v>
      </c>
      <c r="E32" s="48" t="n">
        <f aca="false">IF(cu_P=1,N(INDEX(Dot_O,24,1)),N(INDEX(Dot_V,24,1)))</f>
        <v>1</v>
      </c>
      <c r="F32" s="48" t="n">
        <f aca="false">IF(cu_P=1,N(INDEX(Dot_O,24,2)),N(INDEX(Dot_V,24,2)))</f>
        <v>1</v>
      </c>
      <c r="G32" s="48" t="n">
        <f aca="false">IF(cu_P=1,N(INDEX(Dot_O,24,3)),N(INDEX(Dot_V,24,3)))</f>
        <v>1</v>
      </c>
      <c r="H32" s="48" t="n">
        <f aca="false">IF(cu_P=1,N(INDEX(Dot_O,24,4)),N(INDEX(Dot_V,24,4)))</f>
        <v>1</v>
      </c>
      <c r="I32" s="48" t="n">
        <f aca="false">IF(cu_P=1,N(INDEX(Dot_O,24,5)),N(INDEX(Dot_V,24,5)))</f>
        <v>1</v>
      </c>
      <c r="J32" s="48" t="n">
        <f aca="false">IF(cu_P=1,N(INDEX(Dot_O,24,6)),N(INDEX(Dot_V,24,6)))</f>
        <v>1</v>
      </c>
      <c r="K32" s="48" t="n">
        <f aca="false">IF(cu_P=1,N(INDEX(Dot_O,24,7)),N(INDEX(Dot_V,24,7)))</f>
        <v>1</v>
      </c>
      <c r="L32" s="48" t="n">
        <f aca="false">IF(cu_P=1,N(INDEX(Dot_O,24,8)),N(INDEX(Dot_V,24,8)))</f>
        <v>1</v>
      </c>
      <c r="M32" s="48" t="n">
        <f aca="false">IF(cu_P=1,N(INDEX(Dot_O,24,9)),N(INDEX(Dot_V,24,9)))</f>
        <v>1</v>
      </c>
      <c r="N32" s="48" t="n">
        <f aca="false">IF(cu_P=1,N(INDEX(Dot_O,24,10)),N(INDEX(Dot_V,24,10)))</f>
        <v>1</v>
      </c>
    </row>
    <row r="33" customFormat="false" ht="15" hidden="false" customHeight="false" outlineLevel="0" collapsed="false">
      <c r="A33" s="11" t="s">
        <v>2936</v>
      </c>
      <c r="B33" s="53" t="str">
        <f aca="false">IF(Costos!$B$30="","Puesto 25",Costos!$B$30&amp;" ("&amp;Costos!$C$30&amp;")")</f>
        <v>Administrador (Administración)</v>
      </c>
      <c r="C33" s="11" t="s">
        <v>853</v>
      </c>
      <c r="E33" s="48" t="n">
        <f aca="false">IF(cu_P=1,N(INDEX(Dot_O,25,1)),N(INDEX(Dot_V,25,1)))</f>
        <v>1</v>
      </c>
      <c r="F33" s="48" t="n">
        <f aca="false">IF(cu_P=1,N(INDEX(Dot_O,25,2)),N(INDEX(Dot_V,25,2)))</f>
        <v>1</v>
      </c>
      <c r="G33" s="48" t="n">
        <f aca="false">IF(cu_P=1,N(INDEX(Dot_O,25,3)),N(INDEX(Dot_V,25,3)))</f>
        <v>1</v>
      </c>
      <c r="H33" s="48" t="n">
        <f aca="false">IF(cu_P=1,N(INDEX(Dot_O,25,4)),N(INDEX(Dot_V,25,4)))</f>
        <v>1</v>
      </c>
      <c r="I33" s="48" t="n">
        <f aca="false">IF(cu_P=1,N(INDEX(Dot_O,25,5)),N(INDEX(Dot_V,25,5)))</f>
        <v>1</v>
      </c>
      <c r="J33" s="48" t="n">
        <f aca="false">IF(cu_P=1,N(INDEX(Dot_O,25,6)),N(INDEX(Dot_V,25,6)))</f>
        <v>1</v>
      </c>
      <c r="K33" s="48" t="n">
        <f aca="false">IF(cu_P=1,N(INDEX(Dot_O,25,7)),N(INDEX(Dot_V,25,7)))</f>
        <v>1</v>
      </c>
      <c r="L33" s="48" t="n">
        <f aca="false">IF(cu_P=1,N(INDEX(Dot_O,25,8)),N(INDEX(Dot_V,25,8)))</f>
        <v>1</v>
      </c>
      <c r="M33" s="48" t="n">
        <f aca="false">IF(cu_P=1,N(INDEX(Dot_O,25,9)),N(INDEX(Dot_V,25,9)))</f>
        <v>1</v>
      </c>
      <c r="N33" s="48" t="n">
        <f aca="false">IF(cu_P=1,N(INDEX(Dot_O,25,10)),N(INDEX(Dot_V,25,10)))</f>
        <v>1</v>
      </c>
    </row>
    <row r="34" customFormat="false" ht="15" hidden="false" customHeight="false" outlineLevel="0" collapsed="false">
      <c r="A34" s="11" t="s">
        <v>2937</v>
      </c>
      <c r="B34" s="53" t="str">
        <f aca="false">IF(Costos!$B$31="","Puesto 26",Costos!$B$31&amp;" ("&amp;Costos!$C$31&amp;")")</f>
        <v>Asistente Administrativo (Administración)</v>
      </c>
      <c r="C34" s="11" t="s">
        <v>853</v>
      </c>
      <c r="E34" s="48" t="n">
        <f aca="false">IF(cu_P=1,N(INDEX(Dot_O,26,1)),N(INDEX(Dot_V,26,1)))</f>
        <v>1</v>
      </c>
      <c r="F34" s="48" t="n">
        <f aca="false">IF(cu_P=1,N(INDEX(Dot_O,26,2)),N(INDEX(Dot_V,26,2)))</f>
        <v>1</v>
      </c>
      <c r="G34" s="48" t="n">
        <f aca="false">IF(cu_P=1,N(INDEX(Dot_O,26,3)),N(INDEX(Dot_V,26,3)))</f>
        <v>1</v>
      </c>
      <c r="H34" s="48" t="n">
        <f aca="false">IF(cu_P=1,N(INDEX(Dot_O,26,4)),N(INDEX(Dot_V,26,4)))</f>
        <v>1</v>
      </c>
      <c r="I34" s="48" t="n">
        <f aca="false">IF(cu_P=1,N(INDEX(Dot_O,26,5)),N(INDEX(Dot_V,26,5)))</f>
        <v>1</v>
      </c>
      <c r="J34" s="48" t="n">
        <f aca="false">IF(cu_P=1,N(INDEX(Dot_O,26,6)),N(INDEX(Dot_V,26,6)))</f>
        <v>1</v>
      </c>
      <c r="K34" s="48" t="n">
        <f aca="false">IF(cu_P=1,N(INDEX(Dot_O,26,7)),N(INDEX(Dot_V,26,7)))</f>
        <v>1</v>
      </c>
      <c r="L34" s="48" t="n">
        <f aca="false">IF(cu_P=1,N(INDEX(Dot_O,26,8)),N(INDEX(Dot_V,26,8)))</f>
        <v>1</v>
      </c>
      <c r="M34" s="48" t="n">
        <f aca="false">IF(cu_P=1,N(INDEX(Dot_O,26,9)),N(INDEX(Dot_V,26,9)))</f>
        <v>1</v>
      </c>
      <c r="N34" s="48" t="n">
        <f aca="false">IF(cu_P=1,N(INDEX(Dot_O,26,10)),N(INDEX(Dot_V,26,10)))</f>
        <v>1</v>
      </c>
    </row>
    <row r="35" customFormat="false" ht="15" hidden="true" customHeight="false" outlineLevel="1" collapsed="false">
      <c r="A35" s="11" t="s">
        <v>2938</v>
      </c>
      <c r="B35" s="53" t="str">
        <f aca="false">IF(Costos!$B$32="","Puesto 27",Costos!$B$32&amp;" ("&amp;Costos!$C$32&amp;")")</f>
        <v>Puesto 27</v>
      </c>
      <c r="C35" s="11" t="s">
        <v>853</v>
      </c>
      <c r="E35" s="48" t="n">
        <f aca="false">IF(cu_P=1,N(INDEX(Dot_O,27,1)),N(INDEX(Dot_V,27,1)))</f>
        <v>0</v>
      </c>
      <c r="F35" s="48" t="n">
        <f aca="false">IF(cu_P=1,N(INDEX(Dot_O,27,2)),N(INDEX(Dot_V,27,2)))</f>
        <v>0</v>
      </c>
      <c r="G35" s="48" t="n">
        <f aca="false">IF(cu_P=1,N(INDEX(Dot_O,27,3)),N(INDEX(Dot_V,27,3)))</f>
        <v>0</v>
      </c>
      <c r="H35" s="48" t="n">
        <f aca="false">IF(cu_P=1,N(INDEX(Dot_O,27,4)),N(INDEX(Dot_V,27,4)))</f>
        <v>0</v>
      </c>
      <c r="I35" s="48" t="n">
        <f aca="false">IF(cu_P=1,N(INDEX(Dot_O,27,5)),N(INDEX(Dot_V,27,5)))</f>
        <v>0</v>
      </c>
      <c r="J35" s="48" t="n">
        <f aca="false">IF(cu_P=1,N(INDEX(Dot_O,27,6)),N(INDEX(Dot_V,27,6)))</f>
        <v>0</v>
      </c>
      <c r="K35" s="48" t="n">
        <f aca="false">IF(cu_P=1,N(INDEX(Dot_O,27,7)),N(INDEX(Dot_V,27,7)))</f>
        <v>0</v>
      </c>
      <c r="L35" s="48" t="n">
        <f aca="false">IF(cu_P=1,N(INDEX(Dot_O,27,8)),N(INDEX(Dot_V,27,8)))</f>
        <v>0</v>
      </c>
      <c r="M35" s="48" t="n">
        <f aca="false">IF(cu_P=1,N(INDEX(Dot_O,27,9)),N(INDEX(Dot_V,27,9)))</f>
        <v>0</v>
      </c>
      <c r="N35" s="48" t="n">
        <f aca="false">IF(cu_P=1,N(INDEX(Dot_O,27,10)),N(INDEX(Dot_V,27,10)))</f>
        <v>0</v>
      </c>
    </row>
    <row r="36" customFormat="false" ht="15" hidden="true" customHeight="false" outlineLevel="1" collapsed="false">
      <c r="A36" s="11" t="s">
        <v>2939</v>
      </c>
      <c r="B36" s="53" t="str">
        <f aca="false">IF(Costos!$B$33="","Puesto 28",Costos!$B$33&amp;" ("&amp;Costos!$C$33&amp;")")</f>
        <v>Puesto 28</v>
      </c>
      <c r="C36" s="11" t="s">
        <v>853</v>
      </c>
      <c r="E36" s="48" t="n">
        <f aca="false">IF(cu_P=1,N(INDEX(Dot_O,28,1)),N(INDEX(Dot_V,28,1)))</f>
        <v>0</v>
      </c>
      <c r="F36" s="48" t="n">
        <f aca="false">IF(cu_P=1,N(INDEX(Dot_O,28,2)),N(INDEX(Dot_V,28,2)))</f>
        <v>0</v>
      </c>
      <c r="G36" s="48" t="n">
        <f aca="false">IF(cu_P=1,N(INDEX(Dot_O,28,3)),N(INDEX(Dot_V,28,3)))</f>
        <v>0</v>
      </c>
      <c r="H36" s="48" t="n">
        <f aca="false">IF(cu_P=1,N(INDEX(Dot_O,28,4)),N(INDEX(Dot_V,28,4)))</f>
        <v>0</v>
      </c>
      <c r="I36" s="48" t="n">
        <f aca="false">IF(cu_P=1,N(INDEX(Dot_O,28,5)),N(INDEX(Dot_V,28,5)))</f>
        <v>0</v>
      </c>
      <c r="J36" s="48" t="n">
        <f aca="false">IF(cu_P=1,N(INDEX(Dot_O,28,6)),N(INDEX(Dot_V,28,6)))</f>
        <v>0</v>
      </c>
      <c r="K36" s="48" t="n">
        <f aca="false">IF(cu_P=1,N(INDEX(Dot_O,28,7)),N(INDEX(Dot_V,28,7)))</f>
        <v>0</v>
      </c>
      <c r="L36" s="48" t="n">
        <f aca="false">IF(cu_P=1,N(INDEX(Dot_O,28,8)),N(INDEX(Dot_V,28,8)))</f>
        <v>0</v>
      </c>
      <c r="M36" s="48" t="n">
        <f aca="false">IF(cu_P=1,N(INDEX(Dot_O,28,9)),N(INDEX(Dot_V,28,9)))</f>
        <v>0</v>
      </c>
      <c r="N36" s="48" t="n">
        <f aca="false">IF(cu_P=1,N(INDEX(Dot_O,28,10)),N(INDEX(Dot_V,28,10)))</f>
        <v>0</v>
      </c>
    </row>
    <row r="37" customFormat="false" ht="15" hidden="true" customHeight="false" outlineLevel="1" collapsed="false">
      <c r="A37" s="11" t="s">
        <v>2940</v>
      </c>
      <c r="B37" s="53" t="str">
        <f aca="false">IF(Costos!$B$34="","Puesto 29",Costos!$B$34&amp;" ("&amp;Costos!$C$34&amp;")")</f>
        <v>Puesto 29</v>
      </c>
      <c r="C37" s="11" t="s">
        <v>853</v>
      </c>
      <c r="E37" s="48" t="n">
        <f aca="false">IF(cu_P=1,N(INDEX(Dot_O,29,1)),N(INDEX(Dot_V,29,1)))</f>
        <v>0</v>
      </c>
      <c r="F37" s="48" t="n">
        <f aca="false">IF(cu_P=1,N(INDEX(Dot_O,29,2)),N(INDEX(Dot_V,29,2)))</f>
        <v>0</v>
      </c>
      <c r="G37" s="48" t="n">
        <f aca="false">IF(cu_P=1,N(INDEX(Dot_O,29,3)),N(INDEX(Dot_V,29,3)))</f>
        <v>0</v>
      </c>
      <c r="H37" s="48" t="n">
        <f aca="false">IF(cu_P=1,N(INDEX(Dot_O,29,4)),N(INDEX(Dot_V,29,4)))</f>
        <v>0</v>
      </c>
      <c r="I37" s="48" t="n">
        <f aca="false">IF(cu_P=1,N(INDEX(Dot_O,29,5)),N(INDEX(Dot_V,29,5)))</f>
        <v>0</v>
      </c>
      <c r="J37" s="48" t="n">
        <f aca="false">IF(cu_P=1,N(INDEX(Dot_O,29,6)),N(INDEX(Dot_V,29,6)))</f>
        <v>0</v>
      </c>
      <c r="K37" s="48" t="n">
        <f aca="false">IF(cu_P=1,N(INDEX(Dot_O,29,7)),N(INDEX(Dot_V,29,7)))</f>
        <v>0</v>
      </c>
      <c r="L37" s="48" t="n">
        <f aca="false">IF(cu_P=1,N(INDEX(Dot_O,29,8)),N(INDEX(Dot_V,29,8)))</f>
        <v>0</v>
      </c>
      <c r="M37" s="48" t="n">
        <f aca="false">IF(cu_P=1,N(INDEX(Dot_O,29,9)),N(INDEX(Dot_V,29,9)))</f>
        <v>0</v>
      </c>
      <c r="N37" s="48" t="n">
        <f aca="false">IF(cu_P=1,N(INDEX(Dot_O,29,10)),N(INDEX(Dot_V,29,10)))</f>
        <v>0</v>
      </c>
    </row>
    <row r="38" customFormat="false" ht="15" hidden="true" customHeight="false" outlineLevel="1" collapsed="false">
      <c r="A38" s="11" t="s">
        <v>2941</v>
      </c>
      <c r="B38" s="53" t="str">
        <f aca="false">IF(Costos!$B$35="","Puesto 30",Costos!$B$35&amp;" ("&amp;Costos!$C$35&amp;")")</f>
        <v>Puesto 30</v>
      </c>
      <c r="C38" s="11" t="s">
        <v>853</v>
      </c>
      <c r="E38" s="48" t="n">
        <f aca="false">IF(cu_P=1,N(INDEX(Dot_O,30,1)),N(INDEX(Dot_V,30,1)))</f>
        <v>0</v>
      </c>
      <c r="F38" s="48" t="n">
        <f aca="false">IF(cu_P=1,N(INDEX(Dot_O,30,2)),N(INDEX(Dot_V,30,2)))</f>
        <v>0</v>
      </c>
      <c r="G38" s="48" t="n">
        <f aca="false">IF(cu_P=1,N(INDEX(Dot_O,30,3)),N(INDEX(Dot_V,30,3)))</f>
        <v>0</v>
      </c>
      <c r="H38" s="48" t="n">
        <f aca="false">IF(cu_P=1,N(INDEX(Dot_O,30,4)),N(INDEX(Dot_V,30,4)))</f>
        <v>0</v>
      </c>
      <c r="I38" s="48" t="n">
        <f aca="false">IF(cu_P=1,N(INDEX(Dot_O,30,5)),N(INDEX(Dot_V,30,5)))</f>
        <v>0</v>
      </c>
      <c r="J38" s="48" t="n">
        <f aca="false">IF(cu_P=1,N(INDEX(Dot_O,30,6)),N(INDEX(Dot_V,30,6)))</f>
        <v>0</v>
      </c>
      <c r="K38" s="48" t="n">
        <f aca="false">IF(cu_P=1,N(INDEX(Dot_O,30,7)),N(INDEX(Dot_V,30,7)))</f>
        <v>0</v>
      </c>
      <c r="L38" s="48" t="n">
        <f aca="false">IF(cu_P=1,N(INDEX(Dot_O,30,8)),N(INDEX(Dot_V,30,8)))</f>
        <v>0</v>
      </c>
      <c r="M38" s="48" t="n">
        <f aca="false">IF(cu_P=1,N(INDEX(Dot_O,30,9)),N(INDEX(Dot_V,30,9)))</f>
        <v>0</v>
      </c>
      <c r="N38" s="48" t="n">
        <f aca="false">IF(cu_P=1,N(INDEX(Dot_O,30,10)),N(INDEX(Dot_V,30,10)))</f>
        <v>0</v>
      </c>
    </row>
    <row r="39" customFormat="false" ht="15" hidden="false" customHeight="false" outlineLevel="0" collapsed="false">
      <c r="A39" s="13"/>
      <c r="B39" s="100" t="s">
        <v>2942</v>
      </c>
      <c r="C39" s="13"/>
      <c r="D39" s="13"/>
      <c r="E39" s="13"/>
      <c r="F39" s="13"/>
      <c r="G39" s="13"/>
      <c r="H39" s="13"/>
      <c r="I39" s="13"/>
      <c r="J39" s="13"/>
      <c r="K39" s="13"/>
      <c r="L39" s="13"/>
      <c r="M39" s="13"/>
      <c r="N39" s="13"/>
      <c r="O39" s="13"/>
    </row>
    <row r="40" customFormat="false" ht="15" hidden="false" customHeight="false" outlineLevel="0" collapsed="false">
      <c r="A40" s="11" t="s">
        <v>2943</v>
      </c>
      <c r="B40" s="53" t="str">
        <f aca="false">IF(Costos!$B$6="","Puesto 1",Costos!$B$6&amp;" ("&amp;Costos!$C$6&amp;")")</f>
        <v>Operador láser (Directo)</v>
      </c>
      <c r="C40" s="11" t="s">
        <v>508</v>
      </c>
      <c r="E40" s="48" t="n">
        <f aca="false">IF(cu_P=1,N(INDEX(Sal_O,1))*INDEX(IdxSal_O,1,1)*12*N(INDEX(Dot_O,1,1))*IF(INDEX(Per_Mon,1)="PYG",1/INDEX(TC_O,1,1)*(1+P_dTC),1),N(INDEX(Sal_V,1))*INDEX(IdxSal_V,1,1)*12*N(INDEX(Dot_V,1,1))*IF(INDEX(Per_Mon,1)="PYG",1/INDEX(TC_V,1,1)*(1+V_dTC),1))</f>
        <v>30699.6164383562</v>
      </c>
      <c r="F40" s="48" t="n">
        <f aca="false">IF(cu_P=1,N(INDEX(Sal_O,1))*INDEX(IdxSal_O,1,2)*12*N(INDEX(Dot_O,1,2))*IF(INDEX(Per_Mon,1)="PYG",1/INDEX(TC_O,1,2)*(1+P_dTC),1),N(INDEX(Sal_V,1))*INDEX(IdxSal_V,1,2)*12*N(INDEX(Dot_V,1,2))*IF(INDEX(Per_Mon,1)="PYG",1/INDEX(TC_V,1,2)*(1+V_dTC),1))</f>
        <v>30699.6164383562</v>
      </c>
      <c r="G40" s="48" t="n">
        <f aca="false">IF(cu_P=1,N(INDEX(Sal_O,1))*INDEX(IdxSal_O,1,3)*12*N(INDEX(Dot_O,1,3))*IF(INDEX(Per_Mon,1)="PYG",1/INDEX(TC_O,1,3)*(1+P_dTC),1),N(INDEX(Sal_V,1))*INDEX(IdxSal_V,1,3)*12*N(INDEX(Dot_V,1,3))*IF(INDEX(Per_Mon,1)="PYG",1/INDEX(TC_V,1,3)*(1+V_dTC),1))</f>
        <v>38374.5205479452</v>
      </c>
      <c r="H40" s="48" t="n">
        <f aca="false">IF(cu_P=1,N(INDEX(Sal_O,1))*INDEX(IdxSal_O,1,4)*12*N(INDEX(Dot_O,1,4))*IF(INDEX(Per_Mon,1)="PYG",1/INDEX(TC_O,1,4)*(1+P_dTC),1),N(INDEX(Sal_V,1))*INDEX(IdxSal_V,1,4)*12*N(INDEX(Dot_V,1,4))*IF(INDEX(Per_Mon,1)="PYG",1/INDEX(TC_V,1,4)*(1+V_dTC),1))</f>
        <v>38374.5205479452</v>
      </c>
      <c r="I40" s="48" t="n">
        <f aca="false">IF(cu_P=1,N(INDEX(Sal_O,1))*INDEX(IdxSal_O,1,5)*12*N(INDEX(Dot_O,1,5))*IF(INDEX(Per_Mon,1)="PYG",1/INDEX(TC_O,1,5)*(1+P_dTC),1),N(INDEX(Sal_V,1))*INDEX(IdxSal_V,1,5)*12*N(INDEX(Dot_V,1,5))*IF(INDEX(Per_Mon,1)="PYG",1/INDEX(TC_V,1,5)*(1+V_dTC),1))</f>
        <v>46049.4246575342</v>
      </c>
      <c r="J40" s="48" t="n">
        <f aca="false">IF(cu_P=1,N(INDEX(Sal_O,1))*INDEX(IdxSal_O,1,6)*12*N(INDEX(Dot_O,1,6))*IF(INDEX(Per_Mon,1)="PYG",1/INDEX(TC_O,1,6)*(1+P_dTC),1),N(INDEX(Sal_V,1))*INDEX(IdxSal_V,1,6)*12*N(INDEX(Dot_V,1,6))*IF(INDEX(Per_Mon,1)="PYG",1/INDEX(TC_V,1,6)*(1+V_dTC),1))</f>
        <v>46049.4246575342</v>
      </c>
      <c r="K40" s="48" t="n">
        <f aca="false">IF(cu_P=1,N(INDEX(Sal_O,1))*INDEX(IdxSal_O,1,7)*12*N(INDEX(Dot_O,1,7))*IF(INDEX(Per_Mon,1)="PYG",1/INDEX(TC_O,1,7)*(1+P_dTC),1),N(INDEX(Sal_V,1))*INDEX(IdxSal_V,1,7)*12*N(INDEX(Dot_V,1,7))*IF(INDEX(Per_Mon,1)="PYG",1/INDEX(TC_V,1,7)*(1+V_dTC),1))</f>
        <v>46049.4246575342</v>
      </c>
      <c r="L40" s="48" t="n">
        <f aca="false">IF(cu_P=1,N(INDEX(Sal_O,1))*INDEX(IdxSal_O,1,8)*12*N(INDEX(Dot_O,1,8))*IF(INDEX(Per_Mon,1)="PYG",1/INDEX(TC_O,1,8)*(1+P_dTC),1),N(INDEX(Sal_V,1))*INDEX(IdxSal_V,1,8)*12*N(INDEX(Dot_V,1,8))*IF(INDEX(Per_Mon,1)="PYG",1/INDEX(TC_V,1,8)*(1+V_dTC),1))</f>
        <v>46049.4246575342</v>
      </c>
      <c r="M40" s="48" t="n">
        <f aca="false">IF(cu_P=1,N(INDEX(Sal_O,1))*INDEX(IdxSal_O,1,9)*12*N(INDEX(Dot_O,1,9))*IF(INDEX(Per_Mon,1)="PYG",1/INDEX(TC_O,1,9)*(1+P_dTC),1),N(INDEX(Sal_V,1))*INDEX(IdxSal_V,1,9)*12*N(INDEX(Dot_V,1,9))*IF(INDEX(Per_Mon,1)="PYG",1/INDEX(TC_V,1,9)*(1+V_dTC),1))</f>
        <v>46049.4246575342</v>
      </c>
      <c r="N40" s="48" t="n">
        <f aca="false">IF(cu_P=1,N(INDEX(Sal_O,1))*INDEX(IdxSal_O,1,10)*12*N(INDEX(Dot_O,1,10))*IF(INDEX(Per_Mon,1)="PYG",1/INDEX(TC_O,1,10)*(1+P_dTC),1),N(INDEX(Sal_V,1))*INDEX(IdxSal_V,1,10)*12*N(INDEX(Dot_V,1,10))*IF(INDEX(Per_Mon,1)="PYG",1/INDEX(TC_V,1,10)*(1+V_dTC),1))</f>
        <v>46049.4246575342</v>
      </c>
      <c r="O40" s="54" t="n">
        <f aca="false">SUM(D40:N40)</f>
        <v>414444.821917808</v>
      </c>
    </row>
    <row r="41" customFormat="false" ht="15" hidden="false" customHeight="false" outlineLevel="0" collapsed="false">
      <c r="A41" s="11" t="s">
        <v>2944</v>
      </c>
      <c r="B41" s="53" t="str">
        <f aca="false">IF(Costos!$B$7="","Puesto 2",Costos!$B$7&amp;" ("&amp;Costos!$C$7&amp;")")</f>
        <v>Doblador (Directo)</v>
      </c>
      <c r="C41" s="11" t="s">
        <v>508</v>
      </c>
      <c r="E41" s="48" t="n">
        <f aca="false">IF(cu_P=1,N(INDEX(Sal_O,2))*INDEX(IdxSal_O,1,1)*12*N(INDEX(Dot_O,2,1))*IF(INDEX(Per_Mon,2)="PYG",1/INDEX(TC_O,1,1)*(1+P_dTC),1),N(INDEX(Sal_V,2))*INDEX(IdxSal_V,1,1)*12*N(INDEX(Dot_V,2,1))*IF(INDEX(Per_Mon,2)="PYG",1/INDEX(TC_V,1,1)*(1+V_dTC),1))</f>
        <v>48008.6136986301</v>
      </c>
      <c r="F41" s="48" t="n">
        <f aca="false">IF(cu_P=1,N(INDEX(Sal_O,2))*INDEX(IdxSal_O,1,2)*12*N(INDEX(Dot_O,2,2))*IF(INDEX(Per_Mon,2)="PYG",1/INDEX(TC_O,1,2)*(1+P_dTC),1),N(INDEX(Sal_V,2))*INDEX(IdxSal_V,1,2)*12*N(INDEX(Dot_V,2,2))*IF(INDEX(Per_Mon,2)="PYG",1/INDEX(TC_V,1,2)*(1+V_dTC),1))</f>
        <v>48008.6136986301</v>
      </c>
      <c r="G41" s="48" t="n">
        <f aca="false">IF(cu_P=1,N(INDEX(Sal_O,2))*INDEX(IdxSal_O,1,3)*12*N(INDEX(Dot_O,2,3))*IF(INDEX(Per_Mon,2)="PYG",1/INDEX(TC_O,1,3)*(1+P_dTC),1),N(INDEX(Sal_V,2))*INDEX(IdxSal_V,1,3)*12*N(INDEX(Dot_V,2,3))*IF(INDEX(Per_Mon,2)="PYG",1/INDEX(TC_V,1,3)*(1+V_dTC),1))</f>
        <v>54009.6904109589</v>
      </c>
      <c r="H41" s="48" t="n">
        <f aca="false">IF(cu_P=1,N(INDEX(Sal_O,2))*INDEX(IdxSal_O,1,4)*12*N(INDEX(Dot_O,2,4))*IF(INDEX(Per_Mon,2)="PYG",1/INDEX(TC_O,1,4)*(1+P_dTC),1),N(INDEX(Sal_V,2))*INDEX(IdxSal_V,1,4)*12*N(INDEX(Dot_V,2,4))*IF(INDEX(Per_Mon,2)="PYG",1/INDEX(TC_V,1,4)*(1+V_dTC),1))</f>
        <v>54009.6904109589</v>
      </c>
      <c r="I41" s="48" t="n">
        <f aca="false">IF(cu_P=1,N(INDEX(Sal_O,2))*INDEX(IdxSal_O,1,5)*12*N(INDEX(Dot_O,2,5))*IF(INDEX(Per_Mon,2)="PYG",1/INDEX(TC_O,1,5)*(1+P_dTC),1),N(INDEX(Sal_V,2))*INDEX(IdxSal_V,1,5)*12*N(INDEX(Dot_V,2,5))*IF(INDEX(Per_Mon,2)="PYG",1/INDEX(TC_V,1,5)*(1+V_dTC),1))</f>
        <v>60010.7671232877</v>
      </c>
      <c r="J41" s="48" t="n">
        <f aca="false">IF(cu_P=1,N(INDEX(Sal_O,2))*INDEX(IdxSal_O,1,6)*12*N(INDEX(Dot_O,2,6))*IF(INDEX(Per_Mon,2)="PYG",1/INDEX(TC_O,1,6)*(1+P_dTC),1),N(INDEX(Sal_V,2))*INDEX(IdxSal_V,1,6)*12*N(INDEX(Dot_V,2,6))*IF(INDEX(Per_Mon,2)="PYG",1/INDEX(TC_V,1,6)*(1+V_dTC),1))</f>
        <v>60010.7671232877</v>
      </c>
      <c r="K41" s="48" t="n">
        <f aca="false">IF(cu_P=1,N(INDEX(Sal_O,2))*INDEX(IdxSal_O,1,7)*12*N(INDEX(Dot_O,2,7))*IF(INDEX(Per_Mon,2)="PYG",1/INDEX(TC_O,1,7)*(1+P_dTC),1),N(INDEX(Sal_V,2))*INDEX(IdxSal_V,1,7)*12*N(INDEX(Dot_V,2,7))*IF(INDEX(Per_Mon,2)="PYG",1/INDEX(TC_V,1,7)*(1+V_dTC),1))</f>
        <v>60010.7671232877</v>
      </c>
      <c r="L41" s="48" t="n">
        <f aca="false">IF(cu_P=1,N(INDEX(Sal_O,2))*INDEX(IdxSal_O,1,8)*12*N(INDEX(Dot_O,2,8))*IF(INDEX(Per_Mon,2)="PYG",1/INDEX(TC_O,1,8)*(1+P_dTC),1),N(INDEX(Sal_V,2))*INDEX(IdxSal_V,1,8)*12*N(INDEX(Dot_V,2,8))*IF(INDEX(Per_Mon,2)="PYG",1/INDEX(TC_V,1,8)*(1+V_dTC),1))</f>
        <v>60010.7671232877</v>
      </c>
      <c r="M41" s="48" t="n">
        <f aca="false">IF(cu_P=1,N(INDEX(Sal_O,2))*INDEX(IdxSal_O,1,9)*12*N(INDEX(Dot_O,2,9))*IF(INDEX(Per_Mon,2)="PYG",1/INDEX(TC_O,1,9)*(1+P_dTC),1),N(INDEX(Sal_V,2))*INDEX(IdxSal_V,1,9)*12*N(INDEX(Dot_V,2,9))*IF(INDEX(Per_Mon,2)="PYG",1/INDEX(TC_V,1,9)*(1+V_dTC),1))</f>
        <v>60010.7671232877</v>
      </c>
      <c r="N41" s="48" t="n">
        <f aca="false">IF(cu_P=1,N(INDEX(Sal_O,2))*INDEX(IdxSal_O,1,10)*12*N(INDEX(Dot_O,2,10))*IF(INDEX(Per_Mon,2)="PYG",1/INDEX(TC_O,1,10)*(1+P_dTC),1),N(INDEX(Sal_V,2))*INDEX(IdxSal_V,1,10)*12*N(INDEX(Dot_V,2,10))*IF(INDEX(Per_Mon,2)="PYG",1/INDEX(TC_V,1,10)*(1+V_dTC),1))</f>
        <v>60010.7671232877</v>
      </c>
      <c r="O41" s="54" t="n">
        <f aca="false">SUM(D41:N41)</f>
        <v>564101.210958904</v>
      </c>
    </row>
    <row r="42" customFormat="false" ht="15" hidden="false" customHeight="false" outlineLevel="0" collapsed="false">
      <c r="A42" s="11" t="s">
        <v>2945</v>
      </c>
      <c r="B42" s="53" t="str">
        <f aca="false">IF(Costos!$B$8="","Puesto 3",Costos!$B$8&amp;" ("&amp;Costos!$C$8&amp;")")</f>
        <v>Soldador (Directo)</v>
      </c>
      <c r="C42" s="11" t="s">
        <v>508</v>
      </c>
      <c r="E42" s="48" t="n">
        <f aca="false">IF(cu_P=1,N(INDEX(Sal_O,3))*INDEX(IdxSal_O,1,1)*12*N(INDEX(Dot_O,3,1))*IF(INDEX(Per_Mon,3)="PYG",1/INDEX(TC_O,1,1)*(1+P_dTC),1),N(INDEX(Sal_V,3))*INDEX(IdxSal_V,1,1)*12*N(INDEX(Dot_V,3,1))*IF(INDEX(Per_Mon,3)="PYG",1/INDEX(TC_V,1,1)*(1+V_dTC),1))</f>
        <v>32621.095890411</v>
      </c>
      <c r="F42" s="48" t="n">
        <f aca="false">IF(cu_P=1,N(INDEX(Sal_O,3))*INDEX(IdxSal_O,1,2)*12*N(INDEX(Dot_O,3,2))*IF(INDEX(Per_Mon,3)="PYG",1/INDEX(TC_O,1,2)*(1+P_dTC),1),N(INDEX(Sal_V,3))*INDEX(IdxSal_V,1,2)*12*N(INDEX(Dot_V,3,2))*IF(INDEX(Per_Mon,3)="PYG",1/INDEX(TC_V,1,2)*(1+V_dTC),1))</f>
        <v>32621.095890411</v>
      </c>
      <c r="G42" s="48" t="n">
        <f aca="false">IF(cu_P=1,N(INDEX(Sal_O,3))*INDEX(IdxSal_O,1,3)*12*N(INDEX(Dot_O,3,3))*IF(INDEX(Per_Mon,3)="PYG",1/INDEX(TC_O,1,3)*(1+P_dTC),1),N(INDEX(Sal_V,3))*INDEX(IdxSal_V,1,3)*12*N(INDEX(Dot_V,3,3))*IF(INDEX(Per_Mon,3)="PYG",1/INDEX(TC_V,1,3)*(1+V_dTC),1))</f>
        <v>39145.3150684931</v>
      </c>
      <c r="H42" s="48" t="n">
        <f aca="false">IF(cu_P=1,N(INDEX(Sal_O,3))*INDEX(IdxSal_O,1,4)*12*N(INDEX(Dot_O,3,4))*IF(INDEX(Per_Mon,3)="PYG",1/INDEX(TC_O,1,4)*(1+P_dTC),1),N(INDEX(Sal_V,3))*INDEX(IdxSal_V,1,4)*12*N(INDEX(Dot_V,3,4))*IF(INDEX(Per_Mon,3)="PYG",1/INDEX(TC_V,1,4)*(1+V_dTC),1))</f>
        <v>39145.3150684931</v>
      </c>
      <c r="I42" s="48" t="n">
        <f aca="false">IF(cu_P=1,N(INDEX(Sal_O,3))*INDEX(IdxSal_O,1,5)*12*N(INDEX(Dot_O,3,5))*IF(INDEX(Per_Mon,3)="PYG",1/INDEX(TC_O,1,5)*(1+P_dTC),1),N(INDEX(Sal_V,3))*INDEX(IdxSal_V,1,5)*12*N(INDEX(Dot_V,3,5))*IF(INDEX(Per_Mon,3)="PYG",1/INDEX(TC_V,1,5)*(1+V_dTC),1))</f>
        <v>39145.3150684931</v>
      </c>
      <c r="J42" s="48" t="n">
        <f aca="false">IF(cu_P=1,N(INDEX(Sal_O,3))*INDEX(IdxSal_O,1,6)*12*N(INDEX(Dot_O,3,6))*IF(INDEX(Per_Mon,3)="PYG",1/INDEX(TC_O,1,6)*(1+P_dTC),1),N(INDEX(Sal_V,3))*INDEX(IdxSal_V,1,6)*12*N(INDEX(Dot_V,3,6))*IF(INDEX(Per_Mon,3)="PYG",1/INDEX(TC_V,1,6)*(1+V_dTC),1))</f>
        <v>39145.3150684931</v>
      </c>
      <c r="K42" s="48" t="n">
        <f aca="false">IF(cu_P=1,N(INDEX(Sal_O,3))*INDEX(IdxSal_O,1,7)*12*N(INDEX(Dot_O,3,7))*IF(INDEX(Per_Mon,3)="PYG",1/INDEX(TC_O,1,7)*(1+P_dTC),1),N(INDEX(Sal_V,3))*INDEX(IdxSal_V,1,7)*12*N(INDEX(Dot_V,3,7))*IF(INDEX(Per_Mon,3)="PYG",1/INDEX(TC_V,1,7)*(1+V_dTC),1))</f>
        <v>39145.3150684931</v>
      </c>
      <c r="L42" s="48" t="n">
        <f aca="false">IF(cu_P=1,N(INDEX(Sal_O,3))*INDEX(IdxSal_O,1,8)*12*N(INDEX(Dot_O,3,8))*IF(INDEX(Per_Mon,3)="PYG",1/INDEX(TC_O,1,8)*(1+P_dTC),1),N(INDEX(Sal_V,3))*INDEX(IdxSal_V,1,8)*12*N(INDEX(Dot_V,3,8))*IF(INDEX(Per_Mon,3)="PYG",1/INDEX(TC_V,1,8)*(1+V_dTC),1))</f>
        <v>39145.3150684931</v>
      </c>
      <c r="M42" s="48" t="n">
        <f aca="false">IF(cu_P=1,N(INDEX(Sal_O,3))*INDEX(IdxSal_O,1,9)*12*N(INDEX(Dot_O,3,9))*IF(INDEX(Per_Mon,3)="PYG",1/INDEX(TC_O,1,9)*(1+P_dTC),1),N(INDEX(Sal_V,3))*INDEX(IdxSal_V,1,9)*12*N(INDEX(Dot_V,3,9))*IF(INDEX(Per_Mon,3)="PYG",1/INDEX(TC_V,1,9)*(1+V_dTC),1))</f>
        <v>39145.3150684931</v>
      </c>
      <c r="N42" s="48" t="n">
        <f aca="false">IF(cu_P=1,N(INDEX(Sal_O,3))*INDEX(IdxSal_O,1,10)*12*N(INDEX(Dot_O,3,10))*IF(INDEX(Per_Mon,3)="PYG",1/INDEX(TC_O,1,10)*(1+P_dTC),1),N(INDEX(Sal_V,3))*INDEX(IdxSal_V,1,10)*12*N(INDEX(Dot_V,3,10))*IF(INDEX(Per_Mon,3)="PYG",1/INDEX(TC_V,1,10)*(1+V_dTC),1))</f>
        <v>39145.3150684931</v>
      </c>
      <c r="O42" s="54" t="n">
        <f aca="false">SUM(D42:N42)</f>
        <v>378404.712328767</v>
      </c>
    </row>
    <row r="43" customFormat="false" ht="15" hidden="false" customHeight="false" outlineLevel="0" collapsed="false">
      <c r="A43" s="11" t="s">
        <v>2946</v>
      </c>
      <c r="B43" s="53" t="str">
        <f aca="false">IF(Costos!$B$9="","Puesto 4",Costos!$B$9&amp;" ("&amp;Costos!$C$9&amp;")")</f>
        <v>Baño (Directo)</v>
      </c>
      <c r="C43" s="11" t="s">
        <v>508</v>
      </c>
      <c r="E43" s="48" t="n">
        <f aca="false">IF(cu_P=1,N(INDEX(Sal_O,4))*INDEX(IdxSal_O,1,1)*12*N(INDEX(Dot_O,4,1))*IF(INDEX(Per_Mon,4)="PYG",1/INDEX(TC_O,1,1)*(1+P_dTC),1),N(INDEX(Sal_V,4))*INDEX(IdxSal_V,1,1)*12*N(INDEX(Dot_V,4,1))*IF(INDEX(Per_Mon,4)="PYG",1/INDEX(TC_V,1,1)*(1+V_dTC),1))</f>
        <v>12002.1534246575</v>
      </c>
      <c r="F43" s="48" t="n">
        <f aca="false">IF(cu_P=1,N(INDEX(Sal_O,4))*INDEX(IdxSal_O,1,2)*12*N(INDEX(Dot_O,4,2))*IF(INDEX(Per_Mon,4)="PYG",1/INDEX(TC_O,1,2)*(1+P_dTC),1),N(INDEX(Sal_V,4))*INDEX(IdxSal_V,1,2)*12*N(INDEX(Dot_V,4,2))*IF(INDEX(Per_Mon,4)="PYG",1/INDEX(TC_V,1,2)*(1+V_dTC),1))</f>
        <v>12002.1534246575</v>
      </c>
      <c r="G43" s="48" t="n">
        <f aca="false">IF(cu_P=1,N(INDEX(Sal_O,4))*INDEX(IdxSal_O,1,3)*12*N(INDEX(Dot_O,4,3))*IF(INDEX(Per_Mon,4)="PYG",1/INDEX(TC_O,1,3)*(1+P_dTC),1),N(INDEX(Sal_V,4))*INDEX(IdxSal_V,1,3)*12*N(INDEX(Dot_V,4,3))*IF(INDEX(Per_Mon,4)="PYG",1/INDEX(TC_V,1,3)*(1+V_dTC),1))</f>
        <v>12002.1534246575</v>
      </c>
      <c r="H43" s="48" t="n">
        <f aca="false">IF(cu_P=1,N(INDEX(Sal_O,4))*INDEX(IdxSal_O,1,4)*12*N(INDEX(Dot_O,4,4))*IF(INDEX(Per_Mon,4)="PYG",1/INDEX(TC_O,1,4)*(1+P_dTC),1),N(INDEX(Sal_V,4))*INDEX(IdxSal_V,1,4)*12*N(INDEX(Dot_V,4,4))*IF(INDEX(Per_Mon,4)="PYG",1/INDEX(TC_V,1,4)*(1+V_dTC),1))</f>
        <v>12002.1534246575</v>
      </c>
      <c r="I43" s="48" t="n">
        <f aca="false">IF(cu_P=1,N(INDEX(Sal_O,4))*INDEX(IdxSal_O,1,5)*12*N(INDEX(Dot_O,4,5))*IF(INDEX(Per_Mon,4)="PYG",1/INDEX(TC_O,1,5)*(1+P_dTC),1),N(INDEX(Sal_V,4))*INDEX(IdxSal_V,1,5)*12*N(INDEX(Dot_V,4,5))*IF(INDEX(Per_Mon,4)="PYG",1/INDEX(TC_V,1,5)*(1+V_dTC),1))</f>
        <v>18003.2301369863</v>
      </c>
      <c r="J43" s="48" t="n">
        <f aca="false">IF(cu_P=1,N(INDEX(Sal_O,4))*INDEX(IdxSal_O,1,6)*12*N(INDEX(Dot_O,4,6))*IF(INDEX(Per_Mon,4)="PYG",1/INDEX(TC_O,1,6)*(1+P_dTC),1),N(INDEX(Sal_V,4))*INDEX(IdxSal_V,1,6)*12*N(INDEX(Dot_V,4,6))*IF(INDEX(Per_Mon,4)="PYG",1/INDEX(TC_V,1,6)*(1+V_dTC),1))</f>
        <v>18003.2301369863</v>
      </c>
      <c r="K43" s="48" t="n">
        <f aca="false">IF(cu_P=1,N(INDEX(Sal_O,4))*INDEX(IdxSal_O,1,7)*12*N(INDEX(Dot_O,4,7))*IF(INDEX(Per_Mon,4)="PYG",1/INDEX(TC_O,1,7)*(1+P_dTC),1),N(INDEX(Sal_V,4))*INDEX(IdxSal_V,1,7)*12*N(INDEX(Dot_V,4,7))*IF(INDEX(Per_Mon,4)="PYG",1/INDEX(TC_V,1,7)*(1+V_dTC),1))</f>
        <v>18003.2301369863</v>
      </c>
      <c r="L43" s="48" t="n">
        <f aca="false">IF(cu_P=1,N(INDEX(Sal_O,4))*INDEX(IdxSal_O,1,8)*12*N(INDEX(Dot_O,4,8))*IF(INDEX(Per_Mon,4)="PYG",1/INDEX(TC_O,1,8)*(1+P_dTC),1),N(INDEX(Sal_V,4))*INDEX(IdxSal_V,1,8)*12*N(INDEX(Dot_V,4,8))*IF(INDEX(Per_Mon,4)="PYG",1/INDEX(TC_V,1,8)*(1+V_dTC),1))</f>
        <v>18003.2301369863</v>
      </c>
      <c r="M43" s="48" t="n">
        <f aca="false">IF(cu_P=1,N(INDEX(Sal_O,4))*INDEX(IdxSal_O,1,9)*12*N(INDEX(Dot_O,4,9))*IF(INDEX(Per_Mon,4)="PYG",1/INDEX(TC_O,1,9)*(1+P_dTC),1),N(INDEX(Sal_V,4))*INDEX(IdxSal_V,1,9)*12*N(INDEX(Dot_V,4,9))*IF(INDEX(Per_Mon,4)="PYG",1/INDEX(TC_V,1,9)*(1+V_dTC),1))</f>
        <v>18003.2301369863</v>
      </c>
      <c r="N43" s="48" t="n">
        <f aca="false">IF(cu_P=1,N(INDEX(Sal_O,4))*INDEX(IdxSal_O,1,10)*12*N(INDEX(Dot_O,4,10))*IF(INDEX(Per_Mon,4)="PYG",1/INDEX(TC_O,1,10)*(1+P_dTC),1),N(INDEX(Sal_V,4))*INDEX(IdxSal_V,1,10)*12*N(INDEX(Dot_V,4,10))*IF(INDEX(Per_Mon,4)="PYG",1/INDEX(TC_V,1,10)*(1+V_dTC),1))</f>
        <v>18003.2301369863</v>
      </c>
      <c r="O43" s="54" t="n">
        <f aca="false">SUM(D43:N43)</f>
        <v>156027.994520548</v>
      </c>
    </row>
    <row r="44" customFormat="false" ht="15" hidden="false" customHeight="false" outlineLevel="0" collapsed="false">
      <c r="A44" s="11" t="s">
        <v>2947</v>
      </c>
      <c r="B44" s="53" t="str">
        <f aca="false">IF(Costos!$B$10="","Puesto 5",Costos!$B$10&amp;" ("&amp;Costos!$C$10&amp;")")</f>
        <v>Pintor (Directo)</v>
      </c>
      <c r="C44" s="11" t="s">
        <v>508</v>
      </c>
      <c r="E44" s="48" t="n">
        <f aca="false">IF(cu_P=1,N(INDEX(Sal_O,5))*INDEX(IdxSal_O,1,1)*12*N(INDEX(Dot_O,5,1))*IF(INDEX(Per_Mon,5)="PYG",1/INDEX(TC_O,1,1)*(1+P_dTC),1),N(INDEX(Sal_V,5))*INDEX(IdxSal_V,1,1)*12*N(INDEX(Dot_V,5,1))*IF(INDEX(Per_Mon,5)="PYG",1/INDEX(TC_V,1,1)*(1+V_dTC),1))</f>
        <v>24004.3068493151</v>
      </c>
      <c r="F44" s="48" t="n">
        <f aca="false">IF(cu_P=1,N(INDEX(Sal_O,5))*INDEX(IdxSal_O,1,2)*12*N(INDEX(Dot_O,5,2))*IF(INDEX(Per_Mon,5)="PYG",1/INDEX(TC_O,1,2)*(1+P_dTC),1),N(INDEX(Sal_V,5))*INDEX(IdxSal_V,1,2)*12*N(INDEX(Dot_V,5,2))*IF(INDEX(Per_Mon,5)="PYG",1/INDEX(TC_V,1,2)*(1+V_dTC),1))</f>
        <v>24004.3068493151</v>
      </c>
      <c r="G44" s="48" t="n">
        <f aca="false">IF(cu_P=1,N(INDEX(Sal_O,5))*INDEX(IdxSal_O,1,3)*12*N(INDEX(Dot_O,5,3))*IF(INDEX(Per_Mon,5)="PYG",1/INDEX(TC_O,1,3)*(1+P_dTC),1),N(INDEX(Sal_V,5))*INDEX(IdxSal_V,1,3)*12*N(INDEX(Dot_V,5,3))*IF(INDEX(Per_Mon,5)="PYG",1/INDEX(TC_V,1,3)*(1+V_dTC),1))</f>
        <v>24004.3068493151</v>
      </c>
      <c r="H44" s="48" t="n">
        <f aca="false">IF(cu_P=1,N(INDEX(Sal_O,5))*INDEX(IdxSal_O,1,4)*12*N(INDEX(Dot_O,5,4))*IF(INDEX(Per_Mon,5)="PYG",1/INDEX(TC_O,1,4)*(1+P_dTC),1),N(INDEX(Sal_V,5))*INDEX(IdxSal_V,1,4)*12*N(INDEX(Dot_V,5,4))*IF(INDEX(Per_Mon,5)="PYG",1/INDEX(TC_V,1,4)*(1+V_dTC),1))</f>
        <v>30005.3835616438</v>
      </c>
      <c r="I44" s="48" t="n">
        <f aca="false">IF(cu_P=1,N(INDEX(Sal_O,5))*INDEX(IdxSal_O,1,5)*12*N(INDEX(Dot_O,5,5))*IF(INDEX(Per_Mon,5)="PYG",1/INDEX(TC_O,1,5)*(1+P_dTC),1),N(INDEX(Sal_V,5))*INDEX(IdxSal_V,1,5)*12*N(INDEX(Dot_V,5,5))*IF(INDEX(Per_Mon,5)="PYG",1/INDEX(TC_V,1,5)*(1+V_dTC),1))</f>
        <v>30005.3835616438</v>
      </c>
      <c r="J44" s="48" t="n">
        <f aca="false">IF(cu_P=1,N(INDEX(Sal_O,5))*INDEX(IdxSal_O,1,6)*12*N(INDEX(Dot_O,5,6))*IF(INDEX(Per_Mon,5)="PYG",1/INDEX(TC_O,1,6)*(1+P_dTC),1),N(INDEX(Sal_V,5))*INDEX(IdxSal_V,1,6)*12*N(INDEX(Dot_V,5,6))*IF(INDEX(Per_Mon,5)="PYG",1/INDEX(TC_V,1,6)*(1+V_dTC),1))</f>
        <v>30005.3835616438</v>
      </c>
      <c r="K44" s="48" t="n">
        <f aca="false">IF(cu_P=1,N(INDEX(Sal_O,5))*INDEX(IdxSal_O,1,7)*12*N(INDEX(Dot_O,5,7))*IF(INDEX(Per_Mon,5)="PYG",1/INDEX(TC_O,1,7)*(1+P_dTC),1),N(INDEX(Sal_V,5))*INDEX(IdxSal_V,1,7)*12*N(INDEX(Dot_V,5,7))*IF(INDEX(Per_Mon,5)="PYG",1/INDEX(TC_V,1,7)*(1+V_dTC),1))</f>
        <v>30005.3835616438</v>
      </c>
      <c r="L44" s="48" t="n">
        <f aca="false">IF(cu_P=1,N(INDEX(Sal_O,5))*INDEX(IdxSal_O,1,8)*12*N(INDEX(Dot_O,5,8))*IF(INDEX(Per_Mon,5)="PYG",1/INDEX(TC_O,1,8)*(1+P_dTC),1),N(INDEX(Sal_V,5))*INDEX(IdxSal_V,1,8)*12*N(INDEX(Dot_V,5,8))*IF(INDEX(Per_Mon,5)="PYG",1/INDEX(TC_V,1,8)*(1+V_dTC),1))</f>
        <v>30005.3835616438</v>
      </c>
      <c r="M44" s="48" t="n">
        <f aca="false">IF(cu_P=1,N(INDEX(Sal_O,5))*INDEX(IdxSal_O,1,9)*12*N(INDEX(Dot_O,5,9))*IF(INDEX(Per_Mon,5)="PYG",1/INDEX(TC_O,1,9)*(1+P_dTC),1),N(INDEX(Sal_V,5))*INDEX(IdxSal_V,1,9)*12*N(INDEX(Dot_V,5,9))*IF(INDEX(Per_Mon,5)="PYG",1/INDEX(TC_V,1,9)*(1+V_dTC),1))</f>
        <v>30005.3835616438</v>
      </c>
      <c r="N44" s="48" t="n">
        <f aca="false">IF(cu_P=1,N(INDEX(Sal_O,5))*INDEX(IdxSal_O,1,10)*12*N(INDEX(Dot_O,5,10))*IF(INDEX(Per_Mon,5)="PYG",1/INDEX(TC_O,1,10)*(1+P_dTC),1),N(INDEX(Sal_V,5))*INDEX(IdxSal_V,1,10)*12*N(INDEX(Dot_V,5,10))*IF(INDEX(Per_Mon,5)="PYG",1/INDEX(TC_V,1,10)*(1+V_dTC),1))</f>
        <v>30005.3835616438</v>
      </c>
      <c r="O44" s="54" t="n">
        <f aca="false">SUM(D44:N44)</f>
        <v>282050.605479452</v>
      </c>
    </row>
    <row r="45" customFormat="false" ht="15" hidden="false" customHeight="false" outlineLevel="0" collapsed="false">
      <c r="A45" s="11" t="s">
        <v>2948</v>
      </c>
      <c r="B45" s="53" t="str">
        <f aca="false">IF(Costos!$B$11="","Puesto 6",Costos!$B$11&amp;" ("&amp;Costos!$C$11&amp;")")</f>
        <v>Montador (Directo)</v>
      </c>
      <c r="C45" s="11" t="s">
        <v>508</v>
      </c>
      <c r="E45" s="48" t="n">
        <f aca="false">IF(cu_P=1,N(INDEX(Sal_O,6))*INDEX(IdxSal_O,1,1)*12*N(INDEX(Dot_O,6,1))*IF(INDEX(Per_Mon,6)="PYG",1/INDEX(TC_O,1,1)*(1+P_dTC),1),N(INDEX(Sal_V,6))*INDEX(IdxSal_V,1,1)*12*N(INDEX(Dot_V,6,1))*IF(INDEX(Per_Mon,6)="PYG",1/INDEX(TC_V,1,1)*(1+V_dTC),1))</f>
        <v>51791.5890410959</v>
      </c>
      <c r="F45" s="48" t="n">
        <f aca="false">IF(cu_P=1,N(INDEX(Sal_O,6))*INDEX(IdxSal_O,1,2)*12*N(INDEX(Dot_O,6,2))*IF(INDEX(Per_Mon,6)="PYG",1/INDEX(TC_O,1,2)*(1+P_dTC),1),N(INDEX(Sal_V,6))*INDEX(IdxSal_V,1,2)*12*N(INDEX(Dot_V,6,2))*IF(INDEX(Per_Mon,6)="PYG",1/INDEX(TC_V,1,2)*(1+V_dTC),1))</f>
        <v>51791.5890410959</v>
      </c>
      <c r="G45" s="48" t="n">
        <f aca="false">IF(cu_P=1,N(INDEX(Sal_O,6))*INDEX(IdxSal_O,1,3)*12*N(INDEX(Dot_O,6,3))*IF(INDEX(Per_Mon,6)="PYG",1/INDEX(TC_O,1,3)*(1+P_dTC),1),N(INDEX(Sal_V,6))*INDEX(IdxSal_V,1,3)*12*N(INDEX(Dot_V,6,3))*IF(INDEX(Per_Mon,6)="PYG",1/INDEX(TC_V,1,3)*(1+V_dTC),1))</f>
        <v>51791.5890410959</v>
      </c>
      <c r="H45" s="48" t="n">
        <f aca="false">IF(cu_P=1,N(INDEX(Sal_O,6))*INDEX(IdxSal_O,1,4)*12*N(INDEX(Dot_O,6,4))*IF(INDEX(Per_Mon,6)="PYG",1/INDEX(TC_O,1,4)*(1+P_dTC),1),N(INDEX(Sal_V,6))*INDEX(IdxSal_V,1,4)*12*N(INDEX(Dot_V,6,4))*IF(INDEX(Per_Mon,6)="PYG",1/INDEX(TC_V,1,4)*(1+V_dTC),1))</f>
        <v>56970.7479452055</v>
      </c>
      <c r="I45" s="48" t="n">
        <f aca="false">IF(cu_P=1,N(INDEX(Sal_O,6))*INDEX(IdxSal_O,1,5)*12*N(INDEX(Dot_O,6,5))*IF(INDEX(Per_Mon,6)="PYG",1/INDEX(TC_O,1,5)*(1+P_dTC),1),N(INDEX(Sal_V,6))*INDEX(IdxSal_V,1,5)*12*N(INDEX(Dot_V,6,5))*IF(INDEX(Per_Mon,6)="PYG",1/INDEX(TC_V,1,5)*(1+V_dTC),1))</f>
        <v>56970.7479452055</v>
      </c>
      <c r="J45" s="48" t="n">
        <f aca="false">IF(cu_P=1,N(INDEX(Sal_O,6))*INDEX(IdxSal_O,1,6)*12*N(INDEX(Dot_O,6,6))*IF(INDEX(Per_Mon,6)="PYG",1/INDEX(TC_O,1,6)*(1+P_dTC),1),N(INDEX(Sal_V,6))*INDEX(IdxSal_V,1,6)*12*N(INDEX(Dot_V,6,6))*IF(INDEX(Per_Mon,6)="PYG",1/INDEX(TC_V,1,6)*(1+V_dTC),1))</f>
        <v>56970.7479452055</v>
      </c>
      <c r="K45" s="48" t="n">
        <f aca="false">IF(cu_P=1,N(INDEX(Sal_O,6))*INDEX(IdxSal_O,1,7)*12*N(INDEX(Dot_O,6,7))*IF(INDEX(Per_Mon,6)="PYG",1/INDEX(TC_O,1,7)*(1+P_dTC),1),N(INDEX(Sal_V,6))*INDEX(IdxSal_V,1,7)*12*N(INDEX(Dot_V,6,7))*IF(INDEX(Per_Mon,6)="PYG",1/INDEX(TC_V,1,7)*(1+V_dTC),1))</f>
        <v>56970.7479452055</v>
      </c>
      <c r="L45" s="48" t="n">
        <f aca="false">IF(cu_P=1,N(INDEX(Sal_O,6))*INDEX(IdxSal_O,1,8)*12*N(INDEX(Dot_O,6,8))*IF(INDEX(Per_Mon,6)="PYG",1/INDEX(TC_O,1,8)*(1+P_dTC),1),N(INDEX(Sal_V,6))*INDEX(IdxSal_V,1,8)*12*N(INDEX(Dot_V,6,8))*IF(INDEX(Per_Mon,6)="PYG",1/INDEX(TC_V,1,8)*(1+V_dTC),1))</f>
        <v>56970.7479452055</v>
      </c>
      <c r="M45" s="48" t="n">
        <f aca="false">IF(cu_P=1,N(INDEX(Sal_O,6))*INDEX(IdxSal_O,1,9)*12*N(INDEX(Dot_O,6,9))*IF(INDEX(Per_Mon,6)="PYG",1/INDEX(TC_O,1,9)*(1+P_dTC),1),N(INDEX(Sal_V,6))*INDEX(IdxSal_V,1,9)*12*N(INDEX(Dot_V,6,9))*IF(INDEX(Per_Mon,6)="PYG",1/INDEX(TC_V,1,9)*(1+V_dTC),1))</f>
        <v>56970.7479452055</v>
      </c>
      <c r="N45" s="48" t="n">
        <f aca="false">IF(cu_P=1,N(INDEX(Sal_O,6))*INDEX(IdxSal_O,1,10)*12*N(INDEX(Dot_O,6,10))*IF(INDEX(Per_Mon,6)="PYG",1/INDEX(TC_O,1,10)*(1+P_dTC),1),N(INDEX(Sal_V,6))*INDEX(IdxSal_V,1,10)*12*N(INDEX(Dot_V,6,10))*IF(INDEX(Per_Mon,6)="PYG",1/INDEX(TC_V,1,10)*(1+V_dTC),1))</f>
        <v>56970.7479452055</v>
      </c>
      <c r="O45" s="54" t="n">
        <f aca="false">SUM(D45:N45)</f>
        <v>554170.002739726</v>
      </c>
    </row>
    <row r="46" customFormat="false" ht="15" hidden="false" customHeight="false" outlineLevel="0" collapsed="false">
      <c r="A46" s="11" t="s">
        <v>2949</v>
      </c>
      <c r="B46" s="53" t="str">
        <f aca="false">IF(Costos!$B$12="","Puesto 7",Costos!$B$12&amp;" ("&amp;Costos!$C$12&amp;")")</f>
        <v>Ayudante (Directo)</v>
      </c>
      <c r="C46" s="11" t="s">
        <v>508</v>
      </c>
      <c r="E46" s="48" t="n">
        <f aca="false">IF(cu_P=1,N(INDEX(Sal_O,7))*INDEX(IdxSal_O,1,1)*12*N(INDEX(Dot_O,7,1))*IF(INDEX(Per_Mon,7)="PYG",1/INDEX(TC_O,1,1)*(1+P_dTC),1),N(INDEX(Sal_V,7))*INDEX(IdxSal_V,1,1)*12*N(INDEX(Dot_V,7,1))*IF(INDEX(Per_Mon,7)="PYG",1/INDEX(TC_V,1,1)*(1+V_dTC),1))</f>
        <v>45999.6</v>
      </c>
      <c r="F46" s="48" t="n">
        <f aca="false">IF(cu_P=1,N(INDEX(Sal_O,7))*INDEX(IdxSal_O,1,2)*12*N(INDEX(Dot_O,7,2))*IF(INDEX(Per_Mon,7)="PYG",1/INDEX(TC_O,1,2)*(1+P_dTC),1),N(INDEX(Sal_V,7))*INDEX(IdxSal_V,1,2)*12*N(INDEX(Dot_V,7,2))*IF(INDEX(Per_Mon,7)="PYG",1/INDEX(TC_V,1,2)*(1+V_dTC),1))</f>
        <v>45999.6</v>
      </c>
      <c r="G46" s="48" t="n">
        <f aca="false">IF(cu_P=1,N(INDEX(Sal_O,7))*INDEX(IdxSal_O,1,3)*12*N(INDEX(Dot_O,7,3))*IF(INDEX(Per_Mon,7)="PYG",1/INDEX(TC_O,1,3)*(1+P_dTC),1),N(INDEX(Sal_V,7))*INDEX(IdxSal_V,1,3)*12*N(INDEX(Dot_V,7,3))*IF(INDEX(Per_Mon,7)="PYG",1/INDEX(TC_V,1,3)*(1+V_dTC),1))</f>
        <v>45999.6</v>
      </c>
      <c r="H46" s="48" t="n">
        <f aca="false">IF(cu_P=1,N(INDEX(Sal_O,7))*INDEX(IdxSal_O,1,4)*12*N(INDEX(Dot_O,7,4))*IF(INDEX(Per_Mon,7)="PYG",1/INDEX(TC_O,1,4)*(1+P_dTC),1),N(INDEX(Sal_V,7))*INDEX(IdxSal_V,1,4)*12*N(INDEX(Dot_V,7,4))*IF(INDEX(Per_Mon,7)="PYG",1/INDEX(TC_V,1,4)*(1+V_dTC),1))</f>
        <v>50599.56</v>
      </c>
      <c r="I46" s="48" t="n">
        <f aca="false">IF(cu_P=1,N(INDEX(Sal_O,7))*INDEX(IdxSal_O,1,5)*12*N(INDEX(Dot_O,7,5))*IF(INDEX(Per_Mon,7)="PYG",1/INDEX(TC_O,1,5)*(1+P_dTC),1),N(INDEX(Sal_V,7))*INDEX(IdxSal_V,1,5)*12*N(INDEX(Dot_V,7,5))*IF(INDEX(Per_Mon,7)="PYG",1/INDEX(TC_V,1,5)*(1+V_dTC),1))</f>
        <v>50599.56</v>
      </c>
      <c r="J46" s="48" t="n">
        <f aca="false">IF(cu_P=1,N(INDEX(Sal_O,7))*INDEX(IdxSal_O,1,6)*12*N(INDEX(Dot_O,7,6))*IF(INDEX(Per_Mon,7)="PYG",1/INDEX(TC_O,1,6)*(1+P_dTC),1),N(INDEX(Sal_V,7))*INDEX(IdxSal_V,1,6)*12*N(INDEX(Dot_V,7,6))*IF(INDEX(Per_Mon,7)="PYG",1/INDEX(TC_V,1,6)*(1+V_dTC),1))</f>
        <v>50599.56</v>
      </c>
      <c r="K46" s="48" t="n">
        <f aca="false">IF(cu_P=1,N(INDEX(Sal_O,7))*INDEX(IdxSal_O,1,7)*12*N(INDEX(Dot_O,7,7))*IF(INDEX(Per_Mon,7)="PYG",1/INDEX(TC_O,1,7)*(1+P_dTC),1),N(INDEX(Sal_V,7))*INDEX(IdxSal_V,1,7)*12*N(INDEX(Dot_V,7,7))*IF(INDEX(Per_Mon,7)="PYG",1/INDEX(TC_V,1,7)*(1+V_dTC),1))</f>
        <v>50599.56</v>
      </c>
      <c r="L46" s="48" t="n">
        <f aca="false">IF(cu_P=1,N(INDEX(Sal_O,7))*INDEX(IdxSal_O,1,8)*12*N(INDEX(Dot_O,7,8))*IF(INDEX(Per_Mon,7)="PYG",1/INDEX(TC_O,1,8)*(1+P_dTC),1),N(INDEX(Sal_V,7))*INDEX(IdxSal_V,1,8)*12*N(INDEX(Dot_V,7,8))*IF(INDEX(Per_Mon,7)="PYG",1/INDEX(TC_V,1,8)*(1+V_dTC),1))</f>
        <v>50599.56</v>
      </c>
      <c r="M46" s="48" t="n">
        <f aca="false">IF(cu_P=1,N(INDEX(Sal_O,7))*INDEX(IdxSal_O,1,9)*12*N(INDEX(Dot_O,7,9))*IF(INDEX(Per_Mon,7)="PYG",1/INDEX(TC_O,1,9)*(1+P_dTC),1),N(INDEX(Sal_V,7))*INDEX(IdxSal_V,1,9)*12*N(INDEX(Dot_V,7,9))*IF(INDEX(Per_Mon,7)="PYG",1/INDEX(TC_V,1,9)*(1+V_dTC),1))</f>
        <v>50599.56</v>
      </c>
      <c r="N46" s="48" t="n">
        <f aca="false">IF(cu_P=1,N(INDEX(Sal_O,7))*INDEX(IdxSal_O,1,10)*12*N(INDEX(Dot_O,7,10))*IF(INDEX(Per_Mon,7)="PYG",1/INDEX(TC_O,1,10)*(1+P_dTC),1),N(INDEX(Sal_V,7))*INDEX(IdxSal_V,1,10)*12*N(INDEX(Dot_V,7,10))*IF(INDEX(Per_Mon,7)="PYG",1/INDEX(TC_V,1,10)*(1+V_dTC),1))</f>
        <v>50599.56</v>
      </c>
      <c r="O46" s="54" t="n">
        <f aca="false">SUM(D46:N46)</f>
        <v>492195.72</v>
      </c>
    </row>
    <row r="47" customFormat="false" ht="15" hidden="false" customHeight="false" outlineLevel="0" collapsed="false">
      <c r="A47" s="11" t="s">
        <v>2950</v>
      </c>
      <c r="B47" s="53" t="str">
        <f aca="false">IF(Costos!$B$13="","Puesto 8",Costos!$B$13&amp;" ("&amp;Costos!$C$13&amp;")")</f>
        <v>Gerente General (Administración)</v>
      </c>
      <c r="C47" s="11" t="s">
        <v>508</v>
      </c>
      <c r="E47" s="48" t="n">
        <f aca="false">IF(cu_P=1,N(INDEX(Sal_O,8))*INDEX(IdxSal_O,1,1)*12*N(INDEX(Dot_O,8,1))*IF(INDEX(Per_Mon,8)="PYG",1/INDEX(TC_O,1,1)*(1+P_dTC),1),N(INDEX(Sal_V,8))*INDEX(IdxSal_V,1,1)*12*N(INDEX(Dot_V,8,1))*IF(INDEX(Per_Mon,8)="PYG",1/INDEX(TC_V,1,1)*(1+V_dTC),1))</f>
        <v>29589.0410958904</v>
      </c>
      <c r="F47" s="48" t="n">
        <f aca="false">IF(cu_P=1,N(INDEX(Sal_O,8))*INDEX(IdxSal_O,1,2)*12*N(INDEX(Dot_O,8,2))*IF(INDEX(Per_Mon,8)="PYG",1/INDEX(TC_O,1,2)*(1+P_dTC),1),N(INDEX(Sal_V,8))*INDEX(IdxSal_V,1,2)*12*N(INDEX(Dot_V,8,2))*IF(INDEX(Per_Mon,8)="PYG",1/INDEX(TC_V,1,2)*(1+V_dTC),1))</f>
        <v>29589.0410958904</v>
      </c>
      <c r="G47" s="48" t="n">
        <f aca="false">IF(cu_P=1,N(INDEX(Sal_O,8))*INDEX(IdxSal_O,1,3)*12*N(INDEX(Dot_O,8,3))*IF(INDEX(Per_Mon,8)="PYG",1/INDEX(TC_O,1,3)*(1+P_dTC),1),N(INDEX(Sal_V,8))*INDEX(IdxSal_V,1,3)*12*N(INDEX(Dot_V,8,3))*IF(INDEX(Per_Mon,8)="PYG",1/INDEX(TC_V,1,3)*(1+V_dTC),1))</f>
        <v>29589.0410958904</v>
      </c>
      <c r="H47" s="48" t="n">
        <f aca="false">IF(cu_P=1,N(INDEX(Sal_O,8))*INDEX(IdxSal_O,1,4)*12*N(INDEX(Dot_O,8,4))*IF(INDEX(Per_Mon,8)="PYG",1/INDEX(TC_O,1,4)*(1+P_dTC),1),N(INDEX(Sal_V,8))*INDEX(IdxSal_V,1,4)*12*N(INDEX(Dot_V,8,4))*IF(INDEX(Per_Mon,8)="PYG",1/INDEX(TC_V,1,4)*(1+V_dTC),1))</f>
        <v>29589.0410958904</v>
      </c>
      <c r="I47" s="48" t="n">
        <f aca="false">IF(cu_P=1,N(INDEX(Sal_O,8))*INDEX(IdxSal_O,1,5)*12*N(INDEX(Dot_O,8,5))*IF(INDEX(Per_Mon,8)="PYG",1/INDEX(TC_O,1,5)*(1+P_dTC),1),N(INDEX(Sal_V,8))*INDEX(IdxSal_V,1,5)*12*N(INDEX(Dot_V,8,5))*IF(INDEX(Per_Mon,8)="PYG",1/INDEX(TC_V,1,5)*(1+V_dTC),1))</f>
        <v>29589.0410958904</v>
      </c>
      <c r="J47" s="48" t="n">
        <f aca="false">IF(cu_P=1,N(INDEX(Sal_O,8))*INDEX(IdxSal_O,1,6)*12*N(INDEX(Dot_O,8,6))*IF(INDEX(Per_Mon,8)="PYG",1/INDEX(TC_O,1,6)*(1+P_dTC),1),N(INDEX(Sal_V,8))*INDEX(IdxSal_V,1,6)*12*N(INDEX(Dot_V,8,6))*IF(INDEX(Per_Mon,8)="PYG",1/INDEX(TC_V,1,6)*(1+V_dTC),1))</f>
        <v>29589.0410958904</v>
      </c>
      <c r="K47" s="48" t="n">
        <f aca="false">IF(cu_P=1,N(INDEX(Sal_O,8))*INDEX(IdxSal_O,1,7)*12*N(INDEX(Dot_O,8,7))*IF(INDEX(Per_Mon,8)="PYG",1/INDEX(TC_O,1,7)*(1+P_dTC),1),N(INDEX(Sal_V,8))*INDEX(IdxSal_V,1,7)*12*N(INDEX(Dot_V,8,7))*IF(INDEX(Per_Mon,8)="PYG",1/INDEX(TC_V,1,7)*(1+V_dTC),1))</f>
        <v>29589.0410958904</v>
      </c>
      <c r="L47" s="48" t="n">
        <f aca="false">IF(cu_P=1,N(INDEX(Sal_O,8))*INDEX(IdxSal_O,1,8)*12*N(INDEX(Dot_O,8,8))*IF(INDEX(Per_Mon,8)="PYG",1/INDEX(TC_O,1,8)*(1+P_dTC),1),N(INDEX(Sal_V,8))*INDEX(IdxSal_V,1,8)*12*N(INDEX(Dot_V,8,8))*IF(INDEX(Per_Mon,8)="PYG",1/INDEX(TC_V,1,8)*(1+V_dTC),1))</f>
        <v>29589.0410958904</v>
      </c>
      <c r="M47" s="48" t="n">
        <f aca="false">IF(cu_P=1,N(INDEX(Sal_O,8))*INDEX(IdxSal_O,1,9)*12*N(INDEX(Dot_O,8,9))*IF(INDEX(Per_Mon,8)="PYG",1/INDEX(TC_O,1,9)*(1+P_dTC),1),N(INDEX(Sal_V,8))*INDEX(IdxSal_V,1,9)*12*N(INDEX(Dot_V,8,9))*IF(INDEX(Per_Mon,8)="PYG",1/INDEX(TC_V,1,9)*(1+V_dTC),1))</f>
        <v>29589.0410958904</v>
      </c>
      <c r="N47" s="48" t="n">
        <f aca="false">IF(cu_P=1,N(INDEX(Sal_O,8))*INDEX(IdxSal_O,1,10)*12*N(INDEX(Dot_O,8,10))*IF(INDEX(Per_Mon,8)="PYG",1/INDEX(TC_O,1,10)*(1+P_dTC),1),N(INDEX(Sal_V,8))*INDEX(IdxSal_V,1,10)*12*N(INDEX(Dot_V,8,10))*IF(INDEX(Per_Mon,8)="PYG",1/INDEX(TC_V,1,10)*(1+V_dTC),1))</f>
        <v>29589.0410958904</v>
      </c>
      <c r="O47" s="54" t="n">
        <f aca="false">SUM(D47:N47)</f>
        <v>295890.410958904</v>
      </c>
    </row>
    <row r="48" customFormat="false" ht="15" hidden="false" customHeight="false" outlineLevel="0" collapsed="false">
      <c r="A48" s="11" t="s">
        <v>2951</v>
      </c>
      <c r="B48" s="53" t="str">
        <f aca="false">IF(Costos!$B$14="","Puesto 9",Costos!$B$14&amp;" ("&amp;Costos!$C$14&amp;")")</f>
        <v>Gerente Industrial (Indirecto)</v>
      </c>
      <c r="C48" s="11" t="s">
        <v>508</v>
      </c>
      <c r="E48" s="48" t="n">
        <f aca="false">IF(cu_P=1,N(INDEX(Sal_O,9))*INDEX(IdxSal_O,1,1)*12*N(INDEX(Dot_O,9,1))*IF(INDEX(Per_Mon,9)="PYG",1/INDEX(TC_O,1,1)*(1+P_dTC),1),N(INDEX(Sal_V,9))*INDEX(IdxSal_V,1,1)*12*N(INDEX(Dot_V,9,1))*IF(INDEX(Per_Mon,9)="PYG",1/INDEX(TC_V,1,1)*(1+V_dTC),1))</f>
        <v>16109.5890410959</v>
      </c>
      <c r="F48" s="48" t="n">
        <f aca="false">IF(cu_P=1,N(INDEX(Sal_O,9))*INDEX(IdxSal_O,1,2)*12*N(INDEX(Dot_O,9,2))*IF(INDEX(Per_Mon,9)="PYG",1/INDEX(TC_O,1,2)*(1+P_dTC),1),N(INDEX(Sal_V,9))*INDEX(IdxSal_V,1,2)*12*N(INDEX(Dot_V,9,2))*IF(INDEX(Per_Mon,9)="PYG",1/INDEX(TC_V,1,2)*(1+V_dTC),1))</f>
        <v>16109.5890410959</v>
      </c>
      <c r="G48" s="48" t="n">
        <f aca="false">IF(cu_P=1,N(INDEX(Sal_O,9))*INDEX(IdxSal_O,1,3)*12*N(INDEX(Dot_O,9,3))*IF(INDEX(Per_Mon,9)="PYG",1/INDEX(TC_O,1,3)*(1+P_dTC),1),N(INDEX(Sal_V,9))*INDEX(IdxSal_V,1,3)*12*N(INDEX(Dot_V,9,3))*IF(INDEX(Per_Mon,9)="PYG",1/INDEX(TC_V,1,3)*(1+V_dTC),1))</f>
        <v>16109.5890410959</v>
      </c>
      <c r="H48" s="48" t="n">
        <f aca="false">IF(cu_P=1,N(INDEX(Sal_O,9))*INDEX(IdxSal_O,1,4)*12*N(INDEX(Dot_O,9,4))*IF(INDEX(Per_Mon,9)="PYG",1/INDEX(TC_O,1,4)*(1+P_dTC),1),N(INDEX(Sal_V,9))*INDEX(IdxSal_V,1,4)*12*N(INDEX(Dot_V,9,4))*IF(INDEX(Per_Mon,9)="PYG",1/INDEX(TC_V,1,4)*(1+V_dTC),1))</f>
        <v>16109.5890410959</v>
      </c>
      <c r="I48" s="48" t="n">
        <f aca="false">IF(cu_P=1,N(INDEX(Sal_O,9))*INDEX(IdxSal_O,1,5)*12*N(INDEX(Dot_O,9,5))*IF(INDEX(Per_Mon,9)="PYG",1/INDEX(TC_O,1,5)*(1+P_dTC),1),N(INDEX(Sal_V,9))*INDEX(IdxSal_V,1,5)*12*N(INDEX(Dot_V,9,5))*IF(INDEX(Per_Mon,9)="PYG",1/INDEX(TC_V,1,5)*(1+V_dTC),1))</f>
        <v>16109.5890410959</v>
      </c>
      <c r="J48" s="48" t="n">
        <f aca="false">IF(cu_P=1,N(INDEX(Sal_O,9))*INDEX(IdxSal_O,1,6)*12*N(INDEX(Dot_O,9,6))*IF(INDEX(Per_Mon,9)="PYG",1/INDEX(TC_O,1,6)*(1+P_dTC),1),N(INDEX(Sal_V,9))*INDEX(IdxSal_V,1,6)*12*N(INDEX(Dot_V,9,6))*IF(INDEX(Per_Mon,9)="PYG",1/INDEX(TC_V,1,6)*(1+V_dTC),1))</f>
        <v>16109.5890410959</v>
      </c>
      <c r="K48" s="48" t="n">
        <f aca="false">IF(cu_P=1,N(INDEX(Sal_O,9))*INDEX(IdxSal_O,1,7)*12*N(INDEX(Dot_O,9,7))*IF(INDEX(Per_Mon,9)="PYG",1/INDEX(TC_O,1,7)*(1+P_dTC),1),N(INDEX(Sal_V,9))*INDEX(IdxSal_V,1,7)*12*N(INDEX(Dot_V,9,7))*IF(INDEX(Per_Mon,9)="PYG",1/INDEX(TC_V,1,7)*(1+V_dTC),1))</f>
        <v>16109.5890410959</v>
      </c>
      <c r="L48" s="48" t="n">
        <f aca="false">IF(cu_P=1,N(INDEX(Sal_O,9))*INDEX(IdxSal_O,1,8)*12*N(INDEX(Dot_O,9,8))*IF(INDEX(Per_Mon,9)="PYG",1/INDEX(TC_O,1,8)*(1+P_dTC),1),N(INDEX(Sal_V,9))*INDEX(IdxSal_V,1,8)*12*N(INDEX(Dot_V,9,8))*IF(INDEX(Per_Mon,9)="PYG",1/INDEX(TC_V,1,8)*(1+V_dTC),1))</f>
        <v>16109.5890410959</v>
      </c>
      <c r="M48" s="48" t="n">
        <f aca="false">IF(cu_P=1,N(INDEX(Sal_O,9))*INDEX(IdxSal_O,1,9)*12*N(INDEX(Dot_O,9,9))*IF(INDEX(Per_Mon,9)="PYG",1/INDEX(TC_O,1,9)*(1+P_dTC),1),N(INDEX(Sal_V,9))*INDEX(IdxSal_V,1,9)*12*N(INDEX(Dot_V,9,9))*IF(INDEX(Per_Mon,9)="PYG",1/INDEX(TC_V,1,9)*(1+V_dTC),1))</f>
        <v>16109.5890410959</v>
      </c>
      <c r="N48" s="48" t="n">
        <f aca="false">IF(cu_P=1,N(INDEX(Sal_O,9))*INDEX(IdxSal_O,1,10)*12*N(INDEX(Dot_O,9,10))*IF(INDEX(Per_Mon,9)="PYG",1/INDEX(TC_O,1,10)*(1+P_dTC),1),N(INDEX(Sal_V,9))*INDEX(IdxSal_V,1,10)*12*N(INDEX(Dot_V,9,10))*IF(INDEX(Per_Mon,9)="PYG",1/INDEX(TC_V,1,10)*(1+V_dTC),1))</f>
        <v>16109.5890410959</v>
      </c>
      <c r="O48" s="54" t="n">
        <f aca="false">SUM(D48:N48)</f>
        <v>161095.890410959</v>
      </c>
    </row>
    <row r="49" customFormat="false" ht="15" hidden="false" customHeight="false" outlineLevel="0" collapsed="false">
      <c r="A49" s="11" t="s">
        <v>2952</v>
      </c>
      <c r="B49" s="53" t="str">
        <f aca="false">IF(Costos!$B$15="","Puesto 10",Costos!$B$15&amp;" ("&amp;Costos!$C$15&amp;")")</f>
        <v>Coord. Prod. Corte y Deformación (Indirecto)</v>
      </c>
      <c r="C49" s="11" t="s">
        <v>508</v>
      </c>
      <c r="E49" s="48" t="n">
        <f aca="false">IF(cu_P=1,N(INDEX(Sal_O,10))*INDEX(IdxSal_O,1,1)*12*N(INDEX(Dot_O,10,1))*IF(INDEX(Per_Mon,10)="PYG",1/INDEX(TC_O,1,1)*(1+P_dTC),1),N(INDEX(Sal_V,10))*INDEX(IdxSal_V,1,1)*12*N(INDEX(Dot_V,10,1))*IF(INDEX(Per_Mon,10)="PYG",1/INDEX(TC_V,1,1)*(1+V_dTC),1))</f>
        <v>10767.1232876712</v>
      </c>
      <c r="F49" s="48" t="n">
        <f aca="false">IF(cu_P=1,N(INDEX(Sal_O,10))*INDEX(IdxSal_O,1,2)*12*N(INDEX(Dot_O,10,2))*IF(INDEX(Per_Mon,10)="PYG",1/INDEX(TC_O,1,2)*(1+P_dTC),1),N(INDEX(Sal_V,10))*INDEX(IdxSal_V,1,2)*12*N(INDEX(Dot_V,10,2))*IF(INDEX(Per_Mon,10)="PYG",1/INDEX(TC_V,1,2)*(1+V_dTC),1))</f>
        <v>10767.1232876712</v>
      </c>
      <c r="G49" s="48" t="n">
        <f aca="false">IF(cu_P=1,N(INDEX(Sal_O,10))*INDEX(IdxSal_O,1,3)*12*N(INDEX(Dot_O,10,3))*IF(INDEX(Per_Mon,10)="PYG",1/INDEX(TC_O,1,3)*(1+P_dTC),1),N(INDEX(Sal_V,10))*INDEX(IdxSal_V,1,3)*12*N(INDEX(Dot_V,10,3))*IF(INDEX(Per_Mon,10)="PYG",1/INDEX(TC_V,1,3)*(1+V_dTC),1))</f>
        <v>10767.1232876712</v>
      </c>
      <c r="H49" s="48" t="n">
        <f aca="false">IF(cu_P=1,N(INDEX(Sal_O,10))*INDEX(IdxSal_O,1,4)*12*N(INDEX(Dot_O,10,4))*IF(INDEX(Per_Mon,10)="PYG",1/INDEX(TC_O,1,4)*(1+P_dTC),1),N(INDEX(Sal_V,10))*INDEX(IdxSal_V,1,4)*12*N(INDEX(Dot_V,10,4))*IF(INDEX(Per_Mon,10)="PYG",1/INDEX(TC_V,1,4)*(1+V_dTC),1))</f>
        <v>10767.1232876712</v>
      </c>
      <c r="I49" s="48" t="n">
        <f aca="false">IF(cu_P=1,N(INDEX(Sal_O,10))*INDEX(IdxSal_O,1,5)*12*N(INDEX(Dot_O,10,5))*IF(INDEX(Per_Mon,10)="PYG",1/INDEX(TC_O,1,5)*(1+P_dTC),1),N(INDEX(Sal_V,10))*INDEX(IdxSal_V,1,5)*12*N(INDEX(Dot_V,10,5))*IF(INDEX(Per_Mon,10)="PYG",1/INDEX(TC_V,1,5)*(1+V_dTC),1))</f>
        <v>10767.1232876712</v>
      </c>
      <c r="J49" s="48" t="n">
        <f aca="false">IF(cu_P=1,N(INDEX(Sal_O,10))*INDEX(IdxSal_O,1,6)*12*N(INDEX(Dot_O,10,6))*IF(INDEX(Per_Mon,10)="PYG",1/INDEX(TC_O,1,6)*(1+P_dTC),1),N(INDEX(Sal_V,10))*INDEX(IdxSal_V,1,6)*12*N(INDEX(Dot_V,10,6))*IF(INDEX(Per_Mon,10)="PYG",1/INDEX(TC_V,1,6)*(1+V_dTC),1))</f>
        <v>10767.1232876712</v>
      </c>
      <c r="K49" s="48" t="n">
        <f aca="false">IF(cu_P=1,N(INDEX(Sal_O,10))*INDEX(IdxSal_O,1,7)*12*N(INDEX(Dot_O,10,7))*IF(INDEX(Per_Mon,10)="PYG",1/INDEX(TC_O,1,7)*(1+P_dTC),1),N(INDEX(Sal_V,10))*INDEX(IdxSal_V,1,7)*12*N(INDEX(Dot_V,10,7))*IF(INDEX(Per_Mon,10)="PYG",1/INDEX(TC_V,1,7)*(1+V_dTC),1))</f>
        <v>10767.1232876712</v>
      </c>
      <c r="L49" s="48" t="n">
        <f aca="false">IF(cu_P=1,N(INDEX(Sal_O,10))*INDEX(IdxSal_O,1,8)*12*N(INDEX(Dot_O,10,8))*IF(INDEX(Per_Mon,10)="PYG",1/INDEX(TC_O,1,8)*(1+P_dTC),1),N(INDEX(Sal_V,10))*INDEX(IdxSal_V,1,8)*12*N(INDEX(Dot_V,10,8))*IF(INDEX(Per_Mon,10)="PYG",1/INDEX(TC_V,1,8)*(1+V_dTC),1))</f>
        <v>10767.1232876712</v>
      </c>
      <c r="M49" s="48" t="n">
        <f aca="false">IF(cu_P=1,N(INDEX(Sal_O,10))*INDEX(IdxSal_O,1,9)*12*N(INDEX(Dot_O,10,9))*IF(INDEX(Per_Mon,10)="PYG",1/INDEX(TC_O,1,9)*(1+P_dTC),1),N(INDEX(Sal_V,10))*INDEX(IdxSal_V,1,9)*12*N(INDEX(Dot_V,10,9))*IF(INDEX(Per_Mon,10)="PYG",1/INDEX(TC_V,1,9)*(1+V_dTC),1))</f>
        <v>10767.1232876712</v>
      </c>
      <c r="N49" s="48" t="n">
        <f aca="false">IF(cu_P=1,N(INDEX(Sal_O,10))*INDEX(IdxSal_O,1,10)*12*N(INDEX(Dot_O,10,10))*IF(INDEX(Per_Mon,10)="PYG",1/INDEX(TC_O,1,10)*(1+P_dTC),1),N(INDEX(Sal_V,10))*INDEX(IdxSal_V,1,10)*12*N(INDEX(Dot_V,10,10))*IF(INDEX(Per_Mon,10)="PYG",1/INDEX(TC_V,1,10)*(1+V_dTC),1))</f>
        <v>10767.1232876712</v>
      </c>
      <c r="O49" s="54" t="n">
        <f aca="false">SUM(D49:N49)</f>
        <v>107671.232876712</v>
      </c>
    </row>
    <row r="50" customFormat="false" ht="15" hidden="false" customHeight="false" outlineLevel="0" collapsed="false">
      <c r="A50" s="11" t="s">
        <v>2953</v>
      </c>
      <c r="B50" s="53" t="str">
        <f aca="false">IF(Costos!$B$16="","Puesto 11",Costos!$B$16&amp;" ("&amp;Costos!$C$16&amp;")")</f>
        <v>Coord. Prod. Soldadura (Indirecto)</v>
      </c>
      <c r="C50" s="11" t="s">
        <v>508</v>
      </c>
      <c r="E50" s="48" t="n">
        <f aca="false">IF(cu_P=1,N(INDEX(Sal_O,11))*INDEX(IdxSal_O,1,1)*12*N(INDEX(Dot_O,11,1))*IF(INDEX(Per_Mon,11)="PYG",1/INDEX(TC_O,1,1)*(1+P_dTC),1),N(INDEX(Sal_V,11))*INDEX(IdxSal_V,1,1)*12*N(INDEX(Dot_V,11,1))*IF(INDEX(Per_Mon,11)="PYG",1/INDEX(TC_V,1,1)*(1+V_dTC),1))</f>
        <v>10767.1232876712</v>
      </c>
      <c r="F50" s="48" t="n">
        <f aca="false">IF(cu_P=1,N(INDEX(Sal_O,11))*INDEX(IdxSal_O,1,2)*12*N(INDEX(Dot_O,11,2))*IF(INDEX(Per_Mon,11)="PYG",1/INDEX(TC_O,1,2)*(1+P_dTC),1),N(INDEX(Sal_V,11))*INDEX(IdxSal_V,1,2)*12*N(INDEX(Dot_V,11,2))*IF(INDEX(Per_Mon,11)="PYG",1/INDEX(TC_V,1,2)*(1+V_dTC),1))</f>
        <v>10767.1232876712</v>
      </c>
      <c r="G50" s="48" t="n">
        <f aca="false">IF(cu_P=1,N(INDEX(Sal_O,11))*INDEX(IdxSal_O,1,3)*12*N(INDEX(Dot_O,11,3))*IF(INDEX(Per_Mon,11)="PYG",1/INDEX(TC_O,1,3)*(1+P_dTC),1),N(INDEX(Sal_V,11))*INDEX(IdxSal_V,1,3)*12*N(INDEX(Dot_V,11,3))*IF(INDEX(Per_Mon,11)="PYG",1/INDEX(TC_V,1,3)*(1+V_dTC),1))</f>
        <v>10767.1232876712</v>
      </c>
      <c r="H50" s="48" t="n">
        <f aca="false">IF(cu_P=1,N(INDEX(Sal_O,11))*INDEX(IdxSal_O,1,4)*12*N(INDEX(Dot_O,11,4))*IF(INDEX(Per_Mon,11)="PYG",1/INDEX(TC_O,1,4)*(1+P_dTC),1),N(INDEX(Sal_V,11))*INDEX(IdxSal_V,1,4)*12*N(INDEX(Dot_V,11,4))*IF(INDEX(Per_Mon,11)="PYG",1/INDEX(TC_V,1,4)*(1+V_dTC),1))</f>
        <v>10767.1232876712</v>
      </c>
      <c r="I50" s="48" t="n">
        <f aca="false">IF(cu_P=1,N(INDEX(Sal_O,11))*INDEX(IdxSal_O,1,5)*12*N(INDEX(Dot_O,11,5))*IF(INDEX(Per_Mon,11)="PYG",1/INDEX(TC_O,1,5)*(1+P_dTC),1),N(INDEX(Sal_V,11))*INDEX(IdxSal_V,1,5)*12*N(INDEX(Dot_V,11,5))*IF(INDEX(Per_Mon,11)="PYG",1/INDEX(TC_V,1,5)*(1+V_dTC),1))</f>
        <v>10767.1232876712</v>
      </c>
      <c r="J50" s="48" t="n">
        <f aca="false">IF(cu_P=1,N(INDEX(Sal_O,11))*INDEX(IdxSal_O,1,6)*12*N(INDEX(Dot_O,11,6))*IF(INDEX(Per_Mon,11)="PYG",1/INDEX(TC_O,1,6)*(1+P_dTC),1),N(INDEX(Sal_V,11))*INDEX(IdxSal_V,1,6)*12*N(INDEX(Dot_V,11,6))*IF(INDEX(Per_Mon,11)="PYG",1/INDEX(TC_V,1,6)*(1+V_dTC),1))</f>
        <v>10767.1232876712</v>
      </c>
      <c r="K50" s="48" t="n">
        <f aca="false">IF(cu_P=1,N(INDEX(Sal_O,11))*INDEX(IdxSal_O,1,7)*12*N(INDEX(Dot_O,11,7))*IF(INDEX(Per_Mon,11)="PYG",1/INDEX(TC_O,1,7)*(1+P_dTC),1),N(INDEX(Sal_V,11))*INDEX(IdxSal_V,1,7)*12*N(INDEX(Dot_V,11,7))*IF(INDEX(Per_Mon,11)="PYG",1/INDEX(TC_V,1,7)*(1+V_dTC),1))</f>
        <v>10767.1232876712</v>
      </c>
      <c r="L50" s="48" t="n">
        <f aca="false">IF(cu_P=1,N(INDEX(Sal_O,11))*INDEX(IdxSal_O,1,8)*12*N(INDEX(Dot_O,11,8))*IF(INDEX(Per_Mon,11)="PYG",1/INDEX(TC_O,1,8)*(1+P_dTC),1),N(INDEX(Sal_V,11))*INDEX(IdxSal_V,1,8)*12*N(INDEX(Dot_V,11,8))*IF(INDEX(Per_Mon,11)="PYG",1/INDEX(TC_V,1,8)*(1+V_dTC),1))</f>
        <v>10767.1232876712</v>
      </c>
      <c r="M50" s="48" t="n">
        <f aca="false">IF(cu_P=1,N(INDEX(Sal_O,11))*INDEX(IdxSal_O,1,9)*12*N(INDEX(Dot_O,11,9))*IF(INDEX(Per_Mon,11)="PYG",1/INDEX(TC_O,1,9)*(1+P_dTC),1),N(INDEX(Sal_V,11))*INDEX(IdxSal_V,1,9)*12*N(INDEX(Dot_V,11,9))*IF(INDEX(Per_Mon,11)="PYG",1/INDEX(TC_V,1,9)*(1+V_dTC),1))</f>
        <v>10767.1232876712</v>
      </c>
      <c r="N50" s="48" t="n">
        <f aca="false">IF(cu_P=1,N(INDEX(Sal_O,11))*INDEX(IdxSal_O,1,10)*12*N(INDEX(Dot_O,11,10))*IF(INDEX(Per_Mon,11)="PYG",1/INDEX(TC_O,1,10)*(1+P_dTC),1),N(INDEX(Sal_V,11))*INDEX(IdxSal_V,1,10)*12*N(INDEX(Dot_V,11,10))*IF(INDEX(Per_Mon,11)="PYG",1/INDEX(TC_V,1,10)*(1+V_dTC),1))</f>
        <v>10767.1232876712</v>
      </c>
      <c r="O50" s="54" t="n">
        <f aca="false">SUM(D50:N50)</f>
        <v>107671.232876712</v>
      </c>
    </row>
    <row r="51" customFormat="false" ht="15" hidden="false" customHeight="false" outlineLevel="0" collapsed="false">
      <c r="A51" s="11" t="s">
        <v>2954</v>
      </c>
      <c r="B51" s="53" t="str">
        <f aca="false">IF(Costos!$B$17="","Puesto 12",Costos!$B$17&amp;" ("&amp;Costos!$C$17&amp;")")</f>
        <v>Coord. Prod. Trat. Sup. y Pintura (Indirecto)</v>
      </c>
      <c r="C51" s="11" t="s">
        <v>508</v>
      </c>
      <c r="E51" s="48" t="n">
        <f aca="false">IF(cu_P=1,N(INDEX(Sal_O,12))*INDEX(IdxSal_O,1,1)*12*N(INDEX(Dot_O,12,1))*IF(INDEX(Per_Mon,12)="PYG",1/INDEX(TC_O,1,1)*(1+P_dTC),1),N(INDEX(Sal_V,12))*INDEX(IdxSal_V,1,1)*12*N(INDEX(Dot_V,12,1))*IF(INDEX(Per_Mon,12)="PYG",1/INDEX(TC_V,1,1)*(1+V_dTC),1))</f>
        <v>10767.1232876712</v>
      </c>
      <c r="F51" s="48" t="n">
        <f aca="false">IF(cu_P=1,N(INDEX(Sal_O,12))*INDEX(IdxSal_O,1,2)*12*N(INDEX(Dot_O,12,2))*IF(INDEX(Per_Mon,12)="PYG",1/INDEX(TC_O,1,2)*(1+P_dTC),1),N(INDEX(Sal_V,12))*INDEX(IdxSal_V,1,2)*12*N(INDEX(Dot_V,12,2))*IF(INDEX(Per_Mon,12)="PYG",1/INDEX(TC_V,1,2)*(1+V_dTC),1))</f>
        <v>10767.1232876712</v>
      </c>
      <c r="G51" s="48" t="n">
        <f aca="false">IF(cu_P=1,N(INDEX(Sal_O,12))*INDEX(IdxSal_O,1,3)*12*N(INDEX(Dot_O,12,3))*IF(INDEX(Per_Mon,12)="PYG",1/INDEX(TC_O,1,3)*(1+P_dTC),1),N(INDEX(Sal_V,12))*INDEX(IdxSal_V,1,3)*12*N(INDEX(Dot_V,12,3))*IF(INDEX(Per_Mon,12)="PYG",1/INDEX(TC_V,1,3)*(1+V_dTC),1))</f>
        <v>10767.1232876712</v>
      </c>
      <c r="H51" s="48" t="n">
        <f aca="false">IF(cu_P=1,N(INDEX(Sal_O,12))*INDEX(IdxSal_O,1,4)*12*N(INDEX(Dot_O,12,4))*IF(INDEX(Per_Mon,12)="PYG",1/INDEX(TC_O,1,4)*(1+P_dTC),1),N(INDEX(Sal_V,12))*INDEX(IdxSal_V,1,4)*12*N(INDEX(Dot_V,12,4))*IF(INDEX(Per_Mon,12)="PYG",1/INDEX(TC_V,1,4)*(1+V_dTC),1))</f>
        <v>10767.1232876712</v>
      </c>
      <c r="I51" s="48" t="n">
        <f aca="false">IF(cu_P=1,N(INDEX(Sal_O,12))*INDEX(IdxSal_O,1,5)*12*N(INDEX(Dot_O,12,5))*IF(INDEX(Per_Mon,12)="PYG",1/INDEX(TC_O,1,5)*(1+P_dTC),1),N(INDEX(Sal_V,12))*INDEX(IdxSal_V,1,5)*12*N(INDEX(Dot_V,12,5))*IF(INDEX(Per_Mon,12)="PYG",1/INDEX(TC_V,1,5)*(1+V_dTC),1))</f>
        <v>10767.1232876712</v>
      </c>
      <c r="J51" s="48" t="n">
        <f aca="false">IF(cu_P=1,N(INDEX(Sal_O,12))*INDEX(IdxSal_O,1,6)*12*N(INDEX(Dot_O,12,6))*IF(INDEX(Per_Mon,12)="PYG",1/INDEX(TC_O,1,6)*(1+P_dTC),1),N(INDEX(Sal_V,12))*INDEX(IdxSal_V,1,6)*12*N(INDEX(Dot_V,12,6))*IF(INDEX(Per_Mon,12)="PYG",1/INDEX(TC_V,1,6)*(1+V_dTC),1))</f>
        <v>10767.1232876712</v>
      </c>
      <c r="K51" s="48" t="n">
        <f aca="false">IF(cu_P=1,N(INDEX(Sal_O,12))*INDEX(IdxSal_O,1,7)*12*N(INDEX(Dot_O,12,7))*IF(INDEX(Per_Mon,12)="PYG",1/INDEX(TC_O,1,7)*(1+P_dTC),1),N(INDEX(Sal_V,12))*INDEX(IdxSal_V,1,7)*12*N(INDEX(Dot_V,12,7))*IF(INDEX(Per_Mon,12)="PYG",1/INDEX(TC_V,1,7)*(1+V_dTC),1))</f>
        <v>10767.1232876712</v>
      </c>
      <c r="L51" s="48" t="n">
        <f aca="false">IF(cu_P=1,N(INDEX(Sal_O,12))*INDEX(IdxSal_O,1,8)*12*N(INDEX(Dot_O,12,8))*IF(INDEX(Per_Mon,12)="PYG",1/INDEX(TC_O,1,8)*(1+P_dTC),1),N(INDEX(Sal_V,12))*INDEX(IdxSal_V,1,8)*12*N(INDEX(Dot_V,12,8))*IF(INDEX(Per_Mon,12)="PYG",1/INDEX(TC_V,1,8)*(1+V_dTC),1))</f>
        <v>10767.1232876712</v>
      </c>
      <c r="M51" s="48" t="n">
        <f aca="false">IF(cu_P=1,N(INDEX(Sal_O,12))*INDEX(IdxSal_O,1,9)*12*N(INDEX(Dot_O,12,9))*IF(INDEX(Per_Mon,12)="PYG",1/INDEX(TC_O,1,9)*(1+P_dTC),1),N(INDEX(Sal_V,12))*INDEX(IdxSal_V,1,9)*12*N(INDEX(Dot_V,12,9))*IF(INDEX(Per_Mon,12)="PYG",1/INDEX(TC_V,1,9)*(1+V_dTC),1))</f>
        <v>10767.1232876712</v>
      </c>
      <c r="N51" s="48" t="n">
        <f aca="false">IF(cu_P=1,N(INDEX(Sal_O,12))*INDEX(IdxSal_O,1,10)*12*N(INDEX(Dot_O,12,10))*IF(INDEX(Per_Mon,12)="PYG",1/INDEX(TC_O,1,10)*(1+P_dTC),1),N(INDEX(Sal_V,12))*INDEX(IdxSal_V,1,10)*12*N(INDEX(Dot_V,12,10))*IF(INDEX(Per_Mon,12)="PYG",1/INDEX(TC_V,1,10)*(1+V_dTC),1))</f>
        <v>10767.1232876712</v>
      </c>
      <c r="O51" s="54" t="n">
        <f aca="false">SUM(D51:N51)</f>
        <v>107671.232876712</v>
      </c>
    </row>
    <row r="52" customFormat="false" ht="15" hidden="false" customHeight="false" outlineLevel="0" collapsed="false">
      <c r="A52" s="11" t="s">
        <v>2955</v>
      </c>
      <c r="B52" s="53" t="str">
        <f aca="false">IF(Costos!$B$18="","Puesto 13",Costos!$B$18&amp;" ("&amp;Costos!$C$18&amp;")")</f>
        <v>Coord. Prod. Montaje (Indirecto)</v>
      </c>
      <c r="C52" s="11" t="s">
        <v>508</v>
      </c>
      <c r="E52" s="48" t="n">
        <f aca="false">IF(cu_P=1,N(INDEX(Sal_O,13))*INDEX(IdxSal_O,1,1)*12*N(INDEX(Dot_O,13,1))*IF(INDEX(Per_Mon,13)="PYG",1/INDEX(TC_O,1,1)*(1+P_dTC),1),N(INDEX(Sal_V,13))*INDEX(IdxSal_V,1,1)*12*N(INDEX(Dot_V,13,1))*IF(INDEX(Per_Mon,13)="PYG",1/INDEX(TC_V,1,1)*(1+V_dTC),1))</f>
        <v>10767.1232876712</v>
      </c>
      <c r="F52" s="48" t="n">
        <f aca="false">IF(cu_P=1,N(INDEX(Sal_O,13))*INDEX(IdxSal_O,1,2)*12*N(INDEX(Dot_O,13,2))*IF(INDEX(Per_Mon,13)="PYG",1/INDEX(TC_O,1,2)*(1+P_dTC),1),N(INDEX(Sal_V,13))*INDEX(IdxSal_V,1,2)*12*N(INDEX(Dot_V,13,2))*IF(INDEX(Per_Mon,13)="PYG",1/INDEX(TC_V,1,2)*(1+V_dTC),1))</f>
        <v>10767.1232876712</v>
      </c>
      <c r="G52" s="48" t="n">
        <f aca="false">IF(cu_P=1,N(INDEX(Sal_O,13))*INDEX(IdxSal_O,1,3)*12*N(INDEX(Dot_O,13,3))*IF(INDEX(Per_Mon,13)="PYG",1/INDEX(TC_O,1,3)*(1+P_dTC),1),N(INDEX(Sal_V,13))*INDEX(IdxSal_V,1,3)*12*N(INDEX(Dot_V,13,3))*IF(INDEX(Per_Mon,13)="PYG",1/INDEX(TC_V,1,3)*(1+V_dTC),1))</f>
        <v>10767.1232876712</v>
      </c>
      <c r="H52" s="48" t="n">
        <f aca="false">IF(cu_P=1,N(INDEX(Sal_O,13))*INDEX(IdxSal_O,1,4)*12*N(INDEX(Dot_O,13,4))*IF(INDEX(Per_Mon,13)="PYG",1/INDEX(TC_O,1,4)*(1+P_dTC),1),N(INDEX(Sal_V,13))*INDEX(IdxSal_V,1,4)*12*N(INDEX(Dot_V,13,4))*IF(INDEX(Per_Mon,13)="PYG",1/INDEX(TC_V,1,4)*(1+V_dTC),1))</f>
        <v>10767.1232876712</v>
      </c>
      <c r="I52" s="48" t="n">
        <f aca="false">IF(cu_P=1,N(INDEX(Sal_O,13))*INDEX(IdxSal_O,1,5)*12*N(INDEX(Dot_O,13,5))*IF(INDEX(Per_Mon,13)="PYG",1/INDEX(TC_O,1,5)*(1+P_dTC),1),N(INDEX(Sal_V,13))*INDEX(IdxSal_V,1,5)*12*N(INDEX(Dot_V,13,5))*IF(INDEX(Per_Mon,13)="PYG",1/INDEX(TC_V,1,5)*(1+V_dTC),1))</f>
        <v>10767.1232876712</v>
      </c>
      <c r="J52" s="48" t="n">
        <f aca="false">IF(cu_P=1,N(INDEX(Sal_O,13))*INDEX(IdxSal_O,1,6)*12*N(INDEX(Dot_O,13,6))*IF(INDEX(Per_Mon,13)="PYG",1/INDEX(TC_O,1,6)*(1+P_dTC),1),N(INDEX(Sal_V,13))*INDEX(IdxSal_V,1,6)*12*N(INDEX(Dot_V,13,6))*IF(INDEX(Per_Mon,13)="PYG",1/INDEX(TC_V,1,6)*(1+V_dTC),1))</f>
        <v>10767.1232876712</v>
      </c>
      <c r="K52" s="48" t="n">
        <f aca="false">IF(cu_P=1,N(INDEX(Sal_O,13))*INDEX(IdxSal_O,1,7)*12*N(INDEX(Dot_O,13,7))*IF(INDEX(Per_Mon,13)="PYG",1/INDEX(TC_O,1,7)*(1+P_dTC),1),N(INDEX(Sal_V,13))*INDEX(IdxSal_V,1,7)*12*N(INDEX(Dot_V,13,7))*IF(INDEX(Per_Mon,13)="PYG",1/INDEX(TC_V,1,7)*(1+V_dTC),1))</f>
        <v>10767.1232876712</v>
      </c>
      <c r="L52" s="48" t="n">
        <f aca="false">IF(cu_P=1,N(INDEX(Sal_O,13))*INDEX(IdxSal_O,1,8)*12*N(INDEX(Dot_O,13,8))*IF(INDEX(Per_Mon,13)="PYG",1/INDEX(TC_O,1,8)*(1+P_dTC),1),N(INDEX(Sal_V,13))*INDEX(IdxSal_V,1,8)*12*N(INDEX(Dot_V,13,8))*IF(INDEX(Per_Mon,13)="PYG",1/INDEX(TC_V,1,8)*(1+V_dTC),1))</f>
        <v>10767.1232876712</v>
      </c>
      <c r="M52" s="48" t="n">
        <f aca="false">IF(cu_P=1,N(INDEX(Sal_O,13))*INDEX(IdxSal_O,1,9)*12*N(INDEX(Dot_O,13,9))*IF(INDEX(Per_Mon,13)="PYG",1/INDEX(TC_O,1,9)*(1+P_dTC),1),N(INDEX(Sal_V,13))*INDEX(IdxSal_V,1,9)*12*N(INDEX(Dot_V,13,9))*IF(INDEX(Per_Mon,13)="PYG",1/INDEX(TC_V,1,9)*(1+V_dTC),1))</f>
        <v>10767.1232876712</v>
      </c>
      <c r="N52" s="48" t="n">
        <f aca="false">IF(cu_P=1,N(INDEX(Sal_O,13))*INDEX(IdxSal_O,1,10)*12*N(INDEX(Dot_O,13,10))*IF(INDEX(Per_Mon,13)="PYG",1/INDEX(TC_O,1,10)*(1+P_dTC),1),N(INDEX(Sal_V,13))*INDEX(IdxSal_V,1,10)*12*N(INDEX(Dot_V,13,10))*IF(INDEX(Per_Mon,13)="PYG",1/INDEX(TC_V,1,10)*(1+V_dTC),1))</f>
        <v>10767.1232876712</v>
      </c>
      <c r="O52" s="54" t="n">
        <f aca="false">SUM(D52:N52)</f>
        <v>107671.232876712</v>
      </c>
    </row>
    <row r="53" customFormat="false" ht="15" hidden="false" customHeight="false" outlineLevel="0" collapsed="false">
      <c r="A53" s="11" t="s">
        <v>2956</v>
      </c>
      <c r="B53" s="53" t="str">
        <f aca="false">IF(Costos!$B$19="","Puesto 14",Costos!$B$19&amp;" ("&amp;Costos!$C$19&amp;")")</f>
        <v>Ingeniería (Indirecto)</v>
      </c>
      <c r="C53" s="11" t="s">
        <v>508</v>
      </c>
      <c r="E53" s="48" t="n">
        <f aca="false">IF(cu_P=1,N(INDEX(Sal_O,14))*INDEX(IdxSal_O,1,1)*12*N(INDEX(Dot_O,14,1))*IF(INDEX(Per_Mon,14)="PYG",1/INDEX(TC_O,1,1)*(1+P_dTC),1),N(INDEX(Sal_V,14))*INDEX(IdxSal_V,1,1)*12*N(INDEX(Dot_V,14,1))*IF(INDEX(Per_Mon,14)="PYG",1/INDEX(TC_V,1,1)*(1+V_dTC),1))</f>
        <v>32301.3698630137</v>
      </c>
      <c r="F53" s="48" t="n">
        <f aca="false">IF(cu_P=1,N(INDEX(Sal_O,14))*INDEX(IdxSal_O,1,2)*12*N(INDEX(Dot_O,14,2))*IF(INDEX(Per_Mon,14)="PYG",1/INDEX(TC_O,1,2)*(1+P_dTC),1),N(INDEX(Sal_V,14))*INDEX(IdxSal_V,1,2)*12*N(INDEX(Dot_V,14,2))*IF(INDEX(Per_Mon,14)="PYG",1/INDEX(TC_V,1,2)*(1+V_dTC),1))</f>
        <v>32301.3698630137</v>
      </c>
      <c r="G53" s="48" t="n">
        <f aca="false">IF(cu_P=1,N(INDEX(Sal_O,14))*INDEX(IdxSal_O,1,3)*12*N(INDEX(Dot_O,14,3))*IF(INDEX(Per_Mon,14)="PYG",1/INDEX(TC_O,1,3)*(1+P_dTC),1),N(INDEX(Sal_V,14))*INDEX(IdxSal_V,1,3)*12*N(INDEX(Dot_V,14,3))*IF(INDEX(Per_Mon,14)="PYG",1/INDEX(TC_V,1,3)*(1+V_dTC),1))</f>
        <v>32301.3698630137</v>
      </c>
      <c r="H53" s="48" t="n">
        <f aca="false">IF(cu_P=1,N(INDEX(Sal_O,14))*INDEX(IdxSal_O,1,4)*12*N(INDEX(Dot_O,14,4))*IF(INDEX(Per_Mon,14)="PYG",1/INDEX(TC_O,1,4)*(1+P_dTC),1),N(INDEX(Sal_V,14))*INDEX(IdxSal_V,1,4)*12*N(INDEX(Dot_V,14,4))*IF(INDEX(Per_Mon,14)="PYG",1/INDEX(TC_V,1,4)*(1+V_dTC),1))</f>
        <v>32301.3698630137</v>
      </c>
      <c r="I53" s="48" t="n">
        <f aca="false">IF(cu_P=1,N(INDEX(Sal_O,14))*INDEX(IdxSal_O,1,5)*12*N(INDEX(Dot_O,14,5))*IF(INDEX(Per_Mon,14)="PYG",1/INDEX(TC_O,1,5)*(1+P_dTC),1),N(INDEX(Sal_V,14))*INDEX(IdxSal_V,1,5)*12*N(INDEX(Dot_V,14,5))*IF(INDEX(Per_Mon,14)="PYG",1/INDEX(TC_V,1,5)*(1+V_dTC),1))</f>
        <v>32301.3698630137</v>
      </c>
      <c r="J53" s="48" t="n">
        <f aca="false">IF(cu_P=1,N(INDEX(Sal_O,14))*INDEX(IdxSal_O,1,6)*12*N(INDEX(Dot_O,14,6))*IF(INDEX(Per_Mon,14)="PYG",1/INDEX(TC_O,1,6)*(1+P_dTC),1),N(INDEX(Sal_V,14))*INDEX(IdxSal_V,1,6)*12*N(INDEX(Dot_V,14,6))*IF(INDEX(Per_Mon,14)="PYG",1/INDEX(TC_V,1,6)*(1+V_dTC),1))</f>
        <v>32301.3698630137</v>
      </c>
      <c r="K53" s="48" t="n">
        <f aca="false">IF(cu_P=1,N(INDEX(Sal_O,14))*INDEX(IdxSal_O,1,7)*12*N(INDEX(Dot_O,14,7))*IF(INDEX(Per_Mon,14)="PYG",1/INDEX(TC_O,1,7)*(1+P_dTC),1),N(INDEX(Sal_V,14))*INDEX(IdxSal_V,1,7)*12*N(INDEX(Dot_V,14,7))*IF(INDEX(Per_Mon,14)="PYG",1/INDEX(TC_V,1,7)*(1+V_dTC),1))</f>
        <v>32301.3698630137</v>
      </c>
      <c r="L53" s="48" t="n">
        <f aca="false">IF(cu_P=1,N(INDEX(Sal_O,14))*INDEX(IdxSal_O,1,8)*12*N(INDEX(Dot_O,14,8))*IF(INDEX(Per_Mon,14)="PYG",1/INDEX(TC_O,1,8)*(1+P_dTC),1),N(INDEX(Sal_V,14))*INDEX(IdxSal_V,1,8)*12*N(INDEX(Dot_V,14,8))*IF(INDEX(Per_Mon,14)="PYG",1/INDEX(TC_V,1,8)*(1+V_dTC),1))</f>
        <v>32301.3698630137</v>
      </c>
      <c r="M53" s="48" t="n">
        <f aca="false">IF(cu_P=1,N(INDEX(Sal_O,14))*INDEX(IdxSal_O,1,9)*12*N(INDEX(Dot_O,14,9))*IF(INDEX(Per_Mon,14)="PYG",1/INDEX(TC_O,1,9)*(1+P_dTC),1),N(INDEX(Sal_V,14))*INDEX(IdxSal_V,1,9)*12*N(INDEX(Dot_V,14,9))*IF(INDEX(Per_Mon,14)="PYG",1/INDEX(TC_V,1,9)*(1+V_dTC),1))</f>
        <v>32301.3698630137</v>
      </c>
      <c r="N53" s="48" t="n">
        <f aca="false">IF(cu_P=1,N(INDEX(Sal_O,14))*INDEX(IdxSal_O,1,10)*12*N(INDEX(Dot_O,14,10))*IF(INDEX(Per_Mon,14)="PYG",1/INDEX(TC_O,1,10)*(1+P_dTC),1),N(INDEX(Sal_V,14))*INDEX(IdxSal_V,1,10)*12*N(INDEX(Dot_V,14,10))*IF(INDEX(Per_Mon,14)="PYG",1/INDEX(TC_V,1,10)*(1+V_dTC),1))</f>
        <v>32301.3698630137</v>
      </c>
      <c r="O53" s="54" t="n">
        <f aca="false">SUM(D53:N53)</f>
        <v>323013.698630137</v>
      </c>
    </row>
    <row r="54" customFormat="false" ht="15" hidden="false" customHeight="false" outlineLevel="0" collapsed="false">
      <c r="A54" s="11" t="s">
        <v>2957</v>
      </c>
      <c r="B54" s="53" t="str">
        <f aca="false">IF(Costos!$B$20="","Puesto 15",Costos!$B$20&amp;" ("&amp;Costos!$C$20&amp;")")</f>
        <v>Mantenimiento (Indirecto)</v>
      </c>
      <c r="C54" s="11" t="s">
        <v>508</v>
      </c>
      <c r="E54" s="48" t="n">
        <f aca="false">IF(cu_P=1,N(INDEX(Sal_O,15))*INDEX(IdxSal_O,1,1)*12*N(INDEX(Dot_O,15,1))*IF(INDEX(Per_Mon,15)="PYG",1/INDEX(TC_O,1,1)*(1+P_dTC),1),N(INDEX(Sal_V,15))*INDEX(IdxSal_V,1,1)*12*N(INDEX(Dot_V,15,1))*IF(INDEX(Per_Mon,15)="PYG",1/INDEX(TC_V,1,1)*(1+V_dTC),1))</f>
        <v>12002.1534246575</v>
      </c>
      <c r="F54" s="48" t="n">
        <f aca="false">IF(cu_P=1,N(INDEX(Sal_O,15))*INDEX(IdxSal_O,1,2)*12*N(INDEX(Dot_O,15,2))*IF(INDEX(Per_Mon,15)="PYG",1/INDEX(TC_O,1,2)*(1+P_dTC),1),N(INDEX(Sal_V,15))*INDEX(IdxSal_V,1,2)*12*N(INDEX(Dot_V,15,2))*IF(INDEX(Per_Mon,15)="PYG",1/INDEX(TC_V,1,2)*(1+V_dTC),1))</f>
        <v>12002.1534246575</v>
      </c>
      <c r="G54" s="48" t="n">
        <f aca="false">IF(cu_P=1,N(INDEX(Sal_O,15))*INDEX(IdxSal_O,1,3)*12*N(INDEX(Dot_O,15,3))*IF(INDEX(Per_Mon,15)="PYG",1/INDEX(TC_O,1,3)*(1+P_dTC),1),N(INDEX(Sal_V,15))*INDEX(IdxSal_V,1,3)*12*N(INDEX(Dot_V,15,3))*IF(INDEX(Per_Mon,15)="PYG",1/INDEX(TC_V,1,3)*(1+V_dTC),1))</f>
        <v>12002.1534246575</v>
      </c>
      <c r="H54" s="48" t="n">
        <f aca="false">IF(cu_P=1,N(INDEX(Sal_O,15))*INDEX(IdxSal_O,1,4)*12*N(INDEX(Dot_O,15,4))*IF(INDEX(Per_Mon,15)="PYG",1/INDEX(TC_O,1,4)*(1+P_dTC),1),N(INDEX(Sal_V,15))*INDEX(IdxSal_V,1,4)*12*N(INDEX(Dot_V,15,4))*IF(INDEX(Per_Mon,15)="PYG",1/INDEX(TC_V,1,4)*(1+V_dTC),1))</f>
        <v>12002.1534246575</v>
      </c>
      <c r="I54" s="48" t="n">
        <f aca="false">IF(cu_P=1,N(INDEX(Sal_O,15))*INDEX(IdxSal_O,1,5)*12*N(INDEX(Dot_O,15,5))*IF(INDEX(Per_Mon,15)="PYG",1/INDEX(TC_O,1,5)*(1+P_dTC),1),N(INDEX(Sal_V,15))*INDEX(IdxSal_V,1,5)*12*N(INDEX(Dot_V,15,5))*IF(INDEX(Per_Mon,15)="PYG",1/INDEX(TC_V,1,5)*(1+V_dTC),1))</f>
        <v>12002.1534246575</v>
      </c>
      <c r="J54" s="48" t="n">
        <f aca="false">IF(cu_P=1,N(INDEX(Sal_O,15))*INDEX(IdxSal_O,1,6)*12*N(INDEX(Dot_O,15,6))*IF(INDEX(Per_Mon,15)="PYG",1/INDEX(TC_O,1,6)*(1+P_dTC),1),N(INDEX(Sal_V,15))*INDEX(IdxSal_V,1,6)*12*N(INDEX(Dot_V,15,6))*IF(INDEX(Per_Mon,15)="PYG",1/INDEX(TC_V,1,6)*(1+V_dTC),1))</f>
        <v>12002.1534246575</v>
      </c>
      <c r="K54" s="48" t="n">
        <f aca="false">IF(cu_P=1,N(INDEX(Sal_O,15))*INDEX(IdxSal_O,1,7)*12*N(INDEX(Dot_O,15,7))*IF(INDEX(Per_Mon,15)="PYG",1/INDEX(TC_O,1,7)*(1+P_dTC),1),N(INDEX(Sal_V,15))*INDEX(IdxSal_V,1,7)*12*N(INDEX(Dot_V,15,7))*IF(INDEX(Per_Mon,15)="PYG",1/INDEX(TC_V,1,7)*(1+V_dTC),1))</f>
        <v>12002.1534246575</v>
      </c>
      <c r="L54" s="48" t="n">
        <f aca="false">IF(cu_P=1,N(INDEX(Sal_O,15))*INDEX(IdxSal_O,1,8)*12*N(INDEX(Dot_O,15,8))*IF(INDEX(Per_Mon,15)="PYG",1/INDEX(TC_O,1,8)*(1+P_dTC),1),N(INDEX(Sal_V,15))*INDEX(IdxSal_V,1,8)*12*N(INDEX(Dot_V,15,8))*IF(INDEX(Per_Mon,15)="PYG",1/INDEX(TC_V,1,8)*(1+V_dTC),1))</f>
        <v>12002.1534246575</v>
      </c>
      <c r="M54" s="48" t="n">
        <f aca="false">IF(cu_P=1,N(INDEX(Sal_O,15))*INDEX(IdxSal_O,1,9)*12*N(INDEX(Dot_O,15,9))*IF(INDEX(Per_Mon,15)="PYG",1/INDEX(TC_O,1,9)*(1+P_dTC),1),N(INDEX(Sal_V,15))*INDEX(IdxSal_V,1,9)*12*N(INDEX(Dot_V,15,9))*IF(INDEX(Per_Mon,15)="PYG",1/INDEX(TC_V,1,9)*(1+V_dTC),1))</f>
        <v>12002.1534246575</v>
      </c>
      <c r="N54" s="48" t="n">
        <f aca="false">IF(cu_P=1,N(INDEX(Sal_O,15))*INDEX(IdxSal_O,1,10)*12*N(INDEX(Dot_O,15,10))*IF(INDEX(Per_Mon,15)="PYG",1/INDEX(TC_O,1,10)*(1+P_dTC),1),N(INDEX(Sal_V,15))*INDEX(IdxSal_V,1,10)*12*N(INDEX(Dot_V,15,10))*IF(INDEX(Per_Mon,15)="PYG",1/INDEX(TC_V,1,10)*(1+V_dTC),1))</f>
        <v>12002.1534246575</v>
      </c>
      <c r="O54" s="54" t="n">
        <f aca="false">SUM(D54:N54)</f>
        <v>120021.534246575</v>
      </c>
    </row>
    <row r="55" customFormat="false" ht="15" hidden="false" customHeight="false" outlineLevel="0" collapsed="false">
      <c r="A55" s="11" t="s">
        <v>2958</v>
      </c>
      <c r="B55" s="53" t="str">
        <f aca="false">IF(Costos!$B$21="","Puesto 16",Costos!$B$21&amp;" ("&amp;Costos!$C$21&amp;")")</f>
        <v>PCP (Indirecto)</v>
      </c>
      <c r="C55" s="11" t="s">
        <v>508</v>
      </c>
      <c r="E55" s="48" t="n">
        <f aca="false">IF(cu_P=1,N(INDEX(Sal_O,16))*INDEX(IdxSal_O,1,1)*12*N(INDEX(Dot_O,16,1))*IF(INDEX(Per_Mon,16)="PYG",1/INDEX(TC_O,1,1)*(1+P_dTC),1),N(INDEX(Sal_V,16))*INDEX(IdxSal_V,1,1)*12*N(INDEX(Dot_V,16,1))*IF(INDEX(Per_Mon,16)="PYG",1/INDEX(TC_V,1,1)*(1+V_dTC),1))</f>
        <v>16109.5890410959</v>
      </c>
      <c r="F55" s="48" t="n">
        <f aca="false">IF(cu_P=1,N(INDEX(Sal_O,16))*INDEX(IdxSal_O,1,2)*12*N(INDEX(Dot_O,16,2))*IF(INDEX(Per_Mon,16)="PYG",1/INDEX(TC_O,1,2)*(1+P_dTC),1),N(INDEX(Sal_V,16))*INDEX(IdxSal_V,1,2)*12*N(INDEX(Dot_V,16,2))*IF(INDEX(Per_Mon,16)="PYG",1/INDEX(TC_V,1,2)*(1+V_dTC),1))</f>
        <v>16109.5890410959</v>
      </c>
      <c r="G55" s="48" t="n">
        <f aca="false">IF(cu_P=1,N(INDEX(Sal_O,16))*INDEX(IdxSal_O,1,3)*12*N(INDEX(Dot_O,16,3))*IF(INDEX(Per_Mon,16)="PYG",1/INDEX(TC_O,1,3)*(1+P_dTC),1),N(INDEX(Sal_V,16))*INDEX(IdxSal_V,1,3)*12*N(INDEX(Dot_V,16,3))*IF(INDEX(Per_Mon,16)="PYG",1/INDEX(TC_V,1,3)*(1+V_dTC),1))</f>
        <v>16109.5890410959</v>
      </c>
      <c r="H55" s="48" t="n">
        <f aca="false">IF(cu_P=1,N(INDEX(Sal_O,16))*INDEX(IdxSal_O,1,4)*12*N(INDEX(Dot_O,16,4))*IF(INDEX(Per_Mon,16)="PYG",1/INDEX(TC_O,1,4)*(1+P_dTC),1),N(INDEX(Sal_V,16))*INDEX(IdxSal_V,1,4)*12*N(INDEX(Dot_V,16,4))*IF(INDEX(Per_Mon,16)="PYG",1/INDEX(TC_V,1,4)*(1+V_dTC),1))</f>
        <v>16109.5890410959</v>
      </c>
      <c r="I55" s="48" t="n">
        <f aca="false">IF(cu_P=1,N(INDEX(Sal_O,16))*INDEX(IdxSal_O,1,5)*12*N(INDEX(Dot_O,16,5))*IF(INDEX(Per_Mon,16)="PYG",1/INDEX(TC_O,1,5)*(1+P_dTC),1),N(INDEX(Sal_V,16))*INDEX(IdxSal_V,1,5)*12*N(INDEX(Dot_V,16,5))*IF(INDEX(Per_Mon,16)="PYG",1/INDEX(TC_V,1,5)*(1+V_dTC),1))</f>
        <v>16109.5890410959</v>
      </c>
      <c r="J55" s="48" t="n">
        <f aca="false">IF(cu_P=1,N(INDEX(Sal_O,16))*INDEX(IdxSal_O,1,6)*12*N(INDEX(Dot_O,16,6))*IF(INDEX(Per_Mon,16)="PYG",1/INDEX(TC_O,1,6)*(1+P_dTC),1),N(INDEX(Sal_V,16))*INDEX(IdxSal_V,1,6)*12*N(INDEX(Dot_V,16,6))*IF(INDEX(Per_Mon,16)="PYG",1/INDEX(TC_V,1,6)*(1+V_dTC),1))</f>
        <v>16109.5890410959</v>
      </c>
      <c r="K55" s="48" t="n">
        <f aca="false">IF(cu_P=1,N(INDEX(Sal_O,16))*INDEX(IdxSal_O,1,7)*12*N(INDEX(Dot_O,16,7))*IF(INDEX(Per_Mon,16)="PYG",1/INDEX(TC_O,1,7)*(1+P_dTC),1),N(INDEX(Sal_V,16))*INDEX(IdxSal_V,1,7)*12*N(INDEX(Dot_V,16,7))*IF(INDEX(Per_Mon,16)="PYG",1/INDEX(TC_V,1,7)*(1+V_dTC),1))</f>
        <v>16109.5890410959</v>
      </c>
      <c r="L55" s="48" t="n">
        <f aca="false">IF(cu_P=1,N(INDEX(Sal_O,16))*INDEX(IdxSal_O,1,8)*12*N(INDEX(Dot_O,16,8))*IF(INDEX(Per_Mon,16)="PYG",1/INDEX(TC_O,1,8)*(1+P_dTC),1),N(INDEX(Sal_V,16))*INDEX(IdxSal_V,1,8)*12*N(INDEX(Dot_V,16,8))*IF(INDEX(Per_Mon,16)="PYG",1/INDEX(TC_V,1,8)*(1+V_dTC),1))</f>
        <v>16109.5890410959</v>
      </c>
      <c r="M55" s="48" t="n">
        <f aca="false">IF(cu_P=1,N(INDEX(Sal_O,16))*INDEX(IdxSal_O,1,9)*12*N(INDEX(Dot_O,16,9))*IF(INDEX(Per_Mon,16)="PYG",1/INDEX(TC_O,1,9)*(1+P_dTC),1),N(INDEX(Sal_V,16))*INDEX(IdxSal_V,1,9)*12*N(INDEX(Dot_V,16,9))*IF(INDEX(Per_Mon,16)="PYG",1/INDEX(TC_V,1,9)*(1+V_dTC),1))</f>
        <v>16109.5890410959</v>
      </c>
      <c r="N55" s="48" t="n">
        <f aca="false">IF(cu_P=1,N(INDEX(Sal_O,16))*INDEX(IdxSal_O,1,10)*12*N(INDEX(Dot_O,16,10))*IF(INDEX(Per_Mon,16)="PYG",1/INDEX(TC_O,1,10)*(1+P_dTC),1),N(INDEX(Sal_V,16))*INDEX(IdxSal_V,1,10)*12*N(INDEX(Dot_V,16,10))*IF(INDEX(Per_Mon,16)="PYG",1/INDEX(TC_V,1,10)*(1+V_dTC),1))</f>
        <v>16109.5890410959</v>
      </c>
      <c r="O55" s="54" t="n">
        <f aca="false">SUM(D55:N55)</f>
        <v>161095.890410959</v>
      </c>
    </row>
    <row r="56" customFormat="false" ht="15" hidden="false" customHeight="false" outlineLevel="0" collapsed="false">
      <c r="A56" s="11" t="s">
        <v>2959</v>
      </c>
      <c r="B56" s="53" t="str">
        <f aca="false">IF(Costos!$B$22="","Puesto 17",Costos!$B$22&amp;" ("&amp;Costos!$C$22&amp;")")</f>
        <v>Analista PCP (Indirecto)</v>
      </c>
      <c r="C56" s="11" t="s">
        <v>508</v>
      </c>
      <c r="E56" s="48" t="n">
        <f aca="false">IF(cu_P=1,N(INDEX(Sal_O,17))*INDEX(IdxSal_O,1,1)*12*N(INDEX(Dot_O,17,1))*IF(INDEX(Per_Mon,17)="PYG",1/INDEX(TC_O,1,1)*(1+P_dTC),1),N(INDEX(Sal_V,17))*INDEX(IdxSal_V,1,1)*12*N(INDEX(Dot_V,17,1))*IF(INDEX(Per_Mon,17)="PYG",1/INDEX(TC_V,1,1)*(1+V_dTC),1))</f>
        <v>4599.96</v>
      </c>
      <c r="F56" s="48" t="n">
        <f aca="false">IF(cu_P=1,N(INDEX(Sal_O,17))*INDEX(IdxSal_O,1,2)*12*N(INDEX(Dot_O,17,2))*IF(INDEX(Per_Mon,17)="PYG",1/INDEX(TC_O,1,2)*(1+P_dTC),1),N(INDEX(Sal_V,17))*INDEX(IdxSal_V,1,2)*12*N(INDEX(Dot_V,17,2))*IF(INDEX(Per_Mon,17)="PYG",1/INDEX(TC_V,1,2)*(1+V_dTC),1))</f>
        <v>4599.96</v>
      </c>
      <c r="G56" s="48" t="n">
        <f aca="false">IF(cu_P=1,N(INDEX(Sal_O,17))*INDEX(IdxSal_O,1,3)*12*N(INDEX(Dot_O,17,3))*IF(INDEX(Per_Mon,17)="PYG",1/INDEX(TC_O,1,3)*(1+P_dTC),1),N(INDEX(Sal_V,17))*INDEX(IdxSal_V,1,3)*12*N(INDEX(Dot_V,17,3))*IF(INDEX(Per_Mon,17)="PYG",1/INDEX(TC_V,1,3)*(1+V_dTC),1))</f>
        <v>4599.96</v>
      </c>
      <c r="H56" s="48" t="n">
        <f aca="false">IF(cu_P=1,N(INDEX(Sal_O,17))*INDEX(IdxSal_O,1,4)*12*N(INDEX(Dot_O,17,4))*IF(INDEX(Per_Mon,17)="PYG",1/INDEX(TC_O,1,4)*(1+P_dTC),1),N(INDEX(Sal_V,17))*INDEX(IdxSal_V,1,4)*12*N(INDEX(Dot_V,17,4))*IF(INDEX(Per_Mon,17)="PYG",1/INDEX(TC_V,1,4)*(1+V_dTC),1))</f>
        <v>4599.96</v>
      </c>
      <c r="I56" s="48" t="n">
        <f aca="false">IF(cu_P=1,N(INDEX(Sal_O,17))*INDEX(IdxSal_O,1,5)*12*N(INDEX(Dot_O,17,5))*IF(INDEX(Per_Mon,17)="PYG",1/INDEX(TC_O,1,5)*(1+P_dTC),1),N(INDEX(Sal_V,17))*INDEX(IdxSal_V,1,5)*12*N(INDEX(Dot_V,17,5))*IF(INDEX(Per_Mon,17)="PYG",1/INDEX(TC_V,1,5)*(1+V_dTC),1))</f>
        <v>4599.96</v>
      </c>
      <c r="J56" s="48" t="n">
        <f aca="false">IF(cu_P=1,N(INDEX(Sal_O,17))*INDEX(IdxSal_O,1,6)*12*N(INDEX(Dot_O,17,6))*IF(INDEX(Per_Mon,17)="PYG",1/INDEX(TC_O,1,6)*(1+P_dTC),1),N(INDEX(Sal_V,17))*INDEX(IdxSal_V,1,6)*12*N(INDEX(Dot_V,17,6))*IF(INDEX(Per_Mon,17)="PYG",1/INDEX(TC_V,1,6)*(1+V_dTC),1))</f>
        <v>4599.96</v>
      </c>
      <c r="K56" s="48" t="n">
        <f aca="false">IF(cu_P=1,N(INDEX(Sal_O,17))*INDEX(IdxSal_O,1,7)*12*N(INDEX(Dot_O,17,7))*IF(INDEX(Per_Mon,17)="PYG",1/INDEX(TC_O,1,7)*(1+P_dTC),1),N(INDEX(Sal_V,17))*INDEX(IdxSal_V,1,7)*12*N(INDEX(Dot_V,17,7))*IF(INDEX(Per_Mon,17)="PYG",1/INDEX(TC_V,1,7)*(1+V_dTC),1))</f>
        <v>4599.96</v>
      </c>
      <c r="L56" s="48" t="n">
        <f aca="false">IF(cu_P=1,N(INDEX(Sal_O,17))*INDEX(IdxSal_O,1,8)*12*N(INDEX(Dot_O,17,8))*IF(INDEX(Per_Mon,17)="PYG",1/INDEX(TC_O,1,8)*(1+P_dTC),1),N(INDEX(Sal_V,17))*INDEX(IdxSal_V,1,8)*12*N(INDEX(Dot_V,17,8))*IF(INDEX(Per_Mon,17)="PYG",1/INDEX(TC_V,1,8)*(1+V_dTC),1))</f>
        <v>4599.96</v>
      </c>
      <c r="M56" s="48" t="n">
        <f aca="false">IF(cu_P=1,N(INDEX(Sal_O,17))*INDEX(IdxSal_O,1,9)*12*N(INDEX(Dot_O,17,9))*IF(INDEX(Per_Mon,17)="PYG",1/INDEX(TC_O,1,9)*(1+P_dTC),1),N(INDEX(Sal_V,17))*INDEX(IdxSal_V,1,9)*12*N(INDEX(Dot_V,17,9))*IF(INDEX(Per_Mon,17)="PYG",1/INDEX(TC_V,1,9)*(1+V_dTC),1))</f>
        <v>4599.96</v>
      </c>
      <c r="N56" s="48" t="n">
        <f aca="false">IF(cu_P=1,N(INDEX(Sal_O,17))*INDEX(IdxSal_O,1,10)*12*N(INDEX(Dot_O,17,10))*IF(INDEX(Per_Mon,17)="PYG",1/INDEX(TC_O,1,10)*(1+P_dTC),1),N(INDEX(Sal_V,17))*INDEX(IdxSal_V,1,10)*12*N(INDEX(Dot_V,17,10))*IF(INDEX(Per_Mon,17)="PYG",1/INDEX(TC_V,1,10)*(1+V_dTC),1))</f>
        <v>4599.96</v>
      </c>
      <c r="O56" s="54" t="n">
        <f aca="false">SUM(D56:N56)</f>
        <v>45999.6</v>
      </c>
    </row>
    <row r="57" customFormat="false" ht="15" hidden="false" customHeight="false" outlineLevel="0" collapsed="false">
      <c r="A57" s="11" t="s">
        <v>2960</v>
      </c>
      <c r="B57" s="53" t="str">
        <f aca="false">IF(Costos!$B$23="","Puesto 18",Costos!$B$23&amp;" ("&amp;Costos!$C$23&amp;")")</f>
        <v>Depósito (Indirecto)</v>
      </c>
      <c r="C57" s="11" t="s">
        <v>508</v>
      </c>
      <c r="E57" s="48" t="n">
        <f aca="false">IF(cu_P=1,N(INDEX(Sal_O,18))*INDEX(IdxSal_O,1,1)*12*N(INDEX(Dot_O,18,1))*IF(INDEX(Per_Mon,18)="PYG",1/INDEX(TC_O,1,1)*(1+P_dTC),1),N(INDEX(Sal_V,18))*INDEX(IdxSal_V,1,1)*12*N(INDEX(Dot_V,18,1))*IF(INDEX(Per_Mon,18)="PYG",1/INDEX(TC_V,1,1)*(1+V_dTC),1))</f>
        <v>5179.15890410959</v>
      </c>
      <c r="F57" s="48" t="n">
        <f aca="false">IF(cu_P=1,N(INDEX(Sal_O,18))*INDEX(IdxSal_O,1,2)*12*N(INDEX(Dot_O,18,2))*IF(INDEX(Per_Mon,18)="PYG",1/INDEX(TC_O,1,2)*(1+P_dTC),1),N(INDEX(Sal_V,18))*INDEX(IdxSal_V,1,2)*12*N(INDEX(Dot_V,18,2))*IF(INDEX(Per_Mon,18)="PYG",1/INDEX(TC_V,1,2)*(1+V_dTC),1))</f>
        <v>5179.15890410959</v>
      </c>
      <c r="G57" s="48" t="n">
        <f aca="false">IF(cu_P=1,N(INDEX(Sal_O,18))*INDEX(IdxSal_O,1,3)*12*N(INDEX(Dot_O,18,3))*IF(INDEX(Per_Mon,18)="PYG",1/INDEX(TC_O,1,3)*(1+P_dTC),1),N(INDEX(Sal_V,18))*INDEX(IdxSal_V,1,3)*12*N(INDEX(Dot_V,18,3))*IF(INDEX(Per_Mon,18)="PYG",1/INDEX(TC_V,1,3)*(1+V_dTC),1))</f>
        <v>5179.15890410959</v>
      </c>
      <c r="H57" s="48" t="n">
        <f aca="false">IF(cu_P=1,N(INDEX(Sal_O,18))*INDEX(IdxSal_O,1,4)*12*N(INDEX(Dot_O,18,4))*IF(INDEX(Per_Mon,18)="PYG",1/INDEX(TC_O,1,4)*(1+P_dTC),1),N(INDEX(Sal_V,18))*INDEX(IdxSal_V,1,4)*12*N(INDEX(Dot_V,18,4))*IF(INDEX(Per_Mon,18)="PYG",1/INDEX(TC_V,1,4)*(1+V_dTC),1))</f>
        <v>5179.15890410959</v>
      </c>
      <c r="I57" s="48" t="n">
        <f aca="false">IF(cu_P=1,N(INDEX(Sal_O,18))*INDEX(IdxSal_O,1,5)*12*N(INDEX(Dot_O,18,5))*IF(INDEX(Per_Mon,18)="PYG",1/INDEX(TC_O,1,5)*(1+P_dTC),1),N(INDEX(Sal_V,18))*INDEX(IdxSal_V,1,5)*12*N(INDEX(Dot_V,18,5))*IF(INDEX(Per_Mon,18)="PYG",1/INDEX(TC_V,1,5)*(1+V_dTC),1))</f>
        <v>5179.15890410959</v>
      </c>
      <c r="J57" s="48" t="n">
        <f aca="false">IF(cu_P=1,N(INDEX(Sal_O,18))*INDEX(IdxSal_O,1,6)*12*N(INDEX(Dot_O,18,6))*IF(INDEX(Per_Mon,18)="PYG",1/INDEX(TC_O,1,6)*(1+P_dTC),1),N(INDEX(Sal_V,18))*INDEX(IdxSal_V,1,6)*12*N(INDEX(Dot_V,18,6))*IF(INDEX(Per_Mon,18)="PYG",1/INDEX(TC_V,1,6)*(1+V_dTC),1))</f>
        <v>5179.15890410959</v>
      </c>
      <c r="K57" s="48" t="n">
        <f aca="false">IF(cu_P=1,N(INDEX(Sal_O,18))*INDEX(IdxSal_O,1,7)*12*N(INDEX(Dot_O,18,7))*IF(INDEX(Per_Mon,18)="PYG",1/INDEX(TC_O,1,7)*(1+P_dTC),1),N(INDEX(Sal_V,18))*INDEX(IdxSal_V,1,7)*12*N(INDEX(Dot_V,18,7))*IF(INDEX(Per_Mon,18)="PYG",1/INDEX(TC_V,1,7)*(1+V_dTC),1))</f>
        <v>5179.15890410959</v>
      </c>
      <c r="L57" s="48" t="n">
        <f aca="false">IF(cu_P=1,N(INDEX(Sal_O,18))*INDEX(IdxSal_O,1,8)*12*N(INDEX(Dot_O,18,8))*IF(INDEX(Per_Mon,18)="PYG",1/INDEX(TC_O,1,8)*(1+P_dTC),1),N(INDEX(Sal_V,18))*INDEX(IdxSal_V,1,8)*12*N(INDEX(Dot_V,18,8))*IF(INDEX(Per_Mon,18)="PYG",1/INDEX(TC_V,1,8)*(1+V_dTC),1))</f>
        <v>5179.15890410959</v>
      </c>
      <c r="M57" s="48" t="n">
        <f aca="false">IF(cu_P=1,N(INDEX(Sal_O,18))*INDEX(IdxSal_O,1,9)*12*N(INDEX(Dot_O,18,9))*IF(INDEX(Per_Mon,18)="PYG",1/INDEX(TC_O,1,9)*(1+P_dTC),1),N(INDEX(Sal_V,18))*INDEX(IdxSal_V,1,9)*12*N(INDEX(Dot_V,18,9))*IF(INDEX(Per_Mon,18)="PYG",1/INDEX(TC_V,1,9)*(1+V_dTC),1))</f>
        <v>5179.15890410959</v>
      </c>
      <c r="N57" s="48" t="n">
        <f aca="false">IF(cu_P=1,N(INDEX(Sal_O,18))*INDEX(IdxSal_O,1,10)*12*N(INDEX(Dot_O,18,10))*IF(INDEX(Per_Mon,18)="PYG",1/INDEX(TC_O,1,10)*(1+P_dTC),1),N(INDEX(Sal_V,18))*INDEX(IdxSal_V,1,10)*12*N(INDEX(Dot_V,18,10))*IF(INDEX(Per_Mon,18)="PYG",1/INDEX(TC_V,1,10)*(1+V_dTC),1))</f>
        <v>5179.15890410959</v>
      </c>
      <c r="O57" s="54" t="n">
        <f aca="false">SUM(D57:N57)</f>
        <v>51791.5890410959</v>
      </c>
    </row>
    <row r="58" customFormat="false" ht="15" hidden="false" customHeight="false" outlineLevel="0" collapsed="false">
      <c r="A58" s="11" t="s">
        <v>2961</v>
      </c>
      <c r="B58" s="53" t="str">
        <f aca="false">IF(Costos!$B$24="","Puesto 19",Costos!$B$24&amp;" ("&amp;Costos!$C$24&amp;")")</f>
        <v>Compras (Administración)</v>
      </c>
      <c r="C58" s="11" t="s">
        <v>508</v>
      </c>
      <c r="E58" s="48" t="n">
        <f aca="false">IF(cu_P=1,N(INDEX(Sal_O,19))*INDEX(IdxSal_O,1,1)*12*N(INDEX(Dot_O,19,1))*IF(INDEX(Per_Mon,19)="PYG",1/INDEX(TC_O,1,1)*(1+P_dTC),1),N(INDEX(Sal_V,19))*INDEX(IdxSal_V,1,1)*12*N(INDEX(Dot_V,19,1))*IF(INDEX(Per_Mon,19)="PYG",1/INDEX(TC_V,1,1)*(1+V_dTC),1))</f>
        <v>10767.1232876712</v>
      </c>
      <c r="F58" s="48" t="n">
        <f aca="false">IF(cu_P=1,N(INDEX(Sal_O,19))*INDEX(IdxSal_O,1,2)*12*N(INDEX(Dot_O,19,2))*IF(INDEX(Per_Mon,19)="PYG",1/INDEX(TC_O,1,2)*(1+P_dTC),1),N(INDEX(Sal_V,19))*INDEX(IdxSal_V,1,2)*12*N(INDEX(Dot_V,19,2))*IF(INDEX(Per_Mon,19)="PYG",1/INDEX(TC_V,1,2)*(1+V_dTC),1))</f>
        <v>10767.1232876712</v>
      </c>
      <c r="G58" s="48" t="n">
        <f aca="false">IF(cu_P=1,N(INDEX(Sal_O,19))*INDEX(IdxSal_O,1,3)*12*N(INDEX(Dot_O,19,3))*IF(INDEX(Per_Mon,19)="PYG",1/INDEX(TC_O,1,3)*(1+P_dTC),1),N(INDEX(Sal_V,19))*INDEX(IdxSal_V,1,3)*12*N(INDEX(Dot_V,19,3))*IF(INDEX(Per_Mon,19)="PYG",1/INDEX(TC_V,1,3)*(1+V_dTC),1))</f>
        <v>10767.1232876712</v>
      </c>
      <c r="H58" s="48" t="n">
        <f aca="false">IF(cu_P=1,N(INDEX(Sal_O,19))*INDEX(IdxSal_O,1,4)*12*N(INDEX(Dot_O,19,4))*IF(INDEX(Per_Mon,19)="PYG",1/INDEX(TC_O,1,4)*(1+P_dTC),1),N(INDEX(Sal_V,19))*INDEX(IdxSal_V,1,4)*12*N(INDEX(Dot_V,19,4))*IF(INDEX(Per_Mon,19)="PYG",1/INDEX(TC_V,1,4)*(1+V_dTC),1))</f>
        <v>10767.1232876712</v>
      </c>
      <c r="I58" s="48" t="n">
        <f aca="false">IF(cu_P=1,N(INDEX(Sal_O,19))*INDEX(IdxSal_O,1,5)*12*N(INDEX(Dot_O,19,5))*IF(INDEX(Per_Mon,19)="PYG",1/INDEX(TC_O,1,5)*(1+P_dTC),1),N(INDEX(Sal_V,19))*INDEX(IdxSal_V,1,5)*12*N(INDEX(Dot_V,19,5))*IF(INDEX(Per_Mon,19)="PYG",1/INDEX(TC_V,1,5)*(1+V_dTC),1))</f>
        <v>10767.1232876712</v>
      </c>
      <c r="J58" s="48" t="n">
        <f aca="false">IF(cu_P=1,N(INDEX(Sal_O,19))*INDEX(IdxSal_O,1,6)*12*N(INDEX(Dot_O,19,6))*IF(INDEX(Per_Mon,19)="PYG",1/INDEX(TC_O,1,6)*(1+P_dTC),1),N(INDEX(Sal_V,19))*INDEX(IdxSal_V,1,6)*12*N(INDEX(Dot_V,19,6))*IF(INDEX(Per_Mon,19)="PYG",1/INDEX(TC_V,1,6)*(1+V_dTC),1))</f>
        <v>10767.1232876712</v>
      </c>
      <c r="K58" s="48" t="n">
        <f aca="false">IF(cu_P=1,N(INDEX(Sal_O,19))*INDEX(IdxSal_O,1,7)*12*N(INDEX(Dot_O,19,7))*IF(INDEX(Per_Mon,19)="PYG",1/INDEX(TC_O,1,7)*(1+P_dTC),1),N(INDEX(Sal_V,19))*INDEX(IdxSal_V,1,7)*12*N(INDEX(Dot_V,19,7))*IF(INDEX(Per_Mon,19)="PYG",1/INDEX(TC_V,1,7)*(1+V_dTC),1))</f>
        <v>10767.1232876712</v>
      </c>
      <c r="L58" s="48" t="n">
        <f aca="false">IF(cu_P=1,N(INDEX(Sal_O,19))*INDEX(IdxSal_O,1,8)*12*N(INDEX(Dot_O,19,8))*IF(INDEX(Per_Mon,19)="PYG",1/INDEX(TC_O,1,8)*(1+P_dTC),1),N(INDEX(Sal_V,19))*INDEX(IdxSal_V,1,8)*12*N(INDEX(Dot_V,19,8))*IF(INDEX(Per_Mon,19)="PYG",1/INDEX(TC_V,1,8)*(1+V_dTC),1))</f>
        <v>10767.1232876712</v>
      </c>
      <c r="M58" s="48" t="n">
        <f aca="false">IF(cu_P=1,N(INDEX(Sal_O,19))*INDEX(IdxSal_O,1,9)*12*N(INDEX(Dot_O,19,9))*IF(INDEX(Per_Mon,19)="PYG",1/INDEX(TC_O,1,9)*(1+P_dTC),1),N(INDEX(Sal_V,19))*INDEX(IdxSal_V,1,9)*12*N(INDEX(Dot_V,19,9))*IF(INDEX(Per_Mon,19)="PYG",1/INDEX(TC_V,1,9)*(1+V_dTC),1))</f>
        <v>10767.1232876712</v>
      </c>
      <c r="N58" s="48" t="n">
        <f aca="false">IF(cu_P=1,N(INDEX(Sal_O,19))*INDEX(IdxSal_O,1,10)*12*N(INDEX(Dot_O,19,10))*IF(INDEX(Per_Mon,19)="PYG",1/INDEX(TC_O,1,10)*(1+P_dTC),1),N(INDEX(Sal_V,19))*INDEX(IdxSal_V,1,10)*12*N(INDEX(Dot_V,19,10))*IF(INDEX(Per_Mon,19)="PYG",1/INDEX(TC_V,1,10)*(1+V_dTC),1))</f>
        <v>10767.1232876712</v>
      </c>
      <c r="O58" s="54" t="n">
        <f aca="false">SUM(D58:N58)</f>
        <v>107671.232876712</v>
      </c>
    </row>
    <row r="59" customFormat="false" ht="15" hidden="false" customHeight="false" outlineLevel="0" collapsed="false">
      <c r="A59" s="11" t="s">
        <v>2962</v>
      </c>
      <c r="B59" s="53" t="str">
        <f aca="false">IF(Costos!$B$25="","Puesto 20",Costos!$B$25&amp;" ("&amp;Costos!$C$25&amp;")")</f>
        <v>Logística/Comex (Administración)</v>
      </c>
      <c r="C59" s="11" t="s">
        <v>508</v>
      </c>
      <c r="E59" s="48" t="n">
        <f aca="false">IF(cu_P=1,N(INDEX(Sal_O,20))*INDEX(IdxSal_O,1,1)*12*N(INDEX(Dot_O,20,1))*IF(INDEX(Per_Mon,20)="PYG",1/INDEX(TC_O,1,1)*(1+P_dTC),1),N(INDEX(Sal_V,20))*INDEX(IdxSal_V,1,1)*12*N(INDEX(Dot_V,20,1))*IF(INDEX(Per_Mon,20)="PYG",1/INDEX(TC_V,1,1)*(1+V_dTC),1))</f>
        <v>10767.1232876712</v>
      </c>
      <c r="F59" s="48" t="n">
        <f aca="false">IF(cu_P=1,N(INDEX(Sal_O,20))*INDEX(IdxSal_O,1,2)*12*N(INDEX(Dot_O,20,2))*IF(INDEX(Per_Mon,20)="PYG",1/INDEX(TC_O,1,2)*(1+P_dTC),1),N(INDEX(Sal_V,20))*INDEX(IdxSal_V,1,2)*12*N(INDEX(Dot_V,20,2))*IF(INDEX(Per_Mon,20)="PYG",1/INDEX(TC_V,1,2)*(1+V_dTC),1))</f>
        <v>10767.1232876712</v>
      </c>
      <c r="G59" s="48" t="n">
        <f aca="false">IF(cu_P=1,N(INDEX(Sal_O,20))*INDEX(IdxSal_O,1,3)*12*N(INDEX(Dot_O,20,3))*IF(INDEX(Per_Mon,20)="PYG",1/INDEX(TC_O,1,3)*(1+P_dTC),1),N(INDEX(Sal_V,20))*INDEX(IdxSal_V,1,3)*12*N(INDEX(Dot_V,20,3))*IF(INDEX(Per_Mon,20)="PYG",1/INDEX(TC_V,1,3)*(1+V_dTC),1))</f>
        <v>10767.1232876712</v>
      </c>
      <c r="H59" s="48" t="n">
        <f aca="false">IF(cu_P=1,N(INDEX(Sal_O,20))*INDEX(IdxSal_O,1,4)*12*N(INDEX(Dot_O,20,4))*IF(INDEX(Per_Mon,20)="PYG",1/INDEX(TC_O,1,4)*(1+P_dTC),1),N(INDEX(Sal_V,20))*INDEX(IdxSal_V,1,4)*12*N(INDEX(Dot_V,20,4))*IF(INDEX(Per_Mon,20)="PYG",1/INDEX(TC_V,1,4)*(1+V_dTC),1))</f>
        <v>10767.1232876712</v>
      </c>
      <c r="I59" s="48" t="n">
        <f aca="false">IF(cu_P=1,N(INDEX(Sal_O,20))*INDEX(IdxSal_O,1,5)*12*N(INDEX(Dot_O,20,5))*IF(INDEX(Per_Mon,20)="PYG",1/INDEX(TC_O,1,5)*(1+P_dTC),1),N(INDEX(Sal_V,20))*INDEX(IdxSal_V,1,5)*12*N(INDEX(Dot_V,20,5))*IF(INDEX(Per_Mon,20)="PYG",1/INDEX(TC_V,1,5)*(1+V_dTC),1))</f>
        <v>10767.1232876712</v>
      </c>
      <c r="J59" s="48" t="n">
        <f aca="false">IF(cu_P=1,N(INDEX(Sal_O,20))*INDEX(IdxSal_O,1,6)*12*N(INDEX(Dot_O,20,6))*IF(INDEX(Per_Mon,20)="PYG",1/INDEX(TC_O,1,6)*(1+P_dTC),1),N(INDEX(Sal_V,20))*INDEX(IdxSal_V,1,6)*12*N(INDEX(Dot_V,20,6))*IF(INDEX(Per_Mon,20)="PYG",1/INDEX(TC_V,1,6)*(1+V_dTC),1))</f>
        <v>10767.1232876712</v>
      </c>
      <c r="K59" s="48" t="n">
        <f aca="false">IF(cu_P=1,N(INDEX(Sal_O,20))*INDEX(IdxSal_O,1,7)*12*N(INDEX(Dot_O,20,7))*IF(INDEX(Per_Mon,20)="PYG",1/INDEX(TC_O,1,7)*(1+P_dTC),1),N(INDEX(Sal_V,20))*INDEX(IdxSal_V,1,7)*12*N(INDEX(Dot_V,20,7))*IF(INDEX(Per_Mon,20)="PYG",1/INDEX(TC_V,1,7)*(1+V_dTC),1))</f>
        <v>10767.1232876712</v>
      </c>
      <c r="L59" s="48" t="n">
        <f aca="false">IF(cu_P=1,N(INDEX(Sal_O,20))*INDEX(IdxSal_O,1,8)*12*N(INDEX(Dot_O,20,8))*IF(INDEX(Per_Mon,20)="PYG",1/INDEX(TC_O,1,8)*(1+P_dTC),1),N(INDEX(Sal_V,20))*INDEX(IdxSal_V,1,8)*12*N(INDEX(Dot_V,20,8))*IF(INDEX(Per_Mon,20)="PYG",1/INDEX(TC_V,1,8)*(1+V_dTC),1))</f>
        <v>10767.1232876712</v>
      </c>
      <c r="M59" s="48" t="n">
        <f aca="false">IF(cu_P=1,N(INDEX(Sal_O,20))*INDEX(IdxSal_O,1,9)*12*N(INDEX(Dot_O,20,9))*IF(INDEX(Per_Mon,20)="PYG",1/INDEX(TC_O,1,9)*(1+P_dTC),1),N(INDEX(Sal_V,20))*INDEX(IdxSal_V,1,9)*12*N(INDEX(Dot_V,20,9))*IF(INDEX(Per_Mon,20)="PYG",1/INDEX(TC_V,1,9)*(1+V_dTC),1))</f>
        <v>10767.1232876712</v>
      </c>
      <c r="N59" s="48" t="n">
        <f aca="false">IF(cu_P=1,N(INDEX(Sal_O,20))*INDEX(IdxSal_O,1,10)*12*N(INDEX(Dot_O,20,10))*IF(INDEX(Per_Mon,20)="PYG",1/INDEX(TC_O,1,10)*(1+P_dTC),1),N(INDEX(Sal_V,20))*INDEX(IdxSal_V,1,10)*12*N(INDEX(Dot_V,20,10))*IF(INDEX(Per_Mon,20)="PYG",1/INDEX(TC_V,1,10)*(1+V_dTC),1))</f>
        <v>10767.1232876712</v>
      </c>
      <c r="O59" s="54" t="n">
        <f aca="false">SUM(D59:N59)</f>
        <v>107671.232876712</v>
      </c>
    </row>
    <row r="60" customFormat="false" ht="15" hidden="false" customHeight="false" outlineLevel="0" collapsed="false">
      <c r="A60" s="11" t="s">
        <v>2963</v>
      </c>
      <c r="B60" s="53" t="str">
        <f aca="false">IF(Costos!$B$26="","Puesto 21",Costos!$B$26&amp;" ("&amp;Costos!$C$26&amp;")")</f>
        <v>Coord. Control Calidad (Indirecto)</v>
      </c>
      <c r="C60" s="11" t="s">
        <v>508</v>
      </c>
      <c r="E60" s="48" t="n">
        <f aca="false">IF(cu_P=1,N(INDEX(Sal_O,21))*INDEX(IdxSal_O,1,1)*12*N(INDEX(Dot_O,21,1))*IF(INDEX(Per_Mon,21)="PYG",1/INDEX(TC_O,1,1)*(1+P_dTC),1),N(INDEX(Sal_V,21))*INDEX(IdxSal_V,1,1)*12*N(INDEX(Dot_V,21,1))*IF(INDEX(Per_Mon,21)="PYG",1/INDEX(TC_V,1,1)*(1+V_dTC),1))</f>
        <v>10767.1232876712</v>
      </c>
      <c r="F60" s="48" t="n">
        <f aca="false">IF(cu_P=1,N(INDEX(Sal_O,21))*INDEX(IdxSal_O,1,2)*12*N(INDEX(Dot_O,21,2))*IF(INDEX(Per_Mon,21)="PYG",1/INDEX(TC_O,1,2)*(1+P_dTC),1),N(INDEX(Sal_V,21))*INDEX(IdxSal_V,1,2)*12*N(INDEX(Dot_V,21,2))*IF(INDEX(Per_Mon,21)="PYG",1/INDEX(TC_V,1,2)*(1+V_dTC),1))</f>
        <v>10767.1232876712</v>
      </c>
      <c r="G60" s="48" t="n">
        <f aca="false">IF(cu_P=1,N(INDEX(Sal_O,21))*INDEX(IdxSal_O,1,3)*12*N(INDEX(Dot_O,21,3))*IF(INDEX(Per_Mon,21)="PYG",1/INDEX(TC_O,1,3)*(1+P_dTC),1),N(INDEX(Sal_V,21))*INDEX(IdxSal_V,1,3)*12*N(INDEX(Dot_V,21,3))*IF(INDEX(Per_Mon,21)="PYG",1/INDEX(TC_V,1,3)*(1+V_dTC),1))</f>
        <v>10767.1232876712</v>
      </c>
      <c r="H60" s="48" t="n">
        <f aca="false">IF(cu_P=1,N(INDEX(Sal_O,21))*INDEX(IdxSal_O,1,4)*12*N(INDEX(Dot_O,21,4))*IF(INDEX(Per_Mon,21)="PYG",1/INDEX(TC_O,1,4)*(1+P_dTC),1),N(INDEX(Sal_V,21))*INDEX(IdxSal_V,1,4)*12*N(INDEX(Dot_V,21,4))*IF(INDEX(Per_Mon,21)="PYG",1/INDEX(TC_V,1,4)*(1+V_dTC),1))</f>
        <v>10767.1232876712</v>
      </c>
      <c r="I60" s="48" t="n">
        <f aca="false">IF(cu_P=1,N(INDEX(Sal_O,21))*INDEX(IdxSal_O,1,5)*12*N(INDEX(Dot_O,21,5))*IF(INDEX(Per_Mon,21)="PYG",1/INDEX(TC_O,1,5)*(1+P_dTC),1),N(INDEX(Sal_V,21))*INDEX(IdxSal_V,1,5)*12*N(INDEX(Dot_V,21,5))*IF(INDEX(Per_Mon,21)="PYG",1/INDEX(TC_V,1,5)*(1+V_dTC),1))</f>
        <v>10767.1232876712</v>
      </c>
      <c r="J60" s="48" t="n">
        <f aca="false">IF(cu_P=1,N(INDEX(Sal_O,21))*INDEX(IdxSal_O,1,6)*12*N(INDEX(Dot_O,21,6))*IF(INDEX(Per_Mon,21)="PYG",1/INDEX(TC_O,1,6)*(1+P_dTC),1),N(INDEX(Sal_V,21))*INDEX(IdxSal_V,1,6)*12*N(INDEX(Dot_V,21,6))*IF(INDEX(Per_Mon,21)="PYG",1/INDEX(TC_V,1,6)*(1+V_dTC),1))</f>
        <v>10767.1232876712</v>
      </c>
      <c r="K60" s="48" t="n">
        <f aca="false">IF(cu_P=1,N(INDEX(Sal_O,21))*INDEX(IdxSal_O,1,7)*12*N(INDEX(Dot_O,21,7))*IF(INDEX(Per_Mon,21)="PYG",1/INDEX(TC_O,1,7)*(1+P_dTC),1),N(INDEX(Sal_V,21))*INDEX(IdxSal_V,1,7)*12*N(INDEX(Dot_V,21,7))*IF(INDEX(Per_Mon,21)="PYG",1/INDEX(TC_V,1,7)*(1+V_dTC),1))</f>
        <v>10767.1232876712</v>
      </c>
      <c r="L60" s="48" t="n">
        <f aca="false">IF(cu_P=1,N(INDEX(Sal_O,21))*INDEX(IdxSal_O,1,8)*12*N(INDEX(Dot_O,21,8))*IF(INDEX(Per_Mon,21)="PYG",1/INDEX(TC_O,1,8)*(1+P_dTC),1),N(INDEX(Sal_V,21))*INDEX(IdxSal_V,1,8)*12*N(INDEX(Dot_V,21,8))*IF(INDEX(Per_Mon,21)="PYG",1/INDEX(TC_V,1,8)*(1+V_dTC),1))</f>
        <v>10767.1232876712</v>
      </c>
      <c r="M60" s="48" t="n">
        <f aca="false">IF(cu_P=1,N(INDEX(Sal_O,21))*INDEX(IdxSal_O,1,9)*12*N(INDEX(Dot_O,21,9))*IF(INDEX(Per_Mon,21)="PYG",1/INDEX(TC_O,1,9)*(1+P_dTC),1),N(INDEX(Sal_V,21))*INDEX(IdxSal_V,1,9)*12*N(INDEX(Dot_V,21,9))*IF(INDEX(Per_Mon,21)="PYG",1/INDEX(TC_V,1,9)*(1+V_dTC),1))</f>
        <v>10767.1232876712</v>
      </c>
      <c r="N60" s="48" t="n">
        <f aca="false">IF(cu_P=1,N(INDEX(Sal_O,21))*INDEX(IdxSal_O,1,10)*12*N(INDEX(Dot_O,21,10))*IF(INDEX(Per_Mon,21)="PYG",1/INDEX(TC_O,1,10)*(1+P_dTC),1),N(INDEX(Sal_V,21))*INDEX(IdxSal_V,1,10)*12*N(INDEX(Dot_V,21,10))*IF(INDEX(Per_Mon,21)="PYG",1/INDEX(TC_V,1,10)*(1+V_dTC),1))</f>
        <v>10767.1232876712</v>
      </c>
      <c r="O60" s="54" t="n">
        <f aca="false">SUM(D60:N60)</f>
        <v>107671.232876712</v>
      </c>
    </row>
    <row r="61" customFormat="false" ht="15" hidden="false" customHeight="false" outlineLevel="0" collapsed="false">
      <c r="A61" s="11" t="s">
        <v>2964</v>
      </c>
      <c r="B61" s="53" t="str">
        <f aca="false">IF(Costos!$B$27="","Puesto 22",Costos!$B$27&amp;" ("&amp;Costos!$C$27&amp;")")</f>
        <v>Asistente Control Calidad (Indirecto)</v>
      </c>
      <c r="C61" s="11" t="s">
        <v>508</v>
      </c>
      <c r="E61" s="48" t="n">
        <f aca="false">IF(cu_P=1,N(INDEX(Sal_O,22))*INDEX(IdxSal_O,1,1)*12*N(INDEX(Dot_O,22,1))*IF(INDEX(Per_Mon,22)="PYG",1/INDEX(TC_O,1,1)*(1+P_dTC),1),N(INDEX(Sal_V,22))*INDEX(IdxSal_V,1,1)*12*N(INDEX(Dot_V,22,1))*IF(INDEX(Per_Mon,22)="PYG",1/INDEX(TC_V,1,1)*(1+V_dTC),1))</f>
        <v>4599.96</v>
      </c>
      <c r="F61" s="48" t="n">
        <f aca="false">IF(cu_P=1,N(INDEX(Sal_O,22))*INDEX(IdxSal_O,1,2)*12*N(INDEX(Dot_O,22,2))*IF(INDEX(Per_Mon,22)="PYG",1/INDEX(TC_O,1,2)*(1+P_dTC),1),N(INDEX(Sal_V,22))*INDEX(IdxSal_V,1,2)*12*N(INDEX(Dot_V,22,2))*IF(INDEX(Per_Mon,22)="PYG",1/INDEX(TC_V,1,2)*(1+V_dTC),1))</f>
        <v>4599.96</v>
      </c>
      <c r="G61" s="48" t="n">
        <f aca="false">IF(cu_P=1,N(INDEX(Sal_O,22))*INDEX(IdxSal_O,1,3)*12*N(INDEX(Dot_O,22,3))*IF(INDEX(Per_Mon,22)="PYG",1/INDEX(TC_O,1,3)*(1+P_dTC),1),N(INDEX(Sal_V,22))*INDEX(IdxSal_V,1,3)*12*N(INDEX(Dot_V,22,3))*IF(INDEX(Per_Mon,22)="PYG",1/INDEX(TC_V,1,3)*(1+V_dTC),1))</f>
        <v>4599.96</v>
      </c>
      <c r="H61" s="48" t="n">
        <f aca="false">IF(cu_P=1,N(INDEX(Sal_O,22))*INDEX(IdxSal_O,1,4)*12*N(INDEX(Dot_O,22,4))*IF(INDEX(Per_Mon,22)="PYG",1/INDEX(TC_O,1,4)*(1+P_dTC),1),N(INDEX(Sal_V,22))*INDEX(IdxSal_V,1,4)*12*N(INDEX(Dot_V,22,4))*IF(INDEX(Per_Mon,22)="PYG",1/INDEX(TC_V,1,4)*(1+V_dTC),1))</f>
        <v>4599.96</v>
      </c>
      <c r="I61" s="48" t="n">
        <f aca="false">IF(cu_P=1,N(INDEX(Sal_O,22))*INDEX(IdxSal_O,1,5)*12*N(INDEX(Dot_O,22,5))*IF(INDEX(Per_Mon,22)="PYG",1/INDEX(TC_O,1,5)*(1+P_dTC),1),N(INDEX(Sal_V,22))*INDEX(IdxSal_V,1,5)*12*N(INDEX(Dot_V,22,5))*IF(INDEX(Per_Mon,22)="PYG",1/INDEX(TC_V,1,5)*(1+V_dTC),1))</f>
        <v>4599.96</v>
      </c>
      <c r="J61" s="48" t="n">
        <f aca="false">IF(cu_P=1,N(INDEX(Sal_O,22))*INDEX(IdxSal_O,1,6)*12*N(INDEX(Dot_O,22,6))*IF(INDEX(Per_Mon,22)="PYG",1/INDEX(TC_O,1,6)*(1+P_dTC),1),N(INDEX(Sal_V,22))*INDEX(IdxSal_V,1,6)*12*N(INDEX(Dot_V,22,6))*IF(INDEX(Per_Mon,22)="PYG",1/INDEX(TC_V,1,6)*(1+V_dTC),1))</f>
        <v>4599.96</v>
      </c>
      <c r="K61" s="48" t="n">
        <f aca="false">IF(cu_P=1,N(INDEX(Sal_O,22))*INDEX(IdxSal_O,1,7)*12*N(INDEX(Dot_O,22,7))*IF(INDEX(Per_Mon,22)="PYG",1/INDEX(TC_O,1,7)*(1+P_dTC),1),N(INDEX(Sal_V,22))*INDEX(IdxSal_V,1,7)*12*N(INDEX(Dot_V,22,7))*IF(INDEX(Per_Mon,22)="PYG",1/INDEX(TC_V,1,7)*(1+V_dTC),1))</f>
        <v>4599.96</v>
      </c>
      <c r="L61" s="48" t="n">
        <f aca="false">IF(cu_P=1,N(INDEX(Sal_O,22))*INDEX(IdxSal_O,1,8)*12*N(INDEX(Dot_O,22,8))*IF(INDEX(Per_Mon,22)="PYG",1/INDEX(TC_O,1,8)*(1+P_dTC),1),N(INDEX(Sal_V,22))*INDEX(IdxSal_V,1,8)*12*N(INDEX(Dot_V,22,8))*IF(INDEX(Per_Mon,22)="PYG",1/INDEX(TC_V,1,8)*(1+V_dTC),1))</f>
        <v>4599.96</v>
      </c>
      <c r="M61" s="48" t="n">
        <f aca="false">IF(cu_P=1,N(INDEX(Sal_O,22))*INDEX(IdxSal_O,1,9)*12*N(INDEX(Dot_O,22,9))*IF(INDEX(Per_Mon,22)="PYG",1/INDEX(TC_O,1,9)*(1+P_dTC),1),N(INDEX(Sal_V,22))*INDEX(IdxSal_V,1,9)*12*N(INDEX(Dot_V,22,9))*IF(INDEX(Per_Mon,22)="PYG",1/INDEX(TC_V,1,9)*(1+V_dTC),1))</f>
        <v>4599.96</v>
      </c>
      <c r="N61" s="48" t="n">
        <f aca="false">IF(cu_P=1,N(INDEX(Sal_O,22))*INDEX(IdxSal_O,1,10)*12*N(INDEX(Dot_O,22,10))*IF(INDEX(Per_Mon,22)="PYG",1/INDEX(TC_O,1,10)*(1+P_dTC),1),N(INDEX(Sal_V,22))*INDEX(IdxSal_V,1,10)*12*N(INDEX(Dot_V,22,10))*IF(INDEX(Per_Mon,22)="PYG",1/INDEX(TC_V,1,10)*(1+V_dTC),1))</f>
        <v>4599.96</v>
      </c>
      <c r="O61" s="54" t="n">
        <f aca="false">SUM(D61:N61)</f>
        <v>45999.6</v>
      </c>
    </row>
    <row r="62" customFormat="false" ht="15" hidden="false" customHeight="false" outlineLevel="0" collapsed="false">
      <c r="A62" s="11" t="s">
        <v>2965</v>
      </c>
      <c r="B62" s="53" t="str">
        <f aca="false">IF(Costos!$B$28="","Puesto 23",Costos!$B$28&amp;" ("&amp;Costos!$C$28&amp;")")</f>
        <v>Coord. Procesos (Indirecto)</v>
      </c>
      <c r="C62" s="11" t="s">
        <v>508</v>
      </c>
      <c r="E62" s="48" t="n">
        <f aca="false">IF(cu_P=1,N(INDEX(Sal_O,23))*INDEX(IdxSal_O,1,1)*12*N(INDEX(Dot_O,23,1))*IF(INDEX(Per_Mon,23)="PYG",1/INDEX(TC_O,1,1)*(1+P_dTC),1),N(INDEX(Sal_V,23))*INDEX(IdxSal_V,1,1)*12*N(INDEX(Dot_V,23,1))*IF(INDEX(Per_Mon,23)="PYG",1/INDEX(TC_V,1,1)*(1+V_dTC),1))</f>
        <v>10767.1232876712</v>
      </c>
      <c r="F62" s="48" t="n">
        <f aca="false">IF(cu_P=1,N(INDEX(Sal_O,23))*INDEX(IdxSal_O,1,2)*12*N(INDEX(Dot_O,23,2))*IF(INDEX(Per_Mon,23)="PYG",1/INDEX(TC_O,1,2)*(1+P_dTC),1),N(INDEX(Sal_V,23))*INDEX(IdxSal_V,1,2)*12*N(INDEX(Dot_V,23,2))*IF(INDEX(Per_Mon,23)="PYG",1/INDEX(TC_V,1,2)*(1+V_dTC),1))</f>
        <v>10767.1232876712</v>
      </c>
      <c r="G62" s="48" t="n">
        <f aca="false">IF(cu_P=1,N(INDEX(Sal_O,23))*INDEX(IdxSal_O,1,3)*12*N(INDEX(Dot_O,23,3))*IF(INDEX(Per_Mon,23)="PYG",1/INDEX(TC_O,1,3)*(1+P_dTC),1),N(INDEX(Sal_V,23))*INDEX(IdxSal_V,1,3)*12*N(INDEX(Dot_V,23,3))*IF(INDEX(Per_Mon,23)="PYG",1/INDEX(TC_V,1,3)*(1+V_dTC),1))</f>
        <v>10767.1232876712</v>
      </c>
      <c r="H62" s="48" t="n">
        <f aca="false">IF(cu_P=1,N(INDEX(Sal_O,23))*INDEX(IdxSal_O,1,4)*12*N(INDEX(Dot_O,23,4))*IF(INDEX(Per_Mon,23)="PYG",1/INDEX(TC_O,1,4)*(1+P_dTC),1),N(INDEX(Sal_V,23))*INDEX(IdxSal_V,1,4)*12*N(INDEX(Dot_V,23,4))*IF(INDEX(Per_Mon,23)="PYG",1/INDEX(TC_V,1,4)*(1+V_dTC),1))</f>
        <v>10767.1232876712</v>
      </c>
      <c r="I62" s="48" t="n">
        <f aca="false">IF(cu_P=1,N(INDEX(Sal_O,23))*INDEX(IdxSal_O,1,5)*12*N(INDEX(Dot_O,23,5))*IF(INDEX(Per_Mon,23)="PYG",1/INDEX(TC_O,1,5)*(1+P_dTC),1),N(INDEX(Sal_V,23))*INDEX(IdxSal_V,1,5)*12*N(INDEX(Dot_V,23,5))*IF(INDEX(Per_Mon,23)="PYG",1/INDEX(TC_V,1,5)*(1+V_dTC),1))</f>
        <v>10767.1232876712</v>
      </c>
      <c r="J62" s="48" t="n">
        <f aca="false">IF(cu_P=1,N(INDEX(Sal_O,23))*INDEX(IdxSal_O,1,6)*12*N(INDEX(Dot_O,23,6))*IF(INDEX(Per_Mon,23)="PYG",1/INDEX(TC_O,1,6)*(1+P_dTC),1),N(INDEX(Sal_V,23))*INDEX(IdxSal_V,1,6)*12*N(INDEX(Dot_V,23,6))*IF(INDEX(Per_Mon,23)="PYG",1/INDEX(TC_V,1,6)*(1+V_dTC),1))</f>
        <v>10767.1232876712</v>
      </c>
      <c r="K62" s="48" t="n">
        <f aca="false">IF(cu_P=1,N(INDEX(Sal_O,23))*INDEX(IdxSal_O,1,7)*12*N(INDEX(Dot_O,23,7))*IF(INDEX(Per_Mon,23)="PYG",1/INDEX(TC_O,1,7)*(1+P_dTC),1),N(INDEX(Sal_V,23))*INDEX(IdxSal_V,1,7)*12*N(INDEX(Dot_V,23,7))*IF(INDEX(Per_Mon,23)="PYG",1/INDEX(TC_V,1,7)*(1+V_dTC),1))</f>
        <v>10767.1232876712</v>
      </c>
      <c r="L62" s="48" t="n">
        <f aca="false">IF(cu_P=1,N(INDEX(Sal_O,23))*INDEX(IdxSal_O,1,8)*12*N(INDEX(Dot_O,23,8))*IF(INDEX(Per_Mon,23)="PYG",1/INDEX(TC_O,1,8)*(1+P_dTC),1),N(INDEX(Sal_V,23))*INDEX(IdxSal_V,1,8)*12*N(INDEX(Dot_V,23,8))*IF(INDEX(Per_Mon,23)="PYG",1/INDEX(TC_V,1,8)*(1+V_dTC),1))</f>
        <v>10767.1232876712</v>
      </c>
      <c r="M62" s="48" t="n">
        <f aca="false">IF(cu_P=1,N(INDEX(Sal_O,23))*INDEX(IdxSal_O,1,9)*12*N(INDEX(Dot_O,23,9))*IF(INDEX(Per_Mon,23)="PYG",1/INDEX(TC_O,1,9)*(1+P_dTC),1),N(INDEX(Sal_V,23))*INDEX(IdxSal_V,1,9)*12*N(INDEX(Dot_V,23,9))*IF(INDEX(Per_Mon,23)="PYG",1/INDEX(TC_V,1,9)*(1+V_dTC),1))</f>
        <v>10767.1232876712</v>
      </c>
      <c r="N62" s="48" t="n">
        <f aca="false">IF(cu_P=1,N(INDEX(Sal_O,23))*INDEX(IdxSal_O,1,10)*12*N(INDEX(Dot_O,23,10))*IF(INDEX(Per_Mon,23)="PYG",1/INDEX(TC_O,1,10)*(1+P_dTC),1),N(INDEX(Sal_V,23))*INDEX(IdxSal_V,1,10)*12*N(INDEX(Dot_V,23,10))*IF(INDEX(Per_Mon,23)="PYG",1/INDEX(TC_V,1,10)*(1+V_dTC),1))</f>
        <v>10767.1232876712</v>
      </c>
      <c r="O62" s="54" t="n">
        <f aca="false">SUM(D62:N62)</f>
        <v>107671.232876712</v>
      </c>
    </row>
    <row r="63" customFormat="false" ht="15" hidden="false" customHeight="false" outlineLevel="0" collapsed="false">
      <c r="A63" s="11" t="s">
        <v>2966</v>
      </c>
      <c r="B63" s="53" t="str">
        <f aca="false">IF(Costos!$B$29="","Puesto 24",Costos!$B$29&amp;" ("&amp;Costos!$C$29&amp;")")</f>
        <v>Asistente Procesos (Indirecto)</v>
      </c>
      <c r="C63" s="11" t="s">
        <v>508</v>
      </c>
      <c r="E63" s="48" t="n">
        <f aca="false">IF(cu_P=1,N(INDEX(Sal_O,24))*INDEX(IdxSal_O,1,1)*12*N(INDEX(Dot_O,24,1))*IF(INDEX(Per_Mon,24)="PYG",1/INDEX(TC_O,1,1)*(1+P_dTC),1),N(INDEX(Sal_V,24))*INDEX(IdxSal_V,1,1)*12*N(INDEX(Dot_V,24,1))*IF(INDEX(Per_Mon,24)="PYG",1/INDEX(TC_V,1,1)*(1+V_dTC),1))</f>
        <v>4599.96</v>
      </c>
      <c r="F63" s="48" t="n">
        <f aca="false">IF(cu_P=1,N(INDEX(Sal_O,24))*INDEX(IdxSal_O,1,2)*12*N(INDEX(Dot_O,24,2))*IF(INDEX(Per_Mon,24)="PYG",1/INDEX(TC_O,1,2)*(1+P_dTC),1),N(INDEX(Sal_V,24))*INDEX(IdxSal_V,1,2)*12*N(INDEX(Dot_V,24,2))*IF(INDEX(Per_Mon,24)="PYG",1/INDEX(TC_V,1,2)*(1+V_dTC),1))</f>
        <v>4599.96</v>
      </c>
      <c r="G63" s="48" t="n">
        <f aca="false">IF(cu_P=1,N(INDEX(Sal_O,24))*INDEX(IdxSal_O,1,3)*12*N(INDEX(Dot_O,24,3))*IF(INDEX(Per_Mon,24)="PYG",1/INDEX(TC_O,1,3)*(1+P_dTC),1),N(INDEX(Sal_V,24))*INDEX(IdxSal_V,1,3)*12*N(INDEX(Dot_V,24,3))*IF(INDEX(Per_Mon,24)="PYG",1/INDEX(TC_V,1,3)*(1+V_dTC),1))</f>
        <v>4599.96</v>
      </c>
      <c r="H63" s="48" t="n">
        <f aca="false">IF(cu_P=1,N(INDEX(Sal_O,24))*INDEX(IdxSal_O,1,4)*12*N(INDEX(Dot_O,24,4))*IF(INDEX(Per_Mon,24)="PYG",1/INDEX(TC_O,1,4)*(1+P_dTC),1),N(INDEX(Sal_V,24))*INDEX(IdxSal_V,1,4)*12*N(INDEX(Dot_V,24,4))*IF(INDEX(Per_Mon,24)="PYG",1/INDEX(TC_V,1,4)*(1+V_dTC),1))</f>
        <v>4599.96</v>
      </c>
      <c r="I63" s="48" t="n">
        <f aca="false">IF(cu_P=1,N(INDEX(Sal_O,24))*INDEX(IdxSal_O,1,5)*12*N(INDEX(Dot_O,24,5))*IF(INDEX(Per_Mon,24)="PYG",1/INDEX(TC_O,1,5)*(1+P_dTC),1),N(INDEX(Sal_V,24))*INDEX(IdxSal_V,1,5)*12*N(INDEX(Dot_V,24,5))*IF(INDEX(Per_Mon,24)="PYG",1/INDEX(TC_V,1,5)*(1+V_dTC),1))</f>
        <v>4599.96</v>
      </c>
      <c r="J63" s="48" t="n">
        <f aca="false">IF(cu_P=1,N(INDEX(Sal_O,24))*INDEX(IdxSal_O,1,6)*12*N(INDEX(Dot_O,24,6))*IF(INDEX(Per_Mon,24)="PYG",1/INDEX(TC_O,1,6)*(1+P_dTC),1),N(INDEX(Sal_V,24))*INDEX(IdxSal_V,1,6)*12*N(INDEX(Dot_V,24,6))*IF(INDEX(Per_Mon,24)="PYG",1/INDEX(TC_V,1,6)*(1+V_dTC),1))</f>
        <v>4599.96</v>
      </c>
      <c r="K63" s="48" t="n">
        <f aca="false">IF(cu_P=1,N(INDEX(Sal_O,24))*INDEX(IdxSal_O,1,7)*12*N(INDEX(Dot_O,24,7))*IF(INDEX(Per_Mon,24)="PYG",1/INDEX(TC_O,1,7)*(1+P_dTC),1),N(INDEX(Sal_V,24))*INDEX(IdxSal_V,1,7)*12*N(INDEX(Dot_V,24,7))*IF(INDEX(Per_Mon,24)="PYG",1/INDEX(TC_V,1,7)*(1+V_dTC),1))</f>
        <v>4599.96</v>
      </c>
      <c r="L63" s="48" t="n">
        <f aca="false">IF(cu_P=1,N(INDEX(Sal_O,24))*INDEX(IdxSal_O,1,8)*12*N(INDEX(Dot_O,24,8))*IF(INDEX(Per_Mon,24)="PYG",1/INDEX(TC_O,1,8)*(1+P_dTC),1),N(INDEX(Sal_V,24))*INDEX(IdxSal_V,1,8)*12*N(INDEX(Dot_V,24,8))*IF(INDEX(Per_Mon,24)="PYG",1/INDEX(TC_V,1,8)*(1+V_dTC),1))</f>
        <v>4599.96</v>
      </c>
      <c r="M63" s="48" t="n">
        <f aca="false">IF(cu_P=1,N(INDEX(Sal_O,24))*INDEX(IdxSal_O,1,9)*12*N(INDEX(Dot_O,24,9))*IF(INDEX(Per_Mon,24)="PYG",1/INDEX(TC_O,1,9)*(1+P_dTC),1),N(INDEX(Sal_V,24))*INDEX(IdxSal_V,1,9)*12*N(INDEX(Dot_V,24,9))*IF(INDEX(Per_Mon,24)="PYG",1/INDEX(TC_V,1,9)*(1+V_dTC),1))</f>
        <v>4599.96</v>
      </c>
      <c r="N63" s="48" t="n">
        <f aca="false">IF(cu_P=1,N(INDEX(Sal_O,24))*INDEX(IdxSal_O,1,10)*12*N(INDEX(Dot_O,24,10))*IF(INDEX(Per_Mon,24)="PYG",1/INDEX(TC_O,1,10)*(1+P_dTC),1),N(INDEX(Sal_V,24))*INDEX(IdxSal_V,1,10)*12*N(INDEX(Dot_V,24,10))*IF(INDEX(Per_Mon,24)="PYG",1/INDEX(TC_V,1,10)*(1+V_dTC),1))</f>
        <v>4599.96</v>
      </c>
      <c r="O63" s="54" t="n">
        <f aca="false">SUM(D63:N63)</f>
        <v>45999.6</v>
      </c>
    </row>
    <row r="64" customFormat="false" ht="15" hidden="false" customHeight="false" outlineLevel="0" collapsed="false">
      <c r="A64" s="11" t="s">
        <v>2967</v>
      </c>
      <c r="B64" s="53" t="str">
        <f aca="false">IF(Costos!$B$30="","Puesto 25",Costos!$B$30&amp;" ("&amp;Costos!$C$30&amp;")")</f>
        <v>Administrador (Administración)</v>
      </c>
      <c r="C64" s="11" t="s">
        <v>508</v>
      </c>
      <c r="E64" s="48" t="n">
        <f aca="false">IF(cu_P=1,N(INDEX(Sal_O,25))*INDEX(IdxSal_O,1,1)*12*N(INDEX(Dot_O,25,1))*IF(INDEX(Per_Mon,25)="PYG",1/INDEX(TC_O,1,1)*(1+P_dTC),1),N(INDEX(Sal_V,25))*INDEX(IdxSal_V,1,1)*12*N(INDEX(Dot_V,25,1))*IF(INDEX(Per_Mon,25)="PYG",1/INDEX(TC_V,1,1)*(1+V_dTC),1))</f>
        <v>16109.5890410959</v>
      </c>
      <c r="F64" s="48" t="n">
        <f aca="false">IF(cu_P=1,N(INDEX(Sal_O,25))*INDEX(IdxSal_O,1,2)*12*N(INDEX(Dot_O,25,2))*IF(INDEX(Per_Mon,25)="PYG",1/INDEX(TC_O,1,2)*(1+P_dTC),1),N(INDEX(Sal_V,25))*INDEX(IdxSal_V,1,2)*12*N(INDEX(Dot_V,25,2))*IF(INDEX(Per_Mon,25)="PYG",1/INDEX(TC_V,1,2)*(1+V_dTC),1))</f>
        <v>16109.5890410959</v>
      </c>
      <c r="G64" s="48" t="n">
        <f aca="false">IF(cu_P=1,N(INDEX(Sal_O,25))*INDEX(IdxSal_O,1,3)*12*N(INDEX(Dot_O,25,3))*IF(INDEX(Per_Mon,25)="PYG",1/INDEX(TC_O,1,3)*(1+P_dTC),1),N(INDEX(Sal_V,25))*INDEX(IdxSal_V,1,3)*12*N(INDEX(Dot_V,25,3))*IF(INDEX(Per_Mon,25)="PYG",1/INDEX(TC_V,1,3)*(1+V_dTC),1))</f>
        <v>16109.5890410959</v>
      </c>
      <c r="H64" s="48" t="n">
        <f aca="false">IF(cu_P=1,N(INDEX(Sal_O,25))*INDEX(IdxSal_O,1,4)*12*N(INDEX(Dot_O,25,4))*IF(INDEX(Per_Mon,25)="PYG",1/INDEX(TC_O,1,4)*(1+P_dTC),1),N(INDEX(Sal_V,25))*INDEX(IdxSal_V,1,4)*12*N(INDEX(Dot_V,25,4))*IF(INDEX(Per_Mon,25)="PYG",1/INDEX(TC_V,1,4)*(1+V_dTC),1))</f>
        <v>16109.5890410959</v>
      </c>
      <c r="I64" s="48" t="n">
        <f aca="false">IF(cu_P=1,N(INDEX(Sal_O,25))*INDEX(IdxSal_O,1,5)*12*N(INDEX(Dot_O,25,5))*IF(INDEX(Per_Mon,25)="PYG",1/INDEX(TC_O,1,5)*(1+P_dTC),1),N(INDEX(Sal_V,25))*INDEX(IdxSal_V,1,5)*12*N(INDEX(Dot_V,25,5))*IF(INDEX(Per_Mon,25)="PYG",1/INDEX(TC_V,1,5)*(1+V_dTC),1))</f>
        <v>16109.5890410959</v>
      </c>
      <c r="J64" s="48" t="n">
        <f aca="false">IF(cu_P=1,N(INDEX(Sal_O,25))*INDEX(IdxSal_O,1,6)*12*N(INDEX(Dot_O,25,6))*IF(INDEX(Per_Mon,25)="PYG",1/INDEX(TC_O,1,6)*(1+P_dTC),1),N(INDEX(Sal_V,25))*INDEX(IdxSal_V,1,6)*12*N(INDEX(Dot_V,25,6))*IF(INDEX(Per_Mon,25)="PYG",1/INDEX(TC_V,1,6)*(1+V_dTC),1))</f>
        <v>16109.5890410959</v>
      </c>
      <c r="K64" s="48" t="n">
        <f aca="false">IF(cu_P=1,N(INDEX(Sal_O,25))*INDEX(IdxSal_O,1,7)*12*N(INDEX(Dot_O,25,7))*IF(INDEX(Per_Mon,25)="PYG",1/INDEX(TC_O,1,7)*(1+P_dTC),1),N(INDEX(Sal_V,25))*INDEX(IdxSal_V,1,7)*12*N(INDEX(Dot_V,25,7))*IF(INDEX(Per_Mon,25)="PYG",1/INDEX(TC_V,1,7)*(1+V_dTC),1))</f>
        <v>16109.5890410959</v>
      </c>
      <c r="L64" s="48" t="n">
        <f aca="false">IF(cu_P=1,N(INDEX(Sal_O,25))*INDEX(IdxSal_O,1,8)*12*N(INDEX(Dot_O,25,8))*IF(INDEX(Per_Mon,25)="PYG",1/INDEX(TC_O,1,8)*(1+P_dTC),1),N(INDEX(Sal_V,25))*INDEX(IdxSal_V,1,8)*12*N(INDEX(Dot_V,25,8))*IF(INDEX(Per_Mon,25)="PYG",1/INDEX(TC_V,1,8)*(1+V_dTC),1))</f>
        <v>16109.5890410959</v>
      </c>
      <c r="M64" s="48" t="n">
        <f aca="false">IF(cu_P=1,N(INDEX(Sal_O,25))*INDEX(IdxSal_O,1,9)*12*N(INDEX(Dot_O,25,9))*IF(INDEX(Per_Mon,25)="PYG",1/INDEX(TC_O,1,9)*(1+P_dTC),1),N(INDEX(Sal_V,25))*INDEX(IdxSal_V,1,9)*12*N(INDEX(Dot_V,25,9))*IF(INDEX(Per_Mon,25)="PYG",1/INDEX(TC_V,1,9)*(1+V_dTC),1))</f>
        <v>16109.5890410959</v>
      </c>
      <c r="N64" s="48" t="n">
        <f aca="false">IF(cu_P=1,N(INDEX(Sal_O,25))*INDEX(IdxSal_O,1,10)*12*N(INDEX(Dot_O,25,10))*IF(INDEX(Per_Mon,25)="PYG",1/INDEX(TC_O,1,10)*(1+P_dTC),1),N(INDEX(Sal_V,25))*INDEX(IdxSal_V,1,10)*12*N(INDEX(Dot_V,25,10))*IF(INDEX(Per_Mon,25)="PYG",1/INDEX(TC_V,1,10)*(1+V_dTC),1))</f>
        <v>16109.5890410959</v>
      </c>
      <c r="O64" s="54" t="n">
        <f aca="false">SUM(D64:N64)</f>
        <v>161095.890410959</v>
      </c>
    </row>
    <row r="65" customFormat="false" ht="15" hidden="false" customHeight="false" outlineLevel="0" collapsed="false">
      <c r="A65" s="11" t="s">
        <v>2968</v>
      </c>
      <c r="B65" s="53" t="str">
        <f aca="false">IF(Costos!$B$31="","Puesto 26",Costos!$B$31&amp;" ("&amp;Costos!$C$31&amp;")")</f>
        <v>Asistente Administrativo (Administración)</v>
      </c>
      <c r="C65" s="11" t="s">
        <v>508</v>
      </c>
      <c r="E65" s="48" t="n">
        <f aca="false">IF(cu_P=1,N(INDEX(Sal_O,26))*INDEX(IdxSal_O,1,1)*12*N(INDEX(Dot_O,26,1))*IF(INDEX(Per_Mon,26)="PYG",1/INDEX(TC_O,1,1)*(1+P_dTC),1),N(INDEX(Sal_V,26))*INDEX(IdxSal_V,1,1)*12*N(INDEX(Dot_V,26,1))*IF(INDEX(Per_Mon,26)="PYG",1/INDEX(TC_V,1,1)*(1+V_dTC),1))</f>
        <v>4599.96</v>
      </c>
      <c r="F65" s="48" t="n">
        <f aca="false">IF(cu_P=1,N(INDEX(Sal_O,26))*INDEX(IdxSal_O,1,2)*12*N(INDEX(Dot_O,26,2))*IF(INDEX(Per_Mon,26)="PYG",1/INDEX(TC_O,1,2)*(1+P_dTC),1),N(INDEX(Sal_V,26))*INDEX(IdxSal_V,1,2)*12*N(INDEX(Dot_V,26,2))*IF(INDEX(Per_Mon,26)="PYG",1/INDEX(TC_V,1,2)*(1+V_dTC),1))</f>
        <v>4599.96</v>
      </c>
      <c r="G65" s="48" t="n">
        <f aca="false">IF(cu_P=1,N(INDEX(Sal_O,26))*INDEX(IdxSal_O,1,3)*12*N(INDEX(Dot_O,26,3))*IF(INDEX(Per_Mon,26)="PYG",1/INDEX(TC_O,1,3)*(1+P_dTC),1),N(INDEX(Sal_V,26))*INDEX(IdxSal_V,1,3)*12*N(INDEX(Dot_V,26,3))*IF(INDEX(Per_Mon,26)="PYG",1/INDEX(TC_V,1,3)*(1+V_dTC),1))</f>
        <v>4599.96</v>
      </c>
      <c r="H65" s="48" t="n">
        <f aca="false">IF(cu_P=1,N(INDEX(Sal_O,26))*INDEX(IdxSal_O,1,4)*12*N(INDEX(Dot_O,26,4))*IF(INDEX(Per_Mon,26)="PYG",1/INDEX(TC_O,1,4)*(1+P_dTC),1),N(INDEX(Sal_V,26))*INDEX(IdxSal_V,1,4)*12*N(INDEX(Dot_V,26,4))*IF(INDEX(Per_Mon,26)="PYG",1/INDEX(TC_V,1,4)*(1+V_dTC),1))</f>
        <v>4599.96</v>
      </c>
      <c r="I65" s="48" t="n">
        <f aca="false">IF(cu_P=1,N(INDEX(Sal_O,26))*INDEX(IdxSal_O,1,5)*12*N(INDEX(Dot_O,26,5))*IF(INDEX(Per_Mon,26)="PYG",1/INDEX(TC_O,1,5)*(1+P_dTC),1),N(INDEX(Sal_V,26))*INDEX(IdxSal_V,1,5)*12*N(INDEX(Dot_V,26,5))*IF(INDEX(Per_Mon,26)="PYG",1/INDEX(TC_V,1,5)*(1+V_dTC),1))</f>
        <v>4599.96</v>
      </c>
      <c r="J65" s="48" t="n">
        <f aca="false">IF(cu_P=1,N(INDEX(Sal_O,26))*INDEX(IdxSal_O,1,6)*12*N(INDEX(Dot_O,26,6))*IF(INDEX(Per_Mon,26)="PYG",1/INDEX(TC_O,1,6)*(1+P_dTC),1),N(INDEX(Sal_V,26))*INDEX(IdxSal_V,1,6)*12*N(INDEX(Dot_V,26,6))*IF(INDEX(Per_Mon,26)="PYG",1/INDEX(TC_V,1,6)*(1+V_dTC),1))</f>
        <v>4599.96</v>
      </c>
      <c r="K65" s="48" t="n">
        <f aca="false">IF(cu_P=1,N(INDEX(Sal_O,26))*INDEX(IdxSal_O,1,7)*12*N(INDEX(Dot_O,26,7))*IF(INDEX(Per_Mon,26)="PYG",1/INDEX(TC_O,1,7)*(1+P_dTC),1),N(INDEX(Sal_V,26))*INDEX(IdxSal_V,1,7)*12*N(INDEX(Dot_V,26,7))*IF(INDEX(Per_Mon,26)="PYG",1/INDEX(TC_V,1,7)*(1+V_dTC),1))</f>
        <v>4599.96</v>
      </c>
      <c r="L65" s="48" t="n">
        <f aca="false">IF(cu_P=1,N(INDEX(Sal_O,26))*INDEX(IdxSal_O,1,8)*12*N(INDEX(Dot_O,26,8))*IF(INDEX(Per_Mon,26)="PYG",1/INDEX(TC_O,1,8)*(1+P_dTC),1),N(INDEX(Sal_V,26))*INDEX(IdxSal_V,1,8)*12*N(INDEX(Dot_V,26,8))*IF(INDEX(Per_Mon,26)="PYG",1/INDEX(TC_V,1,8)*(1+V_dTC),1))</f>
        <v>4599.96</v>
      </c>
      <c r="M65" s="48" t="n">
        <f aca="false">IF(cu_P=1,N(INDEX(Sal_O,26))*INDEX(IdxSal_O,1,9)*12*N(INDEX(Dot_O,26,9))*IF(INDEX(Per_Mon,26)="PYG",1/INDEX(TC_O,1,9)*(1+P_dTC),1),N(INDEX(Sal_V,26))*INDEX(IdxSal_V,1,9)*12*N(INDEX(Dot_V,26,9))*IF(INDEX(Per_Mon,26)="PYG",1/INDEX(TC_V,1,9)*(1+V_dTC),1))</f>
        <v>4599.96</v>
      </c>
      <c r="N65" s="48" t="n">
        <f aca="false">IF(cu_P=1,N(INDEX(Sal_O,26))*INDEX(IdxSal_O,1,10)*12*N(INDEX(Dot_O,26,10))*IF(INDEX(Per_Mon,26)="PYG",1/INDEX(TC_O,1,10)*(1+P_dTC),1),N(INDEX(Sal_V,26))*INDEX(IdxSal_V,1,10)*12*N(INDEX(Dot_V,26,10))*IF(INDEX(Per_Mon,26)="PYG",1/INDEX(TC_V,1,10)*(1+V_dTC),1))</f>
        <v>4599.96</v>
      </c>
      <c r="O65" s="54" t="n">
        <f aca="false">SUM(D65:N65)</f>
        <v>45999.6</v>
      </c>
    </row>
    <row r="66" customFormat="false" ht="15" hidden="true" customHeight="false" outlineLevel="1" collapsed="false">
      <c r="A66" s="11" t="s">
        <v>2969</v>
      </c>
      <c r="B66" s="53" t="str">
        <f aca="false">IF(Costos!$B$32="","Puesto 27",Costos!$B$32&amp;" ("&amp;Costos!$C$32&amp;")")</f>
        <v>Puesto 27</v>
      </c>
      <c r="C66" s="11" t="s">
        <v>508</v>
      </c>
      <c r="E66" s="48" t="n">
        <f aca="false">IF(cu_P=1,N(INDEX(Sal_O,27))*INDEX(IdxSal_O,1,1)*12*N(INDEX(Dot_O,27,1))*IF(INDEX(Per_Mon,27)="PYG",1/INDEX(TC_O,1,1)*(1+P_dTC),1),N(INDEX(Sal_V,27))*INDEX(IdxSal_V,1,1)*12*N(INDEX(Dot_V,27,1))*IF(INDEX(Per_Mon,27)="PYG",1/INDEX(TC_V,1,1)*(1+V_dTC),1))</f>
        <v>0</v>
      </c>
      <c r="F66" s="48" t="n">
        <f aca="false">IF(cu_P=1,N(INDEX(Sal_O,27))*INDEX(IdxSal_O,1,2)*12*N(INDEX(Dot_O,27,2))*IF(INDEX(Per_Mon,27)="PYG",1/INDEX(TC_O,1,2)*(1+P_dTC),1),N(INDEX(Sal_V,27))*INDEX(IdxSal_V,1,2)*12*N(INDEX(Dot_V,27,2))*IF(INDEX(Per_Mon,27)="PYG",1/INDEX(TC_V,1,2)*(1+V_dTC),1))</f>
        <v>0</v>
      </c>
      <c r="G66" s="48" t="n">
        <f aca="false">IF(cu_P=1,N(INDEX(Sal_O,27))*INDEX(IdxSal_O,1,3)*12*N(INDEX(Dot_O,27,3))*IF(INDEX(Per_Mon,27)="PYG",1/INDEX(TC_O,1,3)*(1+P_dTC),1),N(INDEX(Sal_V,27))*INDEX(IdxSal_V,1,3)*12*N(INDEX(Dot_V,27,3))*IF(INDEX(Per_Mon,27)="PYG",1/INDEX(TC_V,1,3)*(1+V_dTC),1))</f>
        <v>0</v>
      </c>
      <c r="H66" s="48" t="n">
        <f aca="false">IF(cu_P=1,N(INDEX(Sal_O,27))*INDEX(IdxSal_O,1,4)*12*N(INDEX(Dot_O,27,4))*IF(INDEX(Per_Mon,27)="PYG",1/INDEX(TC_O,1,4)*(1+P_dTC),1),N(INDEX(Sal_V,27))*INDEX(IdxSal_V,1,4)*12*N(INDEX(Dot_V,27,4))*IF(INDEX(Per_Mon,27)="PYG",1/INDEX(TC_V,1,4)*(1+V_dTC),1))</f>
        <v>0</v>
      </c>
      <c r="I66" s="48" t="n">
        <f aca="false">IF(cu_P=1,N(INDEX(Sal_O,27))*INDEX(IdxSal_O,1,5)*12*N(INDEX(Dot_O,27,5))*IF(INDEX(Per_Mon,27)="PYG",1/INDEX(TC_O,1,5)*(1+P_dTC),1),N(INDEX(Sal_V,27))*INDEX(IdxSal_V,1,5)*12*N(INDEX(Dot_V,27,5))*IF(INDEX(Per_Mon,27)="PYG",1/INDEX(TC_V,1,5)*(1+V_dTC),1))</f>
        <v>0</v>
      </c>
      <c r="J66" s="48" t="n">
        <f aca="false">IF(cu_P=1,N(INDEX(Sal_O,27))*INDEX(IdxSal_O,1,6)*12*N(INDEX(Dot_O,27,6))*IF(INDEX(Per_Mon,27)="PYG",1/INDEX(TC_O,1,6)*(1+P_dTC),1),N(INDEX(Sal_V,27))*INDEX(IdxSal_V,1,6)*12*N(INDEX(Dot_V,27,6))*IF(INDEX(Per_Mon,27)="PYG",1/INDEX(TC_V,1,6)*(1+V_dTC),1))</f>
        <v>0</v>
      </c>
      <c r="K66" s="48" t="n">
        <f aca="false">IF(cu_P=1,N(INDEX(Sal_O,27))*INDEX(IdxSal_O,1,7)*12*N(INDEX(Dot_O,27,7))*IF(INDEX(Per_Mon,27)="PYG",1/INDEX(TC_O,1,7)*(1+P_dTC),1),N(INDEX(Sal_V,27))*INDEX(IdxSal_V,1,7)*12*N(INDEX(Dot_V,27,7))*IF(INDEX(Per_Mon,27)="PYG",1/INDEX(TC_V,1,7)*(1+V_dTC),1))</f>
        <v>0</v>
      </c>
      <c r="L66" s="48" t="n">
        <f aca="false">IF(cu_P=1,N(INDEX(Sal_O,27))*INDEX(IdxSal_O,1,8)*12*N(INDEX(Dot_O,27,8))*IF(INDEX(Per_Mon,27)="PYG",1/INDEX(TC_O,1,8)*(1+P_dTC),1),N(INDEX(Sal_V,27))*INDEX(IdxSal_V,1,8)*12*N(INDEX(Dot_V,27,8))*IF(INDEX(Per_Mon,27)="PYG",1/INDEX(TC_V,1,8)*(1+V_dTC),1))</f>
        <v>0</v>
      </c>
      <c r="M66" s="48" t="n">
        <f aca="false">IF(cu_P=1,N(INDEX(Sal_O,27))*INDEX(IdxSal_O,1,9)*12*N(INDEX(Dot_O,27,9))*IF(INDEX(Per_Mon,27)="PYG",1/INDEX(TC_O,1,9)*(1+P_dTC),1),N(INDEX(Sal_V,27))*INDEX(IdxSal_V,1,9)*12*N(INDEX(Dot_V,27,9))*IF(INDEX(Per_Mon,27)="PYG",1/INDEX(TC_V,1,9)*(1+V_dTC),1))</f>
        <v>0</v>
      </c>
      <c r="N66" s="48" t="n">
        <f aca="false">IF(cu_P=1,N(INDEX(Sal_O,27))*INDEX(IdxSal_O,1,10)*12*N(INDEX(Dot_O,27,10))*IF(INDEX(Per_Mon,27)="PYG",1/INDEX(TC_O,1,10)*(1+P_dTC),1),N(INDEX(Sal_V,27))*INDEX(IdxSal_V,1,10)*12*N(INDEX(Dot_V,27,10))*IF(INDEX(Per_Mon,27)="PYG",1/INDEX(TC_V,1,10)*(1+V_dTC),1))</f>
        <v>0</v>
      </c>
      <c r="O66" s="54" t="n">
        <f aca="false">SUM(D66:N66)</f>
        <v>0</v>
      </c>
    </row>
    <row r="67" customFormat="false" ht="15" hidden="true" customHeight="false" outlineLevel="1" collapsed="false">
      <c r="A67" s="11" t="s">
        <v>2970</v>
      </c>
      <c r="B67" s="53" t="str">
        <f aca="false">IF(Costos!$B$33="","Puesto 28",Costos!$B$33&amp;" ("&amp;Costos!$C$33&amp;")")</f>
        <v>Puesto 28</v>
      </c>
      <c r="C67" s="11" t="s">
        <v>508</v>
      </c>
      <c r="E67" s="48" t="n">
        <f aca="false">IF(cu_P=1,N(INDEX(Sal_O,28))*INDEX(IdxSal_O,1,1)*12*N(INDEX(Dot_O,28,1))*IF(INDEX(Per_Mon,28)="PYG",1/INDEX(TC_O,1,1)*(1+P_dTC),1),N(INDEX(Sal_V,28))*INDEX(IdxSal_V,1,1)*12*N(INDEX(Dot_V,28,1))*IF(INDEX(Per_Mon,28)="PYG",1/INDEX(TC_V,1,1)*(1+V_dTC),1))</f>
        <v>0</v>
      </c>
      <c r="F67" s="48" t="n">
        <f aca="false">IF(cu_P=1,N(INDEX(Sal_O,28))*INDEX(IdxSal_O,1,2)*12*N(INDEX(Dot_O,28,2))*IF(INDEX(Per_Mon,28)="PYG",1/INDEX(TC_O,1,2)*(1+P_dTC),1),N(INDEX(Sal_V,28))*INDEX(IdxSal_V,1,2)*12*N(INDEX(Dot_V,28,2))*IF(INDEX(Per_Mon,28)="PYG",1/INDEX(TC_V,1,2)*(1+V_dTC),1))</f>
        <v>0</v>
      </c>
      <c r="G67" s="48" t="n">
        <f aca="false">IF(cu_P=1,N(INDEX(Sal_O,28))*INDEX(IdxSal_O,1,3)*12*N(INDEX(Dot_O,28,3))*IF(INDEX(Per_Mon,28)="PYG",1/INDEX(TC_O,1,3)*(1+P_dTC),1),N(INDEX(Sal_V,28))*INDEX(IdxSal_V,1,3)*12*N(INDEX(Dot_V,28,3))*IF(INDEX(Per_Mon,28)="PYG",1/INDEX(TC_V,1,3)*(1+V_dTC),1))</f>
        <v>0</v>
      </c>
      <c r="H67" s="48" t="n">
        <f aca="false">IF(cu_P=1,N(INDEX(Sal_O,28))*INDEX(IdxSal_O,1,4)*12*N(INDEX(Dot_O,28,4))*IF(INDEX(Per_Mon,28)="PYG",1/INDEX(TC_O,1,4)*(1+P_dTC),1),N(INDEX(Sal_V,28))*INDEX(IdxSal_V,1,4)*12*N(INDEX(Dot_V,28,4))*IF(INDEX(Per_Mon,28)="PYG",1/INDEX(TC_V,1,4)*(1+V_dTC),1))</f>
        <v>0</v>
      </c>
      <c r="I67" s="48" t="n">
        <f aca="false">IF(cu_P=1,N(INDEX(Sal_O,28))*INDEX(IdxSal_O,1,5)*12*N(INDEX(Dot_O,28,5))*IF(INDEX(Per_Mon,28)="PYG",1/INDEX(TC_O,1,5)*(1+P_dTC),1),N(INDEX(Sal_V,28))*INDEX(IdxSal_V,1,5)*12*N(INDEX(Dot_V,28,5))*IF(INDEX(Per_Mon,28)="PYG",1/INDEX(TC_V,1,5)*(1+V_dTC),1))</f>
        <v>0</v>
      </c>
      <c r="J67" s="48" t="n">
        <f aca="false">IF(cu_P=1,N(INDEX(Sal_O,28))*INDEX(IdxSal_O,1,6)*12*N(INDEX(Dot_O,28,6))*IF(INDEX(Per_Mon,28)="PYG",1/INDEX(TC_O,1,6)*(1+P_dTC),1),N(INDEX(Sal_V,28))*INDEX(IdxSal_V,1,6)*12*N(INDEX(Dot_V,28,6))*IF(INDEX(Per_Mon,28)="PYG",1/INDEX(TC_V,1,6)*(1+V_dTC),1))</f>
        <v>0</v>
      </c>
      <c r="K67" s="48" t="n">
        <f aca="false">IF(cu_P=1,N(INDEX(Sal_O,28))*INDEX(IdxSal_O,1,7)*12*N(INDEX(Dot_O,28,7))*IF(INDEX(Per_Mon,28)="PYG",1/INDEX(TC_O,1,7)*(1+P_dTC),1),N(INDEX(Sal_V,28))*INDEX(IdxSal_V,1,7)*12*N(INDEX(Dot_V,28,7))*IF(INDEX(Per_Mon,28)="PYG",1/INDEX(TC_V,1,7)*(1+V_dTC),1))</f>
        <v>0</v>
      </c>
      <c r="L67" s="48" t="n">
        <f aca="false">IF(cu_P=1,N(INDEX(Sal_O,28))*INDEX(IdxSal_O,1,8)*12*N(INDEX(Dot_O,28,8))*IF(INDEX(Per_Mon,28)="PYG",1/INDEX(TC_O,1,8)*(1+P_dTC),1),N(INDEX(Sal_V,28))*INDEX(IdxSal_V,1,8)*12*N(INDEX(Dot_V,28,8))*IF(INDEX(Per_Mon,28)="PYG",1/INDEX(TC_V,1,8)*(1+V_dTC),1))</f>
        <v>0</v>
      </c>
      <c r="M67" s="48" t="n">
        <f aca="false">IF(cu_P=1,N(INDEX(Sal_O,28))*INDEX(IdxSal_O,1,9)*12*N(INDEX(Dot_O,28,9))*IF(INDEX(Per_Mon,28)="PYG",1/INDEX(TC_O,1,9)*(1+P_dTC),1),N(INDEX(Sal_V,28))*INDEX(IdxSal_V,1,9)*12*N(INDEX(Dot_V,28,9))*IF(INDEX(Per_Mon,28)="PYG",1/INDEX(TC_V,1,9)*(1+V_dTC),1))</f>
        <v>0</v>
      </c>
      <c r="N67" s="48" t="n">
        <f aca="false">IF(cu_P=1,N(INDEX(Sal_O,28))*INDEX(IdxSal_O,1,10)*12*N(INDEX(Dot_O,28,10))*IF(INDEX(Per_Mon,28)="PYG",1/INDEX(TC_O,1,10)*(1+P_dTC),1),N(INDEX(Sal_V,28))*INDEX(IdxSal_V,1,10)*12*N(INDEX(Dot_V,28,10))*IF(INDEX(Per_Mon,28)="PYG",1/INDEX(TC_V,1,10)*(1+V_dTC),1))</f>
        <v>0</v>
      </c>
      <c r="O67" s="54" t="n">
        <f aca="false">SUM(D67:N67)</f>
        <v>0</v>
      </c>
    </row>
    <row r="68" customFormat="false" ht="15" hidden="true" customHeight="false" outlineLevel="1" collapsed="false">
      <c r="A68" s="11" t="s">
        <v>2971</v>
      </c>
      <c r="B68" s="53" t="str">
        <f aca="false">IF(Costos!$B$34="","Puesto 29",Costos!$B$34&amp;" ("&amp;Costos!$C$34&amp;")")</f>
        <v>Puesto 29</v>
      </c>
      <c r="C68" s="11" t="s">
        <v>508</v>
      </c>
      <c r="E68" s="48" t="n">
        <f aca="false">IF(cu_P=1,N(INDEX(Sal_O,29))*INDEX(IdxSal_O,1,1)*12*N(INDEX(Dot_O,29,1))*IF(INDEX(Per_Mon,29)="PYG",1/INDEX(TC_O,1,1)*(1+P_dTC),1),N(INDEX(Sal_V,29))*INDEX(IdxSal_V,1,1)*12*N(INDEX(Dot_V,29,1))*IF(INDEX(Per_Mon,29)="PYG",1/INDEX(TC_V,1,1)*(1+V_dTC),1))</f>
        <v>0</v>
      </c>
      <c r="F68" s="48" t="n">
        <f aca="false">IF(cu_P=1,N(INDEX(Sal_O,29))*INDEX(IdxSal_O,1,2)*12*N(INDEX(Dot_O,29,2))*IF(INDEX(Per_Mon,29)="PYG",1/INDEX(TC_O,1,2)*(1+P_dTC),1),N(INDEX(Sal_V,29))*INDEX(IdxSal_V,1,2)*12*N(INDEX(Dot_V,29,2))*IF(INDEX(Per_Mon,29)="PYG",1/INDEX(TC_V,1,2)*(1+V_dTC),1))</f>
        <v>0</v>
      </c>
      <c r="G68" s="48" t="n">
        <f aca="false">IF(cu_P=1,N(INDEX(Sal_O,29))*INDEX(IdxSal_O,1,3)*12*N(INDEX(Dot_O,29,3))*IF(INDEX(Per_Mon,29)="PYG",1/INDEX(TC_O,1,3)*(1+P_dTC),1),N(INDEX(Sal_V,29))*INDEX(IdxSal_V,1,3)*12*N(INDEX(Dot_V,29,3))*IF(INDEX(Per_Mon,29)="PYG",1/INDEX(TC_V,1,3)*(1+V_dTC),1))</f>
        <v>0</v>
      </c>
      <c r="H68" s="48" t="n">
        <f aca="false">IF(cu_P=1,N(INDEX(Sal_O,29))*INDEX(IdxSal_O,1,4)*12*N(INDEX(Dot_O,29,4))*IF(INDEX(Per_Mon,29)="PYG",1/INDEX(TC_O,1,4)*(1+P_dTC),1),N(INDEX(Sal_V,29))*INDEX(IdxSal_V,1,4)*12*N(INDEX(Dot_V,29,4))*IF(INDEX(Per_Mon,29)="PYG",1/INDEX(TC_V,1,4)*(1+V_dTC),1))</f>
        <v>0</v>
      </c>
      <c r="I68" s="48" t="n">
        <f aca="false">IF(cu_P=1,N(INDEX(Sal_O,29))*INDEX(IdxSal_O,1,5)*12*N(INDEX(Dot_O,29,5))*IF(INDEX(Per_Mon,29)="PYG",1/INDEX(TC_O,1,5)*(1+P_dTC),1),N(INDEX(Sal_V,29))*INDEX(IdxSal_V,1,5)*12*N(INDEX(Dot_V,29,5))*IF(INDEX(Per_Mon,29)="PYG",1/INDEX(TC_V,1,5)*(1+V_dTC),1))</f>
        <v>0</v>
      </c>
      <c r="J68" s="48" t="n">
        <f aca="false">IF(cu_P=1,N(INDEX(Sal_O,29))*INDEX(IdxSal_O,1,6)*12*N(INDEX(Dot_O,29,6))*IF(INDEX(Per_Mon,29)="PYG",1/INDEX(TC_O,1,6)*(1+P_dTC),1),N(INDEX(Sal_V,29))*INDEX(IdxSal_V,1,6)*12*N(INDEX(Dot_V,29,6))*IF(INDEX(Per_Mon,29)="PYG",1/INDEX(TC_V,1,6)*(1+V_dTC),1))</f>
        <v>0</v>
      </c>
      <c r="K68" s="48" t="n">
        <f aca="false">IF(cu_P=1,N(INDEX(Sal_O,29))*INDEX(IdxSal_O,1,7)*12*N(INDEX(Dot_O,29,7))*IF(INDEX(Per_Mon,29)="PYG",1/INDEX(TC_O,1,7)*(1+P_dTC),1),N(INDEX(Sal_V,29))*INDEX(IdxSal_V,1,7)*12*N(INDEX(Dot_V,29,7))*IF(INDEX(Per_Mon,29)="PYG",1/INDEX(TC_V,1,7)*(1+V_dTC),1))</f>
        <v>0</v>
      </c>
      <c r="L68" s="48" t="n">
        <f aca="false">IF(cu_P=1,N(INDEX(Sal_O,29))*INDEX(IdxSal_O,1,8)*12*N(INDEX(Dot_O,29,8))*IF(INDEX(Per_Mon,29)="PYG",1/INDEX(TC_O,1,8)*(1+P_dTC),1),N(INDEX(Sal_V,29))*INDEX(IdxSal_V,1,8)*12*N(INDEX(Dot_V,29,8))*IF(INDEX(Per_Mon,29)="PYG",1/INDEX(TC_V,1,8)*(1+V_dTC),1))</f>
        <v>0</v>
      </c>
      <c r="M68" s="48" t="n">
        <f aca="false">IF(cu_P=1,N(INDEX(Sal_O,29))*INDEX(IdxSal_O,1,9)*12*N(INDEX(Dot_O,29,9))*IF(INDEX(Per_Mon,29)="PYG",1/INDEX(TC_O,1,9)*(1+P_dTC),1),N(INDEX(Sal_V,29))*INDEX(IdxSal_V,1,9)*12*N(INDEX(Dot_V,29,9))*IF(INDEX(Per_Mon,29)="PYG",1/INDEX(TC_V,1,9)*(1+V_dTC),1))</f>
        <v>0</v>
      </c>
      <c r="N68" s="48" t="n">
        <f aca="false">IF(cu_P=1,N(INDEX(Sal_O,29))*INDEX(IdxSal_O,1,10)*12*N(INDEX(Dot_O,29,10))*IF(INDEX(Per_Mon,29)="PYG",1/INDEX(TC_O,1,10)*(1+P_dTC),1),N(INDEX(Sal_V,29))*INDEX(IdxSal_V,1,10)*12*N(INDEX(Dot_V,29,10))*IF(INDEX(Per_Mon,29)="PYG",1/INDEX(TC_V,1,10)*(1+V_dTC),1))</f>
        <v>0</v>
      </c>
      <c r="O68" s="54" t="n">
        <f aca="false">SUM(D68:N68)</f>
        <v>0</v>
      </c>
    </row>
    <row r="69" customFormat="false" ht="15" hidden="true" customHeight="false" outlineLevel="1" collapsed="false">
      <c r="A69" s="11" t="s">
        <v>2972</v>
      </c>
      <c r="B69" s="53" t="str">
        <f aca="false">IF(Costos!$B$35="","Puesto 30",Costos!$B$35&amp;" ("&amp;Costos!$C$35&amp;")")</f>
        <v>Puesto 30</v>
      </c>
      <c r="C69" s="11" t="s">
        <v>508</v>
      </c>
      <c r="E69" s="48" t="n">
        <f aca="false">IF(cu_P=1,N(INDEX(Sal_O,30))*INDEX(IdxSal_O,1,1)*12*N(INDEX(Dot_O,30,1))*IF(INDEX(Per_Mon,30)="PYG",1/INDEX(TC_O,1,1)*(1+P_dTC),1),N(INDEX(Sal_V,30))*INDEX(IdxSal_V,1,1)*12*N(INDEX(Dot_V,30,1))*IF(INDEX(Per_Mon,30)="PYG",1/INDEX(TC_V,1,1)*(1+V_dTC),1))</f>
        <v>0</v>
      </c>
      <c r="F69" s="48" t="n">
        <f aca="false">IF(cu_P=1,N(INDEX(Sal_O,30))*INDEX(IdxSal_O,1,2)*12*N(INDEX(Dot_O,30,2))*IF(INDEX(Per_Mon,30)="PYG",1/INDEX(TC_O,1,2)*(1+P_dTC),1),N(INDEX(Sal_V,30))*INDEX(IdxSal_V,1,2)*12*N(INDEX(Dot_V,30,2))*IF(INDEX(Per_Mon,30)="PYG",1/INDEX(TC_V,1,2)*(1+V_dTC),1))</f>
        <v>0</v>
      </c>
      <c r="G69" s="48" t="n">
        <f aca="false">IF(cu_P=1,N(INDEX(Sal_O,30))*INDEX(IdxSal_O,1,3)*12*N(INDEX(Dot_O,30,3))*IF(INDEX(Per_Mon,30)="PYG",1/INDEX(TC_O,1,3)*(1+P_dTC),1),N(INDEX(Sal_V,30))*INDEX(IdxSal_V,1,3)*12*N(INDEX(Dot_V,30,3))*IF(INDEX(Per_Mon,30)="PYG",1/INDEX(TC_V,1,3)*(1+V_dTC),1))</f>
        <v>0</v>
      </c>
      <c r="H69" s="48" t="n">
        <f aca="false">IF(cu_P=1,N(INDEX(Sal_O,30))*INDEX(IdxSal_O,1,4)*12*N(INDEX(Dot_O,30,4))*IF(INDEX(Per_Mon,30)="PYG",1/INDEX(TC_O,1,4)*(1+P_dTC),1),N(INDEX(Sal_V,30))*INDEX(IdxSal_V,1,4)*12*N(INDEX(Dot_V,30,4))*IF(INDEX(Per_Mon,30)="PYG",1/INDEX(TC_V,1,4)*(1+V_dTC),1))</f>
        <v>0</v>
      </c>
      <c r="I69" s="48" t="n">
        <f aca="false">IF(cu_P=1,N(INDEX(Sal_O,30))*INDEX(IdxSal_O,1,5)*12*N(INDEX(Dot_O,30,5))*IF(INDEX(Per_Mon,30)="PYG",1/INDEX(TC_O,1,5)*(1+P_dTC),1),N(INDEX(Sal_V,30))*INDEX(IdxSal_V,1,5)*12*N(INDEX(Dot_V,30,5))*IF(INDEX(Per_Mon,30)="PYG",1/INDEX(TC_V,1,5)*(1+V_dTC),1))</f>
        <v>0</v>
      </c>
      <c r="J69" s="48" t="n">
        <f aca="false">IF(cu_P=1,N(INDEX(Sal_O,30))*INDEX(IdxSal_O,1,6)*12*N(INDEX(Dot_O,30,6))*IF(INDEX(Per_Mon,30)="PYG",1/INDEX(TC_O,1,6)*(1+P_dTC),1),N(INDEX(Sal_V,30))*INDEX(IdxSal_V,1,6)*12*N(INDEX(Dot_V,30,6))*IF(INDEX(Per_Mon,30)="PYG",1/INDEX(TC_V,1,6)*(1+V_dTC),1))</f>
        <v>0</v>
      </c>
      <c r="K69" s="48" t="n">
        <f aca="false">IF(cu_P=1,N(INDEX(Sal_O,30))*INDEX(IdxSal_O,1,7)*12*N(INDEX(Dot_O,30,7))*IF(INDEX(Per_Mon,30)="PYG",1/INDEX(TC_O,1,7)*(1+P_dTC),1),N(INDEX(Sal_V,30))*INDEX(IdxSal_V,1,7)*12*N(INDEX(Dot_V,30,7))*IF(INDEX(Per_Mon,30)="PYG",1/INDEX(TC_V,1,7)*(1+V_dTC),1))</f>
        <v>0</v>
      </c>
      <c r="L69" s="48" t="n">
        <f aca="false">IF(cu_P=1,N(INDEX(Sal_O,30))*INDEX(IdxSal_O,1,8)*12*N(INDEX(Dot_O,30,8))*IF(INDEX(Per_Mon,30)="PYG",1/INDEX(TC_O,1,8)*(1+P_dTC),1),N(INDEX(Sal_V,30))*INDEX(IdxSal_V,1,8)*12*N(INDEX(Dot_V,30,8))*IF(INDEX(Per_Mon,30)="PYG",1/INDEX(TC_V,1,8)*(1+V_dTC),1))</f>
        <v>0</v>
      </c>
      <c r="M69" s="48" t="n">
        <f aca="false">IF(cu_P=1,N(INDEX(Sal_O,30))*INDEX(IdxSal_O,1,9)*12*N(INDEX(Dot_O,30,9))*IF(INDEX(Per_Mon,30)="PYG",1/INDEX(TC_O,1,9)*(1+P_dTC),1),N(INDEX(Sal_V,30))*INDEX(IdxSal_V,1,9)*12*N(INDEX(Dot_V,30,9))*IF(INDEX(Per_Mon,30)="PYG",1/INDEX(TC_V,1,9)*(1+V_dTC),1))</f>
        <v>0</v>
      </c>
      <c r="N69" s="48" t="n">
        <f aca="false">IF(cu_P=1,N(INDEX(Sal_O,30))*INDEX(IdxSal_O,1,10)*12*N(INDEX(Dot_O,30,10))*IF(INDEX(Per_Mon,30)="PYG",1/INDEX(TC_O,1,10)*(1+P_dTC),1),N(INDEX(Sal_V,30))*INDEX(IdxSal_V,1,10)*12*N(INDEX(Dot_V,30,10))*IF(INDEX(Per_Mon,30)="PYG",1/INDEX(TC_V,1,10)*(1+V_dTC),1))</f>
        <v>0</v>
      </c>
      <c r="O69" s="54" t="n">
        <f aca="false">SUM(D69:N69)</f>
        <v>0</v>
      </c>
    </row>
    <row r="70" customFormat="false" ht="15" hidden="false" customHeight="false" outlineLevel="0" collapsed="false">
      <c r="A70" s="13"/>
      <c r="B70" s="100" t="s">
        <v>2973</v>
      </c>
      <c r="C70" s="13"/>
      <c r="D70" s="13"/>
      <c r="E70" s="13"/>
      <c r="F70" s="13"/>
      <c r="G70" s="13"/>
      <c r="H70" s="13"/>
      <c r="I70" s="13"/>
      <c r="J70" s="13"/>
      <c r="K70" s="13"/>
      <c r="L70" s="13"/>
      <c r="M70" s="13"/>
      <c r="N70" s="13"/>
      <c r="O70" s="13"/>
    </row>
    <row r="71" customFormat="false" ht="15" hidden="false" customHeight="false" outlineLevel="0" collapsed="false">
      <c r="A71" s="11" t="s">
        <v>2974</v>
      </c>
      <c r="B71" s="15" t="s">
        <v>2975</v>
      </c>
      <c r="C71" s="11" t="s">
        <v>853</v>
      </c>
      <c r="D71" s="50" t="n">
        <f aca="false">IF(cu_P=1,IF(SUM(Calculo!$F$16:$ES$16)=0,0,SUMIFS(Calculo!$F$77:$ES$77,Calculo!$F$16:$ES$16,1)/SUM(Calculo!$F$16:$ES$16)),IF(SUM(Calculo!$F$172:$ES$172)=0,0,SUMIFS(Calculo!$F$233:$ES$233,Calculo!$F$172:$ES$172,1)/SUM(Calculo!$F$172:$ES$172)))</f>
        <v>0</v>
      </c>
      <c r="E71" s="50" t="n">
        <f aca="false">IF(cu_P=1,IF(COUNTIFS(Calculo!$F$14:$ES$14,1)=0,0,SUMIFS(Calculo!$F$77:$ES$77,Calculo!$F$14:$ES$14,1)/COUNTIFS(Calculo!$F$14:$ES$14,1)),IF(COUNTIFS(Calculo!$F$170:$ES$170,1)=0,0,SUMIFS(Calculo!$F$233:$ES$233,Calculo!$F$170:$ES$170,1)/COUNTIFS(Calculo!$F$170:$ES$170,1)))</f>
        <v>43</v>
      </c>
      <c r="F71" s="50" t="n">
        <f aca="false">IF(cu_P=1,IF(COUNTIFS(Calculo!$F$14:$ES$14,2)=0,0,SUMIFS(Calculo!$F$77:$ES$77,Calculo!$F$14:$ES$14,2)/COUNTIFS(Calculo!$F$14:$ES$14,2)),IF(COUNTIFS(Calculo!$F$170:$ES$170,2)=0,0,SUMIFS(Calculo!$F$233:$ES$233,Calculo!$F$170:$ES$170,2)/COUNTIFS(Calculo!$F$170:$ES$170,2)))</f>
        <v>43</v>
      </c>
      <c r="G71" s="50" t="n">
        <f aca="false">IF(cu_P=1,IF(COUNTIFS(Calculo!$F$14:$ES$14,3)=0,0,SUMIFS(Calculo!$F$77:$ES$77,Calculo!$F$14:$ES$14,3)/COUNTIFS(Calculo!$F$14:$ES$14,3)),IF(COUNTIFS(Calculo!$F$170:$ES$170,3)=0,0,SUMIFS(Calculo!$F$233:$ES$233,Calculo!$F$170:$ES$170,3)/COUNTIFS(Calculo!$F$170:$ES$170,3)))</f>
        <v>46</v>
      </c>
      <c r="H71" s="50" t="n">
        <f aca="false">IF(cu_P=1,IF(COUNTIFS(Calculo!$F$14:$ES$14,4)=0,0,SUMIFS(Calculo!$F$77:$ES$77,Calculo!$F$14:$ES$14,4)/COUNTIFS(Calculo!$F$14:$ES$14,4)),IF(COUNTIFS(Calculo!$F$170:$ES$170,4)=0,0,SUMIFS(Calculo!$F$233:$ES$233,Calculo!$F$170:$ES$170,4)/COUNTIFS(Calculo!$F$170:$ES$170,4)))</f>
        <v>49</v>
      </c>
      <c r="I71" s="50" t="n">
        <f aca="false">IF(cu_P=1,IF(COUNTIFS(Calculo!$F$14:$ES$14,5)=0,0,SUMIFS(Calculo!$F$77:$ES$77,Calculo!$F$14:$ES$14,5)/COUNTIFS(Calculo!$F$14:$ES$14,5)),IF(COUNTIFS(Calculo!$F$170:$ES$170,5)=0,0,SUMIFS(Calculo!$F$233:$ES$233,Calculo!$F$170:$ES$170,5)/COUNTIFS(Calculo!$F$170:$ES$170,5)))</f>
        <v>52</v>
      </c>
      <c r="J71" s="50" t="n">
        <f aca="false">IF(cu_P=1,IF(COUNTIFS(Calculo!$F$14:$ES$14,6)=0,0,SUMIFS(Calculo!$F$77:$ES$77,Calculo!$F$14:$ES$14,6)/COUNTIFS(Calculo!$F$14:$ES$14,6)),IF(COUNTIFS(Calculo!$F$170:$ES$170,6)=0,0,SUMIFS(Calculo!$F$233:$ES$233,Calculo!$F$170:$ES$170,6)/COUNTIFS(Calculo!$F$170:$ES$170,6)))</f>
        <v>52</v>
      </c>
      <c r="K71" s="50" t="n">
        <f aca="false">IF(cu_P=1,IF(COUNTIFS(Calculo!$F$14:$ES$14,7)=0,0,SUMIFS(Calculo!$F$77:$ES$77,Calculo!$F$14:$ES$14,7)/COUNTIFS(Calculo!$F$14:$ES$14,7)),IF(COUNTIFS(Calculo!$F$170:$ES$170,7)=0,0,SUMIFS(Calculo!$F$233:$ES$233,Calculo!$F$170:$ES$170,7)/COUNTIFS(Calculo!$F$170:$ES$170,7)))</f>
        <v>52</v>
      </c>
      <c r="L71" s="50" t="n">
        <f aca="false">IF(cu_P=1,IF(COUNTIFS(Calculo!$F$14:$ES$14,8)=0,0,SUMIFS(Calculo!$F$77:$ES$77,Calculo!$F$14:$ES$14,8)/COUNTIFS(Calculo!$F$14:$ES$14,8)),IF(COUNTIFS(Calculo!$F$170:$ES$170,8)=0,0,SUMIFS(Calculo!$F$233:$ES$233,Calculo!$F$170:$ES$170,8)/COUNTIFS(Calculo!$F$170:$ES$170,8)))</f>
        <v>52</v>
      </c>
      <c r="M71" s="50" t="n">
        <f aca="false">IF(cu_P=1,IF(COUNTIFS(Calculo!$F$14:$ES$14,9)=0,0,SUMIFS(Calculo!$F$77:$ES$77,Calculo!$F$14:$ES$14,9)/COUNTIFS(Calculo!$F$14:$ES$14,9)),IF(COUNTIFS(Calculo!$F$170:$ES$170,9)=0,0,SUMIFS(Calculo!$F$233:$ES$233,Calculo!$F$170:$ES$170,9)/COUNTIFS(Calculo!$F$170:$ES$170,9)))</f>
        <v>52</v>
      </c>
      <c r="N71" s="50" t="n">
        <f aca="false">IF(cu_P=1,IF(COUNTIFS(Calculo!$F$14:$ES$14,10)=0,0,SUMIFS(Calculo!$F$77:$ES$77,Calculo!$F$14:$ES$14,10)/COUNTIFS(Calculo!$F$14:$ES$14,10)),IF(COUNTIFS(Calculo!$F$170:$ES$170,10)=0,0,SUMIFS(Calculo!$F$233:$ES$233,Calculo!$F$170:$ES$170,10)/COUNTIFS(Calculo!$F$170:$ES$170,10)))</f>
        <v>52</v>
      </c>
    </row>
    <row r="72" customFormat="false" ht="15" hidden="false" customHeight="false" outlineLevel="0" collapsed="false">
      <c r="A72" s="11" t="s">
        <v>2976</v>
      </c>
      <c r="B72" s="15" t="s">
        <v>2977</v>
      </c>
      <c r="C72" s="11" t="s">
        <v>853</v>
      </c>
      <c r="D72" s="50" t="n">
        <f aca="false">IF(cu_P=1,IF(SUM(Calculo!$F$16:$ES$16)=0,0,SUMIFS(Calculo!$F$79:$ES$79,Calculo!$F$16:$ES$16,1)/SUM(Calculo!$F$16:$ES$16)),IF(SUM(Calculo!$F$172:$ES$172)=0,0,SUMIFS(Calculo!$F$235:$ES$235,Calculo!$F$172:$ES$172,1)/SUM(Calculo!$F$172:$ES$172)))</f>
        <v>0</v>
      </c>
      <c r="E72" s="50" t="n">
        <f aca="false">IF(cu_P=1,IF(COUNTIFS(Calculo!$F$14:$ES$14,1)=0,0,SUMIFS(Calculo!$F$79:$ES$79,Calculo!$F$14:$ES$14,1)/COUNTIFS(Calculo!$F$14:$ES$14,1)),IF(COUNTIFS(Calculo!$F$170:$ES$170,1)=0,0,SUMIFS(Calculo!$F$235:$ES$235,Calculo!$F$170:$ES$170,1)/COUNTIFS(Calculo!$F$170:$ES$170,1)))</f>
        <v>17</v>
      </c>
      <c r="F72" s="50" t="n">
        <f aca="false">IF(cu_P=1,IF(COUNTIFS(Calculo!$F$14:$ES$14,2)=0,0,SUMIFS(Calculo!$F$79:$ES$79,Calculo!$F$14:$ES$14,2)/COUNTIFS(Calculo!$F$14:$ES$14,2)),IF(COUNTIFS(Calculo!$F$170:$ES$170,2)=0,0,SUMIFS(Calculo!$F$235:$ES$235,Calculo!$F$170:$ES$170,2)/COUNTIFS(Calculo!$F$170:$ES$170,2)))</f>
        <v>17</v>
      </c>
      <c r="G72" s="50" t="n">
        <f aca="false">IF(cu_P=1,IF(COUNTIFS(Calculo!$F$14:$ES$14,3)=0,0,SUMIFS(Calculo!$F$79:$ES$79,Calculo!$F$14:$ES$14,3)/COUNTIFS(Calculo!$F$14:$ES$14,3)),IF(COUNTIFS(Calculo!$F$170:$ES$170,3)=0,0,SUMIFS(Calculo!$F$235:$ES$235,Calculo!$F$170:$ES$170,3)/COUNTIFS(Calculo!$F$170:$ES$170,3)))</f>
        <v>17</v>
      </c>
      <c r="H72" s="50" t="n">
        <f aca="false">IF(cu_P=1,IF(COUNTIFS(Calculo!$F$14:$ES$14,4)=0,0,SUMIFS(Calculo!$F$79:$ES$79,Calculo!$F$14:$ES$14,4)/COUNTIFS(Calculo!$F$14:$ES$14,4)),IF(COUNTIFS(Calculo!$F$170:$ES$170,4)=0,0,SUMIFS(Calculo!$F$235:$ES$235,Calculo!$F$170:$ES$170,4)/COUNTIFS(Calculo!$F$170:$ES$170,4)))</f>
        <v>17</v>
      </c>
      <c r="I72" s="50" t="n">
        <f aca="false">IF(cu_P=1,IF(COUNTIFS(Calculo!$F$14:$ES$14,5)=0,0,SUMIFS(Calculo!$F$79:$ES$79,Calculo!$F$14:$ES$14,5)/COUNTIFS(Calculo!$F$14:$ES$14,5)),IF(COUNTIFS(Calculo!$F$170:$ES$170,5)=0,0,SUMIFS(Calculo!$F$235:$ES$235,Calculo!$F$170:$ES$170,5)/COUNTIFS(Calculo!$F$170:$ES$170,5)))</f>
        <v>17</v>
      </c>
      <c r="J72" s="50" t="n">
        <f aca="false">IF(cu_P=1,IF(COUNTIFS(Calculo!$F$14:$ES$14,6)=0,0,SUMIFS(Calculo!$F$79:$ES$79,Calculo!$F$14:$ES$14,6)/COUNTIFS(Calculo!$F$14:$ES$14,6)),IF(COUNTIFS(Calculo!$F$170:$ES$170,6)=0,0,SUMIFS(Calculo!$F$235:$ES$235,Calculo!$F$170:$ES$170,6)/COUNTIFS(Calculo!$F$170:$ES$170,6)))</f>
        <v>17</v>
      </c>
      <c r="K72" s="50" t="n">
        <f aca="false">IF(cu_P=1,IF(COUNTIFS(Calculo!$F$14:$ES$14,7)=0,0,SUMIFS(Calculo!$F$79:$ES$79,Calculo!$F$14:$ES$14,7)/COUNTIFS(Calculo!$F$14:$ES$14,7)),IF(COUNTIFS(Calculo!$F$170:$ES$170,7)=0,0,SUMIFS(Calculo!$F$235:$ES$235,Calculo!$F$170:$ES$170,7)/COUNTIFS(Calculo!$F$170:$ES$170,7)))</f>
        <v>17</v>
      </c>
      <c r="L72" s="50" t="n">
        <f aca="false">IF(cu_P=1,IF(COUNTIFS(Calculo!$F$14:$ES$14,8)=0,0,SUMIFS(Calculo!$F$79:$ES$79,Calculo!$F$14:$ES$14,8)/COUNTIFS(Calculo!$F$14:$ES$14,8)),IF(COUNTIFS(Calculo!$F$170:$ES$170,8)=0,0,SUMIFS(Calculo!$F$235:$ES$235,Calculo!$F$170:$ES$170,8)/COUNTIFS(Calculo!$F$170:$ES$170,8)))</f>
        <v>17</v>
      </c>
      <c r="M72" s="50" t="n">
        <f aca="false">IF(cu_P=1,IF(COUNTIFS(Calculo!$F$14:$ES$14,9)=0,0,SUMIFS(Calculo!$F$79:$ES$79,Calculo!$F$14:$ES$14,9)/COUNTIFS(Calculo!$F$14:$ES$14,9)),IF(COUNTIFS(Calculo!$F$170:$ES$170,9)=0,0,SUMIFS(Calculo!$F$235:$ES$235,Calculo!$F$170:$ES$170,9)/COUNTIFS(Calculo!$F$170:$ES$170,9)))</f>
        <v>17</v>
      </c>
      <c r="N72" s="50" t="n">
        <f aca="false">IF(cu_P=1,IF(COUNTIFS(Calculo!$F$14:$ES$14,10)=0,0,SUMIFS(Calculo!$F$79:$ES$79,Calculo!$F$14:$ES$14,10)/COUNTIFS(Calculo!$F$14:$ES$14,10)),IF(COUNTIFS(Calculo!$F$170:$ES$170,10)=0,0,SUMIFS(Calculo!$F$235:$ES$235,Calculo!$F$170:$ES$170,10)/COUNTIFS(Calculo!$F$170:$ES$170,10)))</f>
        <v>17</v>
      </c>
    </row>
    <row r="73" customFormat="false" ht="15" hidden="false" customHeight="false" outlineLevel="0" collapsed="false">
      <c r="A73" s="11" t="s">
        <v>2978</v>
      </c>
      <c r="B73" s="15" t="s">
        <v>2979</v>
      </c>
      <c r="C73" s="11" t="s">
        <v>853</v>
      </c>
      <c r="D73" s="50" t="n">
        <f aca="false">IF(cu_P=1,IF(SUM(Calculo!$F$16:$ES$16)=0,0,SUMIFS(Calculo!$F$81:$ES$81,Calculo!$F$16:$ES$16,1)/SUM(Calculo!$F$16:$ES$16)),IF(SUM(Calculo!$F$172:$ES$172)=0,0,SUMIFS(Calculo!$F$237:$ES$237,Calculo!$F$172:$ES$172,1)/SUM(Calculo!$F$172:$ES$172)))</f>
        <v>0</v>
      </c>
      <c r="E73" s="50" t="n">
        <f aca="false">IF(cu_P=1,IF(COUNTIFS(Calculo!$F$14:$ES$14,1)=0,0,SUMIFS(Calculo!$F$81:$ES$81,Calculo!$F$14:$ES$14,1)/COUNTIFS(Calculo!$F$14:$ES$14,1)),IF(COUNTIFS(Calculo!$F$170:$ES$170,1)=0,0,SUMIFS(Calculo!$F$237:$ES$237,Calculo!$F$170:$ES$170,1)/COUNTIFS(Calculo!$F$170:$ES$170,1)))</f>
        <v>5</v>
      </c>
      <c r="F73" s="50" t="n">
        <f aca="false">IF(cu_P=1,IF(COUNTIFS(Calculo!$F$14:$ES$14,2)=0,0,SUMIFS(Calculo!$F$81:$ES$81,Calculo!$F$14:$ES$14,2)/COUNTIFS(Calculo!$F$14:$ES$14,2)),IF(COUNTIFS(Calculo!$F$170:$ES$170,2)=0,0,SUMIFS(Calculo!$F$237:$ES$237,Calculo!$F$170:$ES$170,2)/COUNTIFS(Calculo!$F$170:$ES$170,2)))</f>
        <v>5</v>
      </c>
      <c r="G73" s="50" t="n">
        <f aca="false">IF(cu_P=1,IF(COUNTIFS(Calculo!$F$14:$ES$14,3)=0,0,SUMIFS(Calculo!$F$81:$ES$81,Calculo!$F$14:$ES$14,3)/COUNTIFS(Calculo!$F$14:$ES$14,3)),IF(COUNTIFS(Calculo!$F$170:$ES$170,3)=0,0,SUMIFS(Calculo!$F$237:$ES$237,Calculo!$F$170:$ES$170,3)/COUNTIFS(Calculo!$F$170:$ES$170,3)))</f>
        <v>5</v>
      </c>
      <c r="H73" s="50" t="n">
        <f aca="false">IF(cu_P=1,IF(COUNTIFS(Calculo!$F$14:$ES$14,4)=0,0,SUMIFS(Calculo!$F$81:$ES$81,Calculo!$F$14:$ES$14,4)/COUNTIFS(Calculo!$F$14:$ES$14,4)),IF(COUNTIFS(Calculo!$F$170:$ES$170,4)=0,0,SUMIFS(Calculo!$F$237:$ES$237,Calculo!$F$170:$ES$170,4)/COUNTIFS(Calculo!$F$170:$ES$170,4)))</f>
        <v>5</v>
      </c>
      <c r="I73" s="50" t="n">
        <f aca="false">IF(cu_P=1,IF(COUNTIFS(Calculo!$F$14:$ES$14,5)=0,0,SUMIFS(Calculo!$F$81:$ES$81,Calculo!$F$14:$ES$14,5)/COUNTIFS(Calculo!$F$14:$ES$14,5)),IF(COUNTIFS(Calculo!$F$170:$ES$170,5)=0,0,SUMIFS(Calculo!$F$237:$ES$237,Calculo!$F$170:$ES$170,5)/COUNTIFS(Calculo!$F$170:$ES$170,5)))</f>
        <v>5</v>
      </c>
      <c r="J73" s="50" t="n">
        <f aca="false">IF(cu_P=1,IF(COUNTIFS(Calculo!$F$14:$ES$14,6)=0,0,SUMIFS(Calculo!$F$81:$ES$81,Calculo!$F$14:$ES$14,6)/COUNTIFS(Calculo!$F$14:$ES$14,6)),IF(COUNTIFS(Calculo!$F$170:$ES$170,6)=0,0,SUMIFS(Calculo!$F$237:$ES$237,Calculo!$F$170:$ES$170,6)/COUNTIFS(Calculo!$F$170:$ES$170,6)))</f>
        <v>5</v>
      </c>
      <c r="K73" s="50" t="n">
        <f aca="false">IF(cu_P=1,IF(COUNTIFS(Calculo!$F$14:$ES$14,7)=0,0,SUMIFS(Calculo!$F$81:$ES$81,Calculo!$F$14:$ES$14,7)/COUNTIFS(Calculo!$F$14:$ES$14,7)),IF(COUNTIFS(Calculo!$F$170:$ES$170,7)=0,0,SUMIFS(Calculo!$F$237:$ES$237,Calculo!$F$170:$ES$170,7)/COUNTIFS(Calculo!$F$170:$ES$170,7)))</f>
        <v>5</v>
      </c>
      <c r="L73" s="50" t="n">
        <f aca="false">IF(cu_P=1,IF(COUNTIFS(Calculo!$F$14:$ES$14,8)=0,0,SUMIFS(Calculo!$F$81:$ES$81,Calculo!$F$14:$ES$14,8)/COUNTIFS(Calculo!$F$14:$ES$14,8)),IF(COUNTIFS(Calculo!$F$170:$ES$170,8)=0,0,SUMIFS(Calculo!$F$237:$ES$237,Calculo!$F$170:$ES$170,8)/COUNTIFS(Calculo!$F$170:$ES$170,8)))</f>
        <v>5</v>
      </c>
      <c r="M73" s="50" t="n">
        <f aca="false">IF(cu_P=1,IF(COUNTIFS(Calculo!$F$14:$ES$14,9)=0,0,SUMIFS(Calculo!$F$81:$ES$81,Calculo!$F$14:$ES$14,9)/COUNTIFS(Calculo!$F$14:$ES$14,9)),IF(COUNTIFS(Calculo!$F$170:$ES$170,9)=0,0,SUMIFS(Calculo!$F$237:$ES$237,Calculo!$F$170:$ES$170,9)/COUNTIFS(Calculo!$F$170:$ES$170,9)))</f>
        <v>5</v>
      </c>
      <c r="N73" s="50" t="n">
        <f aca="false">IF(cu_P=1,IF(COUNTIFS(Calculo!$F$14:$ES$14,10)=0,0,SUMIFS(Calculo!$F$81:$ES$81,Calculo!$F$14:$ES$14,10)/COUNTIFS(Calculo!$F$14:$ES$14,10)),IF(COUNTIFS(Calculo!$F$170:$ES$170,10)=0,0,SUMIFS(Calculo!$F$237:$ES$237,Calculo!$F$170:$ES$170,10)/COUNTIFS(Calculo!$F$170:$ES$170,10)))</f>
        <v>5</v>
      </c>
    </row>
    <row r="74" customFormat="false" ht="15" hidden="false" customHeight="false" outlineLevel="0" collapsed="false">
      <c r="A74" s="11" t="s">
        <v>2980</v>
      </c>
      <c r="B74" s="15" t="s">
        <v>2981</v>
      </c>
      <c r="C74" s="11" t="s">
        <v>853</v>
      </c>
      <c r="D74" s="50" t="n">
        <f aca="false">IFERROR(IF(COUNT(D72,D73)=0,"",N(D72)+N(D73)),"")</f>
        <v>0</v>
      </c>
      <c r="E74" s="50" t="n">
        <f aca="false">IFERROR(IF(COUNT(E72,E73)=0,"",N(E72)+N(E73)),"")</f>
        <v>22</v>
      </c>
      <c r="F74" s="50" t="n">
        <f aca="false">IFERROR(IF(COUNT(F72,F73)=0,"",N(F72)+N(F73)),"")</f>
        <v>22</v>
      </c>
      <c r="G74" s="50" t="n">
        <f aca="false">IFERROR(IF(COUNT(G72,G73)=0,"",N(G72)+N(G73)),"")</f>
        <v>22</v>
      </c>
      <c r="H74" s="50" t="n">
        <f aca="false">IFERROR(IF(COUNT(H72,H73)=0,"",N(H72)+N(H73)),"")</f>
        <v>22</v>
      </c>
      <c r="I74" s="50" t="n">
        <f aca="false">IFERROR(IF(COUNT(I72,I73)=0,"",N(I72)+N(I73)),"")</f>
        <v>22</v>
      </c>
      <c r="J74" s="50" t="n">
        <f aca="false">IFERROR(IF(COUNT(J72,J73)=0,"",N(J72)+N(J73)),"")</f>
        <v>22</v>
      </c>
      <c r="K74" s="50" t="n">
        <f aca="false">IFERROR(IF(COUNT(K72,K73)=0,"",N(K72)+N(K73)),"")</f>
        <v>22</v>
      </c>
      <c r="L74" s="50" t="n">
        <f aca="false">IFERROR(IF(COUNT(L72,L73)=0,"",N(L72)+N(L73)),"")</f>
        <v>22</v>
      </c>
      <c r="M74" s="50" t="n">
        <f aca="false">IFERROR(IF(COUNT(M72,M73)=0,"",N(M72)+N(M73)),"")</f>
        <v>22</v>
      </c>
      <c r="N74" s="50" t="n">
        <f aca="false">IFERROR(IF(COUNT(N72,N73)=0,"",N(N72)+N(N73)),"")</f>
        <v>22</v>
      </c>
    </row>
    <row r="75" customFormat="false" ht="15" hidden="false" customHeight="false" outlineLevel="0" collapsed="false">
      <c r="A75" s="11" t="s">
        <v>2982</v>
      </c>
      <c r="B75" s="67" t="s">
        <v>2983</v>
      </c>
      <c r="C75" s="11" t="s">
        <v>853</v>
      </c>
      <c r="D75" s="68" t="n">
        <f aca="false">IFERROR(IF(COUNT(D71,D72,D73)=0,"",N(D71)+N(D72)+N(D73)),"")</f>
        <v>0</v>
      </c>
      <c r="E75" s="68" t="n">
        <f aca="false">IFERROR(IF(COUNT(E71,E72,E73)=0,"",N(E71)+N(E72)+N(E73)),"")</f>
        <v>65</v>
      </c>
      <c r="F75" s="68" t="n">
        <f aca="false">IFERROR(IF(COUNT(F71,F72,F73)=0,"",N(F71)+N(F72)+N(F73)),"")</f>
        <v>65</v>
      </c>
      <c r="G75" s="68" t="n">
        <f aca="false">IFERROR(IF(COUNT(G71,G72,G73)=0,"",N(G71)+N(G72)+N(G73)),"")</f>
        <v>68</v>
      </c>
      <c r="H75" s="68" t="n">
        <f aca="false">IFERROR(IF(COUNT(H71,H72,H73)=0,"",N(H71)+N(H72)+N(H73)),"")</f>
        <v>71</v>
      </c>
      <c r="I75" s="68" t="n">
        <f aca="false">IFERROR(IF(COUNT(I71,I72,I73)=0,"",N(I71)+N(I72)+N(I73)),"")</f>
        <v>74</v>
      </c>
      <c r="J75" s="68" t="n">
        <f aca="false">IFERROR(IF(COUNT(J71,J72,J73)=0,"",N(J71)+N(J72)+N(J73)),"")</f>
        <v>74</v>
      </c>
      <c r="K75" s="68" t="n">
        <f aca="false">IFERROR(IF(COUNT(K71,K72,K73)=0,"",N(K71)+N(K72)+N(K73)),"")</f>
        <v>74</v>
      </c>
      <c r="L75" s="68" t="n">
        <f aca="false">IFERROR(IF(COUNT(L71,L72,L73)=0,"",N(L71)+N(L72)+N(L73)),"")</f>
        <v>74</v>
      </c>
      <c r="M75" s="68" t="n">
        <f aca="false">IFERROR(IF(COUNT(M71,M72,M73)=0,"",N(M71)+N(M72)+N(M73)),"")</f>
        <v>74</v>
      </c>
      <c r="N75" s="68" t="n">
        <f aca="false">IFERROR(IF(COUNT(N71,N72,N73)=0,"",N(N71)+N(N72)+N(N73)),"")</f>
        <v>74</v>
      </c>
    </row>
    <row r="76" customFormat="false" ht="15" hidden="false" customHeight="false" outlineLevel="0" collapsed="false">
      <c r="A76" s="11" t="s">
        <v>2984</v>
      </c>
      <c r="B76" s="15" t="s">
        <v>2985</v>
      </c>
      <c r="C76" s="11" t="s">
        <v>508</v>
      </c>
      <c r="D76" s="48" t="n">
        <f aca="false">IF(cu_P=1,((SUMIFS(Calculo!$F$78:$ES$78,Calculo!$F$16:$ES$16,1))-SUMPRODUCT((Calculo!$F$16:$ES$16=1)*Calculo!$F$77:$ES$77*Calculo!$F$19:$ES$19)*P_Alim)/(1+P_Cargas),((SUMIFS(Calculo!$F$234:$ES$234,Calculo!$F$172:$ES$172,1))-SUMPRODUCT((Calculo!$F$172:$ES$172=1)*Calculo!$F$233:$ES$233*Calculo!$F$175:$ES$175)*V_Alim)/(1+V_Cargas))</f>
        <v>0</v>
      </c>
      <c r="E76" s="48" t="n">
        <f aca="false">IF(cu_P=1,((SUMIFS(Calculo!$F$78:$ES$78,Calculo!$F$14:$ES$14,1))-SUMPRODUCT((Calculo!$F$14:$ES$14=1)*Calculo!$F$77:$ES$77*Calculo!$F$19:$ES$19)*P_Alim)/(1+P_Cargas),((SUMIFS(Calculo!$F$234:$ES$234,Calculo!$F$170:$ES$170,1))-SUMPRODUCT((Calculo!$F$170:$ES$170=1)*Calculo!$F$233:$ES$233*Calculo!$F$175:$ES$175)*V_Alim)/(1+V_Cargas))</f>
        <v>245126.975342466</v>
      </c>
      <c r="F76" s="48" t="n">
        <f aca="false">IF(cu_P=1,((SUMIFS(Calculo!$F$78:$ES$78,Calculo!$F$14:$ES$14,2))-SUMPRODUCT((Calculo!$F$14:$ES$14=2)*Calculo!$F$77:$ES$77*Calculo!$F$19:$ES$19)*P_Alim)/(1+P_Cargas),((SUMIFS(Calculo!$F$234:$ES$234,Calculo!$F$170:$ES$170,2))-SUMPRODUCT((Calculo!$F$170:$ES$170=2)*Calculo!$F$233:$ES$233*Calculo!$F$175:$ES$175)*V_Alim)/(1+V_Cargas))</f>
        <v>245126.975342466</v>
      </c>
      <c r="G76" s="48" t="n">
        <f aca="false">IF(cu_P=1,((SUMIFS(Calculo!$F$78:$ES$78,Calculo!$F$14:$ES$14,3))-SUMPRODUCT((Calculo!$F$14:$ES$14=3)*Calculo!$F$77:$ES$77*Calculo!$F$19:$ES$19)*P_Alim)/(1+P_Cargas),((SUMIFS(Calculo!$F$234:$ES$234,Calculo!$F$170:$ES$170,3))-SUMPRODUCT((Calculo!$F$170:$ES$170=3)*Calculo!$F$233:$ES$233*Calculo!$F$175:$ES$175)*V_Alim)/(1+V_Cargas))</f>
        <v>265327.175342466</v>
      </c>
      <c r="H76" s="48" t="n">
        <f aca="false">IF(cu_P=1,((SUMIFS(Calculo!$F$78:$ES$78,Calculo!$F$14:$ES$14,4))-SUMPRODUCT((Calculo!$F$14:$ES$14=4)*Calculo!$F$77:$ES$77*Calculo!$F$19:$ES$19)*P_Alim)/(1+P_Cargas),((SUMIFS(Calculo!$F$234:$ES$234,Calculo!$F$170:$ES$170,4))-SUMPRODUCT((Calculo!$F$170:$ES$170=4)*Calculo!$F$233:$ES$233*Calculo!$F$175:$ES$175)*V_Alim)/(1+V_Cargas))</f>
        <v>281107.370958904</v>
      </c>
      <c r="I76" s="48" t="n">
        <f aca="false">IF(cu_P=1,((SUMIFS(Calculo!$F$78:$ES$78,Calculo!$F$14:$ES$14,5))-SUMPRODUCT((Calculo!$F$14:$ES$14=5)*Calculo!$F$77:$ES$77*Calculo!$F$19:$ES$19)*P_Alim)/(1+P_Cargas),((SUMIFS(Calculo!$F$234:$ES$234,Calculo!$F$170:$ES$170,5))-SUMPRODUCT((Calculo!$F$170:$ES$170=5)*Calculo!$F$233:$ES$233*Calculo!$F$175:$ES$175)*V_Alim)/(1+V_Cargas))</f>
        <v>300784.428493151</v>
      </c>
      <c r="J76" s="48" t="n">
        <f aca="false">IF(cu_P=1,((SUMIFS(Calculo!$F$78:$ES$78,Calculo!$F$14:$ES$14,6))-SUMPRODUCT((Calculo!$F$14:$ES$14=6)*Calculo!$F$77:$ES$77*Calculo!$F$19:$ES$19)*P_Alim)/(1+P_Cargas),((SUMIFS(Calculo!$F$234:$ES$234,Calculo!$F$170:$ES$170,6))-SUMPRODUCT((Calculo!$F$170:$ES$170=6)*Calculo!$F$233:$ES$233*Calculo!$F$175:$ES$175)*V_Alim)/(1+V_Cargas))</f>
        <v>300784.428493151</v>
      </c>
      <c r="K76" s="48" t="n">
        <f aca="false">IF(cu_P=1,((SUMIFS(Calculo!$F$78:$ES$78,Calculo!$F$14:$ES$14,7))-SUMPRODUCT((Calculo!$F$14:$ES$14=7)*Calculo!$F$77:$ES$77*Calculo!$F$19:$ES$19)*P_Alim)/(1+P_Cargas),((SUMIFS(Calculo!$F$234:$ES$234,Calculo!$F$170:$ES$170,7))-SUMPRODUCT((Calculo!$F$170:$ES$170=7)*Calculo!$F$233:$ES$233*Calculo!$F$175:$ES$175)*V_Alim)/(1+V_Cargas))</f>
        <v>300784.428493151</v>
      </c>
      <c r="L76" s="48" t="n">
        <f aca="false">IF(cu_P=1,((SUMIFS(Calculo!$F$78:$ES$78,Calculo!$F$14:$ES$14,8))-SUMPRODUCT((Calculo!$F$14:$ES$14=8)*Calculo!$F$77:$ES$77*Calculo!$F$19:$ES$19)*P_Alim)/(1+P_Cargas),((SUMIFS(Calculo!$F$234:$ES$234,Calculo!$F$170:$ES$170,8))-SUMPRODUCT((Calculo!$F$170:$ES$170=8)*Calculo!$F$233:$ES$233*Calculo!$F$175:$ES$175)*V_Alim)/(1+V_Cargas))</f>
        <v>300784.428493151</v>
      </c>
      <c r="M76" s="48" t="n">
        <f aca="false">IF(cu_P=1,((SUMIFS(Calculo!$F$78:$ES$78,Calculo!$F$14:$ES$14,9))-SUMPRODUCT((Calculo!$F$14:$ES$14=9)*Calculo!$F$77:$ES$77*Calculo!$F$19:$ES$19)*P_Alim)/(1+P_Cargas),((SUMIFS(Calculo!$F$234:$ES$234,Calculo!$F$170:$ES$170,9))-SUMPRODUCT((Calculo!$F$170:$ES$170=9)*Calculo!$F$233:$ES$233*Calculo!$F$175:$ES$175)*V_Alim)/(1+V_Cargas))</f>
        <v>300784.428493151</v>
      </c>
      <c r="N76" s="48" t="n">
        <f aca="false">IF(cu_P=1,((SUMIFS(Calculo!$F$78:$ES$78,Calculo!$F$14:$ES$14,10))-SUMPRODUCT((Calculo!$F$14:$ES$14=10)*Calculo!$F$77:$ES$77*Calculo!$F$19:$ES$19)*P_Alim)/(1+P_Cargas),((SUMIFS(Calculo!$F$234:$ES$234,Calculo!$F$170:$ES$170,10))-SUMPRODUCT((Calculo!$F$170:$ES$170=10)*Calculo!$F$233:$ES$233*Calculo!$F$175:$ES$175)*V_Alim)/(1+V_Cargas))</f>
        <v>300784.428493151</v>
      </c>
      <c r="O76" s="54" t="n">
        <f aca="false">SUM(D76:N76)</f>
        <v>2841395.06794521</v>
      </c>
    </row>
    <row r="77" customFormat="false" ht="15" hidden="false" customHeight="false" outlineLevel="0" collapsed="false">
      <c r="A77" s="11" t="s">
        <v>2986</v>
      </c>
      <c r="B77" s="15" t="s">
        <v>2987</v>
      </c>
      <c r="C77" s="11" t="s">
        <v>508</v>
      </c>
      <c r="D77" s="48" t="n">
        <f aca="false">IF(cu_P=1,((SUMIFS(Calculo!$F$80:$ES$80,Calculo!$F$16:$ES$16,1))-SUMPRODUCT((Calculo!$F$16:$ES$16=1)*Calculo!$F$79:$ES$79*Calculo!$F$19:$ES$19)*P_Alim)/(1+P_Cargas),((SUMIFS(Calculo!$F$236:$ES$236,Calculo!$F$172:$ES$172,1))-SUMPRODUCT((Calculo!$F$172:$ES$172=1)*Calculo!$F$235:$ES$235*Calculo!$F$175:$ES$175)*V_Alim)/(1+V_Cargas))</f>
        <v>0</v>
      </c>
      <c r="E77" s="48" t="n">
        <f aca="false">IF(cu_P=1,((SUMIFS(Calculo!$F$80:$ES$80,Calculo!$F$14:$ES$14,1))-SUMPRODUCT((Calculo!$F$14:$ES$14=1)*Calculo!$F$79:$ES$79*Calculo!$F$19:$ES$19)*P_Alim)/(1+P_Cargas),((SUMIFS(Calculo!$F$236:$ES$236,Calculo!$F$170:$ES$170,1))-SUMPRODUCT((Calculo!$F$170:$ES$170=1)*Calculo!$F$235:$ES$235*Calculo!$F$175:$ES$175)*V_Alim)/(1+V_Cargas))</f>
        <v>160104.48</v>
      </c>
      <c r="F77" s="48" t="n">
        <f aca="false">IF(cu_P=1,((SUMIFS(Calculo!$F$80:$ES$80,Calculo!$F$14:$ES$14,2))-SUMPRODUCT((Calculo!$F$14:$ES$14=2)*Calculo!$F$79:$ES$79*Calculo!$F$19:$ES$19)*P_Alim)/(1+P_Cargas),((SUMIFS(Calculo!$F$236:$ES$236,Calculo!$F$170:$ES$170,2))-SUMPRODUCT((Calculo!$F$170:$ES$170=2)*Calculo!$F$235:$ES$235*Calculo!$F$175:$ES$175)*V_Alim)/(1+V_Cargas))</f>
        <v>160104.48</v>
      </c>
      <c r="G77" s="48" t="n">
        <f aca="false">IF(cu_P=1,((SUMIFS(Calculo!$F$80:$ES$80,Calculo!$F$14:$ES$14,3))-SUMPRODUCT((Calculo!$F$14:$ES$14=3)*Calculo!$F$79:$ES$79*Calculo!$F$19:$ES$19)*P_Alim)/(1+P_Cargas),((SUMIFS(Calculo!$F$236:$ES$236,Calculo!$F$170:$ES$170,3))-SUMPRODUCT((Calculo!$F$170:$ES$170=3)*Calculo!$F$235:$ES$235*Calculo!$F$175:$ES$175)*V_Alim)/(1+V_Cargas))</f>
        <v>160104.48</v>
      </c>
      <c r="H77" s="48" t="n">
        <f aca="false">IF(cu_P=1,((SUMIFS(Calculo!$F$80:$ES$80,Calculo!$F$14:$ES$14,4))-SUMPRODUCT((Calculo!$F$14:$ES$14=4)*Calculo!$F$79:$ES$79*Calculo!$F$19:$ES$19)*P_Alim)/(1+P_Cargas),((SUMIFS(Calculo!$F$236:$ES$236,Calculo!$F$170:$ES$170,4))-SUMPRODUCT((Calculo!$F$170:$ES$170=4)*Calculo!$F$235:$ES$235*Calculo!$F$175:$ES$175)*V_Alim)/(1+V_Cargas))</f>
        <v>160104.48</v>
      </c>
      <c r="I77" s="48" t="n">
        <f aca="false">IF(cu_P=1,((SUMIFS(Calculo!$F$80:$ES$80,Calculo!$F$14:$ES$14,5))-SUMPRODUCT((Calculo!$F$14:$ES$14=5)*Calculo!$F$79:$ES$79*Calculo!$F$19:$ES$19)*P_Alim)/(1+P_Cargas),((SUMIFS(Calculo!$F$236:$ES$236,Calculo!$F$170:$ES$170,5))-SUMPRODUCT((Calculo!$F$170:$ES$170=5)*Calculo!$F$235:$ES$235*Calculo!$F$175:$ES$175)*V_Alim)/(1+V_Cargas))</f>
        <v>160104.48</v>
      </c>
      <c r="J77" s="48" t="n">
        <f aca="false">IF(cu_P=1,((SUMIFS(Calculo!$F$80:$ES$80,Calculo!$F$14:$ES$14,6))-SUMPRODUCT((Calculo!$F$14:$ES$14=6)*Calculo!$F$79:$ES$79*Calculo!$F$19:$ES$19)*P_Alim)/(1+P_Cargas),((SUMIFS(Calculo!$F$236:$ES$236,Calculo!$F$170:$ES$170,6))-SUMPRODUCT((Calculo!$F$170:$ES$170=6)*Calculo!$F$235:$ES$235*Calculo!$F$175:$ES$175)*V_Alim)/(1+V_Cargas))</f>
        <v>160104.48</v>
      </c>
      <c r="K77" s="48" t="n">
        <f aca="false">IF(cu_P=1,((SUMIFS(Calculo!$F$80:$ES$80,Calculo!$F$14:$ES$14,7))-SUMPRODUCT((Calculo!$F$14:$ES$14=7)*Calculo!$F$79:$ES$79*Calculo!$F$19:$ES$19)*P_Alim)/(1+P_Cargas),((SUMIFS(Calculo!$F$236:$ES$236,Calculo!$F$170:$ES$170,7))-SUMPRODUCT((Calculo!$F$170:$ES$170=7)*Calculo!$F$235:$ES$235*Calculo!$F$175:$ES$175)*V_Alim)/(1+V_Cargas))</f>
        <v>160104.48</v>
      </c>
      <c r="L77" s="48" t="n">
        <f aca="false">IF(cu_P=1,((SUMIFS(Calculo!$F$80:$ES$80,Calculo!$F$14:$ES$14,8))-SUMPRODUCT((Calculo!$F$14:$ES$14=8)*Calculo!$F$79:$ES$79*Calculo!$F$19:$ES$19)*P_Alim)/(1+P_Cargas),((SUMIFS(Calculo!$F$236:$ES$236,Calculo!$F$170:$ES$170,8))-SUMPRODUCT((Calculo!$F$170:$ES$170=8)*Calculo!$F$235:$ES$235*Calculo!$F$175:$ES$175)*V_Alim)/(1+V_Cargas))</f>
        <v>160104.48</v>
      </c>
      <c r="M77" s="48" t="n">
        <f aca="false">IF(cu_P=1,((SUMIFS(Calculo!$F$80:$ES$80,Calculo!$F$14:$ES$14,9))-SUMPRODUCT((Calculo!$F$14:$ES$14=9)*Calculo!$F$79:$ES$79*Calculo!$F$19:$ES$19)*P_Alim)/(1+P_Cargas),((SUMIFS(Calculo!$F$236:$ES$236,Calculo!$F$170:$ES$170,9))-SUMPRODUCT((Calculo!$F$170:$ES$170=9)*Calculo!$F$235:$ES$235*Calculo!$F$175:$ES$175)*V_Alim)/(1+V_Cargas))</f>
        <v>160104.48</v>
      </c>
      <c r="N77" s="48" t="n">
        <f aca="false">IF(cu_P=1,((SUMIFS(Calculo!$F$80:$ES$80,Calculo!$F$14:$ES$14,10))-SUMPRODUCT((Calculo!$F$14:$ES$14=10)*Calculo!$F$79:$ES$79*Calculo!$F$19:$ES$19)*P_Alim)/(1+P_Cargas),((SUMIFS(Calculo!$F$236:$ES$236,Calculo!$F$170:$ES$170,10))-SUMPRODUCT((Calculo!$F$170:$ES$170=10)*Calculo!$F$235:$ES$235*Calculo!$F$175:$ES$175)*V_Alim)/(1+V_Cargas))</f>
        <v>160104.48</v>
      </c>
      <c r="O77" s="54" t="n">
        <f aca="false">SUM(D77:N77)</f>
        <v>1601044.8</v>
      </c>
    </row>
    <row r="78" customFormat="false" ht="15" hidden="false" customHeight="false" outlineLevel="0" collapsed="false">
      <c r="A78" s="11" t="s">
        <v>2988</v>
      </c>
      <c r="B78" s="15" t="s">
        <v>2989</v>
      </c>
      <c r="C78" s="11" t="s">
        <v>508</v>
      </c>
      <c r="D78" s="48" t="n">
        <f aca="false">IF(cu_P=1,((SUMIFS(Calculo!$F$82:$ES$82,Calculo!$F$16:$ES$16,1))-SUMPRODUCT((Calculo!$F$16:$ES$16=1)*Calculo!$F$81:$ES$81*Calculo!$F$19:$ES$19)*P_Alim)/(1+P_Cargas),((SUMIFS(Calculo!$F$238:$ES$238,Calculo!$F$172:$ES$172,1))-SUMPRODUCT((Calculo!$F$172:$ES$172=1)*Calculo!$F$237:$ES$237*Calculo!$F$175:$ES$175)*V_Alim)/(1+V_Cargas))</f>
        <v>0</v>
      </c>
      <c r="E78" s="48" t="n">
        <f aca="false">IF(cu_P=1,((SUMIFS(Calculo!$F$82:$ES$82,Calculo!$F$14:$ES$14,1))-SUMPRODUCT((Calculo!$F$14:$ES$14=1)*Calculo!$F$81:$ES$81*Calculo!$F$19:$ES$19)*P_Alim)/(1+P_Cargas),((SUMIFS(Calculo!$F$238:$ES$238,Calculo!$F$170:$ES$170,1))-SUMPRODUCT((Calculo!$F$170:$ES$170=1)*Calculo!$F$237:$ES$237*Calculo!$F$175:$ES$175)*V_Alim)/(1+V_Cargas))</f>
        <v>71832.8367123288</v>
      </c>
      <c r="F78" s="48" t="n">
        <f aca="false">IF(cu_P=1,((SUMIFS(Calculo!$F$82:$ES$82,Calculo!$F$14:$ES$14,2))-SUMPRODUCT((Calculo!$F$14:$ES$14=2)*Calculo!$F$81:$ES$81*Calculo!$F$19:$ES$19)*P_Alim)/(1+P_Cargas),((SUMIFS(Calculo!$F$238:$ES$238,Calculo!$F$170:$ES$170,2))-SUMPRODUCT((Calculo!$F$170:$ES$170=2)*Calculo!$F$237:$ES$237*Calculo!$F$175:$ES$175)*V_Alim)/(1+V_Cargas))</f>
        <v>71832.8367123288</v>
      </c>
      <c r="G78" s="48" t="n">
        <f aca="false">IF(cu_P=1,((SUMIFS(Calculo!$F$82:$ES$82,Calculo!$F$14:$ES$14,3))-SUMPRODUCT((Calculo!$F$14:$ES$14=3)*Calculo!$F$81:$ES$81*Calculo!$F$19:$ES$19)*P_Alim)/(1+P_Cargas),((SUMIFS(Calculo!$F$238:$ES$238,Calculo!$F$170:$ES$170,3))-SUMPRODUCT((Calculo!$F$170:$ES$170=3)*Calculo!$F$237:$ES$237*Calculo!$F$175:$ES$175)*V_Alim)/(1+V_Cargas))</f>
        <v>71832.8367123288</v>
      </c>
      <c r="H78" s="48" t="n">
        <f aca="false">IF(cu_P=1,((SUMIFS(Calculo!$F$82:$ES$82,Calculo!$F$14:$ES$14,4))-SUMPRODUCT((Calculo!$F$14:$ES$14=4)*Calculo!$F$81:$ES$81*Calculo!$F$19:$ES$19)*P_Alim)/(1+P_Cargas),((SUMIFS(Calculo!$F$238:$ES$238,Calculo!$F$170:$ES$170,4))-SUMPRODUCT((Calculo!$F$170:$ES$170=4)*Calculo!$F$237:$ES$237*Calculo!$F$175:$ES$175)*V_Alim)/(1+V_Cargas))</f>
        <v>71832.8367123288</v>
      </c>
      <c r="I78" s="48" t="n">
        <f aca="false">IF(cu_P=1,((SUMIFS(Calculo!$F$82:$ES$82,Calculo!$F$14:$ES$14,5))-SUMPRODUCT((Calculo!$F$14:$ES$14=5)*Calculo!$F$81:$ES$81*Calculo!$F$19:$ES$19)*P_Alim)/(1+P_Cargas),((SUMIFS(Calculo!$F$238:$ES$238,Calculo!$F$170:$ES$170,5))-SUMPRODUCT((Calculo!$F$170:$ES$170=5)*Calculo!$F$237:$ES$237*Calculo!$F$175:$ES$175)*V_Alim)/(1+V_Cargas))</f>
        <v>71832.8367123288</v>
      </c>
      <c r="J78" s="48" t="n">
        <f aca="false">IF(cu_P=1,((SUMIFS(Calculo!$F$82:$ES$82,Calculo!$F$14:$ES$14,6))-SUMPRODUCT((Calculo!$F$14:$ES$14=6)*Calculo!$F$81:$ES$81*Calculo!$F$19:$ES$19)*P_Alim)/(1+P_Cargas),((SUMIFS(Calculo!$F$238:$ES$238,Calculo!$F$170:$ES$170,6))-SUMPRODUCT((Calculo!$F$170:$ES$170=6)*Calculo!$F$237:$ES$237*Calculo!$F$175:$ES$175)*V_Alim)/(1+V_Cargas))</f>
        <v>71832.8367123288</v>
      </c>
      <c r="K78" s="48" t="n">
        <f aca="false">IF(cu_P=1,((SUMIFS(Calculo!$F$82:$ES$82,Calculo!$F$14:$ES$14,7))-SUMPRODUCT((Calculo!$F$14:$ES$14=7)*Calculo!$F$81:$ES$81*Calculo!$F$19:$ES$19)*P_Alim)/(1+P_Cargas),((SUMIFS(Calculo!$F$238:$ES$238,Calculo!$F$170:$ES$170,7))-SUMPRODUCT((Calculo!$F$170:$ES$170=7)*Calculo!$F$237:$ES$237*Calculo!$F$175:$ES$175)*V_Alim)/(1+V_Cargas))</f>
        <v>71832.8367123288</v>
      </c>
      <c r="L78" s="48" t="n">
        <f aca="false">IF(cu_P=1,((SUMIFS(Calculo!$F$82:$ES$82,Calculo!$F$14:$ES$14,8))-SUMPRODUCT((Calculo!$F$14:$ES$14=8)*Calculo!$F$81:$ES$81*Calculo!$F$19:$ES$19)*P_Alim)/(1+P_Cargas),((SUMIFS(Calculo!$F$238:$ES$238,Calculo!$F$170:$ES$170,8))-SUMPRODUCT((Calculo!$F$170:$ES$170=8)*Calculo!$F$237:$ES$237*Calculo!$F$175:$ES$175)*V_Alim)/(1+V_Cargas))</f>
        <v>71832.8367123288</v>
      </c>
      <c r="M78" s="48" t="n">
        <f aca="false">IF(cu_P=1,((SUMIFS(Calculo!$F$82:$ES$82,Calculo!$F$14:$ES$14,9))-SUMPRODUCT((Calculo!$F$14:$ES$14=9)*Calculo!$F$81:$ES$81*Calculo!$F$19:$ES$19)*P_Alim)/(1+P_Cargas),((SUMIFS(Calculo!$F$238:$ES$238,Calculo!$F$170:$ES$170,9))-SUMPRODUCT((Calculo!$F$170:$ES$170=9)*Calculo!$F$237:$ES$237*Calculo!$F$175:$ES$175)*V_Alim)/(1+V_Cargas))</f>
        <v>71832.8367123288</v>
      </c>
      <c r="N78" s="48" t="n">
        <f aca="false">IF(cu_P=1,((SUMIFS(Calculo!$F$82:$ES$82,Calculo!$F$14:$ES$14,10))-SUMPRODUCT((Calculo!$F$14:$ES$14=10)*Calculo!$F$81:$ES$81*Calculo!$F$19:$ES$19)*P_Alim)/(1+P_Cargas),((SUMIFS(Calculo!$F$238:$ES$238,Calculo!$F$170:$ES$170,10))-SUMPRODUCT((Calculo!$F$170:$ES$170=10)*Calculo!$F$237:$ES$237*Calculo!$F$175:$ES$175)*V_Alim)/(1+V_Cargas))</f>
        <v>71832.8367123288</v>
      </c>
      <c r="O78" s="54" t="n">
        <f aca="false">SUM(D78:N78)</f>
        <v>718328.367123288</v>
      </c>
    </row>
    <row r="79" customFormat="false" ht="15" hidden="false" customHeight="false" outlineLevel="0" collapsed="false">
      <c r="A79" s="11" t="s">
        <v>2990</v>
      </c>
      <c r="B79" s="15" t="s">
        <v>2991</v>
      </c>
      <c r="C79" s="11" t="s">
        <v>508</v>
      </c>
      <c r="D79" s="48" t="n">
        <f aca="false">IFERROR(IF(COUNT(D77,D78)=0,"",N(D77)+N(D78)),"")</f>
        <v>0</v>
      </c>
      <c r="E79" s="48" t="n">
        <f aca="false">IFERROR(IF(COUNT(E77,E78)=0,"",N(E77)+N(E78)),"")</f>
        <v>231937.316712329</v>
      </c>
      <c r="F79" s="48" t="n">
        <f aca="false">IFERROR(IF(COUNT(F77,F78)=0,"",N(F77)+N(F78)),"")</f>
        <v>231937.316712329</v>
      </c>
      <c r="G79" s="48" t="n">
        <f aca="false">IFERROR(IF(COUNT(G77,G78)=0,"",N(G77)+N(G78)),"")</f>
        <v>231937.316712329</v>
      </c>
      <c r="H79" s="48" t="n">
        <f aca="false">IFERROR(IF(COUNT(H77,H78)=0,"",N(H77)+N(H78)),"")</f>
        <v>231937.316712329</v>
      </c>
      <c r="I79" s="48" t="n">
        <f aca="false">IFERROR(IF(COUNT(I77,I78)=0,"",N(I77)+N(I78)),"")</f>
        <v>231937.316712329</v>
      </c>
      <c r="J79" s="48" t="n">
        <f aca="false">IFERROR(IF(COUNT(J77,J78)=0,"",N(J77)+N(J78)),"")</f>
        <v>231937.316712329</v>
      </c>
      <c r="K79" s="48" t="n">
        <f aca="false">IFERROR(IF(COUNT(K77,K78)=0,"",N(K77)+N(K78)),"")</f>
        <v>231937.316712329</v>
      </c>
      <c r="L79" s="48" t="n">
        <f aca="false">IFERROR(IF(COUNT(L77,L78)=0,"",N(L77)+N(L78)),"")</f>
        <v>231937.316712329</v>
      </c>
      <c r="M79" s="48" t="n">
        <f aca="false">IFERROR(IF(COUNT(M77,M78)=0,"",N(M77)+N(M78)),"")</f>
        <v>231937.316712329</v>
      </c>
      <c r="N79" s="48" t="n">
        <f aca="false">IFERROR(IF(COUNT(N77,N78)=0,"",N(N77)+N(N78)),"")</f>
        <v>231937.316712329</v>
      </c>
      <c r="O79" s="54" t="n">
        <f aca="false">SUM(D79:N79)</f>
        <v>2319373.16712329</v>
      </c>
    </row>
    <row r="80" customFormat="false" ht="15" hidden="false" customHeight="false" outlineLevel="0" collapsed="false">
      <c r="A80" s="11" t="s">
        <v>2992</v>
      </c>
      <c r="B80" s="67" t="s">
        <v>2993</v>
      </c>
      <c r="C80" s="11" t="s">
        <v>508</v>
      </c>
      <c r="D80" s="54" t="n">
        <f aca="false">IFERROR(IF(COUNT(D76,D77,D78)=0,"",N(D76)+N(D77)+N(D78)),"")</f>
        <v>0</v>
      </c>
      <c r="E80" s="54" t="n">
        <f aca="false">IFERROR(IF(COUNT(E76,E77,E78)=0,"",N(E76)+N(E77)+N(E78)),"")</f>
        <v>477064.292054794</v>
      </c>
      <c r="F80" s="54" t="n">
        <f aca="false">IFERROR(IF(COUNT(F76,F77,F78)=0,"",N(F76)+N(F77)+N(F78)),"")</f>
        <v>477064.292054794</v>
      </c>
      <c r="G80" s="54" t="n">
        <f aca="false">IFERROR(IF(COUNT(G76,G77,G78)=0,"",N(G76)+N(G77)+N(G78)),"")</f>
        <v>497264.492054795</v>
      </c>
      <c r="H80" s="54" t="n">
        <f aca="false">IFERROR(IF(COUNT(H76,H77,H78)=0,"",N(H76)+N(H77)+N(H78)),"")</f>
        <v>513044.687671233</v>
      </c>
      <c r="I80" s="54" t="n">
        <f aca="false">IFERROR(IF(COUNT(I76,I77,I78)=0,"",N(I76)+N(I77)+N(I78)),"")</f>
        <v>532721.745205479</v>
      </c>
      <c r="J80" s="54" t="n">
        <f aca="false">IFERROR(IF(COUNT(J76,J77,J78)=0,"",N(J76)+N(J77)+N(J78)),"")</f>
        <v>532721.745205479</v>
      </c>
      <c r="K80" s="54" t="n">
        <f aca="false">IFERROR(IF(COUNT(K76,K77,K78)=0,"",N(K76)+N(K77)+N(K78)),"")</f>
        <v>532721.745205479</v>
      </c>
      <c r="L80" s="54" t="n">
        <f aca="false">IFERROR(IF(COUNT(L76,L77,L78)=0,"",N(L76)+N(L77)+N(L78)),"")</f>
        <v>532721.745205479</v>
      </c>
      <c r="M80" s="54" t="n">
        <f aca="false">IFERROR(IF(COUNT(M76,M77,M78)=0,"",N(M76)+N(M77)+N(M78)),"")</f>
        <v>532721.745205479</v>
      </c>
      <c r="N80" s="54" t="n">
        <f aca="false">IFERROR(IF(COUNT(N76,N77,N78)=0,"",N(N76)+N(N77)+N(N78)),"")</f>
        <v>532721.745205479</v>
      </c>
      <c r="O80" s="54" t="n">
        <f aca="false">SUM(D80:N80)</f>
        <v>5160768.23506849</v>
      </c>
    </row>
    <row r="81" customFormat="false" ht="15" hidden="false" customHeight="false" outlineLevel="0" collapsed="false">
      <c r="A81" s="11" t="s">
        <v>2994</v>
      </c>
      <c r="B81" s="15" t="s">
        <v>2307</v>
      </c>
      <c r="C81" s="11" t="s">
        <v>508</v>
      </c>
      <c r="D81" s="48" t="n">
        <f aca="false">IF(cu_P=1,(((SUMIFS(Calculo!$F$78:$ES$78,Calculo!$F$16:$ES$16,1))-SUMPRODUCT((Calculo!$F$16:$ES$16=1)*Calculo!$F$77:$ES$77*Calculo!$F$19:$ES$19)*P_Alim)/(1+P_Cargas)+((SUMIFS(Calculo!$F$80:$ES$80,Calculo!$F$16:$ES$16,1))-SUMPRODUCT((Calculo!$F$16:$ES$16=1)*Calculo!$F$79:$ES$79*Calculo!$F$19:$ES$19)*P_Alim)/(1+P_Cargas)+((SUMIFS(Calculo!$F$82:$ES$82,Calculo!$F$16:$ES$16,1))-SUMPRODUCT((Calculo!$F$16:$ES$16=1)*Calculo!$F$81:$ES$81*Calculo!$F$19:$ES$19)*P_Alim)/(1+P_Cargas))*P_Cargas,(((SUMIFS(Calculo!$F$234:$ES$234,Calculo!$F$172:$ES$172,1))-SUMPRODUCT((Calculo!$F$172:$ES$172=1)*Calculo!$F$233:$ES$233*Calculo!$F$175:$ES$175)*V_Alim)/(1+V_Cargas)+((SUMIFS(Calculo!$F$236:$ES$236,Calculo!$F$172:$ES$172,1))-SUMPRODUCT((Calculo!$F$172:$ES$172=1)*Calculo!$F$235:$ES$235*Calculo!$F$175:$ES$175)*V_Alim)/(1+V_Cargas)+((SUMIFS(Calculo!$F$238:$ES$238,Calculo!$F$172:$ES$172,1))-SUMPRODUCT((Calculo!$F$172:$ES$172=1)*Calculo!$F$237:$ES$237*Calculo!$F$175:$ES$175)*V_Alim)/(1+V_Cargas))*V_Cargas)</f>
        <v>0</v>
      </c>
      <c r="E81" s="48" t="n">
        <f aca="false">IF(cu_P=1,(((SUMIFS(Calculo!$F$78:$ES$78,Calculo!$F$14:$ES$14,1))-SUMPRODUCT((Calculo!$F$14:$ES$14=1)*Calculo!$F$77:$ES$77*Calculo!$F$19:$ES$19)*P_Alim)/(1+P_Cargas)+((SUMIFS(Calculo!$F$80:$ES$80,Calculo!$F$14:$ES$14,1))-SUMPRODUCT((Calculo!$F$14:$ES$14=1)*Calculo!$F$79:$ES$79*Calculo!$F$19:$ES$19)*P_Alim)/(1+P_Cargas)+((SUMIFS(Calculo!$F$82:$ES$82,Calculo!$F$14:$ES$14,1))-SUMPRODUCT((Calculo!$F$14:$ES$14=1)*Calculo!$F$81:$ES$81*Calculo!$F$19:$ES$19)*P_Alim)/(1+P_Cargas))*P_Cargas,(((SUMIFS(Calculo!$F$234:$ES$234,Calculo!$F$170:$ES$170,1))-SUMPRODUCT((Calculo!$F$170:$ES$170=1)*Calculo!$F$233:$ES$233*Calculo!$F$175:$ES$175)*V_Alim)/(1+V_Cargas)+((SUMIFS(Calculo!$F$236:$ES$236,Calculo!$F$170:$ES$170,1))-SUMPRODUCT((Calculo!$F$170:$ES$170=1)*Calculo!$F$235:$ES$235*Calculo!$F$175:$ES$175)*V_Alim)/(1+V_Cargas)+((SUMIFS(Calculo!$F$238:$ES$238,Calculo!$F$170:$ES$170,1))-SUMPRODUCT((Calculo!$F$170:$ES$170=1)*Calculo!$F$237:$ES$237*Calculo!$F$175:$ES$175)*V_Alim)/(1+V_Cargas))*V_Cargas)</f>
        <v>205567.003446411</v>
      </c>
      <c r="F81" s="48" t="n">
        <f aca="false">IF(cu_P=1,(((SUMIFS(Calculo!$F$78:$ES$78,Calculo!$F$14:$ES$14,2))-SUMPRODUCT((Calculo!$F$14:$ES$14=2)*Calculo!$F$77:$ES$77*Calculo!$F$19:$ES$19)*P_Alim)/(1+P_Cargas)+((SUMIFS(Calculo!$F$80:$ES$80,Calculo!$F$14:$ES$14,2))-SUMPRODUCT((Calculo!$F$14:$ES$14=2)*Calculo!$F$79:$ES$79*Calculo!$F$19:$ES$19)*P_Alim)/(1+P_Cargas)+((SUMIFS(Calculo!$F$82:$ES$82,Calculo!$F$14:$ES$14,2))-SUMPRODUCT((Calculo!$F$14:$ES$14=2)*Calculo!$F$81:$ES$81*Calculo!$F$19:$ES$19)*P_Alim)/(1+P_Cargas))*P_Cargas,(((SUMIFS(Calculo!$F$234:$ES$234,Calculo!$F$170:$ES$170,2))-SUMPRODUCT((Calculo!$F$170:$ES$170=2)*Calculo!$F$233:$ES$233*Calculo!$F$175:$ES$175)*V_Alim)/(1+V_Cargas)+((SUMIFS(Calculo!$F$236:$ES$236,Calculo!$F$170:$ES$170,2))-SUMPRODUCT((Calculo!$F$170:$ES$170=2)*Calculo!$F$235:$ES$235*Calculo!$F$175:$ES$175)*V_Alim)/(1+V_Cargas)+((SUMIFS(Calculo!$F$238:$ES$238,Calculo!$F$170:$ES$170,2))-SUMPRODUCT((Calculo!$F$170:$ES$170=2)*Calculo!$F$237:$ES$237*Calculo!$F$175:$ES$175)*V_Alim)/(1+V_Cargas))*V_Cargas)</f>
        <v>205567.003446411</v>
      </c>
      <c r="G81" s="48" t="n">
        <f aca="false">IF(cu_P=1,(((SUMIFS(Calculo!$F$78:$ES$78,Calculo!$F$14:$ES$14,3))-SUMPRODUCT((Calculo!$F$14:$ES$14=3)*Calculo!$F$77:$ES$77*Calculo!$F$19:$ES$19)*P_Alim)/(1+P_Cargas)+((SUMIFS(Calculo!$F$80:$ES$80,Calculo!$F$14:$ES$14,3))-SUMPRODUCT((Calculo!$F$14:$ES$14=3)*Calculo!$F$79:$ES$79*Calculo!$F$19:$ES$19)*P_Alim)/(1+P_Cargas)+((SUMIFS(Calculo!$F$82:$ES$82,Calculo!$F$14:$ES$14,3))-SUMPRODUCT((Calculo!$F$14:$ES$14=3)*Calculo!$F$81:$ES$81*Calculo!$F$19:$ES$19)*P_Alim)/(1+P_Cargas))*P_Cargas,(((SUMIFS(Calculo!$F$234:$ES$234,Calculo!$F$170:$ES$170,3))-SUMPRODUCT((Calculo!$F$170:$ES$170=3)*Calculo!$F$233:$ES$233*Calculo!$F$175:$ES$175)*V_Alim)/(1+V_Cargas)+((SUMIFS(Calculo!$F$236:$ES$236,Calculo!$F$170:$ES$170,3))-SUMPRODUCT((Calculo!$F$170:$ES$170=3)*Calculo!$F$235:$ES$235*Calculo!$F$175:$ES$175)*V_Alim)/(1+V_Cargas)+((SUMIFS(Calculo!$F$238:$ES$238,Calculo!$F$170:$ES$170,3))-SUMPRODUCT((Calculo!$F$170:$ES$170=3)*Calculo!$F$237:$ES$237*Calculo!$F$175:$ES$175)*V_Alim)/(1+V_Cargas))*V_Cargas)</f>
        <v>214271.269626411</v>
      </c>
      <c r="H81" s="48" t="n">
        <f aca="false">IF(cu_P=1,(((SUMIFS(Calculo!$F$78:$ES$78,Calculo!$F$14:$ES$14,4))-SUMPRODUCT((Calculo!$F$14:$ES$14=4)*Calculo!$F$77:$ES$77*Calculo!$F$19:$ES$19)*P_Alim)/(1+P_Cargas)+((SUMIFS(Calculo!$F$80:$ES$80,Calculo!$F$14:$ES$14,4))-SUMPRODUCT((Calculo!$F$14:$ES$14=4)*Calculo!$F$79:$ES$79*Calculo!$F$19:$ES$19)*P_Alim)/(1+P_Cargas)+((SUMIFS(Calculo!$F$82:$ES$82,Calculo!$F$14:$ES$14,4))-SUMPRODUCT((Calculo!$F$14:$ES$14=4)*Calculo!$F$81:$ES$81*Calculo!$F$19:$ES$19)*P_Alim)/(1+P_Cargas))*P_Cargas,(((SUMIFS(Calculo!$F$234:$ES$234,Calculo!$F$170:$ES$170,4))-SUMPRODUCT((Calculo!$F$170:$ES$170=4)*Calculo!$F$233:$ES$233*Calculo!$F$175:$ES$175)*V_Alim)/(1+V_Cargas)+((SUMIFS(Calculo!$F$236:$ES$236,Calculo!$F$170:$ES$170,4))-SUMPRODUCT((Calculo!$F$170:$ES$170=4)*Calculo!$F$235:$ES$235*Calculo!$F$175:$ES$175)*V_Alim)/(1+V_Cargas)+((SUMIFS(Calculo!$F$238:$ES$238,Calculo!$F$170:$ES$170,4))-SUMPRODUCT((Calculo!$F$170:$ES$170=4)*Calculo!$F$237:$ES$237*Calculo!$F$175:$ES$175)*V_Alim)/(1+V_Cargas))*V_Cargas)</f>
        <v>221070.955917534</v>
      </c>
      <c r="I81" s="48" t="n">
        <f aca="false">IF(cu_P=1,(((SUMIFS(Calculo!$F$78:$ES$78,Calculo!$F$14:$ES$14,5))-SUMPRODUCT((Calculo!$F$14:$ES$14=5)*Calculo!$F$77:$ES$77*Calculo!$F$19:$ES$19)*P_Alim)/(1+P_Cargas)+((SUMIFS(Calculo!$F$80:$ES$80,Calculo!$F$14:$ES$14,5))-SUMPRODUCT((Calculo!$F$14:$ES$14=5)*Calculo!$F$79:$ES$79*Calculo!$F$19:$ES$19)*P_Alim)/(1+P_Cargas)+((SUMIFS(Calculo!$F$82:$ES$82,Calculo!$F$14:$ES$14,5))-SUMPRODUCT((Calculo!$F$14:$ES$14=5)*Calculo!$F$81:$ES$81*Calculo!$F$19:$ES$19)*P_Alim)/(1+P_Cargas))*P_Cargas,(((SUMIFS(Calculo!$F$234:$ES$234,Calculo!$F$170:$ES$170,5))-SUMPRODUCT((Calculo!$F$170:$ES$170=5)*Calculo!$F$233:$ES$233*Calculo!$F$175:$ES$175)*V_Alim)/(1+V_Cargas)+((SUMIFS(Calculo!$F$236:$ES$236,Calculo!$F$170:$ES$170,5))-SUMPRODUCT((Calculo!$F$170:$ES$170=5)*Calculo!$F$235:$ES$235*Calculo!$F$175:$ES$175)*V_Alim)/(1+V_Cargas)+((SUMIFS(Calculo!$F$238:$ES$238,Calculo!$F$170:$ES$170,5))-SUMPRODUCT((Calculo!$F$170:$ES$170=5)*Calculo!$F$237:$ES$237*Calculo!$F$175:$ES$175)*V_Alim)/(1+V_Cargas))*V_Cargas)</f>
        <v>229549.800009041</v>
      </c>
      <c r="J81" s="48" t="n">
        <f aca="false">IF(cu_P=1,(((SUMIFS(Calculo!$F$78:$ES$78,Calculo!$F$14:$ES$14,6))-SUMPRODUCT((Calculo!$F$14:$ES$14=6)*Calculo!$F$77:$ES$77*Calculo!$F$19:$ES$19)*P_Alim)/(1+P_Cargas)+((SUMIFS(Calculo!$F$80:$ES$80,Calculo!$F$14:$ES$14,6))-SUMPRODUCT((Calculo!$F$14:$ES$14=6)*Calculo!$F$79:$ES$79*Calculo!$F$19:$ES$19)*P_Alim)/(1+P_Cargas)+((SUMIFS(Calculo!$F$82:$ES$82,Calculo!$F$14:$ES$14,6))-SUMPRODUCT((Calculo!$F$14:$ES$14=6)*Calculo!$F$81:$ES$81*Calculo!$F$19:$ES$19)*P_Alim)/(1+P_Cargas))*P_Cargas,(((SUMIFS(Calculo!$F$234:$ES$234,Calculo!$F$170:$ES$170,6))-SUMPRODUCT((Calculo!$F$170:$ES$170=6)*Calculo!$F$233:$ES$233*Calculo!$F$175:$ES$175)*V_Alim)/(1+V_Cargas)+((SUMIFS(Calculo!$F$236:$ES$236,Calculo!$F$170:$ES$170,6))-SUMPRODUCT((Calculo!$F$170:$ES$170=6)*Calculo!$F$235:$ES$235*Calculo!$F$175:$ES$175)*V_Alim)/(1+V_Cargas)+((SUMIFS(Calculo!$F$238:$ES$238,Calculo!$F$170:$ES$170,6))-SUMPRODUCT((Calculo!$F$170:$ES$170=6)*Calculo!$F$237:$ES$237*Calculo!$F$175:$ES$175)*V_Alim)/(1+V_Cargas))*V_Cargas)</f>
        <v>229549.800009041</v>
      </c>
      <c r="K81" s="48" t="n">
        <f aca="false">IF(cu_P=1,(((SUMIFS(Calculo!$F$78:$ES$78,Calculo!$F$14:$ES$14,7))-SUMPRODUCT((Calculo!$F$14:$ES$14=7)*Calculo!$F$77:$ES$77*Calculo!$F$19:$ES$19)*P_Alim)/(1+P_Cargas)+((SUMIFS(Calculo!$F$80:$ES$80,Calculo!$F$14:$ES$14,7))-SUMPRODUCT((Calculo!$F$14:$ES$14=7)*Calculo!$F$79:$ES$79*Calculo!$F$19:$ES$19)*P_Alim)/(1+P_Cargas)+((SUMIFS(Calculo!$F$82:$ES$82,Calculo!$F$14:$ES$14,7))-SUMPRODUCT((Calculo!$F$14:$ES$14=7)*Calculo!$F$81:$ES$81*Calculo!$F$19:$ES$19)*P_Alim)/(1+P_Cargas))*P_Cargas,(((SUMIFS(Calculo!$F$234:$ES$234,Calculo!$F$170:$ES$170,7))-SUMPRODUCT((Calculo!$F$170:$ES$170=7)*Calculo!$F$233:$ES$233*Calculo!$F$175:$ES$175)*V_Alim)/(1+V_Cargas)+((SUMIFS(Calculo!$F$236:$ES$236,Calculo!$F$170:$ES$170,7))-SUMPRODUCT((Calculo!$F$170:$ES$170=7)*Calculo!$F$235:$ES$235*Calculo!$F$175:$ES$175)*V_Alim)/(1+V_Cargas)+((SUMIFS(Calculo!$F$238:$ES$238,Calculo!$F$170:$ES$170,7))-SUMPRODUCT((Calculo!$F$170:$ES$170=7)*Calculo!$F$237:$ES$237*Calculo!$F$175:$ES$175)*V_Alim)/(1+V_Cargas))*V_Cargas)</f>
        <v>229549.800009041</v>
      </c>
      <c r="L81" s="48" t="n">
        <f aca="false">IF(cu_P=1,(((SUMIFS(Calculo!$F$78:$ES$78,Calculo!$F$14:$ES$14,8))-SUMPRODUCT((Calculo!$F$14:$ES$14=8)*Calculo!$F$77:$ES$77*Calculo!$F$19:$ES$19)*P_Alim)/(1+P_Cargas)+((SUMIFS(Calculo!$F$80:$ES$80,Calculo!$F$14:$ES$14,8))-SUMPRODUCT((Calculo!$F$14:$ES$14=8)*Calculo!$F$79:$ES$79*Calculo!$F$19:$ES$19)*P_Alim)/(1+P_Cargas)+((SUMIFS(Calculo!$F$82:$ES$82,Calculo!$F$14:$ES$14,8))-SUMPRODUCT((Calculo!$F$14:$ES$14=8)*Calculo!$F$81:$ES$81*Calculo!$F$19:$ES$19)*P_Alim)/(1+P_Cargas))*P_Cargas,(((SUMIFS(Calculo!$F$234:$ES$234,Calculo!$F$170:$ES$170,8))-SUMPRODUCT((Calculo!$F$170:$ES$170=8)*Calculo!$F$233:$ES$233*Calculo!$F$175:$ES$175)*V_Alim)/(1+V_Cargas)+((SUMIFS(Calculo!$F$236:$ES$236,Calculo!$F$170:$ES$170,8))-SUMPRODUCT((Calculo!$F$170:$ES$170=8)*Calculo!$F$235:$ES$235*Calculo!$F$175:$ES$175)*V_Alim)/(1+V_Cargas)+((SUMIFS(Calculo!$F$238:$ES$238,Calculo!$F$170:$ES$170,8))-SUMPRODUCT((Calculo!$F$170:$ES$170=8)*Calculo!$F$237:$ES$237*Calculo!$F$175:$ES$175)*V_Alim)/(1+V_Cargas))*V_Cargas)</f>
        <v>229549.800009041</v>
      </c>
      <c r="M81" s="48" t="n">
        <f aca="false">IF(cu_P=1,(((SUMIFS(Calculo!$F$78:$ES$78,Calculo!$F$14:$ES$14,9))-SUMPRODUCT((Calculo!$F$14:$ES$14=9)*Calculo!$F$77:$ES$77*Calculo!$F$19:$ES$19)*P_Alim)/(1+P_Cargas)+((SUMIFS(Calculo!$F$80:$ES$80,Calculo!$F$14:$ES$14,9))-SUMPRODUCT((Calculo!$F$14:$ES$14=9)*Calculo!$F$79:$ES$79*Calculo!$F$19:$ES$19)*P_Alim)/(1+P_Cargas)+((SUMIFS(Calculo!$F$82:$ES$82,Calculo!$F$14:$ES$14,9))-SUMPRODUCT((Calculo!$F$14:$ES$14=9)*Calculo!$F$81:$ES$81*Calculo!$F$19:$ES$19)*P_Alim)/(1+P_Cargas))*P_Cargas,(((SUMIFS(Calculo!$F$234:$ES$234,Calculo!$F$170:$ES$170,9))-SUMPRODUCT((Calculo!$F$170:$ES$170=9)*Calculo!$F$233:$ES$233*Calculo!$F$175:$ES$175)*V_Alim)/(1+V_Cargas)+((SUMIFS(Calculo!$F$236:$ES$236,Calculo!$F$170:$ES$170,9))-SUMPRODUCT((Calculo!$F$170:$ES$170=9)*Calculo!$F$235:$ES$235*Calculo!$F$175:$ES$175)*V_Alim)/(1+V_Cargas)+((SUMIFS(Calculo!$F$238:$ES$238,Calculo!$F$170:$ES$170,9))-SUMPRODUCT((Calculo!$F$170:$ES$170=9)*Calculo!$F$237:$ES$237*Calculo!$F$175:$ES$175)*V_Alim)/(1+V_Cargas))*V_Cargas)</f>
        <v>229549.800009041</v>
      </c>
      <c r="N81" s="48" t="n">
        <f aca="false">IF(cu_P=1,(((SUMIFS(Calculo!$F$78:$ES$78,Calculo!$F$14:$ES$14,10))-SUMPRODUCT((Calculo!$F$14:$ES$14=10)*Calculo!$F$77:$ES$77*Calculo!$F$19:$ES$19)*P_Alim)/(1+P_Cargas)+((SUMIFS(Calculo!$F$80:$ES$80,Calculo!$F$14:$ES$14,10))-SUMPRODUCT((Calculo!$F$14:$ES$14=10)*Calculo!$F$79:$ES$79*Calculo!$F$19:$ES$19)*P_Alim)/(1+P_Cargas)+((SUMIFS(Calculo!$F$82:$ES$82,Calculo!$F$14:$ES$14,10))-SUMPRODUCT((Calculo!$F$14:$ES$14=10)*Calculo!$F$81:$ES$81*Calculo!$F$19:$ES$19)*P_Alim)/(1+P_Cargas))*P_Cargas,(((SUMIFS(Calculo!$F$234:$ES$234,Calculo!$F$170:$ES$170,10))-SUMPRODUCT((Calculo!$F$170:$ES$170=10)*Calculo!$F$233:$ES$233*Calculo!$F$175:$ES$175)*V_Alim)/(1+V_Cargas)+((SUMIFS(Calculo!$F$236:$ES$236,Calculo!$F$170:$ES$170,10))-SUMPRODUCT((Calculo!$F$170:$ES$170=10)*Calculo!$F$235:$ES$235*Calculo!$F$175:$ES$175)*V_Alim)/(1+V_Cargas)+((SUMIFS(Calculo!$F$238:$ES$238,Calculo!$F$170:$ES$170,10))-SUMPRODUCT((Calculo!$F$170:$ES$170=10)*Calculo!$F$237:$ES$237*Calculo!$F$175:$ES$175)*V_Alim)/(1+V_Cargas))*V_Cargas)</f>
        <v>229549.800009041</v>
      </c>
      <c r="O81" s="54" t="n">
        <f aca="false">SUM(D81:N81)</f>
        <v>2223775.03249101</v>
      </c>
    </row>
    <row r="82" customFormat="false" ht="15" hidden="false" customHeight="false" outlineLevel="0" collapsed="false">
      <c r="A82" s="11" t="s">
        <v>2995</v>
      </c>
      <c r="B82" s="15" t="s">
        <v>2996</v>
      </c>
      <c r="C82" s="11" t="s">
        <v>508</v>
      </c>
      <c r="D82" s="48" t="n">
        <f aca="false">IF(cu_P=1,SUMPRODUCT((Calculo!$F$16:$ES$16=1)*Calculo!$F$77:$ES$77*Calculo!$F$19:$ES$19)*P_Alim+SUMPRODUCT((Calculo!$F$16:$ES$16=1)*Calculo!$F$79:$ES$79*Calculo!$F$19:$ES$19)*P_Alim+SUMPRODUCT((Calculo!$F$16:$ES$16=1)*Calculo!$F$81:$ES$81*Calculo!$F$19:$ES$19)*P_Alim,SUMPRODUCT((Calculo!$F$172:$ES$172=1)*Calculo!$F$233:$ES$233*Calculo!$F$175:$ES$175)*V_Alim+SUMPRODUCT((Calculo!$F$172:$ES$172=1)*Calculo!$F$235:$ES$235*Calculo!$F$175:$ES$175)*V_Alim+SUMPRODUCT((Calculo!$F$172:$ES$172=1)*Calculo!$F$237:$ES$237*Calculo!$F$175:$ES$175)*V_Alim)</f>
        <v>0</v>
      </c>
      <c r="E82" s="48" t="n">
        <f aca="false">IF(cu_P=1,SUMPRODUCT((Calculo!$F$14:$ES$14=1)*Calculo!$F$77:$ES$77*Calculo!$F$19:$ES$19)*P_Alim+SUMPRODUCT((Calculo!$F$14:$ES$14=1)*Calculo!$F$79:$ES$79*Calculo!$F$19:$ES$19)*P_Alim+SUMPRODUCT((Calculo!$F$14:$ES$14=1)*Calculo!$F$81:$ES$81*Calculo!$F$19:$ES$19)*P_Alim,SUMPRODUCT((Calculo!$F$170:$ES$170=1)*Calculo!$F$233:$ES$233*Calculo!$F$175:$ES$175)*V_Alim+SUMPRODUCT((Calculo!$F$170:$ES$170=1)*Calculo!$F$235:$ES$235*Calculo!$F$175:$ES$175)*V_Alim+SUMPRODUCT((Calculo!$F$170:$ES$170=1)*Calculo!$F$237:$ES$237*Calculo!$F$175:$ES$175)*V_Alim)</f>
        <v>61545.2054794521</v>
      </c>
      <c r="F82" s="48" t="n">
        <f aca="false">IF(cu_P=1,SUMPRODUCT((Calculo!$F$14:$ES$14=2)*Calculo!$F$77:$ES$77*Calculo!$F$19:$ES$19)*P_Alim+SUMPRODUCT((Calculo!$F$14:$ES$14=2)*Calculo!$F$79:$ES$79*Calculo!$F$19:$ES$19)*P_Alim+SUMPRODUCT((Calculo!$F$14:$ES$14=2)*Calculo!$F$81:$ES$81*Calculo!$F$19:$ES$19)*P_Alim,SUMPRODUCT((Calculo!$F$170:$ES$170=2)*Calculo!$F$233:$ES$233*Calculo!$F$175:$ES$175)*V_Alim+SUMPRODUCT((Calculo!$F$170:$ES$170=2)*Calculo!$F$235:$ES$235*Calculo!$F$175:$ES$175)*V_Alim+SUMPRODUCT((Calculo!$F$170:$ES$170=2)*Calculo!$F$237:$ES$237*Calculo!$F$175:$ES$175)*V_Alim)</f>
        <v>61545.2054794521</v>
      </c>
      <c r="G82" s="48" t="n">
        <f aca="false">IF(cu_P=1,SUMPRODUCT((Calculo!$F$14:$ES$14=3)*Calculo!$F$77:$ES$77*Calculo!$F$19:$ES$19)*P_Alim+SUMPRODUCT((Calculo!$F$14:$ES$14=3)*Calculo!$F$79:$ES$79*Calculo!$F$19:$ES$19)*P_Alim+SUMPRODUCT((Calculo!$F$14:$ES$14=3)*Calculo!$F$81:$ES$81*Calculo!$F$19:$ES$19)*P_Alim,SUMPRODUCT((Calculo!$F$170:$ES$170=3)*Calculo!$F$233:$ES$233*Calculo!$F$175:$ES$175)*V_Alim+SUMPRODUCT((Calculo!$F$170:$ES$170=3)*Calculo!$F$235:$ES$235*Calculo!$F$175:$ES$175)*V_Alim+SUMPRODUCT((Calculo!$F$170:$ES$170=3)*Calculo!$F$237:$ES$237*Calculo!$F$175:$ES$175)*V_Alim)</f>
        <v>64385.7534246575</v>
      </c>
      <c r="H82" s="48" t="n">
        <f aca="false">IF(cu_P=1,SUMPRODUCT((Calculo!$F$14:$ES$14=4)*Calculo!$F$77:$ES$77*Calculo!$F$19:$ES$19)*P_Alim+SUMPRODUCT((Calculo!$F$14:$ES$14=4)*Calculo!$F$79:$ES$79*Calculo!$F$19:$ES$19)*P_Alim+SUMPRODUCT((Calculo!$F$14:$ES$14=4)*Calculo!$F$81:$ES$81*Calculo!$F$19:$ES$19)*P_Alim,SUMPRODUCT((Calculo!$F$170:$ES$170=4)*Calculo!$F$233:$ES$233*Calculo!$F$175:$ES$175)*V_Alim+SUMPRODUCT((Calculo!$F$170:$ES$170=4)*Calculo!$F$235:$ES$235*Calculo!$F$175:$ES$175)*V_Alim+SUMPRODUCT((Calculo!$F$170:$ES$170=4)*Calculo!$F$237:$ES$237*Calculo!$F$175:$ES$175)*V_Alim)</f>
        <v>67226.301369863</v>
      </c>
      <c r="I82" s="48" t="n">
        <f aca="false">IF(cu_P=1,SUMPRODUCT((Calculo!$F$14:$ES$14=5)*Calculo!$F$77:$ES$77*Calculo!$F$19:$ES$19)*P_Alim+SUMPRODUCT((Calculo!$F$14:$ES$14=5)*Calculo!$F$79:$ES$79*Calculo!$F$19:$ES$19)*P_Alim+SUMPRODUCT((Calculo!$F$14:$ES$14=5)*Calculo!$F$81:$ES$81*Calculo!$F$19:$ES$19)*P_Alim,SUMPRODUCT((Calculo!$F$170:$ES$170=5)*Calculo!$F$233:$ES$233*Calculo!$F$175:$ES$175)*V_Alim+SUMPRODUCT((Calculo!$F$170:$ES$170=5)*Calculo!$F$235:$ES$235*Calculo!$F$175:$ES$175)*V_Alim+SUMPRODUCT((Calculo!$F$170:$ES$170=5)*Calculo!$F$237:$ES$237*Calculo!$F$175:$ES$175)*V_Alim)</f>
        <v>70066.8493150685</v>
      </c>
      <c r="J82" s="48" t="n">
        <f aca="false">IF(cu_P=1,SUMPRODUCT((Calculo!$F$14:$ES$14=6)*Calculo!$F$77:$ES$77*Calculo!$F$19:$ES$19)*P_Alim+SUMPRODUCT((Calculo!$F$14:$ES$14=6)*Calculo!$F$79:$ES$79*Calculo!$F$19:$ES$19)*P_Alim+SUMPRODUCT((Calculo!$F$14:$ES$14=6)*Calculo!$F$81:$ES$81*Calculo!$F$19:$ES$19)*P_Alim,SUMPRODUCT((Calculo!$F$170:$ES$170=6)*Calculo!$F$233:$ES$233*Calculo!$F$175:$ES$175)*V_Alim+SUMPRODUCT((Calculo!$F$170:$ES$170=6)*Calculo!$F$235:$ES$235*Calculo!$F$175:$ES$175)*V_Alim+SUMPRODUCT((Calculo!$F$170:$ES$170=6)*Calculo!$F$237:$ES$237*Calculo!$F$175:$ES$175)*V_Alim)</f>
        <v>70066.8493150685</v>
      </c>
      <c r="K82" s="48" t="n">
        <f aca="false">IF(cu_P=1,SUMPRODUCT((Calculo!$F$14:$ES$14=7)*Calculo!$F$77:$ES$77*Calculo!$F$19:$ES$19)*P_Alim+SUMPRODUCT((Calculo!$F$14:$ES$14=7)*Calculo!$F$79:$ES$79*Calculo!$F$19:$ES$19)*P_Alim+SUMPRODUCT((Calculo!$F$14:$ES$14=7)*Calculo!$F$81:$ES$81*Calculo!$F$19:$ES$19)*P_Alim,SUMPRODUCT((Calculo!$F$170:$ES$170=7)*Calculo!$F$233:$ES$233*Calculo!$F$175:$ES$175)*V_Alim+SUMPRODUCT((Calculo!$F$170:$ES$170=7)*Calculo!$F$235:$ES$235*Calculo!$F$175:$ES$175)*V_Alim+SUMPRODUCT((Calculo!$F$170:$ES$170=7)*Calculo!$F$237:$ES$237*Calculo!$F$175:$ES$175)*V_Alim)</f>
        <v>70066.8493150685</v>
      </c>
      <c r="L82" s="48" t="n">
        <f aca="false">IF(cu_P=1,SUMPRODUCT((Calculo!$F$14:$ES$14=8)*Calculo!$F$77:$ES$77*Calculo!$F$19:$ES$19)*P_Alim+SUMPRODUCT((Calculo!$F$14:$ES$14=8)*Calculo!$F$79:$ES$79*Calculo!$F$19:$ES$19)*P_Alim+SUMPRODUCT((Calculo!$F$14:$ES$14=8)*Calculo!$F$81:$ES$81*Calculo!$F$19:$ES$19)*P_Alim,SUMPRODUCT((Calculo!$F$170:$ES$170=8)*Calculo!$F$233:$ES$233*Calculo!$F$175:$ES$175)*V_Alim+SUMPRODUCT((Calculo!$F$170:$ES$170=8)*Calculo!$F$235:$ES$235*Calculo!$F$175:$ES$175)*V_Alim+SUMPRODUCT((Calculo!$F$170:$ES$170=8)*Calculo!$F$237:$ES$237*Calculo!$F$175:$ES$175)*V_Alim)</f>
        <v>70066.8493150685</v>
      </c>
      <c r="M82" s="48" t="n">
        <f aca="false">IF(cu_P=1,SUMPRODUCT((Calculo!$F$14:$ES$14=9)*Calculo!$F$77:$ES$77*Calculo!$F$19:$ES$19)*P_Alim+SUMPRODUCT((Calculo!$F$14:$ES$14=9)*Calculo!$F$79:$ES$79*Calculo!$F$19:$ES$19)*P_Alim+SUMPRODUCT((Calculo!$F$14:$ES$14=9)*Calculo!$F$81:$ES$81*Calculo!$F$19:$ES$19)*P_Alim,SUMPRODUCT((Calculo!$F$170:$ES$170=9)*Calculo!$F$233:$ES$233*Calculo!$F$175:$ES$175)*V_Alim+SUMPRODUCT((Calculo!$F$170:$ES$170=9)*Calculo!$F$235:$ES$235*Calculo!$F$175:$ES$175)*V_Alim+SUMPRODUCT((Calculo!$F$170:$ES$170=9)*Calculo!$F$237:$ES$237*Calculo!$F$175:$ES$175)*V_Alim)</f>
        <v>70066.8493150685</v>
      </c>
      <c r="N82" s="48" t="n">
        <f aca="false">IF(cu_P=1,SUMPRODUCT((Calculo!$F$14:$ES$14=10)*Calculo!$F$77:$ES$77*Calculo!$F$19:$ES$19)*P_Alim+SUMPRODUCT((Calculo!$F$14:$ES$14=10)*Calculo!$F$79:$ES$79*Calculo!$F$19:$ES$19)*P_Alim+SUMPRODUCT((Calculo!$F$14:$ES$14=10)*Calculo!$F$81:$ES$81*Calculo!$F$19:$ES$19)*P_Alim,SUMPRODUCT((Calculo!$F$170:$ES$170=10)*Calculo!$F$233:$ES$233*Calculo!$F$175:$ES$175)*V_Alim+SUMPRODUCT((Calculo!$F$170:$ES$170=10)*Calculo!$F$235:$ES$235*Calculo!$F$175:$ES$175)*V_Alim+SUMPRODUCT((Calculo!$F$170:$ES$170=10)*Calculo!$F$237:$ES$237*Calculo!$F$175:$ES$175)*V_Alim)</f>
        <v>70066.8493150685</v>
      </c>
      <c r="O82" s="54" t="n">
        <f aca="false">SUM(D82:N82)</f>
        <v>675103.561643836</v>
      </c>
    </row>
    <row r="83" customFormat="false" ht="15" hidden="false" customHeight="false" outlineLevel="0" collapsed="false">
      <c r="A83" s="11" t="s">
        <v>2997</v>
      </c>
      <c r="B83" s="67" t="s">
        <v>2998</v>
      </c>
      <c r="C83" s="11" t="s">
        <v>508</v>
      </c>
      <c r="D83" s="54" t="n">
        <f aca="false">IF(cu_P=1,(SUMIFS(Calculo!$F$78:$ES$78,Calculo!$F$16:$ES$16,1)+SUMIFS(Calculo!$F$80:$ES$80,Calculo!$F$16:$ES$16,1)+SUMIFS(Calculo!$F$82:$ES$82,Calculo!$F$16:$ES$16,1)),(SUMIFS(Calculo!$F$234:$ES$234,Calculo!$F$172:$ES$172,1)+SUMIFS(Calculo!$F$236:$ES$236,Calculo!$F$172:$ES$172,1)+SUMIFS(Calculo!$F$238:$ES$238,Calculo!$F$172:$ES$172,1)))</f>
        <v>0</v>
      </c>
      <c r="E83" s="54" t="n">
        <f aca="false">IF(cu_P=1,(SUMIFS(Calculo!$F$78:$ES$78,Calculo!$F$14:$ES$14,1)+SUMIFS(Calculo!$F$80:$ES$80,Calculo!$F$14:$ES$14,1)+SUMIFS(Calculo!$F$82:$ES$82,Calculo!$F$14:$ES$14,1)),(SUMIFS(Calculo!$F$234:$ES$234,Calculo!$F$170:$ES$170,1)+SUMIFS(Calculo!$F$236:$ES$236,Calculo!$F$170:$ES$170,1)+SUMIFS(Calculo!$F$238:$ES$238,Calculo!$F$170:$ES$170,1)))</f>
        <v>744176.500980658</v>
      </c>
      <c r="F83" s="54" t="n">
        <f aca="false">IF(cu_P=1,(SUMIFS(Calculo!$F$78:$ES$78,Calculo!$F$14:$ES$14,2)+SUMIFS(Calculo!$F$80:$ES$80,Calculo!$F$14:$ES$14,2)+SUMIFS(Calculo!$F$82:$ES$82,Calculo!$F$14:$ES$14,2)),(SUMIFS(Calculo!$F$234:$ES$234,Calculo!$F$170:$ES$170,2)+SUMIFS(Calculo!$F$236:$ES$236,Calculo!$F$170:$ES$170,2)+SUMIFS(Calculo!$F$238:$ES$238,Calculo!$F$170:$ES$170,2)))</f>
        <v>744176.500980658</v>
      </c>
      <c r="G83" s="54" t="n">
        <f aca="false">IF(cu_P=1,(SUMIFS(Calculo!$F$78:$ES$78,Calculo!$F$14:$ES$14,3)+SUMIFS(Calculo!$F$80:$ES$80,Calculo!$F$14:$ES$14,3)+SUMIFS(Calculo!$F$82:$ES$82,Calculo!$F$14:$ES$14,3)),(SUMIFS(Calculo!$F$234:$ES$234,Calculo!$F$170:$ES$170,3)+SUMIFS(Calculo!$F$236:$ES$236,Calculo!$F$170:$ES$170,3)+SUMIFS(Calculo!$F$238:$ES$238,Calculo!$F$170:$ES$170,3)))</f>
        <v>775921.515105863</v>
      </c>
      <c r="H83" s="54" t="n">
        <f aca="false">IF(cu_P=1,(SUMIFS(Calculo!$F$78:$ES$78,Calculo!$F$14:$ES$14,4)+SUMIFS(Calculo!$F$80:$ES$80,Calculo!$F$14:$ES$14,4)+SUMIFS(Calculo!$F$82:$ES$82,Calculo!$F$14:$ES$14,4)),(SUMIFS(Calculo!$F$234:$ES$234,Calculo!$F$170:$ES$170,4)+SUMIFS(Calculo!$F$236:$ES$236,Calculo!$F$170:$ES$170,4)+SUMIFS(Calculo!$F$238:$ES$238,Calculo!$F$170:$ES$170,4)))</f>
        <v>801341.94495863</v>
      </c>
      <c r="I83" s="54" t="n">
        <f aca="false">IF(cu_P=1,(SUMIFS(Calculo!$F$78:$ES$78,Calculo!$F$14:$ES$14,5)+SUMIFS(Calculo!$F$80:$ES$80,Calculo!$F$14:$ES$14,5)+SUMIFS(Calculo!$F$82:$ES$82,Calculo!$F$14:$ES$14,5)),(SUMIFS(Calculo!$F$234:$ES$234,Calculo!$F$170:$ES$170,5)+SUMIFS(Calculo!$F$236:$ES$236,Calculo!$F$170:$ES$170,5)+SUMIFS(Calculo!$F$238:$ES$238,Calculo!$F$170:$ES$170,5)))</f>
        <v>832338.394529589</v>
      </c>
      <c r="J83" s="54" t="n">
        <f aca="false">IF(cu_P=1,(SUMIFS(Calculo!$F$78:$ES$78,Calculo!$F$14:$ES$14,6)+SUMIFS(Calculo!$F$80:$ES$80,Calculo!$F$14:$ES$14,6)+SUMIFS(Calculo!$F$82:$ES$82,Calculo!$F$14:$ES$14,6)),(SUMIFS(Calculo!$F$234:$ES$234,Calculo!$F$170:$ES$170,6)+SUMIFS(Calculo!$F$236:$ES$236,Calculo!$F$170:$ES$170,6)+SUMIFS(Calculo!$F$238:$ES$238,Calculo!$F$170:$ES$170,6)))</f>
        <v>832338.394529589</v>
      </c>
      <c r="K83" s="54" t="n">
        <f aca="false">IF(cu_P=1,(SUMIFS(Calculo!$F$78:$ES$78,Calculo!$F$14:$ES$14,7)+SUMIFS(Calculo!$F$80:$ES$80,Calculo!$F$14:$ES$14,7)+SUMIFS(Calculo!$F$82:$ES$82,Calculo!$F$14:$ES$14,7)),(SUMIFS(Calculo!$F$234:$ES$234,Calculo!$F$170:$ES$170,7)+SUMIFS(Calculo!$F$236:$ES$236,Calculo!$F$170:$ES$170,7)+SUMIFS(Calculo!$F$238:$ES$238,Calculo!$F$170:$ES$170,7)))</f>
        <v>832338.394529589</v>
      </c>
      <c r="L83" s="54" t="n">
        <f aca="false">IF(cu_P=1,(SUMIFS(Calculo!$F$78:$ES$78,Calculo!$F$14:$ES$14,8)+SUMIFS(Calculo!$F$80:$ES$80,Calculo!$F$14:$ES$14,8)+SUMIFS(Calculo!$F$82:$ES$82,Calculo!$F$14:$ES$14,8)),(SUMIFS(Calculo!$F$234:$ES$234,Calculo!$F$170:$ES$170,8)+SUMIFS(Calculo!$F$236:$ES$236,Calculo!$F$170:$ES$170,8)+SUMIFS(Calculo!$F$238:$ES$238,Calculo!$F$170:$ES$170,8)))</f>
        <v>832338.394529589</v>
      </c>
      <c r="M83" s="54" t="n">
        <f aca="false">IF(cu_P=1,(SUMIFS(Calculo!$F$78:$ES$78,Calculo!$F$14:$ES$14,9)+SUMIFS(Calculo!$F$80:$ES$80,Calculo!$F$14:$ES$14,9)+SUMIFS(Calculo!$F$82:$ES$82,Calculo!$F$14:$ES$14,9)),(SUMIFS(Calculo!$F$234:$ES$234,Calculo!$F$170:$ES$170,9)+SUMIFS(Calculo!$F$236:$ES$236,Calculo!$F$170:$ES$170,9)+SUMIFS(Calculo!$F$238:$ES$238,Calculo!$F$170:$ES$170,9)))</f>
        <v>832338.394529589</v>
      </c>
      <c r="N83" s="54" t="n">
        <f aca="false">IF(cu_P=1,(SUMIFS(Calculo!$F$78:$ES$78,Calculo!$F$14:$ES$14,10)+SUMIFS(Calculo!$F$80:$ES$80,Calculo!$F$14:$ES$14,10)+SUMIFS(Calculo!$F$82:$ES$82,Calculo!$F$14:$ES$14,10)),(SUMIFS(Calculo!$F$234:$ES$234,Calculo!$F$170:$ES$170,10)+SUMIFS(Calculo!$F$236:$ES$236,Calculo!$F$170:$ES$170,10)+SUMIFS(Calculo!$F$238:$ES$238,Calculo!$F$170:$ES$170,10)))</f>
        <v>832338.394529589</v>
      </c>
      <c r="O83" s="54" t="n">
        <f aca="false">SUM(D83:N83)</f>
        <v>8059646.82920334</v>
      </c>
    </row>
    <row r="85" customFormat="false" ht="15" hidden="false" customHeight="false" outlineLevel="0" collapsed="false">
      <c r="A85" s="65" t="s">
        <v>1992</v>
      </c>
      <c r="B85" s="64"/>
      <c r="C85" s="64"/>
      <c r="D85" s="64"/>
      <c r="E85" s="64"/>
      <c r="F85" s="64"/>
      <c r="G85" s="64"/>
      <c r="H85" s="64"/>
      <c r="I85" s="64"/>
      <c r="J85" s="64"/>
      <c r="K85" s="64"/>
      <c r="L85" s="64"/>
      <c r="M85" s="64"/>
      <c r="N85" s="64"/>
      <c r="O85" s="64"/>
    </row>
    <row r="86" customFormat="false" ht="24" hidden="false" customHeight="true" outlineLevel="0" collapsed="false">
      <c r="A86" s="14"/>
      <c r="B86" s="14" t="s">
        <v>1530</v>
      </c>
      <c r="C86" s="14" t="s">
        <v>355</v>
      </c>
      <c r="D86" s="14" t="s">
        <v>1857</v>
      </c>
      <c r="E86" s="14" t="s">
        <v>452</v>
      </c>
      <c r="F86" s="14" t="s">
        <v>453</v>
      </c>
      <c r="G86" s="14" t="s">
        <v>454</v>
      </c>
      <c r="H86" s="14" t="s">
        <v>455</v>
      </c>
      <c r="I86" s="14" t="s">
        <v>456</v>
      </c>
      <c r="J86" s="14" t="s">
        <v>457</v>
      </c>
      <c r="K86" s="14" t="s">
        <v>458</v>
      </c>
      <c r="L86" s="14" t="s">
        <v>459</v>
      </c>
      <c r="M86" s="14" t="s">
        <v>460</v>
      </c>
      <c r="N86" s="14" t="s">
        <v>461</v>
      </c>
      <c r="O86" s="14" t="s">
        <v>549</v>
      </c>
    </row>
    <row r="87" customFormat="false" ht="15" hidden="false" customHeight="false" outlineLevel="0" collapsed="false">
      <c r="B87" s="11" t="s">
        <v>1993</v>
      </c>
      <c r="D87" s="86" t="str">
        <f aca="false">IF(OR(n_Fecha1="",IF(cu_P=1,P_Inicio,V_Inicio)=1),"",YEAR(n_Fecha1))</f>
        <v/>
      </c>
      <c r="E87" s="86" t="str">
        <f aca="false">IF(n_Fecha1="","",YEAR(EOMONTH(n_Fecha1,IF(cu_P=1,P_Inicio,V_Inicio)-1+0)))</f>
        <v/>
      </c>
      <c r="F87" s="86" t="str">
        <f aca="false">IF(n_Fecha1="","",YEAR(EOMONTH(n_Fecha1,IF(cu_P=1,P_Inicio,V_Inicio)-1+12)))</f>
        <v/>
      </c>
      <c r="G87" s="86" t="str">
        <f aca="false">IF(n_Fecha1="","",YEAR(EOMONTH(n_Fecha1,IF(cu_P=1,P_Inicio,V_Inicio)-1+24)))</f>
        <v/>
      </c>
      <c r="H87" s="86" t="str">
        <f aca="false">IF(n_Fecha1="","",YEAR(EOMONTH(n_Fecha1,IF(cu_P=1,P_Inicio,V_Inicio)-1+36)))</f>
        <v/>
      </c>
      <c r="I87" s="86" t="str">
        <f aca="false">IF(n_Fecha1="","",YEAR(EOMONTH(n_Fecha1,IF(cu_P=1,P_Inicio,V_Inicio)-1+48)))</f>
        <v/>
      </c>
      <c r="J87" s="86" t="str">
        <f aca="false">IF(n_Fecha1="","",YEAR(EOMONTH(n_Fecha1,IF(cu_P=1,P_Inicio,V_Inicio)-1+60)))</f>
        <v/>
      </c>
      <c r="K87" s="86" t="str">
        <f aca="false">IF(n_Fecha1="","",YEAR(EOMONTH(n_Fecha1,IF(cu_P=1,P_Inicio,V_Inicio)-1+72)))</f>
        <v/>
      </c>
      <c r="L87" s="86" t="str">
        <f aca="false">IF(n_Fecha1="","",YEAR(EOMONTH(n_Fecha1,IF(cu_P=1,P_Inicio,V_Inicio)-1+84)))</f>
        <v/>
      </c>
      <c r="M87" s="86" t="str">
        <f aca="false">IF(n_Fecha1="","",YEAR(EOMONTH(n_Fecha1,IF(cu_P=1,P_Inicio,V_Inicio)-1+96)))</f>
        <v/>
      </c>
      <c r="N87" s="86" t="str">
        <f aca="false">IF(n_Fecha1="","",YEAR(EOMONTH(n_Fecha1,IF(cu_P=1,P_Inicio,V_Inicio)-1+108)))</f>
        <v/>
      </c>
    </row>
    <row r="88" customFormat="false" ht="15" hidden="false" customHeight="false" outlineLevel="0" collapsed="false">
      <c r="A88" s="13"/>
      <c r="B88" s="100" t="s">
        <v>2911</v>
      </c>
      <c r="C88" s="13"/>
      <c r="D88" s="13"/>
      <c r="E88" s="13"/>
      <c r="F88" s="13"/>
      <c r="G88" s="13"/>
      <c r="H88" s="13"/>
      <c r="I88" s="13"/>
      <c r="J88" s="13"/>
      <c r="K88" s="13"/>
      <c r="L88" s="13"/>
      <c r="M88" s="13"/>
      <c r="N88" s="13"/>
      <c r="O88" s="13"/>
    </row>
    <row r="89" customFormat="false" ht="15" hidden="false" customHeight="false" outlineLevel="0" collapsed="false">
      <c r="A89" s="11" t="s">
        <v>2912</v>
      </c>
      <c r="B89" s="53" t="str">
        <f aca="false">IF(Costos!$B$6="","Puesto 1",Costos!$B$6&amp;" ("&amp;Costos!$C$6&amp;")")</f>
        <v>Operador láser (Directo)</v>
      </c>
      <c r="C89" s="11" t="s">
        <v>853</v>
      </c>
    </row>
    <row r="90" customFormat="false" ht="15" hidden="false" customHeight="false" outlineLevel="0" collapsed="false">
      <c r="A90" s="11" t="s">
        <v>2913</v>
      </c>
      <c r="B90" s="53" t="str">
        <f aca="false">IF(Costos!$B$7="","Puesto 2",Costos!$B$7&amp;" ("&amp;Costos!$C$7&amp;")")</f>
        <v>Doblador (Directo)</v>
      </c>
      <c r="C90" s="11" t="s">
        <v>853</v>
      </c>
    </row>
    <row r="91" customFormat="false" ht="15" hidden="false" customHeight="false" outlineLevel="0" collapsed="false">
      <c r="A91" s="11" t="s">
        <v>2914</v>
      </c>
      <c r="B91" s="53" t="str">
        <f aca="false">IF(Costos!$B$8="","Puesto 3",Costos!$B$8&amp;" ("&amp;Costos!$C$8&amp;")")</f>
        <v>Soldador (Directo)</v>
      </c>
      <c r="C91" s="11" t="s">
        <v>853</v>
      </c>
    </row>
    <row r="92" customFormat="false" ht="15" hidden="false" customHeight="false" outlineLevel="0" collapsed="false">
      <c r="A92" s="11" t="s">
        <v>2915</v>
      </c>
      <c r="B92" s="53" t="str">
        <f aca="false">IF(Costos!$B$9="","Puesto 4",Costos!$B$9&amp;" ("&amp;Costos!$C$9&amp;")")</f>
        <v>Baño (Directo)</v>
      </c>
      <c r="C92" s="11" t="s">
        <v>853</v>
      </c>
    </row>
    <row r="93" customFormat="false" ht="15" hidden="false" customHeight="false" outlineLevel="0" collapsed="false">
      <c r="A93" s="11" t="s">
        <v>2916</v>
      </c>
      <c r="B93" s="53" t="str">
        <f aca="false">IF(Costos!$B$10="","Puesto 5",Costos!$B$10&amp;" ("&amp;Costos!$C$10&amp;")")</f>
        <v>Pintor (Directo)</v>
      </c>
      <c r="C93" s="11" t="s">
        <v>853</v>
      </c>
    </row>
    <row r="94" customFormat="false" ht="15" hidden="false" customHeight="false" outlineLevel="0" collapsed="false">
      <c r="A94" s="11" t="s">
        <v>2917</v>
      </c>
      <c r="B94" s="53" t="str">
        <f aca="false">IF(Costos!$B$11="","Puesto 6",Costos!$B$11&amp;" ("&amp;Costos!$C$11&amp;")")</f>
        <v>Montador (Directo)</v>
      </c>
      <c r="C94" s="11" t="s">
        <v>853</v>
      </c>
    </row>
    <row r="95" customFormat="false" ht="15" hidden="false" customHeight="false" outlineLevel="0" collapsed="false">
      <c r="A95" s="11" t="s">
        <v>2918</v>
      </c>
      <c r="B95" s="53" t="str">
        <f aca="false">IF(Costos!$B$12="","Puesto 7",Costos!$B$12&amp;" ("&amp;Costos!$C$12&amp;")")</f>
        <v>Ayudante (Directo)</v>
      </c>
      <c r="C95" s="11" t="s">
        <v>853</v>
      </c>
    </row>
    <row r="96" customFormat="false" ht="15" hidden="false" customHeight="false" outlineLevel="0" collapsed="false">
      <c r="A96" s="11" t="s">
        <v>2919</v>
      </c>
      <c r="B96" s="53" t="str">
        <f aca="false">IF(Costos!$B$13="","Puesto 8",Costos!$B$13&amp;" ("&amp;Costos!$C$13&amp;")")</f>
        <v>Gerente General (Administración)</v>
      </c>
      <c r="C96" s="11" t="s">
        <v>853</v>
      </c>
    </row>
    <row r="97" customFormat="false" ht="15" hidden="false" customHeight="false" outlineLevel="0" collapsed="false">
      <c r="A97" s="11" t="s">
        <v>2920</v>
      </c>
      <c r="B97" s="53" t="str">
        <f aca="false">IF(Costos!$B$14="","Puesto 9",Costos!$B$14&amp;" ("&amp;Costos!$C$14&amp;")")</f>
        <v>Gerente Industrial (Indirecto)</v>
      </c>
      <c r="C97" s="11" t="s">
        <v>853</v>
      </c>
    </row>
    <row r="98" customFormat="false" ht="15" hidden="false" customHeight="false" outlineLevel="0" collapsed="false">
      <c r="A98" s="11" t="s">
        <v>2921</v>
      </c>
      <c r="B98" s="53" t="str">
        <f aca="false">IF(Costos!$B$15="","Puesto 10",Costos!$B$15&amp;" ("&amp;Costos!$C$15&amp;")")</f>
        <v>Coord. Prod. Corte y Deformación (Indirecto)</v>
      </c>
      <c r="C98" s="11" t="s">
        <v>853</v>
      </c>
    </row>
    <row r="99" customFormat="false" ht="15" hidden="false" customHeight="false" outlineLevel="0" collapsed="false">
      <c r="A99" s="11" t="s">
        <v>2922</v>
      </c>
      <c r="B99" s="53" t="str">
        <f aca="false">IF(Costos!$B$16="","Puesto 11",Costos!$B$16&amp;" ("&amp;Costos!$C$16&amp;")")</f>
        <v>Coord. Prod. Soldadura (Indirecto)</v>
      </c>
      <c r="C99" s="11" t="s">
        <v>853</v>
      </c>
    </row>
    <row r="100" customFormat="false" ht="15" hidden="false" customHeight="false" outlineLevel="0" collapsed="false">
      <c r="A100" s="11" t="s">
        <v>2923</v>
      </c>
      <c r="B100" s="53" t="str">
        <f aca="false">IF(Costos!$B$17="","Puesto 12",Costos!$B$17&amp;" ("&amp;Costos!$C$17&amp;")")</f>
        <v>Coord. Prod. Trat. Sup. y Pintura (Indirecto)</v>
      </c>
      <c r="C100" s="11" t="s">
        <v>853</v>
      </c>
    </row>
    <row r="101" customFormat="false" ht="15" hidden="false" customHeight="false" outlineLevel="0" collapsed="false">
      <c r="A101" s="11" t="s">
        <v>2924</v>
      </c>
      <c r="B101" s="53" t="str">
        <f aca="false">IF(Costos!$B$18="","Puesto 13",Costos!$B$18&amp;" ("&amp;Costos!$C$18&amp;")")</f>
        <v>Coord. Prod. Montaje (Indirecto)</v>
      </c>
      <c r="C101" s="11" t="s">
        <v>853</v>
      </c>
    </row>
    <row r="102" customFormat="false" ht="15" hidden="false" customHeight="false" outlineLevel="0" collapsed="false">
      <c r="A102" s="11" t="s">
        <v>2925</v>
      </c>
      <c r="B102" s="53" t="str">
        <f aca="false">IF(Costos!$B$19="","Puesto 14",Costos!$B$19&amp;" ("&amp;Costos!$C$19&amp;")")</f>
        <v>Ingeniería (Indirecto)</v>
      </c>
      <c r="C102" s="11" t="s">
        <v>853</v>
      </c>
    </row>
    <row r="103" customFormat="false" ht="15" hidden="false" customHeight="false" outlineLevel="0" collapsed="false">
      <c r="A103" s="11" t="s">
        <v>2926</v>
      </c>
      <c r="B103" s="53" t="str">
        <f aca="false">IF(Costos!$B$20="","Puesto 15",Costos!$B$20&amp;" ("&amp;Costos!$C$20&amp;")")</f>
        <v>Mantenimiento (Indirecto)</v>
      </c>
      <c r="C103" s="11" t="s">
        <v>853</v>
      </c>
    </row>
    <row r="104" customFormat="false" ht="15" hidden="false" customHeight="false" outlineLevel="0" collapsed="false">
      <c r="A104" s="11" t="s">
        <v>2927</v>
      </c>
      <c r="B104" s="53" t="str">
        <f aca="false">IF(Costos!$B$21="","Puesto 16",Costos!$B$21&amp;" ("&amp;Costos!$C$21&amp;")")</f>
        <v>PCP (Indirecto)</v>
      </c>
      <c r="C104" s="11" t="s">
        <v>853</v>
      </c>
    </row>
    <row r="105" customFormat="false" ht="15" hidden="false" customHeight="false" outlineLevel="0" collapsed="false">
      <c r="A105" s="11" t="s">
        <v>2928</v>
      </c>
      <c r="B105" s="53" t="str">
        <f aca="false">IF(Costos!$B$22="","Puesto 17",Costos!$B$22&amp;" ("&amp;Costos!$C$22&amp;")")</f>
        <v>Analista PCP (Indirecto)</v>
      </c>
      <c r="C105" s="11" t="s">
        <v>853</v>
      </c>
    </row>
    <row r="106" customFormat="false" ht="15" hidden="false" customHeight="false" outlineLevel="0" collapsed="false">
      <c r="A106" s="11" t="s">
        <v>2929</v>
      </c>
      <c r="B106" s="53" t="str">
        <f aca="false">IF(Costos!$B$23="","Puesto 18",Costos!$B$23&amp;" ("&amp;Costos!$C$23&amp;")")</f>
        <v>Depósito (Indirecto)</v>
      </c>
      <c r="C106" s="11" t="s">
        <v>853</v>
      </c>
    </row>
    <row r="107" customFormat="false" ht="15" hidden="false" customHeight="false" outlineLevel="0" collapsed="false">
      <c r="A107" s="11" t="s">
        <v>2930</v>
      </c>
      <c r="B107" s="53" t="str">
        <f aca="false">IF(Costos!$B$24="","Puesto 19",Costos!$B$24&amp;" ("&amp;Costos!$C$24&amp;")")</f>
        <v>Compras (Administración)</v>
      </c>
      <c r="C107" s="11" t="s">
        <v>853</v>
      </c>
    </row>
    <row r="108" customFormat="false" ht="15" hidden="false" customHeight="false" outlineLevel="0" collapsed="false">
      <c r="A108" s="11" t="s">
        <v>2931</v>
      </c>
      <c r="B108" s="53" t="str">
        <f aca="false">IF(Costos!$B$25="","Puesto 20",Costos!$B$25&amp;" ("&amp;Costos!$C$25&amp;")")</f>
        <v>Logística/Comex (Administración)</v>
      </c>
      <c r="C108" s="11" t="s">
        <v>853</v>
      </c>
    </row>
    <row r="109" customFormat="false" ht="15" hidden="false" customHeight="false" outlineLevel="0" collapsed="false">
      <c r="A109" s="11" t="s">
        <v>2932</v>
      </c>
      <c r="B109" s="53" t="str">
        <f aca="false">IF(Costos!$B$26="","Puesto 21",Costos!$B$26&amp;" ("&amp;Costos!$C$26&amp;")")</f>
        <v>Coord. Control Calidad (Indirecto)</v>
      </c>
      <c r="C109" s="11" t="s">
        <v>853</v>
      </c>
    </row>
    <row r="110" customFormat="false" ht="15" hidden="false" customHeight="false" outlineLevel="0" collapsed="false">
      <c r="A110" s="11" t="s">
        <v>2933</v>
      </c>
      <c r="B110" s="53" t="str">
        <f aca="false">IF(Costos!$B$27="","Puesto 22",Costos!$B$27&amp;" ("&amp;Costos!$C$27&amp;")")</f>
        <v>Asistente Control Calidad (Indirecto)</v>
      </c>
      <c r="C110" s="11" t="s">
        <v>853</v>
      </c>
    </row>
    <row r="111" customFormat="false" ht="15" hidden="false" customHeight="false" outlineLevel="0" collapsed="false">
      <c r="A111" s="11" t="s">
        <v>2934</v>
      </c>
      <c r="B111" s="53" t="str">
        <f aca="false">IF(Costos!$B$28="","Puesto 23",Costos!$B$28&amp;" ("&amp;Costos!$C$28&amp;")")</f>
        <v>Coord. Procesos (Indirecto)</v>
      </c>
      <c r="C111" s="11" t="s">
        <v>853</v>
      </c>
    </row>
    <row r="112" customFormat="false" ht="15" hidden="false" customHeight="false" outlineLevel="0" collapsed="false">
      <c r="A112" s="11" t="s">
        <v>2935</v>
      </c>
      <c r="B112" s="53" t="str">
        <f aca="false">IF(Costos!$B$29="","Puesto 24",Costos!$B$29&amp;" ("&amp;Costos!$C$29&amp;")")</f>
        <v>Asistente Procesos (Indirecto)</v>
      </c>
      <c r="C112" s="11" t="s">
        <v>853</v>
      </c>
    </row>
    <row r="113" customFormat="false" ht="15" hidden="false" customHeight="false" outlineLevel="0" collapsed="false">
      <c r="A113" s="11" t="s">
        <v>2936</v>
      </c>
      <c r="B113" s="53" t="str">
        <f aca="false">IF(Costos!$B$30="","Puesto 25",Costos!$B$30&amp;" ("&amp;Costos!$C$30&amp;")")</f>
        <v>Administrador (Administración)</v>
      </c>
      <c r="C113" s="11" t="s">
        <v>853</v>
      </c>
    </row>
    <row r="114" customFormat="false" ht="15" hidden="false" customHeight="false" outlineLevel="0" collapsed="false">
      <c r="A114" s="11" t="s">
        <v>2937</v>
      </c>
      <c r="B114" s="53" t="str">
        <f aca="false">IF(Costos!$B$31="","Puesto 26",Costos!$B$31&amp;" ("&amp;Costos!$C$31&amp;")")</f>
        <v>Asistente Administrativo (Administración)</v>
      </c>
      <c r="C114" s="11" t="s">
        <v>853</v>
      </c>
    </row>
    <row r="115" customFormat="false" ht="15" hidden="true" customHeight="false" outlineLevel="1" collapsed="false">
      <c r="A115" s="11" t="s">
        <v>2938</v>
      </c>
      <c r="B115" s="53" t="str">
        <f aca="false">IF(Costos!$B$32="","Puesto 27",Costos!$B$32&amp;" ("&amp;Costos!$C$32&amp;")")</f>
        <v>Puesto 27</v>
      </c>
      <c r="C115" s="11" t="s">
        <v>853</v>
      </c>
    </row>
    <row r="116" customFormat="false" ht="15" hidden="true" customHeight="false" outlineLevel="1" collapsed="false">
      <c r="A116" s="11" t="s">
        <v>2939</v>
      </c>
      <c r="B116" s="53" t="str">
        <f aca="false">IF(Costos!$B$33="","Puesto 28",Costos!$B$33&amp;" ("&amp;Costos!$C$33&amp;")")</f>
        <v>Puesto 28</v>
      </c>
      <c r="C116" s="11" t="s">
        <v>853</v>
      </c>
    </row>
    <row r="117" customFormat="false" ht="15" hidden="true" customHeight="false" outlineLevel="1" collapsed="false">
      <c r="A117" s="11" t="s">
        <v>2940</v>
      </c>
      <c r="B117" s="53" t="str">
        <f aca="false">IF(Costos!$B$34="","Puesto 29",Costos!$B$34&amp;" ("&amp;Costos!$C$34&amp;")")</f>
        <v>Puesto 29</v>
      </c>
      <c r="C117" s="11" t="s">
        <v>853</v>
      </c>
    </row>
    <row r="118" customFormat="false" ht="15" hidden="true" customHeight="false" outlineLevel="1" collapsed="false">
      <c r="A118" s="11" t="s">
        <v>2941</v>
      </c>
      <c r="B118" s="53" t="str">
        <f aca="false">IF(Costos!$B$35="","Puesto 30",Costos!$B$35&amp;" ("&amp;Costos!$C$35&amp;")")</f>
        <v>Puesto 30</v>
      </c>
      <c r="C118" s="11" t="s">
        <v>853</v>
      </c>
    </row>
    <row r="119" customFormat="false" ht="15" hidden="false" customHeight="false" outlineLevel="0" collapsed="false">
      <c r="A119" s="13"/>
      <c r="B119" s="100" t="s">
        <v>2942</v>
      </c>
      <c r="C119" s="13"/>
      <c r="D119" s="13"/>
      <c r="E119" s="13"/>
      <c r="F119" s="13"/>
      <c r="G119" s="13"/>
      <c r="H119" s="13"/>
      <c r="I119" s="13"/>
      <c r="J119" s="13"/>
      <c r="K119" s="13"/>
      <c r="L119" s="13"/>
      <c r="M119" s="13"/>
      <c r="N119" s="13"/>
      <c r="O119" s="13"/>
    </row>
    <row r="120" customFormat="false" ht="15" hidden="false" customHeight="false" outlineLevel="0" collapsed="false">
      <c r="A120" s="11" t="s">
        <v>2943</v>
      </c>
      <c r="B120" s="53" t="str">
        <f aca="false">IF(Costos!$B$6="","Puesto 1",Costos!$B$6&amp;" ("&amp;Costos!$C$6&amp;")")</f>
        <v>Operador láser (Directo)</v>
      </c>
      <c r="C120" s="11" t="s">
        <v>508</v>
      </c>
      <c r="O120" s="54" t="str">
        <f aca="false">IF(COUNT(D120:N120)=0,"",SUM(D120:N120))</f>
        <v/>
      </c>
    </row>
    <row r="121" customFormat="false" ht="15" hidden="false" customHeight="false" outlineLevel="0" collapsed="false">
      <c r="A121" s="11" t="s">
        <v>2944</v>
      </c>
      <c r="B121" s="53" t="str">
        <f aca="false">IF(Costos!$B$7="","Puesto 2",Costos!$B$7&amp;" ("&amp;Costos!$C$7&amp;")")</f>
        <v>Doblador (Directo)</v>
      </c>
      <c r="C121" s="11" t="s">
        <v>508</v>
      </c>
      <c r="O121" s="54" t="str">
        <f aca="false">IF(COUNT(D121:N121)=0,"",SUM(D121:N121))</f>
        <v/>
      </c>
    </row>
    <row r="122" customFormat="false" ht="15" hidden="false" customHeight="false" outlineLevel="0" collapsed="false">
      <c r="A122" s="11" t="s">
        <v>2945</v>
      </c>
      <c r="B122" s="53" t="str">
        <f aca="false">IF(Costos!$B$8="","Puesto 3",Costos!$B$8&amp;" ("&amp;Costos!$C$8&amp;")")</f>
        <v>Soldador (Directo)</v>
      </c>
      <c r="C122" s="11" t="s">
        <v>508</v>
      </c>
      <c r="O122" s="54" t="str">
        <f aca="false">IF(COUNT(D122:N122)=0,"",SUM(D122:N122))</f>
        <v/>
      </c>
    </row>
    <row r="123" customFormat="false" ht="15" hidden="false" customHeight="false" outlineLevel="0" collapsed="false">
      <c r="A123" s="11" t="s">
        <v>2946</v>
      </c>
      <c r="B123" s="53" t="str">
        <f aca="false">IF(Costos!$B$9="","Puesto 4",Costos!$B$9&amp;" ("&amp;Costos!$C$9&amp;")")</f>
        <v>Baño (Directo)</v>
      </c>
      <c r="C123" s="11" t="s">
        <v>508</v>
      </c>
      <c r="O123" s="54" t="str">
        <f aca="false">IF(COUNT(D123:N123)=0,"",SUM(D123:N123))</f>
        <v/>
      </c>
    </row>
    <row r="124" customFormat="false" ht="15" hidden="false" customHeight="false" outlineLevel="0" collapsed="false">
      <c r="A124" s="11" t="s">
        <v>2947</v>
      </c>
      <c r="B124" s="53" t="str">
        <f aca="false">IF(Costos!$B$10="","Puesto 5",Costos!$B$10&amp;" ("&amp;Costos!$C$10&amp;")")</f>
        <v>Pintor (Directo)</v>
      </c>
      <c r="C124" s="11" t="s">
        <v>508</v>
      </c>
      <c r="O124" s="54" t="str">
        <f aca="false">IF(COUNT(D124:N124)=0,"",SUM(D124:N124))</f>
        <v/>
      </c>
    </row>
    <row r="125" customFormat="false" ht="15" hidden="false" customHeight="false" outlineLevel="0" collapsed="false">
      <c r="A125" s="11" t="s">
        <v>2948</v>
      </c>
      <c r="B125" s="53" t="str">
        <f aca="false">IF(Costos!$B$11="","Puesto 6",Costos!$B$11&amp;" ("&amp;Costos!$C$11&amp;")")</f>
        <v>Montador (Directo)</v>
      </c>
      <c r="C125" s="11" t="s">
        <v>508</v>
      </c>
      <c r="O125" s="54" t="str">
        <f aca="false">IF(COUNT(D125:N125)=0,"",SUM(D125:N125))</f>
        <v/>
      </c>
    </row>
    <row r="126" customFormat="false" ht="15" hidden="false" customHeight="false" outlineLevel="0" collapsed="false">
      <c r="A126" s="11" t="s">
        <v>2949</v>
      </c>
      <c r="B126" s="53" t="str">
        <f aca="false">IF(Costos!$B$12="","Puesto 7",Costos!$B$12&amp;" ("&amp;Costos!$C$12&amp;")")</f>
        <v>Ayudante (Directo)</v>
      </c>
      <c r="C126" s="11" t="s">
        <v>508</v>
      </c>
      <c r="O126" s="54" t="str">
        <f aca="false">IF(COUNT(D126:N126)=0,"",SUM(D126:N126))</f>
        <v/>
      </c>
    </row>
    <row r="127" customFormat="false" ht="15" hidden="false" customHeight="false" outlineLevel="0" collapsed="false">
      <c r="A127" s="11" t="s">
        <v>2950</v>
      </c>
      <c r="B127" s="53" t="str">
        <f aca="false">IF(Costos!$B$13="","Puesto 8",Costos!$B$13&amp;" ("&amp;Costos!$C$13&amp;")")</f>
        <v>Gerente General (Administración)</v>
      </c>
      <c r="C127" s="11" t="s">
        <v>508</v>
      </c>
      <c r="O127" s="54" t="str">
        <f aca="false">IF(COUNT(D127:N127)=0,"",SUM(D127:N127))</f>
        <v/>
      </c>
    </row>
    <row r="128" customFormat="false" ht="15" hidden="false" customHeight="false" outlineLevel="0" collapsed="false">
      <c r="A128" s="11" t="s">
        <v>2951</v>
      </c>
      <c r="B128" s="53" t="str">
        <f aca="false">IF(Costos!$B$14="","Puesto 9",Costos!$B$14&amp;" ("&amp;Costos!$C$14&amp;")")</f>
        <v>Gerente Industrial (Indirecto)</v>
      </c>
      <c r="C128" s="11" t="s">
        <v>508</v>
      </c>
      <c r="O128" s="54" t="str">
        <f aca="false">IF(COUNT(D128:N128)=0,"",SUM(D128:N128))</f>
        <v/>
      </c>
    </row>
    <row r="129" customFormat="false" ht="15" hidden="false" customHeight="false" outlineLevel="0" collapsed="false">
      <c r="A129" s="11" t="s">
        <v>2952</v>
      </c>
      <c r="B129" s="53" t="str">
        <f aca="false">IF(Costos!$B$15="","Puesto 10",Costos!$B$15&amp;" ("&amp;Costos!$C$15&amp;")")</f>
        <v>Coord. Prod. Corte y Deformación (Indirecto)</v>
      </c>
      <c r="C129" s="11" t="s">
        <v>508</v>
      </c>
      <c r="O129" s="54" t="str">
        <f aca="false">IF(COUNT(D129:N129)=0,"",SUM(D129:N129))</f>
        <v/>
      </c>
    </row>
    <row r="130" customFormat="false" ht="15" hidden="false" customHeight="false" outlineLevel="0" collapsed="false">
      <c r="A130" s="11" t="s">
        <v>2953</v>
      </c>
      <c r="B130" s="53" t="str">
        <f aca="false">IF(Costos!$B$16="","Puesto 11",Costos!$B$16&amp;" ("&amp;Costos!$C$16&amp;")")</f>
        <v>Coord. Prod. Soldadura (Indirecto)</v>
      </c>
      <c r="C130" s="11" t="s">
        <v>508</v>
      </c>
      <c r="O130" s="54" t="str">
        <f aca="false">IF(COUNT(D130:N130)=0,"",SUM(D130:N130))</f>
        <v/>
      </c>
    </row>
    <row r="131" customFormat="false" ht="15" hidden="false" customHeight="false" outlineLevel="0" collapsed="false">
      <c r="A131" s="11" t="s">
        <v>2954</v>
      </c>
      <c r="B131" s="53" t="str">
        <f aca="false">IF(Costos!$B$17="","Puesto 12",Costos!$B$17&amp;" ("&amp;Costos!$C$17&amp;")")</f>
        <v>Coord. Prod. Trat. Sup. y Pintura (Indirecto)</v>
      </c>
      <c r="C131" s="11" t="s">
        <v>508</v>
      </c>
      <c r="O131" s="54" t="str">
        <f aca="false">IF(COUNT(D131:N131)=0,"",SUM(D131:N131))</f>
        <v/>
      </c>
    </row>
    <row r="132" customFormat="false" ht="15" hidden="false" customHeight="false" outlineLevel="0" collapsed="false">
      <c r="A132" s="11" t="s">
        <v>2955</v>
      </c>
      <c r="B132" s="53" t="str">
        <f aca="false">IF(Costos!$B$18="","Puesto 13",Costos!$B$18&amp;" ("&amp;Costos!$C$18&amp;")")</f>
        <v>Coord. Prod. Montaje (Indirecto)</v>
      </c>
      <c r="C132" s="11" t="s">
        <v>508</v>
      </c>
      <c r="O132" s="54" t="str">
        <f aca="false">IF(COUNT(D132:N132)=0,"",SUM(D132:N132))</f>
        <v/>
      </c>
    </row>
    <row r="133" customFormat="false" ht="15" hidden="false" customHeight="false" outlineLevel="0" collapsed="false">
      <c r="A133" s="11" t="s">
        <v>2956</v>
      </c>
      <c r="B133" s="53" t="str">
        <f aca="false">IF(Costos!$B$19="","Puesto 14",Costos!$B$19&amp;" ("&amp;Costos!$C$19&amp;")")</f>
        <v>Ingeniería (Indirecto)</v>
      </c>
      <c r="C133" s="11" t="s">
        <v>508</v>
      </c>
      <c r="O133" s="54" t="str">
        <f aca="false">IF(COUNT(D133:N133)=0,"",SUM(D133:N133))</f>
        <v/>
      </c>
    </row>
    <row r="134" customFormat="false" ht="15" hidden="false" customHeight="false" outlineLevel="0" collapsed="false">
      <c r="A134" s="11" t="s">
        <v>2957</v>
      </c>
      <c r="B134" s="53" t="str">
        <f aca="false">IF(Costos!$B$20="","Puesto 15",Costos!$B$20&amp;" ("&amp;Costos!$C$20&amp;")")</f>
        <v>Mantenimiento (Indirecto)</v>
      </c>
      <c r="C134" s="11" t="s">
        <v>508</v>
      </c>
      <c r="O134" s="54" t="str">
        <f aca="false">IF(COUNT(D134:N134)=0,"",SUM(D134:N134))</f>
        <v/>
      </c>
    </row>
    <row r="135" customFormat="false" ht="15" hidden="false" customHeight="false" outlineLevel="0" collapsed="false">
      <c r="A135" s="11" t="s">
        <v>2958</v>
      </c>
      <c r="B135" s="53" t="str">
        <f aca="false">IF(Costos!$B$21="","Puesto 16",Costos!$B$21&amp;" ("&amp;Costos!$C$21&amp;")")</f>
        <v>PCP (Indirecto)</v>
      </c>
      <c r="C135" s="11" t="s">
        <v>508</v>
      </c>
      <c r="O135" s="54" t="str">
        <f aca="false">IF(COUNT(D135:N135)=0,"",SUM(D135:N135))</f>
        <v/>
      </c>
    </row>
    <row r="136" customFormat="false" ht="15" hidden="false" customHeight="false" outlineLevel="0" collapsed="false">
      <c r="A136" s="11" t="s">
        <v>2959</v>
      </c>
      <c r="B136" s="53" t="str">
        <f aca="false">IF(Costos!$B$22="","Puesto 17",Costos!$B$22&amp;" ("&amp;Costos!$C$22&amp;")")</f>
        <v>Analista PCP (Indirecto)</v>
      </c>
      <c r="C136" s="11" t="s">
        <v>508</v>
      </c>
      <c r="O136" s="54" t="str">
        <f aca="false">IF(COUNT(D136:N136)=0,"",SUM(D136:N136))</f>
        <v/>
      </c>
    </row>
    <row r="137" customFormat="false" ht="15" hidden="false" customHeight="false" outlineLevel="0" collapsed="false">
      <c r="A137" s="11" t="s">
        <v>2960</v>
      </c>
      <c r="B137" s="53" t="str">
        <f aca="false">IF(Costos!$B$23="","Puesto 18",Costos!$B$23&amp;" ("&amp;Costos!$C$23&amp;")")</f>
        <v>Depósito (Indirecto)</v>
      </c>
      <c r="C137" s="11" t="s">
        <v>508</v>
      </c>
      <c r="O137" s="54" t="str">
        <f aca="false">IF(COUNT(D137:N137)=0,"",SUM(D137:N137))</f>
        <v/>
      </c>
    </row>
    <row r="138" customFormat="false" ht="15" hidden="false" customHeight="false" outlineLevel="0" collapsed="false">
      <c r="A138" s="11" t="s">
        <v>2961</v>
      </c>
      <c r="B138" s="53" t="str">
        <f aca="false">IF(Costos!$B$24="","Puesto 19",Costos!$B$24&amp;" ("&amp;Costos!$C$24&amp;")")</f>
        <v>Compras (Administración)</v>
      </c>
      <c r="C138" s="11" t="s">
        <v>508</v>
      </c>
      <c r="O138" s="54" t="str">
        <f aca="false">IF(COUNT(D138:N138)=0,"",SUM(D138:N138))</f>
        <v/>
      </c>
    </row>
    <row r="139" customFormat="false" ht="15" hidden="false" customHeight="false" outlineLevel="0" collapsed="false">
      <c r="A139" s="11" t="s">
        <v>2962</v>
      </c>
      <c r="B139" s="53" t="str">
        <f aca="false">IF(Costos!$B$25="","Puesto 20",Costos!$B$25&amp;" ("&amp;Costos!$C$25&amp;")")</f>
        <v>Logística/Comex (Administración)</v>
      </c>
      <c r="C139" s="11" t="s">
        <v>508</v>
      </c>
      <c r="O139" s="54" t="str">
        <f aca="false">IF(COUNT(D139:N139)=0,"",SUM(D139:N139))</f>
        <v/>
      </c>
    </row>
    <row r="140" customFormat="false" ht="15" hidden="false" customHeight="false" outlineLevel="0" collapsed="false">
      <c r="A140" s="11" t="s">
        <v>2963</v>
      </c>
      <c r="B140" s="53" t="str">
        <f aca="false">IF(Costos!$B$26="","Puesto 21",Costos!$B$26&amp;" ("&amp;Costos!$C$26&amp;")")</f>
        <v>Coord. Control Calidad (Indirecto)</v>
      </c>
      <c r="C140" s="11" t="s">
        <v>508</v>
      </c>
      <c r="O140" s="54" t="str">
        <f aca="false">IF(COUNT(D140:N140)=0,"",SUM(D140:N140))</f>
        <v/>
      </c>
    </row>
    <row r="141" customFormat="false" ht="15" hidden="false" customHeight="false" outlineLevel="0" collapsed="false">
      <c r="A141" s="11" t="s">
        <v>2964</v>
      </c>
      <c r="B141" s="53" t="str">
        <f aca="false">IF(Costos!$B$27="","Puesto 22",Costos!$B$27&amp;" ("&amp;Costos!$C$27&amp;")")</f>
        <v>Asistente Control Calidad (Indirecto)</v>
      </c>
      <c r="C141" s="11" t="s">
        <v>508</v>
      </c>
      <c r="O141" s="54" t="str">
        <f aca="false">IF(COUNT(D141:N141)=0,"",SUM(D141:N141))</f>
        <v/>
      </c>
    </row>
    <row r="142" customFormat="false" ht="15" hidden="false" customHeight="false" outlineLevel="0" collapsed="false">
      <c r="A142" s="11" t="s">
        <v>2965</v>
      </c>
      <c r="B142" s="53" t="str">
        <f aca="false">IF(Costos!$B$28="","Puesto 23",Costos!$B$28&amp;" ("&amp;Costos!$C$28&amp;")")</f>
        <v>Coord. Procesos (Indirecto)</v>
      </c>
      <c r="C142" s="11" t="s">
        <v>508</v>
      </c>
      <c r="O142" s="54" t="str">
        <f aca="false">IF(COUNT(D142:N142)=0,"",SUM(D142:N142))</f>
        <v/>
      </c>
    </row>
    <row r="143" customFormat="false" ht="15" hidden="false" customHeight="false" outlineLevel="0" collapsed="false">
      <c r="A143" s="11" t="s">
        <v>2966</v>
      </c>
      <c r="B143" s="53" t="str">
        <f aca="false">IF(Costos!$B$29="","Puesto 24",Costos!$B$29&amp;" ("&amp;Costos!$C$29&amp;")")</f>
        <v>Asistente Procesos (Indirecto)</v>
      </c>
      <c r="C143" s="11" t="s">
        <v>508</v>
      </c>
      <c r="O143" s="54" t="str">
        <f aca="false">IF(COUNT(D143:N143)=0,"",SUM(D143:N143))</f>
        <v/>
      </c>
    </row>
    <row r="144" customFormat="false" ht="15" hidden="false" customHeight="false" outlineLevel="0" collapsed="false">
      <c r="A144" s="11" t="s">
        <v>2967</v>
      </c>
      <c r="B144" s="53" t="str">
        <f aca="false">IF(Costos!$B$30="","Puesto 25",Costos!$B$30&amp;" ("&amp;Costos!$C$30&amp;")")</f>
        <v>Administrador (Administración)</v>
      </c>
      <c r="C144" s="11" t="s">
        <v>508</v>
      </c>
      <c r="O144" s="54" t="str">
        <f aca="false">IF(COUNT(D144:N144)=0,"",SUM(D144:N144))</f>
        <v/>
      </c>
    </row>
    <row r="145" customFormat="false" ht="15" hidden="false" customHeight="false" outlineLevel="0" collapsed="false">
      <c r="A145" s="11" t="s">
        <v>2968</v>
      </c>
      <c r="B145" s="53" t="str">
        <f aca="false">IF(Costos!$B$31="","Puesto 26",Costos!$B$31&amp;" ("&amp;Costos!$C$31&amp;")")</f>
        <v>Asistente Administrativo (Administración)</v>
      </c>
      <c r="C145" s="11" t="s">
        <v>508</v>
      </c>
      <c r="O145" s="54" t="str">
        <f aca="false">IF(COUNT(D145:N145)=0,"",SUM(D145:N145))</f>
        <v/>
      </c>
    </row>
    <row r="146" customFormat="false" ht="15" hidden="true" customHeight="false" outlineLevel="1" collapsed="false">
      <c r="A146" s="11" t="s">
        <v>2969</v>
      </c>
      <c r="B146" s="53" t="str">
        <f aca="false">IF(Costos!$B$32="","Puesto 27",Costos!$B$32&amp;" ("&amp;Costos!$C$32&amp;")")</f>
        <v>Puesto 27</v>
      </c>
      <c r="C146" s="11" t="s">
        <v>508</v>
      </c>
      <c r="O146" s="54" t="str">
        <f aca="false">IF(COUNT(D146:N146)=0,"",SUM(D146:N146))</f>
        <v/>
      </c>
    </row>
    <row r="147" customFormat="false" ht="15" hidden="true" customHeight="false" outlineLevel="1" collapsed="false">
      <c r="A147" s="11" t="s">
        <v>2970</v>
      </c>
      <c r="B147" s="53" t="str">
        <f aca="false">IF(Costos!$B$33="","Puesto 28",Costos!$B$33&amp;" ("&amp;Costos!$C$33&amp;")")</f>
        <v>Puesto 28</v>
      </c>
      <c r="C147" s="11" t="s">
        <v>508</v>
      </c>
      <c r="O147" s="54" t="str">
        <f aca="false">IF(COUNT(D147:N147)=0,"",SUM(D147:N147))</f>
        <v/>
      </c>
    </row>
    <row r="148" customFormat="false" ht="15" hidden="true" customHeight="false" outlineLevel="1" collapsed="false">
      <c r="A148" s="11" t="s">
        <v>2971</v>
      </c>
      <c r="B148" s="53" t="str">
        <f aca="false">IF(Costos!$B$34="","Puesto 29",Costos!$B$34&amp;" ("&amp;Costos!$C$34&amp;")")</f>
        <v>Puesto 29</v>
      </c>
      <c r="C148" s="11" t="s">
        <v>508</v>
      </c>
      <c r="O148" s="54" t="str">
        <f aca="false">IF(COUNT(D148:N148)=0,"",SUM(D148:N148))</f>
        <v/>
      </c>
    </row>
    <row r="149" customFormat="false" ht="15" hidden="true" customHeight="false" outlineLevel="1" collapsed="false">
      <c r="A149" s="11" t="s">
        <v>2972</v>
      </c>
      <c r="B149" s="53" t="str">
        <f aca="false">IF(Costos!$B$35="","Puesto 30",Costos!$B$35&amp;" ("&amp;Costos!$C$35&amp;")")</f>
        <v>Puesto 30</v>
      </c>
      <c r="C149" s="11" t="s">
        <v>508</v>
      </c>
      <c r="O149" s="54" t="str">
        <f aca="false">IF(COUNT(D149:N149)=0,"",SUM(D149:N149))</f>
        <v/>
      </c>
    </row>
    <row r="150" customFormat="false" ht="15" hidden="false" customHeight="false" outlineLevel="0" collapsed="false">
      <c r="A150" s="13"/>
      <c r="B150" s="100" t="s">
        <v>2973</v>
      </c>
      <c r="C150" s="13"/>
      <c r="D150" s="13"/>
      <c r="E150" s="13"/>
      <c r="F150" s="13"/>
      <c r="G150" s="13"/>
      <c r="H150" s="13"/>
      <c r="I150" s="13"/>
      <c r="J150" s="13"/>
      <c r="K150" s="13"/>
      <c r="L150" s="13"/>
      <c r="M150" s="13"/>
      <c r="N150" s="13"/>
      <c r="O150" s="13"/>
    </row>
    <row r="151" customFormat="false" ht="15" hidden="false" customHeight="false" outlineLevel="0" collapsed="false">
      <c r="A151" s="11" t="s">
        <v>2974</v>
      </c>
      <c r="B151" s="15" t="s">
        <v>2975</v>
      </c>
      <c r="C151" s="11" t="s">
        <v>853</v>
      </c>
      <c r="D151" s="55"/>
      <c r="E151" s="55" t="n">
        <v>43</v>
      </c>
      <c r="F151" s="55" t="n">
        <v>43</v>
      </c>
      <c r="G151" s="55" t="n">
        <v>46</v>
      </c>
      <c r="H151" s="55" t="n">
        <v>49</v>
      </c>
      <c r="I151" s="55" t="n">
        <v>52</v>
      </c>
      <c r="J151" s="55" t="n">
        <v>52</v>
      </c>
      <c r="K151" s="55" t="n">
        <v>52</v>
      </c>
      <c r="L151" s="55" t="n">
        <v>52</v>
      </c>
      <c r="M151" s="55" t="n">
        <v>52</v>
      </c>
      <c r="N151" s="55" t="n">
        <v>52</v>
      </c>
    </row>
    <row r="152" customFormat="false" ht="15" hidden="false" customHeight="false" outlineLevel="0" collapsed="false">
      <c r="A152" s="11" t="s">
        <v>2976</v>
      </c>
      <c r="B152" s="15" t="s">
        <v>2977</v>
      </c>
      <c r="C152" s="11" t="s">
        <v>853</v>
      </c>
    </row>
    <row r="153" customFormat="false" ht="15" hidden="false" customHeight="false" outlineLevel="0" collapsed="false">
      <c r="A153" s="11" t="s">
        <v>2978</v>
      </c>
      <c r="B153" s="15" t="s">
        <v>2979</v>
      </c>
      <c r="C153" s="11" t="s">
        <v>853</v>
      </c>
    </row>
    <row r="154" customFormat="false" ht="15" hidden="false" customHeight="false" outlineLevel="0" collapsed="false">
      <c r="A154" s="11" t="s">
        <v>2980</v>
      </c>
      <c r="B154" s="15" t="s">
        <v>2981</v>
      </c>
      <c r="C154" s="11" t="s">
        <v>853</v>
      </c>
      <c r="D154" s="55"/>
      <c r="E154" s="55" t="n">
        <v>22</v>
      </c>
      <c r="F154" s="55" t="n">
        <v>22</v>
      </c>
      <c r="G154" s="55" t="n">
        <v>22</v>
      </c>
      <c r="H154" s="55" t="n">
        <v>22</v>
      </c>
      <c r="I154" s="55" t="n">
        <v>22</v>
      </c>
      <c r="J154" s="55" t="n">
        <v>22</v>
      </c>
      <c r="K154" s="55" t="n">
        <v>22</v>
      </c>
      <c r="L154" s="55" t="n">
        <v>22</v>
      </c>
      <c r="M154" s="55" t="n">
        <v>22</v>
      </c>
      <c r="N154" s="55" t="n">
        <v>22</v>
      </c>
    </row>
    <row r="155" customFormat="false" ht="15" hidden="false" customHeight="false" outlineLevel="0" collapsed="false">
      <c r="A155" s="11" t="s">
        <v>2982</v>
      </c>
      <c r="B155" s="67" t="s">
        <v>2983</v>
      </c>
      <c r="C155" s="11" t="s">
        <v>853</v>
      </c>
      <c r="D155" s="55"/>
      <c r="E155" s="55" t="n">
        <v>65</v>
      </c>
      <c r="F155" s="55" t="n">
        <v>65</v>
      </c>
      <c r="G155" s="55" t="n">
        <v>68</v>
      </c>
      <c r="H155" s="55" t="n">
        <v>71</v>
      </c>
      <c r="I155" s="55" t="n">
        <v>74</v>
      </c>
      <c r="J155" s="55" t="n">
        <v>74</v>
      </c>
      <c r="K155" s="55" t="n">
        <v>74</v>
      </c>
      <c r="L155" s="55" t="n">
        <v>74</v>
      </c>
      <c r="M155" s="55" t="n">
        <v>74</v>
      </c>
      <c r="N155" s="55" t="n">
        <v>74</v>
      </c>
    </row>
    <row r="156" customFormat="false" ht="15" hidden="false" customHeight="false" outlineLevel="0" collapsed="false">
      <c r="A156" s="11" t="s">
        <v>2984</v>
      </c>
      <c r="B156" s="15" t="s">
        <v>2985</v>
      </c>
      <c r="C156" s="11" t="s">
        <v>508</v>
      </c>
      <c r="D156" s="37"/>
      <c r="E156" s="37" t="n">
        <v>223678</v>
      </c>
      <c r="F156" s="37" t="n">
        <v>223678</v>
      </c>
      <c r="G156" s="37" t="n">
        <v>242111</v>
      </c>
      <c r="H156" s="37" t="n">
        <v>256510</v>
      </c>
      <c r="I156" s="37" t="n">
        <v>274466</v>
      </c>
      <c r="J156" s="37" t="n">
        <v>274466</v>
      </c>
      <c r="K156" s="37" t="n">
        <v>274466</v>
      </c>
      <c r="L156" s="37" t="n">
        <v>274466</v>
      </c>
      <c r="M156" s="37" t="n">
        <v>274466</v>
      </c>
      <c r="N156" s="37" t="n">
        <v>274466</v>
      </c>
      <c r="O156" s="54" t="n">
        <f aca="false">IF(COUNT(D156:N156)=0,"",SUM(D156:N156))</f>
        <v>2592773</v>
      </c>
    </row>
    <row r="157" customFormat="false" ht="15" hidden="false" customHeight="false" outlineLevel="0" collapsed="false">
      <c r="A157" s="11" t="s">
        <v>2986</v>
      </c>
      <c r="B157" s="15" t="s">
        <v>2987</v>
      </c>
      <c r="C157" s="11" t="s">
        <v>508</v>
      </c>
      <c r="O157" s="54" t="str">
        <f aca="false">IF(COUNT(D157:N157)=0,"",SUM(D157:N157))</f>
        <v/>
      </c>
    </row>
    <row r="158" customFormat="false" ht="15" hidden="false" customHeight="false" outlineLevel="0" collapsed="false">
      <c r="A158" s="11" t="s">
        <v>2988</v>
      </c>
      <c r="B158" s="15" t="s">
        <v>2989</v>
      </c>
      <c r="C158" s="11" t="s">
        <v>508</v>
      </c>
      <c r="O158" s="54" t="str">
        <f aca="false">IF(COUNT(D158:N158)=0,"",SUM(D158:N158))</f>
        <v/>
      </c>
    </row>
    <row r="159" customFormat="false" ht="15" hidden="false" customHeight="false" outlineLevel="0" collapsed="false">
      <c r="A159" s="11" t="s">
        <v>2990</v>
      </c>
      <c r="B159" s="15" t="s">
        <v>2991</v>
      </c>
      <c r="C159" s="11" t="s">
        <v>508</v>
      </c>
      <c r="D159" s="37"/>
      <c r="E159" s="37" t="n">
        <v>211643</v>
      </c>
      <c r="F159" s="37" t="n">
        <v>211643</v>
      </c>
      <c r="G159" s="37" t="n">
        <v>211643</v>
      </c>
      <c r="H159" s="37" t="n">
        <v>211643</v>
      </c>
      <c r="I159" s="37" t="n">
        <v>211643</v>
      </c>
      <c r="J159" s="37" t="n">
        <v>211643</v>
      </c>
      <c r="K159" s="37" t="n">
        <v>211643</v>
      </c>
      <c r="L159" s="37" t="n">
        <v>211643</v>
      </c>
      <c r="M159" s="37" t="n">
        <v>211643</v>
      </c>
      <c r="N159" s="37" t="n">
        <v>211643</v>
      </c>
      <c r="O159" s="54" t="n">
        <f aca="false">IF(COUNT(D159:N159)=0,"",SUM(D159:N159))</f>
        <v>2116430</v>
      </c>
    </row>
    <row r="160" customFormat="false" ht="15" hidden="false" customHeight="false" outlineLevel="0" collapsed="false">
      <c r="A160" s="11" t="s">
        <v>2992</v>
      </c>
      <c r="B160" s="67" t="s">
        <v>2993</v>
      </c>
      <c r="C160" s="11" t="s">
        <v>508</v>
      </c>
      <c r="D160" s="37"/>
      <c r="E160" s="37" t="n">
        <v>435321</v>
      </c>
      <c r="F160" s="37" t="n">
        <v>435321</v>
      </c>
      <c r="G160" s="37" t="n">
        <v>453754</v>
      </c>
      <c r="H160" s="37" t="n">
        <v>468153</v>
      </c>
      <c r="I160" s="37" t="n">
        <v>486109</v>
      </c>
      <c r="J160" s="37" t="n">
        <v>486109</v>
      </c>
      <c r="K160" s="37" t="n">
        <v>486109</v>
      </c>
      <c r="L160" s="37" t="n">
        <v>486109</v>
      </c>
      <c r="M160" s="37" t="n">
        <v>486109</v>
      </c>
      <c r="N160" s="37" t="n">
        <v>486109</v>
      </c>
      <c r="O160" s="54" t="n">
        <f aca="false">IF(COUNT(D160:N160)=0,"",SUM(D160:N160))</f>
        <v>4709203</v>
      </c>
    </row>
    <row r="161" customFormat="false" ht="15" hidden="false" customHeight="false" outlineLevel="0" collapsed="false">
      <c r="A161" s="11" t="s">
        <v>2994</v>
      </c>
      <c r="B161" s="15" t="s">
        <v>2307</v>
      </c>
      <c r="C161" s="11" t="s">
        <v>508</v>
      </c>
      <c r="O161" s="54" t="str">
        <f aca="false">IF(COUNT(D161:N161)=0,"",SUM(D161:N161))</f>
        <v/>
      </c>
    </row>
    <row r="162" customFormat="false" ht="15" hidden="false" customHeight="false" outlineLevel="0" collapsed="false">
      <c r="A162" s="11" t="s">
        <v>2995</v>
      </c>
      <c r="B162" s="15" t="s">
        <v>2996</v>
      </c>
      <c r="C162" s="11" t="s">
        <v>508</v>
      </c>
      <c r="O162" s="54" t="str">
        <f aca="false">IF(COUNT(D162:N162)=0,"",SUM(D162:N162))</f>
        <v/>
      </c>
    </row>
    <row r="163" customFormat="false" ht="15" hidden="false" customHeight="false" outlineLevel="0" collapsed="false">
      <c r="A163" s="11" t="s">
        <v>2997</v>
      </c>
      <c r="B163" s="67" t="s">
        <v>2998</v>
      </c>
      <c r="C163" s="11" t="s">
        <v>508</v>
      </c>
      <c r="O163" s="54" t="str">
        <f aca="false">IF(COUNT(D163:N163)=0,"",SUM(D163:N163))</f>
        <v/>
      </c>
    </row>
    <row r="165" customFormat="false" ht="15" hidden="false" customHeight="false" outlineLevel="0" collapsed="false">
      <c r="A165" s="101" t="s">
        <v>1994</v>
      </c>
      <c r="B165" s="102"/>
      <c r="C165" s="102"/>
      <c r="D165" s="102"/>
      <c r="E165" s="102"/>
      <c r="F165" s="102"/>
      <c r="G165" s="102"/>
      <c r="H165" s="102"/>
      <c r="I165" s="102"/>
      <c r="J165" s="102"/>
      <c r="K165" s="102"/>
      <c r="L165" s="102"/>
      <c r="M165" s="102"/>
      <c r="N165" s="102"/>
      <c r="O165" s="102"/>
      <c r="P165" s="102"/>
    </row>
    <row r="166" customFormat="false" ht="24" hidden="false" customHeight="true" outlineLevel="0" collapsed="false">
      <c r="A166" s="14"/>
      <c r="B166" s="14" t="s">
        <v>1530</v>
      </c>
      <c r="C166" s="14" t="s">
        <v>355</v>
      </c>
      <c r="D166" s="14" t="s">
        <v>1857</v>
      </c>
      <c r="E166" s="14" t="s">
        <v>452</v>
      </c>
      <c r="F166" s="14" t="s">
        <v>453</v>
      </c>
      <c r="G166" s="14" t="s">
        <v>454</v>
      </c>
      <c r="H166" s="14" t="s">
        <v>455</v>
      </c>
      <c r="I166" s="14" t="s">
        <v>456</v>
      </c>
      <c r="J166" s="14" t="s">
        <v>457</v>
      </c>
      <c r="K166" s="14" t="s">
        <v>458</v>
      </c>
      <c r="L166" s="14" t="s">
        <v>459</v>
      </c>
      <c r="M166" s="14" t="s">
        <v>460</v>
      </c>
      <c r="N166" s="14" t="s">
        <v>461</v>
      </c>
      <c r="O166" s="14" t="s">
        <v>549</v>
      </c>
      <c r="P166" s="14" t="s">
        <v>1822</v>
      </c>
    </row>
    <row r="167" customFormat="false" ht="15" hidden="false" customHeight="false" outlineLevel="0" collapsed="false">
      <c r="B167" s="11" t="s">
        <v>1993</v>
      </c>
      <c r="D167" s="86" t="str">
        <f aca="false">IF(OR(n_Fecha1="",IF(cu_P=1,P_Inicio,V_Inicio)=1),"",YEAR(n_Fecha1))</f>
        <v/>
      </c>
      <c r="E167" s="86" t="str">
        <f aca="false">IF(n_Fecha1="","",YEAR(EOMONTH(n_Fecha1,IF(cu_P=1,P_Inicio,V_Inicio)-1+0)))</f>
        <v/>
      </c>
      <c r="F167" s="86" t="str">
        <f aca="false">IF(n_Fecha1="","",YEAR(EOMONTH(n_Fecha1,IF(cu_P=1,P_Inicio,V_Inicio)-1+12)))</f>
        <v/>
      </c>
      <c r="G167" s="86" t="str">
        <f aca="false">IF(n_Fecha1="","",YEAR(EOMONTH(n_Fecha1,IF(cu_P=1,P_Inicio,V_Inicio)-1+24)))</f>
        <v/>
      </c>
      <c r="H167" s="86" t="str">
        <f aca="false">IF(n_Fecha1="","",YEAR(EOMONTH(n_Fecha1,IF(cu_P=1,P_Inicio,V_Inicio)-1+36)))</f>
        <v/>
      </c>
      <c r="I167" s="86" t="str">
        <f aca="false">IF(n_Fecha1="","",YEAR(EOMONTH(n_Fecha1,IF(cu_P=1,P_Inicio,V_Inicio)-1+48)))</f>
        <v/>
      </c>
      <c r="J167" s="86" t="str">
        <f aca="false">IF(n_Fecha1="","",YEAR(EOMONTH(n_Fecha1,IF(cu_P=1,P_Inicio,V_Inicio)-1+60)))</f>
        <v/>
      </c>
      <c r="K167" s="86" t="str">
        <f aca="false">IF(n_Fecha1="","",YEAR(EOMONTH(n_Fecha1,IF(cu_P=1,P_Inicio,V_Inicio)-1+72)))</f>
        <v/>
      </c>
      <c r="L167" s="86" t="str">
        <f aca="false">IF(n_Fecha1="","",YEAR(EOMONTH(n_Fecha1,IF(cu_P=1,P_Inicio,V_Inicio)-1+84)))</f>
        <v/>
      </c>
      <c r="M167" s="86" t="str">
        <f aca="false">IF(n_Fecha1="","",YEAR(EOMONTH(n_Fecha1,IF(cu_P=1,P_Inicio,V_Inicio)-1+96)))</f>
        <v/>
      </c>
      <c r="N167" s="86" t="str">
        <f aca="false">IF(n_Fecha1="","",YEAR(EOMONTH(n_Fecha1,IF(cu_P=1,P_Inicio,V_Inicio)-1+108)))</f>
        <v/>
      </c>
    </row>
    <row r="168" customFormat="false" ht="15" hidden="false" customHeight="false" outlineLevel="0" collapsed="false">
      <c r="A168" s="13"/>
      <c r="B168" s="100" t="s">
        <v>2911</v>
      </c>
      <c r="C168" s="13"/>
      <c r="D168" s="13"/>
      <c r="E168" s="13"/>
      <c r="F168" s="13"/>
      <c r="G168" s="13"/>
      <c r="H168" s="13"/>
      <c r="I168" s="13"/>
      <c r="J168" s="13"/>
      <c r="K168" s="13"/>
      <c r="L168" s="13"/>
      <c r="M168" s="13"/>
      <c r="N168" s="13"/>
      <c r="O168" s="13"/>
      <c r="P168" s="13"/>
    </row>
    <row r="169" customFormat="false" ht="15" hidden="false" customHeight="false" outlineLevel="0" collapsed="false">
      <c r="A169" s="11" t="s">
        <v>2912</v>
      </c>
      <c r="B169" s="53" t="str">
        <f aca="false">IF(Costos!$B$6="","Puesto 1",Costos!$B$6&amp;" ("&amp;Costos!$C$6&amp;")")</f>
        <v>Operador láser (Directo)</v>
      </c>
      <c r="C169" s="11" t="s">
        <v>853</v>
      </c>
      <c r="E169" s="48"/>
      <c r="F169" s="48"/>
      <c r="G169" s="48"/>
      <c r="H169" s="48"/>
      <c r="I169" s="48"/>
      <c r="J169" s="48"/>
      <c r="K169" s="48"/>
      <c r="L169" s="48"/>
      <c r="M169" s="48"/>
      <c r="N169" s="48"/>
    </row>
    <row r="170" customFormat="false" ht="15" hidden="false" customHeight="false" outlineLevel="0" collapsed="false">
      <c r="A170" s="11" t="s">
        <v>2913</v>
      </c>
      <c r="B170" s="53" t="str">
        <f aca="false">IF(Costos!$B$7="","Puesto 2",Costos!$B$7&amp;" ("&amp;Costos!$C$7&amp;")")</f>
        <v>Doblador (Directo)</v>
      </c>
      <c r="C170" s="11" t="s">
        <v>853</v>
      </c>
      <c r="E170" s="48"/>
      <c r="F170" s="48"/>
      <c r="G170" s="48"/>
      <c r="H170" s="48"/>
      <c r="I170" s="48"/>
      <c r="J170" s="48"/>
      <c r="K170" s="48"/>
      <c r="L170" s="48"/>
      <c r="M170" s="48"/>
      <c r="N170" s="48"/>
    </row>
    <row r="171" customFormat="false" ht="15" hidden="false" customHeight="false" outlineLevel="0" collapsed="false">
      <c r="A171" s="11" t="s">
        <v>2914</v>
      </c>
      <c r="B171" s="53" t="str">
        <f aca="false">IF(Costos!$B$8="","Puesto 3",Costos!$B$8&amp;" ("&amp;Costos!$C$8&amp;")")</f>
        <v>Soldador (Directo)</v>
      </c>
      <c r="C171" s="11" t="s">
        <v>853</v>
      </c>
      <c r="E171" s="48"/>
      <c r="F171" s="48"/>
      <c r="G171" s="48"/>
      <c r="H171" s="48"/>
      <c r="I171" s="48"/>
      <c r="J171" s="48"/>
      <c r="K171" s="48"/>
      <c r="L171" s="48"/>
      <c r="M171" s="48"/>
      <c r="N171" s="48"/>
    </row>
    <row r="172" customFormat="false" ht="15" hidden="false" customHeight="false" outlineLevel="0" collapsed="false">
      <c r="A172" s="11" t="s">
        <v>2915</v>
      </c>
      <c r="B172" s="53" t="str">
        <f aca="false">IF(Costos!$B$9="","Puesto 4",Costos!$B$9&amp;" ("&amp;Costos!$C$9&amp;")")</f>
        <v>Baño (Directo)</v>
      </c>
      <c r="C172" s="11" t="s">
        <v>853</v>
      </c>
      <c r="E172" s="48"/>
      <c r="F172" s="48"/>
      <c r="G172" s="48"/>
      <c r="H172" s="48"/>
      <c r="I172" s="48"/>
      <c r="J172" s="48"/>
      <c r="K172" s="48"/>
      <c r="L172" s="48"/>
      <c r="M172" s="48"/>
      <c r="N172" s="48"/>
    </row>
    <row r="173" customFormat="false" ht="15" hidden="false" customHeight="false" outlineLevel="0" collapsed="false">
      <c r="A173" s="11" t="s">
        <v>2916</v>
      </c>
      <c r="B173" s="53" t="str">
        <f aca="false">IF(Costos!$B$10="","Puesto 5",Costos!$B$10&amp;" ("&amp;Costos!$C$10&amp;")")</f>
        <v>Pintor (Directo)</v>
      </c>
      <c r="C173" s="11" t="s">
        <v>853</v>
      </c>
      <c r="E173" s="48"/>
      <c r="F173" s="48"/>
      <c r="G173" s="48"/>
      <c r="H173" s="48"/>
      <c r="I173" s="48"/>
      <c r="J173" s="48"/>
      <c r="K173" s="48"/>
      <c r="L173" s="48"/>
      <c r="M173" s="48"/>
      <c r="N173" s="48"/>
    </row>
    <row r="174" customFormat="false" ht="15" hidden="false" customHeight="false" outlineLevel="0" collapsed="false">
      <c r="A174" s="11" t="s">
        <v>2917</v>
      </c>
      <c r="B174" s="53" t="str">
        <f aca="false">IF(Costos!$B$11="","Puesto 6",Costos!$B$11&amp;" ("&amp;Costos!$C$11&amp;")")</f>
        <v>Montador (Directo)</v>
      </c>
      <c r="C174" s="11" t="s">
        <v>853</v>
      </c>
      <c r="E174" s="48"/>
      <c r="F174" s="48"/>
      <c r="G174" s="48"/>
      <c r="H174" s="48"/>
      <c r="I174" s="48"/>
      <c r="J174" s="48"/>
      <c r="K174" s="48"/>
      <c r="L174" s="48"/>
      <c r="M174" s="48"/>
      <c r="N174" s="48"/>
    </row>
    <row r="175" customFormat="false" ht="15" hidden="false" customHeight="false" outlineLevel="0" collapsed="false">
      <c r="A175" s="11" t="s">
        <v>2918</v>
      </c>
      <c r="B175" s="53" t="str">
        <f aca="false">IF(Costos!$B$12="","Puesto 7",Costos!$B$12&amp;" ("&amp;Costos!$C$12&amp;")")</f>
        <v>Ayudante (Directo)</v>
      </c>
      <c r="C175" s="11" t="s">
        <v>853</v>
      </c>
      <c r="E175" s="48"/>
      <c r="F175" s="48"/>
      <c r="G175" s="48"/>
      <c r="H175" s="48"/>
      <c r="I175" s="48"/>
      <c r="J175" s="48"/>
      <c r="K175" s="48"/>
      <c r="L175" s="48"/>
      <c r="M175" s="48"/>
      <c r="N175" s="48"/>
    </row>
    <row r="176" customFormat="false" ht="15" hidden="false" customHeight="false" outlineLevel="0" collapsed="false">
      <c r="A176" s="11" t="s">
        <v>2919</v>
      </c>
      <c r="B176" s="53" t="str">
        <f aca="false">IF(Costos!$B$13="","Puesto 8",Costos!$B$13&amp;" ("&amp;Costos!$C$13&amp;")")</f>
        <v>Gerente General (Administración)</v>
      </c>
      <c r="C176" s="11" t="s">
        <v>853</v>
      </c>
      <c r="E176" s="48"/>
      <c r="F176" s="48"/>
      <c r="G176" s="48"/>
      <c r="H176" s="48"/>
      <c r="I176" s="48"/>
      <c r="J176" s="48"/>
      <c r="K176" s="48"/>
      <c r="L176" s="48"/>
      <c r="M176" s="48"/>
      <c r="N176" s="48"/>
    </row>
    <row r="177" customFormat="false" ht="15" hidden="false" customHeight="false" outlineLevel="0" collapsed="false">
      <c r="A177" s="11" t="s">
        <v>2920</v>
      </c>
      <c r="B177" s="53" t="str">
        <f aca="false">IF(Costos!$B$14="","Puesto 9",Costos!$B$14&amp;" ("&amp;Costos!$C$14&amp;")")</f>
        <v>Gerente Industrial (Indirecto)</v>
      </c>
      <c r="C177" s="11" t="s">
        <v>853</v>
      </c>
      <c r="E177" s="48"/>
      <c r="F177" s="48"/>
      <c r="G177" s="48"/>
      <c r="H177" s="48"/>
      <c r="I177" s="48"/>
      <c r="J177" s="48"/>
      <c r="K177" s="48"/>
      <c r="L177" s="48"/>
      <c r="M177" s="48"/>
      <c r="N177" s="48"/>
    </row>
    <row r="178" customFormat="false" ht="15" hidden="false" customHeight="false" outlineLevel="0" collapsed="false">
      <c r="A178" s="11" t="s">
        <v>2921</v>
      </c>
      <c r="B178" s="53" t="str">
        <f aca="false">IF(Costos!$B$15="","Puesto 10",Costos!$B$15&amp;" ("&amp;Costos!$C$15&amp;")")</f>
        <v>Coord. Prod. Corte y Deformación (Indirecto)</v>
      </c>
      <c r="C178" s="11" t="s">
        <v>853</v>
      </c>
      <c r="E178" s="48"/>
      <c r="F178" s="48"/>
      <c r="G178" s="48"/>
      <c r="H178" s="48"/>
      <c r="I178" s="48"/>
      <c r="J178" s="48"/>
      <c r="K178" s="48"/>
      <c r="L178" s="48"/>
      <c r="M178" s="48"/>
      <c r="N178" s="48"/>
    </row>
    <row r="179" customFormat="false" ht="15" hidden="false" customHeight="false" outlineLevel="0" collapsed="false">
      <c r="A179" s="11" t="s">
        <v>2922</v>
      </c>
      <c r="B179" s="53" t="str">
        <f aca="false">IF(Costos!$B$16="","Puesto 11",Costos!$B$16&amp;" ("&amp;Costos!$C$16&amp;")")</f>
        <v>Coord. Prod. Soldadura (Indirecto)</v>
      </c>
      <c r="C179" s="11" t="s">
        <v>853</v>
      </c>
      <c r="E179" s="48"/>
      <c r="F179" s="48"/>
      <c r="G179" s="48"/>
      <c r="H179" s="48"/>
      <c r="I179" s="48"/>
      <c r="J179" s="48"/>
      <c r="K179" s="48"/>
      <c r="L179" s="48"/>
      <c r="M179" s="48"/>
      <c r="N179" s="48"/>
    </row>
    <row r="180" customFormat="false" ht="15" hidden="false" customHeight="false" outlineLevel="0" collapsed="false">
      <c r="A180" s="11" t="s">
        <v>2923</v>
      </c>
      <c r="B180" s="53" t="str">
        <f aca="false">IF(Costos!$B$17="","Puesto 12",Costos!$B$17&amp;" ("&amp;Costos!$C$17&amp;")")</f>
        <v>Coord. Prod. Trat. Sup. y Pintura (Indirecto)</v>
      </c>
      <c r="C180" s="11" t="s">
        <v>853</v>
      </c>
      <c r="E180" s="48"/>
      <c r="F180" s="48"/>
      <c r="G180" s="48"/>
      <c r="H180" s="48"/>
      <c r="I180" s="48"/>
      <c r="J180" s="48"/>
      <c r="K180" s="48"/>
      <c r="L180" s="48"/>
      <c r="M180" s="48"/>
      <c r="N180" s="48"/>
    </row>
    <row r="181" customFormat="false" ht="15" hidden="false" customHeight="false" outlineLevel="0" collapsed="false">
      <c r="A181" s="11" t="s">
        <v>2924</v>
      </c>
      <c r="B181" s="53" t="str">
        <f aca="false">IF(Costos!$B$18="","Puesto 13",Costos!$B$18&amp;" ("&amp;Costos!$C$18&amp;")")</f>
        <v>Coord. Prod. Montaje (Indirecto)</v>
      </c>
      <c r="C181" s="11" t="s">
        <v>853</v>
      </c>
      <c r="E181" s="48"/>
      <c r="F181" s="48"/>
      <c r="G181" s="48"/>
      <c r="H181" s="48"/>
      <c r="I181" s="48"/>
      <c r="J181" s="48"/>
      <c r="K181" s="48"/>
      <c r="L181" s="48"/>
      <c r="M181" s="48"/>
      <c r="N181" s="48"/>
    </row>
    <row r="182" customFormat="false" ht="15" hidden="false" customHeight="false" outlineLevel="0" collapsed="false">
      <c r="A182" s="11" t="s">
        <v>2925</v>
      </c>
      <c r="B182" s="53" t="str">
        <f aca="false">IF(Costos!$B$19="","Puesto 14",Costos!$B$19&amp;" ("&amp;Costos!$C$19&amp;")")</f>
        <v>Ingeniería (Indirecto)</v>
      </c>
      <c r="C182" s="11" t="s">
        <v>853</v>
      </c>
      <c r="E182" s="48"/>
      <c r="F182" s="48"/>
      <c r="G182" s="48"/>
      <c r="H182" s="48"/>
      <c r="I182" s="48"/>
      <c r="J182" s="48"/>
      <c r="K182" s="48"/>
      <c r="L182" s="48"/>
      <c r="M182" s="48"/>
      <c r="N182" s="48"/>
    </row>
    <row r="183" customFormat="false" ht="15" hidden="false" customHeight="false" outlineLevel="0" collapsed="false">
      <c r="A183" s="11" t="s">
        <v>2926</v>
      </c>
      <c r="B183" s="53" t="str">
        <f aca="false">IF(Costos!$B$20="","Puesto 15",Costos!$B$20&amp;" ("&amp;Costos!$C$20&amp;")")</f>
        <v>Mantenimiento (Indirecto)</v>
      </c>
      <c r="C183" s="11" t="s">
        <v>853</v>
      </c>
      <c r="E183" s="48"/>
      <c r="F183" s="48"/>
      <c r="G183" s="48"/>
      <c r="H183" s="48"/>
      <c r="I183" s="48"/>
      <c r="J183" s="48"/>
      <c r="K183" s="48"/>
      <c r="L183" s="48"/>
      <c r="M183" s="48"/>
      <c r="N183" s="48"/>
    </row>
    <row r="184" customFormat="false" ht="15" hidden="false" customHeight="false" outlineLevel="0" collapsed="false">
      <c r="A184" s="11" t="s">
        <v>2927</v>
      </c>
      <c r="B184" s="53" t="str">
        <f aca="false">IF(Costos!$B$21="","Puesto 16",Costos!$B$21&amp;" ("&amp;Costos!$C$21&amp;")")</f>
        <v>PCP (Indirecto)</v>
      </c>
      <c r="C184" s="11" t="s">
        <v>853</v>
      </c>
      <c r="E184" s="48"/>
      <c r="F184" s="48"/>
      <c r="G184" s="48"/>
      <c r="H184" s="48"/>
      <c r="I184" s="48"/>
      <c r="J184" s="48"/>
      <c r="K184" s="48"/>
      <c r="L184" s="48"/>
      <c r="M184" s="48"/>
      <c r="N184" s="48"/>
    </row>
    <row r="185" customFormat="false" ht="15" hidden="false" customHeight="false" outlineLevel="0" collapsed="false">
      <c r="A185" s="11" t="s">
        <v>2928</v>
      </c>
      <c r="B185" s="53" t="str">
        <f aca="false">IF(Costos!$B$22="","Puesto 17",Costos!$B$22&amp;" ("&amp;Costos!$C$22&amp;")")</f>
        <v>Analista PCP (Indirecto)</v>
      </c>
      <c r="C185" s="11" t="s">
        <v>853</v>
      </c>
      <c r="E185" s="48"/>
      <c r="F185" s="48"/>
      <c r="G185" s="48"/>
      <c r="H185" s="48"/>
      <c r="I185" s="48"/>
      <c r="J185" s="48"/>
      <c r="K185" s="48"/>
      <c r="L185" s="48"/>
      <c r="M185" s="48"/>
      <c r="N185" s="48"/>
    </row>
    <row r="186" customFormat="false" ht="15" hidden="false" customHeight="false" outlineLevel="0" collapsed="false">
      <c r="A186" s="11" t="s">
        <v>2929</v>
      </c>
      <c r="B186" s="53" t="str">
        <f aca="false">IF(Costos!$B$23="","Puesto 18",Costos!$B$23&amp;" ("&amp;Costos!$C$23&amp;")")</f>
        <v>Depósito (Indirecto)</v>
      </c>
      <c r="C186" s="11" t="s">
        <v>853</v>
      </c>
      <c r="E186" s="48"/>
      <c r="F186" s="48"/>
      <c r="G186" s="48"/>
      <c r="H186" s="48"/>
      <c r="I186" s="48"/>
      <c r="J186" s="48"/>
      <c r="K186" s="48"/>
      <c r="L186" s="48"/>
      <c r="M186" s="48"/>
      <c r="N186" s="48"/>
    </row>
    <row r="187" customFormat="false" ht="15" hidden="false" customHeight="false" outlineLevel="0" collapsed="false">
      <c r="A187" s="11" t="s">
        <v>2930</v>
      </c>
      <c r="B187" s="53" t="str">
        <f aca="false">IF(Costos!$B$24="","Puesto 19",Costos!$B$24&amp;" ("&amp;Costos!$C$24&amp;")")</f>
        <v>Compras (Administración)</v>
      </c>
      <c r="C187" s="11" t="s">
        <v>853</v>
      </c>
      <c r="E187" s="48"/>
      <c r="F187" s="48"/>
      <c r="G187" s="48"/>
      <c r="H187" s="48"/>
      <c r="I187" s="48"/>
      <c r="J187" s="48"/>
      <c r="K187" s="48"/>
      <c r="L187" s="48"/>
      <c r="M187" s="48"/>
      <c r="N187" s="48"/>
    </row>
    <row r="188" customFormat="false" ht="15" hidden="false" customHeight="false" outlineLevel="0" collapsed="false">
      <c r="A188" s="11" t="s">
        <v>2931</v>
      </c>
      <c r="B188" s="53" t="str">
        <f aca="false">IF(Costos!$B$25="","Puesto 20",Costos!$B$25&amp;" ("&amp;Costos!$C$25&amp;")")</f>
        <v>Logística/Comex (Administración)</v>
      </c>
      <c r="C188" s="11" t="s">
        <v>853</v>
      </c>
      <c r="E188" s="48"/>
      <c r="F188" s="48"/>
      <c r="G188" s="48"/>
      <c r="H188" s="48"/>
      <c r="I188" s="48"/>
      <c r="J188" s="48"/>
      <c r="K188" s="48"/>
      <c r="L188" s="48"/>
      <c r="M188" s="48"/>
      <c r="N188" s="48"/>
    </row>
    <row r="189" customFormat="false" ht="15" hidden="false" customHeight="false" outlineLevel="0" collapsed="false">
      <c r="A189" s="11" t="s">
        <v>2932</v>
      </c>
      <c r="B189" s="53" t="str">
        <f aca="false">IF(Costos!$B$26="","Puesto 21",Costos!$B$26&amp;" ("&amp;Costos!$C$26&amp;")")</f>
        <v>Coord. Control Calidad (Indirecto)</v>
      </c>
      <c r="C189" s="11" t="s">
        <v>853</v>
      </c>
      <c r="E189" s="48"/>
      <c r="F189" s="48"/>
      <c r="G189" s="48"/>
      <c r="H189" s="48"/>
      <c r="I189" s="48"/>
      <c r="J189" s="48"/>
      <c r="K189" s="48"/>
      <c r="L189" s="48"/>
      <c r="M189" s="48"/>
      <c r="N189" s="48"/>
    </row>
    <row r="190" customFormat="false" ht="15" hidden="false" customHeight="false" outlineLevel="0" collapsed="false">
      <c r="A190" s="11" t="s">
        <v>2933</v>
      </c>
      <c r="B190" s="53" t="str">
        <f aca="false">IF(Costos!$B$27="","Puesto 22",Costos!$B$27&amp;" ("&amp;Costos!$C$27&amp;")")</f>
        <v>Asistente Control Calidad (Indirecto)</v>
      </c>
      <c r="C190" s="11" t="s">
        <v>853</v>
      </c>
      <c r="E190" s="48"/>
      <c r="F190" s="48"/>
      <c r="G190" s="48"/>
      <c r="H190" s="48"/>
      <c r="I190" s="48"/>
      <c r="J190" s="48"/>
      <c r="K190" s="48"/>
      <c r="L190" s="48"/>
      <c r="M190" s="48"/>
      <c r="N190" s="48"/>
    </row>
    <row r="191" customFormat="false" ht="15" hidden="false" customHeight="false" outlineLevel="0" collapsed="false">
      <c r="A191" s="11" t="s">
        <v>2934</v>
      </c>
      <c r="B191" s="53" t="str">
        <f aca="false">IF(Costos!$B$28="","Puesto 23",Costos!$B$28&amp;" ("&amp;Costos!$C$28&amp;")")</f>
        <v>Coord. Procesos (Indirecto)</v>
      </c>
      <c r="C191" s="11" t="s">
        <v>853</v>
      </c>
      <c r="E191" s="48"/>
      <c r="F191" s="48"/>
      <c r="G191" s="48"/>
      <c r="H191" s="48"/>
      <c r="I191" s="48"/>
      <c r="J191" s="48"/>
      <c r="K191" s="48"/>
      <c r="L191" s="48"/>
      <c r="M191" s="48"/>
      <c r="N191" s="48"/>
    </row>
    <row r="192" customFormat="false" ht="15" hidden="false" customHeight="false" outlineLevel="0" collapsed="false">
      <c r="A192" s="11" t="s">
        <v>2935</v>
      </c>
      <c r="B192" s="53" t="str">
        <f aca="false">IF(Costos!$B$29="","Puesto 24",Costos!$B$29&amp;" ("&amp;Costos!$C$29&amp;")")</f>
        <v>Asistente Procesos (Indirecto)</v>
      </c>
      <c r="C192" s="11" t="s">
        <v>853</v>
      </c>
      <c r="E192" s="48"/>
      <c r="F192" s="48"/>
      <c r="G192" s="48"/>
      <c r="H192" s="48"/>
      <c r="I192" s="48"/>
      <c r="J192" s="48"/>
      <c r="K192" s="48"/>
      <c r="L192" s="48"/>
      <c r="M192" s="48"/>
      <c r="N192" s="48"/>
    </row>
    <row r="193" customFormat="false" ht="15" hidden="false" customHeight="false" outlineLevel="0" collapsed="false">
      <c r="A193" s="11" t="s">
        <v>2936</v>
      </c>
      <c r="B193" s="53" t="str">
        <f aca="false">IF(Costos!$B$30="","Puesto 25",Costos!$B$30&amp;" ("&amp;Costos!$C$30&amp;")")</f>
        <v>Administrador (Administración)</v>
      </c>
      <c r="C193" s="11" t="s">
        <v>853</v>
      </c>
      <c r="E193" s="48"/>
      <c r="F193" s="48"/>
      <c r="G193" s="48"/>
      <c r="H193" s="48"/>
      <c r="I193" s="48"/>
      <c r="J193" s="48"/>
      <c r="K193" s="48"/>
      <c r="L193" s="48"/>
      <c r="M193" s="48"/>
      <c r="N193" s="48"/>
    </row>
    <row r="194" customFormat="false" ht="15" hidden="false" customHeight="false" outlineLevel="0" collapsed="false">
      <c r="A194" s="11" t="s">
        <v>2937</v>
      </c>
      <c r="B194" s="53" t="str">
        <f aca="false">IF(Costos!$B$31="","Puesto 26",Costos!$B$31&amp;" ("&amp;Costos!$C$31&amp;")")</f>
        <v>Asistente Administrativo (Administración)</v>
      </c>
      <c r="C194" s="11" t="s">
        <v>853</v>
      </c>
      <c r="E194" s="48"/>
      <c r="F194" s="48"/>
      <c r="G194" s="48"/>
      <c r="H194" s="48"/>
      <c r="I194" s="48"/>
      <c r="J194" s="48"/>
      <c r="K194" s="48"/>
      <c r="L194" s="48"/>
      <c r="M194" s="48"/>
      <c r="N194" s="48"/>
    </row>
    <row r="195" customFormat="false" ht="15" hidden="true" customHeight="false" outlineLevel="1" collapsed="false">
      <c r="A195" s="11" t="s">
        <v>2938</v>
      </c>
      <c r="B195" s="53" t="str">
        <f aca="false">IF(Costos!$B$32="","Puesto 27",Costos!$B$32&amp;" ("&amp;Costos!$C$32&amp;")")</f>
        <v>Puesto 27</v>
      </c>
      <c r="C195" s="11" t="s">
        <v>853</v>
      </c>
      <c r="E195" s="48"/>
      <c r="F195" s="48"/>
      <c r="G195" s="48"/>
      <c r="H195" s="48"/>
      <c r="I195" s="48"/>
      <c r="J195" s="48"/>
      <c r="K195" s="48"/>
      <c r="L195" s="48"/>
      <c r="M195" s="48"/>
      <c r="N195" s="48"/>
    </row>
    <row r="196" customFormat="false" ht="15" hidden="true" customHeight="false" outlineLevel="1" collapsed="false">
      <c r="A196" s="11" t="s">
        <v>2939</v>
      </c>
      <c r="B196" s="53" t="str">
        <f aca="false">IF(Costos!$B$33="","Puesto 28",Costos!$B$33&amp;" ("&amp;Costos!$C$33&amp;")")</f>
        <v>Puesto 28</v>
      </c>
      <c r="C196" s="11" t="s">
        <v>853</v>
      </c>
      <c r="E196" s="48"/>
      <c r="F196" s="48"/>
      <c r="G196" s="48"/>
      <c r="H196" s="48"/>
      <c r="I196" s="48"/>
      <c r="J196" s="48"/>
      <c r="K196" s="48"/>
      <c r="L196" s="48"/>
      <c r="M196" s="48"/>
      <c r="N196" s="48"/>
    </row>
    <row r="197" customFormat="false" ht="15" hidden="true" customHeight="false" outlineLevel="1" collapsed="false">
      <c r="A197" s="11" t="s">
        <v>2940</v>
      </c>
      <c r="B197" s="53" t="str">
        <f aca="false">IF(Costos!$B$34="","Puesto 29",Costos!$B$34&amp;" ("&amp;Costos!$C$34&amp;")")</f>
        <v>Puesto 29</v>
      </c>
      <c r="C197" s="11" t="s">
        <v>853</v>
      </c>
      <c r="E197" s="48"/>
      <c r="F197" s="48"/>
      <c r="G197" s="48"/>
      <c r="H197" s="48"/>
      <c r="I197" s="48"/>
      <c r="J197" s="48"/>
      <c r="K197" s="48"/>
      <c r="L197" s="48"/>
      <c r="M197" s="48"/>
      <c r="N197" s="48"/>
    </row>
    <row r="198" customFormat="false" ht="15" hidden="true" customHeight="false" outlineLevel="1" collapsed="false">
      <c r="A198" s="11" t="s">
        <v>2941</v>
      </c>
      <c r="B198" s="53" t="str">
        <f aca="false">IF(Costos!$B$35="","Puesto 30",Costos!$B$35&amp;" ("&amp;Costos!$C$35&amp;")")</f>
        <v>Puesto 30</v>
      </c>
      <c r="C198" s="11" t="s">
        <v>853</v>
      </c>
      <c r="E198" s="48"/>
      <c r="F198" s="48"/>
      <c r="G198" s="48"/>
      <c r="H198" s="48"/>
      <c r="I198" s="48"/>
      <c r="J198" s="48"/>
      <c r="K198" s="48"/>
      <c r="L198" s="48"/>
      <c r="M198" s="48"/>
      <c r="N198" s="48"/>
    </row>
    <row r="199" customFormat="false" ht="15" hidden="false" customHeight="false" outlineLevel="0" collapsed="false">
      <c r="A199" s="13"/>
      <c r="B199" s="100" t="s">
        <v>2942</v>
      </c>
      <c r="C199" s="13"/>
      <c r="D199" s="13"/>
      <c r="E199" s="13"/>
      <c r="F199" s="13"/>
      <c r="G199" s="13"/>
      <c r="H199" s="13"/>
      <c r="I199" s="13"/>
      <c r="J199" s="13"/>
      <c r="K199" s="13"/>
      <c r="L199" s="13"/>
      <c r="M199" s="13"/>
      <c r="N199" s="13"/>
      <c r="O199" s="13"/>
      <c r="P199" s="13"/>
    </row>
    <row r="200" customFormat="false" ht="15" hidden="false" customHeight="false" outlineLevel="0" collapsed="false">
      <c r="A200" s="11" t="s">
        <v>2943</v>
      </c>
      <c r="B200" s="53" t="str">
        <f aca="false">IF(Costos!$B$6="","Puesto 1",Costos!$B$6&amp;" ("&amp;Costos!$C$6&amp;")")</f>
        <v>Operador láser (Directo)</v>
      </c>
      <c r="C200" s="11" t="s">
        <v>508</v>
      </c>
      <c r="E200" s="48"/>
      <c r="F200" s="48"/>
      <c r="G200" s="48"/>
      <c r="H200" s="48"/>
      <c r="I200" s="48"/>
      <c r="J200" s="48"/>
      <c r="K200" s="48"/>
      <c r="L200" s="48"/>
      <c r="M200" s="48"/>
      <c r="N200" s="48"/>
    </row>
    <row r="201" customFormat="false" ht="15" hidden="false" customHeight="false" outlineLevel="0" collapsed="false">
      <c r="A201" s="11" t="s">
        <v>2944</v>
      </c>
      <c r="B201" s="53" t="str">
        <f aca="false">IF(Costos!$B$7="","Puesto 2",Costos!$B$7&amp;" ("&amp;Costos!$C$7&amp;")")</f>
        <v>Doblador (Directo)</v>
      </c>
      <c r="C201" s="11" t="s">
        <v>508</v>
      </c>
      <c r="E201" s="48"/>
      <c r="F201" s="48"/>
      <c r="G201" s="48"/>
      <c r="H201" s="48"/>
      <c r="I201" s="48"/>
      <c r="J201" s="48"/>
      <c r="K201" s="48"/>
      <c r="L201" s="48"/>
      <c r="M201" s="48"/>
      <c r="N201" s="48"/>
    </row>
    <row r="202" customFormat="false" ht="15" hidden="false" customHeight="false" outlineLevel="0" collapsed="false">
      <c r="A202" s="11" t="s">
        <v>2945</v>
      </c>
      <c r="B202" s="53" t="str">
        <f aca="false">IF(Costos!$B$8="","Puesto 3",Costos!$B$8&amp;" ("&amp;Costos!$C$8&amp;")")</f>
        <v>Soldador (Directo)</v>
      </c>
      <c r="C202" s="11" t="s">
        <v>508</v>
      </c>
      <c r="E202" s="48"/>
      <c r="F202" s="48"/>
      <c r="G202" s="48"/>
      <c r="H202" s="48"/>
      <c r="I202" s="48"/>
      <c r="J202" s="48"/>
      <c r="K202" s="48"/>
      <c r="L202" s="48"/>
      <c r="M202" s="48"/>
      <c r="N202" s="48"/>
    </row>
    <row r="203" customFormat="false" ht="15" hidden="false" customHeight="false" outlineLevel="0" collapsed="false">
      <c r="A203" s="11" t="s">
        <v>2946</v>
      </c>
      <c r="B203" s="53" t="str">
        <f aca="false">IF(Costos!$B$9="","Puesto 4",Costos!$B$9&amp;" ("&amp;Costos!$C$9&amp;")")</f>
        <v>Baño (Directo)</v>
      </c>
      <c r="C203" s="11" t="s">
        <v>508</v>
      </c>
      <c r="E203" s="48"/>
      <c r="F203" s="48"/>
      <c r="G203" s="48"/>
      <c r="H203" s="48"/>
      <c r="I203" s="48"/>
      <c r="J203" s="48"/>
      <c r="K203" s="48"/>
      <c r="L203" s="48"/>
      <c r="M203" s="48"/>
      <c r="N203" s="48"/>
    </row>
    <row r="204" customFormat="false" ht="15" hidden="false" customHeight="false" outlineLevel="0" collapsed="false">
      <c r="A204" s="11" t="s">
        <v>2947</v>
      </c>
      <c r="B204" s="53" t="str">
        <f aca="false">IF(Costos!$B$10="","Puesto 5",Costos!$B$10&amp;" ("&amp;Costos!$C$10&amp;")")</f>
        <v>Pintor (Directo)</v>
      </c>
      <c r="C204" s="11" t="s">
        <v>508</v>
      </c>
      <c r="E204" s="48"/>
      <c r="F204" s="48"/>
      <c r="G204" s="48"/>
      <c r="H204" s="48"/>
      <c r="I204" s="48"/>
      <c r="J204" s="48"/>
      <c r="K204" s="48"/>
      <c r="L204" s="48"/>
      <c r="M204" s="48"/>
      <c r="N204" s="48"/>
    </row>
    <row r="205" customFormat="false" ht="15" hidden="false" customHeight="false" outlineLevel="0" collapsed="false">
      <c r="A205" s="11" t="s">
        <v>2948</v>
      </c>
      <c r="B205" s="53" t="str">
        <f aca="false">IF(Costos!$B$11="","Puesto 6",Costos!$B$11&amp;" ("&amp;Costos!$C$11&amp;")")</f>
        <v>Montador (Directo)</v>
      </c>
      <c r="C205" s="11" t="s">
        <v>508</v>
      </c>
      <c r="E205" s="48"/>
      <c r="F205" s="48"/>
      <c r="G205" s="48"/>
      <c r="H205" s="48"/>
      <c r="I205" s="48"/>
      <c r="J205" s="48"/>
      <c r="K205" s="48"/>
      <c r="L205" s="48"/>
      <c r="M205" s="48"/>
      <c r="N205" s="48"/>
    </row>
    <row r="206" customFormat="false" ht="15" hidden="false" customHeight="false" outlineLevel="0" collapsed="false">
      <c r="A206" s="11" t="s">
        <v>2949</v>
      </c>
      <c r="B206" s="53" t="str">
        <f aca="false">IF(Costos!$B$12="","Puesto 7",Costos!$B$12&amp;" ("&amp;Costos!$C$12&amp;")")</f>
        <v>Ayudante (Directo)</v>
      </c>
      <c r="C206" s="11" t="s">
        <v>508</v>
      </c>
      <c r="E206" s="48"/>
      <c r="F206" s="48"/>
      <c r="G206" s="48"/>
      <c r="H206" s="48"/>
      <c r="I206" s="48"/>
      <c r="J206" s="48"/>
      <c r="K206" s="48"/>
      <c r="L206" s="48"/>
      <c r="M206" s="48"/>
      <c r="N206" s="48"/>
    </row>
    <row r="207" customFormat="false" ht="15" hidden="false" customHeight="false" outlineLevel="0" collapsed="false">
      <c r="A207" s="11" t="s">
        <v>2950</v>
      </c>
      <c r="B207" s="53" t="str">
        <f aca="false">IF(Costos!$B$13="","Puesto 8",Costos!$B$13&amp;" ("&amp;Costos!$C$13&amp;")")</f>
        <v>Gerente General (Administración)</v>
      </c>
      <c r="C207" s="11" t="s">
        <v>508</v>
      </c>
      <c r="E207" s="48"/>
      <c r="F207" s="48"/>
      <c r="G207" s="48"/>
      <c r="H207" s="48"/>
      <c r="I207" s="48"/>
      <c r="J207" s="48"/>
      <c r="K207" s="48"/>
      <c r="L207" s="48"/>
      <c r="M207" s="48"/>
      <c r="N207" s="48"/>
    </row>
    <row r="208" customFormat="false" ht="15" hidden="false" customHeight="false" outlineLevel="0" collapsed="false">
      <c r="A208" s="11" t="s">
        <v>2951</v>
      </c>
      <c r="B208" s="53" t="str">
        <f aca="false">IF(Costos!$B$14="","Puesto 9",Costos!$B$14&amp;" ("&amp;Costos!$C$14&amp;")")</f>
        <v>Gerente Industrial (Indirecto)</v>
      </c>
      <c r="C208" s="11" t="s">
        <v>508</v>
      </c>
      <c r="E208" s="48"/>
      <c r="F208" s="48"/>
      <c r="G208" s="48"/>
      <c r="H208" s="48"/>
      <c r="I208" s="48"/>
      <c r="J208" s="48"/>
      <c r="K208" s="48"/>
      <c r="L208" s="48"/>
      <c r="M208" s="48"/>
      <c r="N208" s="48"/>
    </row>
    <row r="209" customFormat="false" ht="15" hidden="false" customHeight="false" outlineLevel="0" collapsed="false">
      <c r="A209" s="11" t="s">
        <v>2952</v>
      </c>
      <c r="B209" s="53" t="str">
        <f aca="false">IF(Costos!$B$15="","Puesto 10",Costos!$B$15&amp;" ("&amp;Costos!$C$15&amp;")")</f>
        <v>Coord. Prod. Corte y Deformación (Indirecto)</v>
      </c>
      <c r="C209" s="11" t="s">
        <v>508</v>
      </c>
      <c r="E209" s="48"/>
      <c r="F209" s="48"/>
      <c r="G209" s="48"/>
      <c r="H209" s="48"/>
      <c r="I209" s="48"/>
      <c r="J209" s="48"/>
      <c r="K209" s="48"/>
      <c r="L209" s="48"/>
      <c r="M209" s="48"/>
      <c r="N209" s="48"/>
    </row>
    <row r="210" customFormat="false" ht="15" hidden="false" customHeight="false" outlineLevel="0" collapsed="false">
      <c r="A210" s="11" t="s">
        <v>2953</v>
      </c>
      <c r="B210" s="53" t="str">
        <f aca="false">IF(Costos!$B$16="","Puesto 11",Costos!$B$16&amp;" ("&amp;Costos!$C$16&amp;")")</f>
        <v>Coord. Prod. Soldadura (Indirecto)</v>
      </c>
      <c r="C210" s="11" t="s">
        <v>508</v>
      </c>
      <c r="E210" s="48"/>
      <c r="F210" s="48"/>
      <c r="G210" s="48"/>
      <c r="H210" s="48"/>
      <c r="I210" s="48"/>
      <c r="J210" s="48"/>
      <c r="K210" s="48"/>
      <c r="L210" s="48"/>
      <c r="M210" s="48"/>
      <c r="N210" s="48"/>
    </row>
    <row r="211" customFormat="false" ht="15" hidden="false" customHeight="false" outlineLevel="0" collapsed="false">
      <c r="A211" s="11" t="s">
        <v>2954</v>
      </c>
      <c r="B211" s="53" t="str">
        <f aca="false">IF(Costos!$B$17="","Puesto 12",Costos!$B$17&amp;" ("&amp;Costos!$C$17&amp;")")</f>
        <v>Coord. Prod. Trat. Sup. y Pintura (Indirecto)</v>
      </c>
      <c r="C211" s="11" t="s">
        <v>508</v>
      </c>
      <c r="E211" s="48"/>
      <c r="F211" s="48"/>
      <c r="G211" s="48"/>
      <c r="H211" s="48"/>
      <c r="I211" s="48"/>
      <c r="J211" s="48"/>
      <c r="K211" s="48"/>
      <c r="L211" s="48"/>
      <c r="M211" s="48"/>
      <c r="N211" s="48"/>
    </row>
    <row r="212" customFormat="false" ht="15" hidden="false" customHeight="false" outlineLevel="0" collapsed="false">
      <c r="A212" s="11" t="s">
        <v>2955</v>
      </c>
      <c r="B212" s="53" t="str">
        <f aca="false">IF(Costos!$B$18="","Puesto 13",Costos!$B$18&amp;" ("&amp;Costos!$C$18&amp;")")</f>
        <v>Coord. Prod. Montaje (Indirecto)</v>
      </c>
      <c r="C212" s="11" t="s">
        <v>508</v>
      </c>
      <c r="E212" s="48"/>
      <c r="F212" s="48"/>
      <c r="G212" s="48"/>
      <c r="H212" s="48"/>
      <c r="I212" s="48"/>
      <c r="J212" s="48"/>
      <c r="K212" s="48"/>
      <c r="L212" s="48"/>
      <c r="M212" s="48"/>
      <c r="N212" s="48"/>
    </row>
    <row r="213" customFormat="false" ht="15" hidden="false" customHeight="false" outlineLevel="0" collapsed="false">
      <c r="A213" s="11" t="s">
        <v>2956</v>
      </c>
      <c r="B213" s="53" t="str">
        <f aca="false">IF(Costos!$B$19="","Puesto 14",Costos!$B$19&amp;" ("&amp;Costos!$C$19&amp;")")</f>
        <v>Ingeniería (Indirecto)</v>
      </c>
      <c r="C213" s="11" t="s">
        <v>508</v>
      </c>
      <c r="E213" s="48"/>
      <c r="F213" s="48"/>
      <c r="G213" s="48"/>
      <c r="H213" s="48"/>
      <c r="I213" s="48"/>
      <c r="J213" s="48"/>
      <c r="K213" s="48"/>
      <c r="L213" s="48"/>
      <c r="M213" s="48"/>
      <c r="N213" s="48"/>
    </row>
    <row r="214" customFormat="false" ht="15" hidden="false" customHeight="false" outlineLevel="0" collapsed="false">
      <c r="A214" s="11" t="s">
        <v>2957</v>
      </c>
      <c r="B214" s="53" t="str">
        <f aca="false">IF(Costos!$B$20="","Puesto 15",Costos!$B$20&amp;" ("&amp;Costos!$C$20&amp;")")</f>
        <v>Mantenimiento (Indirecto)</v>
      </c>
      <c r="C214" s="11" t="s">
        <v>508</v>
      </c>
      <c r="E214" s="48"/>
      <c r="F214" s="48"/>
      <c r="G214" s="48"/>
      <c r="H214" s="48"/>
      <c r="I214" s="48"/>
      <c r="J214" s="48"/>
      <c r="K214" s="48"/>
      <c r="L214" s="48"/>
      <c r="M214" s="48"/>
      <c r="N214" s="48"/>
    </row>
    <row r="215" customFormat="false" ht="15" hidden="false" customHeight="false" outlineLevel="0" collapsed="false">
      <c r="A215" s="11" t="s">
        <v>2958</v>
      </c>
      <c r="B215" s="53" t="str">
        <f aca="false">IF(Costos!$B$21="","Puesto 16",Costos!$B$21&amp;" ("&amp;Costos!$C$21&amp;")")</f>
        <v>PCP (Indirecto)</v>
      </c>
      <c r="C215" s="11" t="s">
        <v>508</v>
      </c>
      <c r="E215" s="48"/>
      <c r="F215" s="48"/>
      <c r="G215" s="48"/>
      <c r="H215" s="48"/>
      <c r="I215" s="48"/>
      <c r="J215" s="48"/>
      <c r="K215" s="48"/>
      <c r="L215" s="48"/>
      <c r="M215" s="48"/>
      <c r="N215" s="48"/>
    </row>
    <row r="216" customFormat="false" ht="15" hidden="false" customHeight="false" outlineLevel="0" collapsed="false">
      <c r="A216" s="11" t="s">
        <v>2959</v>
      </c>
      <c r="B216" s="53" t="str">
        <f aca="false">IF(Costos!$B$22="","Puesto 17",Costos!$B$22&amp;" ("&amp;Costos!$C$22&amp;")")</f>
        <v>Analista PCP (Indirecto)</v>
      </c>
      <c r="C216" s="11" t="s">
        <v>508</v>
      </c>
      <c r="E216" s="48"/>
      <c r="F216" s="48"/>
      <c r="G216" s="48"/>
      <c r="H216" s="48"/>
      <c r="I216" s="48"/>
      <c r="J216" s="48"/>
      <c r="K216" s="48"/>
      <c r="L216" s="48"/>
      <c r="M216" s="48"/>
      <c r="N216" s="48"/>
    </row>
    <row r="217" customFormat="false" ht="15" hidden="false" customHeight="false" outlineLevel="0" collapsed="false">
      <c r="A217" s="11" t="s">
        <v>2960</v>
      </c>
      <c r="B217" s="53" t="str">
        <f aca="false">IF(Costos!$B$23="","Puesto 18",Costos!$B$23&amp;" ("&amp;Costos!$C$23&amp;")")</f>
        <v>Depósito (Indirecto)</v>
      </c>
      <c r="C217" s="11" t="s">
        <v>508</v>
      </c>
      <c r="E217" s="48"/>
      <c r="F217" s="48"/>
      <c r="G217" s="48"/>
      <c r="H217" s="48"/>
      <c r="I217" s="48"/>
      <c r="J217" s="48"/>
      <c r="K217" s="48"/>
      <c r="L217" s="48"/>
      <c r="M217" s="48"/>
      <c r="N217" s="48"/>
    </row>
    <row r="218" customFormat="false" ht="15" hidden="false" customHeight="false" outlineLevel="0" collapsed="false">
      <c r="A218" s="11" t="s">
        <v>2961</v>
      </c>
      <c r="B218" s="53" t="str">
        <f aca="false">IF(Costos!$B$24="","Puesto 19",Costos!$B$24&amp;" ("&amp;Costos!$C$24&amp;")")</f>
        <v>Compras (Administración)</v>
      </c>
      <c r="C218" s="11" t="s">
        <v>508</v>
      </c>
      <c r="E218" s="48"/>
      <c r="F218" s="48"/>
      <c r="G218" s="48"/>
      <c r="H218" s="48"/>
      <c r="I218" s="48"/>
      <c r="J218" s="48"/>
      <c r="K218" s="48"/>
      <c r="L218" s="48"/>
      <c r="M218" s="48"/>
      <c r="N218" s="48"/>
    </row>
    <row r="219" customFormat="false" ht="15" hidden="false" customHeight="false" outlineLevel="0" collapsed="false">
      <c r="A219" s="11" t="s">
        <v>2962</v>
      </c>
      <c r="B219" s="53" t="str">
        <f aca="false">IF(Costos!$B$25="","Puesto 20",Costos!$B$25&amp;" ("&amp;Costos!$C$25&amp;")")</f>
        <v>Logística/Comex (Administración)</v>
      </c>
      <c r="C219" s="11" t="s">
        <v>508</v>
      </c>
      <c r="E219" s="48"/>
      <c r="F219" s="48"/>
      <c r="G219" s="48"/>
      <c r="H219" s="48"/>
      <c r="I219" s="48"/>
      <c r="J219" s="48"/>
      <c r="K219" s="48"/>
      <c r="L219" s="48"/>
      <c r="M219" s="48"/>
      <c r="N219" s="48"/>
    </row>
    <row r="220" customFormat="false" ht="15" hidden="false" customHeight="false" outlineLevel="0" collapsed="false">
      <c r="A220" s="11" t="s">
        <v>2963</v>
      </c>
      <c r="B220" s="53" t="str">
        <f aca="false">IF(Costos!$B$26="","Puesto 21",Costos!$B$26&amp;" ("&amp;Costos!$C$26&amp;")")</f>
        <v>Coord. Control Calidad (Indirecto)</v>
      </c>
      <c r="C220" s="11" t="s">
        <v>508</v>
      </c>
      <c r="E220" s="48"/>
      <c r="F220" s="48"/>
      <c r="G220" s="48"/>
      <c r="H220" s="48"/>
      <c r="I220" s="48"/>
      <c r="J220" s="48"/>
      <c r="K220" s="48"/>
      <c r="L220" s="48"/>
      <c r="M220" s="48"/>
      <c r="N220" s="48"/>
    </row>
    <row r="221" customFormat="false" ht="15" hidden="false" customHeight="false" outlineLevel="0" collapsed="false">
      <c r="A221" s="11" t="s">
        <v>2964</v>
      </c>
      <c r="B221" s="53" t="str">
        <f aca="false">IF(Costos!$B$27="","Puesto 22",Costos!$B$27&amp;" ("&amp;Costos!$C$27&amp;")")</f>
        <v>Asistente Control Calidad (Indirecto)</v>
      </c>
      <c r="C221" s="11" t="s">
        <v>508</v>
      </c>
      <c r="E221" s="48"/>
      <c r="F221" s="48"/>
      <c r="G221" s="48"/>
      <c r="H221" s="48"/>
      <c r="I221" s="48"/>
      <c r="J221" s="48"/>
      <c r="K221" s="48"/>
      <c r="L221" s="48"/>
      <c r="M221" s="48"/>
      <c r="N221" s="48"/>
    </row>
    <row r="222" customFormat="false" ht="15" hidden="false" customHeight="false" outlineLevel="0" collapsed="false">
      <c r="A222" s="11" t="s">
        <v>2965</v>
      </c>
      <c r="B222" s="53" t="str">
        <f aca="false">IF(Costos!$B$28="","Puesto 23",Costos!$B$28&amp;" ("&amp;Costos!$C$28&amp;")")</f>
        <v>Coord. Procesos (Indirecto)</v>
      </c>
      <c r="C222" s="11" t="s">
        <v>508</v>
      </c>
      <c r="E222" s="48"/>
      <c r="F222" s="48"/>
      <c r="G222" s="48"/>
      <c r="H222" s="48"/>
      <c r="I222" s="48"/>
      <c r="J222" s="48"/>
      <c r="K222" s="48"/>
      <c r="L222" s="48"/>
      <c r="M222" s="48"/>
      <c r="N222" s="48"/>
    </row>
    <row r="223" customFormat="false" ht="15" hidden="false" customHeight="false" outlineLevel="0" collapsed="false">
      <c r="A223" s="11" t="s">
        <v>2966</v>
      </c>
      <c r="B223" s="53" t="str">
        <f aca="false">IF(Costos!$B$29="","Puesto 24",Costos!$B$29&amp;" ("&amp;Costos!$C$29&amp;")")</f>
        <v>Asistente Procesos (Indirecto)</v>
      </c>
      <c r="C223" s="11" t="s">
        <v>508</v>
      </c>
      <c r="E223" s="48"/>
      <c r="F223" s="48"/>
      <c r="G223" s="48"/>
      <c r="H223" s="48"/>
      <c r="I223" s="48"/>
      <c r="J223" s="48"/>
      <c r="K223" s="48"/>
      <c r="L223" s="48"/>
      <c r="M223" s="48"/>
      <c r="N223" s="48"/>
    </row>
    <row r="224" customFormat="false" ht="15" hidden="false" customHeight="false" outlineLevel="0" collapsed="false">
      <c r="A224" s="11" t="s">
        <v>2967</v>
      </c>
      <c r="B224" s="53" t="str">
        <f aca="false">IF(Costos!$B$30="","Puesto 25",Costos!$B$30&amp;" ("&amp;Costos!$C$30&amp;")")</f>
        <v>Administrador (Administración)</v>
      </c>
      <c r="C224" s="11" t="s">
        <v>508</v>
      </c>
      <c r="E224" s="48"/>
      <c r="F224" s="48"/>
      <c r="G224" s="48"/>
      <c r="H224" s="48"/>
      <c r="I224" s="48"/>
      <c r="J224" s="48"/>
      <c r="K224" s="48"/>
      <c r="L224" s="48"/>
      <c r="M224" s="48"/>
      <c r="N224" s="48"/>
    </row>
    <row r="225" customFormat="false" ht="15" hidden="false" customHeight="false" outlineLevel="0" collapsed="false">
      <c r="A225" s="11" t="s">
        <v>2968</v>
      </c>
      <c r="B225" s="53" t="str">
        <f aca="false">IF(Costos!$B$31="","Puesto 26",Costos!$B$31&amp;" ("&amp;Costos!$C$31&amp;")")</f>
        <v>Asistente Administrativo (Administración)</v>
      </c>
      <c r="C225" s="11" t="s">
        <v>508</v>
      </c>
      <c r="E225" s="48"/>
      <c r="F225" s="48"/>
      <c r="G225" s="48"/>
      <c r="H225" s="48"/>
      <c r="I225" s="48"/>
      <c r="J225" s="48"/>
      <c r="K225" s="48"/>
      <c r="L225" s="48"/>
      <c r="M225" s="48"/>
      <c r="N225" s="48"/>
    </row>
    <row r="226" customFormat="false" ht="15" hidden="true" customHeight="false" outlineLevel="1" collapsed="false">
      <c r="A226" s="11" t="s">
        <v>2969</v>
      </c>
      <c r="B226" s="53" t="str">
        <f aca="false">IF(Costos!$B$32="","Puesto 27",Costos!$B$32&amp;" ("&amp;Costos!$C$32&amp;")")</f>
        <v>Puesto 27</v>
      </c>
      <c r="C226" s="11" t="s">
        <v>508</v>
      </c>
      <c r="E226" s="48"/>
      <c r="F226" s="48"/>
      <c r="G226" s="48"/>
      <c r="H226" s="48"/>
      <c r="I226" s="48"/>
      <c r="J226" s="48"/>
      <c r="K226" s="48"/>
      <c r="L226" s="48"/>
      <c r="M226" s="48"/>
      <c r="N226" s="48"/>
    </row>
    <row r="227" customFormat="false" ht="15" hidden="true" customHeight="false" outlineLevel="1" collapsed="false">
      <c r="A227" s="11" t="s">
        <v>2970</v>
      </c>
      <c r="B227" s="53" t="str">
        <f aca="false">IF(Costos!$B$33="","Puesto 28",Costos!$B$33&amp;" ("&amp;Costos!$C$33&amp;")")</f>
        <v>Puesto 28</v>
      </c>
      <c r="C227" s="11" t="s">
        <v>508</v>
      </c>
      <c r="E227" s="48"/>
      <c r="F227" s="48"/>
      <c r="G227" s="48"/>
      <c r="H227" s="48"/>
      <c r="I227" s="48"/>
      <c r="J227" s="48"/>
      <c r="K227" s="48"/>
      <c r="L227" s="48"/>
      <c r="M227" s="48"/>
      <c r="N227" s="48"/>
    </row>
    <row r="228" customFormat="false" ht="15" hidden="true" customHeight="false" outlineLevel="1" collapsed="false">
      <c r="A228" s="11" t="s">
        <v>2971</v>
      </c>
      <c r="B228" s="53" t="str">
        <f aca="false">IF(Costos!$B$34="","Puesto 29",Costos!$B$34&amp;" ("&amp;Costos!$C$34&amp;")")</f>
        <v>Puesto 29</v>
      </c>
      <c r="C228" s="11" t="s">
        <v>508</v>
      </c>
      <c r="E228" s="48"/>
      <c r="F228" s="48"/>
      <c r="G228" s="48"/>
      <c r="H228" s="48"/>
      <c r="I228" s="48"/>
      <c r="J228" s="48"/>
      <c r="K228" s="48"/>
      <c r="L228" s="48"/>
      <c r="M228" s="48"/>
      <c r="N228" s="48"/>
    </row>
    <row r="229" customFormat="false" ht="15" hidden="true" customHeight="false" outlineLevel="1" collapsed="false">
      <c r="A229" s="11" t="s">
        <v>2972</v>
      </c>
      <c r="B229" s="53" t="str">
        <f aca="false">IF(Costos!$B$35="","Puesto 30",Costos!$B$35&amp;" ("&amp;Costos!$C$35&amp;")")</f>
        <v>Puesto 30</v>
      </c>
      <c r="C229" s="11" t="s">
        <v>508</v>
      </c>
      <c r="E229" s="48"/>
      <c r="F229" s="48"/>
      <c r="G229" s="48"/>
      <c r="H229" s="48"/>
      <c r="I229" s="48"/>
      <c r="J229" s="48"/>
      <c r="K229" s="48"/>
      <c r="L229" s="48"/>
      <c r="M229" s="48"/>
      <c r="N229" s="48"/>
    </row>
    <row r="230" customFormat="false" ht="15" hidden="false" customHeight="false" outlineLevel="0" collapsed="false">
      <c r="A230" s="13"/>
      <c r="B230" s="100" t="s">
        <v>2973</v>
      </c>
      <c r="C230" s="13"/>
      <c r="D230" s="13"/>
      <c r="E230" s="13"/>
      <c r="F230" s="13"/>
      <c r="G230" s="13"/>
      <c r="H230" s="13"/>
      <c r="I230" s="13"/>
      <c r="J230" s="13"/>
      <c r="K230" s="13"/>
      <c r="L230" s="13"/>
      <c r="M230" s="13"/>
      <c r="N230" s="13"/>
      <c r="O230" s="13"/>
      <c r="P230" s="13"/>
    </row>
    <row r="231" customFormat="false" ht="15" hidden="false" customHeight="false" outlineLevel="0" collapsed="false">
      <c r="A231" s="11" t="s">
        <v>2974</v>
      </c>
      <c r="B231" s="15" t="s">
        <v>2975</v>
      </c>
      <c r="C231" s="11" t="s">
        <v>853</v>
      </c>
      <c r="D231" s="50" t="str">
        <f aca="false">IF(OR(NOT(ISNUMBER(D71)),NOT(ISNUMBER(D151))),"",D71-D151)</f>
        <v/>
      </c>
      <c r="E231" s="50" t="n">
        <f aca="false">IF(OR(NOT(ISNUMBER(E71)),NOT(ISNUMBER(E151))),"",E71-E151)</f>
        <v>0</v>
      </c>
      <c r="F231" s="50" t="n">
        <f aca="false">IF(OR(NOT(ISNUMBER(F71)),NOT(ISNUMBER(F151))),"",F71-F151)</f>
        <v>0</v>
      </c>
      <c r="G231" s="50" t="n">
        <f aca="false">IF(OR(NOT(ISNUMBER(G71)),NOT(ISNUMBER(G151))),"",G71-G151)</f>
        <v>0</v>
      </c>
      <c r="H231" s="50" t="n">
        <f aca="false">IF(OR(NOT(ISNUMBER(H71)),NOT(ISNUMBER(H151))),"",H71-H151)</f>
        <v>0</v>
      </c>
      <c r="I231" s="50" t="n">
        <f aca="false">IF(OR(NOT(ISNUMBER(I71)),NOT(ISNUMBER(I151))),"",I71-I151)</f>
        <v>0</v>
      </c>
      <c r="J231" s="50" t="n">
        <f aca="false">IF(OR(NOT(ISNUMBER(J71)),NOT(ISNUMBER(J151))),"",J71-J151)</f>
        <v>0</v>
      </c>
      <c r="K231" s="50" t="n">
        <f aca="false">IF(OR(NOT(ISNUMBER(K71)),NOT(ISNUMBER(K151))),"",K71-K151)</f>
        <v>0</v>
      </c>
      <c r="L231" s="50" t="n">
        <f aca="false">IF(OR(NOT(ISNUMBER(L71)),NOT(ISNUMBER(L151))),"",L71-L151)</f>
        <v>0</v>
      </c>
      <c r="M231" s="50" t="n">
        <f aca="false">IF(OR(NOT(ISNUMBER(M71)),NOT(ISNUMBER(M151))),"",M71-M151)</f>
        <v>0</v>
      </c>
      <c r="N231" s="50" t="n">
        <f aca="false">IF(OR(NOT(ISNUMBER(N71)),NOT(ISNUMBER(N151))),"",N71-N151)</f>
        <v>0</v>
      </c>
      <c r="P231" s="11" t="str">
        <f aca="false">IF(COUNT(D231:N231)=0,"",IF(AND(MAX(D231:N231)&lt;0.005,MIN(D231:N231)&gt;-0.005),"Sin diferencia","Diferencia a explicar"))</f>
        <v>Sin diferencia</v>
      </c>
    </row>
    <row r="232" customFormat="false" ht="15" hidden="false" customHeight="false" outlineLevel="0" collapsed="false">
      <c r="A232" s="11" t="s">
        <v>2976</v>
      </c>
      <c r="B232" s="15" t="s">
        <v>2977</v>
      </c>
      <c r="C232" s="11" t="s">
        <v>853</v>
      </c>
      <c r="D232" s="50"/>
      <c r="E232" s="50"/>
      <c r="F232" s="50"/>
      <c r="G232" s="50"/>
      <c r="H232" s="50"/>
      <c r="I232" s="50"/>
      <c r="J232" s="50"/>
      <c r="K232" s="50"/>
      <c r="L232" s="50"/>
      <c r="M232" s="50"/>
      <c r="N232" s="50"/>
    </row>
    <row r="233" customFormat="false" ht="15" hidden="false" customHeight="false" outlineLevel="0" collapsed="false">
      <c r="A233" s="11" t="s">
        <v>2978</v>
      </c>
      <c r="B233" s="15" t="s">
        <v>2979</v>
      </c>
      <c r="C233" s="11" t="s">
        <v>853</v>
      </c>
      <c r="D233" s="50"/>
      <c r="E233" s="50"/>
      <c r="F233" s="50"/>
      <c r="G233" s="50"/>
      <c r="H233" s="50"/>
      <c r="I233" s="50"/>
      <c r="J233" s="50"/>
      <c r="K233" s="50"/>
      <c r="L233" s="50"/>
      <c r="M233" s="50"/>
      <c r="N233" s="50"/>
    </row>
    <row r="234" customFormat="false" ht="15" hidden="false" customHeight="false" outlineLevel="0" collapsed="false">
      <c r="A234" s="11" t="s">
        <v>2980</v>
      </c>
      <c r="B234" s="15" t="s">
        <v>2981</v>
      </c>
      <c r="C234" s="11" t="s">
        <v>853</v>
      </c>
      <c r="D234" s="50" t="str">
        <f aca="false">IF(OR(NOT(ISNUMBER(D74)),NOT(ISNUMBER(D154))),"",D74-D154)</f>
        <v/>
      </c>
      <c r="E234" s="50" t="n">
        <f aca="false">IF(OR(NOT(ISNUMBER(E74)),NOT(ISNUMBER(E154))),"",E74-E154)</f>
        <v>0</v>
      </c>
      <c r="F234" s="50" t="n">
        <f aca="false">IF(OR(NOT(ISNUMBER(F74)),NOT(ISNUMBER(F154))),"",F74-F154)</f>
        <v>0</v>
      </c>
      <c r="G234" s="50" t="n">
        <f aca="false">IF(OR(NOT(ISNUMBER(G74)),NOT(ISNUMBER(G154))),"",G74-G154)</f>
        <v>0</v>
      </c>
      <c r="H234" s="50" t="n">
        <f aca="false">IF(OR(NOT(ISNUMBER(H74)),NOT(ISNUMBER(H154))),"",H74-H154)</f>
        <v>0</v>
      </c>
      <c r="I234" s="50" t="n">
        <f aca="false">IF(OR(NOT(ISNUMBER(I74)),NOT(ISNUMBER(I154))),"",I74-I154)</f>
        <v>0</v>
      </c>
      <c r="J234" s="50" t="n">
        <f aca="false">IF(OR(NOT(ISNUMBER(J74)),NOT(ISNUMBER(J154))),"",J74-J154)</f>
        <v>0</v>
      </c>
      <c r="K234" s="50" t="n">
        <f aca="false">IF(OR(NOT(ISNUMBER(K74)),NOT(ISNUMBER(K154))),"",K74-K154)</f>
        <v>0</v>
      </c>
      <c r="L234" s="50" t="n">
        <f aca="false">IF(OR(NOT(ISNUMBER(L74)),NOT(ISNUMBER(L154))),"",L74-L154)</f>
        <v>0</v>
      </c>
      <c r="M234" s="50" t="n">
        <f aca="false">IF(OR(NOT(ISNUMBER(M74)),NOT(ISNUMBER(M154))),"",M74-M154)</f>
        <v>0</v>
      </c>
      <c r="N234" s="50" t="n">
        <f aca="false">IF(OR(NOT(ISNUMBER(N74)),NOT(ISNUMBER(N154))),"",N74-N154)</f>
        <v>0</v>
      </c>
      <c r="P234" s="11" t="str">
        <f aca="false">IF(COUNT(D234:N234)=0,"",IF(AND(MAX(D234:N234)&lt;0.005,MIN(D234:N234)&gt;-0.005),"Sin diferencia","Diferencia a explicar"))</f>
        <v>Sin diferencia</v>
      </c>
    </row>
    <row r="235" customFormat="false" ht="15" hidden="false" customHeight="false" outlineLevel="0" collapsed="false">
      <c r="A235" s="11" t="s">
        <v>2982</v>
      </c>
      <c r="B235" s="67" t="s">
        <v>2983</v>
      </c>
      <c r="C235" s="11" t="s">
        <v>853</v>
      </c>
      <c r="D235" s="68" t="str">
        <f aca="false">IF(OR(NOT(ISNUMBER(D75)),NOT(ISNUMBER(D155))),"",D75-D155)</f>
        <v/>
      </c>
      <c r="E235" s="68" t="n">
        <f aca="false">IF(OR(NOT(ISNUMBER(E75)),NOT(ISNUMBER(E155))),"",E75-E155)</f>
        <v>0</v>
      </c>
      <c r="F235" s="68" t="n">
        <f aca="false">IF(OR(NOT(ISNUMBER(F75)),NOT(ISNUMBER(F155))),"",F75-F155)</f>
        <v>0</v>
      </c>
      <c r="G235" s="68" t="n">
        <f aca="false">IF(OR(NOT(ISNUMBER(G75)),NOT(ISNUMBER(G155))),"",G75-G155)</f>
        <v>0</v>
      </c>
      <c r="H235" s="68" t="n">
        <f aca="false">IF(OR(NOT(ISNUMBER(H75)),NOT(ISNUMBER(H155))),"",H75-H155)</f>
        <v>0</v>
      </c>
      <c r="I235" s="68" t="n">
        <f aca="false">IF(OR(NOT(ISNUMBER(I75)),NOT(ISNUMBER(I155))),"",I75-I155)</f>
        <v>0</v>
      </c>
      <c r="J235" s="68" t="n">
        <f aca="false">IF(OR(NOT(ISNUMBER(J75)),NOT(ISNUMBER(J155))),"",J75-J155)</f>
        <v>0</v>
      </c>
      <c r="K235" s="68" t="n">
        <f aca="false">IF(OR(NOT(ISNUMBER(K75)),NOT(ISNUMBER(K155))),"",K75-K155)</f>
        <v>0</v>
      </c>
      <c r="L235" s="68" t="n">
        <f aca="false">IF(OR(NOT(ISNUMBER(L75)),NOT(ISNUMBER(L155))),"",L75-L155)</f>
        <v>0</v>
      </c>
      <c r="M235" s="68" t="n">
        <f aca="false">IF(OR(NOT(ISNUMBER(M75)),NOT(ISNUMBER(M155))),"",M75-M155)</f>
        <v>0</v>
      </c>
      <c r="N235" s="68" t="n">
        <f aca="false">IF(OR(NOT(ISNUMBER(N75)),NOT(ISNUMBER(N155))),"",N75-N155)</f>
        <v>0</v>
      </c>
      <c r="P235" s="11" t="str">
        <f aca="false">IF(COUNT(D235:N235)=0,"",IF(AND(MAX(D235:N235)&lt;0.005,MIN(D235:N235)&gt;-0.005),"Sin diferencia","Diferencia a explicar"))</f>
        <v>Sin diferencia</v>
      </c>
    </row>
    <row r="236" customFormat="false" ht="15" hidden="false" customHeight="false" outlineLevel="0" collapsed="false">
      <c r="A236" s="11" t="s">
        <v>2984</v>
      </c>
      <c r="B236" s="15" t="s">
        <v>2985</v>
      </c>
      <c r="C236" s="11" t="s">
        <v>508</v>
      </c>
      <c r="D236" s="48" t="str">
        <f aca="false">IF(OR(NOT(ISNUMBER(D76)),NOT(ISNUMBER(D156))),"",D76-D156)</f>
        <v/>
      </c>
      <c r="E236" s="48" t="n">
        <f aca="false">IF(OR(NOT(ISNUMBER(E76)),NOT(ISNUMBER(E156))),"",E76-E156)</f>
        <v>21448.9753424657</v>
      </c>
      <c r="F236" s="48" t="n">
        <f aca="false">IF(OR(NOT(ISNUMBER(F76)),NOT(ISNUMBER(F156))),"",F76-F156)</f>
        <v>21448.9753424657</v>
      </c>
      <c r="G236" s="48" t="n">
        <f aca="false">IF(OR(NOT(ISNUMBER(G76)),NOT(ISNUMBER(G156))),"",G76-G156)</f>
        <v>23216.1753424658</v>
      </c>
      <c r="H236" s="48" t="n">
        <f aca="false">IF(OR(NOT(ISNUMBER(H76)),NOT(ISNUMBER(H156))),"",H76-H156)</f>
        <v>24597.3709589042</v>
      </c>
      <c r="I236" s="48" t="n">
        <f aca="false">IF(OR(NOT(ISNUMBER(I76)),NOT(ISNUMBER(I156))),"",I76-I156)</f>
        <v>26318.4284931507</v>
      </c>
      <c r="J236" s="48" t="n">
        <f aca="false">IF(OR(NOT(ISNUMBER(J76)),NOT(ISNUMBER(J156))),"",J76-J156)</f>
        <v>26318.4284931507</v>
      </c>
      <c r="K236" s="48" t="n">
        <f aca="false">IF(OR(NOT(ISNUMBER(K76)),NOT(ISNUMBER(K156))),"",K76-K156)</f>
        <v>26318.4284931507</v>
      </c>
      <c r="L236" s="48" t="n">
        <f aca="false">IF(OR(NOT(ISNUMBER(L76)),NOT(ISNUMBER(L156))),"",L76-L156)</f>
        <v>26318.4284931507</v>
      </c>
      <c r="M236" s="48" t="n">
        <f aca="false">IF(OR(NOT(ISNUMBER(M76)),NOT(ISNUMBER(M156))),"",M76-M156)</f>
        <v>26318.4284931507</v>
      </c>
      <c r="N236" s="48" t="n">
        <f aca="false">IF(OR(NOT(ISNUMBER(N76)),NOT(ISNUMBER(N156))),"",N76-N156)</f>
        <v>26318.4284931507</v>
      </c>
      <c r="O236" s="54" t="n">
        <f aca="false">IF(OR(NOT(ISNUMBER(O76)),NOT(ISNUMBER(O156))),"",O76-O156)</f>
        <v>248622.067945205</v>
      </c>
      <c r="P236" s="11" t="str">
        <f aca="false">IF(COUNT(D236:N236)=0,"",IF(AND(MAX(D236:N236)&lt;2,MIN(D236:N236)&gt;-2),"Sin diferencia","C1 nómina: salarios en Gs convertidos al TC 7.300 (el plan usa 8.000 implícito)."))</f>
        <v>C1 nómina: salarios en Gs convertidos al TC 7.300 (el plan usa 8.000 implícito).</v>
      </c>
    </row>
    <row r="237" customFormat="false" ht="15" hidden="false" customHeight="false" outlineLevel="0" collapsed="false">
      <c r="A237" s="11" t="s">
        <v>2986</v>
      </c>
      <c r="B237" s="15" t="s">
        <v>2987</v>
      </c>
      <c r="C237" s="11" t="s">
        <v>508</v>
      </c>
      <c r="D237" s="48"/>
      <c r="E237" s="48"/>
      <c r="F237" s="48"/>
      <c r="G237" s="48"/>
      <c r="H237" s="48"/>
      <c r="I237" s="48"/>
      <c r="J237" s="48"/>
      <c r="K237" s="48"/>
      <c r="L237" s="48"/>
      <c r="M237" s="48"/>
      <c r="N237" s="48"/>
    </row>
    <row r="238" customFormat="false" ht="15" hidden="false" customHeight="false" outlineLevel="0" collapsed="false">
      <c r="A238" s="11" t="s">
        <v>2988</v>
      </c>
      <c r="B238" s="15" t="s">
        <v>2989</v>
      </c>
      <c r="C238" s="11" t="s">
        <v>508</v>
      </c>
      <c r="D238" s="48"/>
      <c r="E238" s="48"/>
      <c r="F238" s="48"/>
      <c r="G238" s="48"/>
      <c r="H238" s="48"/>
      <c r="I238" s="48"/>
      <c r="J238" s="48"/>
      <c r="K238" s="48"/>
      <c r="L238" s="48"/>
      <c r="M238" s="48"/>
      <c r="N238" s="48"/>
    </row>
    <row r="239" customFormat="false" ht="15" hidden="false" customHeight="false" outlineLevel="0" collapsed="false">
      <c r="A239" s="11" t="s">
        <v>2990</v>
      </c>
      <c r="B239" s="15" t="s">
        <v>2991</v>
      </c>
      <c r="C239" s="11" t="s">
        <v>508</v>
      </c>
      <c r="D239" s="48" t="str">
        <f aca="false">IF(OR(NOT(ISNUMBER(D79)),NOT(ISNUMBER(D159))),"",D79-D159)</f>
        <v/>
      </c>
      <c r="E239" s="48" t="n">
        <f aca="false">IF(OR(NOT(ISNUMBER(E79)),NOT(ISNUMBER(E159))),"",E79-E159)</f>
        <v>20294.3167123288</v>
      </c>
      <c r="F239" s="48" t="n">
        <f aca="false">IF(OR(NOT(ISNUMBER(F79)),NOT(ISNUMBER(F159))),"",F79-F159)</f>
        <v>20294.3167123288</v>
      </c>
      <c r="G239" s="48" t="n">
        <f aca="false">IF(OR(NOT(ISNUMBER(G79)),NOT(ISNUMBER(G159))),"",G79-G159)</f>
        <v>20294.3167123288</v>
      </c>
      <c r="H239" s="48" t="n">
        <f aca="false">IF(OR(NOT(ISNUMBER(H79)),NOT(ISNUMBER(H159))),"",H79-H159)</f>
        <v>20294.3167123288</v>
      </c>
      <c r="I239" s="48" t="n">
        <f aca="false">IF(OR(NOT(ISNUMBER(I79)),NOT(ISNUMBER(I159))),"",I79-I159)</f>
        <v>20294.3167123288</v>
      </c>
      <c r="J239" s="48" t="n">
        <f aca="false">IF(OR(NOT(ISNUMBER(J79)),NOT(ISNUMBER(J159))),"",J79-J159)</f>
        <v>20294.3167123288</v>
      </c>
      <c r="K239" s="48" t="n">
        <f aca="false">IF(OR(NOT(ISNUMBER(K79)),NOT(ISNUMBER(K159))),"",K79-K159)</f>
        <v>20294.3167123288</v>
      </c>
      <c r="L239" s="48" t="n">
        <f aca="false">IF(OR(NOT(ISNUMBER(L79)),NOT(ISNUMBER(L159))),"",L79-L159)</f>
        <v>20294.3167123288</v>
      </c>
      <c r="M239" s="48" t="n">
        <f aca="false">IF(OR(NOT(ISNUMBER(M79)),NOT(ISNUMBER(M159))),"",M79-M159)</f>
        <v>20294.3167123288</v>
      </c>
      <c r="N239" s="48" t="n">
        <f aca="false">IF(OR(NOT(ISNUMBER(N79)),NOT(ISNUMBER(N159))),"",N79-N159)</f>
        <v>20294.3167123288</v>
      </c>
      <c r="O239" s="54" t="n">
        <f aca="false">IF(OR(NOT(ISNUMBER(O79)),NOT(ISNUMBER(O159))),"",O79-O159)</f>
        <v>202943.167123287</v>
      </c>
      <c r="P239" s="11" t="str">
        <f aca="false">IF(COUNT(D239:N239)=0,"",IF(AND(MAX(D239:N239)&lt;2,MIN(D239:N239)&gt;-2),"Sin diferencia","C1 nómina: salarios en Gs convertidos al TC 7.300 (el plan usa 8.000 implícito)."))</f>
        <v>C1 nómina: salarios en Gs convertidos al TC 7.300 (el plan usa 8.000 implícito).</v>
      </c>
    </row>
    <row r="240" customFormat="false" ht="15" hidden="false" customHeight="false" outlineLevel="0" collapsed="false">
      <c r="A240" s="11" t="s">
        <v>2992</v>
      </c>
      <c r="B240" s="67" t="s">
        <v>2993</v>
      </c>
      <c r="C240" s="11" t="s">
        <v>508</v>
      </c>
      <c r="D240" s="54" t="str">
        <f aca="false">IF(OR(NOT(ISNUMBER(D80)),NOT(ISNUMBER(D160))),"",D80-D160)</f>
        <v/>
      </c>
      <c r="E240" s="54" t="n">
        <f aca="false">IF(OR(NOT(ISNUMBER(E80)),NOT(ISNUMBER(E160))),"",E80-E160)</f>
        <v>41743.2920547944</v>
      </c>
      <c r="F240" s="54" t="n">
        <f aca="false">IF(OR(NOT(ISNUMBER(F80)),NOT(ISNUMBER(F160))),"",F80-F160)</f>
        <v>41743.2920547944</v>
      </c>
      <c r="G240" s="54" t="n">
        <f aca="false">IF(OR(NOT(ISNUMBER(G80)),NOT(ISNUMBER(G160))),"",G80-G160)</f>
        <v>43510.4920547945</v>
      </c>
      <c r="H240" s="54" t="n">
        <f aca="false">IF(OR(NOT(ISNUMBER(H80)),NOT(ISNUMBER(H160))),"",H80-H160)</f>
        <v>44891.6876712329</v>
      </c>
      <c r="I240" s="54" t="n">
        <f aca="false">IF(OR(NOT(ISNUMBER(I80)),NOT(ISNUMBER(I160))),"",I80-I160)</f>
        <v>46612.7452054794</v>
      </c>
      <c r="J240" s="54" t="n">
        <f aca="false">IF(OR(NOT(ISNUMBER(J80)),NOT(ISNUMBER(J160))),"",J80-J160)</f>
        <v>46612.7452054794</v>
      </c>
      <c r="K240" s="54" t="n">
        <f aca="false">IF(OR(NOT(ISNUMBER(K80)),NOT(ISNUMBER(K160))),"",K80-K160)</f>
        <v>46612.7452054794</v>
      </c>
      <c r="L240" s="54" t="n">
        <f aca="false">IF(OR(NOT(ISNUMBER(L80)),NOT(ISNUMBER(L160))),"",L80-L160)</f>
        <v>46612.7452054794</v>
      </c>
      <c r="M240" s="54" t="n">
        <f aca="false">IF(OR(NOT(ISNUMBER(M80)),NOT(ISNUMBER(M160))),"",M80-M160)</f>
        <v>46612.7452054794</v>
      </c>
      <c r="N240" s="54" t="n">
        <f aca="false">IF(OR(NOT(ISNUMBER(N80)),NOT(ISNUMBER(N160))),"",N80-N160)</f>
        <v>46612.7452054794</v>
      </c>
      <c r="O240" s="54" t="n">
        <f aca="false">IF(OR(NOT(ISNUMBER(O80)),NOT(ISNUMBER(O160))),"",O80-O160)</f>
        <v>451565.235068494</v>
      </c>
      <c r="P240" s="11" t="str">
        <f aca="false">IF(COUNT(D240:N240)=0,"",IF(AND(MAX(D240:N240)&lt;2,MIN(D240:N240)&gt;-2),"Sin diferencia","C1 nómina: salarios en Gs convertidos al TC 7.300 (el plan usa 8.000 implícito)."))</f>
        <v>C1 nómina: salarios en Gs convertidos al TC 7.300 (el plan usa 8.000 implícito).</v>
      </c>
    </row>
    <row r="241" customFormat="false" ht="15" hidden="false" customHeight="false" outlineLevel="0" collapsed="false">
      <c r="A241" s="11" t="s">
        <v>2994</v>
      </c>
      <c r="B241" s="15" t="s">
        <v>2307</v>
      </c>
      <c r="C241" s="11" t="s">
        <v>508</v>
      </c>
      <c r="D241" s="48"/>
      <c r="E241" s="48"/>
      <c r="F241" s="48"/>
      <c r="G241" s="48"/>
      <c r="H241" s="48"/>
      <c r="I241" s="48"/>
      <c r="J241" s="48"/>
      <c r="K241" s="48"/>
      <c r="L241" s="48"/>
      <c r="M241" s="48"/>
      <c r="N241" s="48"/>
    </row>
    <row r="242" customFormat="false" ht="15" hidden="false" customHeight="false" outlineLevel="0" collapsed="false">
      <c r="A242" s="11" t="s">
        <v>2995</v>
      </c>
      <c r="B242" s="15" t="s">
        <v>2996</v>
      </c>
      <c r="C242" s="11" t="s">
        <v>508</v>
      </c>
      <c r="D242" s="48"/>
      <c r="E242" s="48"/>
      <c r="F242" s="48"/>
      <c r="G242" s="48"/>
      <c r="H242" s="48"/>
      <c r="I242" s="48"/>
      <c r="J242" s="48"/>
      <c r="K242" s="48"/>
      <c r="L242" s="48"/>
      <c r="M242" s="48"/>
      <c r="N242" s="48"/>
    </row>
    <row r="243" customFormat="false" ht="15" hidden="false" customHeight="false" outlineLevel="0" collapsed="false">
      <c r="A243" s="11" t="s">
        <v>2997</v>
      </c>
      <c r="B243" s="67" t="s">
        <v>2998</v>
      </c>
      <c r="C243" s="11" t="s">
        <v>508</v>
      </c>
      <c r="D243" s="54"/>
      <c r="E243" s="54"/>
      <c r="F243" s="54"/>
      <c r="G243" s="54"/>
      <c r="H243" s="54"/>
      <c r="I243" s="54"/>
      <c r="J243" s="54"/>
      <c r="K243" s="54"/>
      <c r="L243" s="54"/>
      <c r="M243" s="54"/>
      <c r="N243" s="54"/>
    </row>
    <row r="245" customFormat="false" ht="15" hidden="false" customHeight="false" outlineLevel="0" collapsed="false">
      <c r="A245" s="12" t="s">
        <v>240</v>
      </c>
      <c r="B245" s="13"/>
      <c r="C245" s="13"/>
      <c r="D245" s="13"/>
      <c r="E245" s="13"/>
      <c r="F245" s="13"/>
      <c r="G245" s="13"/>
      <c r="H245" s="13"/>
      <c r="I245" s="13"/>
      <c r="J245" s="13"/>
      <c r="K245" s="13"/>
      <c r="L245" s="13"/>
      <c r="M245" s="13"/>
      <c r="N245" s="13"/>
      <c r="O245" s="13"/>
    </row>
    <row r="246" customFormat="false" ht="15" hidden="false" customHeight="false" outlineLevel="0" collapsed="false">
      <c r="B246" s="11" t="s">
        <v>2999</v>
      </c>
    </row>
    <row r="247" customFormat="false" ht="15" hidden="false" customHeight="false" outlineLevel="0" collapsed="false">
      <c r="B247" s="11" t="s">
        <v>3000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8"/>
    <col collapsed="false" customWidth="true" hidden="false" outlineLevel="0" max="2" min="2" style="0" width="13"/>
    <col collapsed="false" customWidth="true" hidden="false" outlineLevel="0" max="3" min="3" style="0" width="15.78"/>
    <col collapsed="false" customWidth="true" hidden="false" outlineLevel="0" max="5" min="5" style="0" width="63"/>
    <col collapsed="false" customWidth="true" hidden="false" outlineLevel="0" max="6" min="6" style="0" width="44.44"/>
    <col collapsed="false" customWidth="true" hidden="false" outlineLevel="0" max="7" min="7" style="0" width="11.56"/>
  </cols>
  <sheetData>
    <row r="1" customFormat="false" ht="19.5" hidden="false" customHeight="true" outlineLevel="0" collapsed="false">
      <c r="A1" s="104" t="s">
        <v>3001</v>
      </c>
      <c r="B1" s="104"/>
      <c r="C1" s="104"/>
      <c r="D1" s="104"/>
      <c r="E1" s="104"/>
      <c r="F1" s="104"/>
      <c r="G1" s="104"/>
      <c r="H1" s="104"/>
    </row>
    <row r="2" customFormat="false" ht="19.5" hidden="false" customHeight="true" outlineLevel="0" collapsed="false">
      <c r="A2" s="105" t="s">
        <v>3002</v>
      </c>
      <c r="B2" s="105"/>
      <c r="C2" s="105"/>
      <c r="D2" s="105"/>
      <c r="E2" s="105"/>
      <c r="F2" s="105"/>
      <c r="G2" s="105"/>
      <c r="H2" s="105"/>
    </row>
    <row r="4" customFormat="false" ht="15" hidden="false" customHeight="true" outlineLevel="0" collapsed="false">
      <c r="A4" s="106" t="s">
        <v>3003</v>
      </c>
      <c r="B4" s="106"/>
      <c r="C4" s="106"/>
      <c r="D4" s="106"/>
      <c r="E4" s="106"/>
      <c r="F4" s="106"/>
      <c r="G4" s="106"/>
      <c r="H4" s="106"/>
    </row>
    <row r="5" customFormat="false" ht="27" hidden="false" customHeight="true" outlineLevel="0" collapsed="false">
      <c r="A5" s="107" t="s">
        <v>3004</v>
      </c>
      <c r="B5" s="108" t="n">
        <v>12</v>
      </c>
      <c r="C5" s="108" t="n">
        <v>25</v>
      </c>
      <c r="D5" s="109"/>
      <c r="E5" s="109" t="s">
        <v>3005</v>
      </c>
      <c r="F5" s="110"/>
    </row>
    <row r="6" customFormat="false" ht="27" hidden="false" customHeight="true" outlineLevel="0" collapsed="false">
      <c r="A6" s="111" t="s">
        <v>3006</v>
      </c>
      <c r="B6" s="112"/>
      <c r="C6" s="112"/>
      <c r="D6" s="112"/>
      <c r="E6" s="112" t="s">
        <v>3007</v>
      </c>
      <c r="F6" s="113"/>
    </row>
    <row r="7" customFormat="false" ht="41.25" hidden="false" customHeight="true" outlineLevel="0" collapsed="false">
      <c r="A7" s="111" t="s">
        <v>3008</v>
      </c>
      <c r="B7" s="112"/>
      <c r="C7" s="112"/>
      <c r="D7" s="112"/>
      <c r="E7" s="112" t="s">
        <v>3009</v>
      </c>
      <c r="F7" s="113"/>
    </row>
    <row r="8" customFormat="false" ht="15" hidden="false" customHeight="true" outlineLevel="0" collapsed="false">
      <c r="A8" s="111"/>
      <c r="B8" s="112"/>
      <c r="C8" s="112"/>
      <c r="D8" s="112"/>
      <c r="E8" s="112"/>
      <c r="F8" s="113"/>
    </row>
    <row r="9" customFormat="false" ht="15" hidden="false" customHeight="true" outlineLevel="0" collapsed="false">
      <c r="A9" s="114" t="s">
        <v>3010</v>
      </c>
      <c r="B9" s="115"/>
      <c r="C9" s="115"/>
      <c r="D9" s="115"/>
      <c r="E9" s="115"/>
      <c r="F9" s="116"/>
      <c r="G9" s="106"/>
      <c r="H9" s="106"/>
    </row>
    <row r="10" customFormat="false" ht="23.25" hidden="false" customHeight="true" outlineLevel="0" collapsed="false">
      <c r="A10" s="117" t="s">
        <v>3011</v>
      </c>
      <c r="B10" s="118" t="s">
        <v>1715</v>
      </c>
      <c r="C10" s="118" t="s">
        <v>3012</v>
      </c>
      <c r="D10" s="118" t="s">
        <v>3013</v>
      </c>
      <c r="E10" s="118" t="s">
        <v>3014</v>
      </c>
      <c r="F10" s="119" t="s">
        <v>240</v>
      </c>
    </row>
    <row r="11" customFormat="false" ht="41.25" hidden="false" customHeight="true" outlineLevel="0" collapsed="false">
      <c r="A11" s="120" t="s">
        <v>529</v>
      </c>
      <c r="B11" s="112" t="s">
        <v>186</v>
      </c>
      <c r="C11" s="121" t="s">
        <v>3015</v>
      </c>
      <c r="D11" s="121" t="s">
        <v>3016</v>
      </c>
      <c r="E11" s="112" t="s">
        <v>3017</v>
      </c>
      <c r="F11" s="113" t="s">
        <v>3018</v>
      </c>
    </row>
    <row r="12" customFormat="false" ht="27" hidden="false" customHeight="true" outlineLevel="0" collapsed="false">
      <c r="A12" s="120" t="s">
        <v>3019</v>
      </c>
      <c r="B12" s="112" t="s">
        <v>186</v>
      </c>
      <c r="C12" s="121" t="s">
        <v>3020</v>
      </c>
      <c r="D12" s="121" t="s">
        <v>3021</v>
      </c>
      <c r="E12" s="112" t="s">
        <v>3022</v>
      </c>
      <c r="F12" s="113" t="s">
        <v>3023</v>
      </c>
    </row>
    <row r="13" customFormat="false" ht="27" hidden="false" customHeight="true" outlineLevel="0" collapsed="false">
      <c r="A13" s="120" t="s">
        <v>3024</v>
      </c>
      <c r="B13" s="112" t="s">
        <v>186</v>
      </c>
      <c r="C13" s="121" t="s">
        <v>3025</v>
      </c>
      <c r="D13" s="121" t="s">
        <v>3026</v>
      </c>
      <c r="E13" s="112" t="s">
        <v>3027</v>
      </c>
      <c r="F13" s="113" t="s">
        <v>3028</v>
      </c>
    </row>
    <row r="14" customFormat="false" ht="54.75" hidden="false" customHeight="true" outlineLevel="0" collapsed="false">
      <c r="A14" s="120" t="s">
        <v>3029</v>
      </c>
      <c r="B14" s="112" t="s">
        <v>186</v>
      </c>
      <c r="C14" s="121" t="s">
        <v>3030</v>
      </c>
      <c r="D14" s="121" t="s">
        <v>3031</v>
      </c>
      <c r="E14" s="112" t="s">
        <v>3032</v>
      </c>
      <c r="F14" s="113" t="s">
        <v>3033</v>
      </c>
    </row>
    <row r="15" customFormat="false" ht="41.25" hidden="false" customHeight="true" outlineLevel="0" collapsed="false">
      <c r="A15" s="120" t="s">
        <v>3034</v>
      </c>
      <c r="B15" s="112" t="s">
        <v>194</v>
      </c>
      <c r="C15" s="121" t="s">
        <v>3035</v>
      </c>
      <c r="D15" s="121" t="s">
        <v>3036</v>
      </c>
      <c r="E15" s="112" t="s">
        <v>3037</v>
      </c>
      <c r="F15" s="113" t="s">
        <v>3038</v>
      </c>
    </row>
    <row r="16" customFormat="false" ht="41.25" hidden="false" customHeight="true" outlineLevel="0" collapsed="false">
      <c r="A16" s="120" t="s">
        <v>3039</v>
      </c>
      <c r="B16" s="112" t="s">
        <v>194</v>
      </c>
      <c r="C16" s="121" t="s">
        <v>3040</v>
      </c>
      <c r="D16" s="121" t="s">
        <v>3041</v>
      </c>
      <c r="E16" s="112" t="s">
        <v>3042</v>
      </c>
      <c r="F16" s="113" t="s">
        <v>3043</v>
      </c>
    </row>
    <row r="17" customFormat="false" ht="41.25" hidden="false" customHeight="true" outlineLevel="0" collapsed="false">
      <c r="A17" s="120" t="s">
        <v>3044</v>
      </c>
      <c r="B17" s="112" t="s">
        <v>196</v>
      </c>
      <c r="C17" s="121" t="s">
        <v>3020</v>
      </c>
      <c r="D17" s="121" t="s">
        <v>3045</v>
      </c>
      <c r="E17" s="112" t="s">
        <v>3046</v>
      </c>
      <c r="F17" s="113" t="s">
        <v>3047</v>
      </c>
    </row>
    <row r="18" customFormat="false" ht="41.25" hidden="false" customHeight="true" outlineLevel="0" collapsed="false">
      <c r="A18" s="120" t="s">
        <v>3048</v>
      </c>
      <c r="B18" s="112" t="s">
        <v>196</v>
      </c>
      <c r="C18" s="121" t="s">
        <v>3049</v>
      </c>
      <c r="D18" s="121" t="s">
        <v>3050</v>
      </c>
      <c r="E18" s="112" t="s">
        <v>3051</v>
      </c>
      <c r="F18" s="113" t="s">
        <v>3052</v>
      </c>
    </row>
    <row r="19" customFormat="false" ht="27" hidden="false" customHeight="true" outlineLevel="0" collapsed="false">
      <c r="A19" s="120" t="s">
        <v>3053</v>
      </c>
      <c r="B19" s="112" t="s">
        <v>196</v>
      </c>
      <c r="C19" s="121" t="s">
        <v>3054</v>
      </c>
      <c r="D19" s="121" t="s">
        <v>3055</v>
      </c>
      <c r="E19" s="112" t="s">
        <v>3056</v>
      </c>
      <c r="F19" s="113" t="s">
        <v>3057</v>
      </c>
    </row>
    <row r="20" customFormat="false" ht="54.75" hidden="false" customHeight="true" outlineLevel="0" collapsed="false">
      <c r="A20" s="120" t="s">
        <v>3058</v>
      </c>
      <c r="B20" s="112" t="s">
        <v>196</v>
      </c>
      <c r="C20" s="121" t="s">
        <v>3059</v>
      </c>
      <c r="D20" s="121" t="s">
        <v>3060</v>
      </c>
      <c r="E20" s="112" t="s">
        <v>3061</v>
      </c>
      <c r="F20" s="113" t="s">
        <v>3062</v>
      </c>
    </row>
    <row r="21" customFormat="false" ht="54.75" hidden="false" customHeight="true" outlineLevel="0" collapsed="false">
      <c r="A21" s="120" t="s">
        <v>3063</v>
      </c>
      <c r="B21" s="112" t="s">
        <v>200</v>
      </c>
      <c r="C21" s="121" t="s">
        <v>3064</v>
      </c>
      <c r="D21" s="121" t="s">
        <v>3065</v>
      </c>
      <c r="E21" s="112" t="s">
        <v>3066</v>
      </c>
      <c r="F21" s="113" t="s">
        <v>3067</v>
      </c>
    </row>
    <row r="22" customFormat="false" ht="27" hidden="false" customHeight="true" outlineLevel="0" collapsed="false">
      <c r="A22" s="120" t="s">
        <v>3068</v>
      </c>
      <c r="B22" s="112" t="s">
        <v>200</v>
      </c>
      <c r="C22" s="121" t="s">
        <v>3069</v>
      </c>
      <c r="D22" s="121" t="s">
        <v>3070</v>
      </c>
      <c r="E22" s="112" t="s">
        <v>3071</v>
      </c>
      <c r="F22" s="113" t="s">
        <v>3072</v>
      </c>
    </row>
    <row r="23" customFormat="false" ht="15" hidden="false" customHeight="true" outlineLevel="0" collapsed="false">
      <c r="A23" s="111"/>
      <c r="B23" s="112"/>
      <c r="C23" s="112"/>
      <c r="D23" s="112"/>
      <c r="E23" s="112"/>
      <c r="F23" s="113"/>
    </row>
    <row r="24" customFormat="false" ht="27" hidden="false" customHeight="true" outlineLevel="0" collapsed="false">
      <c r="A24" s="114" t="s">
        <v>3073</v>
      </c>
      <c r="B24" s="115"/>
      <c r="C24" s="115"/>
      <c r="D24" s="115"/>
      <c r="E24" s="115"/>
      <c r="F24" s="116"/>
      <c r="G24" s="106"/>
      <c r="H24" s="106"/>
    </row>
    <row r="25" customFormat="false" ht="15" hidden="false" customHeight="true" outlineLevel="0" collapsed="false">
      <c r="A25" s="117" t="s">
        <v>3074</v>
      </c>
      <c r="B25" s="118" t="s">
        <v>3075</v>
      </c>
      <c r="C25" s="118" t="s">
        <v>3076</v>
      </c>
      <c r="D25" s="118"/>
      <c r="E25" s="118" t="s">
        <v>3077</v>
      </c>
      <c r="F25" s="113"/>
    </row>
    <row r="26" customFormat="false" ht="27" hidden="false" customHeight="true" outlineLevel="0" collapsed="false">
      <c r="A26" s="120" t="s">
        <v>3078</v>
      </c>
      <c r="B26" s="112" t="s">
        <v>3079</v>
      </c>
      <c r="C26" s="112" t="s">
        <v>3080</v>
      </c>
      <c r="D26" s="112"/>
      <c r="E26" s="112" t="s">
        <v>3081</v>
      </c>
      <c r="F26" s="113"/>
    </row>
    <row r="27" customFormat="false" ht="27" hidden="false" customHeight="true" outlineLevel="0" collapsed="false">
      <c r="A27" s="120" t="s">
        <v>3082</v>
      </c>
      <c r="B27" s="112" t="s">
        <v>3083</v>
      </c>
      <c r="C27" s="112" t="s">
        <v>3084</v>
      </c>
      <c r="D27" s="112"/>
      <c r="E27" s="112" t="s">
        <v>3085</v>
      </c>
      <c r="F27" s="113"/>
    </row>
    <row r="28" customFormat="false" ht="27" hidden="false" customHeight="true" outlineLevel="0" collapsed="false">
      <c r="A28" s="120" t="s">
        <v>3086</v>
      </c>
      <c r="B28" s="112" t="s">
        <v>3087</v>
      </c>
      <c r="C28" s="112" t="s">
        <v>3088</v>
      </c>
      <c r="D28" s="112"/>
      <c r="E28" s="112" t="s">
        <v>3089</v>
      </c>
      <c r="F28" s="113"/>
    </row>
    <row r="29" customFormat="false" ht="27" hidden="false" customHeight="true" outlineLevel="0" collapsed="false">
      <c r="A29" s="120" t="s">
        <v>3090</v>
      </c>
      <c r="B29" s="112" t="s">
        <v>3091</v>
      </c>
      <c r="C29" s="112" t="s">
        <v>3092</v>
      </c>
      <c r="D29" s="112"/>
      <c r="E29" s="112" t="s">
        <v>3093</v>
      </c>
      <c r="F29" s="113"/>
    </row>
    <row r="30" customFormat="false" ht="27" hidden="false" customHeight="true" outlineLevel="0" collapsed="false">
      <c r="A30" s="120" t="s">
        <v>3094</v>
      </c>
      <c r="B30" s="112" t="s">
        <v>3095</v>
      </c>
      <c r="C30" s="112" t="s">
        <v>3096</v>
      </c>
      <c r="D30" s="112"/>
      <c r="E30" s="112" t="s">
        <v>3097</v>
      </c>
      <c r="F30" s="113"/>
    </row>
    <row r="31" customFormat="false" ht="41.25" hidden="false" customHeight="true" outlineLevel="0" collapsed="false">
      <c r="A31" s="120" t="s">
        <v>3098</v>
      </c>
      <c r="B31" s="112" t="s">
        <v>3099</v>
      </c>
      <c r="C31" s="112" t="s">
        <v>3100</v>
      </c>
      <c r="D31" s="112"/>
      <c r="E31" s="112" t="s">
        <v>3101</v>
      </c>
      <c r="F31" s="113"/>
    </row>
    <row r="32" customFormat="false" ht="27" hidden="false" customHeight="true" outlineLevel="0" collapsed="false">
      <c r="A32" s="120" t="s">
        <v>3102</v>
      </c>
      <c r="B32" s="112" t="s">
        <v>3103</v>
      </c>
      <c r="C32" s="112" t="s">
        <v>3104</v>
      </c>
      <c r="D32" s="112"/>
      <c r="E32" s="112" t="s">
        <v>3105</v>
      </c>
      <c r="F32" s="113"/>
    </row>
    <row r="33" customFormat="false" ht="27" hidden="false" customHeight="true" outlineLevel="0" collapsed="false">
      <c r="A33" s="120" t="s">
        <v>3106</v>
      </c>
      <c r="B33" s="112" t="s">
        <v>3107</v>
      </c>
      <c r="C33" s="112" t="s">
        <v>3108</v>
      </c>
      <c r="D33" s="112"/>
      <c r="E33" s="112" t="s">
        <v>3109</v>
      </c>
      <c r="F33" s="113"/>
    </row>
    <row r="34" customFormat="false" ht="41.25" hidden="false" customHeight="true" outlineLevel="0" collapsed="false">
      <c r="A34" s="120" t="s">
        <v>3110</v>
      </c>
      <c r="B34" s="112" t="s">
        <v>3111</v>
      </c>
      <c r="C34" s="112" t="s">
        <v>3112</v>
      </c>
      <c r="D34" s="112"/>
      <c r="E34" s="112" t="s">
        <v>3113</v>
      </c>
      <c r="F34" s="113"/>
    </row>
    <row r="35" customFormat="false" ht="27" hidden="false" customHeight="true" outlineLevel="0" collapsed="false">
      <c r="A35" s="120" t="s">
        <v>3114</v>
      </c>
      <c r="B35" s="112" t="s">
        <v>3115</v>
      </c>
      <c r="C35" s="112" t="s">
        <v>3116</v>
      </c>
      <c r="D35" s="112"/>
      <c r="E35" s="112" t="s">
        <v>3117</v>
      </c>
      <c r="F35" s="113"/>
    </row>
    <row r="36" customFormat="false" ht="15" hidden="false" customHeight="true" outlineLevel="0" collapsed="false">
      <c r="A36" s="111"/>
      <c r="B36" s="112"/>
      <c r="C36" s="112"/>
      <c r="D36" s="112"/>
      <c r="E36" s="112"/>
      <c r="F36" s="113"/>
    </row>
    <row r="37" customFormat="false" ht="41.25" hidden="false" customHeight="true" outlineLevel="0" collapsed="false">
      <c r="A37" s="114" t="s">
        <v>3118</v>
      </c>
      <c r="B37" s="115"/>
      <c r="C37" s="115"/>
      <c r="D37" s="115"/>
      <c r="E37" s="115"/>
      <c r="F37" s="116"/>
      <c r="G37" s="106"/>
      <c r="H37" s="106"/>
    </row>
    <row r="38" customFormat="false" ht="15" hidden="false" customHeight="true" outlineLevel="0" collapsed="false">
      <c r="A38" s="117" t="s">
        <v>451</v>
      </c>
      <c r="B38" s="118" t="s">
        <v>3119</v>
      </c>
      <c r="C38" s="118" t="s">
        <v>3120</v>
      </c>
      <c r="D38" s="118"/>
      <c r="E38" s="118" t="s">
        <v>3121</v>
      </c>
      <c r="F38" s="113"/>
    </row>
    <row r="39" customFormat="false" ht="15" hidden="false" customHeight="true" outlineLevel="0" collapsed="false">
      <c r="A39" s="111" t="s">
        <v>3122</v>
      </c>
      <c r="B39" s="121" t="s">
        <v>3123</v>
      </c>
      <c r="C39" s="121" t="s">
        <v>3124</v>
      </c>
      <c r="D39" s="112"/>
      <c r="E39" s="112" t="s">
        <v>3125</v>
      </c>
      <c r="F39" s="113"/>
    </row>
    <row r="40" customFormat="false" ht="27" hidden="false" customHeight="true" outlineLevel="0" collapsed="false">
      <c r="A40" s="111" t="s">
        <v>3126</v>
      </c>
      <c r="B40" s="121" t="s">
        <v>3127</v>
      </c>
      <c r="C40" s="121" t="s">
        <v>3128</v>
      </c>
      <c r="D40" s="112"/>
      <c r="E40" s="112" t="s">
        <v>3129</v>
      </c>
      <c r="F40" s="113"/>
    </row>
    <row r="41" customFormat="false" ht="27" hidden="false" customHeight="true" outlineLevel="0" collapsed="false">
      <c r="A41" s="111" t="s">
        <v>3130</v>
      </c>
      <c r="B41" s="121" t="s">
        <v>3131</v>
      </c>
      <c r="C41" s="121" t="s">
        <v>3132</v>
      </c>
      <c r="D41" s="112"/>
      <c r="E41" s="112" t="s">
        <v>3133</v>
      </c>
      <c r="F41" s="113"/>
    </row>
    <row r="42" customFormat="false" ht="27" hidden="false" customHeight="true" outlineLevel="0" collapsed="false">
      <c r="A42" s="111" t="s">
        <v>3134</v>
      </c>
      <c r="B42" s="121" t="s">
        <v>3135</v>
      </c>
      <c r="C42" s="121" t="s">
        <v>3136</v>
      </c>
      <c r="D42" s="112"/>
      <c r="E42" s="112" t="s">
        <v>3137</v>
      </c>
      <c r="F42" s="113"/>
    </row>
    <row r="43" customFormat="false" ht="27" hidden="false" customHeight="true" outlineLevel="0" collapsed="false">
      <c r="A43" s="111" t="s">
        <v>3138</v>
      </c>
      <c r="B43" s="121" t="s">
        <v>3139</v>
      </c>
      <c r="C43" s="121" t="s">
        <v>3140</v>
      </c>
      <c r="D43" s="112"/>
      <c r="E43" s="112" t="s">
        <v>3141</v>
      </c>
      <c r="F43" s="113"/>
    </row>
    <row r="44" customFormat="false" ht="27" hidden="false" customHeight="true" outlineLevel="0" collapsed="false">
      <c r="A44" s="111" t="s">
        <v>3142</v>
      </c>
      <c r="B44" s="121" t="s">
        <v>3143</v>
      </c>
      <c r="C44" s="121" t="s">
        <v>3144</v>
      </c>
      <c r="D44" s="112"/>
      <c r="E44" s="112" t="s">
        <v>3145</v>
      </c>
      <c r="F44" s="113"/>
    </row>
    <row r="45" customFormat="false" ht="27" hidden="false" customHeight="true" outlineLevel="0" collapsed="false">
      <c r="A45" s="111" t="s">
        <v>3146</v>
      </c>
      <c r="B45" s="121" t="s">
        <v>3147</v>
      </c>
      <c r="C45" s="121" t="s">
        <v>3148</v>
      </c>
      <c r="D45" s="112"/>
      <c r="E45" s="112" t="s">
        <v>3149</v>
      </c>
      <c r="F45" s="113"/>
    </row>
    <row r="46" customFormat="false" ht="15" hidden="false" customHeight="true" outlineLevel="0" collapsed="false">
      <c r="A46" s="111" t="s">
        <v>3150</v>
      </c>
      <c r="B46" s="121" t="s">
        <v>3151</v>
      </c>
      <c r="C46" s="121" t="s">
        <v>3152</v>
      </c>
      <c r="D46" s="112"/>
      <c r="E46" s="112" t="s">
        <v>3153</v>
      </c>
      <c r="F46" s="113"/>
    </row>
    <row r="47" customFormat="false" ht="15" hidden="false" customHeight="true" outlineLevel="0" collapsed="false">
      <c r="A47" s="111"/>
      <c r="B47" s="112"/>
      <c r="C47" s="112"/>
      <c r="D47" s="112"/>
      <c r="E47" s="112"/>
      <c r="F47" s="113"/>
    </row>
    <row r="48" customFormat="false" ht="15" hidden="false" customHeight="true" outlineLevel="0" collapsed="false">
      <c r="A48" s="114" t="s">
        <v>3154</v>
      </c>
      <c r="B48" s="115"/>
      <c r="C48" s="115"/>
      <c r="D48" s="115"/>
      <c r="E48" s="115"/>
      <c r="F48" s="116"/>
      <c r="G48" s="106"/>
      <c r="H48" s="106"/>
    </row>
    <row r="49" customFormat="false" ht="27" hidden="false" customHeight="true" outlineLevel="0" collapsed="false">
      <c r="A49" s="111" t="s">
        <v>3155</v>
      </c>
      <c r="B49" s="112" t="s">
        <v>3156</v>
      </c>
      <c r="C49" s="112" t="n">
        <v>13</v>
      </c>
      <c r="D49" s="112"/>
      <c r="E49" s="112" t="s">
        <v>3157</v>
      </c>
      <c r="F49" s="113"/>
    </row>
    <row r="50" customFormat="false" ht="27" hidden="false" customHeight="true" outlineLevel="0" collapsed="false">
      <c r="A50" s="111" t="s">
        <v>3158</v>
      </c>
      <c r="B50" s="112" t="s">
        <v>3159</v>
      </c>
      <c r="C50" s="112" t="n">
        <v>26</v>
      </c>
      <c r="D50" s="112"/>
      <c r="E50" s="112" t="s">
        <v>3160</v>
      </c>
      <c r="F50" s="113"/>
    </row>
    <row r="51" customFormat="false" ht="27" hidden="false" customHeight="true" outlineLevel="0" collapsed="false">
      <c r="A51" s="111" t="s">
        <v>3161</v>
      </c>
      <c r="B51" s="112" t="s">
        <v>3162</v>
      </c>
      <c r="C51" s="112" t="s">
        <v>3163</v>
      </c>
      <c r="D51" s="112"/>
      <c r="E51" s="112" t="s">
        <v>3164</v>
      </c>
      <c r="F51" s="113"/>
    </row>
    <row r="52" customFormat="false" ht="27" hidden="false" customHeight="true" outlineLevel="0" collapsed="false">
      <c r="A52" s="111" t="s">
        <v>3165</v>
      </c>
      <c r="B52" s="112" t="s">
        <v>277</v>
      </c>
      <c r="C52" s="112" t="s">
        <v>3166</v>
      </c>
      <c r="D52" s="112"/>
      <c r="E52" s="112" t="s">
        <v>3167</v>
      </c>
      <c r="F52" s="113"/>
    </row>
    <row r="53" customFormat="false" ht="15" hidden="false" customHeight="true" outlineLevel="0" collapsed="false">
      <c r="A53" s="111"/>
      <c r="B53" s="112"/>
      <c r="C53" s="112"/>
      <c r="D53" s="112"/>
      <c r="E53" s="112"/>
      <c r="F53" s="113"/>
    </row>
    <row r="54" customFormat="false" ht="27" hidden="false" customHeight="true" outlineLevel="0" collapsed="false">
      <c r="A54" s="114" t="s">
        <v>3168</v>
      </c>
      <c r="B54" s="115"/>
      <c r="C54" s="115"/>
      <c r="D54" s="115"/>
      <c r="E54" s="115"/>
      <c r="F54" s="116"/>
      <c r="G54" s="106"/>
      <c r="H54" s="106"/>
    </row>
    <row r="55" customFormat="false" ht="15" hidden="false" customHeight="true" outlineLevel="0" collapsed="false">
      <c r="A55" s="117" t="s">
        <v>530</v>
      </c>
      <c r="B55" s="118" t="s">
        <v>3169</v>
      </c>
      <c r="C55" s="118"/>
      <c r="D55" s="118"/>
      <c r="E55" s="118" t="s">
        <v>3170</v>
      </c>
      <c r="F55" s="113"/>
    </row>
    <row r="56" customFormat="false" ht="69" hidden="false" customHeight="true" outlineLevel="0" collapsed="false">
      <c r="A56" s="111" t="n">
        <v>1</v>
      </c>
      <c r="B56" s="112" t="s">
        <v>3171</v>
      </c>
      <c r="C56" s="112"/>
      <c r="D56" s="112"/>
      <c r="E56" s="112" t="s">
        <v>3172</v>
      </c>
      <c r="F56" s="113"/>
    </row>
    <row r="57" customFormat="false" ht="27" hidden="false" customHeight="true" outlineLevel="0" collapsed="false">
      <c r="A57" s="111" t="n">
        <v>2</v>
      </c>
      <c r="B57" s="112" t="s">
        <v>1493</v>
      </c>
      <c r="C57" s="112"/>
      <c r="D57" s="112"/>
      <c r="E57" s="112" t="s">
        <v>3173</v>
      </c>
      <c r="F57" s="113"/>
    </row>
    <row r="58" customFormat="false" ht="27" hidden="false" customHeight="true" outlineLevel="0" collapsed="false">
      <c r="A58" s="111" t="n">
        <v>3</v>
      </c>
      <c r="B58" s="112" t="s">
        <v>3174</v>
      </c>
      <c r="C58" s="112"/>
      <c r="D58" s="112"/>
      <c r="E58" s="112" t="s">
        <v>3175</v>
      </c>
      <c r="F58" s="113"/>
    </row>
    <row r="59" customFormat="false" ht="27" hidden="false" customHeight="true" outlineLevel="0" collapsed="false">
      <c r="A59" s="111" t="n">
        <v>4</v>
      </c>
      <c r="B59" s="112" t="s">
        <v>3176</v>
      </c>
      <c r="C59" s="112"/>
      <c r="D59" s="112"/>
      <c r="E59" s="112" t="s">
        <v>3177</v>
      </c>
      <c r="F59" s="113"/>
    </row>
    <row r="60" customFormat="false" ht="27" hidden="false" customHeight="true" outlineLevel="0" collapsed="false">
      <c r="A60" s="111" t="n">
        <v>5</v>
      </c>
      <c r="B60" s="112" t="s">
        <v>3178</v>
      </c>
      <c r="C60" s="112"/>
      <c r="D60" s="112"/>
      <c r="E60" s="112" t="s">
        <v>3179</v>
      </c>
      <c r="F60" s="113"/>
    </row>
    <row r="61" customFormat="false" ht="41.25" hidden="false" customHeight="true" outlineLevel="0" collapsed="false">
      <c r="A61" s="111" t="n">
        <v>6</v>
      </c>
      <c r="B61" s="112" t="s">
        <v>3180</v>
      </c>
      <c r="C61" s="112"/>
      <c r="D61" s="112"/>
      <c r="E61" s="122" t="s">
        <v>3181</v>
      </c>
      <c r="F61" s="113"/>
    </row>
    <row r="62" customFormat="false" ht="41.25" hidden="false" customHeight="true" outlineLevel="0" collapsed="false">
      <c r="A62" s="111" t="n">
        <v>7</v>
      </c>
      <c r="B62" s="112" t="s">
        <v>3182</v>
      </c>
      <c r="C62" s="112"/>
      <c r="D62" s="112"/>
      <c r="E62" s="112" t="s">
        <v>3183</v>
      </c>
      <c r="F62" s="113"/>
    </row>
    <row r="63" customFormat="false" ht="54.75" hidden="false" customHeight="true" outlineLevel="0" collapsed="false">
      <c r="A63" s="111" t="n">
        <v>8</v>
      </c>
      <c r="B63" s="112" t="s">
        <v>3184</v>
      </c>
      <c r="C63" s="112"/>
      <c r="D63" s="112"/>
      <c r="E63" s="112" t="s">
        <v>3185</v>
      </c>
      <c r="F63" s="113"/>
    </row>
    <row r="64" customFormat="false" ht="27" hidden="false" customHeight="true" outlineLevel="0" collapsed="false">
      <c r="A64" s="111" t="n">
        <v>9</v>
      </c>
      <c r="B64" s="112" t="s">
        <v>1705</v>
      </c>
      <c r="C64" s="112"/>
      <c r="D64" s="112"/>
      <c r="E64" s="112" t="s">
        <v>3186</v>
      </c>
      <c r="F64" s="113"/>
    </row>
    <row r="65" customFormat="false" ht="82.5" hidden="false" customHeight="true" outlineLevel="0" collapsed="false">
      <c r="A65" s="111" t="n">
        <v>10</v>
      </c>
      <c r="B65" s="112" t="s">
        <v>3187</v>
      </c>
      <c r="C65" s="112"/>
      <c r="D65" s="112"/>
      <c r="E65" s="112" t="s">
        <v>3188</v>
      </c>
      <c r="F65" s="113"/>
    </row>
    <row r="66" customFormat="false" ht="82.5" hidden="false" customHeight="true" outlineLevel="0" collapsed="false">
      <c r="A66" s="111" t="n">
        <v>11</v>
      </c>
      <c r="B66" s="112" t="s">
        <v>3189</v>
      </c>
      <c r="C66" s="112"/>
      <c r="D66" s="112"/>
      <c r="E66" s="112" t="s">
        <v>3190</v>
      </c>
      <c r="F66" s="113"/>
    </row>
    <row r="67" customFormat="false" ht="69" hidden="false" customHeight="true" outlineLevel="0" collapsed="false">
      <c r="A67" s="111" t="n">
        <v>12</v>
      </c>
      <c r="B67" s="112" t="s">
        <v>3191</v>
      </c>
      <c r="C67" s="112"/>
      <c r="D67" s="112"/>
      <c r="E67" s="112" t="s">
        <v>3192</v>
      </c>
      <c r="F67" s="113"/>
    </row>
    <row r="68" customFormat="false" ht="15" hidden="false" customHeight="true" outlineLevel="0" collapsed="false">
      <c r="A68" s="111"/>
      <c r="B68" s="112"/>
      <c r="C68" s="112"/>
      <c r="D68" s="112"/>
      <c r="E68" s="112"/>
      <c r="F68" s="113"/>
    </row>
    <row r="69" customFormat="false" ht="15" hidden="false" customHeight="true" outlineLevel="0" collapsed="false">
      <c r="A69" s="114" t="s">
        <v>3193</v>
      </c>
      <c r="B69" s="115"/>
      <c r="C69" s="115"/>
      <c r="D69" s="115"/>
      <c r="E69" s="115"/>
      <c r="F69" s="116"/>
      <c r="G69" s="106"/>
      <c r="H69" s="106"/>
    </row>
    <row r="70" customFormat="false" ht="41.25" hidden="false" customHeight="true" outlineLevel="0" collapsed="false">
      <c r="A70" s="111" t="s">
        <v>590</v>
      </c>
      <c r="B70" s="112"/>
      <c r="C70" s="112"/>
      <c r="D70" s="112"/>
      <c r="E70" s="112" t="s">
        <v>3194</v>
      </c>
      <c r="F70" s="113"/>
    </row>
    <row r="71" customFormat="false" ht="41.25" hidden="false" customHeight="true" outlineLevel="0" collapsed="false">
      <c r="A71" s="111" t="s">
        <v>3195</v>
      </c>
      <c r="B71" s="112"/>
      <c r="C71" s="112"/>
      <c r="D71" s="112"/>
      <c r="E71" s="112" t="s">
        <v>3196</v>
      </c>
      <c r="F71" s="113"/>
    </row>
    <row r="72" customFormat="false" ht="27" hidden="false" customHeight="true" outlineLevel="0" collapsed="false">
      <c r="A72" s="111" t="s">
        <v>3197</v>
      </c>
      <c r="B72" s="112"/>
      <c r="C72" s="112"/>
      <c r="D72" s="112"/>
      <c r="E72" s="112" t="s">
        <v>3198</v>
      </c>
      <c r="F72" s="113"/>
    </row>
    <row r="73" customFormat="false" ht="27" hidden="false" customHeight="true" outlineLevel="0" collapsed="false">
      <c r="A73" s="123" t="s">
        <v>3199</v>
      </c>
      <c r="B73" s="124"/>
      <c r="C73" s="124"/>
      <c r="D73" s="124"/>
      <c r="E73" s="124" t="s">
        <v>3200</v>
      </c>
      <c r="F73" s="125"/>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2026-10-28T02:07:54Z</dcterms:created>
  <dc:creator>openpyxl</dc:creator>
  <dc:description/>
  <dc:language>en-US</dc:language>
  <cp:lastModifiedBy/>
  <dcterms:modified xsi:type="dcterms:W3CDTF">2026-10-28T02:08:03Z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